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queryTables/queryTable3.xml" ContentType="application/vnd.openxmlformats-officedocument.spreadsheetml.queryTable+xml"/>
  <Override PartName="/xl/drawings/drawing7.xml" ContentType="application/vnd.openxmlformats-officedocument.drawing+xml"/>
  <Override PartName="/xl/tables/table3.xml" ContentType="application/vnd.openxmlformats-officedocument.spreadsheetml.table+xml"/>
  <Override PartName="/xl/queryTables/queryTable4.xml" ContentType="application/vnd.openxmlformats-officedocument.spreadsheetml.queryTable+xml"/>
  <Override PartName="/xl/tables/table4.xml" ContentType="application/vnd.openxmlformats-officedocument.spreadsheetml.table+xml"/>
  <Override PartName="/xl/queryTables/queryTable5.xml" ContentType="application/vnd.openxmlformats-officedocument.spreadsheetml.queryTable+xml"/>
  <Override PartName="/xl/tables/table5.xml" ContentType="application/vnd.openxmlformats-officedocument.spreadsheetml.table+xml"/>
  <Override PartName="/xl/queryTables/queryTable6.xml" ContentType="application/vnd.openxmlformats-officedocument.spreadsheetml.queryTable+xml"/>
  <Override PartName="/xl/tables/table6.xml" ContentType="application/vnd.openxmlformats-officedocument.spreadsheetml.table+xml"/>
  <Override PartName="/xl/queryTables/queryTable7.xml" ContentType="application/vnd.openxmlformats-officedocument.spreadsheetml.queryTable+xml"/>
  <Override PartName="/xl/tables/table7.xml" ContentType="application/vnd.openxmlformats-officedocument.spreadsheetml.table+xml"/>
  <Override PartName="/xl/queryTables/queryTable8.xml" ContentType="application/vnd.openxmlformats-officedocument.spreadsheetml.queryTable+xml"/>
  <Override PartName="/xl/tables/table8.xml" ContentType="application/vnd.openxmlformats-officedocument.spreadsheetml.table+xml"/>
  <Override PartName="/xl/queryTables/queryTable9.xml" ContentType="application/vnd.openxmlformats-officedocument.spreadsheetml.queryTable+xml"/>
  <Override PartName="/xl/tables/table9.xml" ContentType="application/vnd.openxmlformats-officedocument.spreadsheetml.table+xml"/>
  <Override PartName="/xl/queryTables/queryTable10.xml" ContentType="application/vnd.openxmlformats-officedocument.spreadsheetml.queryTable+xml"/>
  <Override PartName="/xl/tables/table10.xml" ContentType="application/vnd.openxmlformats-officedocument.spreadsheetml.table+xml"/>
  <Override PartName="/xl/queryTables/queryTable11.xml" ContentType="application/vnd.openxmlformats-officedocument.spreadsheetml.queryTable+xml"/>
  <Override PartName="/xl/tables/table11.xml" ContentType="application/vnd.openxmlformats-officedocument.spreadsheetml.table+xml"/>
  <Override PartName="/xl/queryTables/queryTable12.xml" ContentType="application/vnd.openxmlformats-officedocument.spreadsheetml.queryTable+xml"/>
  <Override PartName="/xl/tables/table12.xml" ContentType="application/vnd.openxmlformats-officedocument.spreadsheetml.table+xml"/>
  <Override PartName="/xl/queryTables/queryTable13.xml" ContentType="application/vnd.openxmlformats-officedocument.spreadsheetml.queryTable+xml"/>
  <Override PartName="/xl/drawings/drawing8.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codeName="ThisWorkbook"/>
  <mc:AlternateContent xmlns:mc="http://schemas.openxmlformats.org/markup-compatibility/2006">
    <mc:Choice Requires="x15">
      <x15ac:absPath xmlns:x15ac="http://schemas.microsoft.com/office/spreadsheetml/2010/11/ac" url="H:\Treasurer\TreasShare\CAFR\"/>
    </mc:Choice>
  </mc:AlternateContent>
  <xr:revisionPtr revIDLastSave="0" documentId="13_ncr:1_{F14D85A5-32D1-426F-BDB3-2622764881D4}" xr6:coauthVersionLast="47" xr6:coauthVersionMax="47" xr10:uidLastSave="{00000000-0000-0000-0000-000000000000}"/>
  <bookViews>
    <workbookView xWindow="-120" yWindow="-120" windowWidth="29040" windowHeight="15840" tabRatio="796" firstSheet="10" activeTab="13" xr2:uid="{00000000-000D-0000-FFFF-FFFF00000000}"/>
  </bookViews>
  <sheets>
    <sheet name="Note 1C" sheetId="67" r:id="rId1"/>
    <sheet name="Note 2B" sheetId="66" r:id="rId2"/>
    <sheet name="Note 11,21" sheetId="70" r:id="rId3"/>
    <sheet name="Note 10,17" sheetId="72" r:id="rId4"/>
    <sheet name="OPEB, note 14" sheetId="71" r:id="rId5"/>
    <sheet name="OPEB" sheetId="75" r:id="rId6"/>
    <sheet name="Pension" sheetId="69" r:id="rId7"/>
    <sheet name="TO DO" sheetId="81" r:id="rId8"/>
    <sheet name="Maj Funds" sheetId="3" r:id="rId9"/>
    <sheet name="Sys INPUT" sheetId="4" r:id="rId10"/>
    <sheet name="INPUT" sheetId="5" r:id="rId11"/>
    <sheet name="Stmt of Net Pos" sheetId="6" r:id="rId12"/>
    <sheet name="Stmet of Actvty" sheetId="7" r:id="rId13"/>
    <sheet name="CALC NA" sheetId="8" r:id="rId14"/>
    <sheet name="Govt BS" sheetId="9" r:id="rId15"/>
    <sheet name="Govt IS" sheetId="10" r:id="rId16"/>
    <sheet name="GEN BUDACT" sheetId="11" r:id="rId17"/>
    <sheet name="GEN BUDACT (Govtwide)" sheetId="64" r:id="rId18"/>
    <sheet name="MAJ GOV BUDACT" sheetId="12" r:id="rId19"/>
    <sheet name="MAJ GOV BUDACT (2)" sheetId="82" r:id="rId20"/>
    <sheet name="MAJ GOV BUDACT (3)" sheetId="61" r:id="rId21"/>
    <sheet name="PROPNA" sheetId="13" r:id="rId22"/>
    <sheet name="PROPREV" sheetId="14" r:id="rId23"/>
    <sheet name="PROPCF" sheetId="15" r:id="rId24"/>
    <sheet name="FID NA" sheetId="16" r:id="rId25"/>
    <sheet name="FIDCH NA" sheetId="17" r:id="rId26"/>
    <sheet name="COMBING BS" sheetId="18" r:id="rId27"/>
    <sheet name="SR BS" sheetId="19" r:id="rId28"/>
    <sheet name="DS BS" sheetId="20" r:id="rId29"/>
    <sheet name="CP BS" sheetId="21" r:id="rId30"/>
    <sheet name="COMBING IS" sheetId="23" r:id="rId31"/>
    <sheet name="DS IS" sheetId="24" r:id="rId32"/>
    <sheet name="CP IS" sheetId="25" r:id="rId33"/>
    <sheet name="SR IS" sheetId="22" r:id="rId34"/>
    <sheet name="SR BUDACT" sheetId="26" r:id="rId35"/>
    <sheet name="DS BUDACT" sheetId="27" r:id="rId36"/>
    <sheet name="CP BUDACT" sheetId="28" r:id="rId37"/>
    <sheet name="ENT BS" sheetId="29" r:id="rId38"/>
    <sheet name="ENT IS" sheetId="30" r:id="rId39"/>
    <sheet name="ENT CF" sheetId="31" r:id="rId40"/>
    <sheet name="IS BS" sheetId="32" r:id="rId41"/>
    <sheet name="IS IS" sheetId="33" r:id="rId42"/>
    <sheet name="IS CF" sheetId="34" r:id="rId43"/>
    <sheet name="FIDCOMBIT NP" sheetId="35" r:id="rId44"/>
    <sheet name="FIDCOMBCH NP" sheetId="36" r:id="rId45"/>
    <sheet name="Cust Funds NP" sheetId="37" r:id="rId46"/>
    <sheet name="Cust Funds Chg in NP" sheetId="80" r:id="rId47"/>
    <sheet name="FID FDS" sheetId="50" r:id="rId48"/>
    <sheet name="FIDCH FDS" sheetId="51" r:id="rId49"/>
    <sheet name="PERM BS" sheetId="52" r:id="rId50"/>
    <sheet name="PERM IS" sheetId="53" r:id="rId51"/>
    <sheet name="GFBS ER" sheetId="40" r:id="rId52"/>
    <sheet name="GEN BUDACT ER" sheetId="41" r:id="rId53"/>
    <sheet name="SR BUDACT ER" sheetId="45" r:id="rId54"/>
    <sheet name="SRBS ER" sheetId="44" r:id="rId55"/>
    <sheet name="DSBS ER" sheetId="46" r:id="rId56"/>
    <sheet name="DS BUDACT ER" sheetId="47" r:id="rId57"/>
    <sheet name="CPBS ER" sheetId="48" r:id="rId58"/>
    <sheet name="CP BUDACT ER" sheetId="49" r:id="rId59"/>
    <sheet name="ENBS ER" sheetId="42" r:id="rId60"/>
    <sheet name="ENIS ER" sheetId="43" r:id="rId61"/>
    <sheet name="TA BS ER" sheetId="76" r:id="rId62"/>
    <sheet name="TA IS ER" sheetId="78" r:id="rId63"/>
    <sheet name="Agency transfer JV" sheetId="79" r:id="rId64"/>
    <sheet name="DOA DATA Load" sheetId="65" r:id="rId65"/>
    <sheet name="Sheet2" sheetId="77" r:id="rId66"/>
    <sheet name="FB Instruction for calc" sheetId="62" r:id="rId67"/>
    <sheet name="CU BS Don't Use FY21" sheetId="38" r:id="rId68"/>
    <sheet name="COMP UNIT IS Don't Use FY21" sheetId="39" r:id="rId69"/>
  </sheets>
  <externalReferences>
    <externalReference r:id="rId70"/>
    <externalReference r:id="rId71"/>
    <externalReference r:id="rId72"/>
    <externalReference r:id="rId73"/>
    <externalReference r:id="rId74"/>
    <externalReference r:id="rId75"/>
  </externalReferences>
  <definedNames>
    <definedName name="\S" localSheetId="46">'[1]Invest Port'!#REF!</definedName>
    <definedName name="\S" localSheetId="19">'[1]Invest Port'!#REF!</definedName>
    <definedName name="\S">'[1]Invest Port'!#REF!</definedName>
    <definedName name="___Ent2" localSheetId="46">#REF!</definedName>
    <definedName name="___Ent2" localSheetId="19">#REF!</definedName>
    <definedName name="___Ent2">#REF!</definedName>
    <definedName name="___Ent3" localSheetId="46">#REF!</definedName>
    <definedName name="___Ent3" localSheetId="19">#REF!</definedName>
    <definedName name="___Ent3">#REF!</definedName>
    <definedName name="___Ent4" localSheetId="46">#REF!</definedName>
    <definedName name="___Ent4" localSheetId="19">#REF!</definedName>
    <definedName name="___Ent4">#REF!</definedName>
    <definedName name="___Ent5" localSheetId="46">#REF!</definedName>
    <definedName name="___Ent5" localSheetId="19">#REF!</definedName>
    <definedName name="___Ent5">#REF!</definedName>
    <definedName name="__Ent6" localSheetId="46">'[2]Cash Flow Wksht'!#REF!</definedName>
    <definedName name="__Ent6" localSheetId="19">'[2]Cash Flow Wksht'!#REF!</definedName>
    <definedName name="__Ent6">'[2]Cash Flow Wksht'!#REF!</definedName>
    <definedName name="_C" localSheetId="46">#REF!</definedName>
    <definedName name="_C" localSheetId="19">#REF!</definedName>
    <definedName name="_C">#REF!</definedName>
    <definedName name="_Ent2" localSheetId="46">#REF!</definedName>
    <definedName name="_Ent2" localSheetId="19">#REF!</definedName>
    <definedName name="_Ent2">#REF!</definedName>
    <definedName name="_Ent3" localSheetId="46">#REF!</definedName>
    <definedName name="_Ent3" localSheetId="19">#REF!</definedName>
    <definedName name="_Ent3">#REF!</definedName>
    <definedName name="_Ent4" localSheetId="46">#REF!</definedName>
    <definedName name="_Ent4" localSheetId="19">#REF!</definedName>
    <definedName name="_Ent4">#REF!</definedName>
    <definedName name="_Ent5" localSheetId="46">#REF!</definedName>
    <definedName name="_Ent5" localSheetId="19">#REF!</definedName>
    <definedName name="_Ent5">#REF!</definedName>
    <definedName name="_Ent6" localSheetId="46">'[2]Cash Flow Wksht'!#REF!</definedName>
    <definedName name="_Ent6" localSheetId="19">'[2]Cash Flow Wksht'!#REF!</definedName>
    <definedName name="_Ent6">'[2]Cash Flow Wksht'!#REF!</definedName>
    <definedName name="_Tax" localSheetId="46">#REF!</definedName>
    <definedName name="_Tax" localSheetId="19">#REF!</definedName>
    <definedName name="_Tax">#REF!</definedName>
    <definedName name="AdjCPFunds" localSheetId="46">'[3]Auto Gov''tMajor Funds-Fund Stmt'!#REF!</definedName>
    <definedName name="AdjCPFunds" localSheetId="19">'[3]Auto Gov''tMajor Funds-Fund Stmt'!#REF!</definedName>
    <definedName name="AdjCPFunds">'[3]Auto Gov''tMajor Funds-Fund Stmt'!#REF!</definedName>
    <definedName name="AdjDSFunds" localSheetId="46">'[3]Auto Gov''tMajor Funds-Fund Stmt'!#REF!</definedName>
    <definedName name="AdjDSFunds" localSheetId="19">'[3]Auto Gov''tMajor Funds-Fund Stmt'!#REF!</definedName>
    <definedName name="AdjDSFunds">'[3]Auto Gov''tMajor Funds-Fund Stmt'!#REF!</definedName>
    <definedName name="AdjPermFunds" localSheetId="46">'[3]Auto Gov''tMajor Funds-Fund Stmt'!#REF!</definedName>
    <definedName name="AdjPermFunds" localSheetId="19">'[3]Auto Gov''tMajor Funds-Fund Stmt'!#REF!</definedName>
    <definedName name="AdjPermFunds">'[3]Auto Gov''tMajor Funds-Fund Stmt'!#REF!</definedName>
    <definedName name="AllIntSvc" localSheetId="46">#REF!</definedName>
    <definedName name="AllIntSvc" localSheetId="19">#REF!</definedName>
    <definedName name="AllIntSvc">#REF!</definedName>
    <definedName name="countycodetable">'[4]LedgerLoad Assist'!$A$185:$C$367</definedName>
    <definedName name="CPFunds" localSheetId="46">#REF!</definedName>
    <definedName name="CPFunds" localSheetId="19">#REF!</definedName>
    <definedName name="CPFunds">#REF!</definedName>
    <definedName name="DSFunds" localSheetId="46">#REF!</definedName>
    <definedName name="DSFunds" localSheetId="19">#REF!</definedName>
    <definedName name="DSFunds">#REF!</definedName>
    <definedName name="EIGHT" localSheetId="17">#REF!</definedName>
    <definedName name="EIGHT" localSheetId="19">#REF!</definedName>
    <definedName name="EIGHT" localSheetId="3">#REF!</definedName>
    <definedName name="EIGHT" localSheetId="2">#REF!</definedName>
    <definedName name="EIGHT" localSheetId="5">#REF!</definedName>
    <definedName name="EIGHT" localSheetId="62">#REF!</definedName>
    <definedName name="EIGHT">#REF!</definedName>
    <definedName name="EIGHTEEN" localSheetId="17">#REF!</definedName>
    <definedName name="EIGHTEEN" localSheetId="19">#REF!</definedName>
    <definedName name="EIGHTEEN" localSheetId="3">#REF!</definedName>
    <definedName name="EIGHTEEN" localSheetId="2">#REF!</definedName>
    <definedName name="EIGHTEEN" localSheetId="5">#REF!</definedName>
    <definedName name="EIGHTEEN" localSheetId="62">#REF!</definedName>
    <definedName name="EIGHTEEN">#REF!</definedName>
    <definedName name="ELEVEN" localSheetId="17">#REF!</definedName>
    <definedName name="ELEVEN" localSheetId="19">#REF!</definedName>
    <definedName name="ELEVEN" localSheetId="3">#REF!</definedName>
    <definedName name="ELEVEN" localSheetId="2">#REF!</definedName>
    <definedName name="ELEVEN" localSheetId="5">#REF!</definedName>
    <definedName name="ELEVEN" localSheetId="62">#REF!</definedName>
    <definedName name="ELEVEN">#REF!</definedName>
    <definedName name="entityname">'[5]List-County &amp; Entity Codes  '!$A$5:$D$189</definedName>
    <definedName name="entitynumber">'[4]LedgerLoad Assist'!$A$185:$B$367</definedName>
    <definedName name="ERCPBS" localSheetId="57">'CPBS ER'!$A$6:$E$74</definedName>
    <definedName name="ERCPBS" localSheetId="59">'ENBS ER'!$B$6:$I$74</definedName>
    <definedName name="ERCPBS5" localSheetId="57">'CPBS ER'!$A$6:$E$74</definedName>
    <definedName name="ERCPIS" localSheetId="58">'CP BUDACT ER'!$B$13:$U$95</definedName>
    <definedName name="ERCPIS" localSheetId="60">'ENIS ER'!$L$13:$S$80</definedName>
    <definedName name="ERCPIS5" localSheetId="58">'CP BUDACT ER'!$B$13:$Y$95</definedName>
    <definedName name="ERCPIS5_1" localSheetId="58">'CP BUDACT ER'!$B$13:$U$95</definedName>
    <definedName name="ERDSBS" localSheetId="57">'CPBS ER'!$A$6:$E$74</definedName>
    <definedName name="ERDSBS" localSheetId="55">'DSBS ER'!$A$6:$E$74</definedName>
    <definedName name="ERDSBS" localSheetId="59">'ENBS ER'!$B$6:$H$74</definedName>
    <definedName name="ERDSBS5" localSheetId="55">'DSBS ER'!$A$6:$E$74</definedName>
    <definedName name="ERDSIS" localSheetId="58">'CP BUDACT ER'!$B$13:$U$95</definedName>
    <definedName name="ERDSIS" localSheetId="56">'DS BUDACT ER'!$B$13:$N$95</definedName>
    <definedName name="ERDSIS" localSheetId="60">'ENIS ER'!$L$13:$R$80</definedName>
    <definedName name="ERDSIS5" localSheetId="56">'DS BUDACT ER'!$B$13:$N$95</definedName>
    <definedName name="ERENBS" localSheetId="59">'ENBS ER'!$B$6:$J$74</definedName>
    <definedName name="ERENBS_1" localSheetId="59">'ENBS ER'!$B$6:$T$74</definedName>
    <definedName name="ERENBS5" localSheetId="59">'ENBS ER'!$B$6:$T$74</definedName>
    <definedName name="ERENBS5" localSheetId="60">'ENIS ER'!$L$13:$AC$81</definedName>
    <definedName name="ERENBS5_1" localSheetId="59">'ENBS ER'!$B$6:$T$74</definedName>
    <definedName name="ERENIS" localSheetId="60">'ENIS ER'!$L$13:$S$64</definedName>
    <definedName name="ERENIS5" localSheetId="60">'ENIS ER'!$L$13:$S$64</definedName>
    <definedName name="ERENIS5_1" localSheetId="60">'ENIS ER'!$L$13:$S$64</definedName>
    <definedName name="ERGFBS5" localSheetId="51">'GFBS ER'!$A$6:$B$74</definedName>
    <definedName name="ERGFBS5_1" localSheetId="51">'GFBS ER'!$A$6:$B$74</definedName>
    <definedName name="ERGFBS5_2" localSheetId="51">'GFBS ER'!$A$6:$B$74</definedName>
    <definedName name="ERGFBS5_3" localSheetId="51">'GFBS ER'!$A$6:$B$74</definedName>
    <definedName name="ERGFIS_E" localSheetId="52">'GEN BUDACT ER'!$C$77:$F$133</definedName>
    <definedName name="ERGFIS_E_1" localSheetId="52">'GEN BUDACT ER'!$C$80:$F$141</definedName>
    <definedName name="ERGFIS_E_2" localSheetId="52">'GEN BUDACT ER'!$C$78:$F$139</definedName>
    <definedName name="ERGFIS_E_3" localSheetId="52">'GEN BUDACT ER'!$C$79:$F$140</definedName>
    <definedName name="ERGFIS_E_4" localSheetId="52">'GEN BUDACT ER'!$C$79:$F$186</definedName>
    <definedName name="ERGFISE5" localSheetId="52">'GEN BUDACT ER'!$C$79:$F$186</definedName>
    <definedName name="ERGFISR5" localSheetId="52">'GEN BUDACT ER'!$C$5:$F$73</definedName>
    <definedName name="ERSRBS" localSheetId="57">'CPBS ER'!$A$6:$E$23</definedName>
    <definedName name="ERSRBS" localSheetId="55">'DSBS ER'!$A$6:$E$23</definedName>
    <definedName name="ERSRBS" localSheetId="59">'ENBS ER'!$B$6:$H$23</definedName>
    <definedName name="ERSRBS" localSheetId="54">'SRBS ER'!$A$7:$EZ$75</definedName>
    <definedName name="ERSRBS_1" localSheetId="57">'CPBS ER'!$A$6:$E$23</definedName>
    <definedName name="ERSRBS_1" localSheetId="55">'DSBS ER'!$A$6:$E$23</definedName>
    <definedName name="ERSRBS_1" localSheetId="59">'ENBS ER'!$B$6:$H$23</definedName>
    <definedName name="ERSRBS_1" localSheetId="54">'SRBS ER'!$A$7:$BA$89</definedName>
    <definedName name="ERSRBS_2" localSheetId="57">'CPBS ER'!$A$6:$E$22</definedName>
    <definedName name="ERSRBS_2" localSheetId="55">'DSBS ER'!$A$6:$E$22</definedName>
    <definedName name="ERSRBS_2" localSheetId="59">'ENBS ER'!$B$6:$H$22</definedName>
    <definedName name="ERSRBS_2" localSheetId="54">'SRBS ER'!$A$6:$AW$88</definedName>
    <definedName name="ERSRBS5" localSheetId="54">'SRBS ER'!$A$6:$AW$88</definedName>
    <definedName name="ERSRIS" localSheetId="58">'CP BUDACT ER'!$B$13:$N$108</definedName>
    <definedName name="ERSRIS" localSheetId="56">'DS BUDACT ER'!$B$13:$M$108</definedName>
    <definedName name="ERSRIS" localSheetId="60">'ENIS ER'!$L$13:$Q$93</definedName>
    <definedName name="ERSRIS" localSheetId="53">'SR BUDACT ER'!$B$13:$W$108</definedName>
    <definedName name="ERSRIS_1" localSheetId="58">'CP BUDACT ER'!$B$14:$N$111</definedName>
    <definedName name="ERSRIS_1" localSheetId="56">'DS BUDACT ER'!$B$14:$M$111</definedName>
    <definedName name="ERSRIS_1" localSheetId="60">'ENIS ER'!$L$14:$Q$96</definedName>
    <definedName name="ERSRIS_1" localSheetId="53">'SR BUDACT ER'!$B$14:$W$111</definedName>
    <definedName name="ERSRIS_2" localSheetId="58">'CP BUDACT ER'!$B$14:$N$96</definedName>
    <definedName name="ERSRIS_2" localSheetId="56">'DS BUDACT ER'!$B$14:$M$96</definedName>
    <definedName name="ERSRIS_2" localSheetId="60">'ENIS ER'!$L$14:$Q$81</definedName>
    <definedName name="ERSRIS_2" localSheetId="53">'SR BUDACT ER'!$B$14:$W$96</definedName>
    <definedName name="ERSRIS_3" localSheetId="58">'CP BUDACT ER'!$B$13:$N$95</definedName>
    <definedName name="ERSRIS_3" localSheetId="56">'DS BUDACT ER'!$B$13:$J$95</definedName>
    <definedName name="ERSRIS_3" localSheetId="60">'ENIS ER'!$L$13:$Q$80</definedName>
    <definedName name="ERSRIS_3" localSheetId="53">'SR BUDACT ER'!$B$13:$W$95</definedName>
    <definedName name="ERSRIS_4" localSheetId="58">'CP BUDACT ER'!$B$13:$N$95</definedName>
    <definedName name="ERSRIS_4" localSheetId="56">'DS BUDACT ER'!$B$13:$J$95</definedName>
    <definedName name="ERSRIS_4" localSheetId="60">'ENIS ER'!$L$13:$Q$80</definedName>
    <definedName name="ERSRIS_4" localSheetId="53">'SR BUDACT ER'!$B$13:$X$95</definedName>
    <definedName name="ERSRIS_5" localSheetId="58">'CP BUDACT ER'!$B$13:$T$95</definedName>
    <definedName name="ERSRIS_5" localSheetId="56">'DS BUDACT ER'!$B$13:$M$95</definedName>
    <definedName name="ERSRIS_5" localSheetId="60">'ENIS ER'!$L$13:$R$80</definedName>
    <definedName name="ERSRIS_5" localSheetId="53">'SR BUDACT ER'!$B$13:$BT$95</definedName>
    <definedName name="ERSRIS_6" localSheetId="58">'CP BUDACT ER'!$B$13:$T$95</definedName>
    <definedName name="ERSRIS_6" localSheetId="56">'DS BUDACT ER'!$B$13:$M$95</definedName>
    <definedName name="ERSRIS_6" localSheetId="60">'ENIS ER'!$L$13:$R$80</definedName>
    <definedName name="ERSRIS_6" localSheetId="53">'SR BUDACT ER'!$B$13:$CI$95</definedName>
    <definedName name="ERSRIS_7" localSheetId="58">'CP BUDACT ER'!$B$13:$T$95</definedName>
    <definedName name="ERSRIS_7" localSheetId="56">'DS BUDACT ER'!$B$13:$M$95</definedName>
    <definedName name="ERSRIS_7" localSheetId="60">'ENIS ER'!$L$13:$R$80</definedName>
    <definedName name="ERSRIS_7" localSheetId="53">'SR BUDACT ER'!$B$13:$EQ$95</definedName>
    <definedName name="ERSRIS_8" localSheetId="58">'CP BUDACT ER'!$B$13:$T$95</definedName>
    <definedName name="ERSRIS_8" localSheetId="56">'DS BUDACT ER'!$B$13:$M$95</definedName>
    <definedName name="ERSRIS_8" localSheetId="60">'ENIS ER'!$L$13:$R$80</definedName>
    <definedName name="ERSRIS_8" localSheetId="53">'SR BUDACT ER'!$B$13:$EQ$95</definedName>
    <definedName name="ERSRIS5" localSheetId="53">'SR BUDACT ER'!$B$13:$EQ$95</definedName>
    <definedName name="ExternalData_1" localSheetId="62" hidden="1">'TA IS ER'!$A$9:$Y$60</definedName>
    <definedName name="FAQ" localSheetId="46">'[2]Cash Flow Wksht'!#REF!</definedName>
    <definedName name="FAQ" localSheetId="19">'[2]Cash Flow Wksht'!#REF!</definedName>
    <definedName name="FAQ">'[2]Cash Flow Wksht'!#REF!</definedName>
    <definedName name="FIFTEEN" localSheetId="17">#REF!</definedName>
    <definedName name="FIFTEEN" localSheetId="19">#REF!</definedName>
    <definedName name="FIFTEEN" localSheetId="3">#REF!</definedName>
    <definedName name="FIFTEEN" localSheetId="2">#REF!</definedName>
    <definedName name="FIFTEEN" localSheetId="5">#REF!</definedName>
    <definedName name="FIFTEEN" localSheetId="62">#REF!</definedName>
    <definedName name="FIFTEEN">#REF!</definedName>
    <definedName name="FOUR" localSheetId="17">#REF!</definedName>
    <definedName name="FOUR" localSheetId="19">#REF!</definedName>
    <definedName name="FOUR" localSheetId="3">#REF!</definedName>
    <definedName name="FOUR" localSheetId="2">#REF!</definedName>
    <definedName name="FOUR" localSheetId="5">#REF!</definedName>
    <definedName name="FOUR" localSheetId="62">#REF!</definedName>
    <definedName name="FOUR">#REF!</definedName>
    <definedName name="FOURTEEN" localSheetId="17">#REF!</definedName>
    <definedName name="FOURTEEN" localSheetId="19">#REF!</definedName>
    <definedName name="FOURTEEN" localSheetId="3">#REF!</definedName>
    <definedName name="FOURTEEN" localSheetId="2">#REF!</definedName>
    <definedName name="FOURTEEN" localSheetId="5">#REF!</definedName>
    <definedName name="FOURTEEN" localSheetId="62">#REF!</definedName>
    <definedName name="FOURTEEN">#REF!</definedName>
    <definedName name="majorfunds">'[4]LedgerLoad Assist'!$A$38:$B$41</definedName>
    <definedName name="majorfundtable2" localSheetId="46">'[6]List-County &amp; Entity Codes  '!#REF!</definedName>
    <definedName name="majorfundtable2" localSheetId="19">'[6]List-County &amp; Entity Codes  '!#REF!</definedName>
    <definedName name="majorfundtable2">'[6]List-County &amp; Entity Codes  '!#REF!</definedName>
    <definedName name="MASTER" localSheetId="17">#REF!</definedName>
    <definedName name="MASTER" localSheetId="19">#REF!</definedName>
    <definedName name="MASTER" localSheetId="3">#REF!</definedName>
    <definedName name="MASTER" localSheetId="2">#REF!</definedName>
    <definedName name="MASTER" localSheetId="5">#REF!</definedName>
    <definedName name="MASTER" localSheetId="62">#REF!</definedName>
    <definedName name="MASTER">#REF!</definedName>
    <definedName name="mpr" localSheetId="46">#REF!</definedName>
    <definedName name="mpr" localSheetId="19">#REF!</definedName>
    <definedName name="mpr">#REF!</definedName>
    <definedName name="NINE" localSheetId="17">#REF!</definedName>
    <definedName name="NINE" localSheetId="19">#REF!</definedName>
    <definedName name="NINE" localSheetId="3">#REF!</definedName>
    <definedName name="NINE" localSheetId="2">#REF!</definedName>
    <definedName name="NINE" localSheetId="5">#REF!</definedName>
    <definedName name="NINE" localSheetId="62">#REF!</definedName>
    <definedName name="NINE">#REF!</definedName>
    <definedName name="NINETEEN" localSheetId="17">#REF!</definedName>
    <definedName name="NINETEEN" localSheetId="19">#REF!</definedName>
    <definedName name="NINETEEN" localSheetId="3">#REF!</definedName>
    <definedName name="NINETEEN" localSheetId="2">#REF!</definedName>
    <definedName name="NINETEEN" localSheetId="5">#REF!</definedName>
    <definedName name="NINETEEN" localSheetId="62">#REF!</definedName>
    <definedName name="NINETEEN">#REF!</definedName>
    <definedName name="Note" localSheetId="46">#REF!</definedName>
    <definedName name="Note" localSheetId="19">#REF!</definedName>
    <definedName name="Note">#REF!</definedName>
    <definedName name="NotEnt3" localSheetId="46">'[2]Cash Flow Wksht'!#REF!</definedName>
    <definedName name="NotEnt3" localSheetId="19">'[2]Cash Flow Wksht'!#REF!</definedName>
    <definedName name="NotEnt3">'[2]Cash Flow Wksht'!#REF!</definedName>
    <definedName name="ONE" localSheetId="17">#REF!</definedName>
    <definedName name="ONE" localSheetId="19">#REF!</definedName>
    <definedName name="ONE" localSheetId="3">#REF!</definedName>
    <definedName name="ONE" localSheetId="2">#REF!</definedName>
    <definedName name="ONE" localSheetId="5">#REF!</definedName>
    <definedName name="ONE" localSheetId="62">#REF!</definedName>
    <definedName name="ONE">#REF!</definedName>
    <definedName name="OtherEnt" localSheetId="46">#REF!</definedName>
    <definedName name="OtherEnt" localSheetId="19">#REF!</definedName>
    <definedName name="OtherEnt">#REF!</definedName>
    <definedName name="PermFunds" localSheetId="46">#REF!</definedName>
    <definedName name="PermFunds" localSheetId="19">#REF!</definedName>
    <definedName name="PermFunds">#REF!</definedName>
    <definedName name="_xlnm.Print_Area" localSheetId="63">'Agency transfer JV'!$A$1:$K$68</definedName>
    <definedName name="_xlnm.Print_Area" localSheetId="13">'CALC NA'!$A$1:$Q$47</definedName>
    <definedName name="_xlnm.Print_Area" localSheetId="26">'COMBING BS'!$B$1:$L$87</definedName>
    <definedName name="_xlnm.Print_Area" localSheetId="30">'COMBING IS'!$B$1:$L$76</definedName>
    <definedName name="_xlnm.Print_Area" localSheetId="68">'COMP UNIT IS Don''t Use FY21'!$B$1:$D$96</definedName>
    <definedName name="_xlnm.Print_Area" localSheetId="29">'CP BS'!$B$1:$N$82</definedName>
    <definedName name="_xlnm.Print_Area" localSheetId="36">'CP BUDACT'!$B$3:$AK$73</definedName>
    <definedName name="_xlnm.Print_Area" localSheetId="58">'CP BUDACT ER'!$O$4:$T$121</definedName>
    <definedName name="_xlnm.Print_Area" localSheetId="32">'CP IS'!$B$1:$N$64</definedName>
    <definedName name="_xlnm.Print_Area" localSheetId="67">'CU BS Don''t Use FY21'!$B$1:$C$125</definedName>
    <definedName name="_xlnm.Print_Area" localSheetId="46">'Cust Funds Chg in NP'!$A$1:$AO$39</definedName>
    <definedName name="_xlnm.Print_Area" localSheetId="45">'Cust Funds NP'!$A$1:$AO$37</definedName>
    <definedName name="_xlnm.Print_Area" localSheetId="28">'DS BS'!$B$1:$P$81</definedName>
    <definedName name="_xlnm.Print_Area" localSheetId="35">'DS BUDACT'!$B$1:$AT$64</definedName>
    <definedName name="_xlnm.Print_Area" localSheetId="56">'DS BUDACT ER'!$N$4:$T$121</definedName>
    <definedName name="_xlnm.Print_Area" localSheetId="31">'DS IS'!$B$1:$P$66</definedName>
    <definedName name="_xlnm.Print_Area" localSheetId="60">'ENIS ER'!$R$4:$R$106</definedName>
    <definedName name="_xlnm.Print_Area" localSheetId="37">'ENT BS'!$B$1:$N$110</definedName>
    <definedName name="_xlnm.Print_Area" localSheetId="39">'ENT CF'!$B$1:$O$114</definedName>
    <definedName name="_xlnm.Print_Area" localSheetId="38">'ENT IS'!$B$1:$N$65</definedName>
    <definedName name="_xlnm.Print_Area" localSheetId="66">'FB Instruction for calc'!#REF!</definedName>
    <definedName name="_xlnm.Print_Area" localSheetId="47">'FID FDS'!$A$1:$N$31</definedName>
    <definedName name="_xlnm.Print_Area" localSheetId="24">'FID NA'!$B$1:$H$44</definedName>
    <definedName name="_xlnm.Print_Area" localSheetId="48">'FIDCH FDS'!$A$1:$T$54</definedName>
    <definedName name="_xlnm.Print_Area" localSheetId="25">'FIDCH NA'!$B$1:$H$43</definedName>
    <definedName name="_xlnm.Print_Area" localSheetId="44">'FIDCOMBCH NP'!$B$1:$H$50</definedName>
    <definedName name="_xlnm.Print_Area" localSheetId="43">'FIDCOMBIT NP'!$B$1:$H$32</definedName>
    <definedName name="_xlnm.Print_Area" localSheetId="16">'GEN BUDACT'!$C$1:$G$211</definedName>
    <definedName name="_xlnm.Print_Area" localSheetId="17">'GEN BUDACT (Govtwide)'!$C$1:$H$211</definedName>
    <definedName name="_xlnm.Print_Area" localSheetId="52">'GEN BUDACT ER'!$C$2:$F$186</definedName>
    <definedName name="_xlnm.Print_Area" localSheetId="14">'Govt BS'!$B$3:$T$179</definedName>
    <definedName name="_xlnm.Print_Area" localSheetId="10">INPUT!$B$338:$CA$389</definedName>
    <definedName name="_xlnm.Print_Area" localSheetId="40">'IS BS'!$B$1:$R$86</definedName>
    <definedName name="_xlnm.Print_Area" localSheetId="42">'IS CF'!$B$3:$T$99</definedName>
    <definedName name="_xlnm.Print_Area" localSheetId="41">'IS IS'!$B$1:$T$61</definedName>
    <definedName name="_xlnm.Print_Area" localSheetId="8">'Maj Funds'!$A$1:$M$54</definedName>
    <definedName name="_xlnm.Print_Area" localSheetId="18">'MAJ GOV BUDACT'!$B$1:$G$66</definedName>
    <definedName name="_xlnm.Print_Area" localSheetId="19">'MAJ GOV BUDACT (2)'!$B$1:$F$74</definedName>
    <definedName name="_xlnm.Print_Area" localSheetId="20">'MAJ GOV BUDACT (3)'!$B$1:$F$74</definedName>
    <definedName name="_xlnm.Print_Area" localSheetId="5">OPEB!$B$1:$G$47</definedName>
    <definedName name="_xlnm.Print_Area" localSheetId="4">'OPEB, note 14'!#REF!</definedName>
    <definedName name="_xlnm.Print_Area" localSheetId="6">Pension!$B$1:$R$51</definedName>
    <definedName name="_xlnm.Print_Area" localSheetId="49">'PERM BS'!$B$1:$G$51</definedName>
    <definedName name="_xlnm.Print_Area" localSheetId="50">'PERM IS'!$B$1:$H$50</definedName>
    <definedName name="_xlnm.Print_Area" localSheetId="23">PROPCF!$B$2:$N$121</definedName>
    <definedName name="_xlnm.Print_Area" localSheetId="21">PROPNA!$B$3:$N$116</definedName>
    <definedName name="_xlnm.Print_Area" localSheetId="22">PROPREV!$B$1:$N$66</definedName>
    <definedName name="_xlnm.Print_Area" localSheetId="27">'SR BS'!$B$1:$DZ$87</definedName>
    <definedName name="_xlnm.Print_Area" localSheetId="34">'SR BUDACT'!$HM$3:$IL$73</definedName>
    <definedName name="_xlnm.Print_Area" localSheetId="53">'SR BUDACT ER'!$Y$4:$BB$121</definedName>
    <definedName name="_xlnm.Print_Area" localSheetId="33">'SR IS'!$B$1:$EC$66</definedName>
    <definedName name="_xlnm.Print_Area" localSheetId="12">'Stmet of Actvty'!$B$1:$M$57</definedName>
    <definedName name="_xlnm.Print_Area" localSheetId="11">'Stmt of Net Pos'!$C$1:$K$132</definedName>
    <definedName name="_xlnm.Print_Titles" localSheetId="35">'DS BUDACT'!$1:$15</definedName>
    <definedName name="_xlnm.Print_Titles" localSheetId="10">INPUT!$B:$C,INPUT!$1:$8</definedName>
    <definedName name="_xlnm.Print_Titles" localSheetId="5">OPEB!$B:$D,OPEB!$1:$5</definedName>
    <definedName name="_xlnm.Print_Titles" localSheetId="6">Pension!$B:$D,Pension!$1:$5</definedName>
    <definedName name="_xlnm.Print_Titles" localSheetId="34">'SR BUDACT'!$1:$15</definedName>
    <definedName name="_xlnm.Print_Titles" localSheetId="53">'SR BUDACT ER'!$B:$B,'SR BUDACT ER'!$4:$11</definedName>
    <definedName name="_xlnm.Print_Titles" localSheetId="9">'Sys INPUT'!$B:$B,'Sys INPUT'!$5:$8</definedName>
    <definedName name="Query_from_CONNECTION3_1" localSheetId="52" hidden="1">'GEN BUDACT ER'!$C$5:$F$75</definedName>
    <definedName name="Query_from_ERLIB2" localSheetId="57">'CPBS ER'!$A$6:$E$22</definedName>
    <definedName name="Query_from_ERLIB2" localSheetId="55">'DSBS ER'!$A$6:$E$22</definedName>
    <definedName name="Query_from_ERLIB2" localSheetId="59">'ENBS ER'!$B$6:$H$22</definedName>
    <definedName name="Query_from_ERLIB2" localSheetId="60">'ENIS ER'!$L$13:$S$64</definedName>
    <definedName name="Query_from_ERLIB2" localSheetId="52">'GEN BUDACT ER'!$C$5:$F$73</definedName>
    <definedName name="Query_from_ERLIB2" localSheetId="51">'GFBS ER'!$A$6:$B$74</definedName>
    <definedName name="Query_from_ERLIB2" localSheetId="54">'SRBS ER'!$A$6:$G$88</definedName>
    <definedName name="Query_from_ERLIB2_1" localSheetId="57">'CPBS ER'!$A$6:$E$23</definedName>
    <definedName name="Query_from_ERLIB2_1" localSheetId="55">'DSBS ER'!$A$6:$E$23</definedName>
    <definedName name="Query_from_ERLIB2_1" localSheetId="59">'ENBS ER'!$B$6:$H$23</definedName>
    <definedName name="Query_from_ERLIB2_1" localSheetId="51">'GFBS ER'!$A$6:$B$74</definedName>
    <definedName name="Query_from_ERLIB2_1" localSheetId="54">'SRBS ER'!$A$7:$R$89</definedName>
    <definedName name="Query_from_ERLIB2_2" localSheetId="57">'CPBS ER'!$A$6:$E$23</definedName>
    <definedName name="Query_from_ERLIB2_2" localSheetId="55">'DSBS ER'!$A$6:$E$23</definedName>
    <definedName name="Query_from_ERLIB2_2" localSheetId="59">'ENBS ER'!$B$6:$H$23</definedName>
    <definedName name="Query_from_ERLIB2_2" localSheetId="51">'GFBS ER'!$A$6:$B$74</definedName>
    <definedName name="Query_from_ERLIB2_2" localSheetId="54">'SRBS ER'!$A$7:$BA$89</definedName>
    <definedName name="Query_from_ERLIB2_3" localSheetId="57">'CPBS ER'!$A$6:$E$22</definedName>
    <definedName name="Query_from_ERLIB2_3" localSheetId="55">'DSBS ER'!$A$6:$E$22</definedName>
    <definedName name="Query_from_ERLIB2_3" localSheetId="59">'ENBS ER'!$B$6:$H$22</definedName>
    <definedName name="Query_from_ERLIB2_3" localSheetId="51">'GFBS ER'!$A$6:$B$74</definedName>
    <definedName name="Query_from_ERLIB2_3" localSheetId="54">'SRBS ER'!$A$6:$AW$88</definedName>
    <definedName name="Query_from_ERLIB2_4" localSheetId="57">'CPBS ER'!$A$6:$E$74</definedName>
    <definedName name="Query_from_ERLIB2_4" localSheetId="55">'DSBS ER'!$A$6:$E$74</definedName>
    <definedName name="Query_from_ERLIB2_4" localSheetId="54">'SRBS ER'!$A$6:$AW$88</definedName>
    <definedName name="Query_from_Finance" localSheetId="58">'CP BUDACT ER'!$B$12:$U$14</definedName>
    <definedName name="Query_from_Finance" localSheetId="57">'CPBS ER'!$A$6:$R$8</definedName>
    <definedName name="Query_from_Finance" localSheetId="56">'DS BUDACT ER'!$B$13:$N$95</definedName>
    <definedName name="Query_from_Finance" localSheetId="55">'DSBS ER'!$A$6:$E$74</definedName>
    <definedName name="Query_from_Finance" localSheetId="59">'ENBS ER'!$B$6:$T$74</definedName>
    <definedName name="Query_from_Finance" localSheetId="60">'ENIS ER'!$L$13:$S$64</definedName>
    <definedName name="Query_from_Finance" localSheetId="52">'GEN BUDACT ER'!$C$5:$F$73</definedName>
    <definedName name="Query_from_Finance" localSheetId="51">'GFBS ER'!$A$6:$B$74</definedName>
    <definedName name="Query_from_Finance" localSheetId="53">'SR BUDACT ER'!$B$13:$EQ$95</definedName>
    <definedName name="Query_from_Finance" localSheetId="54">'SRBS ER'!$A$6:$AW$88</definedName>
    <definedName name="Query_from_Finance_1" localSheetId="58">'CP BUDACT ER'!$B$13:$U$95</definedName>
    <definedName name="Query_from_Finance_1" localSheetId="57">'CPBS ER'!$A$6:$E$74</definedName>
    <definedName name="Query_from_Finance_1" localSheetId="56">'DS BUDACT ER'!$B$13:$F$81</definedName>
    <definedName name="Query_from_Finance_1" localSheetId="55">'DSBS ER'!$A$6:$E$74</definedName>
    <definedName name="Query_from_Finance_1" localSheetId="59">'ENBS ER'!$B$6:$T$74</definedName>
    <definedName name="Query_from_Finance_1" localSheetId="60">'ENIS ER'!$L$13:$S$64</definedName>
    <definedName name="Query_from_Finance_1" localSheetId="52">'GEN BUDACT ER'!$C$79:$F$186</definedName>
    <definedName name="Query_from_Finance_1" localSheetId="51">'GFBS ER'!$A$6:$B$74</definedName>
    <definedName name="Query_from_Finance_2" localSheetId="58">'CP BUDACT ER'!$B$13:$X$95</definedName>
    <definedName name="Query_from_Finance_2" localSheetId="57">'CPBS ER'!$A$6:$P$88</definedName>
    <definedName name="Query_from_Finance_2" localSheetId="56">'DS BUDACT ER'!$B$13:$N$95</definedName>
    <definedName name="Query_from_Finance_2" localSheetId="51">'GFBS ER'!$A$6:$B$74</definedName>
    <definedName name="Query_from_Finance_3" localSheetId="57">'CPBS ER'!$A$6:$G$74</definedName>
    <definedName name="Query_from_HTEDA23" localSheetId="55" hidden="1">'DSBS ER'!$A$6:$H$74</definedName>
    <definedName name="Query_from_HTEDA23_1" localSheetId="58" hidden="1">'CP BUDACT ER'!$B$13:$U$95</definedName>
    <definedName name="Query_from_HTEDA23_1" localSheetId="56" hidden="1">'DS BUDACT ER'!$B$13:$W$95</definedName>
    <definedName name="Query_from_HTEDA231_1" localSheetId="61" hidden="1">'TA BS ER'!$A$9:$Y$77</definedName>
    <definedName name="Query_from_HTEDA231_1" localSheetId="62" hidden="1">'TA IS ER'!#REF!</definedName>
    <definedName name="Query_from_HTEDTA2" localSheetId="59" hidden="1">'ENBS ER'!$B$6:$T$74</definedName>
    <definedName name="Query_from_HTEDTA2" localSheetId="51" hidden="1">'GFBS ER'!$A$6:$B$74</definedName>
    <definedName name="Query_from_HTEDTA2_1" localSheetId="54" hidden="1">'SRBS ER'!$A$6:$BB$74</definedName>
    <definedName name="Query_from_HTEDTA22_1" localSheetId="57" hidden="1">'CPBS ER'!$A$6:$G$74</definedName>
    <definedName name="Query_from_HTEDTA28" localSheetId="60" hidden="1">'ENIS ER'!$B$13:$T$79</definedName>
    <definedName name="Query_from_HTEDTA28" localSheetId="53" hidden="1">'SR BUDACT ER'!$B$13:$FB$95</definedName>
    <definedName name="Query_from_Queries" localSheetId="58">'CP BUDACT ER'!$B$13:$X$95</definedName>
    <definedName name="Query_from_Queries" localSheetId="57">'CPBS ER'!$A$6:$G$74</definedName>
    <definedName name="Query_from_Queries" localSheetId="59">'ENBS ER'!$C$6:$U$74</definedName>
    <definedName name="Query_from_Queries" localSheetId="51">'GFBS ER'!$A$6:$B$74</definedName>
    <definedName name="Query_from_Queries" localSheetId="53">'SR BUDACT ER'!$B$13:$EQ$95</definedName>
    <definedName name="Query_from_Queries" localSheetId="54">'SRBS ER'!$A$6:$AW$88</definedName>
    <definedName name="Query_from_Queries_1" localSheetId="59">'ENBS ER'!$C$6:$U$74</definedName>
    <definedName name="Query_from_Queries_1" localSheetId="52">'GEN BUDACT ER'!$C$79:$F$186</definedName>
    <definedName name="Query_from_Queries_1" localSheetId="53">'SR BUDACT ER'!$B$12:$N$94</definedName>
    <definedName name="Query_from_Queries_2" localSheetId="59">'ENBS ER'!$B$7:$EQ$89</definedName>
    <definedName name="Query_from_Queries_3" localSheetId="59">'ENBS ER'!$B$7:$T$75</definedName>
    <definedName name="Query_from_Queries_4" localSheetId="59">'ENBS ER'!$B$7:$T$75</definedName>
    <definedName name="sample" localSheetId="46">'[2]Cash Flow Wksht'!#REF!</definedName>
    <definedName name="sample" localSheetId="19">'[2]Cash Flow Wksht'!#REF!</definedName>
    <definedName name="sample">'[2]Cash Flow Wksht'!#REF!</definedName>
    <definedName name="SEVEN" localSheetId="17">#REF!</definedName>
    <definedName name="SEVEN" localSheetId="19">#REF!</definedName>
    <definedName name="SEVEN" localSheetId="3">#REF!</definedName>
    <definedName name="SEVEN" localSheetId="2">#REF!</definedName>
    <definedName name="SEVEN" localSheetId="5">#REF!</definedName>
    <definedName name="SEVEN" localSheetId="62">#REF!</definedName>
    <definedName name="SEVEN">#REF!</definedName>
    <definedName name="SEVENTEEN" localSheetId="17">#REF!</definedName>
    <definedName name="SEVENTEEN" localSheetId="19">#REF!</definedName>
    <definedName name="SEVENTEEN" localSheetId="3">#REF!</definedName>
    <definedName name="SEVENTEEN" localSheetId="2">#REF!</definedName>
    <definedName name="SEVENTEEN" localSheetId="5">#REF!</definedName>
    <definedName name="SEVENTEEN" localSheetId="62">#REF!</definedName>
    <definedName name="SEVENTEEN">#REF!</definedName>
    <definedName name="SIX" localSheetId="17">#REF!</definedName>
    <definedName name="SIX" localSheetId="19">#REF!</definedName>
    <definedName name="SIX" localSheetId="3">#REF!</definedName>
    <definedName name="SIX" localSheetId="2">#REF!</definedName>
    <definedName name="SIX" localSheetId="5">#REF!</definedName>
    <definedName name="SIX" localSheetId="62">#REF!</definedName>
    <definedName name="SIX">#REF!</definedName>
    <definedName name="SIXTEEN" localSheetId="17">#REF!</definedName>
    <definedName name="SIXTEEN" localSheetId="19">#REF!</definedName>
    <definedName name="SIXTEEN" localSheetId="3">#REF!</definedName>
    <definedName name="SIXTEEN" localSheetId="2">#REF!</definedName>
    <definedName name="SIXTEEN" localSheetId="5">#REF!</definedName>
    <definedName name="SIXTEEN" localSheetId="62">#REF!</definedName>
    <definedName name="SIXTEEN">#REF!</definedName>
    <definedName name="TEN" localSheetId="17">#REF!</definedName>
    <definedName name="TEN" localSheetId="19">#REF!</definedName>
    <definedName name="TEN" localSheetId="3">#REF!</definedName>
    <definedName name="TEN" localSheetId="2">#REF!</definedName>
    <definedName name="TEN" localSheetId="5">#REF!</definedName>
    <definedName name="TEN" localSheetId="62">#REF!</definedName>
    <definedName name="TEN">#REF!</definedName>
    <definedName name="THIRTEEN" localSheetId="17">#REF!</definedName>
    <definedName name="THIRTEEN" localSheetId="19">#REF!</definedName>
    <definedName name="THIRTEEN" localSheetId="3">#REF!</definedName>
    <definedName name="THIRTEEN" localSheetId="2">#REF!</definedName>
    <definedName name="THIRTEEN" localSheetId="5">#REF!</definedName>
    <definedName name="THIRTEEN" localSheetId="62">#REF!</definedName>
    <definedName name="THIRTEEN">#REF!</definedName>
    <definedName name="THREE" localSheetId="17">#REF!</definedName>
    <definedName name="THREE" localSheetId="19">#REF!</definedName>
    <definedName name="THREE" localSheetId="3">#REF!</definedName>
    <definedName name="THREE" localSheetId="2">#REF!</definedName>
    <definedName name="THREE" localSheetId="5">#REF!</definedName>
    <definedName name="THREE" localSheetId="62">#REF!</definedName>
    <definedName name="THREE">#REF!</definedName>
    <definedName name="TWELEVE" localSheetId="17">#REF!</definedName>
    <definedName name="TWELEVE" localSheetId="19">#REF!</definedName>
    <definedName name="TWELEVE" localSheetId="3">#REF!</definedName>
    <definedName name="TWELEVE" localSheetId="2">#REF!</definedName>
    <definedName name="TWELEVE" localSheetId="5">#REF!</definedName>
    <definedName name="TWELEVE" localSheetId="62">#REF!</definedName>
    <definedName name="TWELEVE">#REF!</definedName>
    <definedName name="TWENTY" localSheetId="17">#REF!</definedName>
    <definedName name="TWENTY" localSheetId="19">#REF!</definedName>
    <definedName name="TWENTY" localSheetId="3">#REF!</definedName>
    <definedName name="TWENTY" localSheetId="2">#REF!</definedName>
    <definedName name="TWENTY" localSheetId="5">#REF!</definedName>
    <definedName name="TWENTY" localSheetId="62">#REF!</definedName>
    <definedName name="TWENTY">#REF!</definedName>
    <definedName name="TWENTYFOUR" localSheetId="17">#REF!</definedName>
    <definedName name="TWENTYFOUR" localSheetId="19">#REF!</definedName>
    <definedName name="TWENTYFOUR" localSheetId="3">#REF!</definedName>
    <definedName name="TWENTYFOUR" localSheetId="2">#REF!</definedName>
    <definedName name="TWENTYFOUR" localSheetId="5">#REF!</definedName>
    <definedName name="TWENTYFOUR" localSheetId="62">#REF!</definedName>
    <definedName name="TWENTYFOUR">#REF!</definedName>
    <definedName name="TWENTYNINE" localSheetId="17">#REF!</definedName>
    <definedName name="TWENTYNINE" localSheetId="19">#REF!</definedName>
    <definedName name="TWENTYNINE" localSheetId="3">#REF!</definedName>
    <definedName name="TWENTYNINE" localSheetId="2">#REF!</definedName>
    <definedName name="TWENTYNINE" localSheetId="5">#REF!</definedName>
    <definedName name="TWENTYNINE" localSheetId="62">#REF!</definedName>
    <definedName name="TWENTYNINE">#REF!</definedName>
    <definedName name="TWENTYONE" localSheetId="17">#REF!</definedName>
    <definedName name="TWENTYONE" localSheetId="19">#REF!</definedName>
    <definedName name="TWENTYONE" localSheetId="3">#REF!</definedName>
    <definedName name="TWENTYONE" localSheetId="2">#REF!</definedName>
    <definedName name="TWENTYONE" localSheetId="5">#REF!</definedName>
    <definedName name="TWENTYONE" localSheetId="62">#REF!</definedName>
    <definedName name="TWENTYONE">#REF!</definedName>
    <definedName name="TWENTYSIX" localSheetId="17">#REF!</definedName>
    <definedName name="TWENTYSIX" localSheetId="19">#REF!</definedName>
    <definedName name="TWENTYSIX" localSheetId="3">#REF!</definedName>
    <definedName name="TWENTYSIX" localSheetId="2">#REF!</definedName>
    <definedName name="TWENTYSIX" localSheetId="5">#REF!</definedName>
    <definedName name="TWENTYSIX" localSheetId="62">#REF!</definedName>
    <definedName name="TWENTYSIX">#REF!</definedName>
    <definedName name="TWENTYTHREE" localSheetId="17">#REF!</definedName>
    <definedName name="TWENTYTHREE" localSheetId="19">#REF!</definedName>
    <definedName name="TWENTYTHREE" localSheetId="3">#REF!</definedName>
    <definedName name="TWENTYTHREE" localSheetId="2">#REF!</definedName>
    <definedName name="TWENTYTHREE" localSheetId="5">#REF!</definedName>
    <definedName name="TWENTYTHREE" localSheetId="62">#REF!</definedName>
    <definedName name="TWENTYTHREE">#REF!</definedName>
    <definedName name="TWENTYTWO" localSheetId="17">#REF!</definedName>
    <definedName name="TWENTYTWO" localSheetId="19">#REF!</definedName>
    <definedName name="TWENTYTWO" localSheetId="3">#REF!</definedName>
    <definedName name="TWENTYTWO" localSheetId="2">#REF!</definedName>
    <definedName name="TWENTYTWO" localSheetId="5">#REF!</definedName>
    <definedName name="TWENTYTWO" localSheetId="62">#REF!</definedName>
    <definedName name="TWENTYTWO">#REF!</definedName>
    <definedName name="TWO" localSheetId="17">#REF!</definedName>
    <definedName name="TWO" localSheetId="19">#REF!</definedName>
    <definedName name="TWO" localSheetId="3">#REF!</definedName>
    <definedName name="TWO" localSheetId="2">#REF!</definedName>
    <definedName name="TWO" localSheetId="5">#REF!</definedName>
    <definedName name="TWO" localSheetId="62">#REF!</definedName>
    <definedName name="TWO">#REF!</definedName>
    <definedName name="Year">'[4]LedgerLoad Assist'!$A$7:$B$33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Z42" i="19" l="1"/>
  <c r="DP42" i="19"/>
  <c r="DL42" i="19"/>
  <c r="DC42" i="19"/>
  <c r="DA42" i="19"/>
  <c r="CY42" i="19"/>
  <c r="CW42" i="19"/>
  <c r="CU42" i="19"/>
  <c r="CP42" i="19"/>
  <c r="CN42" i="19"/>
  <c r="CL42" i="19"/>
  <c r="CJ42" i="19"/>
  <c r="CH42" i="19"/>
  <c r="CA42" i="19"/>
  <c r="BY42" i="19"/>
  <c r="BW42" i="19"/>
  <c r="BU42" i="19"/>
  <c r="BP42" i="19"/>
  <c r="BN42" i="19"/>
  <c r="BL42" i="19"/>
  <c r="BJ42" i="19"/>
  <c r="BH42" i="19"/>
  <c r="BC42" i="19"/>
  <c r="BA42" i="19"/>
  <c r="AY42" i="19"/>
  <c r="AW42" i="19"/>
  <c r="AU42" i="19"/>
  <c r="AR42" i="19"/>
  <c r="AP42" i="19"/>
  <c r="AN42" i="19"/>
  <c r="AL42" i="19"/>
  <c r="AJ42" i="19"/>
  <c r="AG42" i="19"/>
  <c r="AE42" i="19"/>
  <c r="AC42" i="19"/>
  <c r="AA42" i="19"/>
  <c r="Y42" i="19"/>
  <c r="V42" i="19"/>
  <c r="T42" i="19"/>
  <c r="R42" i="19"/>
  <c r="P42" i="19"/>
  <c r="N42" i="19"/>
  <c r="K42" i="19"/>
  <c r="I42" i="19"/>
  <c r="G42" i="19"/>
  <c r="E42" i="19"/>
  <c r="C42" i="19"/>
  <c r="J48" i="18"/>
  <c r="H48" i="18"/>
  <c r="F48" i="18"/>
  <c r="CD108" i="5" l="1"/>
  <c r="L58" i="9"/>
  <c r="E628" i="65" l="1"/>
  <c r="E631" i="65"/>
  <c r="E618" i="65"/>
  <c r="E79" i="65" l="1"/>
  <c r="E43" i="65" l="1"/>
  <c r="C62" i="70" l="1"/>
  <c r="S12" i="5" l="1"/>
  <c r="G208" i="65"/>
  <c r="H269" i="65"/>
  <c r="E200" i="65"/>
  <c r="G167" i="65"/>
  <c r="G199" i="65"/>
  <c r="E211" i="65"/>
  <c r="E220" i="65"/>
  <c r="G224" i="65" s="1"/>
  <c r="FD60" i="45"/>
  <c r="E215" i="65"/>
  <c r="H224" i="65"/>
  <c r="E476" i="65"/>
  <c r="E486" i="65"/>
  <c r="G477" i="65" l="1"/>
  <c r="H486" i="65"/>
  <c r="E473" i="65" l="1"/>
  <c r="E293" i="65" l="1"/>
  <c r="G269" i="65"/>
  <c r="E221" i="65"/>
  <c r="FD62" i="45"/>
  <c r="BF58" i="5"/>
  <c r="BD61" i="5"/>
  <c r="E210" i="65"/>
  <c r="BF45" i="5"/>
  <c r="FD66" i="45"/>
  <c r="FD65" i="45"/>
  <c r="P235" i="65"/>
  <c r="V235" i="65" s="1"/>
  <c r="V237" i="65" s="1"/>
  <c r="H219" i="65"/>
  <c r="AT29" i="5"/>
  <c r="BF29" i="5" s="1"/>
  <c r="E216" i="65"/>
  <c r="E219" i="65"/>
  <c r="S212" i="65"/>
  <c r="S213" i="65"/>
  <c r="W212" i="65"/>
  <c r="T212" i="65"/>
  <c r="Q212" i="65"/>
  <c r="R212" i="65"/>
  <c r="G214" i="65" l="1"/>
  <c r="G219" i="65"/>
  <c r="E162" i="65" l="1"/>
  <c r="N174" i="65"/>
  <c r="N171" i="65"/>
  <c r="E180" i="65" l="1"/>
  <c r="E171" i="65"/>
  <c r="R178" i="65"/>
  <c r="E145" i="65"/>
  <c r="G149" i="65" s="1"/>
  <c r="E154" i="65"/>
  <c r="O80" i="65"/>
  <c r="I130" i="65"/>
  <c r="I120" i="65"/>
  <c r="H130" i="65"/>
  <c r="H120" i="65"/>
  <c r="I103" i="65"/>
  <c r="G130" i="65"/>
  <c r="G120" i="65"/>
  <c r="E120" i="65"/>
  <c r="E130" i="65"/>
  <c r="G103" i="65"/>
  <c r="E80" i="65"/>
  <c r="G83" i="65" s="1"/>
  <c r="E69" i="65"/>
  <c r="G138" i="65" l="1"/>
  <c r="E23" i="65" l="1"/>
  <c r="E194" i="65"/>
  <c r="E188" i="65"/>
  <c r="E186" i="65"/>
  <c r="E168" i="65"/>
  <c r="E31" i="65"/>
  <c r="G36" i="65" s="1"/>
  <c r="E22" i="65"/>
  <c r="T51" i="26" l="1"/>
  <c r="J51" i="26"/>
  <c r="N51" i="26"/>
  <c r="O51" i="26"/>
  <c r="P51" i="26"/>
  <c r="AD51" i="26"/>
  <c r="AN51" i="26"/>
  <c r="AT51" i="26"/>
  <c r="IJ51" i="26"/>
  <c r="AT153" i="6"/>
  <c r="CM176" i="5"/>
  <c r="CN176" i="5"/>
  <c r="CO176" i="5"/>
  <c r="CP176" i="5"/>
  <c r="CQ176" i="5"/>
  <c r="CR176" i="5"/>
  <c r="CL176" i="5"/>
  <c r="P118" i="11" l="1"/>
  <c r="AP151" i="6" l="1"/>
  <c r="AP152" i="6"/>
  <c r="O35" i="11" l="1"/>
  <c r="U84" i="7" l="1"/>
  <c r="U90" i="7"/>
  <c r="AC98" i="7"/>
  <c r="Y144" i="9" l="1"/>
  <c r="Y143" i="9"/>
  <c r="CD313" i="5" l="1"/>
  <c r="AD91" i="10"/>
  <c r="C19" i="8"/>
  <c r="C34" i="8"/>
  <c r="I61" i="70"/>
  <c r="D132" i="5"/>
  <c r="D154" i="5" s="1"/>
  <c r="D89" i="5"/>
  <c r="D157" i="5"/>
  <c r="M34" i="8"/>
  <c r="Q34" i="8" s="1"/>
  <c r="BA70" i="44" l="1"/>
  <c r="BB70" i="44"/>
  <c r="EW87" i="45"/>
  <c r="F177" i="41"/>
  <c r="B70" i="40"/>
  <c r="B51" i="40"/>
  <c r="B52" i="40"/>
  <c r="B24" i="40"/>
  <c r="EW28" i="45"/>
  <c r="BA52" i="44"/>
  <c r="BA51" i="44"/>
  <c r="N36" i="15" l="1"/>
  <c r="J36" i="15"/>
  <c r="L36" i="15" s="1"/>
  <c r="N33" i="34"/>
  <c r="N118" i="15"/>
  <c r="L118" i="15"/>
  <c r="T111" i="34"/>
  <c r="T91" i="34"/>
  <c r="N90" i="34"/>
  <c r="N40" i="34"/>
  <c r="N16" i="34"/>
  <c r="X33" i="34" l="1"/>
  <c r="CP32" i="5"/>
  <c r="N26" i="34"/>
  <c r="AB15" i="34"/>
  <c r="CV32" i="5"/>
  <c r="H17" i="15"/>
  <c r="CC33" i="5"/>
  <c r="CC185" i="5"/>
  <c r="CC107" i="5"/>
  <c r="CE33" i="5"/>
  <c r="CE185" i="5"/>
  <c r="CE107" i="5"/>
  <c r="CG33" i="5"/>
  <c r="CG185" i="5"/>
  <c r="CG107" i="5"/>
  <c r="CD33" i="5"/>
  <c r="CD107" i="5"/>
  <c r="CP132" i="5"/>
  <c r="CP185" i="5"/>
  <c r="CP107" i="5"/>
  <c r="CP313" i="5"/>
  <c r="G87" i="34"/>
  <c r="G16" i="34"/>
  <c r="G40" i="34"/>
  <c r="CN33" i="5"/>
  <c r="CN185" i="5"/>
  <c r="CN107" i="5"/>
  <c r="CP37" i="5"/>
  <c r="CP38" i="5"/>
  <c r="N111" i="34"/>
  <c r="N148" i="34"/>
  <c r="AC15" i="34" l="1"/>
  <c r="N147" i="34" l="1"/>
  <c r="N110" i="34" s="1"/>
  <c r="Y117" i="34"/>
  <c r="N17" i="34"/>
  <c r="L54" i="32"/>
  <c r="L117" i="15"/>
  <c r="T33" i="34"/>
  <c r="X26" i="34" l="1"/>
  <c r="T110" i="34"/>
  <c r="N117" i="15" s="1"/>
  <c r="T26" i="34"/>
  <c r="N27" i="15" s="1"/>
  <c r="E85" i="34"/>
  <c r="I45" i="70"/>
  <c r="R142" i="9"/>
  <c r="AF114" i="10" l="1"/>
  <c r="AF113" i="10"/>
  <c r="AB107" i="10"/>
  <c r="AB85" i="10"/>
  <c r="AD97" i="10" l="1"/>
  <c r="E66" i="82" l="1"/>
  <c r="E78" i="70" l="1"/>
  <c r="I36" i="70"/>
  <c r="I35" i="70"/>
  <c r="I34" i="70"/>
  <c r="I33" i="70"/>
  <c r="I32" i="70"/>
  <c r="I31" i="70"/>
  <c r="I30" i="70"/>
  <c r="I29" i="70"/>
  <c r="I21" i="70"/>
  <c r="I525" i="5"/>
  <c r="I522" i="5"/>
  <c r="I520" i="5"/>
  <c r="N34" i="33" l="1"/>
  <c r="N47" i="34" s="1"/>
  <c r="N96" i="15" l="1"/>
  <c r="L96" i="15"/>
  <c r="K135" i="31" l="1"/>
  <c r="Z18" i="47" l="1"/>
  <c r="FD18" i="45"/>
  <c r="X119" i="10" l="1"/>
  <c r="AH28" i="10"/>
  <c r="X114" i="10"/>
  <c r="AE67" i="9" l="1"/>
  <c r="AF62" i="10"/>
  <c r="CG148" i="5"/>
  <c r="CF148" i="5"/>
  <c r="CF33" i="5"/>
  <c r="Y145" i="9" l="1"/>
  <c r="Y146" i="9"/>
  <c r="N174" i="9"/>
  <c r="X99" i="10"/>
  <c r="AH34" i="10"/>
  <c r="Z131" i="10"/>
  <c r="BF109" i="5" l="1"/>
  <c r="BG109" i="5" s="1"/>
  <c r="BP109" i="5"/>
  <c r="BY109" i="5"/>
  <c r="BZ109" i="5" s="1"/>
  <c r="AF127" i="10"/>
  <c r="AD129" i="10"/>
  <c r="AD127" i="10"/>
  <c r="D21" i="28"/>
  <c r="D18" i="28"/>
  <c r="CA109" i="5" l="1"/>
  <c r="O40" i="8" l="1"/>
  <c r="M35" i="8"/>
  <c r="Y153" i="9"/>
  <c r="AF136" i="10"/>
  <c r="P69" i="32" l="1"/>
  <c r="P68" i="32"/>
  <c r="N68" i="32"/>
  <c r="N69" i="32"/>
  <c r="L68" i="32"/>
  <c r="I68" i="32"/>
  <c r="I69" i="32"/>
  <c r="G69" i="32"/>
  <c r="G68" i="32"/>
  <c r="E69" i="32"/>
  <c r="E68" i="32"/>
  <c r="C69" i="32"/>
  <c r="C68" i="32"/>
  <c r="CP153" i="5"/>
  <c r="L69" i="32" s="1"/>
  <c r="G54" i="32"/>
  <c r="G53" i="32"/>
  <c r="AE87" i="9"/>
  <c r="F40" i="75"/>
  <c r="F41" i="75"/>
  <c r="F27" i="75"/>
  <c r="F26" i="75"/>
  <c r="AP91" i="10" l="1"/>
  <c r="R166" i="9"/>
  <c r="N167" i="9"/>
  <c r="AK77" i="9" l="1"/>
  <c r="BW29" i="5" l="1"/>
  <c r="AB91" i="10"/>
  <c r="D29" i="5"/>
  <c r="X116" i="10" l="1"/>
  <c r="N103" i="10" l="1"/>
  <c r="AA147" i="9"/>
  <c r="CN34" i="5" l="1"/>
  <c r="CM33" i="5"/>
  <c r="CL33" i="5"/>
  <c r="CM34" i="5"/>
  <c r="CL34" i="5"/>
  <c r="CG34" i="5"/>
  <c r="CF34" i="5"/>
  <c r="CE34" i="5"/>
  <c r="BR29" i="5"/>
  <c r="G63" i="34" l="1"/>
  <c r="R87" i="9" l="1"/>
  <c r="N87" i="9"/>
  <c r="F87" i="9"/>
  <c r="H87" i="9"/>
  <c r="J87" i="9"/>
  <c r="F88" i="9"/>
  <c r="H88" i="9"/>
  <c r="J88" i="9"/>
  <c r="D88" i="9"/>
  <c r="D87" i="9"/>
  <c r="B87" i="9"/>
  <c r="B88" i="9"/>
  <c r="B76" i="9"/>
  <c r="L76" i="9" s="1"/>
  <c r="B75" i="9"/>
  <c r="H40" i="13"/>
  <c r="B40" i="13"/>
  <c r="N41" i="32"/>
  <c r="P41" i="32"/>
  <c r="C41" i="32"/>
  <c r="E41" i="32"/>
  <c r="G41" i="32"/>
  <c r="I41" i="32"/>
  <c r="B41" i="32"/>
  <c r="K41" i="32" s="1"/>
  <c r="F40" i="13"/>
  <c r="L40" i="13" s="1"/>
  <c r="F65" i="13"/>
  <c r="H65" i="13"/>
  <c r="F81" i="13"/>
  <c r="H81" i="13"/>
  <c r="F82" i="13"/>
  <c r="H82" i="13"/>
  <c r="L82" i="13"/>
  <c r="B81" i="13"/>
  <c r="B82" i="13"/>
  <c r="B65" i="13"/>
  <c r="N53" i="32"/>
  <c r="P53" i="32"/>
  <c r="N54" i="32"/>
  <c r="P54" i="32"/>
  <c r="L53" i="32"/>
  <c r="E53" i="32"/>
  <c r="I53" i="32"/>
  <c r="E54" i="32"/>
  <c r="I54" i="32"/>
  <c r="C54" i="32"/>
  <c r="C53" i="32"/>
  <c r="B54" i="32"/>
  <c r="K54" i="32" s="1"/>
  <c r="B53" i="32"/>
  <c r="K53" i="32" s="1"/>
  <c r="B69" i="32"/>
  <c r="B68" i="32"/>
  <c r="K68" i="32" s="1"/>
  <c r="CU152" i="5"/>
  <c r="CU153" i="5"/>
  <c r="B83" i="13"/>
  <c r="B84" i="13"/>
  <c r="L81" i="13" l="1"/>
  <c r="R53" i="32"/>
  <c r="N64" i="13" s="1"/>
  <c r="W75" i="9" s="1"/>
  <c r="R68" i="32"/>
  <c r="N81" i="13" s="1"/>
  <c r="W87" i="9" s="1"/>
  <c r="R54" i="32"/>
  <c r="N65" i="13" s="1"/>
  <c r="W76" i="9" s="1"/>
  <c r="N25" i="33"/>
  <c r="CP109" i="5"/>
  <c r="L41" i="32" s="1"/>
  <c r="R41" i="32" s="1"/>
  <c r="N40" i="13" l="1"/>
  <c r="W37" i="9" s="1"/>
  <c r="E620" i="65"/>
  <c r="G625" i="65" s="1"/>
  <c r="CP33" i="5"/>
  <c r="CN90" i="4"/>
  <c r="CO90" i="4"/>
  <c r="CN140" i="4"/>
  <c r="CO140" i="4"/>
  <c r="X115" i="10" l="1"/>
  <c r="N115" i="10" s="1"/>
  <c r="X120" i="10"/>
  <c r="N175" i="9"/>
  <c r="O41" i="8" s="1"/>
  <c r="X104" i="10"/>
  <c r="AE37" i="9"/>
  <c r="AG37" i="9" s="1"/>
  <c r="N98" i="10"/>
  <c r="AF45" i="10"/>
  <c r="G79" i="6"/>
  <c r="M92" i="6"/>
  <c r="R148" i="9"/>
  <c r="AG76" i="9"/>
  <c r="E79" i="6" s="1"/>
  <c r="L88" i="9"/>
  <c r="D49" i="5"/>
  <c r="D28" i="5"/>
  <c r="L37" i="9"/>
  <c r="AE88" i="9" l="1"/>
  <c r="I79" i="6"/>
  <c r="N120" i="10"/>
  <c r="N104" i="10"/>
  <c r="R105" i="10" s="1"/>
  <c r="R149" i="9"/>
  <c r="DU66" i="45" l="1"/>
  <c r="AR70" i="44"/>
  <c r="AR48" i="44"/>
  <c r="W66" i="45"/>
  <c r="G48" i="44"/>
  <c r="G70" i="44"/>
  <c r="O79" i="43"/>
  <c r="O58" i="43"/>
  <c r="O70" i="42"/>
  <c r="O48" i="42"/>
  <c r="CG154" i="4" l="1"/>
  <c r="CG133" i="4"/>
  <c r="CG61" i="4"/>
  <c r="CF133" i="4"/>
  <c r="CF154" i="4"/>
  <c r="CF61" i="4"/>
  <c r="CM13" i="4" l="1"/>
  <c r="CM13" i="5" s="1"/>
  <c r="CM90" i="4"/>
  <c r="CM91" i="5" s="1"/>
  <c r="E21" i="32" s="1"/>
  <c r="CM140" i="4"/>
  <c r="CM158" i="5" s="1"/>
  <c r="CM61" i="4"/>
  <c r="CM154" i="4"/>
  <c r="CM171" i="4" l="1"/>
  <c r="G78" i="6"/>
  <c r="AF44" i="10" l="1"/>
  <c r="AE36" i="9"/>
  <c r="AB297" i="5" l="1"/>
  <c r="N56" i="13" l="1"/>
  <c r="M58" i="13"/>
  <c r="F139" i="71"/>
  <c r="F140" i="71"/>
  <c r="F141" i="71"/>
  <c r="F142" i="71"/>
  <c r="F143" i="71"/>
  <c r="F138" i="71"/>
  <c r="D143" i="71"/>
  <c r="D142" i="71"/>
  <c r="D141" i="71"/>
  <c r="D140" i="71"/>
  <c r="D139" i="71"/>
  <c r="D138" i="71"/>
  <c r="B40" i="71"/>
  <c r="E17" i="71"/>
  <c r="E20" i="71"/>
  <c r="E16" i="71"/>
  <c r="D35" i="71"/>
  <c r="D36" i="71"/>
  <c r="D37" i="71"/>
  <c r="D38" i="71"/>
  <c r="D34" i="71"/>
  <c r="D32" i="71"/>
  <c r="F9" i="75"/>
  <c r="AC86" i="9"/>
  <c r="E21" i="71" l="1"/>
  <c r="C92" i="71" l="1"/>
  <c r="D92" i="71"/>
  <c r="E92" i="71"/>
  <c r="F92" i="71"/>
  <c r="G92" i="71"/>
  <c r="H92" i="71"/>
  <c r="I92" i="71"/>
  <c r="J92" i="71"/>
  <c r="K92" i="71"/>
  <c r="L92" i="71"/>
  <c r="M92" i="71"/>
  <c r="N92" i="71"/>
  <c r="O92" i="71"/>
  <c r="P92" i="71"/>
  <c r="C93" i="71"/>
  <c r="D93" i="71"/>
  <c r="E93" i="71"/>
  <c r="F93" i="71"/>
  <c r="G93" i="71"/>
  <c r="H93" i="71"/>
  <c r="I93" i="71"/>
  <c r="J93" i="71"/>
  <c r="K93" i="71"/>
  <c r="L93" i="71"/>
  <c r="M93" i="71"/>
  <c r="N93" i="71"/>
  <c r="O93" i="71"/>
  <c r="P93" i="71"/>
  <c r="C94" i="71"/>
  <c r="D94" i="71"/>
  <c r="E94" i="71"/>
  <c r="F94" i="71"/>
  <c r="G94" i="71"/>
  <c r="H94" i="71"/>
  <c r="I94" i="71"/>
  <c r="J94" i="71"/>
  <c r="K94" i="71"/>
  <c r="L94" i="71"/>
  <c r="M94" i="71"/>
  <c r="N94" i="71"/>
  <c r="O94" i="71"/>
  <c r="P94" i="71"/>
  <c r="C95" i="71"/>
  <c r="D95" i="71"/>
  <c r="E95" i="71"/>
  <c r="F95" i="71"/>
  <c r="G95" i="71"/>
  <c r="H95" i="71"/>
  <c r="I95" i="71"/>
  <c r="J95" i="71"/>
  <c r="K95" i="71"/>
  <c r="L95" i="71"/>
  <c r="M95" i="71"/>
  <c r="N95" i="71"/>
  <c r="O95" i="71"/>
  <c r="P95" i="71"/>
  <c r="C73" i="71"/>
  <c r="R95" i="71" l="1"/>
  <c r="S93" i="71"/>
  <c r="S95" i="71"/>
  <c r="S94" i="71"/>
  <c r="R93" i="71"/>
  <c r="R92" i="71"/>
  <c r="S92" i="71"/>
  <c r="R94" i="71"/>
  <c r="U94" i="71" s="1"/>
  <c r="D122" i="71" s="1"/>
  <c r="U93" i="71" l="1"/>
  <c r="D121" i="71" s="1"/>
  <c r="U92" i="71"/>
  <c r="D120" i="71" s="1"/>
  <c r="U95" i="71"/>
  <c r="D123" i="71" s="1"/>
  <c r="B32" i="71" l="1"/>
  <c r="P91" i="71"/>
  <c r="O91" i="71"/>
  <c r="N91" i="71"/>
  <c r="M91" i="71"/>
  <c r="N65" i="71"/>
  <c r="N78" i="71" s="1"/>
  <c r="M65" i="71"/>
  <c r="L91" i="71"/>
  <c r="K91" i="71"/>
  <c r="L65" i="71"/>
  <c r="K65" i="71"/>
  <c r="L64" i="71"/>
  <c r="K64" i="71"/>
  <c r="J91" i="71"/>
  <c r="I91" i="71"/>
  <c r="J65" i="71"/>
  <c r="I65" i="71"/>
  <c r="J64" i="71"/>
  <c r="I64" i="71"/>
  <c r="J63" i="71"/>
  <c r="J76" i="71" s="1"/>
  <c r="I63" i="71"/>
  <c r="H91" i="71"/>
  <c r="G91" i="71"/>
  <c r="H65" i="71"/>
  <c r="G65" i="71"/>
  <c r="H64" i="71"/>
  <c r="G64" i="71"/>
  <c r="H63" i="71"/>
  <c r="G63" i="71"/>
  <c r="H62" i="71"/>
  <c r="G62" i="71"/>
  <c r="F91" i="71"/>
  <c r="E91" i="71"/>
  <c r="F65" i="71"/>
  <c r="E65" i="71"/>
  <c r="F64" i="71"/>
  <c r="E64" i="71"/>
  <c r="F63" i="71"/>
  <c r="E63" i="71"/>
  <c r="F62" i="71"/>
  <c r="E62" i="71"/>
  <c r="F61" i="71"/>
  <c r="F74" i="71" s="1"/>
  <c r="E61" i="71"/>
  <c r="C62" i="71"/>
  <c r="D62" i="71"/>
  <c r="C63" i="71"/>
  <c r="D63" i="71"/>
  <c r="C64" i="71"/>
  <c r="D64" i="71"/>
  <c r="C65" i="71"/>
  <c r="D65" i="71"/>
  <c r="C91" i="71"/>
  <c r="D91" i="71"/>
  <c r="D61" i="71"/>
  <c r="S61" i="71" s="1"/>
  <c r="C61" i="71"/>
  <c r="P73" i="71"/>
  <c r="P74" i="71"/>
  <c r="P75" i="71"/>
  <c r="P76" i="71"/>
  <c r="P77" i="71"/>
  <c r="P78" i="71"/>
  <c r="N73" i="71"/>
  <c r="N74" i="71"/>
  <c r="N75" i="71"/>
  <c r="N76" i="71"/>
  <c r="N77" i="71"/>
  <c r="L73" i="71"/>
  <c r="L74" i="71"/>
  <c r="L75" i="71"/>
  <c r="L76" i="71"/>
  <c r="J73" i="71"/>
  <c r="J74" i="71"/>
  <c r="J75" i="71"/>
  <c r="H73" i="71"/>
  <c r="H74" i="71"/>
  <c r="F73" i="71"/>
  <c r="D73" i="71"/>
  <c r="S60" i="71"/>
  <c r="F75" i="71" l="1"/>
  <c r="R91" i="71"/>
  <c r="E78" i="71"/>
  <c r="C75" i="71"/>
  <c r="C74" i="71"/>
  <c r="S73" i="71"/>
  <c r="F78" i="71"/>
  <c r="L78" i="71"/>
  <c r="L77" i="71"/>
  <c r="S65" i="71"/>
  <c r="S64" i="71"/>
  <c r="S63" i="71"/>
  <c r="J77" i="71"/>
  <c r="J78" i="71"/>
  <c r="F77" i="71"/>
  <c r="F76" i="71"/>
  <c r="D77" i="71"/>
  <c r="D78" i="71"/>
  <c r="D76" i="71"/>
  <c r="D74" i="71"/>
  <c r="S74" i="71" s="1"/>
  <c r="D75" i="71"/>
  <c r="H76" i="71"/>
  <c r="S62" i="71"/>
  <c r="H78" i="71"/>
  <c r="H77" i="71"/>
  <c r="H75" i="71"/>
  <c r="S91" i="71"/>
  <c r="U91" i="71" l="1"/>
  <c r="D119" i="71" s="1"/>
  <c r="S78" i="71"/>
  <c r="S75" i="71"/>
  <c r="S76" i="71"/>
  <c r="S77" i="71"/>
  <c r="S56" i="9" l="1"/>
  <c r="R65" i="71"/>
  <c r="O78" i="71"/>
  <c r="M78" i="71"/>
  <c r="K77" i="71"/>
  <c r="K78" i="71"/>
  <c r="I78" i="71"/>
  <c r="G78" i="71"/>
  <c r="K76" i="71"/>
  <c r="K74" i="71"/>
  <c r="K73" i="71"/>
  <c r="I76" i="71"/>
  <c r="I75" i="71"/>
  <c r="I74" i="71"/>
  <c r="I73" i="71"/>
  <c r="G77" i="71"/>
  <c r="E77" i="71"/>
  <c r="C78" i="71"/>
  <c r="R60" i="71"/>
  <c r="U60" i="71" s="1"/>
  <c r="R51" i="71"/>
  <c r="R50" i="71"/>
  <c r="S51" i="71"/>
  <c r="S50" i="71"/>
  <c r="O77" i="71"/>
  <c r="O76" i="71"/>
  <c r="O75" i="71"/>
  <c r="O74" i="71"/>
  <c r="O73" i="71"/>
  <c r="P52" i="71"/>
  <c r="O52" i="71"/>
  <c r="U50" i="71" l="1"/>
  <c r="V50" i="71" s="1"/>
  <c r="U51" i="71"/>
  <c r="O68" i="71"/>
  <c r="O87" i="71"/>
  <c r="P68" i="71"/>
  <c r="P96" i="71" s="1"/>
  <c r="P87" i="71"/>
  <c r="P70" i="71" l="1"/>
  <c r="O70" i="71"/>
  <c r="O96" i="71"/>
  <c r="H11" i="72" l="1"/>
  <c r="H5" i="72"/>
  <c r="H10" i="72"/>
  <c r="D5" i="72"/>
  <c r="D16" i="72" s="1"/>
  <c r="D11" i="72"/>
  <c r="D8" i="72"/>
  <c r="D12" i="72"/>
  <c r="D6" i="72"/>
  <c r="D10" i="72"/>
  <c r="O35" i="8" l="1"/>
  <c r="BB164" i="4" l="1"/>
  <c r="BB121" i="4"/>
  <c r="BB159" i="5" s="1"/>
  <c r="DP71" i="19" l="1"/>
  <c r="T97" i="9"/>
  <c r="T98" i="9"/>
  <c r="T99" i="9"/>
  <c r="T100" i="9"/>
  <c r="T101" i="9"/>
  <c r="T102" i="9"/>
  <c r="T103" i="9"/>
  <c r="T104" i="9"/>
  <c r="BF169" i="5"/>
  <c r="BF170" i="5"/>
  <c r="BF133" i="5"/>
  <c r="BF134" i="5"/>
  <c r="BF136" i="5"/>
  <c r="BF138" i="5"/>
  <c r="BF139" i="5"/>
  <c r="BF140" i="5"/>
  <c r="BF142" i="5"/>
  <c r="BF143" i="5"/>
  <c r="BF144" i="5"/>
  <c r="BF145" i="5"/>
  <c r="BF146" i="5"/>
  <c r="BF147" i="5"/>
  <c r="BF148" i="5"/>
  <c r="B18" i="40"/>
  <c r="AR16" i="37"/>
  <c r="C63" i="51"/>
  <c r="V40" i="51"/>
  <c r="Q22" i="51"/>
  <c r="C13" i="50"/>
  <c r="C19" i="50" s="1"/>
  <c r="C17" i="50"/>
  <c r="BD16" i="4" l="1"/>
  <c r="EG16" i="4" l="1"/>
  <c r="AY70" i="69" l="1"/>
  <c r="BO70" i="69"/>
  <c r="U28" i="69"/>
  <c r="T28" i="69"/>
  <c r="R47" i="69"/>
  <c r="L75" i="9"/>
  <c r="AA90" i="9"/>
  <c r="Y90" i="9"/>
  <c r="AG75" i="9" l="1"/>
  <c r="E78" i="6" s="1"/>
  <c r="I78" i="6" s="1"/>
  <c r="D51" i="47" l="1"/>
  <c r="D77" i="47"/>
  <c r="S78" i="47"/>
  <c r="S77" i="47"/>
  <c r="H87" i="45"/>
  <c r="FA87" i="45"/>
  <c r="EZ87" i="45"/>
  <c r="FD87" i="45" l="1"/>
  <c r="BC164" i="4" l="1"/>
  <c r="FA51" i="45"/>
  <c r="E15" i="61"/>
  <c r="FA95" i="45"/>
  <c r="EW95" i="45"/>
  <c r="X15" i="4"/>
  <c r="BR15" i="4"/>
  <c r="R103" i="34"/>
  <c r="P103" i="34"/>
  <c r="N103" i="34"/>
  <c r="I103" i="34"/>
  <c r="G103" i="34"/>
  <c r="M105" i="31"/>
  <c r="K105" i="31"/>
  <c r="H105" i="31"/>
  <c r="F105" i="31"/>
  <c r="F55" i="41" l="1"/>
  <c r="W16" i="41"/>
  <c r="X16" i="41" s="1"/>
  <c r="W15" i="41"/>
  <c r="X15" i="41" s="1"/>
  <c r="W14" i="41"/>
  <c r="X14" i="41" s="1"/>
  <c r="X17" i="41"/>
  <c r="X18" i="41"/>
  <c r="X19" i="41"/>
  <c r="X20" i="41"/>
  <c r="X21" i="41"/>
  <c r="X13" i="41"/>
  <c r="W13" i="41"/>
  <c r="W25" i="41"/>
  <c r="W24" i="41"/>
  <c r="W23" i="41"/>
  <c r="V21" i="41"/>
  <c r="V14" i="41"/>
  <c r="V15" i="41"/>
  <c r="V16" i="41"/>
  <c r="V17" i="41"/>
  <c r="V18" i="41"/>
  <c r="V19" i="41"/>
  <c r="V20" i="41"/>
  <c r="V13" i="41"/>
  <c r="T63" i="45"/>
  <c r="F70" i="44"/>
  <c r="F33" i="44"/>
  <c r="I164" i="4"/>
  <c r="T95" i="45"/>
  <c r="I95" i="4"/>
  <c r="I117" i="5" s="1"/>
  <c r="F74" i="44"/>
  <c r="F186" i="41" l="1"/>
  <c r="F129" i="41"/>
  <c r="BV95" i="45"/>
  <c r="P74" i="44"/>
  <c r="P70" i="44"/>
  <c r="AX95" i="45"/>
  <c r="Y70" i="44"/>
  <c r="W95" i="45"/>
  <c r="X83" i="4"/>
  <c r="FG19" i="26"/>
  <c r="FC19" i="26"/>
  <c r="BM63" i="45"/>
  <c r="BM95" i="45"/>
  <c r="I121" i="34"/>
  <c r="M70" i="42"/>
  <c r="M58" i="43"/>
  <c r="M79" i="43"/>
  <c r="CM10" i="4" l="1"/>
  <c r="CM11" i="4"/>
  <c r="CM12" i="4"/>
  <c r="CM14" i="4"/>
  <c r="CM15" i="4"/>
  <c r="CM16" i="4"/>
  <c r="CM16" i="5" s="1"/>
  <c r="CM31" i="4"/>
  <c r="CM32" i="4"/>
  <c r="CM33" i="4"/>
  <c r="CM34" i="4"/>
  <c r="CM37" i="4"/>
  <c r="CM46" i="4"/>
  <c r="CM56" i="4" s="1"/>
  <c r="CM47" i="4"/>
  <c r="CM67" i="4"/>
  <c r="CM83" i="4"/>
  <c r="CM84" i="4"/>
  <c r="CM87" i="4"/>
  <c r="CM88" i="4"/>
  <c r="CM92" i="4"/>
  <c r="CM93" i="4"/>
  <c r="CM94" i="4"/>
  <c r="CM97" i="4"/>
  <c r="CM98" i="4"/>
  <c r="CM99" i="4"/>
  <c r="CM100" i="4"/>
  <c r="CM101" i="4"/>
  <c r="CM102" i="4"/>
  <c r="CM103" i="4"/>
  <c r="CM104" i="4"/>
  <c r="CM105" i="4"/>
  <c r="CM106" i="4"/>
  <c r="CM107" i="4"/>
  <c r="CM108" i="4"/>
  <c r="CM109" i="4"/>
  <c r="CM110" i="4"/>
  <c r="CM111" i="4"/>
  <c r="CM117" i="4"/>
  <c r="CM118" i="4"/>
  <c r="CM119" i="4"/>
  <c r="CM120" i="4"/>
  <c r="CM121" i="4"/>
  <c r="CM122" i="4"/>
  <c r="CM123" i="4"/>
  <c r="CM124" i="4"/>
  <c r="CM125" i="4"/>
  <c r="CM126" i="4"/>
  <c r="CM127" i="4"/>
  <c r="CM128" i="4"/>
  <c r="CM129" i="4"/>
  <c r="CM130" i="4"/>
  <c r="CM131" i="4"/>
  <c r="CM132" i="4"/>
  <c r="CM133" i="4"/>
  <c r="CM134" i="4"/>
  <c r="R79" i="43"/>
  <c r="R70" i="42"/>
  <c r="CM112" i="4" l="1"/>
  <c r="CM136" i="4"/>
  <c r="CM173" i="4" s="1"/>
  <c r="CM18" i="4"/>
  <c r="CM19" i="4" s="1"/>
  <c r="CM41" i="4"/>
  <c r="CM42" i="4" s="1"/>
  <c r="CM73" i="4"/>
  <c r="CM175" i="4" l="1"/>
  <c r="CM43" i="4"/>
  <c r="CM59" i="4" s="1"/>
  <c r="CM71" i="4" s="1"/>
  <c r="CM75" i="4" s="1"/>
  <c r="F18" i="41"/>
  <c r="AO32" i="80" l="1"/>
  <c r="BV29" i="5" l="1"/>
  <c r="I48" i="5"/>
  <c r="AB237" i="5"/>
  <c r="AU225" i="5"/>
  <c r="I225" i="5"/>
  <c r="X223" i="5"/>
  <c r="D223" i="5"/>
  <c r="E120" i="4"/>
  <c r="D92" i="4"/>
  <c r="W28" i="69" l="1"/>
  <c r="N94" i="9" l="1"/>
  <c r="R94" i="9"/>
  <c r="N95" i="9"/>
  <c r="R95" i="9"/>
  <c r="D94" i="9"/>
  <c r="F94" i="9"/>
  <c r="G94" i="9"/>
  <c r="H94" i="9"/>
  <c r="J94" i="9"/>
  <c r="D95" i="9"/>
  <c r="F95" i="9"/>
  <c r="G95" i="9"/>
  <c r="H95" i="9"/>
  <c r="J95" i="9"/>
  <c r="B95" i="9"/>
  <c r="L95" i="9" s="1"/>
  <c r="T95" i="9" l="1"/>
  <c r="AG95" i="9" s="1"/>
  <c r="E98" i="6" l="1"/>
  <c r="I98" i="6" s="1"/>
  <c r="FD95" i="45" l="1"/>
  <c r="FD15" i="45"/>
  <c r="FD16" i="45"/>
  <c r="FD17" i="45"/>
  <c r="FD19" i="45"/>
  <c r="FD20" i="45"/>
  <c r="FD21" i="45"/>
  <c r="FD22" i="45"/>
  <c r="FD23" i="45"/>
  <c r="FD24" i="45"/>
  <c r="FD25" i="45"/>
  <c r="FD26" i="45"/>
  <c r="FD27" i="45"/>
  <c r="FD28" i="45"/>
  <c r="FD29" i="45"/>
  <c r="FD30" i="45"/>
  <c r="FD31" i="45"/>
  <c r="FD32" i="45"/>
  <c r="FD33" i="45"/>
  <c r="FD34" i="45"/>
  <c r="FD35" i="45"/>
  <c r="FD36" i="45"/>
  <c r="FD37" i="45"/>
  <c r="FD38" i="45"/>
  <c r="FD39" i="45"/>
  <c r="FD40" i="45"/>
  <c r="FD41" i="45"/>
  <c r="FD42" i="45"/>
  <c r="FD43" i="45"/>
  <c r="FD44" i="45"/>
  <c r="FD45" i="45"/>
  <c r="FD46" i="45"/>
  <c r="FD47" i="45"/>
  <c r="FD48" i="45"/>
  <c r="FD49" i="45"/>
  <c r="FD50" i="45"/>
  <c r="FD51" i="45"/>
  <c r="FD52" i="45"/>
  <c r="FD53" i="45"/>
  <c r="FD54" i="45"/>
  <c r="FD55" i="45"/>
  <c r="FD56" i="45"/>
  <c r="FD57" i="45"/>
  <c r="FD58" i="45"/>
  <c r="FD59" i="45"/>
  <c r="FD61" i="45"/>
  <c r="FD63" i="45"/>
  <c r="FD64" i="45"/>
  <c r="FD67" i="45"/>
  <c r="FD68" i="45"/>
  <c r="FD69" i="45"/>
  <c r="FD70" i="45"/>
  <c r="FD71" i="45"/>
  <c r="FD72" i="45"/>
  <c r="FD73" i="45"/>
  <c r="FD74" i="45"/>
  <c r="FD75" i="45"/>
  <c r="FD76" i="45"/>
  <c r="FD77" i="45"/>
  <c r="FD78" i="45"/>
  <c r="FD79" i="45"/>
  <c r="FD80" i="45"/>
  <c r="FD81" i="45"/>
  <c r="FD82" i="45"/>
  <c r="FD83" i="45"/>
  <c r="FD84" i="45"/>
  <c r="FD85" i="45"/>
  <c r="FD86" i="45"/>
  <c r="FD88" i="45"/>
  <c r="FD89" i="45"/>
  <c r="FD90" i="45"/>
  <c r="FD91" i="45"/>
  <c r="FD92" i="45"/>
  <c r="FD93" i="45"/>
  <c r="FD94" i="45"/>
  <c r="FD14" i="45"/>
  <c r="DK39" i="19" l="1"/>
  <c r="CT39" i="19"/>
  <c r="CG39" i="19"/>
  <c r="BT39" i="19"/>
  <c r="BG39" i="19"/>
  <c r="AT39" i="19"/>
  <c r="AI39" i="19"/>
  <c r="X39" i="19"/>
  <c r="M39" i="19"/>
  <c r="Q17" i="7"/>
  <c r="Q16" i="7"/>
  <c r="IN74" i="26"/>
  <c r="IN75" i="26"/>
  <c r="Y147" i="9" l="1"/>
  <c r="AF54" i="10"/>
  <c r="E41" i="6" l="1"/>
  <c r="I41" i="6" s="1"/>
  <c r="Z46" i="10"/>
  <c r="AR97" i="10" l="1"/>
  <c r="AC85" i="9"/>
  <c r="I524" i="5" l="1"/>
  <c r="I521" i="5"/>
  <c r="BF384" i="5" l="1"/>
  <c r="BG384" i="5" s="1"/>
  <c r="AA108" i="9"/>
  <c r="Z34" i="10" l="1"/>
  <c r="BZ59" i="5" l="1"/>
  <c r="BZ60" i="5"/>
  <c r="BZ62" i="5"/>
  <c r="BZ64" i="5"/>
  <c r="BZ67" i="5"/>
  <c r="BZ68" i="5"/>
  <c r="BZ70" i="5"/>
  <c r="BZ72" i="5"/>
  <c r="H51" i="15" l="1"/>
  <c r="T95" i="34"/>
  <c r="L88" i="15"/>
  <c r="L89" i="15"/>
  <c r="N88" i="15"/>
  <c r="T120" i="34" l="1"/>
  <c r="N99" i="10" l="1"/>
  <c r="R100" i="10" s="1"/>
  <c r="N119" i="10"/>
  <c r="R123" i="10" s="1"/>
  <c r="N116" i="10"/>
  <c r="AF34" i="10"/>
  <c r="Y155" i="9" l="1"/>
  <c r="P91" i="32"/>
  <c r="N91" i="32"/>
  <c r="L91" i="32"/>
  <c r="B74" i="32"/>
  <c r="K74" i="32" s="1"/>
  <c r="U108" i="9" l="1"/>
  <c r="AA56" i="9"/>
  <c r="Y56" i="9"/>
  <c r="U56" i="9"/>
  <c r="P56" i="9"/>
  <c r="O56" i="9"/>
  <c r="M183" i="9"/>
  <c r="O183" i="9"/>
  <c r="P183" i="9"/>
  <c r="M184" i="9"/>
  <c r="M185" i="9" s="1"/>
  <c r="O184" i="9"/>
  <c r="O185" i="9" s="1"/>
  <c r="P184" i="9"/>
  <c r="P185" i="9" s="1"/>
  <c r="I184" i="9"/>
  <c r="I185" i="9" s="1"/>
  <c r="R98" i="6" l="1"/>
  <c r="Y151" i="9"/>
  <c r="AG42" i="9" l="1"/>
  <c r="AG43" i="9"/>
  <c r="AG45" i="9"/>
  <c r="AG46" i="9"/>
  <c r="E47" i="6" s="1"/>
  <c r="W44" i="9"/>
  <c r="W56" i="9" s="1"/>
  <c r="B46" i="13"/>
  <c r="N44" i="9"/>
  <c r="N56" i="9" s="1"/>
  <c r="N58" i="9" s="1"/>
  <c r="J44" i="9"/>
  <c r="J56" i="9" s="1"/>
  <c r="J58" i="9" s="1"/>
  <c r="H44" i="9"/>
  <c r="H56" i="9" s="1"/>
  <c r="H58" i="9" s="1"/>
  <c r="G44" i="9"/>
  <c r="G56" i="9" s="1"/>
  <c r="G58" i="9" s="1"/>
  <c r="F44" i="9"/>
  <c r="F56" i="9" s="1"/>
  <c r="F58" i="9" s="1"/>
  <c r="D44" i="9"/>
  <c r="D56" i="9" s="1"/>
  <c r="D58" i="9" s="1"/>
  <c r="B44" i="9"/>
  <c r="L44" i="9" s="1"/>
  <c r="B46" i="18"/>
  <c r="B45" i="18"/>
  <c r="DP40" i="19"/>
  <c r="DL40" i="19"/>
  <c r="DC40" i="19"/>
  <c r="DA40" i="19"/>
  <c r="CY40" i="19"/>
  <c r="CW40" i="19"/>
  <c r="CU40" i="19"/>
  <c r="CP40" i="19"/>
  <c r="CN40" i="19"/>
  <c r="CL40" i="19"/>
  <c r="CJ40" i="19"/>
  <c r="CH40" i="19"/>
  <c r="CC40" i="19"/>
  <c r="CA40" i="19"/>
  <c r="BY40" i="19"/>
  <c r="BW40" i="19"/>
  <c r="BU40" i="19"/>
  <c r="BP40" i="19"/>
  <c r="BN40" i="19"/>
  <c r="BL40" i="19"/>
  <c r="BJ40" i="19"/>
  <c r="BH40" i="19"/>
  <c r="BC40" i="19"/>
  <c r="BA40" i="19"/>
  <c r="AY40" i="19"/>
  <c r="AW40" i="19"/>
  <c r="AU40" i="19"/>
  <c r="AR40" i="19"/>
  <c r="AP40" i="19"/>
  <c r="AN40" i="19"/>
  <c r="AL40" i="19"/>
  <c r="AJ40" i="19"/>
  <c r="AG40" i="19"/>
  <c r="AE40" i="19"/>
  <c r="AC40" i="19"/>
  <c r="AA40" i="19"/>
  <c r="Y40" i="19"/>
  <c r="V40" i="19"/>
  <c r="T40" i="19"/>
  <c r="R40" i="19"/>
  <c r="P40" i="19"/>
  <c r="N40" i="19"/>
  <c r="K40" i="19"/>
  <c r="I40" i="19"/>
  <c r="G40" i="19"/>
  <c r="E40" i="19"/>
  <c r="C40" i="19"/>
  <c r="B40" i="19"/>
  <c r="BT40" i="19" s="1"/>
  <c r="B39" i="19"/>
  <c r="B70" i="19"/>
  <c r="E46" i="6" l="1"/>
  <c r="M40" i="19"/>
  <c r="CG40" i="19" s="1"/>
  <c r="AI40" i="19"/>
  <c r="DK40" i="19" s="1"/>
  <c r="BG40" i="19"/>
  <c r="X40" i="19"/>
  <c r="CT40" i="19" s="1"/>
  <c r="AT40" i="19"/>
  <c r="DZ40" i="19" l="1"/>
  <c r="D46" i="18" s="1"/>
  <c r="L46" i="18" s="1"/>
  <c r="R44" i="9" s="1"/>
  <c r="R56" i="9" s="1"/>
  <c r="T44" i="9" l="1"/>
  <c r="T56" i="9" s="1"/>
  <c r="T49" i="69"/>
  <c r="R46" i="69"/>
  <c r="F45" i="69"/>
  <c r="AG44" i="9" l="1"/>
  <c r="AG36" i="9"/>
  <c r="L36" i="9"/>
  <c r="B34" i="9"/>
  <c r="BF158" i="5"/>
  <c r="BG158" i="5" s="1"/>
  <c r="BF159" i="5"/>
  <c r="BG159" i="5" s="1"/>
  <c r="BF160" i="5"/>
  <c r="BG160" i="5" s="1"/>
  <c r="BF161" i="5"/>
  <c r="BG161" i="5" s="1"/>
  <c r="BF162" i="5"/>
  <c r="BF163" i="5"/>
  <c r="BG163" i="5" s="1"/>
  <c r="BF164" i="5"/>
  <c r="BF165" i="5"/>
  <c r="BG165" i="5" s="1"/>
  <c r="BF166" i="5"/>
  <c r="BG166" i="5" s="1"/>
  <c r="BF167" i="5"/>
  <c r="BG167" i="5" s="1"/>
  <c r="BF168" i="5"/>
  <c r="BG168" i="5" s="1"/>
  <c r="BF124" i="5"/>
  <c r="BF125" i="5"/>
  <c r="BF126" i="5"/>
  <c r="BG162" i="5"/>
  <c r="BG164" i="5"/>
  <c r="E32" i="82"/>
  <c r="E45" i="6" l="1"/>
  <c r="E40" i="6"/>
  <c r="I40" i="6" s="1"/>
  <c r="B43" i="23" l="1"/>
  <c r="B44" i="23"/>
  <c r="J44" i="23"/>
  <c r="B43" i="25"/>
  <c r="D43" i="25"/>
  <c r="F43" i="25"/>
  <c r="H43" i="25"/>
  <c r="J43" i="25"/>
  <c r="L43" i="25"/>
  <c r="B44" i="25"/>
  <c r="D44" i="25"/>
  <c r="F44" i="25"/>
  <c r="H44" i="25"/>
  <c r="J44" i="25"/>
  <c r="L44" i="25"/>
  <c r="B43" i="24"/>
  <c r="D43" i="24"/>
  <c r="F43" i="24"/>
  <c r="H43" i="24"/>
  <c r="J43" i="24"/>
  <c r="L43" i="24"/>
  <c r="N43" i="24"/>
  <c r="B44" i="24"/>
  <c r="D44" i="24"/>
  <c r="F44" i="24"/>
  <c r="H44" i="24"/>
  <c r="J44" i="24"/>
  <c r="L44" i="24"/>
  <c r="N44" i="24"/>
  <c r="B44" i="22"/>
  <c r="M44" i="22" s="1"/>
  <c r="C44" i="22"/>
  <c r="E44" i="22"/>
  <c r="G44" i="22"/>
  <c r="I44" i="22"/>
  <c r="K44" i="22"/>
  <c r="N44" i="22"/>
  <c r="P44" i="22"/>
  <c r="R44" i="22"/>
  <c r="T44" i="22"/>
  <c r="V44" i="22"/>
  <c r="Y44" i="22"/>
  <c r="AA44" i="22"/>
  <c r="AC44" i="22"/>
  <c r="AE44" i="22"/>
  <c r="AG44" i="22"/>
  <c r="AJ44" i="22"/>
  <c r="AL44" i="22"/>
  <c r="AN44" i="22"/>
  <c r="AP44" i="22"/>
  <c r="AR44" i="22"/>
  <c r="AU44" i="22"/>
  <c r="AW44" i="22"/>
  <c r="AY44" i="22"/>
  <c r="BA44" i="22"/>
  <c r="BC44" i="22"/>
  <c r="BH44" i="22"/>
  <c r="BJ44" i="22"/>
  <c r="BL44" i="22"/>
  <c r="BN44" i="22"/>
  <c r="BP44" i="22"/>
  <c r="BU44" i="22"/>
  <c r="BW44" i="22"/>
  <c r="BY44" i="22"/>
  <c r="CA44" i="22"/>
  <c r="CC44" i="22"/>
  <c r="CH44" i="22"/>
  <c r="CJ44" i="22"/>
  <c r="CL44" i="22"/>
  <c r="CN44" i="22"/>
  <c r="CP44" i="22"/>
  <c r="CU44" i="22"/>
  <c r="CW44" i="22"/>
  <c r="CY44" i="22"/>
  <c r="DA44" i="22"/>
  <c r="DC44" i="22"/>
  <c r="DO44" i="22"/>
  <c r="DU44" i="22"/>
  <c r="B43" i="22"/>
  <c r="M43" i="22" s="1"/>
  <c r="CG43" i="22" s="1"/>
  <c r="C43" i="22"/>
  <c r="E43" i="22"/>
  <c r="G43" i="22"/>
  <c r="I43" i="22"/>
  <c r="K43" i="22"/>
  <c r="N43" i="22"/>
  <c r="P43" i="22"/>
  <c r="R43" i="22"/>
  <c r="T43" i="22"/>
  <c r="V43" i="22"/>
  <c r="Y43" i="22"/>
  <c r="AA43" i="22"/>
  <c r="AC43" i="22"/>
  <c r="AE43" i="22"/>
  <c r="AG43" i="22"/>
  <c r="AJ43" i="22"/>
  <c r="AL43" i="22"/>
  <c r="AN43" i="22"/>
  <c r="AP43" i="22"/>
  <c r="AR43" i="22"/>
  <c r="AU43" i="22"/>
  <c r="AW43" i="22"/>
  <c r="AY43" i="22"/>
  <c r="BA43" i="22"/>
  <c r="BC43" i="22"/>
  <c r="BH43" i="22"/>
  <c r="BJ43" i="22"/>
  <c r="BL43" i="22"/>
  <c r="BN43" i="22"/>
  <c r="BP43" i="22"/>
  <c r="BU43" i="22"/>
  <c r="BW43" i="22"/>
  <c r="BY43" i="22"/>
  <c r="CA43" i="22"/>
  <c r="CC43" i="22"/>
  <c r="CH43" i="22"/>
  <c r="CJ43" i="22"/>
  <c r="CL43" i="22"/>
  <c r="CN43" i="22"/>
  <c r="CP43" i="22"/>
  <c r="CU43" i="22"/>
  <c r="CW43" i="22"/>
  <c r="CY43" i="22"/>
  <c r="DA43" i="22"/>
  <c r="DC43" i="22"/>
  <c r="DO43" i="22"/>
  <c r="DU43" i="22"/>
  <c r="L50" i="10"/>
  <c r="L53" i="10"/>
  <c r="B45" i="10"/>
  <c r="L45" i="10" s="1"/>
  <c r="D45" i="10"/>
  <c r="F45" i="10"/>
  <c r="G45" i="10"/>
  <c r="H45" i="10"/>
  <c r="J45" i="10"/>
  <c r="N45" i="10"/>
  <c r="B44" i="10"/>
  <c r="L44" i="10" s="1"/>
  <c r="D44" i="10"/>
  <c r="F44" i="10"/>
  <c r="G44" i="10"/>
  <c r="H44" i="10"/>
  <c r="J44" i="10"/>
  <c r="N44" i="10"/>
  <c r="CU48" i="5"/>
  <c r="CU49" i="5"/>
  <c r="CJ48" i="5"/>
  <c r="CJ49" i="5"/>
  <c r="BY48" i="5"/>
  <c r="BZ48" i="5" s="1"/>
  <c r="BY49" i="5"/>
  <c r="BZ49" i="5" s="1"/>
  <c r="BP48" i="5"/>
  <c r="BQ48" i="5" s="1"/>
  <c r="BP49" i="5"/>
  <c r="BQ49" i="5"/>
  <c r="BF49" i="5"/>
  <c r="BG49" i="5" s="1"/>
  <c r="BF48" i="5"/>
  <c r="BG48" i="5" s="1"/>
  <c r="N44" i="25" l="1"/>
  <c r="H44" i="23" s="1"/>
  <c r="BT43" i="22"/>
  <c r="CT43" i="22"/>
  <c r="AT43" i="22"/>
  <c r="CT44" i="22"/>
  <c r="P43" i="24"/>
  <c r="F43" i="23" s="1"/>
  <c r="CA49" i="5"/>
  <c r="P44" i="24"/>
  <c r="F44" i="23" s="1"/>
  <c r="X43" i="22"/>
  <c r="N43" i="25"/>
  <c r="H43" i="23" s="1"/>
  <c r="X44" i="22"/>
  <c r="DN43" i="22"/>
  <c r="BG43" i="22"/>
  <c r="AI43" i="22"/>
  <c r="AT44" i="22"/>
  <c r="BT44" i="22"/>
  <c r="CG44" i="22"/>
  <c r="DN44" i="22"/>
  <c r="BG44" i="22"/>
  <c r="AI44" i="22"/>
  <c r="CA48" i="5"/>
  <c r="EC43" i="22" l="1"/>
  <c r="R44" i="10" s="1"/>
  <c r="EC44" i="22"/>
  <c r="R45" i="10" s="1"/>
  <c r="D44" i="23" l="1"/>
  <c r="L44" i="23" s="1"/>
  <c r="D43" i="23"/>
  <c r="CU158" i="5"/>
  <c r="C97" i="6"/>
  <c r="P75" i="32"/>
  <c r="N75" i="32"/>
  <c r="L75" i="32"/>
  <c r="I75" i="32"/>
  <c r="G75" i="32"/>
  <c r="C75" i="32"/>
  <c r="B75" i="32"/>
  <c r="K75" i="32" s="1"/>
  <c r="L85" i="29"/>
  <c r="J85" i="29"/>
  <c r="H85" i="29"/>
  <c r="F85" i="29"/>
  <c r="B85" i="29"/>
  <c r="B84" i="29"/>
  <c r="H91" i="13"/>
  <c r="F91" i="13"/>
  <c r="F105" i="13" s="1"/>
  <c r="CU159" i="5"/>
  <c r="CU160" i="5"/>
  <c r="E75" i="32" l="1"/>
  <c r="N85" i="29"/>
  <c r="J91" i="13" s="1"/>
  <c r="L91" i="13" s="1"/>
  <c r="O97" i="6" s="1"/>
  <c r="E96" i="34" l="1"/>
  <c r="T96" i="34" s="1"/>
  <c r="N104" i="15" s="1"/>
  <c r="R75" i="32"/>
  <c r="N91" i="13" s="1"/>
  <c r="N105" i="13" s="1"/>
  <c r="W94" i="9" l="1"/>
  <c r="N97" i="6"/>
  <c r="B21" i="18"/>
  <c r="L67" i="9" l="1"/>
  <c r="L69" i="9"/>
  <c r="L71" i="9"/>
  <c r="L74" i="9"/>
  <c r="L78" i="9"/>
  <c r="L35" i="9"/>
  <c r="B20" i="9"/>
  <c r="L20" i="9" s="1"/>
  <c r="D20" i="9"/>
  <c r="F20" i="9"/>
  <c r="G20" i="9"/>
  <c r="H20" i="9"/>
  <c r="J20" i="9"/>
  <c r="N20" i="9"/>
  <c r="B21" i="13"/>
  <c r="F21" i="13"/>
  <c r="H21" i="13"/>
  <c r="B21" i="29"/>
  <c r="D21" i="29"/>
  <c r="F21" i="29"/>
  <c r="H21" i="29"/>
  <c r="J21" i="29"/>
  <c r="L21" i="29"/>
  <c r="B21" i="32"/>
  <c r="K21" i="32" s="1"/>
  <c r="C21" i="32"/>
  <c r="T85" i="34"/>
  <c r="N89" i="15" s="1"/>
  <c r="G21" i="32"/>
  <c r="I21" i="32"/>
  <c r="L21" i="32"/>
  <c r="N21" i="32"/>
  <c r="P21" i="32"/>
  <c r="B20" i="21"/>
  <c r="D20" i="21"/>
  <c r="F20" i="21"/>
  <c r="H20" i="21"/>
  <c r="J20" i="21"/>
  <c r="L20" i="21"/>
  <c r="B20" i="20"/>
  <c r="D20" i="20"/>
  <c r="F20" i="20"/>
  <c r="H20" i="20"/>
  <c r="J20" i="20"/>
  <c r="L20" i="20"/>
  <c r="N20" i="20"/>
  <c r="B20" i="19"/>
  <c r="M20" i="19" s="1"/>
  <c r="C20" i="19"/>
  <c r="E20" i="19"/>
  <c r="G20" i="19"/>
  <c r="I20" i="19"/>
  <c r="K20" i="19"/>
  <c r="N20" i="19"/>
  <c r="P20" i="19"/>
  <c r="R20" i="19"/>
  <c r="T20" i="19"/>
  <c r="V20" i="19"/>
  <c r="Y20" i="19"/>
  <c r="AA20" i="19"/>
  <c r="AC20" i="19"/>
  <c r="AE20" i="19"/>
  <c r="AG20" i="19"/>
  <c r="AJ20" i="19"/>
  <c r="AL20" i="19"/>
  <c r="AN20" i="19"/>
  <c r="AP20" i="19"/>
  <c r="AR20" i="19"/>
  <c r="AU20" i="19"/>
  <c r="AW20" i="19"/>
  <c r="AY20" i="19"/>
  <c r="BA20" i="19"/>
  <c r="BC20" i="19"/>
  <c r="BH20" i="19"/>
  <c r="BJ20" i="19"/>
  <c r="BL20" i="19"/>
  <c r="BN20" i="19"/>
  <c r="BP20" i="19"/>
  <c r="BU20" i="19"/>
  <c r="BW20" i="19"/>
  <c r="BY20" i="19"/>
  <c r="CA20" i="19"/>
  <c r="CC20" i="19"/>
  <c r="CH20" i="19"/>
  <c r="CJ20" i="19"/>
  <c r="CL20" i="19"/>
  <c r="CN20" i="19"/>
  <c r="CP20" i="19"/>
  <c r="CU20" i="19"/>
  <c r="CW20" i="19"/>
  <c r="CY20" i="19"/>
  <c r="DA20" i="19"/>
  <c r="DC20" i="19"/>
  <c r="DL20" i="19"/>
  <c r="DP20" i="19"/>
  <c r="BF91" i="5"/>
  <c r="BG91" i="5" s="1"/>
  <c r="BP91" i="5"/>
  <c r="BY91" i="5"/>
  <c r="BZ91" i="5" s="1"/>
  <c r="CJ91" i="5"/>
  <c r="CU91" i="5"/>
  <c r="DW91" i="5"/>
  <c r="N20" i="21" l="1"/>
  <c r="H21" i="18" s="1"/>
  <c r="CA91" i="5"/>
  <c r="R21" i="32"/>
  <c r="N21" i="13" s="1"/>
  <c r="BT20" i="19"/>
  <c r="P20" i="20"/>
  <c r="F21" i="18" s="1"/>
  <c r="N21" i="29"/>
  <c r="J21" i="13" s="1"/>
  <c r="L21" i="13" s="1"/>
  <c r="O21" i="6" s="1"/>
  <c r="G21" i="6" s="1"/>
  <c r="X20" i="19"/>
  <c r="CT20" i="19" s="1"/>
  <c r="AT20" i="19"/>
  <c r="CG20" i="19"/>
  <c r="BG20" i="19"/>
  <c r="AI20" i="19"/>
  <c r="DK20" i="19" s="1"/>
  <c r="EN91" i="5"/>
  <c r="DZ20" i="19" l="1"/>
  <c r="W20" i="9"/>
  <c r="N21" i="6"/>
  <c r="D21" i="18" l="1"/>
  <c r="L21" i="18" s="1"/>
  <c r="R20" i="9"/>
  <c r="BZ85" i="4"/>
  <c r="BZ328" i="5"/>
  <c r="BZ330" i="5"/>
  <c r="BZ174" i="5"/>
  <c r="BZ175" i="5"/>
  <c r="BZ176" i="5"/>
  <c r="BZ177" i="5"/>
  <c r="BZ178" i="5"/>
  <c r="BZ179" i="5"/>
  <c r="BZ180" i="5"/>
  <c r="BZ181" i="5"/>
  <c r="BZ182" i="5"/>
  <c r="BZ183" i="5"/>
  <c r="BZ184" i="5"/>
  <c r="BZ185" i="5"/>
  <c r="BZ186" i="5"/>
  <c r="BZ187" i="5"/>
  <c r="BZ190" i="5"/>
  <c r="BZ195" i="5"/>
  <c r="BZ198" i="5"/>
  <c r="BZ206" i="5"/>
  <c r="BZ96" i="5"/>
  <c r="BZ97" i="5"/>
  <c r="BZ106" i="5"/>
  <c r="BZ115" i="5"/>
  <c r="BZ116" i="5"/>
  <c r="BZ125" i="5"/>
  <c r="BZ126" i="5"/>
  <c r="BZ129" i="5"/>
  <c r="BZ130" i="5"/>
  <c r="BZ131" i="5"/>
  <c r="BZ150" i="5"/>
  <c r="BZ155" i="5"/>
  <c r="BZ156" i="5"/>
  <c r="BZ158" i="5"/>
  <c r="BZ159" i="5"/>
  <c r="BZ161" i="5"/>
  <c r="BZ53" i="5"/>
  <c r="BZ52" i="5"/>
  <c r="BZ39" i="5"/>
  <c r="BZ35" i="5"/>
  <c r="BZ30" i="5"/>
  <c r="BZ17" i="5"/>
  <c r="I51" i="25"/>
  <c r="K51" i="25"/>
  <c r="L11" i="25"/>
  <c r="L12" i="25"/>
  <c r="L13" i="25"/>
  <c r="L48" i="25"/>
  <c r="L47" i="25"/>
  <c r="L46" i="25"/>
  <c r="J48" i="25"/>
  <c r="J47" i="25"/>
  <c r="J46" i="25"/>
  <c r="J34" i="25"/>
  <c r="J32" i="25"/>
  <c r="L10" i="21"/>
  <c r="L11" i="21"/>
  <c r="L12" i="21"/>
  <c r="L53" i="21"/>
  <c r="L52" i="21"/>
  <c r="L51" i="21"/>
  <c r="L49" i="21"/>
  <c r="L47" i="21"/>
  <c r="L44" i="21"/>
  <c r="L43" i="21"/>
  <c r="L42" i="21"/>
  <c r="L31" i="21"/>
  <c r="L30" i="21"/>
  <c r="L29" i="21"/>
  <c r="L27" i="21"/>
  <c r="L26" i="21"/>
  <c r="L19" i="21"/>
  <c r="J53" i="21"/>
  <c r="J52" i="21"/>
  <c r="J51" i="21"/>
  <c r="J49" i="21"/>
  <c r="J47" i="21"/>
  <c r="J43" i="21"/>
  <c r="J42" i="21"/>
  <c r="J31" i="21"/>
  <c r="J30" i="21"/>
  <c r="J29" i="21"/>
  <c r="J27" i="21"/>
  <c r="J26" i="21"/>
  <c r="J19" i="21"/>
  <c r="HX18" i="26"/>
  <c r="HX19" i="26"/>
  <c r="GZ18" i="26"/>
  <c r="GZ21" i="26"/>
  <c r="AC20" i="9" l="1"/>
  <c r="T20" i="9"/>
  <c r="L34" i="25"/>
  <c r="AE20" i="9" l="1"/>
  <c r="AG20" i="9" s="1"/>
  <c r="M21" i="6"/>
  <c r="R21" i="6" s="1"/>
  <c r="E21" i="6" l="1"/>
  <c r="I21" i="6" s="1"/>
  <c r="DQ154" i="4" l="1"/>
  <c r="BG18" i="44"/>
  <c r="FH69" i="45"/>
  <c r="FH68" i="45"/>
  <c r="FH70" i="45" s="1"/>
  <c r="FH71" i="45" s="1"/>
  <c r="FF81" i="45" l="1"/>
  <c r="FF54" i="45"/>
  <c r="FF83" i="45" l="1"/>
  <c r="FJ54" i="45"/>
  <c r="F69" i="13"/>
  <c r="F34" i="15" s="1"/>
  <c r="EG61" i="4"/>
  <c r="DU63" i="5" l="1"/>
  <c r="DT15" i="4"/>
  <c r="DT10" i="4"/>
  <c r="DS15" i="4"/>
  <c r="DS10" i="4"/>
  <c r="DQ15" i="4"/>
  <c r="DQ10" i="4"/>
  <c r="DR15" i="4"/>
  <c r="DR10" i="4"/>
  <c r="DE15" i="4"/>
  <c r="CY15" i="4"/>
  <c r="Q38" i="51"/>
  <c r="F17" i="51" l="1"/>
  <c r="O17" i="51"/>
  <c r="M17" i="51"/>
  <c r="L17" i="51"/>
  <c r="K17" i="51"/>
  <c r="J17" i="51"/>
  <c r="I17" i="51"/>
  <c r="H17" i="51"/>
  <c r="G17" i="51"/>
  <c r="X60" i="51"/>
  <c r="CC10" i="4" l="1"/>
  <c r="E17" i="82" l="1"/>
  <c r="HT19" i="26"/>
  <c r="C15" i="82"/>
  <c r="C16" i="82"/>
  <c r="E15" i="82"/>
  <c r="Z120" i="4"/>
  <c r="CU33" i="26"/>
  <c r="CU21" i="26"/>
  <c r="CU18" i="26"/>
  <c r="GA22" i="26"/>
  <c r="E62" i="82"/>
  <c r="E18" i="82"/>
  <c r="E19" i="82"/>
  <c r="E20" i="82"/>
  <c r="E21" i="82"/>
  <c r="E28" i="82"/>
  <c r="E29" i="82"/>
  <c r="E31" i="82"/>
  <c r="E34" i="82"/>
  <c r="E35" i="82"/>
  <c r="E37" i="82"/>
  <c r="E38" i="82"/>
  <c r="E40" i="82"/>
  <c r="E41" i="82"/>
  <c r="E43" i="82"/>
  <c r="E44" i="82"/>
  <c r="E45" i="82"/>
  <c r="E46" i="82"/>
  <c r="E53" i="82"/>
  <c r="E54" i="82"/>
  <c r="E55" i="82"/>
  <c r="E56" i="82"/>
  <c r="D17" i="82"/>
  <c r="D18" i="82"/>
  <c r="D19" i="82"/>
  <c r="D20" i="82"/>
  <c r="D21" i="82"/>
  <c r="D28" i="82"/>
  <c r="D29" i="82"/>
  <c r="F29" i="82" s="1"/>
  <c r="D31" i="82"/>
  <c r="D32" i="82"/>
  <c r="D34" i="82"/>
  <c r="D35" i="82"/>
  <c r="D37" i="82"/>
  <c r="D38" i="82"/>
  <c r="D40" i="82"/>
  <c r="D41" i="82"/>
  <c r="D43" i="82"/>
  <c r="D44" i="82"/>
  <c r="D45" i="82"/>
  <c r="D46" i="82"/>
  <c r="D53" i="82"/>
  <c r="D54" i="82"/>
  <c r="D55" i="82"/>
  <c r="D56" i="82"/>
  <c r="F53" i="82" l="1"/>
  <c r="F21" i="82"/>
  <c r="F43" i="82"/>
  <c r="F37" i="82"/>
  <c r="F31" i="82"/>
  <c r="F20" i="82"/>
  <c r="F44" i="82"/>
  <c r="F38" i="82"/>
  <c r="F56" i="82"/>
  <c r="F46" i="82"/>
  <c r="F41" i="82"/>
  <c r="F35" i="82"/>
  <c r="F19" i="82"/>
  <c r="F55" i="82"/>
  <c r="F40" i="82"/>
  <c r="F34" i="82"/>
  <c r="F18" i="82"/>
  <c r="F17" i="82"/>
  <c r="E58" i="82"/>
  <c r="E48" i="82"/>
  <c r="D58" i="82"/>
  <c r="D48" i="82"/>
  <c r="F54" i="82"/>
  <c r="F32" i="82"/>
  <c r="F48" i="82" l="1"/>
  <c r="CY63" i="26"/>
  <c r="F202" i="11"/>
  <c r="G21" i="79" l="1"/>
  <c r="V41" i="51" l="1"/>
  <c r="M75" i="71" l="1"/>
  <c r="M77" i="71"/>
  <c r="M76" i="71"/>
  <c r="I77" i="71"/>
  <c r="E76" i="71"/>
  <c r="C77" i="71"/>
  <c r="C76" i="71"/>
  <c r="U65" i="71"/>
  <c r="R64" i="71"/>
  <c r="R61" i="71"/>
  <c r="M74" i="71"/>
  <c r="M73" i="71"/>
  <c r="N52" i="71"/>
  <c r="M52" i="71"/>
  <c r="M68" i="71" l="1"/>
  <c r="M96" i="71" s="1"/>
  <c r="M87" i="71"/>
  <c r="M86" i="71"/>
  <c r="N68" i="71"/>
  <c r="N96" i="71" s="1"/>
  <c r="N86" i="71"/>
  <c r="N87" i="71"/>
  <c r="M70" i="71"/>
  <c r="R77" i="71"/>
  <c r="U77" i="71" s="1"/>
  <c r="R78" i="71"/>
  <c r="N70" i="71" l="1"/>
  <c r="CC56" i="5"/>
  <c r="AW232" i="5"/>
  <c r="BW232" i="5" l="1"/>
  <c r="BV232" i="5"/>
  <c r="BU232" i="5"/>
  <c r="BT232" i="5"/>
  <c r="BS232" i="5"/>
  <c r="BR232" i="5"/>
  <c r="C6" i="67" l="1"/>
  <c r="C5" i="67"/>
  <c r="C2" i="67"/>
  <c r="C1" i="67"/>
  <c r="H44" i="27" l="1"/>
  <c r="N47" i="10"/>
  <c r="N48" i="10"/>
  <c r="N49" i="10"/>
  <c r="D48" i="10"/>
  <c r="F48" i="10"/>
  <c r="G48" i="10"/>
  <c r="H48" i="10"/>
  <c r="J48" i="10"/>
  <c r="D49" i="10"/>
  <c r="F49" i="10"/>
  <c r="G49" i="10"/>
  <c r="H49" i="10"/>
  <c r="J49" i="10"/>
  <c r="J50" i="10"/>
  <c r="B47" i="10"/>
  <c r="L47" i="10" s="1"/>
  <c r="B48" i="10"/>
  <c r="L48" i="10" s="1"/>
  <c r="B49" i="10"/>
  <c r="L49" i="10" s="1"/>
  <c r="D48" i="23"/>
  <c r="B46" i="23"/>
  <c r="B47" i="23"/>
  <c r="B48" i="23"/>
  <c r="D46" i="24"/>
  <c r="H46" i="24"/>
  <c r="J46" i="24"/>
  <c r="L46" i="24"/>
  <c r="N46" i="24"/>
  <c r="D47" i="24"/>
  <c r="H47" i="24"/>
  <c r="J47" i="24"/>
  <c r="L47" i="24"/>
  <c r="N47" i="24"/>
  <c r="D48" i="24"/>
  <c r="H48" i="24"/>
  <c r="J48" i="24"/>
  <c r="L48" i="24"/>
  <c r="N48" i="24"/>
  <c r="B46" i="24"/>
  <c r="B47" i="24"/>
  <c r="B48" i="24"/>
  <c r="B49" i="24"/>
  <c r="H72" i="27"/>
  <c r="H46" i="27"/>
  <c r="BI50" i="4" s="1"/>
  <c r="AQ47" i="27"/>
  <c r="AD46" i="27"/>
  <c r="AJ46" i="27"/>
  <c r="AD47" i="27"/>
  <c r="AJ47" i="27"/>
  <c r="S46" i="27"/>
  <c r="X46" i="27"/>
  <c r="S47" i="27"/>
  <c r="X47" i="27"/>
  <c r="O47" i="27"/>
  <c r="H47" i="27"/>
  <c r="I47" i="27" s="1"/>
  <c r="E47" i="27"/>
  <c r="H45" i="27"/>
  <c r="AR45" i="27" s="1"/>
  <c r="AQ46" i="27"/>
  <c r="O46" i="27"/>
  <c r="E46" i="27"/>
  <c r="AQ45" i="27"/>
  <c r="AJ45" i="27"/>
  <c r="AD45" i="27"/>
  <c r="X45" i="27"/>
  <c r="S45" i="27"/>
  <c r="E45" i="27"/>
  <c r="I45" i="27" l="1"/>
  <c r="BI52" i="5"/>
  <c r="BP50" i="4"/>
  <c r="AS45" i="27"/>
  <c r="BI49" i="4"/>
  <c r="BI51" i="5" s="1"/>
  <c r="BI51" i="4"/>
  <c r="AR47" i="27"/>
  <c r="AS47" i="27" s="1"/>
  <c r="AR46" i="27"/>
  <c r="AS46" i="27" s="1"/>
  <c r="I46" i="27"/>
  <c r="BI53" i="5" l="1"/>
  <c r="BP51" i="4"/>
  <c r="F46" i="24"/>
  <c r="P46" i="24" s="1"/>
  <c r="F46" i="23" s="1"/>
  <c r="BP51" i="5"/>
  <c r="BQ51" i="5" s="1"/>
  <c r="F47" i="24"/>
  <c r="P47" i="24" s="1"/>
  <c r="F47" i="23" s="1"/>
  <c r="BP52" i="5"/>
  <c r="BQ52" i="5" s="1"/>
  <c r="F48" i="24" l="1"/>
  <c r="P48" i="24" s="1"/>
  <c r="F48" i="23" s="1"/>
  <c r="BP53" i="5"/>
  <c r="BQ53" i="5" s="1"/>
  <c r="CQ33" i="4"/>
  <c r="CQ33" i="5" s="1"/>
  <c r="AA67" i="13" l="1"/>
  <c r="BG17" i="5" l="1"/>
  <c r="BG30" i="5"/>
  <c r="BG39" i="5"/>
  <c r="BG40" i="5"/>
  <c r="BG85" i="4"/>
  <c r="BG95" i="4"/>
  <c r="BG96" i="4"/>
  <c r="BG97" i="4"/>
  <c r="BG107" i="4"/>
  <c r="BG113" i="4"/>
  <c r="BG114" i="4"/>
  <c r="BG115" i="4"/>
  <c r="BG116" i="4"/>
  <c r="BG129" i="4"/>
  <c r="BG135" i="4"/>
  <c r="BG143" i="4"/>
  <c r="BG144" i="4"/>
  <c r="BG145" i="4"/>
  <c r="BG146" i="4"/>
  <c r="BG147" i="4"/>
  <c r="BG148" i="4"/>
  <c r="BG149" i="4"/>
  <c r="BG150" i="4"/>
  <c r="BG151" i="4"/>
  <c r="BG152" i="4"/>
  <c r="BG153" i="4"/>
  <c r="BG154" i="4"/>
  <c r="BG155" i="4"/>
  <c r="BG156" i="4"/>
  <c r="BG161" i="4"/>
  <c r="BG165" i="4"/>
  <c r="BG166" i="4"/>
  <c r="BG167" i="4"/>
  <c r="BG168" i="4"/>
  <c r="BG169" i="4"/>
  <c r="BG170" i="4"/>
  <c r="BG62" i="4"/>
  <c r="BG65" i="4"/>
  <c r="BG66" i="4"/>
  <c r="BG68" i="4"/>
  <c r="BG70" i="4"/>
  <c r="W38" i="13" l="1"/>
  <c r="CC33" i="4"/>
  <c r="CC106" i="4"/>
  <c r="CC154" i="4"/>
  <c r="L38" i="14" l="1"/>
  <c r="AE139" i="9" l="1"/>
  <c r="Y154" i="9"/>
  <c r="I526" i="5" l="1"/>
  <c r="I523" i="5"/>
  <c r="L6" i="10" l="1"/>
  <c r="L5" i="10"/>
  <c r="L4" i="10"/>
  <c r="L5" i="9"/>
  <c r="L4" i="9"/>
  <c r="L3" i="9"/>
  <c r="B5" i="9"/>
  <c r="Q37" i="7"/>
  <c r="AN17" i="10"/>
  <c r="AN16" i="10"/>
  <c r="FR22" i="26" l="1"/>
  <c r="R45" i="69" l="1"/>
  <c r="H144" i="15" l="1"/>
  <c r="N11" i="66" l="1"/>
  <c r="N10" i="66"/>
  <c r="N9" i="66"/>
  <c r="N8" i="66"/>
  <c r="N7" i="66"/>
  <c r="O36" i="70" l="1"/>
  <c r="O35" i="70"/>
  <c r="O34" i="70"/>
  <c r="O33" i="70"/>
  <c r="O32" i="70"/>
  <c r="O31" i="70"/>
  <c r="O30" i="70"/>
  <c r="O29" i="70"/>
  <c r="O28" i="70"/>
  <c r="O43" i="70"/>
  <c r="O37" i="70"/>
  <c r="O11" i="70"/>
  <c r="I78" i="70"/>
  <c r="O38" i="70" l="1"/>
  <c r="C78" i="70" l="1"/>
  <c r="K20" i="17" l="1"/>
  <c r="D36" i="17"/>
  <c r="F38" i="17"/>
  <c r="F36" i="17"/>
  <c r="AI28" i="69" l="1"/>
  <c r="D92" i="5" l="1"/>
  <c r="BB61" i="4"/>
  <c r="BB187" i="4" s="1"/>
  <c r="E62" i="61"/>
  <c r="J74" i="82" l="1"/>
  <c r="E68" i="82" l="1"/>
  <c r="BB49" i="4"/>
  <c r="C56" i="82"/>
  <c r="BB48" i="4"/>
  <c r="C55" i="82"/>
  <c r="BB47" i="4"/>
  <c r="C54" i="82"/>
  <c r="C53" i="82"/>
  <c r="BB29" i="4"/>
  <c r="BB29" i="5" s="1"/>
  <c r="C46" i="82"/>
  <c r="BB28" i="4"/>
  <c r="C45" i="82"/>
  <c r="C44" i="82"/>
  <c r="C43" i="82"/>
  <c r="C41" i="82"/>
  <c r="C40" i="82"/>
  <c r="C38" i="82"/>
  <c r="C37" i="82"/>
  <c r="C35" i="82"/>
  <c r="C34" i="82"/>
  <c r="C32" i="82"/>
  <c r="C31" i="82"/>
  <c r="C29" i="82"/>
  <c r="C28" i="82"/>
  <c r="BB16" i="4"/>
  <c r="C21" i="82"/>
  <c r="C20" i="82"/>
  <c r="BB14" i="4"/>
  <c r="C19" i="82"/>
  <c r="C18" i="82"/>
  <c r="BB12" i="4"/>
  <c r="C17" i="82"/>
  <c r="C23" i="82" s="1"/>
  <c r="E16" i="82"/>
  <c r="E23" i="82" s="1"/>
  <c r="D16" i="82"/>
  <c r="D15" i="82"/>
  <c r="D23" i="82" s="1"/>
  <c r="C15" i="61"/>
  <c r="C17" i="61"/>
  <c r="C20" i="61"/>
  <c r="C21" i="61"/>
  <c r="D16" i="61"/>
  <c r="D17" i="61"/>
  <c r="D18" i="61"/>
  <c r="D19" i="61"/>
  <c r="B72" i="82"/>
  <c r="B70" i="82"/>
  <c r="B68" i="82"/>
  <c r="B66" i="82"/>
  <c r="B64" i="82"/>
  <c r="B62" i="82"/>
  <c r="B60" i="82"/>
  <c r="B58" i="82"/>
  <c r="B56" i="82"/>
  <c r="B55" i="82"/>
  <c r="B54" i="82"/>
  <c r="B53" i="82"/>
  <c r="B52" i="82"/>
  <c r="B50" i="82"/>
  <c r="B49" i="82"/>
  <c r="B48" i="82"/>
  <c r="B46" i="82"/>
  <c r="B45" i="82"/>
  <c r="B42" i="82"/>
  <c r="B39" i="82"/>
  <c r="B36" i="82"/>
  <c r="B33" i="82"/>
  <c r="B30" i="82"/>
  <c r="B27" i="82"/>
  <c r="B26" i="82"/>
  <c r="B25" i="82"/>
  <c r="B23" i="82"/>
  <c r="B21" i="82"/>
  <c r="B20" i="82"/>
  <c r="B19" i="82"/>
  <c r="B18" i="82"/>
  <c r="B17" i="82"/>
  <c r="B16" i="82"/>
  <c r="B15" i="82"/>
  <c r="B14" i="82"/>
  <c r="B6" i="82"/>
  <c r="BB10" i="4" l="1"/>
  <c r="D50" i="82"/>
  <c r="D60" i="82" s="1"/>
  <c r="BB27" i="4"/>
  <c r="BB22" i="4"/>
  <c r="BB24" i="4"/>
  <c r="BB46" i="4"/>
  <c r="F16" i="82"/>
  <c r="BB11" i="4"/>
  <c r="BB15" i="4"/>
  <c r="BB23" i="4"/>
  <c r="BB23" i="5" s="1"/>
  <c r="BB26" i="4"/>
  <c r="BB25" i="4"/>
  <c r="BB13" i="4"/>
  <c r="C58" i="82"/>
  <c r="C48" i="82"/>
  <c r="F15" i="82"/>
  <c r="BG330" i="5"/>
  <c r="BG328" i="5"/>
  <c r="BG295" i="5"/>
  <c r="BG268" i="5"/>
  <c r="BG267" i="5"/>
  <c r="BG266" i="5"/>
  <c r="BG264" i="5"/>
  <c r="BG263" i="5"/>
  <c r="BG262" i="5"/>
  <c r="BG186" i="5"/>
  <c r="BG151" i="5"/>
  <c r="BG150" i="5"/>
  <c r="BG144" i="5"/>
  <c r="BG131" i="5"/>
  <c r="BG126" i="5"/>
  <c r="BG125" i="5"/>
  <c r="BG97" i="5"/>
  <c r="BG96" i="5"/>
  <c r="BG87" i="5"/>
  <c r="BG51" i="5"/>
  <c r="CA39" i="5"/>
  <c r="CA30" i="5"/>
  <c r="F23" i="82" l="1"/>
  <c r="E50" i="82"/>
  <c r="E60" i="82" s="1"/>
  <c r="E72" i="82" s="1"/>
  <c r="C50" i="82"/>
  <c r="C60" i="82" s="1"/>
  <c r="F58" i="82"/>
  <c r="DW11" i="4"/>
  <c r="DW13" i="4"/>
  <c r="DW14" i="4"/>
  <c r="D32" i="36"/>
  <c r="D38" i="17" s="1"/>
  <c r="H4" i="66" l="1"/>
  <c r="H14" i="66" s="1"/>
  <c r="D40" i="17"/>
  <c r="F50" i="82"/>
  <c r="F60" i="82" s="1"/>
  <c r="D16" i="36" l="1"/>
  <c r="D21" i="17" s="1"/>
  <c r="J12" i="21" l="1"/>
  <c r="G13" i="10" l="1"/>
  <c r="G14" i="10"/>
  <c r="G47" i="10"/>
  <c r="G11" i="9"/>
  <c r="G12" i="9"/>
  <c r="G19" i="9"/>
  <c r="G26" i="9"/>
  <c r="G27" i="9"/>
  <c r="G29" i="9"/>
  <c r="G30" i="9"/>
  <c r="G31" i="9"/>
  <c r="G63" i="9"/>
  <c r="G64" i="9"/>
  <c r="G70" i="9"/>
  <c r="G72" i="9"/>
  <c r="G73" i="9"/>
  <c r="G77" i="9"/>
  <c r="F69" i="51"/>
  <c r="F63" i="51"/>
  <c r="G69" i="51"/>
  <c r="G63" i="51"/>
  <c r="Q63" i="51"/>
  <c r="J63" i="51" l="1"/>
  <c r="T17" i="16"/>
  <c r="T16" i="16"/>
  <c r="C86" i="5"/>
  <c r="BR97" i="4" l="1"/>
  <c r="BY97" i="4" s="1"/>
  <c r="BP97" i="4"/>
  <c r="DT154" i="4" l="1"/>
  <c r="DN15" i="4"/>
  <c r="DC15" i="4"/>
  <c r="DB15" i="4"/>
  <c r="DB15" i="5" s="1"/>
  <c r="H13" i="50" l="1"/>
  <c r="H17" i="50"/>
  <c r="H19" i="50" l="1"/>
  <c r="EM22" i="26"/>
  <c r="EC30" i="26"/>
  <c r="DY21" i="26"/>
  <c r="DS21" i="26"/>
  <c r="DO16" i="26"/>
  <c r="DU39" i="5" l="1"/>
  <c r="DP15" i="4" l="1"/>
  <c r="DP191" i="4"/>
  <c r="CN15" i="4" l="1"/>
  <c r="CO15" i="4"/>
  <c r="CP15" i="4"/>
  <c r="CQ15" i="4"/>
  <c r="CR15" i="4"/>
  <c r="CL15" i="4"/>
  <c r="CH15" i="4"/>
  <c r="CG15" i="4"/>
  <c r="CF15" i="4"/>
  <c r="CE15" i="4"/>
  <c r="CD15" i="4"/>
  <c r="CC15" i="4"/>
  <c r="CB15" i="4"/>
  <c r="CL13" i="4"/>
  <c r="CH13" i="4"/>
  <c r="CF13" i="4"/>
  <c r="CC13" i="4"/>
  <c r="CD13" i="4"/>
  <c r="CE13" i="4"/>
  <c r="CL61" i="4"/>
  <c r="M36" i="28" l="1"/>
  <c r="R22" i="27"/>
  <c r="ID18" i="26"/>
  <c r="GP18" i="26"/>
  <c r="CO16" i="26" l="1"/>
  <c r="CE16" i="26"/>
  <c r="CA16" i="26"/>
  <c r="BK16" i="26"/>
  <c r="AM16" i="26"/>
  <c r="O16" i="26"/>
  <c r="AC54" i="27"/>
  <c r="AC63" i="26"/>
  <c r="E63" i="26"/>
  <c r="P212" i="11"/>
  <c r="G186" i="41"/>
  <c r="F202" i="64" s="1"/>
  <c r="GB7" i="26" l="1"/>
  <c r="AQ33" i="80"/>
  <c r="A5" i="80"/>
  <c r="AE5" i="80" s="1"/>
  <c r="K5" i="80" l="1"/>
  <c r="U5" i="80"/>
  <c r="L68" i="14"/>
  <c r="CG66" i="5"/>
  <c r="CC66" i="5"/>
  <c r="CC15" i="5"/>
  <c r="G76" i="71" l="1"/>
  <c r="R76" i="71" s="1"/>
  <c r="K75" i="71"/>
  <c r="L52" i="71"/>
  <c r="K52" i="71"/>
  <c r="L68" i="71" l="1"/>
  <c r="L96" i="71" s="1"/>
  <c r="L86" i="71"/>
  <c r="L85" i="71"/>
  <c r="L87" i="71"/>
  <c r="K68" i="71"/>
  <c r="K87" i="71"/>
  <c r="K86" i="71"/>
  <c r="K85" i="71"/>
  <c r="L70" i="71" l="1"/>
  <c r="K70" i="71"/>
  <c r="K96" i="71"/>
  <c r="U78" i="71"/>
  <c r="E91" i="70"/>
  <c r="DY66" i="5" l="1"/>
  <c r="DY39" i="5"/>
  <c r="DY15" i="5"/>
  <c r="T29" i="51" l="1"/>
  <c r="U30" i="51" s="1"/>
  <c r="T22" i="51" l="1"/>
  <c r="C100" i="70" l="1"/>
  <c r="C103" i="70" s="1"/>
  <c r="P235" i="45" l="1"/>
  <c r="N215" i="65"/>
  <c r="N235" i="65"/>
  <c r="N230" i="65"/>
  <c r="N225" i="65"/>
  <c r="N220" i="65"/>
  <c r="N210" i="65"/>
  <c r="AB66" i="47" l="1"/>
  <c r="E167" i="65" l="1"/>
  <c r="E172" i="65"/>
  <c r="E182" i="65"/>
  <c r="G185" i="65" s="1"/>
  <c r="E183" i="65"/>
  <c r="E199" i="65"/>
  <c r="E175" i="65" l="1"/>
  <c r="J39" i="37" l="1"/>
  <c r="AC56" i="28" l="1"/>
  <c r="T56" i="28"/>
  <c r="K56" i="28"/>
  <c r="AL44" i="27"/>
  <c r="Z44" i="27"/>
  <c r="L44" i="27"/>
  <c r="L59" i="30" l="1"/>
  <c r="J59" i="30"/>
  <c r="H59" i="30"/>
  <c r="N107" i="10" l="1"/>
  <c r="F159" i="15" l="1"/>
  <c r="F97" i="15" s="1"/>
  <c r="F160" i="15"/>
  <c r="F67" i="15" l="1"/>
  <c r="G78" i="70" l="1"/>
  <c r="CG106" i="4" l="1"/>
  <c r="D69" i="39" l="1"/>
  <c r="D70" i="39" l="1"/>
  <c r="D62" i="8" l="1"/>
  <c r="E58" i="8" l="1"/>
  <c r="F58" i="8"/>
  <c r="G56" i="8"/>
  <c r="G57" i="8"/>
  <c r="G55" i="8"/>
  <c r="G62" i="8" s="1"/>
  <c r="G58" i="8" l="1"/>
  <c r="D63" i="8" s="1"/>
  <c r="D64" i="8" s="1"/>
  <c r="Q35" i="8"/>
  <c r="BF53" i="4" l="1"/>
  <c r="BG53" i="4" s="1"/>
  <c r="BF54" i="4"/>
  <c r="BG54" i="4" s="1"/>
  <c r="BG60" i="4"/>
  <c r="IP7" i="26" l="1"/>
  <c r="IL61" i="26"/>
  <c r="IL59" i="26"/>
  <c r="IA61" i="26"/>
  <c r="IA59" i="26"/>
  <c r="HT22" i="26" l="1"/>
  <c r="HT21" i="26"/>
  <c r="HT20" i="26"/>
  <c r="HT17" i="26"/>
  <c r="HT16" i="26"/>
  <c r="HS22" i="26"/>
  <c r="HS21" i="26"/>
  <c r="HS20" i="26"/>
  <c r="HS19" i="26"/>
  <c r="HS17" i="26"/>
  <c r="HS16" i="26"/>
  <c r="HT30" i="26"/>
  <c r="HT31" i="26"/>
  <c r="HT32" i="26"/>
  <c r="HT33" i="26"/>
  <c r="HT34" i="26"/>
  <c r="HT35" i="26"/>
  <c r="HT36" i="26"/>
  <c r="HT37" i="26"/>
  <c r="HT38" i="26"/>
  <c r="HT39" i="26"/>
  <c r="HT40" i="26"/>
  <c r="HT41" i="26"/>
  <c r="HT42" i="26"/>
  <c r="HT43" i="26"/>
  <c r="HT44" i="26"/>
  <c r="HT45" i="26"/>
  <c r="HT46" i="26"/>
  <c r="HT47" i="26"/>
  <c r="HT29" i="26"/>
  <c r="HS46" i="26"/>
  <c r="HS47" i="26"/>
  <c r="HS30" i="26"/>
  <c r="HS31" i="26"/>
  <c r="HS32" i="26"/>
  <c r="HS33" i="26"/>
  <c r="HS34" i="26"/>
  <c r="HS35" i="26"/>
  <c r="HS36" i="26"/>
  <c r="HS37" i="26"/>
  <c r="HS38" i="26"/>
  <c r="HS39" i="26"/>
  <c r="HS40" i="26"/>
  <c r="HS41" i="26"/>
  <c r="HS42" i="26"/>
  <c r="HS43" i="26"/>
  <c r="HS44" i="26"/>
  <c r="HS45" i="26"/>
  <c r="HS29" i="26"/>
  <c r="HT18" i="26"/>
  <c r="HS18" i="26"/>
  <c r="HT63" i="26"/>
  <c r="HT69" i="26" s="1"/>
  <c r="HT57" i="26"/>
  <c r="HS57" i="26"/>
  <c r="HT56" i="26"/>
  <c r="HS56" i="26"/>
  <c r="HT55" i="26"/>
  <c r="HS55" i="26"/>
  <c r="HT54" i="26"/>
  <c r="HS54" i="26"/>
  <c r="HU42" i="26" l="1"/>
  <c r="HU18" i="26"/>
  <c r="HU44" i="26"/>
  <c r="HU36" i="26"/>
  <c r="HU32" i="26"/>
  <c r="HU17" i="26"/>
  <c r="HU47" i="26"/>
  <c r="HU38" i="26"/>
  <c r="HU30" i="26"/>
  <c r="HU39" i="26"/>
  <c r="HU45" i="26"/>
  <c r="HU41" i="26"/>
  <c r="HU33" i="26"/>
  <c r="HS24" i="26"/>
  <c r="HU29" i="26"/>
  <c r="HU20" i="26"/>
  <c r="HU55" i="26"/>
  <c r="HS59" i="26"/>
  <c r="HU57" i="26"/>
  <c r="HU54" i="26"/>
  <c r="HU19" i="26"/>
  <c r="HU56" i="26"/>
  <c r="HU21" i="26"/>
  <c r="HU22" i="26"/>
  <c r="HU46" i="26"/>
  <c r="HU35" i="26"/>
  <c r="HT24" i="26"/>
  <c r="HT49" i="26"/>
  <c r="HT59" i="26"/>
  <c r="HU16" i="26"/>
  <c r="HS49" i="26"/>
  <c r="HS51" i="26" l="1"/>
  <c r="HS61" i="26" s="1"/>
  <c r="HU59" i="26"/>
  <c r="HU49" i="26"/>
  <c r="HU24" i="26"/>
  <c r="HT51" i="26"/>
  <c r="HT61" i="26" s="1"/>
  <c r="HT73" i="26" s="1"/>
  <c r="HU51" i="26" l="1"/>
  <c r="HU61" i="26" s="1"/>
  <c r="EB86" i="5"/>
  <c r="G75" i="71" l="1"/>
  <c r="AC90" i="9" l="1"/>
  <c r="N173" i="9"/>
  <c r="E75" i="71"/>
  <c r="R75" i="71" s="1"/>
  <c r="G73" i="71"/>
  <c r="E73" i="71"/>
  <c r="R73" i="71" s="1"/>
  <c r="R62" i="71" l="1"/>
  <c r="R63" i="71"/>
  <c r="J52" i="71"/>
  <c r="I52" i="71"/>
  <c r="I86" i="71" l="1"/>
  <c r="I85" i="71"/>
  <c r="I84" i="71"/>
  <c r="I87" i="71"/>
  <c r="J68" i="71"/>
  <c r="J85" i="71"/>
  <c r="J84" i="71"/>
  <c r="J87" i="71"/>
  <c r="J86" i="71"/>
  <c r="I68" i="71"/>
  <c r="I96" i="71" s="1"/>
  <c r="J70" i="71" l="1"/>
  <c r="J96" i="71"/>
  <c r="I70" i="71"/>
  <c r="AI29" i="69"/>
  <c r="AG28" i="69"/>
  <c r="AE29" i="69"/>
  <c r="AE28" i="69"/>
  <c r="AG29" i="69"/>
  <c r="R44" i="69" l="1"/>
  <c r="U8" i="72" l="1"/>
  <c r="S8" i="72"/>
  <c r="W7" i="72"/>
  <c r="W6" i="72"/>
  <c r="W5" i="72"/>
  <c r="L19" i="40" l="1"/>
  <c r="L20" i="40"/>
  <c r="L21" i="40"/>
  <c r="L22" i="40"/>
  <c r="L23" i="40"/>
  <c r="L24" i="40"/>
  <c r="L25" i="40"/>
  <c r="L26" i="40"/>
  <c r="L27" i="40"/>
  <c r="L28" i="40"/>
  <c r="L29" i="40"/>
  <c r="L30" i="40"/>
  <c r="L31" i="40"/>
  <c r="L32" i="40"/>
  <c r="L33" i="40"/>
  <c r="L34" i="40"/>
  <c r="L35" i="40"/>
  <c r="L36" i="40"/>
  <c r="K18" i="40"/>
  <c r="L18" i="40" s="1"/>
  <c r="BD16" i="5" l="1"/>
  <c r="AN16" i="4" l="1"/>
  <c r="AA34" i="80" l="1"/>
  <c r="T19" i="16"/>
  <c r="T20" i="16" s="1"/>
  <c r="AC13" i="37" l="1"/>
  <c r="AC14" i="37"/>
  <c r="AC12" i="37"/>
  <c r="AC10" i="80"/>
  <c r="AC19" i="37"/>
  <c r="AC21" i="37"/>
  <c r="AC28" i="37"/>
  <c r="AC11" i="80"/>
  <c r="AC12" i="80"/>
  <c r="DW205" i="5" l="1"/>
  <c r="DW204" i="5"/>
  <c r="DW203" i="5"/>
  <c r="DW202" i="5"/>
  <c r="DW201" i="5"/>
  <c r="DW199" i="5"/>
  <c r="DW198" i="5"/>
  <c r="DW197" i="5"/>
  <c r="DW196" i="5"/>
  <c r="DW195" i="5"/>
  <c r="DW194" i="5"/>
  <c r="DW193" i="5"/>
  <c r="DW192" i="5"/>
  <c r="DW191" i="5"/>
  <c r="DW189" i="5"/>
  <c r="DW188" i="5"/>
  <c r="DW184" i="5"/>
  <c r="DW183" i="5"/>
  <c r="DW182" i="5"/>
  <c r="DW181" i="5"/>
  <c r="DW180" i="5"/>
  <c r="DW179" i="5"/>
  <c r="DW178" i="5"/>
  <c r="DW177" i="5"/>
  <c r="DW163" i="5"/>
  <c r="DW160" i="5"/>
  <c r="DW158" i="5"/>
  <c r="DW151" i="5"/>
  <c r="DW150" i="5"/>
  <c r="DW149" i="5"/>
  <c r="DW148" i="5"/>
  <c r="DW147" i="5"/>
  <c r="DW146" i="5"/>
  <c r="DW145" i="5"/>
  <c r="DW144" i="5"/>
  <c r="DW143" i="5"/>
  <c r="DW142" i="5"/>
  <c r="DW141" i="5"/>
  <c r="DW140" i="5"/>
  <c r="DW139" i="5"/>
  <c r="DW138" i="5"/>
  <c r="DW136" i="5"/>
  <c r="DW135" i="5"/>
  <c r="DW133" i="5"/>
  <c r="DW123" i="5"/>
  <c r="DW120" i="5"/>
  <c r="DW118" i="5"/>
  <c r="DW113" i="5"/>
  <c r="DW112" i="5"/>
  <c r="DW111" i="5"/>
  <c r="DW110" i="5"/>
  <c r="DW108" i="5"/>
  <c r="DW107" i="5"/>
  <c r="DW106" i="5"/>
  <c r="DW104" i="5"/>
  <c r="DW103" i="5"/>
  <c r="DW102" i="5"/>
  <c r="DW101" i="5"/>
  <c r="DW100" i="5"/>
  <c r="DW99" i="5"/>
  <c r="DW98" i="5"/>
  <c r="DW97" i="5"/>
  <c r="DW96" i="5"/>
  <c r="DW95" i="5"/>
  <c r="DW94" i="5"/>
  <c r="DW93" i="5"/>
  <c r="DW92" i="5"/>
  <c r="DW90" i="5"/>
  <c r="DW89" i="5"/>
  <c r="DW65" i="5"/>
  <c r="DW57" i="5"/>
  <c r="DW56" i="5"/>
  <c r="DW55" i="5"/>
  <c r="DW54" i="5"/>
  <c r="DW51" i="5"/>
  <c r="DW50" i="5"/>
  <c r="DW47" i="5"/>
  <c r="DW46" i="5"/>
  <c r="DW38" i="5"/>
  <c r="DW37" i="5"/>
  <c r="DW36" i="5"/>
  <c r="DW35" i="5"/>
  <c r="DW34" i="5"/>
  <c r="DW33" i="5"/>
  <c r="DW32" i="5"/>
  <c r="DW31" i="5"/>
  <c r="DW30" i="5"/>
  <c r="DW29" i="5"/>
  <c r="DW28" i="5"/>
  <c r="DW27" i="5"/>
  <c r="DW26" i="5"/>
  <c r="DW25" i="5"/>
  <c r="DW24" i="5"/>
  <c r="DW23" i="5"/>
  <c r="DW22" i="5"/>
  <c r="DW14" i="5"/>
  <c r="DW13" i="5"/>
  <c r="DW11" i="5"/>
  <c r="BF296" i="5" l="1"/>
  <c r="BG296" i="5" s="1"/>
  <c r="BF297" i="5"/>
  <c r="BG297" i="5" s="1"/>
  <c r="BF298" i="5"/>
  <c r="BG298" i="5" s="1"/>
  <c r="BF299" i="5"/>
  <c r="BG299" i="5" s="1"/>
  <c r="BF300" i="5"/>
  <c r="BG300" i="5" s="1"/>
  <c r="BF301" i="5"/>
  <c r="BG301" i="5" s="1"/>
  <c r="BF302" i="5"/>
  <c r="BG302" i="5" s="1"/>
  <c r="BF303" i="5"/>
  <c r="BG303" i="5" s="1"/>
  <c r="BF304" i="5"/>
  <c r="BG304" i="5" s="1"/>
  <c r="BF305" i="5"/>
  <c r="BG305" i="5" s="1"/>
  <c r="BF306" i="5"/>
  <c r="BG306" i="5" s="1"/>
  <c r="BF307" i="5"/>
  <c r="BG307" i="5" s="1"/>
  <c r="DR154" i="4" l="1"/>
  <c r="AC16" i="27" l="1"/>
  <c r="ID33" i="26"/>
  <c r="GE21" i="26"/>
  <c r="EW22" i="26"/>
  <c r="EI20" i="26"/>
  <c r="DE19" i="26"/>
  <c r="BC16" i="26"/>
  <c r="AI16" i="26"/>
  <c r="AC16" i="26"/>
  <c r="BR83" i="4" l="1"/>
  <c r="CN13" i="4"/>
  <c r="CO13" i="4"/>
  <c r="CP13" i="4"/>
  <c r="CQ13" i="4"/>
  <c r="CR13" i="4"/>
  <c r="CR154" i="4"/>
  <c r="CQ154" i="4"/>
  <c r="CP154" i="4"/>
  <c r="CO154" i="4"/>
  <c r="CN154" i="4"/>
  <c r="CL154" i="4"/>
  <c r="CD154" i="4"/>
  <c r="CE154" i="4"/>
  <c r="CH154" i="4"/>
  <c r="CG13" i="4"/>
  <c r="BT164" i="4" l="1"/>
  <c r="BU164" i="4"/>
  <c r="BV164" i="4"/>
  <c r="BW164" i="4"/>
  <c r="BI157" i="4"/>
  <c r="BJ157" i="4"/>
  <c r="BK157" i="4"/>
  <c r="BL157" i="4"/>
  <c r="BM157" i="4"/>
  <c r="BN157" i="4"/>
  <c r="BH157" i="4"/>
  <c r="AY164" i="4"/>
  <c r="AZ164" i="4"/>
  <c r="BA164" i="4"/>
  <c r="AX164" i="4"/>
  <c r="AG164" i="4"/>
  <c r="AH164" i="4"/>
  <c r="AI164" i="4"/>
  <c r="AJ164" i="4"/>
  <c r="AK164" i="4"/>
  <c r="AL164" i="4"/>
  <c r="AM164" i="4"/>
  <c r="AN164" i="4"/>
  <c r="AO164" i="4"/>
  <c r="AP164" i="4"/>
  <c r="AQ164" i="4"/>
  <c r="AR164" i="4"/>
  <c r="AS164" i="4"/>
  <c r="AT164" i="4"/>
  <c r="AU164" i="4"/>
  <c r="AV164" i="4"/>
  <c r="AF164" i="4"/>
  <c r="Z164" i="4"/>
  <c r="AA164" i="4"/>
  <c r="AB164" i="4"/>
  <c r="AC164" i="4"/>
  <c r="AD164" i="4"/>
  <c r="AE164" i="4"/>
  <c r="Y164" i="4"/>
  <c r="X164" i="4"/>
  <c r="F164" i="4"/>
  <c r="G164" i="4"/>
  <c r="H164" i="4"/>
  <c r="J164" i="4"/>
  <c r="K164" i="4"/>
  <c r="L164" i="4"/>
  <c r="M164" i="4"/>
  <c r="N164" i="4"/>
  <c r="O164" i="4"/>
  <c r="P164" i="4"/>
  <c r="Q164" i="4"/>
  <c r="R164" i="4"/>
  <c r="S164" i="4"/>
  <c r="T164" i="4"/>
  <c r="U164" i="4"/>
  <c r="V164" i="4"/>
  <c r="W164" i="4"/>
  <c r="D164" i="4"/>
  <c r="V22" i="28"/>
  <c r="Z36" i="28"/>
  <c r="BR164" i="4"/>
  <c r="AI16" i="27"/>
  <c r="W16" i="27"/>
  <c r="H16" i="27"/>
  <c r="D21" i="27"/>
  <c r="HJ19" i="26"/>
  <c r="FQ19" i="26"/>
  <c r="FM19" i="26"/>
  <c r="ES22" i="26"/>
  <c r="DI16" i="26"/>
  <c r="CY19" i="26"/>
  <c r="CK16" i="26"/>
  <c r="BU16" i="26"/>
  <c r="BQ16" i="26"/>
  <c r="AW16" i="26"/>
  <c r="AS16" i="26"/>
  <c r="Y16" i="26"/>
  <c r="S16" i="26"/>
  <c r="I16" i="26"/>
  <c r="E164" i="4"/>
  <c r="E17" i="26"/>
  <c r="BC83" i="4"/>
  <c r="E15" i="12"/>
  <c r="E54" i="12"/>
  <c r="J66" i="12" s="1"/>
  <c r="C202" i="11"/>
  <c r="F16" i="11"/>
  <c r="G174" i="41"/>
  <c r="AN13" i="4" l="1"/>
  <c r="BF164" i="4"/>
  <c r="BG164" i="4" s="1"/>
  <c r="E10" i="79" l="1"/>
  <c r="U90" i="6" l="1"/>
  <c r="Q73" i="71"/>
  <c r="E74" i="71"/>
  <c r="G74" i="71"/>
  <c r="Q74" i="71"/>
  <c r="Q75" i="71"/>
  <c r="U76" i="71"/>
  <c r="R74" i="71" l="1"/>
  <c r="D52" i="71"/>
  <c r="E52" i="71"/>
  <c r="F52" i="71"/>
  <c r="G52" i="71"/>
  <c r="H52" i="71"/>
  <c r="U73" i="71"/>
  <c r="H68" i="71" l="1"/>
  <c r="H96" i="71" s="1"/>
  <c r="H83" i="71"/>
  <c r="H85" i="71"/>
  <c r="H84" i="71"/>
  <c r="H86" i="71"/>
  <c r="H87" i="71"/>
  <c r="G68" i="71"/>
  <c r="G96" i="71" s="1"/>
  <c r="G86" i="71"/>
  <c r="G85" i="71"/>
  <c r="G87" i="71"/>
  <c r="G83" i="71"/>
  <c r="G84" i="71"/>
  <c r="F68" i="71"/>
  <c r="F87" i="71"/>
  <c r="F86" i="71"/>
  <c r="F84" i="71"/>
  <c r="F85" i="71"/>
  <c r="F82" i="71"/>
  <c r="F83" i="71"/>
  <c r="E83" i="71"/>
  <c r="E85" i="71"/>
  <c r="E86" i="71"/>
  <c r="E82" i="71"/>
  <c r="E84" i="71"/>
  <c r="E87" i="71"/>
  <c r="D68" i="71"/>
  <c r="D96" i="71" s="1"/>
  <c r="D87" i="71"/>
  <c r="D83" i="71"/>
  <c r="S83" i="71" s="1"/>
  <c r="D84" i="71"/>
  <c r="D85" i="71"/>
  <c r="S85" i="71" s="1"/>
  <c r="D86" i="71"/>
  <c r="S86" i="71" s="1"/>
  <c r="D82" i="71"/>
  <c r="S82" i="71" s="1"/>
  <c r="H70" i="71"/>
  <c r="E68" i="71"/>
  <c r="E96" i="71" s="1"/>
  <c r="D108" i="71"/>
  <c r="U61" i="71"/>
  <c r="R52" i="71"/>
  <c r="D70" i="71" l="1"/>
  <c r="S68" i="71"/>
  <c r="S70" i="71" s="1"/>
  <c r="G70" i="71"/>
  <c r="S84" i="71"/>
  <c r="F70" i="71"/>
  <c r="F96" i="71"/>
  <c r="S96" i="71" s="1"/>
  <c r="S87" i="71"/>
  <c r="L7" i="71" s="1"/>
  <c r="AC106" i="9" s="1"/>
  <c r="E70" i="71"/>
  <c r="F109" i="71"/>
  <c r="Q83" i="71"/>
  <c r="Q84" i="71"/>
  <c r="Q82" i="71"/>
  <c r="U52" i="71"/>
  <c r="U63" i="71"/>
  <c r="U74" i="71"/>
  <c r="U75" i="71"/>
  <c r="U62" i="71"/>
  <c r="U64" i="71"/>
  <c r="C52" i="71"/>
  <c r="F108" i="71" l="1"/>
  <c r="F20" i="75"/>
  <c r="C68" i="71"/>
  <c r="C96" i="71" s="1"/>
  <c r="R96" i="71" s="1"/>
  <c r="U96" i="71" s="1"/>
  <c r="D124" i="71" s="1"/>
  <c r="F128" i="71" s="1"/>
  <c r="H109" i="71" s="1"/>
  <c r="C83" i="71"/>
  <c r="R83" i="71" s="1"/>
  <c r="C84" i="71"/>
  <c r="R84" i="71" s="1"/>
  <c r="U84" i="71" s="1"/>
  <c r="C87" i="71"/>
  <c r="R87" i="71" s="1"/>
  <c r="C86" i="71"/>
  <c r="R86" i="71" s="1"/>
  <c r="U86" i="71" s="1"/>
  <c r="C85" i="71"/>
  <c r="R85" i="71" s="1"/>
  <c r="C82" i="71"/>
  <c r="R82" i="71" s="1"/>
  <c r="U82" i="71" s="1"/>
  <c r="S52" i="71"/>
  <c r="R53" i="71" s="1"/>
  <c r="C70" i="71" l="1"/>
  <c r="E13" i="75"/>
  <c r="J7" i="71"/>
  <c r="AC50" i="9" s="1"/>
  <c r="U87" i="71"/>
  <c r="D109" i="71"/>
  <c r="R68" i="71"/>
  <c r="U85" i="71"/>
  <c r="U83" i="71"/>
  <c r="R70" i="71" l="1"/>
  <c r="U68" i="71"/>
  <c r="U70" i="71" l="1"/>
  <c r="F129" i="71"/>
  <c r="G130" i="71" s="1"/>
  <c r="P49" i="24"/>
  <c r="P50" i="24"/>
  <c r="P51" i="24"/>
  <c r="P30" i="24"/>
  <c r="P31" i="24"/>
  <c r="P32" i="24"/>
  <c r="P28" i="24"/>
  <c r="D80" i="43" l="1"/>
  <c r="J80" i="43"/>
  <c r="CH61" i="4" s="1"/>
  <c r="I80" i="43"/>
  <c r="H80" i="43"/>
  <c r="G80" i="43"/>
  <c r="CE61" i="4" s="1"/>
  <c r="F80" i="43"/>
  <c r="CD61" i="4" s="1"/>
  <c r="M80" i="43"/>
  <c r="O80" i="43"/>
  <c r="CN61" i="4" s="1"/>
  <c r="P80" i="43"/>
  <c r="CO61" i="4" s="1"/>
  <c r="Q80" i="43"/>
  <c r="CP61" i="4" s="1"/>
  <c r="R80" i="43"/>
  <c r="CQ61" i="4" s="1"/>
  <c r="S80" i="43"/>
  <c r="CR61" i="4" s="1"/>
  <c r="T80" i="43"/>
  <c r="N80" i="43"/>
  <c r="E80" i="43"/>
  <c r="CC61" i="4" s="1"/>
  <c r="E72" i="64"/>
  <c r="F72" i="64"/>
  <c r="D72" i="64"/>
  <c r="D71" i="64"/>
  <c r="FA96" i="45"/>
  <c r="J74" i="61" l="1"/>
  <c r="CN37" i="4"/>
  <c r="CO37" i="4"/>
  <c r="CP37" i="4"/>
  <c r="CQ37" i="4"/>
  <c r="CR37" i="4"/>
  <c r="CN46" i="4"/>
  <c r="CO46" i="4"/>
  <c r="CP46" i="4"/>
  <c r="CQ46" i="4"/>
  <c r="CR46" i="4"/>
  <c r="CN47" i="4"/>
  <c r="CO47" i="4"/>
  <c r="CP47" i="4"/>
  <c r="CQ47" i="4"/>
  <c r="CR47" i="4"/>
  <c r="CN31" i="4"/>
  <c r="CO31" i="4"/>
  <c r="CP31" i="4"/>
  <c r="CQ31" i="4"/>
  <c r="CR31" i="4"/>
  <c r="CN32" i="4"/>
  <c r="CO32" i="4"/>
  <c r="CP32" i="4"/>
  <c r="CR32" i="4"/>
  <c r="CN33" i="4"/>
  <c r="CO33" i="4"/>
  <c r="CO33" i="5" s="1"/>
  <c r="CP33" i="4"/>
  <c r="CR33" i="4"/>
  <c r="CN34" i="4"/>
  <c r="CO34" i="4"/>
  <c r="CO34" i="5" s="1"/>
  <c r="CP34" i="4"/>
  <c r="CQ34" i="4"/>
  <c r="CR34" i="4"/>
  <c r="CN10" i="4"/>
  <c r="CO10" i="4"/>
  <c r="CP10" i="4"/>
  <c r="CQ10" i="4"/>
  <c r="CR10" i="4"/>
  <c r="CN11" i="4"/>
  <c r="CO11" i="4"/>
  <c r="CP11" i="4"/>
  <c r="CQ11" i="4"/>
  <c r="CR11" i="4"/>
  <c r="CN12" i="4"/>
  <c r="CO12" i="4"/>
  <c r="CP12" i="4"/>
  <c r="CQ12" i="4"/>
  <c r="CR12" i="4"/>
  <c r="CN14" i="4"/>
  <c r="CO14" i="4"/>
  <c r="CP14" i="4"/>
  <c r="CQ14" i="4"/>
  <c r="CR14" i="4"/>
  <c r="CN16" i="4"/>
  <c r="CO16" i="4"/>
  <c r="CP16" i="4"/>
  <c r="CQ16" i="4"/>
  <c r="CR16" i="4"/>
  <c r="CL47" i="4"/>
  <c r="CL47" i="5" s="1"/>
  <c r="CL46" i="4"/>
  <c r="CL46" i="5" s="1"/>
  <c r="CL37" i="4"/>
  <c r="CL34" i="4"/>
  <c r="CL33" i="4"/>
  <c r="CL32" i="4"/>
  <c r="CL31" i="4"/>
  <c r="CL16" i="4"/>
  <c r="CL14" i="4"/>
  <c r="CL12" i="4"/>
  <c r="CL11" i="4"/>
  <c r="CL10" i="4"/>
  <c r="CD46" i="4"/>
  <c r="CE46" i="4"/>
  <c r="CF46" i="4"/>
  <c r="CG46" i="4"/>
  <c r="CH46" i="4"/>
  <c r="CD47" i="4"/>
  <c r="CE47" i="4"/>
  <c r="CF47" i="4"/>
  <c r="CG47" i="4"/>
  <c r="CH47" i="4"/>
  <c r="CD31" i="4"/>
  <c r="CE31" i="4"/>
  <c r="CF31" i="4"/>
  <c r="CG31" i="4"/>
  <c r="CH31" i="4"/>
  <c r="CD32" i="4"/>
  <c r="CE32" i="4"/>
  <c r="CF32" i="4"/>
  <c r="CG32" i="4"/>
  <c r="CH32" i="4"/>
  <c r="CD33" i="4"/>
  <c r="CE33" i="4"/>
  <c r="CF33" i="4"/>
  <c r="CG33" i="4"/>
  <c r="CH33" i="4"/>
  <c r="CD34" i="4"/>
  <c r="CE34" i="4"/>
  <c r="CF34" i="4"/>
  <c r="CG34" i="4"/>
  <c r="CH34" i="4"/>
  <c r="CD37" i="4"/>
  <c r="CE37" i="4"/>
  <c r="CF37" i="4"/>
  <c r="CG37" i="4"/>
  <c r="CH37" i="4"/>
  <c r="CD10" i="4"/>
  <c r="CE10" i="4"/>
  <c r="CF10" i="4"/>
  <c r="CG10" i="4"/>
  <c r="CH10" i="4"/>
  <c r="CD11" i="4"/>
  <c r="CE11" i="4"/>
  <c r="CF11" i="4"/>
  <c r="CG11" i="4"/>
  <c r="CH11" i="4"/>
  <c r="CD12" i="4"/>
  <c r="CE12" i="4"/>
  <c r="CF12" i="4"/>
  <c r="CG12" i="4"/>
  <c r="CH12" i="4"/>
  <c r="CD14" i="4"/>
  <c r="CE14" i="4"/>
  <c r="CF14" i="4"/>
  <c r="CG14" i="4"/>
  <c r="CH14" i="4"/>
  <c r="CD16" i="4"/>
  <c r="CE16" i="4"/>
  <c r="CF16" i="4"/>
  <c r="CG16" i="4"/>
  <c r="CH16" i="4"/>
  <c r="CC34" i="4"/>
  <c r="CC34" i="5" s="1"/>
  <c r="CC47" i="4"/>
  <c r="CC46" i="4"/>
  <c r="CC37" i="4"/>
  <c r="CC37" i="5" s="1"/>
  <c r="CC32" i="4"/>
  <c r="CC31" i="4"/>
  <c r="CC16" i="4"/>
  <c r="CC16" i="5" s="1"/>
  <c r="CC14" i="4"/>
  <c r="CC12" i="4"/>
  <c r="CC11" i="4"/>
  <c r="CB61" i="4"/>
  <c r="CB47" i="4" l="1"/>
  <c r="CB46" i="4"/>
  <c r="CB37" i="4"/>
  <c r="CB34" i="4"/>
  <c r="CB33" i="4"/>
  <c r="CB32" i="4"/>
  <c r="CB31" i="4"/>
  <c r="CB16" i="4"/>
  <c r="CB14" i="4"/>
  <c r="CB13" i="4"/>
  <c r="CB12" i="4"/>
  <c r="CB11" i="4"/>
  <c r="CB10" i="4"/>
  <c r="CG15" i="5" l="1"/>
  <c r="BF257" i="5"/>
  <c r="BF256" i="5"/>
  <c r="BG256" i="5" s="1"/>
  <c r="BG257" i="5" l="1"/>
  <c r="B21" i="35"/>
  <c r="H21" i="35"/>
  <c r="CW66" i="5" l="1"/>
  <c r="CX71" i="5"/>
  <c r="CY71" i="5"/>
  <c r="CZ71" i="5"/>
  <c r="DA71" i="5"/>
  <c r="DB71" i="5"/>
  <c r="DC71" i="5"/>
  <c r="DD71" i="5"/>
  <c r="DE71" i="5"/>
  <c r="DF71" i="5"/>
  <c r="DG71" i="5"/>
  <c r="DH71" i="5"/>
  <c r="DI71" i="5"/>
  <c r="DJ71" i="5"/>
  <c r="DK71" i="5"/>
  <c r="DL71" i="5"/>
  <c r="DM71" i="5"/>
  <c r="DN71" i="5"/>
  <c r="DO71" i="5"/>
  <c r="DP71" i="5"/>
  <c r="DQ71" i="5"/>
  <c r="DR71" i="5"/>
  <c r="DS71" i="5"/>
  <c r="DT71" i="5"/>
  <c r="CW71" i="5"/>
  <c r="CX66" i="5"/>
  <c r="CY66" i="5"/>
  <c r="CZ66" i="5"/>
  <c r="DA66" i="5"/>
  <c r="DB66" i="5"/>
  <c r="DC66" i="5"/>
  <c r="DD66" i="5"/>
  <c r="DE66" i="5"/>
  <c r="DF66" i="5"/>
  <c r="DG66" i="5"/>
  <c r="DH66" i="5"/>
  <c r="DI66" i="5"/>
  <c r="DJ66" i="5"/>
  <c r="DK66" i="5"/>
  <c r="DL66" i="5"/>
  <c r="DM66" i="5"/>
  <c r="DN66" i="5"/>
  <c r="DO66" i="5"/>
  <c r="DP66" i="5"/>
  <c r="AC34" i="80" s="1"/>
  <c r="AC36" i="80" s="1"/>
  <c r="DS66" i="5"/>
  <c r="DT66" i="5"/>
  <c r="DW71" i="5" l="1"/>
  <c r="AK10" i="80"/>
  <c r="AK11" i="80"/>
  <c r="AK34" i="80"/>
  <c r="AK36" i="80" s="1"/>
  <c r="AK26" i="80"/>
  <c r="AK28" i="80" s="1"/>
  <c r="AK18" i="80"/>
  <c r="AK16" i="80"/>
  <c r="AK15" i="80"/>
  <c r="AK14" i="80"/>
  <c r="AK12" i="80"/>
  <c r="AI12" i="80"/>
  <c r="H36" i="17" l="1"/>
  <c r="K36" i="17" s="1"/>
  <c r="AK19" i="80"/>
  <c r="AK20" i="80" s="1"/>
  <c r="AK22" i="80" s="1"/>
  <c r="AK30" i="80" s="1"/>
  <c r="AK38" i="80" s="1"/>
  <c r="DZ180" i="4" s="1"/>
  <c r="AK43" i="37" l="1"/>
  <c r="DY216" i="5"/>
  <c r="DU172" i="5"/>
  <c r="DU154" i="5"/>
  <c r="CX232" i="5"/>
  <c r="CY232" i="5"/>
  <c r="CZ232" i="5"/>
  <c r="DA232" i="5"/>
  <c r="DB232" i="5"/>
  <c r="DC232" i="5"/>
  <c r="DD232" i="5"/>
  <c r="DE232" i="5"/>
  <c r="DF232" i="5"/>
  <c r="DG232" i="5"/>
  <c r="DH232" i="5"/>
  <c r="DI232" i="5"/>
  <c r="DJ232" i="5"/>
  <c r="DK232" i="5"/>
  <c r="DL232" i="5"/>
  <c r="DM232" i="5"/>
  <c r="DN232" i="5"/>
  <c r="DO232" i="5"/>
  <c r="DP232" i="5"/>
  <c r="DQ232" i="5"/>
  <c r="DR232" i="5"/>
  <c r="DS232" i="5"/>
  <c r="DT232" i="5"/>
  <c r="CX254" i="5"/>
  <c r="CY254" i="5"/>
  <c r="CZ254" i="5"/>
  <c r="DA254" i="5"/>
  <c r="DB254" i="5"/>
  <c r="DC254" i="5"/>
  <c r="DD254" i="5"/>
  <c r="DE254" i="5"/>
  <c r="DF254" i="5"/>
  <c r="DG254" i="5"/>
  <c r="DH254" i="5"/>
  <c r="DI254" i="5"/>
  <c r="DJ254" i="5"/>
  <c r="DK254" i="5"/>
  <c r="DL254" i="5"/>
  <c r="DM254" i="5"/>
  <c r="DN254" i="5"/>
  <c r="DO254" i="5"/>
  <c r="DP254" i="5"/>
  <c r="DQ254" i="5"/>
  <c r="DR254" i="5"/>
  <c r="DS254" i="5"/>
  <c r="DT254" i="5"/>
  <c r="CX258" i="5"/>
  <c r="CY258" i="5"/>
  <c r="CZ258" i="5"/>
  <c r="DA258" i="5"/>
  <c r="DB258" i="5"/>
  <c r="DC258" i="5"/>
  <c r="DD258" i="5"/>
  <c r="DE258" i="5"/>
  <c r="DF258" i="5"/>
  <c r="DG258" i="5"/>
  <c r="DH258" i="5"/>
  <c r="DI258" i="5"/>
  <c r="DJ258" i="5"/>
  <c r="DK258" i="5"/>
  <c r="DL258" i="5"/>
  <c r="DM258" i="5"/>
  <c r="DN258" i="5"/>
  <c r="DO258" i="5"/>
  <c r="DP258" i="5"/>
  <c r="DQ258" i="5"/>
  <c r="DR258" i="5"/>
  <c r="DS258" i="5"/>
  <c r="DT258" i="5"/>
  <c r="CX314" i="5"/>
  <c r="CY314" i="5"/>
  <c r="CZ314" i="5"/>
  <c r="DA314" i="5"/>
  <c r="DB314" i="5"/>
  <c r="DC314" i="5"/>
  <c r="DD314" i="5"/>
  <c r="DE314" i="5"/>
  <c r="DF314" i="5"/>
  <c r="DG314" i="5"/>
  <c r="DH314" i="5"/>
  <c r="DI314" i="5"/>
  <c r="DJ314" i="5"/>
  <c r="DK314" i="5"/>
  <c r="DL314" i="5"/>
  <c r="DM314" i="5"/>
  <c r="DN314" i="5"/>
  <c r="DO314" i="5"/>
  <c r="DP314" i="5"/>
  <c r="DQ314" i="5"/>
  <c r="DR314" i="5"/>
  <c r="DS314" i="5"/>
  <c r="DT314" i="5"/>
  <c r="CX318" i="5"/>
  <c r="CY318" i="5"/>
  <c r="CZ318" i="5"/>
  <c r="DA318" i="5"/>
  <c r="DB318" i="5"/>
  <c r="DC318" i="5"/>
  <c r="DD318" i="5"/>
  <c r="DE318" i="5"/>
  <c r="DF318" i="5"/>
  <c r="DG318" i="5"/>
  <c r="DH318" i="5"/>
  <c r="DI318" i="5"/>
  <c r="DJ318" i="5"/>
  <c r="DK318" i="5"/>
  <c r="DL318" i="5"/>
  <c r="DM318" i="5"/>
  <c r="DN318" i="5"/>
  <c r="DO318" i="5"/>
  <c r="DP318" i="5"/>
  <c r="DQ318" i="5"/>
  <c r="DR318" i="5"/>
  <c r="DS318" i="5"/>
  <c r="DT318" i="5"/>
  <c r="AG12" i="80"/>
  <c r="AA12" i="80"/>
  <c r="Y12" i="80"/>
  <c r="Y11" i="80"/>
  <c r="W12" i="80"/>
  <c r="W11" i="80"/>
  <c r="S12" i="80"/>
  <c r="S11" i="80"/>
  <c r="Q12" i="80"/>
  <c r="Q11" i="80"/>
  <c r="O12" i="80"/>
  <c r="O11" i="80"/>
  <c r="M12" i="80"/>
  <c r="M11" i="80"/>
  <c r="M10" i="80"/>
  <c r="I10" i="80"/>
  <c r="I11" i="80"/>
  <c r="I12" i="80"/>
  <c r="G12" i="80"/>
  <c r="G11" i="80"/>
  <c r="E11" i="80"/>
  <c r="E12" i="80"/>
  <c r="E10" i="80"/>
  <c r="DH271" i="5" l="1"/>
  <c r="DT271" i="5"/>
  <c r="DD271" i="5"/>
  <c r="DS271" i="5"/>
  <c r="DO271" i="5"/>
  <c r="DK271" i="5"/>
  <c r="DG271" i="5"/>
  <c r="DC271" i="5"/>
  <c r="CY271" i="5"/>
  <c r="DQ271" i="5"/>
  <c r="DM271" i="5"/>
  <c r="DI271" i="5"/>
  <c r="DE271" i="5"/>
  <c r="DA271" i="5"/>
  <c r="DP271" i="5"/>
  <c r="DL271" i="5"/>
  <c r="CZ271" i="5"/>
  <c r="DR271" i="5"/>
  <c r="DN271" i="5"/>
  <c r="DJ271" i="5"/>
  <c r="DF271" i="5"/>
  <c r="DB271" i="5"/>
  <c r="CX271" i="5"/>
  <c r="A8" i="37" l="1"/>
  <c r="A15" i="37"/>
  <c r="A16" i="37"/>
  <c r="A17" i="37"/>
  <c r="A18" i="37"/>
  <c r="A19" i="37"/>
  <c r="A20" i="37"/>
  <c r="A21" i="37"/>
  <c r="A23" i="37"/>
  <c r="A25" i="37"/>
  <c r="A26" i="37"/>
  <c r="A27" i="37"/>
  <c r="A28" i="37"/>
  <c r="A30" i="37"/>
  <c r="C12" i="80"/>
  <c r="CX58" i="5" l="1"/>
  <c r="CY58" i="5"/>
  <c r="CZ58" i="5"/>
  <c r="DA58" i="5"/>
  <c r="DB58" i="5"/>
  <c r="DC58" i="5"/>
  <c r="DD58" i="5"/>
  <c r="DE58" i="5"/>
  <c r="DF58" i="5"/>
  <c r="DG58" i="5"/>
  <c r="DH58" i="5"/>
  <c r="DI58" i="5"/>
  <c r="DJ58" i="5"/>
  <c r="DK58" i="5"/>
  <c r="DL58" i="5"/>
  <c r="DM58" i="5"/>
  <c r="DN58" i="5"/>
  <c r="DO58" i="5"/>
  <c r="DP58" i="5"/>
  <c r="DQ58" i="5"/>
  <c r="DR58" i="5"/>
  <c r="DS58" i="5"/>
  <c r="DT58" i="5"/>
  <c r="E34" i="80"/>
  <c r="E36" i="80" s="1"/>
  <c r="I34" i="80"/>
  <c r="I36" i="80" s="1"/>
  <c r="M34" i="80"/>
  <c r="M36" i="80" s="1"/>
  <c r="O34" i="80"/>
  <c r="O36" i="80" s="1"/>
  <c r="S34" i="80"/>
  <c r="S36" i="80" s="1"/>
  <c r="AG34" i="80"/>
  <c r="AG36" i="80" s="1"/>
  <c r="AI34" i="80"/>
  <c r="AI36" i="80" s="1"/>
  <c r="DD10" i="4"/>
  <c r="DE10" i="4"/>
  <c r="DF10" i="4"/>
  <c r="DF10" i="5" s="1"/>
  <c r="DG10" i="4"/>
  <c r="DH10" i="4"/>
  <c r="DI10" i="4"/>
  <c r="DJ10" i="4"/>
  <c r="DK10" i="4"/>
  <c r="DL10" i="4"/>
  <c r="DM10" i="4"/>
  <c r="DN10" i="4"/>
  <c r="DO10" i="4"/>
  <c r="DP10" i="4"/>
  <c r="DD12" i="4"/>
  <c r="DE12" i="4"/>
  <c r="DF12" i="4"/>
  <c r="DF12" i="5" s="1"/>
  <c r="DG12" i="4"/>
  <c r="DG12" i="5" s="1"/>
  <c r="DH12" i="4"/>
  <c r="DI12" i="4"/>
  <c r="DJ12" i="4"/>
  <c r="DJ12" i="5" s="1"/>
  <c r="Q15" i="80" s="1"/>
  <c r="DK12" i="4"/>
  <c r="DK12" i="5" s="1"/>
  <c r="DL12" i="4"/>
  <c r="DM12" i="4"/>
  <c r="DN12" i="4"/>
  <c r="DN12" i="5" s="1"/>
  <c r="W15" i="80" s="1"/>
  <c r="DO12" i="4"/>
  <c r="DO12" i="5" s="1"/>
  <c r="DP12" i="4"/>
  <c r="DQ12" i="4"/>
  <c r="DR12" i="4"/>
  <c r="DR12" i="5" s="1"/>
  <c r="AA15" i="80" s="1"/>
  <c r="DS12" i="4"/>
  <c r="DS12" i="5" s="1"/>
  <c r="AG15" i="80" s="1"/>
  <c r="DT12" i="4"/>
  <c r="DD15" i="4"/>
  <c r="DD15" i="5" s="1"/>
  <c r="M16" i="80" s="1"/>
  <c r="DE15" i="5"/>
  <c r="DF15" i="4"/>
  <c r="DF15" i="5" s="1"/>
  <c r="DG15" i="4"/>
  <c r="DG15" i="5" s="1"/>
  <c r="DH15" i="4"/>
  <c r="DH15" i="5" s="1"/>
  <c r="DI15" i="4"/>
  <c r="DI15" i="5" s="1"/>
  <c r="DJ15" i="4"/>
  <c r="DJ15" i="5" s="1"/>
  <c r="Q16" i="80" s="1"/>
  <c r="DK15" i="4"/>
  <c r="DK15" i="5" s="1"/>
  <c r="DL15" i="4"/>
  <c r="DL15" i="5" s="1"/>
  <c r="S16" i="80" s="1"/>
  <c r="DM15" i="4"/>
  <c r="DM15" i="5" s="1"/>
  <c r="DN15" i="5"/>
  <c r="W16" i="80" s="1"/>
  <c r="DO15" i="4"/>
  <c r="DO15" i="5" s="1"/>
  <c r="DP15" i="5"/>
  <c r="AC16" i="80" s="1"/>
  <c r="DQ15" i="5"/>
  <c r="DS15" i="5"/>
  <c r="AG16" i="80" s="1"/>
  <c r="DT15" i="5"/>
  <c r="AI16" i="80" s="1"/>
  <c r="DD16" i="4"/>
  <c r="DD16" i="5" s="1"/>
  <c r="M18" i="80" s="1"/>
  <c r="M19" i="80" s="1"/>
  <c r="M20" i="80" s="1"/>
  <c r="DE16" i="4"/>
  <c r="DE16" i="5" s="1"/>
  <c r="O18" i="80" s="1"/>
  <c r="DF16" i="4"/>
  <c r="DF16" i="5" s="1"/>
  <c r="DG16" i="4"/>
  <c r="DG16" i="5" s="1"/>
  <c r="DH16" i="4"/>
  <c r="DH16" i="5" s="1"/>
  <c r="DI16" i="4"/>
  <c r="DI16" i="5" s="1"/>
  <c r="DJ16" i="4"/>
  <c r="DJ16" i="5" s="1"/>
  <c r="DK16" i="4"/>
  <c r="DK16" i="5" s="1"/>
  <c r="DL16" i="4"/>
  <c r="DL16" i="5" s="1"/>
  <c r="S18" i="80" s="1"/>
  <c r="DM16" i="4"/>
  <c r="DM16" i="5" s="1"/>
  <c r="DN16" i="4"/>
  <c r="DN16" i="5" s="1"/>
  <c r="DO16" i="4"/>
  <c r="DO16" i="5" s="1"/>
  <c r="DP16" i="4"/>
  <c r="DP16" i="5" s="1"/>
  <c r="AC18" i="80" s="1"/>
  <c r="AC19" i="80" s="1"/>
  <c r="AC20" i="80" s="1"/>
  <c r="DQ16" i="4"/>
  <c r="DQ16" i="5" s="1"/>
  <c r="Y19" i="80" s="1"/>
  <c r="Y20" i="80" s="1"/>
  <c r="DR16" i="4"/>
  <c r="DS16" i="4"/>
  <c r="DS16" i="5" s="1"/>
  <c r="AG18" i="80" s="1"/>
  <c r="AG19" i="80" s="1"/>
  <c r="AG20" i="80" s="1"/>
  <c r="DT16" i="4"/>
  <c r="DT16" i="5" s="1"/>
  <c r="AI18" i="80" s="1"/>
  <c r="AI19" i="80" s="1"/>
  <c r="AI20" i="80" s="1"/>
  <c r="DD39" i="4"/>
  <c r="DD39" i="5" s="1"/>
  <c r="DE39" i="4"/>
  <c r="DE41" i="4" s="1"/>
  <c r="DF39" i="4"/>
  <c r="DF39" i="5" s="1"/>
  <c r="DF41" i="5" s="1"/>
  <c r="DG39" i="4"/>
  <c r="DG39" i="5" s="1"/>
  <c r="DG41" i="5" s="1"/>
  <c r="DH39" i="4"/>
  <c r="DH39" i="5" s="1"/>
  <c r="DH41" i="5" s="1"/>
  <c r="DI39" i="4"/>
  <c r="DI41" i="4" s="1"/>
  <c r="DJ39" i="4"/>
  <c r="DJ39" i="5" s="1"/>
  <c r="DK39" i="4"/>
  <c r="DK39" i="5" s="1"/>
  <c r="DK41" i="5" s="1"/>
  <c r="DL39" i="4"/>
  <c r="DL39" i="5" s="1"/>
  <c r="DM39" i="4"/>
  <c r="DM41" i="4" s="1"/>
  <c r="DN39" i="4"/>
  <c r="DN41" i="4" s="1"/>
  <c r="DO39" i="4"/>
  <c r="DO39" i="5" s="1"/>
  <c r="DO41" i="5" s="1"/>
  <c r="DP39" i="4"/>
  <c r="DP39" i="5" s="1"/>
  <c r="DQ39" i="4"/>
  <c r="DQ41" i="4" s="1"/>
  <c r="DR39" i="4"/>
  <c r="DS39" i="4"/>
  <c r="DS39" i="5" s="1"/>
  <c r="DT39" i="4"/>
  <c r="DT39" i="5" s="1"/>
  <c r="DD56" i="4"/>
  <c r="DE56" i="4"/>
  <c r="DF56" i="4"/>
  <c r="DG56" i="4"/>
  <c r="DH56" i="4"/>
  <c r="DI56" i="4"/>
  <c r="DJ56" i="4"/>
  <c r="DK56" i="4"/>
  <c r="DL56" i="4"/>
  <c r="DM56" i="4"/>
  <c r="DN56" i="4"/>
  <c r="DO56" i="4"/>
  <c r="DP56" i="4"/>
  <c r="DQ56" i="4"/>
  <c r="DR56" i="4"/>
  <c r="DS56" i="4"/>
  <c r="DT56" i="4"/>
  <c r="DD61" i="4"/>
  <c r="DE61" i="4"/>
  <c r="DF61" i="4"/>
  <c r="DF63" i="5" s="1"/>
  <c r="DG61" i="4"/>
  <c r="DH61" i="4"/>
  <c r="DI61" i="4"/>
  <c r="DJ61" i="4"/>
  <c r="DJ63" i="5" s="1"/>
  <c r="DK61" i="4"/>
  <c r="DL61" i="4"/>
  <c r="DM61" i="4"/>
  <c r="DN61" i="4"/>
  <c r="DO61" i="4"/>
  <c r="DO63" i="5" s="1"/>
  <c r="DP61" i="4"/>
  <c r="DQ61" i="4"/>
  <c r="DQ63" i="5" s="1"/>
  <c r="DR61" i="4"/>
  <c r="DR63" i="5" s="1"/>
  <c r="DS61" i="4"/>
  <c r="DT61" i="4"/>
  <c r="DE67" i="4"/>
  <c r="DF67" i="4"/>
  <c r="CX10" i="4"/>
  <c r="CY10" i="4"/>
  <c r="CZ10" i="4"/>
  <c r="DA10" i="4"/>
  <c r="DB10" i="4"/>
  <c r="DC10" i="4"/>
  <c r="CX12" i="4"/>
  <c r="CX12" i="5" s="1"/>
  <c r="CY12" i="4"/>
  <c r="CZ12" i="4"/>
  <c r="CZ12" i="5" s="1"/>
  <c r="DA12" i="4"/>
  <c r="DA12" i="5" s="1"/>
  <c r="DB12" i="4"/>
  <c r="DB12" i="5" s="1"/>
  <c r="G15" i="80" s="1"/>
  <c r="DC12" i="4"/>
  <c r="CX15" i="4"/>
  <c r="CX15" i="5" s="1"/>
  <c r="CY15" i="5"/>
  <c r="E16" i="80" s="1"/>
  <c r="CZ15" i="4"/>
  <c r="CZ15" i="5" s="1"/>
  <c r="DA15" i="4"/>
  <c r="DA15" i="5" s="1"/>
  <c r="G16" i="80"/>
  <c r="DC15" i="5"/>
  <c r="I16" i="80" s="1"/>
  <c r="CX16" i="4"/>
  <c r="CX16" i="5" s="1"/>
  <c r="CY16" i="4"/>
  <c r="CY16" i="5" s="1"/>
  <c r="E18" i="80" s="1"/>
  <c r="E19" i="80" s="1"/>
  <c r="E20" i="80" s="1"/>
  <c r="CZ16" i="4"/>
  <c r="CZ16" i="5" s="1"/>
  <c r="DA16" i="4"/>
  <c r="DA16" i="5" s="1"/>
  <c r="DB16" i="4"/>
  <c r="DB16" i="5" s="1"/>
  <c r="DC16" i="4"/>
  <c r="DC16" i="5" s="1"/>
  <c r="I18" i="80" s="1"/>
  <c r="CX39" i="4"/>
  <c r="CX41" i="4" s="1"/>
  <c r="CY39" i="4"/>
  <c r="CZ39" i="4"/>
  <c r="CZ39" i="5" s="1"/>
  <c r="CZ41" i="5" s="1"/>
  <c r="DA39" i="4"/>
  <c r="DA39" i="5" s="1"/>
  <c r="DA41" i="5" s="1"/>
  <c r="DB39" i="4"/>
  <c r="DB41" i="4" s="1"/>
  <c r="DC39" i="4"/>
  <c r="CZ56" i="4"/>
  <c r="DA56" i="4"/>
  <c r="CX56" i="4"/>
  <c r="CY56" i="4"/>
  <c r="DB56" i="4"/>
  <c r="DC56" i="4"/>
  <c r="CX61" i="4"/>
  <c r="CX63" i="5" s="1"/>
  <c r="CY61" i="4"/>
  <c r="CZ61" i="4"/>
  <c r="DA61" i="4"/>
  <c r="DB61" i="4"/>
  <c r="DB63" i="5" s="1"/>
  <c r="DC61" i="4"/>
  <c r="CW61" i="4"/>
  <c r="CW39" i="4"/>
  <c r="CW39" i="5" s="1"/>
  <c r="CW16" i="4"/>
  <c r="CW15" i="4"/>
  <c r="CW12" i="4"/>
  <c r="CW10" i="4"/>
  <c r="F72" i="11"/>
  <c r="E72" i="11"/>
  <c r="D72" i="11"/>
  <c r="CW83" i="4"/>
  <c r="CW86" i="4"/>
  <c r="E48" i="79"/>
  <c r="G47" i="79"/>
  <c r="E44" i="79"/>
  <c r="G43" i="79"/>
  <c r="E40" i="79"/>
  <c r="G39" i="79"/>
  <c r="E36" i="79"/>
  <c r="G35" i="79"/>
  <c r="E32" i="79"/>
  <c r="G31" i="79"/>
  <c r="G27" i="79"/>
  <c r="DA41" i="4" l="1"/>
  <c r="CZ41" i="4"/>
  <c r="DW10" i="4"/>
  <c r="CW12" i="5"/>
  <c r="DW12" i="4"/>
  <c r="CW15" i="5"/>
  <c r="C16" i="80" s="1"/>
  <c r="DW15" i="4"/>
  <c r="CW16" i="5"/>
  <c r="C18" i="80" s="1"/>
  <c r="C19" i="80" s="1"/>
  <c r="DW16" i="4"/>
  <c r="CW334" i="5"/>
  <c r="DR41" i="4"/>
  <c r="DR39" i="5"/>
  <c r="DP41" i="5"/>
  <c r="AC26" i="80"/>
  <c r="AC28" i="80" s="1"/>
  <c r="DM63" i="5"/>
  <c r="DM69" i="5" s="1"/>
  <c r="DI63" i="5"/>
  <c r="DI69" i="5" s="1"/>
  <c r="DE63" i="5"/>
  <c r="DE69" i="5" s="1"/>
  <c r="CY63" i="5"/>
  <c r="CY69" i="5" s="1"/>
  <c r="C26" i="80"/>
  <c r="C28" i="80" s="1"/>
  <c r="DA67" i="4"/>
  <c r="DA63" i="5"/>
  <c r="DA69" i="5" s="1"/>
  <c r="DT67" i="4"/>
  <c r="DT63" i="5"/>
  <c r="DT69" i="5" s="1"/>
  <c r="DP67" i="4"/>
  <c r="DP63" i="5"/>
  <c r="DP69" i="5" s="1"/>
  <c r="DL67" i="4"/>
  <c r="DL63" i="5"/>
  <c r="DL69" i="5" s="1"/>
  <c r="DH67" i="4"/>
  <c r="DH63" i="5"/>
  <c r="DH69" i="5" s="1"/>
  <c r="DD67" i="4"/>
  <c r="DD63" i="5"/>
  <c r="DD69" i="5" s="1"/>
  <c r="C15" i="80"/>
  <c r="CZ63" i="5"/>
  <c r="CZ69" i="5" s="1"/>
  <c r="DS63" i="5"/>
  <c r="DS69" i="5" s="1"/>
  <c r="DK63" i="5"/>
  <c r="DK69" i="5" s="1"/>
  <c r="DG63" i="5"/>
  <c r="DG69" i="5" s="1"/>
  <c r="DC63" i="5"/>
  <c r="DN67" i="4"/>
  <c r="DN63" i="5"/>
  <c r="DN69" i="5" s="1"/>
  <c r="CW86" i="5"/>
  <c r="DG67" i="4"/>
  <c r="DF41" i="4"/>
  <c r="DG41" i="4"/>
  <c r="DH41" i="4"/>
  <c r="DN18" i="4"/>
  <c r="DN43" i="4" s="1"/>
  <c r="DN59" i="4" s="1"/>
  <c r="DP41" i="4"/>
  <c r="DL41" i="4"/>
  <c r="DD41" i="4"/>
  <c r="DO41" i="4"/>
  <c r="DM67" i="4"/>
  <c r="DQ67" i="4"/>
  <c r="DI67" i="4"/>
  <c r="CZ18" i="4"/>
  <c r="DK41" i="4"/>
  <c r="DK67" i="4"/>
  <c r="DS41" i="4"/>
  <c r="DE39" i="5"/>
  <c r="DE41" i="5" s="1"/>
  <c r="CZ67" i="4"/>
  <c r="DB39" i="5"/>
  <c r="G26" i="80" s="1"/>
  <c r="G28" i="80" s="1"/>
  <c r="DT41" i="4"/>
  <c r="DJ18" i="4"/>
  <c r="DM39" i="5"/>
  <c r="DM41" i="5" s="1"/>
  <c r="CX39" i="5"/>
  <c r="CX41" i="5" s="1"/>
  <c r="Q26" i="80"/>
  <c r="Q28" i="80" s="1"/>
  <c r="DJ41" i="5"/>
  <c r="DB69" i="5"/>
  <c r="DB67" i="4"/>
  <c r="DC18" i="4"/>
  <c r="DA18" i="4"/>
  <c r="DA43" i="4" s="1"/>
  <c r="DA59" i="4" s="1"/>
  <c r="DC41" i="4"/>
  <c r="DC39" i="5"/>
  <c r="CY41" i="4"/>
  <c r="CY39" i="5"/>
  <c r="DJ41" i="4"/>
  <c r="DC12" i="5"/>
  <c r="I15" i="80" s="1"/>
  <c r="DO69" i="5"/>
  <c r="DO67" i="4"/>
  <c r="DT41" i="5"/>
  <c r="AI26" i="80"/>
  <c r="AI28" i="80" s="1"/>
  <c r="DL41" i="5"/>
  <c r="S26" i="80"/>
  <c r="S28" i="80" s="1"/>
  <c r="DD41" i="5"/>
  <c r="M26" i="80"/>
  <c r="M28" i="80" s="1"/>
  <c r="DQ18" i="4"/>
  <c r="DQ12" i="5"/>
  <c r="Y15" i="80" s="1"/>
  <c r="DM18" i="4"/>
  <c r="DM43" i="4" s="1"/>
  <c r="DM59" i="4" s="1"/>
  <c r="DM12" i="5"/>
  <c r="DI18" i="4"/>
  <c r="DI43" i="4" s="1"/>
  <c r="DI59" i="4" s="1"/>
  <c r="DI12" i="5"/>
  <c r="DE18" i="4"/>
  <c r="DE43" i="4" s="1"/>
  <c r="DE59" i="4" s="1"/>
  <c r="DE71" i="4" s="1"/>
  <c r="DE12" i="5"/>
  <c r="O15" i="80" s="1"/>
  <c r="DR18" i="4"/>
  <c r="DF18" i="4"/>
  <c r="W34" i="80"/>
  <c r="W36" i="80" s="1"/>
  <c r="Q34" i="80"/>
  <c r="Q36" i="80" s="1"/>
  <c r="DF69" i="5"/>
  <c r="G34" i="80"/>
  <c r="G36" i="80" s="1"/>
  <c r="DQ39" i="5"/>
  <c r="DI39" i="5"/>
  <c r="DI41" i="5" s="1"/>
  <c r="CX69" i="5"/>
  <c r="CX67" i="4"/>
  <c r="CY18" i="4"/>
  <c r="DJ69" i="5"/>
  <c r="DJ67" i="4"/>
  <c r="DS41" i="5"/>
  <c r="AG26" i="80"/>
  <c r="AG28" i="80" s="1"/>
  <c r="DS18" i="4"/>
  <c r="DO18" i="4"/>
  <c r="DK18" i="4"/>
  <c r="DT18" i="4"/>
  <c r="DT12" i="5"/>
  <c r="DP18" i="4"/>
  <c r="DP12" i="5"/>
  <c r="AC15" i="80" s="1"/>
  <c r="DL18" i="4"/>
  <c r="DL12" i="5"/>
  <c r="S15" i="80" s="1"/>
  <c r="DH18" i="4"/>
  <c r="DH12" i="5"/>
  <c r="DD18" i="4"/>
  <c r="DD12" i="5"/>
  <c r="M15" i="80" s="1"/>
  <c r="DN39" i="5"/>
  <c r="CY12" i="5"/>
  <c r="E15" i="80" s="1"/>
  <c r="DB18" i="4"/>
  <c r="DB43" i="4" s="1"/>
  <c r="DB59" i="4" s="1"/>
  <c r="CX18" i="4"/>
  <c r="CX43" i="4" s="1"/>
  <c r="CX59" i="4" s="1"/>
  <c r="DC67" i="4"/>
  <c r="CY67" i="4"/>
  <c r="DG18" i="4"/>
  <c r="W18" i="80"/>
  <c r="Q18" i="80"/>
  <c r="Q19" i="80" s="1"/>
  <c r="Q20" i="80" s="1"/>
  <c r="Y16" i="80"/>
  <c r="O16" i="80"/>
  <c r="O19" i="80"/>
  <c r="O20" i="80" s="1"/>
  <c r="S19" i="80"/>
  <c r="S20" i="80" s="1"/>
  <c r="G18" i="80"/>
  <c r="I19" i="80"/>
  <c r="I20" i="80" s="1"/>
  <c r="DS67" i="4"/>
  <c r="DR67" i="4"/>
  <c r="E23" i="79"/>
  <c r="E24" i="79"/>
  <c r="G63" i="79" s="1"/>
  <c r="D121" i="4" s="1"/>
  <c r="G22" i="79"/>
  <c r="E61" i="79" s="1"/>
  <c r="D86" i="4" s="1"/>
  <c r="E18" i="79"/>
  <c r="G17" i="79"/>
  <c r="CZ43" i="4" l="1"/>
  <c r="CZ59" i="4" s="1"/>
  <c r="CZ71" i="4" s="1"/>
  <c r="DW18" i="4"/>
  <c r="DR43" i="4"/>
  <c r="DR59" i="4" s="1"/>
  <c r="DR71" i="4" s="1"/>
  <c r="DQ43" i="4"/>
  <c r="DQ59" i="4" s="1"/>
  <c r="DQ71" i="4" s="1"/>
  <c r="Y72" i="80"/>
  <c r="DG43" i="4"/>
  <c r="DG59" i="4" s="1"/>
  <c r="DG71" i="4" s="1"/>
  <c r="DA71" i="4"/>
  <c r="DW39" i="5"/>
  <c r="DN71" i="4"/>
  <c r="DC69" i="5"/>
  <c r="DW12" i="5"/>
  <c r="DT43" i="4"/>
  <c r="DT59" i="4" s="1"/>
  <c r="DT71" i="4" s="1"/>
  <c r="DM71" i="4"/>
  <c r="DF43" i="4"/>
  <c r="DF59" i="4" s="1"/>
  <c r="DF71" i="4" s="1"/>
  <c r="DD43" i="4"/>
  <c r="DD59" i="4" s="1"/>
  <c r="DD71" i="4" s="1"/>
  <c r="DH43" i="4"/>
  <c r="DH59" i="4" s="1"/>
  <c r="DH71" i="4" s="1"/>
  <c r="DK43" i="4"/>
  <c r="DK59" i="4" s="1"/>
  <c r="DK71" i="4" s="1"/>
  <c r="DP43" i="4"/>
  <c r="DP59" i="4" s="1"/>
  <c r="DP71" i="4" s="1"/>
  <c r="O26" i="80"/>
  <c r="O28" i="80" s="1"/>
  <c r="DB41" i="5"/>
  <c r="DO43" i="4"/>
  <c r="DO59" i="4" s="1"/>
  <c r="DO71" i="4" s="1"/>
  <c r="DL43" i="4"/>
  <c r="DL59" i="4" s="1"/>
  <c r="DL71" i="4" s="1"/>
  <c r="DC43" i="4"/>
  <c r="DC59" i="4" s="1"/>
  <c r="DC71" i="4" s="1"/>
  <c r="CY43" i="4"/>
  <c r="CY59" i="4" s="1"/>
  <c r="CY71" i="4" s="1"/>
  <c r="DS43" i="4"/>
  <c r="DS59" i="4" s="1"/>
  <c r="DS71" i="4" s="1"/>
  <c r="DI71" i="4"/>
  <c r="E25" i="79"/>
  <c r="D17" i="36"/>
  <c r="D22" i="17" s="1"/>
  <c r="DB71" i="4"/>
  <c r="DJ43" i="4"/>
  <c r="DJ59" i="4" s="1"/>
  <c r="DJ71" i="4" s="1"/>
  <c r="DQ41" i="5"/>
  <c r="CX71" i="4"/>
  <c r="CY41" i="5"/>
  <c r="E26" i="80"/>
  <c r="E28" i="80" s="1"/>
  <c r="DC41" i="5"/>
  <c r="I26" i="80"/>
  <c r="I28" i="80" s="1"/>
  <c r="W26" i="80"/>
  <c r="W28" i="80" s="1"/>
  <c r="DN41" i="5"/>
  <c r="AI15" i="80"/>
  <c r="C20" i="80"/>
  <c r="DR41" i="5"/>
  <c r="G19" i="80"/>
  <c r="G20" i="80" s="1"/>
  <c r="W19" i="80"/>
  <c r="W20" i="80" s="1"/>
  <c r="E45" i="79"/>
  <c r="E49" i="79"/>
  <c r="E57" i="79"/>
  <c r="D23" i="17" l="1"/>
  <c r="AO26" i="80"/>
  <c r="AO15" i="80"/>
  <c r="H18" i="17" s="1"/>
  <c r="K18" i="17" s="1"/>
  <c r="D18" i="36"/>
  <c r="E14" i="79"/>
  <c r="G13" i="79"/>
  <c r="E41" i="79"/>
  <c r="E19" i="79"/>
  <c r="G9" i="79"/>
  <c r="E11" i="79" s="1"/>
  <c r="E62" i="79"/>
  <c r="H29" i="17" l="1"/>
  <c r="K29" i="17" s="1"/>
  <c r="E60" i="79"/>
  <c r="D83" i="4" s="1"/>
  <c r="E33" i="79"/>
  <c r="E37" i="79"/>
  <c r="E15" i="79"/>
  <c r="D86" i="5" l="1"/>
  <c r="D85" i="5" s="1"/>
  <c r="V71" i="78"/>
  <c r="C64" i="78"/>
  <c r="D64" i="78"/>
  <c r="E64" i="78"/>
  <c r="F64" i="78"/>
  <c r="G64" i="78"/>
  <c r="H64" i="78"/>
  <c r="I64" i="78"/>
  <c r="J64" i="78"/>
  <c r="K64" i="78"/>
  <c r="L64" i="78"/>
  <c r="M64" i="78"/>
  <c r="N64" i="78"/>
  <c r="O64" i="78"/>
  <c r="P64" i="78"/>
  <c r="Q64" i="78"/>
  <c r="R64" i="78"/>
  <c r="S64" i="78"/>
  <c r="T64" i="78"/>
  <c r="U64" i="78"/>
  <c r="V64" i="78"/>
  <c r="W64" i="78"/>
  <c r="X64" i="78"/>
  <c r="Y64" i="78"/>
  <c r="C66" i="78"/>
  <c r="D66" i="78"/>
  <c r="E66" i="78"/>
  <c r="F66" i="78"/>
  <c r="G66" i="78"/>
  <c r="H66" i="78"/>
  <c r="I66" i="78"/>
  <c r="J66" i="78"/>
  <c r="K66" i="78"/>
  <c r="L66" i="78"/>
  <c r="M66" i="78"/>
  <c r="N66" i="78"/>
  <c r="O66" i="78"/>
  <c r="P66" i="78"/>
  <c r="Q66" i="78"/>
  <c r="R66" i="78"/>
  <c r="S66" i="78"/>
  <c r="T66" i="78"/>
  <c r="U66" i="78"/>
  <c r="V66" i="78"/>
  <c r="W66" i="78"/>
  <c r="X66" i="78"/>
  <c r="Y66" i="78"/>
  <c r="C81" i="76"/>
  <c r="D81" i="76"/>
  <c r="E81" i="76"/>
  <c r="F81" i="76"/>
  <c r="G81" i="76"/>
  <c r="H81" i="76"/>
  <c r="I81" i="76"/>
  <c r="J81" i="76"/>
  <c r="K81" i="76"/>
  <c r="L81" i="76"/>
  <c r="M81" i="76"/>
  <c r="N81" i="76"/>
  <c r="O81" i="76"/>
  <c r="P81" i="76"/>
  <c r="Q81" i="76"/>
  <c r="R81" i="76"/>
  <c r="S81" i="76"/>
  <c r="T81" i="76"/>
  <c r="U81" i="76"/>
  <c r="V81" i="76"/>
  <c r="W81" i="76"/>
  <c r="X81" i="76"/>
  <c r="Y81" i="76"/>
  <c r="C83" i="76"/>
  <c r="D83" i="76"/>
  <c r="E83" i="76"/>
  <c r="F83" i="76"/>
  <c r="G83" i="76"/>
  <c r="H83" i="76"/>
  <c r="I83" i="76"/>
  <c r="J83" i="76"/>
  <c r="K83" i="76"/>
  <c r="L83" i="76"/>
  <c r="M83" i="76"/>
  <c r="N83" i="76"/>
  <c r="O83" i="76"/>
  <c r="P83" i="76"/>
  <c r="Q83" i="76"/>
  <c r="R83" i="76"/>
  <c r="S83" i="76"/>
  <c r="T83" i="76"/>
  <c r="U83" i="76"/>
  <c r="V83" i="76"/>
  <c r="W83" i="76"/>
  <c r="X83" i="76"/>
  <c r="Y83" i="76"/>
  <c r="C86" i="76"/>
  <c r="D86" i="76"/>
  <c r="E86" i="76"/>
  <c r="F86" i="76"/>
  <c r="G86" i="76"/>
  <c r="H86" i="76"/>
  <c r="I86" i="76"/>
  <c r="J86" i="76"/>
  <c r="K86" i="76"/>
  <c r="L86" i="76"/>
  <c r="M86" i="76"/>
  <c r="N86" i="76"/>
  <c r="O86" i="76"/>
  <c r="P86" i="76"/>
  <c r="Q86" i="76"/>
  <c r="R86" i="76"/>
  <c r="S86" i="76"/>
  <c r="T86" i="76"/>
  <c r="U86" i="76"/>
  <c r="V86" i="76"/>
  <c r="W86" i="76"/>
  <c r="X86" i="76"/>
  <c r="Y86" i="76"/>
  <c r="C71" i="78"/>
  <c r="D71" i="78"/>
  <c r="E71" i="78"/>
  <c r="F71" i="78"/>
  <c r="G71" i="78"/>
  <c r="H71" i="78"/>
  <c r="I71" i="78"/>
  <c r="J71" i="78"/>
  <c r="K71" i="78"/>
  <c r="L71" i="78"/>
  <c r="M71" i="78"/>
  <c r="N71" i="78"/>
  <c r="O71" i="78"/>
  <c r="P71" i="78"/>
  <c r="Q71" i="78"/>
  <c r="R71" i="78"/>
  <c r="S71" i="78"/>
  <c r="T71" i="78"/>
  <c r="U71" i="78"/>
  <c r="W71" i="78"/>
  <c r="X71" i="78"/>
  <c r="Y71" i="78"/>
  <c r="B71" i="78"/>
  <c r="B86" i="76"/>
  <c r="B83" i="76"/>
  <c r="B81" i="76"/>
  <c r="B64" i="78"/>
  <c r="B66" i="78"/>
  <c r="G88" i="76" l="1"/>
  <c r="V69" i="78"/>
  <c r="V73" i="78" s="1"/>
  <c r="V75" i="78" s="1"/>
  <c r="R69" i="78"/>
  <c r="R73" i="78" s="1"/>
  <c r="R75" i="78" s="1"/>
  <c r="N69" i="78"/>
  <c r="N73" i="78" s="1"/>
  <c r="N75" i="78" s="1"/>
  <c r="J69" i="78"/>
  <c r="J73" i="78" s="1"/>
  <c r="J75" i="78" s="1"/>
  <c r="F69" i="78"/>
  <c r="F73" i="78" s="1"/>
  <c r="F75" i="78" s="1"/>
  <c r="B88" i="76"/>
  <c r="B90" i="76" s="1"/>
  <c r="W88" i="76"/>
  <c r="W90" i="76" s="1"/>
  <c r="G90" i="76"/>
  <c r="B69" i="78"/>
  <c r="B73" i="78" s="1"/>
  <c r="B75" i="78" s="1"/>
  <c r="S88" i="76"/>
  <c r="S90" i="76" s="1"/>
  <c r="O88" i="76"/>
  <c r="O90" i="76" s="1"/>
  <c r="K88" i="76"/>
  <c r="K90" i="76" s="1"/>
  <c r="C88" i="76"/>
  <c r="C90" i="76" s="1"/>
  <c r="V88" i="76"/>
  <c r="V90" i="76" s="1"/>
  <c r="R88" i="76"/>
  <c r="R90" i="76" s="1"/>
  <c r="N88" i="76"/>
  <c r="N90" i="76" s="1"/>
  <c r="J88" i="76"/>
  <c r="J90" i="76" s="1"/>
  <c r="F88" i="76"/>
  <c r="F90" i="76" s="1"/>
  <c r="Y88" i="76"/>
  <c r="Y90" i="76" s="1"/>
  <c r="U88" i="76"/>
  <c r="U90" i="76" s="1"/>
  <c r="Q88" i="76"/>
  <c r="Q90" i="76" s="1"/>
  <c r="M88" i="76"/>
  <c r="M90" i="76" s="1"/>
  <c r="I88" i="76"/>
  <c r="I90" i="76" s="1"/>
  <c r="E88" i="76"/>
  <c r="E90" i="76" s="1"/>
  <c r="X88" i="76"/>
  <c r="X90" i="76" s="1"/>
  <c r="T88" i="76"/>
  <c r="T90" i="76" s="1"/>
  <c r="P88" i="76"/>
  <c r="P90" i="76" s="1"/>
  <c r="L88" i="76"/>
  <c r="L90" i="76" s="1"/>
  <c r="H88" i="76"/>
  <c r="H90" i="76" s="1"/>
  <c r="D88" i="76"/>
  <c r="D90" i="76" s="1"/>
  <c r="Y69" i="78"/>
  <c r="Y73" i="78" s="1"/>
  <c r="Y75" i="78" s="1"/>
  <c r="U69" i="78"/>
  <c r="U73" i="78" s="1"/>
  <c r="U75" i="78" s="1"/>
  <c r="Q69" i="78"/>
  <c r="Q73" i="78" s="1"/>
  <c r="Q75" i="78" s="1"/>
  <c r="M69" i="78"/>
  <c r="M73" i="78" s="1"/>
  <c r="M75" i="78" s="1"/>
  <c r="I69" i="78"/>
  <c r="I73" i="78" s="1"/>
  <c r="I75" i="78" s="1"/>
  <c r="E69" i="78"/>
  <c r="E73" i="78" s="1"/>
  <c r="E75" i="78" s="1"/>
  <c r="X69" i="78"/>
  <c r="X73" i="78" s="1"/>
  <c r="X75" i="78" s="1"/>
  <c r="T69" i="78"/>
  <c r="T73" i="78" s="1"/>
  <c r="T75" i="78" s="1"/>
  <c r="P69" i="78"/>
  <c r="P73" i="78" s="1"/>
  <c r="P75" i="78" s="1"/>
  <c r="L69" i="78"/>
  <c r="L73" i="78" s="1"/>
  <c r="L75" i="78" s="1"/>
  <c r="H69" i="78"/>
  <c r="H73" i="78" s="1"/>
  <c r="H75" i="78" s="1"/>
  <c r="D69" i="78"/>
  <c r="D73" i="78" s="1"/>
  <c r="D75" i="78" s="1"/>
  <c r="W69" i="78"/>
  <c r="W73" i="78" s="1"/>
  <c r="W75" i="78" s="1"/>
  <c r="S69" i="78"/>
  <c r="S73" i="78" s="1"/>
  <c r="S75" i="78" s="1"/>
  <c r="O69" i="78"/>
  <c r="O73" i="78" s="1"/>
  <c r="O75" i="78" s="1"/>
  <c r="K69" i="78"/>
  <c r="K73" i="78" s="1"/>
  <c r="K75" i="78" s="1"/>
  <c r="G69" i="78"/>
  <c r="G73" i="78" s="1"/>
  <c r="G75" i="78" s="1"/>
  <c r="C69" i="78"/>
  <c r="C73" i="78" s="1"/>
  <c r="C75" i="78" s="1"/>
  <c r="DT117" i="4"/>
  <c r="DT132" i="5" s="1"/>
  <c r="CX117" i="4"/>
  <c r="CX132" i="5" s="1"/>
  <c r="CY117" i="4"/>
  <c r="CY132" i="5" s="1"/>
  <c r="CZ117" i="4"/>
  <c r="CZ132" i="5" s="1"/>
  <c r="DA117" i="4"/>
  <c r="DA132" i="5" s="1"/>
  <c r="DB117" i="4"/>
  <c r="DB132" i="5" s="1"/>
  <c r="G26" i="37" s="1"/>
  <c r="DC117" i="4"/>
  <c r="DC132" i="5" s="1"/>
  <c r="DD117" i="4"/>
  <c r="DD132" i="5" s="1"/>
  <c r="DE117" i="4"/>
  <c r="DE132" i="5" s="1"/>
  <c r="DF117" i="4"/>
  <c r="DF132" i="5" s="1"/>
  <c r="DG117" i="4"/>
  <c r="DG132" i="5" s="1"/>
  <c r="DH117" i="4"/>
  <c r="DH132" i="5" s="1"/>
  <c r="DI117" i="4"/>
  <c r="DI132" i="5" s="1"/>
  <c r="DJ117" i="4"/>
  <c r="DJ132" i="5" s="1"/>
  <c r="DK117" i="4"/>
  <c r="DK132" i="5" s="1"/>
  <c r="DL117" i="4"/>
  <c r="DL132" i="5" s="1"/>
  <c r="DM117" i="4"/>
  <c r="DM132" i="5" s="1"/>
  <c r="DN117" i="4"/>
  <c r="DN132" i="5" s="1"/>
  <c r="DO117" i="4"/>
  <c r="DO132" i="5" s="1"/>
  <c r="DP117" i="4"/>
  <c r="DP132" i="5" s="1"/>
  <c r="AC26" i="37" s="1"/>
  <c r="DQ117" i="4"/>
  <c r="DQ132" i="5" s="1"/>
  <c r="DR117" i="4"/>
  <c r="DR132" i="5" s="1"/>
  <c r="AA26" i="37" s="1"/>
  <c r="DS117" i="4"/>
  <c r="DS132" i="5" s="1"/>
  <c r="CX119" i="4"/>
  <c r="CX134" i="5" s="1"/>
  <c r="CY119" i="4"/>
  <c r="CY134" i="5" s="1"/>
  <c r="CZ119" i="4"/>
  <c r="CZ134" i="5" s="1"/>
  <c r="DA119" i="4"/>
  <c r="DA134" i="5" s="1"/>
  <c r="DB119" i="4"/>
  <c r="DB134" i="5" s="1"/>
  <c r="DC119" i="4"/>
  <c r="DC134" i="5" s="1"/>
  <c r="DD119" i="4"/>
  <c r="DD134" i="5" s="1"/>
  <c r="DE119" i="4"/>
  <c r="DE134" i="5" s="1"/>
  <c r="DF119" i="4"/>
  <c r="DF134" i="5" s="1"/>
  <c r="DG119" i="4"/>
  <c r="DG134" i="5" s="1"/>
  <c r="DH119" i="4"/>
  <c r="DH134" i="5" s="1"/>
  <c r="DI119" i="4"/>
  <c r="DI134" i="5" s="1"/>
  <c r="DJ119" i="4"/>
  <c r="DJ134" i="5" s="1"/>
  <c r="DK119" i="4"/>
  <c r="DK134" i="5" s="1"/>
  <c r="DL119" i="4"/>
  <c r="DL134" i="5" s="1"/>
  <c r="DM119" i="4"/>
  <c r="DM134" i="5" s="1"/>
  <c r="DN119" i="4"/>
  <c r="DN134" i="5" s="1"/>
  <c r="DO119" i="4"/>
  <c r="DO134" i="5" s="1"/>
  <c r="DP119" i="4"/>
  <c r="DP134" i="5" s="1"/>
  <c r="AC27" i="37" s="1"/>
  <c r="DQ119" i="4"/>
  <c r="DQ134" i="5" s="1"/>
  <c r="DR119" i="4"/>
  <c r="DR134" i="5" s="1"/>
  <c r="DS119" i="4"/>
  <c r="DS134" i="5" s="1"/>
  <c r="DT119" i="4"/>
  <c r="DT134" i="5" s="1"/>
  <c r="CX121" i="4"/>
  <c r="CY121" i="4"/>
  <c r="CZ121" i="4"/>
  <c r="DA121" i="4"/>
  <c r="DB121" i="4"/>
  <c r="DC121" i="4"/>
  <c r="DD121" i="4"/>
  <c r="DE121" i="4"/>
  <c r="DF121" i="4"/>
  <c r="DG121" i="4"/>
  <c r="DH121" i="4"/>
  <c r="DI121" i="4"/>
  <c r="DJ121" i="4"/>
  <c r="DK121" i="4"/>
  <c r="DL121" i="4"/>
  <c r="DM121" i="4"/>
  <c r="DN121" i="4"/>
  <c r="DO121" i="4"/>
  <c r="DP121" i="4"/>
  <c r="DQ121" i="4"/>
  <c r="DR121" i="4"/>
  <c r="DS121" i="4"/>
  <c r="DT121" i="4"/>
  <c r="CX154" i="4"/>
  <c r="CY154" i="4"/>
  <c r="CZ154" i="4"/>
  <c r="DA154" i="4"/>
  <c r="DB154" i="4"/>
  <c r="DC154" i="4"/>
  <c r="DD154" i="4"/>
  <c r="DE154" i="4"/>
  <c r="DF154" i="4"/>
  <c r="DG154" i="4"/>
  <c r="DH154" i="4"/>
  <c r="DI154" i="4"/>
  <c r="DJ154" i="4"/>
  <c r="DK154" i="4"/>
  <c r="DL154" i="4"/>
  <c r="DM154" i="4"/>
  <c r="DN154" i="4"/>
  <c r="DO154" i="4"/>
  <c r="DP154" i="4"/>
  <c r="DS154" i="4"/>
  <c r="CX83" i="4"/>
  <c r="CY83" i="4"/>
  <c r="CZ83" i="4"/>
  <c r="DA83" i="4"/>
  <c r="DB83" i="4"/>
  <c r="DC83" i="4"/>
  <c r="DD83" i="4"/>
  <c r="DE83" i="4"/>
  <c r="DF83" i="4"/>
  <c r="DG83" i="4"/>
  <c r="DH83" i="4"/>
  <c r="DI83" i="4"/>
  <c r="DJ83" i="4"/>
  <c r="DK83" i="4"/>
  <c r="DL83" i="4"/>
  <c r="DM83" i="4"/>
  <c r="DN83" i="4"/>
  <c r="DO83" i="4"/>
  <c r="DP83" i="4"/>
  <c r="DQ83" i="4"/>
  <c r="DR83" i="4"/>
  <c r="DS83" i="4"/>
  <c r="DT83" i="4"/>
  <c r="CX86" i="4"/>
  <c r="CY86" i="4"/>
  <c r="CZ86" i="4"/>
  <c r="DA86" i="4"/>
  <c r="DB86" i="4"/>
  <c r="DC86" i="4"/>
  <c r="DD86" i="4"/>
  <c r="DE86" i="4"/>
  <c r="DF86" i="4"/>
  <c r="DG86" i="4"/>
  <c r="DH86" i="4"/>
  <c r="DI86" i="4"/>
  <c r="DJ86" i="4"/>
  <c r="DK86" i="4"/>
  <c r="DL86" i="4"/>
  <c r="DM86" i="4"/>
  <c r="DN86" i="4"/>
  <c r="DO86" i="4"/>
  <c r="DP86" i="4"/>
  <c r="DQ86" i="4"/>
  <c r="DR86" i="4"/>
  <c r="DR334" i="5" s="1"/>
  <c r="DS86" i="4"/>
  <c r="DT86" i="4"/>
  <c r="CX104" i="4"/>
  <c r="CY104" i="4"/>
  <c r="CZ104" i="4"/>
  <c r="DA104" i="4"/>
  <c r="DB104" i="4"/>
  <c r="DC104" i="4"/>
  <c r="DD104" i="4"/>
  <c r="DE104" i="4"/>
  <c r="DF104" i="4"/>
  <c r="DG104" i="4"/>
  <c r="DH104" i="4"/>
  <c r="DI104" i="4"/>
  <c r="DJ104" i="4"/>
  <c r="DK104" i="4"/>
  <c r="DL104" i="4"/>
  <c r="DM104" i="4"/>
  <c r="DN104" i="4"/>
  <c r="DO104" i="4"/>
  <c r="DP104" i="4"/>
  <c r="DQ104" i="4"/>
  <c r="DR104" i="4"/>
  <c r="DS104" i="4"/>
  <c r="DT104" i="4"/>
  <c r="CX109" i="4"/>
  <c r="CY109" i="4"/>
  <c r="CZ109" i="4"/>
  <c r="DA109" i="4"/>
  <c r="DB109" i="4"/>
  <c r="DC109" i="4"/>
  <c r="DD109" i="4"/>
  <c r="DE109" i="4"/>
  <c r="DF109" i="4"/>
  <c r="DG109" i="4"/>
  <c r="DH109" i="4"/>
  <c r="DI109" i="4"/>
  <c r="DJ109" i="4"/>
  <c r="DK109" i="4"/>
  <c r="DL109" i="4"/>
  <c r="DM109" i="4"/>
  <c r="DN109" i="4"/>
  <c r="DO109" i="4"/>
  <c r="DP109" i="4"/>
  <c r="DQ109" i="4"/>
  <c r="DR109" i="4"/>
  <c r="DS109" i="4"/>
  <c r="DT109" i="4"/>
  <c r="CW154" i="4"/>
  <c r="CW121" i="4"/>
  <c r="CW288" i="5" s="1"/>
  <c r="CW119" i="4"/>
  <c r="CW134" i="5" s="1"/>
  <c r="CW117" i="4"/>
  <c r="CW132" i="5" s="1"/>
  <c r="CW104" i="4"/>
  <c r="DQ86" i="5" l="1"/>
  <c r="DQ85" i="5" s="1"/>
  <c r="DW86" i="4"/>
  <c r="DW132" i="5"/>
  <c r="AR26" i="37" s="1"/>
  <c r="DW134" i="5"/>
  <c r="AC30" i="37"/>
  <c r="DW66" i="5"/>
  <c r="DW83" i="4"/>
  <c r="DQ154" i="5"/>
  <c r="DM154" i="5"/>
  <c r="DI154" i="5"/>
  <c r="DE154" i="5"/>
  <c r="DA154" i="5"/>
  <c r="AA36" i="80"/>
  <c r="DR69" i="5"/>
  <c r="DS154" i="5"/>
  <c r="DO154" i="5"/>
  <c r="DK154" i="5"/>
  <c r="DG154" i="5"/>
  <c r="DC154" i="5"/>
  <c r="CY154" i="5"/>
  <c r="DR154" i="5"/>
  <c r="DN154" i="5"/>
  <c r="DJ154" i="5"/>
  <c r="DF154" i="5"/>
  <c r="DB154" i="5"/>
  <c r="CX154" i="5"/>
  <c r="DT154" i="5"/>
  <c r="DT171" i="4"/>
  <c r="DP154" i="5"/>
  <c r="DL154" i="5"/>
  <c r="DH154" i="5"/>
  <c r="DD154" i="5"/>
  <c r="CZ154" i="5"/>
  <c r="DS112" i="4"/>
  <c r="DO112" i="4"/>
  <c r="DS136" i="4"/>
  <c r="DO136" i="4"/>
  <c r="DP136" i="4"/>
  <c r="DR112" i="4"/>
  <c r="DN112" i="4"/>
  <c r="DQ112" i="4"/>
  <c r="DM112" i="4"/>
  <c r="DR136" i="4"/>
  <c r="DT112" i="4"/>
  <c r="DP112" i="4"/>
  <c r="DL112" i="4"/>
  <c r="DQ136" i="4"/>
  <c r="DT136" i="4"/>
  <c r="DA136" i="4"/>
  <c r="DM136" i="4"/>
  <c r="DI136" i="4"/>
  <c r="DE136" i="4"/>
  <c r="DK136" i="4"/>
  <c r="DG136" i="4"/>
  <c r="DC136" i="4"/>
  <c r="CY136" i="4"/>
  <c r="DN136" i="4"/>
  <c r="DJ136" i="4"/>
  <c r="DF136" i="4"/>
  <c r="DB136" i="4"/>
  <c r="CX136" i="4"/>
  <c r="DL136" i="4"/>
  <c r="DH136" i="4"/>
  <c r="DD136" i="4"/>
  <c r="CZ136" i="4"/>
  <c r="DQ84" i="5" l="1"/>
  <c r="DT73" i="4"/>
  <c r="DT75" i="4" s="1"/>
  <c r="Y34" i="80"/>
  <c r="Y36" i="80" s="1"/>
  <c r="DQ69" i="5"/>
  <c r="DT173" i="4"/>
  <c r="E352" i="65"/>
  <c r="AB19" i="47"/>
  <c r="AB20" i="47"/>
  <c r="AB21" i="47"/>
  <c r="AB22" i="47"/>
  <c r="AB23" i="47"/>
  <c r="AB24" i="47"/>
  <c r="AB25" i="47"/>
  <c r="AB26" i="47"/>
  <c r="AB27" i="47"/>
  <c r="AB28" i="47"/>
  <c r="AB29" i="47"/>
  <c r="AB30" i="47"/>
  <c r="AB31" i="47"/>
  <c r="AB32" i="47"/>
  <c r="AB33" i="47"/>
  <c r="AB34" i="47"/>
  <c r="AB35" i="47"/>
  <c r="AB36" i="47"/>
  <c r="AB37" i="47"/>
  <c r="AB38" i="47"/>
  <c r="AB39" i="47"/>
  <c r="AB40" i="47"/>
  <c r="AB41" i="47"/>
  <c r="AB42" i="47"/>
  <c r="AB43" i="47"/>
  <c r="AB44" i="47"/>
  <c r="AB45" i="47"/>
  <c r="AB46" i="47"/>
  <c r="AB47" i="47"/>
  <c r="AB48" i="47"/>
  <c r="AB49" i="47"/>
  <c r="AB50" i="47"/>
  <c r="AB51" i="47"/>
  <c r="AB53" i="47"/>
  <c r="AB54" i="47"/>
  <c r="AB55" i="47"/>
  <c r="AB56" i="47"/>
  <c r="AB57" i="47"/>
  <c r="AB58" i="47"/>
  <c r="AB59" i="47"/>
  <c r="AB60" i="47"/>
  <c r="AB61" i="47"/>
  <c r="AB62" i="47"/>
  <c r="AB63" i="47"/>
  <c r="AB64" i="47"/>
  <c r="AB65" i="47"/>
  <c r="AB67" i="47"/>
  <c r="AB68" i="47"/>
  <c r="AB69" i="47"/>
  <c r="E382" i="65" s="1"/>
  <c r="AB70" i="47"/>
  <c r="AB71" i="47"/>
  <c r="AB72" i="47"/>
  <c r="AB73" i="47"/>
  <c r="AB74" i="47"/>
  <c r="AB75" i="47"/>
  <c r="AB76" i="47"/>
  <c r="AB77" i="47"/>
  <c r="E383" i="65" s="1"/>
  <c r="AB78" i="47"/>
  <c r="E384" i="65" s="1"/>
  <c r="AB79" i="47"/>
  <c r="AB80" i="47"/>
  <c r="AB81" i="47"/>
  <c r="AB82" i="47"/>
  <c r="AB83" i="47"/>
  <c r="AB84" i="47"/>
  <c r="AB85" i="47"/>
  <c r="AB86" i="47"/>
  <c r="AB87" i="47"/>
  <c r="AB88" i="47"/>
  <c r="AB89" i="47"/>
  <c r="AB90" i="47"/>
  <c r="AB91" i="47"/>
  <c r="AB92" i="47"/>
  <c r="AB93" i="47"/>
  <c r="AB94" i="47"/>
  <c r="Z19" i="47"/>
  <c r="Z20" i="47"/>
  <c r="Z21" i="47"/>
  <c r="Z22" i="47"/>
  <c r="Z23" i="47"/>
  <c r="Z24" i="47"/>
  <c r="Z25" i="47"/>
  <c r="Z26" i="47"/>
  <c r="Z27" i="47"/>
  <c r="Z28" i="47"/>
  <c r="Z29" i="47"/>
  <c r="Z30" i="47"/>
  <c r="Z31" i="47"/>
  <c r="Z32" i="47"/>
  <c r="Z33" i="47"/>
  <c r="Z34" i="47"/>
  <c r="Z35" i="47"/>
  <c r="Z36" i="47"/>
  <c r="Z37" i="47"/>
  <c r="Z38" i="47"/>
  <c r="Z39" i="47"/>
  <c r="Z40" i="47"/>
  <c r="Z41" i="47"/>
  <c r="Z42" i="47"/>
  <c r="Z43" i="47"/>
  <c r="Z44" i="47"/>
  <c r="Z45" i="47"/>
  <c r="Z46" i="47"/>
  <c r="Z47" i="47"/>
  <c r="Z48" i="47"/>
  <c r="Z49" i="47"/>
  <c r="Z50" i="47"/>
  <c r="Z51" i="47"/>
  <c r="Z53" i="47"/>
  <c r="Z54" i="47"/>
  <c r="Z55" i="47"/>
  <c r="Z56" i="47"/>
  <c r="Z57" i="47"/>
  <c r="Z58" i="47"/>
  <c r="Z59" i="47"/>
  <c r="Z60" i="47"/>
  <c r="Z61" i="47"/>
  <c r="Z62" i="47"/>
  <c r="Z63" i="47"/>
  <c r="Z64" i="47"/>
  <c r="Z65" i="47"/>
  <c r="Z66" i="47"/>
  <c r="Z67" i="47"/>
  <c r="Z68" i="47"/>
  <c r="Z69" i="47"/>
  <c r="Z70" i="47"/>
  <c r="Z71" i="47"/>
  <c r="Z72" i="47"/>
  <c r="Z73" i="47"/>
  <c r="Z74" i="47"/>
  <c r="Z75" i="47"/>
  <c r="Z76" i="47"/>
  <c r="Z77" i="47"/>
  <c r="Z78" i="47"/>
  <c r="Z79" i="47"/>
  <c r="Z80" i="47"/>
  <c r="Z81" i="47"/>
  <c r="Z82" i="47"/>
  <c r="Z83" i="47"/>
  <c r="Z84" i="47"/>
  <c r="Z85" i="47"/>
  <c r="Z86" i="47"/>
  <c r="Z87" i="47"/>
  <c r="Z88" i="47"/>
  <c r="Z89" i="47"/>
  <c r="Z90" i="47"/>
  <c r="Z91" i="47"/>
  <c r="Z92" i="47"/>
  <c r="Z93" i="47"/>
  <c r="Z94" i="47"/>
  <c r="AB18" i="47"/>
  <c r="R235" i="65"/>
  <c r="Q235" i="65"/>
  <c r="E173" i="65"/>
  <c r="E177" i="65"/>
  <c r="E185" i="65"/>
  <c r="E192" i="65"/>
  <c r="G192" i="65" s="1"/>
  <c r="Q186" i="65" l="1"/>
  <c r="E174" i="65"/>
  <c r="Q178" i="65"/>
  <c r="G179" i="65" l="1"/>
  <c r="R179" i="65"/>
  <c r="DZ34" i="19"/>
  <c r="AK29" i="69" l="1"/>
  <c r="W35" i="69"/>
  <c r="Q23" i="69"/>
  <c r="AI26" i="69"/>
  <c r="AY64" i="69"/>
  <c r="BA62" i="69"/>
  <c r="BA60" i="69"/>
  <c r="AY58" i="69"/>
  <c r="AY57" i="69"/>
  <c r="D39" i="71" l="1"/>
  <c r="D40" i="71" s="1"/>
  <c r="D41" i="71" s="1"/>
  <c r="D93" i="39" l="1"/>
  <c r="H63" i="39"/>
  <c r="EB89" i="5" l="1"/>
  <c r="ED18" i="4" l="1"/>
  <c r="EB85" i="5" l="1"/>
  <c r="EB84" i="5" s="1"/>
  <c r="AX166" i="6" l="1"/>
  <c r="E43" i="70" l="1"/>
  <c r="F43" i="70"/>
  <c r="G43" i="70"/>
  <c r="H43" i="70"/>
  <c r="L43" i="70"/>
  <c r="M43" i="70"/>
  <c r="N43" i="70"/>
  <c r="I43" i="70"/>
  <c r="P43" i="70"/>
  <c r="Q43" i="70"/>
  <c r="R43" i="70"/>
  <c r="I37" i="70"/>
  <c r="I11" i="70"/>
  <c r="AP64" i="28" l="1"/>
  <c r="AP65" i="28"/>
  <c r="AP66" i="28"/>
  <c r="AP67" i="28"/>
  <c r="AP68" i="28"/>
  <c r="AP70" i="28"/>
  <c r="AP71" i="28"/>
  <c r="AP72" i="28"/>
  <c r="AB77" i="10" l="1"/>
  <c r="AL93" i="10"/>
  <c r="AM93" i="10" s="1"/>
  <c r="F15" i="69" l="1"/>
  <c r="Z129" i="10" s="1"/>
  <c r="CG321" i="5"/>
  <c r="CG320" i="5"/>
  <c r="CC321" i="5"/>
  <c r="CC320" i="5"/>
  <c r="F16" i="69" l="1"/>
  <c r="F35" i="69"/>
  <c r="AC96" i="9" s="1"/>
  <c r="I35" i="69"/>
  <c r="CC323" i="5" s="1"/>
  <c r="L35" i="69"/>
  <c r="CG323" i="5" s="1"/>
  <c r="O35" i="69"/>
  <c r="AC108" i="9" l="1"/>
  <c r="F128" i="14" l="1"/>
  <c r="BY51" i="5" l="1"/>
  <c r="BZ51" i="5" s="1"/>
  <c r="E61" i="30" l="1"/>
  <c r="F59" i="30"/>
  <c r="G61" i="30"/>
  <c r="I61" i="30"/>
  <c r="K61" i="30"/>
  <c r="E63" i="30"/>
  <c r="F63" i="30"/>
  <c r="G63" i="30"/>
  <c r="H63" i="30"/>
  <c r="I63" i="30"/>
  <c r="J63" i="30"/>
  <c r="K63" i="30"/>
  <c r="E65" i="30" l="1"/>
  <c r="B43" i="33"/>
  <c r="L43" i="33" s="1"/>
  <c r="B42" i="33"/>
  <c r="L42" i="33" s="1"/>
  <c r="B48" i="30" l="1"/>
  <c r="B47" i="30"/>
  <c r="R43" i="69" l="1"/>
  <c r="R9" i="69"/>
  <c r="R13" i="69"/>
  <c r="D46" i="31" l="1"/>
  <c r="D47" i="31"/>
  <c r="D65" i="31"/>
  <c r="D140" i="31"/>
  <c r="D145" i="31"/>
  <c r="D148" i="31"/>
  <c r="D105" i="31" s="1"/>
  <c r="D153" i="31"/>
  <c r="D154" i="31"/>
  <c r="D15" i="30"/>
  <c r="D37" i="30"/>
  <c r="D40" i="30"/>
  <c r="D55" i="30"/>
  <c r="D59" i="30"/>
  <c r="N59" i="30" s="1"/>
  <c r="D63" i="30"/>
  <c r="D18" i="29"/>
  <c r="D20" i="29"/>
  <c r="D22" i="29"/>
  <c r="D23" i="29"/>
  <c r="D31" i="29"/>
  <c r="D33" i="29"/>
  <c r="D35" i="29"/>
  <c r="D37" i="29"/>
  <c r="D39" i="29"/>
  <c r="D55" i="29"/>
  <c r="D88" i="31" s="1"/>
  <c r="D60" i="29"/>
  <c r="D63" i="29"/>
  <c r="D64" i="29"/>
  <c r="D65" i="29"/>
  <c r="D66" i="29"/>
  <c r="D67" i="29"/>
  <c r="D33" i="31" s="1"/>
  <c r="D72" i="29"/>
  <c r="D74" i="29"/>
  <c r="D75" i="29"/>
  <c r="D77" i="29"/>
  <c r="D96" i="31" s="1"/>
  <c r="D99" i="29"/>
  <c r="D99" i="31" s="1"/>
  <c r="D102" i="29"/>
  <c r="D104" i="29"/>
  <c r="D105" i="29"/>
  <c r="D106" i="29"/>
  <c r="D107" i="29"/>
  <c r="BM83" i="4"/>
  <c r="BM84" i="4"/>
  <c r="BM86" i="4"/>
  <c r="BM334" i="5" s="1"/>
  <c r="BM87" i="4"/>
  <c r="BM88" i="4"/>
  <c r="BM92" i="4"/>
  <c r="BM92" i="5" s="1"/>
  <c r="BM93" i="4"/>
  <c r="BM94" i="4"/>
  <c r="BM98" i="4"/>
  <c r="BM99" i="4"/>
  <c r="BM100" i="4"/>
  <c r="BM101" i="4"/>
  <c r="BM103" i="5" s="1"/>
  <c r="BM368" i="5" s="1"/>
  <c r="BM376" i="5" s="1"/>
  <c r="BM191" i="5" s="1"/>
  <c r="BM102" i="4"/>
  <c r="BM103" i="4"/>
  <c r="BM104" i="4"/>
  <c r="BM105" i="4"/>
  <c r="BM106" i="4"/>
  <c r="BM108" i="4"/>
  <c r="BM109" i="4"/>
  <c r="BM110" i="4"/>
  <c r="BM111" i="4"/>
  <c r="BM117" i="4"/>
  <c r="BM118" i="4"/>
  <c r="BM119" i="4"/>
  <c r="BM120" i="4"/>
  <c r="BM135" i="5" s="1"/>
  <c r="BM121" i="4"/>
  <c r="BM122" i="4"/>
  <c r="BM123" i="4"/>
  <c r="BM124" i="4"/>
  <c r="BM125" i="4"/>
  <c r="BM126" i="4"/>
  <c r="BM127" i="4"/>
  <c r="BM128" i="4"/>
  <c r="BM130" i="4"/>
  <c r="BM131" i="4"/>
  <c r="BM132" i="4"/>
  <c r="BM133" i="4"/>
  <c r="BM134" i="4"/>
  <c r="BM171" i="4"/>
  <c r="BM89" i="5"/>
  <c r="BM93" i="5"/>
  <c r="BM94" i="5"/>
  <c r="BM341" i="5" s="1"/>
  <c r="BM346" i="5" s="1"/>
  <c r="BM100" i="5"/>
  <c r="BM128" i="5"/>
  <c r="BM193" i="5"/>
  <c r="BM232" i="5"/>
  <c r="BM254" i="5"/>
  <c r="BM258" i="5"/>
  <c r="BM276" i="5"/>
  <c r="BM292" i="5"/>
  <c r="BM314" i="5"/>
  <c r="BM132" i="5" s="1"/>
  <c r="BM318" i="5"/>
  <c r="BM382" i="5"/>
  <c r="BM192" i="5" s="1"/>
  <c r="BM154" i="5" l="1"/>
  <c r="BM157" i="5"/>
  <c r="BM172" i="5" s="1"/>
  <c r="D92" i="31"/>
  <c r="BM112" i="4"/>
  <c r="BM86" i="5"/>
  <c r="BM85" i="5" s="1"/>
  <c r="BM84" i="5" s="1"/>
  <c r="BM331" i="5"/>
  <c r="BM359" i="5" s="1"/>
  <c r="BM361" i="5" s="1"/>
  <c r="BM189" i="5" s="1"/>
  <c r="BM271" i="5"/>
  <c r="BM136" i="4"/>
  <c r="BM173" i="4" s="1"/>
  <c r="BM175" i="4" s="1"/>
  <c r="D89" i="31"/>
  <c r="BM188" i="5"/>
  <c r="BM88" i="5"/>
  <c r="BM114" i="5" l="1"/>
  <c r="BM207" i="5"/>
  <c r="BM386" i="5"/>
  <c r="BM209" i="5" l="1"/>
  <c r="BM211" i="5" s="1"/>
  <c r="X47" i="10" l="1"/>
  <c r="B40" i="14"/>
  <c r="F40" i="14"/>
  <c r="H40" i="14"/>
  <c r="D47" i="10"/>
  <c r="F47" i="10"/>
  <c r="H47" i="10"/>
  <c r="J47" i="10"/>
  <c r="J11" i="21" l="1"/>
  <c r="J10" i="21"/>
  <c r="D34" i="29" l="1"/>
  <c r="D26" i="31" s="1"/>
  <c r="AB52" i="47" l="1"/>
  <c r="Z52" i="47"/>
  <c r="Z95" i="47"/>
  <c r="AB95" i="47"/>
  <c r="G13" i="37"/>
  <c r="G14" i="37"/>
  <c r="G19" i="37"/>
  <c r="G21" i="37"/>
  <c r="Y13" i="6" l="1"/>
  <c r="Q69" i="51" l="1"/>
  <c r="BU83" i="4" l="1"/>
  <c r="GY18" i="26" l="1"/>
  <c r="GY19" i="26"/>
  <c r="GZ19" i="26"/>
  <c r="GY20" i="26"/>
  <c r="GZ20" i="26"/>
  <c r="GY21" i="26"/>
  <c r="GY22" i="26"/>
  <c r="GZ22" i="26"/>
  <c r="GV55" i="26"/>
  <c r="GU55" i="26"/>
  <c r="GV54" i="26"/>
  <c r="GU54" i="26"/>
  <c r="GV47" i="26"/>
  <c r="GU47" i="26"/>
  <c r="GV46" i="26"/>
  <c r="GU46" i="26"/>
  <c r="GV45" i="26"/>
  <c r="GU45" i="26"/>
  <c r="GV44" i="26"/>
  <c r="GU44" i="26"/>
  <c r="GV42" i="26"/>
  <c r="GU42" i="26"/>
  <c r="GV41" i="26"/>
  <c r="GU41" i="26"/>
  <c r="GV39" i="26"/>
  <c r="GU39" i="26"/>
  <c r="GV38" i="26"/>
  <c r="GU38" i="26"/>
  <c r="GV36" i="26"/>
  <c r="GU36" i="26"/>
  <c r="GV35" i="26"/>
  <c r="GU35" i="26"/>
  <c r="GV33" i="26"/>
  <c r="GU33" i="26"/>
  <c r="GV32" i="26"/>
  <c r="GU32" i="26"/>
  <c r="GV30" i="26"/>
  <c r="GU30" i="26"/>
  <c r="GV29" i="26"/>
  <c r="GU29" i="26"/>
  <c r="GV22" i="26"/>
  <c r="GU22" i="26"/>
  <c r="GV21" i="26"/>
  <c r="GU21" i="26"/>
  <c r="GV20" i="26"/>
  <c r="GU20" i="26"/>
  <c r="GV19" i="26"/>
  <c r="GU19" i="26"/>
  <c r="GV18" i="26"/>
  <c r="GU18" i="26"/>
  <c r="GU16" i="26"/>
  <c r="GV16" i="26"/>
  <c r="GU17" i="26"/>
  <c r="GV17" i="26"/>
  <c r="AU117" i="4"/>
  <c r="AV117" i="4"/>
  <c r="AU118" i="4"/>
  <c r="AV118" i="4"/>
  <c r="AU119" i="4"/>
  <c r="AV119" i="4"/>
  <c r="AU120" i="4"/>
  <c r="AV120" i="4"/>
  <c r="AU121" i="4"/>
  <c r="AV121" i="4"/>
  <c r="AU122" i="4"/>
  <c r="AV122" i="4"/>
  <c r="AU123" i="4"/>
  <c r="AV123" i="4"/>
  <c r="AU124" i="4"/>
  <c r="AV124" i="4"/>
  <c r="AU125" i="4"/>
  <c r="AV125" i="4"/>
  <c r="AU126" i="4"/>
  <c r="AV126" i="4"/>
  <c r="AU127" i="4"/>
  <c r="AV127" i="4"/>
  <c r="AU128" i="4"/>
  <c r="AV128" i="4"/>
  <c r="AU130" i="4"/>
  <c r="AV130" i="4"/>
  <c r="AU131" i="4"/>
  <c r="AV131" i="4"/>
  <c r="AU132" i="4"/>
  <c r="AV132" i="4"/>
  <c r="AU133" i="4"/>
  <c r="AV133" i="4"/>
  <c r="AU134" i="4"/>
  <c r="AV134" i="4"/>
  <c r="AU108" i="4"/>
  <c r="AV108" i="4"/>
  <c r="AU109" i="4"/>
  <c r="AV109" i="4"/>
  <c r="AU111" i="4"/>
  <c r="AV111" i="4"/>
  <c r="AU98" i="4"/>
  <c r="AV98" i="4"/>
  <c r="AU99" i="4"/>
  <c r="AV99" i="4"/>
  <c r="AU100" i="4"/>
  <c r="AV100" i="4"/>
  <c r="AU101" i="4"/>
  <c r="AV101" i="4"/>
  <c r="AU102" i="4"/>
  <c r="AV102" i="4"/>
  <c r="AU103" i="4"/>
  <c r="AV103" i="4"/>
  <c r="AU104" i="4"/>
  <c r="AV104" i="4"/>
  <c r="AU105" i="4"/>
  <c r="AV105" i="4"/>
  <c r="AU106" i="4"/>
  <c r="AV106" i="4"/>
  <c r="AU92" i="4"/>
  <c r="AV92" i="4"/>
  <c r="AU93" i="4"/>
  <c r="AV93" i="4"/>
  <c r="AU94" i="4"/>
  <c r="AV94" i="4"/>
  <c r="AU84" i="4"/>
  <c r="AV84" i="4"/>
  <c r="AU86" i="4"/>
  <c r="AV86" i="4"/>
  <c r="AU87" i="4"/>
  <c r="AV87" i="4"/>
  <c r="AU88" i="4"/>
  <c r="AV88" i="4"/>
  <c r="Z83" i="4"/>
  <c r="GW18" i="26" l="1"/>
  <c r="P46" i="5"/>
  <c r="C52" i="40"/>
  <c r="CG83" i="4" l="1"/>
  <c r="CG82" i="4" s="1"/>
  <c r="F144" i="15" l="1"/>
  <c r="AI42" i="27" l="1"/>
  <c r="AH42" i="27"/>
  <c r="AH43" i="27"/>
  <c r="AI43" i="27"/>
  <c r="BN47" i="4" s="1"/>
  <c r="AI17" i="27"/>
  <c r="AI18" i="27"/>
  <c r="AI19" i="27"/>
  <c r="AI20" i="27"/>
  <c r="AI21" i="27"/>
  <c r="AI22" i="27"/>
  <c r="AH22" i="27"/>
  <c r="AH21" i="27"/>
  <c r="AH20" i="27"/>
  <c r="AH19" i="27"/>
  <c r="AH18" i="27"/>
  <c r="AH17" i="27"/>
  <c r="AC17" i="27"/>
  <c r="AC18" i="27"/>
  <c r="AC19" i="27"/>
  <c r="AC20" i="27"/>
  <c r="AC21" i="27"/>
  <c r="AC22" i="27"/>
  <c r="AB22" i="27"/>
  <c r="AB21" i="27"/>
  <c r="AB20" i="27"/>
  <c r="AB19" i="27"/>
  <c r="AB18" i="27"/>
  <c r="BN171" i="4"/>
  <c r="BN73" i="4" s="1"/>
  <c r="AI28" i="27"/>
  <c r="AI29" i="27"/>
  <c r="AI30" i="27"/>
  <c r="AI31" i="27"/>
  <c r="AI32" i="27"/>
  <c r="AI33" i="27"/>
  <c r="AH33" i="27"/>
  <c r="AH32" i="27"/>
  <c r="AH31" i="27"/>
  <c r="AH30" i="27"/>
  <c r="AH29" i="27"/>
  <c r="AH28" i="27"/>
  <c r="AC28" i="27"/>
  <c r="AC29" i="27"/>
  <c r="AC30" i="27"/>
  <c r="AC31" i="27"/>
  <c r="AC32" i="27"/>
  <c r="AC33" i="27"/>
  <c r="AB33" i="27"/>
  <c r="AB32" i="27"/>
  <c r="AB31" i="27"/>
  <c r="AB30" i="27"/>
  <c r="AB29" i="27"/>
  <c r="AB28" i="27"/>
  <c r="AB34" i="27"/>
  <c r="AC34" i="27"/>
  <c r="AB35" i="27"/>
  <c r="AC35" i="27"/>
  <c r="AI34" i="27"/>
  <c r="AH34" i="27"/>
  <c r="AI44" i="27"/>
  <c r="AI48" i="27"/>
  <c r="AH44" i="27"/>
  <c r="AH48" i="27"/>
  <c r="AI35" i="27"/>
  <c r="AH35" i="27"/>
  <c r="AH16" i="27"/>
  <c r="BN134" i="4"/>
  <c r="BN133" i="4"/>
  <c r="BN132" i="4"/>
  <c r="BN131" i="4"/>
  <c r="BN130" i="4"/>
  <c r="BN128" i="4"/>
  <c r="BN127" i="4"/>
  <c r="BN126" i="4"/>
  <c r="BN125" i="4"/>
  <c r="BN124" i="4"/>
  <c r="BN123" i="4"/>
  <c r="BN122" i="4"/>
  <c r="BN121" i="4"/>
  <c r="BN120" i="4"/>
  <c r="BN135" i="5" s="1"/>
  <c r="BN119" i="4"/>
  <c r="BN118" i="4"/>
  <c r="BN117" i="4"/>
  <c r="BN111" i="4"/>
  <c r="BN110" i="4"/>
  <c r="BN109" i="4"/>
  <c r="BN108" i="4"/>
  <c r="BN106" i="4"/>
  <c r="BN105" i="4"/>
  <c r="BN104" i="4"/>
  <c r="BN103" i="4"/>
  <c r="BN102" i="4"/>
  <c r="BN101" i="4"/>
  <c r="BN100" i="4"/>
  <c r="BN99" i="4"/>
  <c r="BN98" i="4"/>
  <c r="BN94" i="4"/>
  <c r="BN93" i="4"/>
  <c r="BN92" i="4"/>
  <c r="BN88" i="4"/>
  <c r="BN87" i="4"/>
  <c r="BN86" i="4"/>
  <c r="BN334" i="5" s="1"/>
  <c r="BN84" i="4"/>
  <c r="BN83" i="4"/>
  <c r="AJ48" i="27" l="1"/>
  <c r="AD22" i="27"/>
  <c r="AI37" i="27"/>
  <c r="CP11" i="19"/>
  <c r="CP12" i="19"/>
  <c r="CP10" i="19"/>
  <c r="CP12" i="22"/>
  <c r="CP13" i="22"/>
  <c r="CP11" i="22"/>
  <c r="E56" i="61" l="1"/>
  <c r="E55" i="61"/>
  <c r="E54" i="61"/>
  <c r="E53" i="61"/>
  <c r="E46" i="61"/>
  <c r="E45" i="61"/>
  <c r="BC28" i="4" s="1"/>
  <c r="E44" i="61"/>
  <c r="E43" i="61"/>
  <c r="E41" i="61"/>
  <c r="E40" i="61"/>
  <c r="E38" i="61"/>
  <c r="E37" i="61"/>
  <c r="E35" i="61"/>
  <c r="E34" i="61"/>
  <c r="E32" i="61"/>
  <c r="E31" i="61"/>
  <c r="E29" i="61"/>
  <c r="E28" i="61"/>
  <c r="E21" i="61"/>
  <c r="E20" i="61"/>
  <c r="E19" i="61"/>
  <c r="E18" i="61"/>
  <c r="E17" i="61"/>
  <c r="E16" i="61"/>
  <c r="D56" i="61"/>
  <c r="D55" i="61"/>
  <c r="D54" i="61"/>
  <c r="D53" i="61"/>
  <c r="D46" i="61"/>
  <c r="D45" i="61"/>
  <c r="D44" i="61"/>
  <c r="D43" i="61"/>
  <c r="D41" i="61"/>
  <c r="D40" i="61"/>
  <c r="D38" i="61"/>
  <c r="D37" i="61"/>
  <c r="D35" i="61"/>
  <c r="D34" i="61"/>
  <c r="D32" i="61"/>
  <c r="D31" i="61"/>
  <c r="D29" i="61"/>
  <c r="D28" i="61"/>
  <c r="D21" i="61"/>
  <c r="D20" i="61"/>
  <c r="D15" i="61"/>
  <c r="C56" i="61"/>
  <c r="C55" i="61"/>
  <c r="C54" i="61"/>
  <c r="C53" i="61"/>
  <c r="C46" i="61"/>
  <c r="C45" i="61"/>
  <c r="C44" i="61"/>
  <c r="C43" i="61"/>
  <c r="C41" i="61"/>
  <c r="C40" i="61"/>
  <c r="C38" i="61"/>
  <c r="C37" i="61"/>
  <c r="C35" i="61"/>
  <c r="C34" i="61"/>
  <c r="C32" i="61"/>
  <c r="C31" i="61"/>
  <c r="C29" i="61"/>
  <c r="C28" i="61"/>
  <c r="C19" i="61"/>
  <c r="C18" i="61"/>
  <c r="C16" i="61"/>
  <c r="BC111" i="4"/>
  <c r="BC109" i="4"/>
  <c r="BC108" i="4"/>
  <c r="BC106" i="4"/>
  <c r="BC105" i="4"/>
  <c r="BC104" i="4"/>
  <c r="BC103" i="4"/>
  <c r="BC102" i="4"/>
  <c r="BC101" i="4"/>
  <c r="BC103" i="5" s="1"/>
  <c r="BC100" i="4"/>
  <c r="BC99" i="4"/>
  <c r="BC98" i="4"/>
  <c r="BC94" i="4"/>
  <c r="BC93" i="4"/>
  <c r="BC92" i="4"/>
  <c r="BC88" i="4"/>
  <c r="BC87" i="4"/>
  <c r="BC86" i="4"/>
  <c r="BC84" i="4"/>
  <c r="BC134" i="4"/>
  <c r="BC133" i="4"/>
  <c r="BC132" i="4"/>
  <c r="BC131" i="4"/>
  <c r="BC130" i="4"/>
  <c r="BC128" i="4"/>
  <c r="BC127" i="4"/>
  <c r="BC126" i="4"/>
  <c r="BC125" i="4"/>
  <c r="BC124" i="4"/>
  <c r="BC123" i="4"/>
  <c r="BC122" i="4"/>
  <c r="BC121" i="4"/>
  <c r="BC120" i="4"/>
  <c r="BC119" i="4"/>
  <c r="BC118" i="4"/>
  <c r="BC117" i="4"/>
  <c r="BB134" i="4"/>
  <c r="BB133" i="4"/>
  <c r="BB132" i="4"/>
  <c r="BB131" i="4"/>
  <c r="BB130" i="4"/>
  <c r="BB128" i="4"/>
  <c r="BB127" i="4"/>
  <c r="BB126" i="4"/>
  <c r="BB125" i="4"/>
  <c r="BB124" i="4"/>
  <c r="BB123" i="4"/>
  <c r="BB122" i="4"/>
  <c r="BB120" i="4"/>
  <c r="BB119" i="4"/>
  <c r="BB118" i="4"/>
  <c r="BB117" i="4"/>
  <c r="BB111" i="4"/>
  <c r="BB109" i="4"/>
  <c r="BB108" i="4"/>
  <c r="BB106" i="4"/>
  <c r="BB105" i="4"/>
  <c r="BB104" i="4"/>
  <c r="BB103" i="4"/>
  <c r="BB102" i="4"/>
  <c r="BB101" i="4"/>
  <c r="BB100" i="4"/>
  <c r="BB99" i="4"/>
  <c r="BB98" i="4"/>
  <c r="BB94" i="4"/>
  <c r="BB93" i="4"/>
  <c r="BB92" i="4"/>
  <c r="BB88" i="4"/>
  <c r="BB87" i="4"/>
  <c r="BB86" i="4"/>
  <c r="BB84" i="4"/>
  <c r="BB83" i="4"/>
  <c r="BA134" i="4"/>
  <c r="BA133" i="4"/>
  <c r="BA132" i="4"/>
  <c r="BA131" i="4"/>
  <c r="BA130" i="4"/>
  <c r="BA128" i="4"/>
  <c r="BA127" i="4"/>
  <c r="BA126" i="4"/>
  <c r="BA125" i="4"/>
  <c r="BA124" i="4"/>
  <c r="BA123" i="4"/>
  <c r="BA122" i="4"/>
  <c r="BA121" i="4"/>
  <c r="BA120" i="4"/>
  <c r="BA119" i="4"/>
  <c r="BA118" i="4"/>
  <c r="BA117" i="4"/>
  <c r="BA111" i="4"/>
  <c r="BA109" i="4"/>
  <c r="BA108" i="4"/>
  <c r="BA106" i="4"/>
  <c r="BA105" i="4"/>
  <c r="BA104" i="4"/>
  <c r="BA103" i="4"/>
  <c r="BA102" i="4"/>
  <c r="BA101" i="4"/>
  <c r="BA100" i="4"/>
  <c r="BA99" i="4"/>
  <c r="BA98" i="4"/>
  <c r="BA94" i="4"/>
  <c r="BA93" i="4"/>
  <c r="BA92" i="4"/>
  <c r="BA88" i="4"/>
  <c r="BA87" i="4"/>
  <c r="BA86" i="4"/>
  <c r="BA84" i="4"/>
  <c r="BA83" i="4"/>
  <c r="AZ134" i="4"/>
  <c r="AZ133" i="4"/>
  <c r="AZ132" i="4"/>
  <c r="AZ131" i="4"/>
  <c r="AZ130" i="4"/>
  <c r="AZ128" i="4"/>
  <c r="AZ127" i="4"/>
  <c r="AZ126" i="4"/>
  <c r="AZ125" i="4"/>
  <c r="AZ124" i="4"/>
  <c r="AZ123" i="4"/>
  <c r="AZ122" i="4"/>
  <c r="AZ121" i="4"/>
  <c r="AZ120" i="4"/>
  <c r="AZ119" i="4"/>
  <c r="AZ118" i="4"/>
  <c r="AZ117" i="4"/>
  <c r="AZ111" i="4"/>
  <c r="AZ109" i="4"/>
  <c r="AZ108" i="4"/>
  <c r="AZ106" i="4"/>
  <c r="AZ105" i="4"/>
  <c r="AZ104" i="4"/>
  <c r="AZ103" i="4"/>
  <c r="AZ102" i="4"/>
  <c r="AZ101" i="4"/>
  <c r="AZ100" i="4"/>
  <c r="AZ99" i="4"/>
  <c r="AZ98" i="4"/>
  <c r="AZ94" i="4"/>
  <c r="AZ93" i="4"/>
  <c r="AZ92" i="4"/>
  <c r="AZ88" i="4"/>
  <c r="AZ87" i="4"/>
  <c r="AZ86" i="4"/>
  <c r="AZ84" i="4"/>
  <c r="AZ83" i="4"/>
  <c r="AY10" i="4"/>
  <c r="AX134" i="4"/>
  <c r="AX133" i="4"/>
  <c r="AX132" i="4"/>
  <c r="AX131" i="4"/>
  <c r="AX130" i="4"/>
  <c r="AX128" i="4"/>
  <c r="AX127" i="4"/>
  <c r="AX126" i="4"/>
  <c r="AX125" i="4"/>
  <c r="AX124" i="4"/>
  <c r="AX123" i="4"/>
  <c r="AX122" i="4"/>
  <c r="AX121" i="4"/>
  <c r="AX120" i="4"/>
  <c r="AX119" i="4"/>
  <c r="AX118" i="4"/>
  <c r="AX117" i="4"/>
  <c r="AX111" i="4"/>
  <c r="AX109" i="4"/>
  <c r="AX108" i="4"/>
  <c r="AX106" i="4"/>
  <c r="AX105" i="4"/>
  <c r="AX104" i="4"/>
  <c r="AX103" i="4"/>
  <c r="AX102" i="4"/>
  <c r="AX101" i="4"/>
  <c r="AX100" i="4"/>
  <c r="AX99" i="4"/>
  <c r="AX98" i="4"/>
  <c r="AX94" i="4"/>
  <c r="AX93" i="4"/>
  <c r="AX92" i="4"/>
  <c r="AX88" i="4"/>
  <c r="AX87" i="4"/>
  <c r="AX86" i="4"/>
  <c r="AX84" i="4"/>
  <c r="AX83" i="4"/>
  <c r="AY134" i="4"/>
  <c r="AY133" i="4"/>
  <c r="AY132" i="4"/>
  <c r="AY131" i="4"/>
  <c r="AY130" i="4"/>
  <c r="AY128" i="4"/>
  <c r="AY127" i="4"/>
  <c r="AY126" i="4"/>
  <c r="AY125" i="4"/>
  <c r="AY124" i="4"/>
  <c r="AY123" i="4"/>
  <c r="AY122" i="4"/>
  <c r="AY121" i="4"/>
  <c r="AY120" i="4"/>
  <c r="AY119" i="4"/>
  <c r="AY118" i="4"/>
  <c r="AY117" i="4"/>
  <c r="AY111" i="4"/>
  <c r="AY109" i="4"/>
  <c r="AY108" i="4"/>
  <c r="AY106" i="4"/>
  <c r="AY105" i="4"/>
  <c r="AY104" i="4"/>
  <c r="AY103" i="4"/>
  <c r="AY102" i="4"/>
  <c r="AY101" i="4"/>
  <c r="AY100" i="4"/>
  <c r="AY99" i="4"/>
  <c r="AY98" i="4"/>
  <c r="AY94" i="4"/>
  <c r="AY93" i="4"/>
  <c r="AY92" i="4"/>
  <c r="AY88" i="4"/>
  <c r="AY87" i="4"/>
  <c r="AY86" i="4"/>
  <c r="AY84" i="4"/>
  <c r="AY83" i="4"/>
  <c r="AY61" i="4"/>
  <c r="AY187" i="4" s="1"/>
  <c r="AY49" i="4"/>
  <c r="AY48" i="4"/>
  <c r="AY47" i="4"/>
  <c r="AY46" i="4"/>
  <c r="AY29" i="4"/>
  <c r="AY28" i="4"/>
  <c r="AY27" i="4"/>
  <c r="AY26" i="4"/>
  <c r="AY25" i="4"/>
  <c r="AY24" i="4"/>
  <c r="AY23" i="4"/>
  <c r="AY22" i="4"/>
  <c r="AY16" i="4"/>
  <c r="AY15" i="4"/>
  <c r="AY14" i="4"/>
  <c r="AY13" i="4"/>
  <c r="AY12" i="4"/>
  <c r="AY11" i="4"/>
  <c r="ID63" i="26"/>
  <c r="ID57" i="26"/>
  <c r="ID56" i="26"/>
  <c r="ID55" i="26"/>
  <c r="ID54" i="26"/>
  <c r="ID47" i="26"/>
  <c r="ID46" i="26"/>
  <c r="ID45" i="26"/>
  <c r="ID44" i="26"/>
  <c r="ID42" i="26"/>
  <c r="ID41" i="26"/>
  <c r="ID39" i="26"/>
  <c r="ID38" i="26"/>
  <c r="ID36" i="26"/>
  <c r="ID35" i="26"/>
  <c r="ID32" i="26"/>
  <c r="ID30" i="26"/>
  <c r="ID29" i="26"/>
  <c r="ID22" i="26"/>
  <c r="ID21" i="26"/>
  <c r="ID20" i="26"/>
  <c r="ID19" i="26"/>
  <c r="ID17" i="26"/>
  <c r="ID16" i="26"/>
  <c r="IC57" i="26"/>
  <c r="IC56" i="26"/>
  <c r="IC55" i="26"/>
  <c r="IC54" i="26"/>
  <c r="IC47" i="26"/>
  <c r="IC46" i="26"/>
  <c r="IC45" i="26"/>
  <c r="IC44" i="26"/>
  <c r="IC42" i="26"/>
  <c r="IC41" i="26"/>
  <c r="IC39" i="26"/>
  <c r="IC38" i="26"/>
  <c r="IC36" i="26"/>
  <c r="IC35" i="26"/>
  <c r="IC33" i="26"/>
  <c r="IC32" i="26"/>
  <c r="IC30" i="26"/>
  <c r="IC29" i="26"/>
  <c r="IC22" i="26"/>
  <c r="IC21" i="26"/>
  <c r="IC20" i="26"/>
  <c r="IC19" i="26"/>
  <c r="IC18" i="26"/>
  <c r="IC17" i="26"/>
  <c r="IC16" i="26"/>
  <c r="HX63" i="26"/>
  <c r="HX57" i="26"/>
  <c r="HX56" i="26"/>
  <c r="HX55" i="26"/>
  <c r="HX54" i="26"/>
  <c r="HX47" i="26"/>
  <c r="HX46" i="26"/>
  <c r="HX45" i="26"/>
  <c r="HX44" i="26"/>
  <c r="HX42" i="26"/>
  <c r="HX41" i="26"/>
  <c r="HX39" i="26"/>
  <c r="HX38" i="26"/>
  <c r="HX36" i="26"/>
  <c r="HX35" i="26"/>
  <c r="HX33" i="26"/>
  <c r="HX32" i="26"/>
  <c r="HX30" i="26"/>
  <c r="HX29" i="26"/>
  <c r="HX22" i="26"/>
  <c r="HX21" i="26"/>
  <c r="HX20" i="26"/>
  <c r="HX17" i="26"/>
  <c r="HX16" i="26"/>
  <c r="HW57" i="26"/>
  <c r="HW56" i="26"/>
  <c r="HW55" i="26"/>
  <c r="HW54" i="26"/>
  <c r="HW47" i="26"/>
  <c r="HW46" i="26"/>
  <c r="HW45" i="26"/>
  <c r="HW44" i="26"/>
  <c r="HW42" i="26"/>
  <c r="HW41" i="26"/>
  <c r="HW39" i="26"/>
  <c r="HW38" i="26"/>
  <c r="HW36" i="26"/>
  <c r="HW35" i="26"/>
  <c r="HW33" i="26"/>
  <c r="HW32" i="26"/>
  <c r="HW30" i="26"/>
  <c r="HW29" i="26"/>
  <c r="HW22" i="26"/>
  <c r="HW21" i="26"/>
  <c r="HW20" i="26"/>
  <c r="HW19" i="26"/>
  <c r="HW18" i="26"/>
  <c r="HW17" i="26"/>
  <c r="HW16" i="26"/>
  <c r="HJ63" i="26"/>
  <c r="HJ57" i="26"/>
  <c r="HJ56" i="26"/>
  <c r="HJ55" i="26"/>
  <c r="HJ54" i="26"/>
  <c r="HJ47" i="26"/>
  <c r="HJ46" i="26"/>
  <c r="HJ45" i="26"/>
  <c r="HJ44" i="26"/>
  <c r="HJ42" i="26"/>
  <c r="HJ41" i="26"/>
  <c r="HJ39" i="26"/>
  <c r="HJ38" i="26"/>
  <c r="HJ36" i="26"/>
  <c r="HJ35" i="26"/>
  <c r="HJ33" i="26"/>
  <c r="HJ32" i="26"/>
  <c r="HJ30" i="26"/>
  <c r="HJ29" i="26"/>
  <c r="HJ22" i="26"/>
  <c r="HJ21" i="26"/>
  <c r="HJ20" i="26"/>
  <c r="HJ18" i="26"/>
  <c r="HJ17" i="26"/>
  <c r="HJ16" i="26"/>
  <c r="HI57" i="26"/>
  <c r="HI56" i="26"/>
  <c r="HI55" i="26"/>
  <c r="HI54" i="26"/>
  <c r="HI47" i="26"/>
  <c r="HI46" i="26"/>
  <c r="HI45" i="26"/>
  <c r="HI44" i="26"/>
  <c r="HI42" i="26"/>
  <c r="HI41" i="26"/>
  <c r="HI39" i="26"/>
  <c r="HI38" i="26"/>
  <c r="HI36" i="26"/>
  <c r="HI35" i="26"/>
  <c r="HI33" i="26"/>
  <c r="HI32" i="26"/>
  <c r="HI30" i="26"/>
  <c r="HI29" i="26"/>
  <c r="HI22" i="26"/>
  <c r="HI21" i="26"/>
  <c r="HI20" i="26"/>
  <c r="HI19" i="26"/>
  <c r="HI18" i="26"/>
  <c r="HI17" i="26"/>
  <c r="HI16" i="26"/>
  <c r="IE7" i="26"/>
  <c r="HU7" i="26"/>
  <c r="HG7" i="26"/>
  <c r="GW7" i="26"/>
  <c r="GL7" i="26"/>
  <c r="FN7" i="26"/>
  <c r="FD7" i="26"/>
  <c r="ET7" i="26"/>
  <c r="EJ7" i="26"/>
  <c r="DZ7" i="26"/>
  <c r="DP7" i="26"/>
  <c r="DF7" i="26"/>
  <c r="CT7" i="26"/>
  <c r="CJ7" i="26"/>
  <c r="CB7" i="26"/>
  <c r="BR7" i="26"/>
  <c r="BB7" i="26"/>
  <c r="AR7" i="26"/>
  <c r="AH7" i="26"/>
  <c r="X7" i="26"/>
  <c r="N7" i="26"/>
  <c r="HF63" i="26"/>
  <c r="AV61" i="4" s="1"/>
  <c r="AV67" i="4" s="1"/>
  <c r="HF57" i="26"/>
  <c r="AV49" i="4" s="1"/>
  <c r="HF56" i="26"/>
  <c r="AV48" i="4" s="1"/>
  <c r="HF55" i="26"/>
  <c r="AV47" i="4" s="1"/>
  <c r="HF54" i="26"/>
  <c r="AV46" i="4" s="1"/>
  <c r="HF47" i="26"/>
  <c r="AV29" i="4" s="1"/>
  <c r="HF46" i="26"/>
  <c r="AV28" i="4" s="1"/>
  <c r="HF45" i="26"/>
  <c r="HF44" i="26"/>
  <c r="HF42" i="26"/>
  <c r="HF41" i="26"/>
  <c r="HF39" i="26"/>
  <c r="HF38" i="26"/>
  <c r="HF36" i="26"/>
  <c r="HF35" i="26"/>
  <c r="HF33" i="26"/>
  <c r="HF32" i="26"/>
  <c r="HF30" i="26"/>
  <c r="HF29" i="26"/>
  <c r="HF22" i="26"/>
  <c r="AV16" i="4" s="1"/>
  <c r="HF21" i="26"/>
  <c r="AV15" i="4" s="1"/>
  <c r="HF20" i="26"/>
  <c r="AV14" i="4" s="1"/>
  <c r="HF19" i="26"/>
  <c r="AV13" i="4" s="1"/>
  <c r="HF18" i="26"/>
  <c r="AV12" i="4" s="1"/>
  <c r="HF17" i="26"/>
  <c r="AV11" i="4" s="1"/>
  <c r="HF16" i="26"/>
  <c r="AV10" i="4" s="1"/>
  <c r="HE57" i="26"/>
  <c r="HE56" i="26"/>
  <c r="HE55" i="26"/>
  <c r="HE54" i="26"/>
  <c r="HE47" i="26"/>
  <c r="HE46" i="26"/>
  <c r="HE45" i="26"/>
  <c r="HE44" i="26"/>
  <c r="HE42" i="26"/>
  <c r="HE41" i="26"/>
  <c r="HE39" i="26"/>
  <c r="HE38" i="26"/>
  <c r="HE36" i="26"/>
  <c r="HE35" i="26"/>
  <c r="HE33" i="26"/>
  <c r="HE32" i="26"/>
  <c r="HE30" i="26"/>
  <c r="HE29" i="26"/>
  <c r="HE22" i="26"/>
  <c r="HE21" i="26"/>
  <c r="HE20" i="26"/>
  <c r="HE19" i="26"/>
  <c r="HE18" i="26"/>
  <c r="HE17" i="26"/>
  <c r="HE16" i="26"/>
  <c r="GZ63" i="26"/>
  <c r="AU61" i="4" s="1"/>
  <c r="GZ57" i="26"/>
  <c r="AU49" i="4" s="1"/>
  <c r="GZ56" i="26"/>
  <c r="AU48" i="4" s="1"/>
  <c r="GZ55" i="26"/>
  <c r="AU47" i="4" s="1"/>
  <c r="GZ54" i="26"/>
  <c r="AU46" i="4" s="1"/>
  <c r="GZ47" i="26"/>
  <c r="AU29" i="4" s="1"/>
  <c r="AU29" i="5" s="1"/>
  <c r="GZ46" i="26"/>
  <c r="AU28" i="4" s="1"/>
  <c r="AU28" i="5" s="1"/>
  <c r="GZ45" i="26"/>
  <c r="GZ44" i="26"/>
  <c r="GZ42" i="26"/>
  <c r="GZ41" i="26"/>
  <c r="GZ39" i="26"/>
  <c r="GZ38" i="26"/>
  <c r="GZ36" i="26"/>
  <c r="GZ35" i="26"/>
  <c r="GZ33" i="26"/>
  <c r="GZ32" i="26"/>
  <c r="GZ30" i="26"/>
  <c r="GZ29" i="26"/>
  <c r="AU16" i="4"/>
  <c r="AU15" i="4"/>
  <c r="AU14" i="4"/>
  <c r="AU13" i="4"/>
  <c r="AU12" i="4"/>
  <c r="GZ17" i="26"/>
  <c r="AU11" i="4" s="1"/>
  <c r="GZ16" i="26"/>
  <c r="AU10" i="4" s="1"/>
  <c r="GY57" i="26"/>
  <c r="GY56" i="26"/>
  <c r="GY55" i="26"/>
  <c r="GY54" i="26"/>
  <c r="GY47" i="26"/>
  <c r="GY46" i="26"/>
  <c r="GY45" i="26"/>
  <c r="GY44" i="26"/>
  <c r="GY42" i="26"/>
  <c r="GY41" i="26"/>
  <c r="GY39" i="26"/>
  <c r="GY38" i="26"/>
  <c r="GY36" i="26"/>
  <c r="GY35" i="26"/>
  <c r="GY33" i="26"/>
  <c r="GY32" i="26"/>
  <c r="GY30" i="26"/>
  <c r="GY29" i="26"/>
  <c r="GY17" i="26"/>
  <c r="GY16" i="26"/>
  <c r="BC26" i="4" l="1"/>
  <c r="BC25" i="4"/>
  <c r="BC27" i="4"/>
  <c r="AV22" i="4"/>
  <c r="AU23" i="4"/>
  <c r="AU25" i="4"/>
  <c r="AV23" i="4"/>
  <c r="AV25" i="4"/>
  <c r="AV27" i="4"/>
  <c r="AV56" i="4"/>
  <c r="AV24" i="4"/>
  <c r="AV26" i="4"/>
  <c r="AU22" i="4"/>
  <c r="AU22" i="5" s="1"/>
  <c r="AU26" i="4"/>
  <c r="AU27" i="4"/>
  <c r="AU24" i="4"/>
  <c r="AV18" i="4"/>
  <c r="AV19" i="4" s="1"/>
  <c r="HA18" i="26"/>
  <c r="GV63" i="26"/>
  <c r="AT61" i="4" s="1"/>
  <c r="AT67" i="4" s="1"/>
  <c r="GV57" i="26"/>
  <c r="AT49" i="4" s="1"/>
  <c r="GV56" i="26"/>
  <c r="AT48" i="4" s="1"/>
  <c r="AT46" i="4"/>
  <c r="AT29" i="4"/>
  <c r="AT28" i="4"/>
  <c r="AT16" i="4"/>
  <c r="AT15" i="4"/>
  <c r="AT13" i="4"/>
  <c r="AT12" i="4"/>
  <c r="AT11" i="4"/>
  <c r="AT10" i="4"/>
  <c r="GU57" i="26"/>
  <c r="GU56" i="26"/>
  <c r="AT47" i="4"/>
  <c r="CP32" i="22"/>
  <c r="CP31" i="22"/>
  <c r="CP30" i="22"/>
  <c r="CP28" i="22"/>
  <c r="CP27" i="22"/>
  <c r="AV171" i="4"/>
  <c r="AV73" i="4" s="1"/>
  <c r="AT193" i="5"/>
  <c r="CP80" i="19" s="1"/>
  <c r="AU193" i="5"/>
  <c r="AV193" i="5"/>
  <c r="AT89" i="5"/>
  <c r="CP18" i="19" s="1"/>
  <c r="AU89" i="5"/>
  <c r="AV89" i="5"/>
  <c r="AU83" i="4"/>
  <c r="AV83" i="4"/>
  <c r="AV112" i="4" s="1"/>
  <c r="CP64" i="19"/>
  <c r="CP63" i="19"/>
  <c r="CP62" i="19"/>
  <c r="CP61" i="19"/>
  <c r="CP59" i="19"/>
  <c r="CP58" i="19"/>
  <c r="CP56" i="19"/>
  <c r="CP55" i="19"/>
  <c r="CP53" i="19"/>
  <c r="CP48" i="19"/>
  <c r="CP47" i="19"/>
  <c r="CP33" i="19"/>
  <c r="CP32" i="19"/>
  <c r="CP31" i="19"/>
  <c r="CP30" i="19"/>
  <c r="CP29" i="19"/>
  <c r="CP27" i="19"/>
  <c r="CP26" i="19"/>
  <c r="CP19" i="19"/>
  <c r="AT382" i="5"/>
  <c r="AT192" i="5" s="1"/>
  <c r="CP79" i="19" s="1"/>
  <c r="AT376" i="5"/>
  <c r="AT191" i="5" s="1"/>
  <c r="CP78" i="19" s="1"/>
  <c r="AT318" i="5"/>
  <c r="AT314" i="5"/>
  <c r="AT292" i="5"/>
  <c r="AT276" i="5"/>
  <c r="CP57" i="22" s="1"/>
  <c r="AT258" i="5"/>
  <c r="AT254" i="5"/>
  <c r="AT232" i="5"/>
  <c r="AT128" i="5"/>
  <c r="AT100" i="5"/>
  <c r="CP28" i="19" s="1"/>
  <c r="AT94" i="5"/>
  <c r="AT341" i="5" s="1"/>
  <c r="AT346" i="5" s="1"/>
  <c r="AT188" i="5" s="1"/>
  <c r="CP75" i="19" s="1"/>
  <c r="AT93" i="5"/>
  <c r="CP22" i="19" s="1"/>
  <c r="AT71" i="5"/>
  <c r="CP63" i="22" s="1"/>
  <c r="AT66" i="5"/>
  <c r="CP59" i="22" s="1"/>
  <c r="AT57" i="5"/>
  <c r="AT56" i="5"/>
  <c r="CP49" i="22" s="1"/>
  <c r="AT55" i="5"/>
  <c r="CP47" i="22" s="1"/>
  <c r="AT171" i="4"/>
  <c r="AT134" i="4"/>
  <c r="AT133" i="4"/>
  <c r="AT132" i="4"/>
  <c r="AT131" i="4"/>
  <c r="AT130" i="4"/>
  <c r="AT128" i="4"/>
  <c r="AT127" i="4"/>
  <c r="AT126" i="4"/>
  <c r="AT125" i="4"/>
  <c r="AT124" i="4"/>
  <c r="AT123" i="4"/>
  <c r="AT122" i="4"/>
  <c r="AT121" i="4"/>
  <c r="AT120" i="4"/>
  <c r="AT135" i="5" s="1"/>
  <c r="CP49" i="19" s="1"/>
  <c r="AT119" i="4"/>
  <c r="AT118" i="4"/>
  <c r="AT117" i="4"/>
  <c r="AT111" i="4"/>
  <c r="AT109" i="4"/>
  <c r="AT108" i="4"/>
  <c r="AT106" i="4"/>
  <c r="AT105" i="4"/>
  <c r="AT104" i="4"/>
  <c r="AT103" i="4"/>
  <c r="AT102" i="4"/>
  <c r="AT101" i="4"/>
  <c r="AT100" i="4"/>
  <c r="AT99" i="4"/>
  <c r="AT98" i="4"/>
  <c r="AT94" i="4"/>
  <c r="AT93" i="4"/>
  <c r="AT92" i="4"/>
  <c r="AT92" i="5" s="1"/>
  <c r="CP21" i="19" s="1"/>
  <c r="AT88" i="4"/>
  <c r="AT87" i="4"/>
  <c r="AT86" i="4"/>
  <c r="AT334" i="5" s="1"/>
  <c r="AT84" i="4"/>
  <c r="AT83" i="4"/>
  <c r="AT86" i="5" s="1"/>
  <c r="AT132" i="5" l="1"/>
  <c r="CP46" i="19" s="1"/>
  <c r="CP68" i="19" s="1"/>
  <c r="CP15" i="19"/>
  <c r="AT271" i="5"/>
  <c r="AT63" i="5" s="1"/>
  <c r="AT69" i="5" s="1"/>
  <c r="AU86" i="5"/>
  <c r="AU85" i="5" s="1"/>
  <c r="AU84" i="5" s="1"/>
  <c r="AU112" i="4"/>
  <c r="AT331" i="5"/>
  <c r="AT350" i="5" s="1"/>
  <c r="AT361" i="5" s="1"/>
  <c r="AT189" i="5" s="1"/>
  <c r="CP23" i="19"/>
  <c r="CP61" i="22"/>
  <c r="AV41" i="4"/>
  <c r="AV42" i="4" s="1"/>
  <c r="GW22" i="26"/>
  <c r="GW39" i="26"/>
  <c r="GW55" i="26"/>
  <c r="AT23" i="4"/>
  <c r="AT25" i="4"/>
  <c r="AT27" i="4"/>
  <c r="GW17" i="26"/>
  <c r="GW38" i="26"/>
  <c r="GW44" i="26"/>
  <c r="GU59" i="26"/>
  <c r="GW20" i="26"/>
  <c r="GW30" i="26"/>
  <c r="GW36" i="26"/>
  <c r="GW42" i="26"/>
  <c r="GW35" i="26"/>
  <c r="GW57" i="26"/>
  <c r="GW54" i="26"/>
  <c r="AT14" i="4"/>
  <c r="GU24" i="26"/>
  <c r="GW32" i="26"/>
  <c r="GW21" i="26"/>
  <c r="GU49" i="26"/>
  <c r="AT24" i="4"/>
  <c r="AT22" i="4"/>
  <c r="AT26" i="4"/>
  <c r="GW47" i="26"/>
  <c r="GW19" i="26"/>
  <c r="GW41" i="26"/>
  <c r="GV69" i="26"/>
  <c r="GW46" i="26"/>
  <c r="GW56" i="26"/>
  <c r="GW33" i="26"/>
  <c r="GW45" i="26"/>
  <c r="GV24" i="26"/>
  <c r="GV49" i="26"/>
  <c r="GV59" i="26"/>
  <c r="GW16" i="26"/>
  <c r="GW29" i="26"/>
  <c r="AU18" i="4"/>
  <c r="AU19" i="4" s="1"/>
  <c r="AU41" i="4"/>
  <c r="AU42" i="4" s="1"/>
  <c r="AU56" i="4"/>
  <c r="AT88" i="5"/>
  <c r="CP17" i="19" s="1"/>
  <c r="AV86" i="5"/>
  <c r="AV85" i="5" s="1"/>
  <c r="AT157" i="5"/>
  <c r="AT85" i="5"/>
  <c r="CP14" i="19" s="1"/>
  <c r="AT136" i="4"/>
  <c r="AT173" i="4" s="1"/>
  <c r="AT73" i="4"/>
  <c r="AT112" i="4"/>
  <c r="AT172" i="5" l="1"/>
  <c r="CL71" i="19"/>
  <c r="AT154" i="5"/>
  <c r="AV43" i="4"/>
  <c r="AV59" i="4" s="1"/>
  <c r="AV71" i="4" s="1"/>
  <c r="AV177" i="4" s="1"/>
  <c r="AV178" i="4" s="1"/>
  <c r="CP37" i="19"/>
  <c r="GU51" i="26"/>
  <c r="GU61" i="26" s="1"/>
  <c r="GW59" i="26"/>
  <c r="GW24" i="26"/>
  <c r="GV51" i="26"/>
  <c r="GV61" i="26" s="1"/>
  <c r="GV73" i="26" s="1"/>
  <c r="GW49" i="26"/>
  <c r="AU43" i="4"/>
  <c r="AU59" i="4" s="1"/>
  <c r="AV84" i="5"/>
  <c r="AT84" i="5"/>
  <c r="AT114" i="5"/>
  <c r="CP76" i="19"/>
  <c r="CP85" i="19" s="1"/>
  <c r="AT207" i="5"/>
  <c r="AT175" i="4"/>
  <c r="AT386" i="5"/>
  <c r="D35" i="30" l="1"/>
  <c r="D55" i="31" s="1"/>
  <c r="AA71" i="3"/>
  <c r="AV75" i="4"/>
  <c r="GW51" i="26"/>
  <c r="GW61" i="26" s="1"/>
  <c r="AT209" i="5"/>
  <c r="AT211" i="5" s="1"/>
  <c r="AT75" i="5"/>
  <c r="BF186" i="4" l="1"/>
  <c r="W87" i="49"/>
  <c r="W86" i="49"/>
  <c r="BP74" i="5"/>
  <c r="BM66" i="5"/>
  <c r="BM71" i="5"/>
  <c r="BM75" i="5"/>
  <c r="BM73" i="4"/>
  <c r="BM61" i="4"/>
  <c r="BM187" i="4" s="1"/>
  <c r="AI54" i="27"/>
  <c r="AI60" i="27" s="1"/>
  <c r="Z96" i="47"/>
  <c r="AA78" i="47"/>
  <c r="BN14" i="4" l="1"/>
  <c r="BM63" i="5"/>
  <c r="BM69" i="5" s="1"/>
  <c r="BM67" i="4"/>
  <c r="BN11" i="4"/>
  <c r="AH37" i="27"/>
  <c r="BN10" i="4"/>
  <c r="BN16" i="4"/>
  <c r="BN12" i="4"/>
  <c r="BN15" i="4"/>
  <c r="BN13" i="4"/>
  <c r="S4" i="27"/>
  <c r="S5" i="27"/>
  <c r="S6" i="27"/>
  <c r="S3" i="27"/>
  <c r="C7" i="27"/>
  <c r="AC60" i="27"/>
  <c r="AC42" i="27"/>
  <c r="BM46" i="4" s="1"/>
  <c r="AC43" i="27"/>
  <c r="BM47" i="4" s="1"/>
  <c r="BM47" i="5" s="1"/>
  <c r="N42" i="24" s="1"/>
  <c r="AC44" i="27"/>
  <c r="BM48" i="4" s="1"/>
  <c r="AC48" i="27"/>
  <c r="AB43" i="27"/>
  <c r="AB44" i="27"/>
  <c r="AB48" i="27"/>
  <c r="AB42" i="27"/>
  <c r="BM22" i="4"/>
  <c r="BM23" i="4"/>
  <c r="BM24" i="4"/>
  <c r="BM24" i="5" s="1"/>
  <c r="BM25" i="4"/>
  <c r="BM26" i="4"/>
  <c r="BM27" i="4"/>
  <c r="BM28" i="4"/>
  <c r="BM28" i="5" s="1"/>
  <c r="BM29" i="4"/>
  <c r="BM29" i="5" s="1"/>
  <c r="BM11" i="4"/>
  <c r="BM11" i="5" s="1"/>
  <c r="N16" i="24" s="1"/>
  <c r="BM12" i="4"/>
  <c r="BM12" i="5" s="1"/>
  <c r="N17" i="24" s="1"/>
  <c r="BM13" i="4"/>
  <c r="BM13" i="5" s="1"/>
  <c r="N18" i="24" s="1"/>
  <c r="BM14" i="4"/>
  <c r="BM14" i="5" s="1"/>
  <c r="N19" i="24" s="1"/>
  <c r="BM15" i="4"/>
  <c r="BM15" i="5" s="1"/>
  <c r="N20" i="24" s="1"/>
  <c r="BM16" i="4"/>
  <c r="BM16" i="5" s="1"/>
  <c r="N21" i="24" s="1"/>
  <c r="AB17" i="27"/>
  <c r="AB16" i="27"/>
  <c r="BM10" i="4"/>
  <c r="N64" i="24"/>
  <c r="N60" i="24"/>
  <c r="N58" i="24"/>
  <c r="N12" i="24"/>
  <c r="N13" i="24"/>
  <c r="N11" i="24"/>
  <c r="P72" i="20"/>
  <c r="P76" i="20"/>
  <c r="P77" i="20"/>
  <c r="P50" i="20"/>
  <c r="P24" i="20"/>
  <c r="P25" i="20"/>
  <c r="N75" i="20"/>
  <c r="N74" i="20"/>
  <c r="N73" i="20"/>
  <c r="N71" i="20"/>
  <c r="N70" i="20"/>
  <c r="N55" i="20"/>
  <c r="N54" i="20"/>
  <c r="N53" i="20"/>
  <c r="N52" i="20"/>
  <c r="N51" i="20"/>
  <c r="N49" i="20"/>
  <c r="N48" i="20"/>
  <c r="N47" i="20"/>
  <c r="N46" i="20"/>
  <c r="N31" i="20"/>
  <c r="N30" i="20"/>
  <c r="N29" i="20"/>
  <c r="N28" i="20"/>
  <c r="N27" i="20"/>
  <c r="N26" i="20"/>
  <c r="N23" i="20"/>
  <c r="N22" i="20"/>
  <c r="N21" i="20"/>
  <c r="N19" i="20"/>
  <c r="N18" i="20"/>
  <c r="N17" i="20"/>
  <c r="N65" i="20"/>
  <c r="N15" i="20"/>
  <c r="N14" i="20"/>
  <c r="N11" i="20"/>
  <c r="N12" i="20"/>
  <c r="N10" i="20"/>
  <c r="N42" i="20" l="1"/>
  <c r="AY11" i="3" s="1"/>
  <c r="N62" i="20"/>
  <c r="AY15" i="3" s="1"/>
  <c r="N79" i="20"/>
  <c r="BM10" i="5"/>
  <c r="BM18" i="4"/>
  <c r="BM41" i="5"/>
  <c r="N33" i="24" s="1"/>
  <c r="N36" i="24" s="1"/>
  <c r="AY23" i="3" s="1"/>
  <c r="BM50" i="5"/>
  <c r="N45" i="24" s="1"/>
  <c r="BM41" i="4"/>
  <c r="BM42" i="4" s="1"/>
  <c r="BM56" i="4"/>
  <c r="BM58" i="5" s="1"/>
  <c r="BM46" i="5"/>
  <c r="N41" i="24" s="1"/>
  <c r="N62" i="24"/>
  <c r="AC50" i="27"/>
  <c r="AD32" i="27"/>
  <c r="AD28" i="27"/>
  <c r="AB37" i="27"/>
  <c r="AD34" i="27"/>
  <c r="AD48" i="27"/>
  <c r="AC24" i="27"/>
  <c r="AD18" i="27"/>
  <c r="AD21" i="27"/>
  <c r="AD17" i="27"/>
  <c r="AD29" i="27"/>
  <c r="AB24" i="27"/>
  <c r="AD35" i="27"/>
  <c r="AC37" i="27"/>
  <c r="AB50" i="27"/>
  <c r="AD31" i="27"/>
  <c r="AD20" i="27"/>
  <c r="AD44" i="27"/>
  <c r="AD33" i="27"/>
  <c r="AD43" i="27"/>
  <c r="AD42" i="27"/>
  <c r="AD30" i="27"/>
  <c r="AD19" i="27"/>
  <c r="AD16" i="27"/>
  <c r="AB39" i="27" l="1"/>
  <c r="N81" i="20"/>
  <c r="N84" i="20" s="1"/>
  <c r="N53" i="24"/>
  <c r="BM43" i="4"/>
  <c r="BM59" i="4" s="1"/>
  <c r="BM71" i="4" s="1"/>
  <c r="BM18" i="5"/>
  <c r="BM43" i="5" s="1"/>
  <c r="BM61" i="5" s="1"/>
  <c r="BM73" i="5" s="1"/>
  <c r="N15" i="24"/>
  <c r="N23" i="24" s="1"/>
  <c r="AY19" i="3" s="1"/>
  <c r="BM19" i="4"/>
  <c r="AC39" i="27"/>
  <c r="AC52" i="27" s="1"/>
  <c r="AC64" i="27" s="1"/>
  <c r="AB52" i="27"/>
  <c r="AD37" i="27"/>
  <c r="AD50" i="27"/>
  <c r="AD24" i="27"/>
  <c r="E93" i="70"/>
  <c r="E96" i="70" s="1"/>
  <c r="E100" i="70"/>
  <c r="E103" i="70" s="1"/>
  <c r="BM75" i="4" l="1"/>
  <c r="BM177" i="4"/>
  <c r="BM178" i="4" s="1"/>
  <c r="BM77" i="5"/>
  <c r="BM213" i="5"/>
  <c r="BM214" i="5" s="1"/>
  <c r="BM387" i="5"/>
  <c r="N38" i="24"/>
  <c r="AD52" i="27"/>
  <c r="AD39" i="27"/>
  <c r="N56" i="24" l="1"/>
  <c r="N66" i="24" s="1"/>
  <c r="BM180" i="4" s="1"/>
  <c r="N85" i="20" l="1"/>
  <c r="N86" i="20"/>
  <c r="BM216" i="5"/>
  <c r="BM218" i="5" s="1"/>
  <c r="BM182" i="4"/>
  <c r="E57" i="69"/>
  <c r="AJ18" i="10" s="1"/>
  <c r="F117" i="11" l="1"/>
  <c r="F39" i="11"/>
  <c r="W15" i="49" l="1"/>
  <c r="W16" i="49"/>
  <c r="W17" i="49"/>
  <c r="W18" i="49"/>
  <c r="W19" i="49"/>
  <c r="W20" i="49"/>
  <c r="W21" i="49"/>
  <c r="W22" i="49"/>
  <c r="W23" i="49"/>
  <c r="W24" i="49"/>
  <c r="W25" i="49"/>
  <c r="W26" i="49"/>
  <c r="W27" i="49"/>
  <c r="W28" i="49"/>
  <c r="W29" i="49"/>
  <c r="W30" i="49"/>
  <c r="W31" i="49"/>
  <c r="W32" i="49"/>
  <c r="W33" i="49"/>
  <c r="W34" i="49"/>
  <c r="W35" i="49"/>
  <c r="W36" i="49"/>
  <c r="W37" i="49"/>
  <c r="W38" i="49"/>
  <c r="W39" i="49"/>
  <c r="W40" i="49"/>
  <c r="W41" i="49"/>
  <c r="W42" i="49"/>
  <c r="W43" i="49"/>
  <c r="W44" i="49"/>
  <c r="W45" i="49"/>
  <c r="W46" i="49"/>
  <c r="W47" i="49"/>
  <c r="W48" i="49"/>
  <c r="W49" i="49"/>
  <c r="W50" i="49"/>
  <c r="W51" i="49"/>
  <c r="W52" i="49"/>
  <c r="W53" i="49"/>
  <c r="W54" i="49"/>
  <c r="W55" i="49"/>
  <c r="W56" i="49"/>
  <c r="W57" i="49"/>
  <c r="W58" i="49"/>
  <c r="W59" i="49"/>
  <c r="W60" i="49"/>
  <c r="W61" i="49"/>
  <c r="W62" i="49"/>
  <c r="W63" i="49"/>
  <c r="W64" i="49"/>
  <c r="W65" i="49"/>
  <c r="W66" i="49"/>
  <c r="W67" i="49"/>
  <c r="W68" i="49"/>
  <c r="W69" i="49"/>
  <c r="W70" i="49"/>
  <c r="W71" i="49"/>
  <c r="W72" i="49"/>
  <c r="W73" i="49"/>
  <c r="W74" i="49"/>
  <c r="W75" i="49"/>
  <c r="W76" i="49"/>
  <c r="W77" i="49"/>
  <c r="W78" i="49"/>
  <c r="W79" i="49"/>
  <c r="W80" i="49"/>
  <c r="W81" i="49"/>
  <c r="W82" i="49"/>
  <c r="W83" i="49"/>
  <c r="W84" i="49"/>
  <c r="W85" i="49"/>
  <c r="W88" i="49"/>
  <c r="W89" i="49"/>
  <c r="W90" i="49"/>
  <c r="W91" i="49"/>
  <c r="W92" i="49"/>
  <c r="W93" i="49"/>
  <c r="W94" i="49"/>
  <c r="W95" i="49"/>
  <c r="W14" i="49"/>
  <c r="BW368" i="5" l="1"/>
  <c r="AC102" i="7" l="1"/>
  <c r="BY384" i="5" l="1"/>
  <c r="BZ384" i="5" s="1"/>
  <c r="BG70" i="69" l="1"/>
  <c r="BC70" i="69"/>
  <c r="BM58" i="69"/>
  <c r="BI62" i="69"/>
  <c r="BI60" i="69"/>
  <c r="BI58" i="69"/>
  <c r="BI57" i="69"/>
  <c r="BE62" i="69"/>
  <c r="BE60" i="69"/>
  <c r="BE58" i="69"/>
  <c r="BE57" i="69"/>
  <c r="BA58" i="69"/>
  <c r="BA57" i="69"/>
  <c r="BK62" i="69"/>
  <c r="BK60" i="69"/>
  <c r="BG64" i="69"/>
  <c r="BG62" i="69"/>
  <c r="BG60" i="69"/>
  <c r="BG58" i="69"/>
  <c r="BG57" i="69"/>
  <c r="BC64" i="69"/>
  <c r="BC62" i="69"/>
  <c r="BC60" i="69"/>
  <c r="BC58" i="69"/>
  <c r="BC57" i="69"/>
  <c r="AY62" i="69"/>
  <c r="AY60" i="69"/>
  <c r="BO64" i="69" l="1"/>
  <c r="BO58" i="69"/>
  <c r="BO62" i="69"/>
  <c r="BQ62" i="69"/>
  <c r="BG65" i="69"/>
  <c r="BO60" i="69"/>
  <c r="BC65" i="69"/>
  <c r="BQ60" i="69"/>
  <c r="BE65" i="69"/>
  <c r="BI65" i="69"/>
  <c r="BA65" i="69"/>
  <c r="BQ58" i="69"/>
  <c r="AY65" i="69"/>
  <c r="BO57" i="69"/>
  <c r="O87" i="39"/>
  <c r="N87" i="39"/>
  <c r="D67" i="39"/>
  <c r="F16" i="39"/>
  <c r="F41" i="38"/>
  <c r="F44" i="38"/>
  <c r="F45" i="38"/>
  <c r="F46" i="38"/>
  <c r="F47" i="38"/>
  <c r="C67" i="38"/>
  <c r="F67" i="38" s="1"/>
  <c r="F24" i="38"/>
  <c r="BO65" i="69" l="1"/>
  <c r="P87" i="39"/>
  <c r="D69" i="38"/>
  <c r="D40" i="38"/>
  <c r="F40" i="38" s="1"/>
  <c r="P78" i="39"/>
  <c r="D91" i="39" s="1"/>
  <c r="H65" i="39"/>
  <c r="C122" i="38"/>
  <c r="C121" i="38"/>
  <c r="D59" i="38" s="1"/>
  <c r="D60" i="38" s="1"/>
  <c r="D61" i="38"/>
  <c r="H68" i="39"/>
  <c r="BK65" i="69" l="1"/>
  <c r="D48" i="39"/>
  <c r="O99" i="39" l="1"/>
  <c r="D50" i="39"/>
  <c r="F48" i="39"/>
  <c r="H48" i="39" s="1"/>
  <c r="L47" i="39" s="1"/>
  <c r="D37" i="38"/>
  <c r="H70" i="39" l="1"/>
  <c r="AG57" i="69"/>
  <c r="AE57" i="69"/>
  <c r="AK31" i="69"/>
  <c r="AK28" i="69"/>
  <c r="AG26" i="69"/>
  <c r="AE26" i="69"/>
  <c r="AK25" i="69"/>
  <c r="AK24" i="69"/>
  <c r="CH108" i="5"/>
  <c r="CF108" i="5"/>
  <c r="CJ108" i="5" s="1"/>
  <c r="AK26" i="69" l="1"/>
  <c r="F48" i="13" l="1"/>
  <c r="H48" i="13"/>
  <c r="H51" i="13"/>
  <c r="O49" i="6"/>
  <c r="AF28" i="10" l="1"/>
  <c r="F30" i="75"/>
  <c r="F38" i="75" s="1"/>
  <c r="E45" i="75" s="1"/>
  <c r="AJ106" i="10"/>
  <c r="AL94" i="10"/>
  <c r="AM94" i="10" s="1"/>
  <c r="AL95" i="10"/>
  <c r="AM95" i="10" s="1"/>
  <c r="AF66" i="10"/>
  <c r="AM96" i="10"/>
  <c r="AJ107" i="10" l="1"/>
  <c r="AL97" i="10"/>
  <c r="AM97" i="10"/>
  <c r="AL88" i="10"/>
  <c r="AC49" i="9"/>
  <c r="AG49" i="9" s="1"/>
  <c r="AG97" i="9"/>
  <c r="E100" i="6" s="1"/>
  <c r="AG98" i="9"/>
  <c r="E101" i="6" s="1"/>
  <c r="AG99" i="9"/>
  <c r="E102" i="6" s="1"/>
  <c r="AG100" i="9"/>
  <c r="E103" i="6" s="1"/>
  <c r="AG101" i="9"/>
  <c r="E104" i="6" s="1"/>
  <c r="AG102" i="9"/>
  <c r="E105" i="6" s="1"/>
  <c r="AG103" i="9"/>
  <c r="E106" i="6" s="1"/>
  <c r="AG104" i="9"/>
  <c r="E107" i="6" s="1"/>
  <c r="AG28" i="9"/>
  <c r="AG48" i="9"/>
  <c r="AG52" i="9"/>
  <c r="E53" i="6" s="1"/>
  <c r="AG53" i="9"/>
  <c r="AG66" i="9"/>
  <c r="AG67" i="9"/>
  <c r="AG69" i="9"/>
  <c r="AG71" i="9"/>
  <c r="AG78" i="9"/>
  <c r="AG79" i="9"/>
  <c r="AG80" i="9"/>
  <c r="AG85" i="9"/>
  <c r="E49" i="6" l="1"/>
  <c r="AF21" i="10"/>
  <c r="AF97" i="10" l="1"/>
  <c r="N172" i="9"/>
  <c r="CG160" i="5" l="1"/>
  <c r="CG150" i="5"/>
  <c r="W20" i="69" l="1"/>
  <c r="R42" i="69"/>
  <c r="R41" i="69"/>
  <c r="R40" i="69"/>
  <c r="R34" i="69"/>
  <c r="R33" i="69"/>
  <c r="R32" i="69"/>
  <c r="R31" i="69"/>
  <c r="R20" i="69"/>
  <c r="N28" i="69"/>
  <c r="K28" i="69"/>
  <c r="CG322" i="5" s="1"/>
  <c r="CG120" i="5" s="1"/>
  <c r="H28" i="69"/>
  <c r="CC322" i="5" s="1"/>
  <c r="E28" i="69"/>
  <c r="AC47" i="9" s="1"/>
  <c r="Q27" i="69"/>
  <c r="Q26" i="69"/>
  <c r="Q25" i="69"/>
  <c r="Q24" i="69"/>
  <c r="Q12" i="69"/>
  <c r="Q13" i="69"/>
  <c r="R14" i="69"/>
  <c r="CC151" i="5"/>
  <c r="CG151" i="5" l="1"/>
  <c r="X20" i="69"/>
  <c r="Q28" i="69"/>
  <c r="X28" i="69" s="1"/>
  <c r="R35" i="69"/>
  <c r="X35" i="69" s="1"/>
  <c r="N96" i="39"/>
  <c r="BM57" i="69"/>
  <c r="R49" i="69"/>
  <c r="R15" i="69"/>
  <c r="R16" i="69" s="1"/>
  <c r="Q37" i="69" l="1"/>
  <c r="C123" i="38"/>
  <c r="D62" i="38"/>
  <c r="BM65" i="69"/>
  <c r="BQ57" i="69"/>
  <c r="BQ65" i="69" s="1"/>
  <c r="R50" i="69"/>
  <c r="R51" i="69" s="1"/>
  <c r="R37" i="69"/>
  <c r="R38" i="69" l="1"/>
  <c r="CC160" i="5"/>
  <c r="CC120" i="5"/>
  <c r="N37" i="69"/>
  <c r="K37" i="69"/>
  <c r="H37" i="69"/>
  <c r="O37" i="69"/>
  <c r="L37" i="69"/>
  <c r="I37" i="69"/>
  <c r="CJ264" i="5"/>
  <c r="CK264" i="5" s="1"/>
  <c r="CJ265" i="5"/>
  <c r="CK265" i="5" s="1"/>
  <c r="CC150" i="5"/>
  <c r="BP322" i="5"/>
  <c r="BQ322" i="5" s="1"/>
  <c r="BP323" i="5"/>
  <c r="BQ323" i="5" s="1"/>
  <c r="BP324" i="5"/>
  <c r="BQ324" i="5" s="1"/>
  <c r="BP325" i="5"/>
  <c r="BQ325" i="5" s="1"/>
  <c r="BP326" i="5"/>
  <c r="BQ326" i="5" s="1"/>
  <c r="BP327" i="5"/>
  <c r="BQ327" i="5" s="1"/>
  <c r="BP328" i="5"/>
  <c r="BQ328" i="5" s="1"/>
  <c r="BP329" i="5"/>
  <c r="BQ329" i="5" s="1"/>
  <c r="BP321" i="5"/>
  <c r="BQ321" i="5" s="1"/>
  <c r="BF322" i="5"/>
  <c r="BG322" i="5" s="1"/>
  <c r="BF323" i="5"/>
  <c r="BG323" i="5" s="1"/>
  <c r="BF324" i="5"/>
  <c r="BG324" i="5" s="1"/>
  <c r="BF325" i="5"/>
  <c r="BG325" i="5" s="1"/>
  <c r="BF326" i="5"/>
  <c r="BG326" i="5" s="1"/>
  <c r="BF327" i="5"/>
  <c r="BG327" i="5" s="1"/>
  <c r="BY327" i="5"/>
  <c r="BZ327" i="5" s="1"/>
  <c r="BY326" i="5"/>
  <c r="BZ326" i="5" s="1"/>
  <c r="CU325" i="5"/>
  <c r="CJ325" i="5"/>
  <c r="CK325" i="5" s="1"/>
  <c r="BY325" i="5"/>
  <c r="BZ325" i="5" s="1"/>
  <c r="BY324" i="5"/>
  <c r="BZ324" i="5" s="1"/>
  <c r="CJ323" i="5"/>
  <c r="CK323" i="5" s="1"/>
  <c r="BY323" i="5"/>
  <c r="BZ323" i="5" s="1"/>
  <c r="CJ322" i="5"/>
  <c r="CK322" i="5" s="1"/>
  <c r="BY322" i="5"/>
  <c r="BZ322" i="5" s="1"/>
  <c r="CU321" i="5"/>
  <c r="CJ321" i="5"/>
  <c r="CK321" i="5" s="1"/>
  <c r="BY321" i="5"/>
  <c r="BZ321" i="5" s="1"/>
  <c r="BF321" i="5"/>
  <c r="BG321" i="5" s="1"/>
  <c r="CJ262" i="5"/>
  <c r="CK262" i="5" s="1"/>
  <c r="CJ263" i="5"/>
  <c r="CK263" i="5" s="1"/>
  <c r="BY268" i="5"/>
  <c r="BZ268" i="5" s="1"/>
  <c r="BY269" i="5"/>
  <c r="BZ269" i="5" s="1"/>
  <c r="BY262" i="5"/>
  <c r="BZ262" i="5" s="1"/>
  <c r="BY263" i="5"/>
  <c r="BZ263" i="5" s="1"/>
  <c r="BY264" i="5"/>
  <c r="BZ264" i="5" s="1"/>
  <c r="BY265" i="5"/>
  <c r="BZ265" i="5" s="1"/>
  <c r="BY266" i="5"/>
  <c r="BZ266" i="5" s="1"/>
  <c r="BY267" i="5"/>
  <c r="BZ267" i="5" s="1"/>
  <c r="DW261" i="5"/>
  <c r="CU261" i="5"/>
  <c r="CJ261" i="5"/>
  <c r="CK261" i="5" s="1"/>
  <c r="BY261" i="5"/>
  <c r="BZ261" i="5" s="1"/>
  <c r="BQ261" i="5"/>
  <c r="BF261" i="5"/>
  <c r="BG261" i="5" s="1"/>
  <c r="F37" i="69"/>
  <c r="CA266" i="5" l="1"/>
  <c r="CA262" i="5"/>
  <c r="CA264" i="5"/>
  <c r="CA268" i="5"/>
  <c r="CA267" i="5"/>
  <c r="CA263" i="5"/>
  <c r="I38" i="69"/>
  <c r="CA325" i="5"/>
  <c r="CA321" i="5"/>
  <c r="CA322" i="5"/>
  <c r="CA323" i="5"/>
  <c r="CA324" i="5"/>
  <c r="CA326" i="5"/>
  <c r="CA327" i="5"/>
  <c r="CA261" i="5"/>
  <c r="AB116" i="10" l="1"/>
  <c r="CU283" i="5" l="1"/>
  <c r="CU284" i="5"/>
  <c r="CU285" i="5"/>
  <c r="CU286" i="5"/>
  <c r="CU287" i="5"/>
  <c r="CU288" i="5"/>
  <c r="CU289" i="5"/>
  <c r="I15" i="69" l="1"/>
  <c r="CJ117" i="5"/>
  <c r="CJ119" i="5"/>
  <c r="CJ121" i="5"/>
  <c r="CJ125" i="5"/>
  <c r="I16" i="69" l="1"/>
  <c r="F49" i="14" l="1"/>
  <c r="F110" i="15" s="1"/>
  <c r="CH56" i="5" l="1"/>
  <c r="CD56" i="5"/>
  <c r="CE56" i="5"/>
  <c r="CF56" i="5"/>
  <c r="E54" i="6" l="1"/>
  <c r="B45" i="38"/>
  <c r="B46" i="38"/>
  <c r="B52" i="13"/>
  <c r="B53" i="13"/>
  <c r="C53" i="6"/>
  <c r="C54" i="6"/>
  <c r="F53" i="13"/>
  <c r="H53" i="13"/>
  <c r="L53" i="13" l="1"/>
  <c r="O54" i="6" s="1"/>
  <c r="G54" i="6" s="1"/>
  <c r="I54" i="6" s="1"/>
  <c r="R54" i="6" s="1"/>
  <c r="CJ126" i="5"/>
  <c r="CJ165" i="5"/>
  <c r="CJ167" i="5"/>
  <c r="CJ168" i="5"/>
  <c r="E181" i="65" l="1"/>
  <c r="M269" i="65" l="1"/>
  <c r="U14" i="6"/>
  <c r="N97" i="39" l="1"/>
  <c r="D43" i="38" l="1"/>
  <c r="F43" i="38" s="1"/>
  <c r="C69" i="51"/>
  <c r="J69" i="51" s="1"/>
  <c r="J65" i="35" l="1"/>
  <c r="J68" i="35" s="1"/>
  <c r="K65" i="35"/>
  <c r="K68" i="35" s="1"/>
  <c r="L65" i="35"/>
  <c r="M65" i="35"/>
  <c r="I65" i="35"/>
  <c r="K24" i="35"/>
  <c r="J69" i="35" l="1"/>
  <c r="J73" i="35" s="1"/>
  <c r="AF83" i="4"/>
  <c r="J72" i="35" l="1"/>
  <c r="J74" i="35" s="1"/>
  <c r="CX86" i="5" l="1"/>
  <c r="CY86" i="5"/>
  <c r="CZ86" i="5"/>
  <c r="DA86" i="5"/>
  <c r="DB86" i="5"/>
  <c r="G17" i="37" s="1"/>
  <c r="DC86" i="5"/>
  <c r="DD86" i="5"/>
  <c r="DE86" i="5"/>
  <c r="DF86" i="5"/>
  <c r="DG86" i="5"/>
  <c r="DH86" i="5"/>
  <c r="DI86" i="5"/>
  <c r="DJ86" i="5"/>
  <c r="DK86" i="5"/>
  <c r="DL86" i="5"/>
  <c r="DM86" i="5"/>
  <c r="DN86" i="5"/>
  <c r="DS86" i="5"/>
  <c r="DO86" i="5"/>
  <c r="DP86" i="5"/>
  <c r="AC17" i="37" s="1"/>
  <c r="DT86" i="5"/>
  <c r="FW63" i="26"/>
  <c r="AO61" i="4" s="1"/>
  <c r="Z135" i="5" l="1"/>
  <c r="Z86" i="5"/>
  <c r="Z85" i="5" s="1"/>
  <c r="V33" i="28"/>
  <c r="AO117" i="4"/>
  <c r="AW11" i="22" l="1"/>
  <c r="AW10" i="19"/>
  <c r="Q8" i="72" l="1"/>
  <c r="W8" i="72"/>
  <c r="J90" i="14" l="1"/>
  <c r="EL15" i="5" l="1"/>
  <c r="EL12" i="5"/>
  <c r="EL13" i="5"/>
  <c r="EL14" i="5"/>
  <c r="EL16" i="5"/>
  <c r="EL29" i="5"/>
  <c r="EL107" i="5"/>
  <c r="EB47" i="5"/>
  <c r="D37" i="39" s="1"/>
  <c r="AT167" i="6" l="1"/>
  <c r="AP167" i="6"/>
  <c r="AC80" i="7"/>
  <c r="AA80" i="7"/>
  <c r="Y80" i="7"/>
  <c r="W80" i="7"/>
  <c r="U80" i="7"/>
  <c r="S80" i="7"/>
  <c r="CC83" i="4"/>
  <c r="O49" i="69"/>
  <c r="L49" i="69"/>
  <c r="I49" i="69"/>
  <c r="BN30" i="5"/>
  <c r="BN31" i="5"/>
  <c r="BN32" i="5"/>
  <c r="BN33" i="5"/>
  <c r="BN34" i="5"/>
  <c r="BN35" i="5"/>
  <c r="JF72" i="26"/>
  <c r="JE72" i="26"/>
  <c r="JF53" i="26"/>
  <c r="JE53" i="26"/>
  <c r="JF52" i="26"/>
  <c r="JE52" i="26"/>
  <c r="JF43" i="26"/>
  <c r="JE43" i="26"/>
  <c r="JF40" i="26"/>
  <c r="JE40" i="26"/>
  <c r="JF37" i="26"/>
  <c r="JE37" i="26"/>
  <c r="JF34" i="26"/>
  <c r="JE34" i="26"/>
  <c r="JF31" i="26"/>
  <c r="JE31" i="26"/>
  <c r="JF28" i="26"/>
  <c r="JE28" i="26"/>
  <c r="JF27" i="26"/>
  <c r="JE27" i="26"/>
  <c r="AW11" i="19"/>
  <c r="AW12" i="19"/>
  <c r="AW19" i="19"/>
  <c r="AW26" i="19"/>
  <c r="AW27" i="19"/>
  <c r="AW29" i="19"/>
  <c r="AW30" i="19"/>
  <c r="AW31" i="19"/>
  <c r="AW32" i="19"/>
  <c r="AW33" i="19"/>
  <c r="AW47" i="19"/>
  <c r="AW48" i="19"/>
  <c r="AW53" i="19"/>
  <c r="AW55" i="19"/>
  <c r="AW56" i="19"/>
  <c r="AW58" i="19"/>
  <c r="AW59" i="19"/>
  <c r="AW61" i="19"/>
  <c r="AW62" i="19"/>
  <c r="AW63" i="19"/>
  <c r="AW64" i="19"/>
  <c r="AW12" i="22"/>
  <c r="AW13" i="22"/>
  <c r="AW29" i="22"/>
  <c r="AW30" i="22"/>
  <c r="AW31" i="22"/>
  <c r="AW32" i="22"/>
  <c r="AW46" i="22"/>
  <c r="AW47" i="22"/>
  <c r="AW49" i="22"/>
  <c r="AB66" i="5"/>
  <c r="AW59" i="22" s="1"/>
  <c r="AB71" i="5"/>
  <c r="AW63" i="22" s="1"/>
  <c r="AB89" i="5"/>
  <c r="AW18" i="19" s="1"/>
  <c r="AB93" i="5"/>
  <c r="AW22" i="19" s="1"/>
  <c r="AB94" i="5"/>
  <c r="AW23" i="19" s="1"/>
  <c r="AB100" i="5"/>
  <c r="AW28" i="19" s="1"/>
  <c r="AB128" i="5"/>
  <c r="AB193" i="5"/>
  <c r="AW80" i="19" s="1"/>
  <c r="AB232" i="5"/>
  <c r="AB254" i="5"/>
  <c r="AB258" i="5"/>
  <c r="AB276" i="5"/>
  <c r="AW57" i="22" s="1"/>
  <c r="AB292" i="5"/>
  <c r="AB314" i="5"/>
  <c r="AB318" i="5"/>
  <c r="AB361" i="5"/>
  <c r="AB189" i="5" s="1"/>
  <c r="AW76" i="19" s="1"/>
  <c r="AB382" i="5"/>
  <c r="AB192" i="5" s="1"/>
  <c r="AW79" i="19" s="1"/>
  <c r="AB83" i="4"/>
  <c r="AB86" i="5" s="1"/>
  <c r="AB84" i="4"/>
  <c r="AB86" i="4"/>
  <c r="AB334" i="5" s="1"/>
  <c r="AB88" i="5" s="1"/>
  <c r="AW17" i="19" s="1"/>
  <c r="AB87" i="4"/>
  <c r="AB88" i="4"/>
  <c r="AB92" i="4"/>
  <c r="AB92" i="5" s="1"/>
  <c r="AW21" i="19" s="1"/>
  <c r="AB93" i="4"/>
  <c r="AB94" i="4"/>
  <c r="AB98" i="4"/>
  <c r="AB99" i="4"/>
  <c r="AB100" i="4"/>
  <c r="AB101" i="4"/>
  <c r="AB102" i="4"/>
  <c r="AB103" i="4"/>
  <c r="AB104" i="4"/>
  <c r="AB105" i="4"/>
  <c r="AB106" i="4"/>
  <c r="AB108" i="4"/>
  <c r="AB109" i="4"/>
  <c r="AB111" i="4"/>
  <c r="AB117" i="4"/>
  <c r="AB118" i="4"/>
  <c r="AB119" i="4"/>
  <c r="AB120" i="4"/>
  <c r="AB135" i="5" s="1"/>
  <c r="AW49" i="19" s="1"/>
  <c r="AB121" i="4"/>
  <c r="AB122" i="4"/>
  <c r="AB123" i="4"/>
  <c r="AB124" i="4"/>
  <c r="AB125" i="4"/>
  <c r="AB126" i="4"/>
  <c r="AB127" i="4"/>
  <c r="AB128" i="4"/>
  <c r="AB130" i="4"/>
  <c r="AB131" i="4"/>
  <c r="AB132" i="4"/>
  <c r="AB133" i="4"/>
  <c r="AB134" i="4"/>
  <c r="AB171" i="4"/>
  <c r="AB73" i="4" s="1"/>
  <c r="HM61" i="26"/>
  <c r="HM59" i="26"/>
  <c r="HC61" i="26"/>
  <c r="HC59" i="26"/>
  <c r="GS61" i="26"/>
  <c r="GS59" i="26"/>
  <c r="GH61" i="26"/>
  <c r="GH59" i="26"/>
  <c r="FT61" i="26"/>
  <c r="FT59" i="26"/>
  <c r="FJ61" i="26"/>
  <c r="FJ59" i="26"/>
  <c r="EZ61" i="26"/>
  <c r="EZ59" i="26"/>
  <c r="EP61" i="26"/>
  <c r="EP59" i="26"/>
  <c r="EF61" i="26"/>
  <c r="EF59" i="26"/>
  <c r="DV61" i="26"/>
  <c r="DV59" i="26"/>
  <c r="DH16" i="26"/>
  <c r="AB10" i="4"/>
  <c r="DH17" i="26"/>
  <c r="DI17" i="26"/>
  <c r="AB11" i="4" s="1"/>
  <c r="AB11" i="5" s="1"/>
  <c r="AW16" i="22" s="1"/>
  <c r="DH18" i="26"/>
  <c r="DI18" i="26"/>
  <c r="AB12" i="4" s="1"/>
  <c r="AB12" i="5" s="1"/>
  <c r="AW17" i="22" s="1"/>
  <c r="DH19" i="26"/>
  <c r="DI19" i="26"/>
  <c r="AB13" i="4" s="1"/>
  <c r="AB13" i="5" s="1"/>
  <c r="AW18" i="22" s="1"/>
  <c r="DH20" i="26"/>
  <c r="DI20" i="26"/>
  <c r="AB14" i="4" s="1"/>
  <c r="AB14" i="5" s="1"/>
  <c r="AW19" i="22" s="1"/>
  <c r="DH21" i="26"/>
  <c r="DI21" i="26"/>
  <c r="AB15" i="4" s="1"/>
  <c r="AB15" i="5" s="1"/>
  <c r="AW20" i="22" s="1"/>
  <c r="DH22" i="26"/>
  <c r="DI22" i="26"/>
  <c r="AB16" i="4" s="1"/>
  <c r="AB16" i="5" s="1"/>
  <c r="AW21" i="22" s="1"/>
  <c r="DH29" i="26"/>
  <c r="DI29" i="26"/>
  <c r="DH30" i="26"/>
  <c r="DI30" i="26"/>
  <c r="DH32" i="26"/>
  <c r="DI32" i="26"/>
  <c r="DH33" i="26"/>
  <c r="DI33" i="26"/>
  <c r="DH35" i="26"/>
  <c r="DI35" i="26"/>
  <c r="DH36" i="26"/>
  <c r="DI36" i="26"/>
  <c r="DH38" i="26"/>
  <c r="DI38" i="26"/>
  <c r="DH39" i="26"/>
  <c r="DI39" i="26"/>
  <c r="DH41" i="26"/>
  <c r="DI41" i="26"/>
  <c r="DH42" i="26"/>
  <c r="DI42" i="26"/>
  <c r="DH44" i="26"/>
  <c r="DI44" i="26"/>
  <c r="DH45" i="26"/>
  <c r="DI45" i="26"/>
  <c r="DH46" i="26"/>
  <c r="DI46" i="26"/>
  <c r="AB28" i="4" s="1"/>
  <c r="AB28" i="5" s="1"/>
  <c r="DH47" i="26"/>
  <c r="DI47" i="26"/>
  <c r="AB29" i="4" s="1"/>
  <c r="AB29" i="5" s="1"/>
  <c r="AW34" i="22" s="1"/>
  <c r="DH54" i="26"/>
  <c r="DI54" i="26"/>
  <c r="AB46" i="4" s="1"/>
  <c r="DH55" i="26"/>
  <c r="DI55" i="26"/>
  <c r="AB47" i="4" s="1"/>
  <c r="AB47" i="5" s="1"/>
  <c r="AW42" i="22" s="1"/>
  <c r="DH56" i="26"/>
  <c r="DI56" i="26"/>
  <c r="AB48" i="4" s="1"/>
  <c r="AB50" i="5" s="1"/>
  <c r="AW45" i="22" s="1"/>
  <c r="DH57" i="26"/>
  <c r="DI57" i="26"/>
  <c r="AB49" i="4" s="1"/>
  <c r="DI63" i="26"/>
  <c r="J12" i="25"/>
  <c r="J13" i="25"/>
  <c r="J11" i="25"/>
  <c r="H34" i="25"/>
  <c r="BV66" i="5"/>
  <c r="J58" i="25" s="1"/>
  <c r="BV71" i="5"/>
  <c r="J62" i="25" s="1"/>
  <c r="BV89" i="5"/>
  <c r="J18" i="21" s="1"/>
  <c r="BV93" i="5"/>
  <c r="J22" i="21" s="1"/>
  <c r="BV94" i="5"/>
  <c r="J23" i="21" s="1"/>
  <c r="BV100" i="5"/>
  <c r="BV128" i="5"/>
  <c r="BV193" i="5"/>
  <c r="J75" i="21" s="1"/>
  <c r="BV254" i="5"/>
  <c r="BV258" i="5"/>
  <c r="BV276" i="5"/>
  <c r="J56" i="25" s="1"/>
  <c r="BV292" i="5"/>
  <c r="BV314" i="5"/>
  <c r="BV318" i="5"/>
  <c r="BV376" i="5"/>
  <c r="BV191" i="5" s="1"/>
  <c r="J73" i="21" s="1"/>
  <c r="BV382" i="5"/>
  <c r="BV192" i="5" s="1"/>
  <c r="J74" i="21" s="1"/>
  <c r="BV83" i="4"/>
  <c r="BV86" i="5" s="1"/>
  <c r="BV84" i="4"/>
  <c r="BV86" i="4"/>
  <c r="BV334" i="5" s="1"/>
  <c r="BV87" i="4"/>
  <c r="BV88" i="4"/>
  <c r="BV92" i="4"/>
  <c r="BV92" i="5" s="1"/>
  <c r="J21" i="21" s="1"/>
  <c r="BV93" i="4"/>
  <c r="BV94" i="4"/>
  <c r="BV98" i="4"/>
  <c r="BV99" i="4"/>
  <c r="BV100" i="4"/>
  <c r="BV101" i="4"/>
  <c r="BV102" i="4"/>
  <c r="BV103" i="4"/>
  <c r="BV104" i="4"/>
  <c r="BV105" i="4"/>
  <c r="BV106" i="4"/>
  <c r="BV117" i="4"/>
  <c r="BV118" i="4"/>
  <c r="BV119" i="4"/>
  <c r="BV120" i="4"/>
  <c r="BV135" i="5" s="1"/>
  <c r="J44" i="21" s="1"/>
  <c r="BV121" i="4"/>
  <c r="BV122" i="4"/>
  <c r="BV123" i="4"/>
  <c r="BV124" i="4"/>
  <c r="BV125" i="4"/>
  <c r="BV126" i="4"/>
  <c r="BV127" i="4"/>
  <c r="BV128" i="4"/>
  <c r="BV129" i="4"/>
  <c r="BV130" i="4"/>
  <c r="BV131" i="4"/>
  <c r="BV132" i="4"/>
  <c r="BV133" i="4"/>
  <c r="BV134" i="4"/>
  <c r="BV171" i="4"/>
  <c r="Z19" i="28"/>
  <c r="Y19" i="28"/>
  <c r="V19" i="28"/>
  <c r="BV13" i="4" s="1"/>
  <c r="BV13" i="5" s="1"/>
  <c r="J18" i="25" s="1"/>
  <c r="U19" i="28"/>
  <c r="V63" i="28"/>
  <c r="V69" i="28" s="1"/>
  <c r="V57" i="28"/>
  <c r="BV54" i="5" s="1"/>
  <c r="U57" i="28"/>
  <c r="V56" i="28"/>
  <c r="BV48" i="4" s="1"/>
  <c r="BV50" i="5" s="1"/>
  <c r="J45" i="25" s="1"/>
  <c r="U56" i="28"/>
  <c r="V55" i="28"/>
  <c r="BV47" i="4" s="1"/>
  <c r="BV47" i="5" s="1"/>
  <c r="J42" i="25" s="1"/>
  <c r="U55" i="28"/>
  <c r="V54" i="28"/>
  <c r="BV46" i="4" s="1"/>
  <c r="U54" i="28"/>
  <c r="V47" i="28"/>
  <c r="BV29" i="4" s="1"/>
  <c r="U47" i="28"/>
  <c r="V46" i="28"/>
  <c r="BV28" i="4" s="1"/>
  <c r="BV28" i="5" s="1"/>
  <c r="J33" i="25" s="1"/>
  <c r="U46" i="28"/>
  <c r="V45" i="28"/>
  <c r="U45" i="28"/>
  <c r="V44" i="28"/>
  <c r="U44" i="28"/>
  <c r="V42" i="28"/>
  <c r="U42" i="28"/>
  <c r="V41" i="28"/>
  <c r="U41" i="28"/>
  <c r="V39" i="28"/>
  <c r="U39" i="28"/>
  <c r="V38" i="28"/>
  <c r="U38" i="28"/>
  <c r="V36" i="28"/>
  <c r="U36" i="28"/>
  <c r="V35" i="28"/>
  <c r="U35" i="28"/>
  <c r="U33" i="28"/>
  <c r="V32" i="28"/>
  <c r="BV23" i="4" s="1"/>
  <c r="U32" i="28"/>
  <c r="V30" i="28"/>
  <c r="U30" i="28"/>
  <c r="V29" i="28"/>
  <c r="U29" i="28"/>
  <c r="BV16" i="4"/>
  <c r="BV16" i="5" s="1"/>
  <c r="J21" i="25" s="1"/>
  <c r="U22" i="28"/>
  <c r="V21" i="28"/>
  <c r="BV15" i="4" s="1"/>
  <c r="BV15" i="5" s="1"/>
  <c r="J20" i="25" s="1"/>
  <c r="U21" i="28"/>
  <c r="V20" i="28"/>
  <c r="BV14" i="4" s="1"/>
  <c r="BV14" i="5" s="1"/>
  <c r="J19" i="25" s="1"/>
  <c r="U20" i="28"/>
  <c r="V18" i="28"/>
  <c r="BV12" i="4" s="1"/>
  <c r="BV12" i="5" s="1"/>
  <c r="J17" i="25" s="1"/>
  <c r="U18" i="28"/>
  <c r="V17" i="28"/>
  <c r="BV11" i="4" s="1"/>
  <c r="BV11" i="5" s="1"/>
  <c r="J16" i="25" s="1"/>
  <c r="U17" i="28"/>
  <c r="V16" i="28"/>
  <c r="BV10" i="4" s="1"/>
  <c r="U16" i="28"/>
  <c r="Z20" i="28"/>
  <c r="Z21" i="28"/>
  <c r="Z22" i="28"/>
  <c r="Y22" i="28"/>
  <c r="Y21" i="28"/>
  <c r="Y20" i="28"/>
  <c r="Z16" i="28"/>
  <c r="Y16" i="28"/>
  <c r="J60" i="25" l="1"/>
  <c r="BV23" i="5"/>
  <c r="J28" i="25" s="1"/>
  <c r="J15" i="21"/>
  <c r="BV73" i="4"/>
  <c r="BV132" i="5"/>
  <c r="J41" i="21" s="1"/>
  <c r="J63" i="21" s="1"/>
  <c r="N13" i="66"/>
  <c r="F49" i="69"/>
  <c r="BV341" i="5"/>
  <c r="BV346" i="5" s="1"/>
  <c r="BV188" i="5" s="1"/>
  <c r="J70" i="21" s="1"/>
  <c r="CC67" i="4"/>
  <c r="AB341" i="5"/>
  <c r="AB346" i="5" s="1"/>
  <c r="AB188" i="5" s="1"/>
  <c r="AW75" i="19" s="1"/>
  <c r="AB331" i="5"/>
  <c r="AB271" i="5"/>
  <c r="BV331" i="5"/>
  <c r="BV271" i="5"/>
  <c r="U49" i="28"/>
  <c r="V49" i="28"/>
  <c r="BV24" i="4"/>
  <c r="BV24" i="5" s="1"/>
  <c r="J29" i="25" s="1"/>
  <c r="BV25" i="4"/>
  <c r="BV25" i="5" s="1"/>
  <c r="J30" i="25" s="1"/>
  <c r="BV26" i="4"/>
  <c r="BV26" i="5" s="1"/>
  <c r="J31" i="25" s="1"/>
  <c r="BV27" i="4"/>
  <c r="AW61" i="22"/>
  <c r="JG72" i="26"/>
  <c r="DH49" i="26"/>
  <c r="JG27" i="26"/>
  <c r="JG31" i="26"/>
  <c r="JG37" i="26"/>
  <c r="JG43" i="26"/>
  <c r="JG53" i="26"/>
  <c r="JG28" i="26"/>
  <c r="JG34" i="26"/>
  <c r="JG40" i="26"/>
  <c r="JG52" i="26"/>
  <c r="AB157" i="5"/>
  <c r="U59" i="28"/>
  <c r="BV61" i="4"/>
  <c r="BV67" i="4" s="1"/>
  <c r="BV22" i="4"/>
  <c r="BV22" i="5" s="1"/>
  <c r="J27" i="25" s="1"/>
  <c r="AB26" i="4"/>
  <c r="AB23" i="4"/>
  <c r="AB23" i="5" s="1"/>
  <c r="AW28" i="22" s="1"/>
  <c r="DI69" i="26"/>
  <c r="AB61" i="4"/>
  <c r="AB67" i="4" s="1"/>
  <c r="AB27" i="4"/>
  <c r="AB25" i="4"/>
  <c r="AB24" i="4"/>
  <c r="AB46" i="5"/>
  <c r="AB56" i="4"/>
  <c r="AW33" i="22"/>
  <c r="AB22" i="4"/>
  <c r="AB22" i="5" s="1"/>
  <c r="AW27" i="22" s="1"/>
  <c r="AB18" i="4"/>
  <c r="AB19" i="4" s="1"/>
  <c r="AB10" i="5"/>
  <c r="AB85" i="5"/>
  <c r="AW14" i="19" s="1"/>
  <c r="AW15" i="19"/>
  <c r="AB132" i="5"/>
  <c r="AB112" i="4"/>
  <c r="AB136" i="4"/>
  <c r="AB173" i="4" s="1"/>
  <c r="BV157" i="5"/>
  <c r="J66" i="21" s="1"/>
  <c r="BV154" i="5"/>
  <c r="BV56" i="4"/>
  <c r="BV18" i="4"/>
  <c r="BV85" i="5"/>
  <c r="J14" i="21" s="1"/>
  <c r="BV46" i="5"/>
  <c r="J41" i="25" s="1"/>
  <c r="J51" i="25" s="1"/>
  <c r="BV10" i="5"/>
  <c r="DJ56" i="26"/>
  <c r="DJ54" i="26"/>
  <c r="DJ16" i="26"/>
  <c r="DJ38" i="26"/>
  <c r="DJ32" i="26"/>
  <c r="DJ29" i="26"/>
  <c r="DI24" i="26"/>
  <c r="DJ44" i="26"/>
  <c r="DJ41" i="26"/>
  <c r="DJ39" i="26"/>
  <c r="DJ20" i="26"/>
  <c r="DJ18" i="26"/>
  <c r="DJ17" i="26"/>
  <c r="DJ57" i="26"/>
  <c r="DH59" i="26"/>
  <c r="DJ46" i="26"/>
  <c r="DJ45" i="26"/>
  <c r="DJ35" i="26"/>
  <c r="DJ33" i="26"/>
  <c r="DJ22" i="26"/>
  <c r="DJ21" i="26"/>
  <c r="DH24" i="26"/>
  <c r="DJ55" i="26"/>
  <c r="DJ47" i="26"/>
  <c r="DJ42" i="26"/>
  <c r="DJ36" i="26"/>
  <c r="DJ30" i="26"/>
  <c r="DJ19" i="26"/>
  <c r="DI59" i="26"/>
  <c r="DI49" i="26"/>
  <c r="BV88" i="5"/>
  <c r="J17" i="21" s="1"/>
  <c r="BV136" i="4"/>
  <c r="BV173" i="4" s="1"/>
  <c r="BV112" i="4"/>
  <c r="W18" i="28"/>
  <c r="W20" i="28"/>
  <c r="W22" i="28"/>
  <c r="W54" i="28"/>
  <c r="W56" i="28"/>
  <c r="W19" i="28"/>
  <c r="U24" i="28"/>
  <c r="W21" i="28"/>
  <c r="W30" i="28"/>
  <c r="W32" i="28"/>
  <c r="W33" i="28"/>
  <c r="W35" i="28"/>
  <c r="W36" i="28"/>
  <c r="W38" i="28"/>
  <c r="W39" i="28"/>
  <c r="W41" i="28"/>
  <c r="W42" i="28"/>
  <c r="W44" i="28"/>
  <c r="W45" i="28"/>
  <c r="W46" i="28"/>
  <c r="W47" i="28"/>
  <c r="W55" i="28"/>
  <c r="W57" i="28"/>
  <c r="V24" i="28"/>
  <c r="W17" i="28"/>
  <c r="V59" i="28"/>
  <c r="W16" i="28"/>
  <c r="W29" i="28"/>
  <c r="E13" i="50"/>
  <c r="E17" i="50"/>
  <c r="N17" i="51"/>
  <c r="Z93" i="5"/>
  <c r="BH254" i="5"/>
  <c r="BI254" i="5"/>
  <c r="BJ254" i="5"/>
  <c r="BK254" i="5"/>
  <c r="BL254" i="5"/>
  <c r="BN254" i="5"/>
  <c r="AW71" i="19" l="1"/>
  <c r="AB172" i="5"/>
  <c r="BV353" i="5"/>
  <c r="BV361" i="5" s="1"/>
  <c r="J37" i="21"/>
  <c r="AY35" i="3" s="1"/>
  <c r="J15" i="25"/>
  <c r="J23" i="25" s="1"/>
  <c r="J36" i="25"/>
  <c r="AY39" i="3"/>
  <c r="AB364" i="5"/>
  <c r="AB376" i="5" s="1"/>
  <c r="AB191" i="5" s="1"/>
  <c r="AW78" i="19" s="1"/>
  <c r="AW85" i="19" s="1"/>
  <c r="BV84" i="5"/>
  <c r="BV172" i="5"/>
  <c r="T54" i="51"/>
  <c r="E19" i="50"/>
  <c r="V51" i="28"/>
  <c r="V61" i="28" s="1"/>
  <c r="V73" i="28" s="1"/>
  <c r="U51" i="28"/>
  <c r="U61" i="28" s="1"/>
  <c r="AB41" i="5"/>
  <c r="DH51" i="26"/>
  <c r="DH61" i="26" s="1"/>
  <c r="BV41" i="4"/>
  <c r="BV42" i="4" s="1"/>
  <c r="AW36" i="22"/>
  <c r="AB84" i="5"/>
  <c r="BV63" i="5"/>
  <c r="BV69" i="5" s="1"/>
  <c r="AB63" i="5"/>
  <c r="AB69" i="5" s="1"/>
  <c r="AB41" i="4"/>
  <c r="AB42" i="4" s="1"/>
  <c r="AB58" i="5"/>
  <c r="AW41" i="22"/>
  <c r="AW52" i="22" s="1"/>
  <c r="AB18" i="5"/>
  <c r="AW15" i="22"/>
  <c r="AW23" i="22" s="1"/>
  <c r="AW37" i="19"/>
  <c r="AB154" i="5"/>
  <c r="AW46" i="19"/>
  <c r="AW68" i="19" s="1"/>
  <c r="AB114" i="5"/>
  <c r="AB175" i="4"/>
  <c r="BV19" i="4"/>
  <c r="BV18" i="5"/>
  <c r="BV41" i="5"/>
  <c r="BV58" i="5"/>
  <c r="BV114" i="5"/>
  <c r="DI51" i="26"/>
  <c r="DI61" i="26" s="1"/>
  <c r="DI73" i="26" s="1"/>
  <c r="DJ24" i="26"/>
  <c r="DJ49" i="26"/>
  <c r="DJ59" i="26"/>
  <c r="BV175" i="4"/>
  <c r="W59" i="28"/>
  <c r="W49" i="28"/>
  <c r="W24" i="28"/>
  <c r="J38" i="25" l="1"/>
  <c r="J54" i="25" s="1"/>
  <c r="J64" i="25" s="1"/>
  <c r="J86" i="21" s="1"/>
  <c r="AY43" i="3"/>
  <c r="N14" i="66"/>
  <c r="N16" i="66" s="1"/>
  <c r="I25" i="70"/>
  <c r="AB207" i="5"/>
  <c r="AB209" i="5" s="1"/>
  <c r="AB211" i="5" s="1"/>
  <c r="AB386" i="5"/>
  <c r="BV189" i="5"/>
  <c r="J71" i="21" s="1"/>
  <c r="J80" i="21" s="1"/>
  <c r="AK35" i="3"/>
  <c r="AK31" i="3"/>
  <c r="AK39" i="3"/>
  <c r="AK43" i="3"/>
  <c r="BV43" i="4"/>
  <c r="BV59" i="4" s="1"/>
  <c r="BV71" i="4" s="1"/>
  <c r="BV75" i="4" s="1"/>
  <c r="AW87" i="19"/>
  <c r="AW89" i="19" s="1"/>
  <c r="AB43" i="4"/>
  <c r="AB59" i="4" s="1"/>
  <c r="AB71" i="4" s="1"/>
  <c r="AB75" i="4" s="1"/>
  <c r="AW38" i="22"/>
  <c r="AW55" i="22" s="1"/>
  <c r="AW65" i="22" s="1"/>
  <c r="AB43" i="5"/>
  <c r="AB61" i="5" s="1"/>
  <c r="AB73" i="5" s="1"/>
  <c r="AB19" i="5"/>
  <c r="BV43" i="5"/>
  <c r="BV61" i="5" s="1"/>
  <c r="BV73" i="5" s="1"/>
  <c r="DJ51" i="26"/>
  <c r="DJ61" i="26" s="1"/>
  <c r="W51" i="28"/>
  <c r="W61" i="28" s="1"/>
  <c r="DL61" i="26"/>
  <c r="DB61" i="26"/>
  <c r="CR61" i="26"/>
  <c r="CH61" i="26"/>
  <c r="BX61" i="26"/>
  <c r="BN61" i="26"/>
  <c r="AZ61" i="26"/>
  <c r="AP61" i="26"/>
  <c r="AF61" i="26"/>
  <c r="V61" i="26"/>
  <c r="L61" i="26"/>
  <c r="DL59" i="26"/>
  <c r="DB59" i="26"/>
  <c r="CR59" i="26"/>
  <c r="CH59" i="26"/>
  <c r="BX59" i="26"/>
  <c r="BN59" i="26"/>
  <c r="AZ59" i="26"/>
  <c r="AP59" i="26"/>
  <c r="AF59" i="26"/>
  <c r="V59" i="26"/>
  <c r="L59" i="26"/>
  <c r="BV216" i="5" l="1"/>
  <c r="J87" i="21"/>
  <c r="J82" i="21"/>
  <c r="J85" i="21" s="1"/>
  <c r="AY48" i="3"/>
  <c r="BV180" i="4"/>
  <c r="BV182" i="4" s="1"/>
  <c r="O25" i="70"/>
  <c r="O47" i="70" s="1"/>
  <c r="AB75" i="5"/>
  <c r="AB77" i="5" s="1"/>
  <c r="BV386" i="5"/>
  <c r="BV387" i="5" s="1"/>
  <c r="BV207" i="5"/>
  <c r="BV218" i="5" s="1"/>
  <c r="AW90" i="19"/>
  <c r="AW91" i="19" s="1"/>
  <c r="AB180" i="4"/>
  <c r="AB182" i="4" s="1"/>
  <c r="AB216" i="5"/>
  <c r="AB218" i="5" s="1"/>
  <c r="AB177" i="4"/>
  <c r="AB178" i="4" s="1"/>
  <c r="AB387" i="5"/>
  <c r="AB213" i="5"/>
  <c r="AB214" i="5" s="1"/>
  <c r="BV213" i="5"/>
  <c r="D128" i="14"/>
  <c r="BV75" i="5" l="1"/>
  <c r="BV77" i="5" s="1"/>
  <c r="BV209" i="5"/>
  <c r="BV211" i="5" s="1"/>
  <c r="BV214" i="5"/>
  <c r="BY127" i="5"/>
  <c r="BZ127" i="5" s="1"/>
  <c r="BY124" i="5"/>
  <c r="BZ124" i="5" s="1"/>
  <c r="BY123" i="5"/>
  <c r="BZ123" i="5" s="1"/>
  <c r="BY122" i="5"/>
  <c r="BZ122" i="5" s="1"/>
  <c r="BY121" i="5"/>
  <c r="BZ121" i="5" s="1"/>
  <c r="BY120" i="5"/>
  <c r="BZ120" i="5" s="1"/>
  <c r="BY119" i="5"/>
  <c r="BZ119" i="5" s="1"/>
  <c r="BY118" i="5"/>
  <c r="BZ118" i="5" s="1"/>
  <c r="BY117" i="5"/>
  <c r="BZ117" i="5" s="1"/>
  <c r="BW128" i="5"/>
  <c r="BU128" i="5"/>
  <c r="BT128" i="5"/>
  <c r="BS128" i="5"/>
  <c r="BR128" i="5"/>
  <c r="BP127" i="5"/>
  <c r="BP124" i="5"/>
  <c r="BP123" i="5"/>
  <c r="BP122" i="5"/>
  <c r="BP121" i="5"/>
  <c r="BP120" i="5"/>
  <c r="BP119" i="5"/>
  <c r="BP118" i="5"/>
  <c r="BP117" i="5"/>
  <c r="BN128" i="5"/>
  <c r="BL128" i="5"/>
  <c r="BK128" i="5"/>
  <c r="BJ128" i="5"/>
  <c r="BI128" i="5"/>
  <c r="BH128" i="5"/>
  <c r="BF127" i="5"/>
  <c r="BG127" i="5" s="1"/>
  <c r="BG124" i="5"/>
  <c r="BF123" i="5"/>
  <c r="BG123" i="5" s="1"/>
  <c r="BF122" i="5"/>
  <c r="BG122" i="5" s="1"/>
  <c r="BF121" i="5"/>
  <c r="BG121" i="5" s="1"/>
  <c r="BF120" i="5"/>
  <c r="BG120" i="5" s="1"/>
  <c r="BF119" i="5"/>
  <c r="BG119" i="5" s="1"/>
  <c r="BF118" i="5"/>
  <c r="BG118" i="5" s="1"/>
  <c r="BF117" i="5"/>
  <c r="E128" i="5"/>
  <c r="F128" i="5"/>
  <c r="G128" i="5"/>
  <c r="H128" i="5"/>
  <c r="I128" i="5"/>
  <c r="J128" i="5"/>
  <c r="K128" i="5"/>
  <c r="L128" i="5"/>
  <c r="M128" i="5"/>
  <c r="N128" i="5"/>
  <c r="O128" i="5"/>
  <c r="P128" i="5"/>
  <c r="Q128" i="5"/>
  <c r="R128" i="5"/>
  <c r="S128" i="5"/>
  <c r="T128" i="5"/>
  <c r="U128" i="5"/>
  <c r="V128" i="5"/>
  <c r="W128" i="5"/>
  <c r="X128" i="5"/>
  <c r="Y128" i="5"/>
  <c r="Z128" i="5"/>
  <c r="AA128" i="5"/>
  <c r="AC128" i="5"/>
  <c r="AD128" i="5"/>
  <c r="AE128" i="5"/>
  <c r="AF128" i="5"/>
  <c r="AG128" i="5"/>
  <c r="AH128" i="5"/>
  <c r="AI128" i="5"/>
  <c r="AJ128" i="5"/>
  <c r="AK128" i="5"/>
  <c r="AL128" i="5"/>
  <c r="AM128" i="5"/>
  <c r="AN128" i="5"/>
  <c r="AO128" i="5"/>
  <c r="AP128" i="5"/>
  <c r="AQ128" i="5"/>
  <c r="AR128" i="5"/>
  <c r="AS128" i="5"/>
  <c r="AU128" i="5"/>
  <c r="AV128" i="5"/>
  <c r="AW128" i="5"/>
  <c r="AW211" i="5" s="1"/>
  <c r="AX128" i="5"/>
  <c r="AY128" i="5"/>
  <c r="AZ128" i="5"/>
  <c r="BA128" i="5"/>
  <c r="BB128" i="5"/>
  <c r="BC128" i="5"/>
  <c r="BD128" i="5"/>
  <c r="D128" i="5"/>
  <c r="BG117" i="5" l="1"/>
  <c r="CA117" i="5" s="1"/>
  <c r="E150" i="65"/>
  <c r="CA122" i="5"/>
  <c r="CA119" i="5"/>
  <c r="CA123" i="5"/>
  <c r="CA120" i="5"/>
  <c r="CA124" i="5"/>
  <c r="CA121" i="5"/>
  <c r="CA127" i="5"/>
  <c r="BP128" i="5"/>
  <c r="BY128" i="5"/>
  <c r="BZ128" i="5" s="1"/>
  <c r="BF128" i="5"/>
  <c r="BG128" i="5" s="1"/>
  <c r="N85" i="18"/>
  <c r="E225" i="65"/>
  <c r="CA128" i="5" l="1"/>
  <c r="E85" i="65"/>
  <c r="E84" i="65"/>
  <c r="G88" i="65" l="1"/>
  <c r="C25" i="70"/>
  <c r="H16" i="72" l="1"/>
  <c r="C93" i="70" l="1"/>
  <c r="C96" i="70" s="1"/>
  <c r="C106" i="70" s="1"/>
  <c r="P12" i="66" l="1"/>
  <c r="P11" i="66"/>
  <c r="P10" i="66"/>
  <c r="P9" i="66"/>
  <c r="P8" i="66"/>
  <c r="P7" i="66"/>
  <c r="P6" i="66"/>
  <c r="AV183" i="6" l="1"/>
  <c r="AV184" i="6"/>
  <c r="AV185" i="6"/>
  <c r="AV186" i="6"/>
  <c r="AV187" i="6"/>
  <c r="AV182" i="6"/>
  <c r="AR188" i="6"/>
  <c r="AN188" i="6"/>
  <c r="AX183" i="6"/>
  <c r="AX184" i="6"/>
  <c r="AX185" i="6"/>
  <c r="AX186" i="6"/>
  <c r="AX187" i="6"/>
  <c r="AX182" i="6"/>
  <c r="AT188" i="6"/>
  <c r="AP188" i="6"/>
  <c r="AV188" i="6" l="1"/>
  <c r="AX188" i="6"/>
  <c r="AR197" i="6" l="1"/>
  <c r="I176" i="6"/>
  <c r="I177" i="6"/>
  <c r="E178" i="6"/>
  <c r="G178" i="6"/>
  <c r="E180" i="6"/>
  <c r="G180" i="6"/>
  <c r="I182" i="6"/>
  <c r="E183" i="6"/>
  <c r="E184" i="6" s="1"/>
  <c r="G183" i="6"/>
  <c r="G184" i="6" s="1"/>
  <c r="E186" i="6"/>
  <c r="G186" i="6"/>
  <c r="I189" i="6"/>
  <c r="I190" i="6"/>
  <c r="E191" i="6"/>
  <c r="E192" i="6" s="1"/>
  <c r="G191" i="6"/>
  <c r="I178" i="6" l="1"/>
  <c r="I191" i="6"/>
  <c r="I192" i="6" s="1"/>
  <c r="I180" i="6"/>
  <c r="E194" i="6"/>
  <c r="I186" i="6"/>
  <c r="G192" i="6"/>
  <c r="G194" i="6" s="1"/>
  <c r="I183" i="6"/>
  <c r="I184" i="6" s="1"/>
  <c r="Q43" i="8" l="1"/>
  <c r="AB64" i="10" l="1"/>
  <c r="AF119" i="10"/>
  <c r="AB97" i="10"/>
  <c r="AD30" i="10"/>
  <c r="AB106" i="10" l="1"/>
  <c r="AN72" i="10" s="1"/>
  <c r="Y148" i="9" s="1"/>
  <c r="AB99" i="10"/>
  <c r="N91" i="10"/>
  <c r="X92" i="10" s="1"/>
  <c r="AD28" i="10"/>
  <c r="AC51" i="9"/>
  <c r="AG51" i="9" s="1"/>
  <c r="AJ134" i="10"/>
  <c r="E52" i="6" l="1"/>
  <c r="BP291" i="5"/>
  <c r="BP290" i="5"/>
  <c r="BP289" i="5"/>
  <c r="BP288" i="5"/>
  <c r="BP287" i="5"/>
  <c r="BP286" i="5"/>
  <c r="BP285" i="5"/>
  <c r="BP284" i="5"/>
  <c r="BP283" i="5"/>
  <c r="BP257" i="5"/>
  <c r="BP256" i="5"/>
  <c r="BP253" i="5"/>
  <c r="BP237" i="5"/>
  <c r="BP238" i="5"/>
  <c r="BP239" i="5"/>
  <c r="BP240" i="5"/>
  <c r="BP241" i="5"/>
  <c r="BP242" i="5"/>
  <c r="BP243" i="5"/>
  <c r="BP244" i="5"/>
  <c r="BP245" i="5"/>
  <c r="BP246" i="5"/>
  <c r="BP247" i="5"/>
  <c r="BP248" i="5"/>
  <c r="BP249" i="5"/>
  <c r="BP250" i="5"/>
  <c r="BP251" i="5"/>
  <c r="BP252" i="5"/>
  <c r="BP236" i="5"/>
  <c r="BP224" i="5"/>
  <c r="BP225" i="5"/>
  <c r="BP226" i="5"/>
  <c r="BP227" i="5"/>
  <c r="BP228" i="5"/>
  <c r="BP229" i="5"/>
  <c r="BP230" i="5"/>
  <c r="BP231" i="5"/>
  <c r="BP223" i="5"/>
  <c r="BQ223" i="5" l="1"/>
  <c r="T105" i="6"/>
  <c r="T101" i="6"/>
  <c r="T99" i="6"/>
  <c r="T55" i="6"/>
  <c r="T50" i="6"/>
  <c r="T52" i="6"/>
  <c r="T48" i="6"/>
  <c r="R47" i="6"/>
  <c r="R56" i="6"/>
  <c r="U56" i="6" s="1"/>
  <c r="B50" i="9"/>
  <c r="L50" i="9" s="1"/>
  <c r="B49" i="9"/>
  <c r="L49" i="9" s="1"/>
  <c r="F71" i="64" l="1"/>
  <c r="F50" i="64"/>
  <c r="F41" i="64"/>
  <c r="CJ166" i="5" l="1"/>
  <c r="CJ120" i="5"/>
  <c r="CG163" i="5" l="1"/>
  <c r="CC163" i="5"/>
  <c r="F110" i="71"/>
  <c r="D110" i="71"/>
  <c r="H108" i="71" l="1"/>
  <c r="I110" i="71" s="1"/>
  <c r="N98" i="39"/>
  <c r="CJ327" i="5"/>
  <c r="CK327" i="5" s="1"/>
  <c r="CJ267" i="5"/>
  <c r="CK267" i="5" s="1"/>
  <c r="CJ163" i="5"/>
  <c r="CJ162" i="5"/>
  <c r="AG50" i="9" l="1"/>
  <c r="E51" i="6" s="1"/>
  <c r="E17" i="75"/>
  <c r="E26" i="75" s="1"/>
  <c r="F24" i="75"/>
  <c r="CJ266" i="5"/>
  <c r="CK266" i="5" s="1"/>
  <c r="CG123" i="5" l="1"/>
  <c r="F50" i="13" s="1"/>
  <c r="CG31" i="5"/>
  <c r="F18" i="15" s="1"/>
  <c r="CC123" i="5"/>
  <c r="CJ326" i="5"/>
  <c r="CK326" i="5" s="1"/>
  <c r="AG106" i="9"/>
  <c r="D79" i="38"/>
  <c r="F79" i="38" s="1"/>
  <c r="N99" i="39"/>
  <c r="P99" i="39" s="1"/>
  <c r="CG128" i="5" l="1"/>
  <c r="D94" i="39"/>
  <c r="F25" i="39" s="1"/>
  <c r="H50" i="13"/>
  <c r="L50" i="13" s="1"/>
  <c r="O51" i="6" s="1"/>
  <c r="G51" i="6" s="1"/>
  <c r="I51" i="6" s="1"/>
  <c r="CC128" i="5"/>
  <c r="CJ123" i="5"/>
  <c r="F45" i="75"/>
  <c r="B79" i="38"/>
  <c r="B76" i="38"/>
  <c r="B77" i="38"/>
  <c r="B78" i="38"/>
  <c r="B67" i="38"/>
  <c r="B68" i="38"/>
  <c r="E109" i="6"/>
  <c r="C109" i="6"/>
  <c r="C106" i="6"/>
  <c r="C107" i="6"/>
  <c r="C108" i="6"/>
  <c r="Y108" i="9"/>
  <c r="B106" i="9"/>
  <c r="L106" i="9" s="1"/>
  <c r="B105" i="9"/>
  <c r="L105" i="9" s="1"/>
  <c r="T105" i="9" s="1"/>
  <c r="AG105" i="9" s="1"/>
  <c r="B94" i="9"/>
  <c r="L94" i="9" s="1"/>
  <c r="T94" i="9" s="1"/>
  <c r="AG94" i="9" s="1"/>
  <c r="C98" i="6"/>
  <c r="B100" i="13"/>
  <c r="B101" i="13"/>
  <c r="B102" i="13"/>
  <c r="B103" i="13"/>
  <c r="J105" i="13"/>
  <c r="B92" i="13"/>
  <c r="B91" i="13"/>
  <c r="E97" i="6" l="1"/>
  <c r="M39" i="8"/>
  <c r="F42" i="75"/>
  <c r="O109" i="6"/>
  <c r="G109" i="6" s="1"/>
  <c r="I109" i="6" s="1"/>
  <c r="O108" i="6"/>
  <c r="Z130" i="10" l="1"/>
  <c r="F49" i="75"/>
  <c r="D43" i="70"/>
  <c r="D38" i="70"/>
  <c r="F38" i="70"/>
  <c r="H38" i="70"/>
  <c r="K38" i="70"/>
  <c r="K42" i="70" s="1"/>
  <c r="K43" i="70" s="1"/>
  <c r="L38" i="70"/>
  <c r="N38" i="70"/>
  <c r="Q38" i="70"/>
  <c r="R38" i="70"/>
  <c r="M29" i="70"/>
  <c r="M32" i="70"/>
  <c r="M36" i="70"/>
  <c r="M37" i="70"/>
  <c r="D25" i="70"/>
  <c r="E25" i="70"/>
  <c r="F25" i="70"/>
  <c r="G25" i="70"/>
  <c r="H25" i="70"/>
  <c r="L25" i="70"/>
  <c r="N25" i="70"/>
  <c r="R25" i="70"/>
  <c r="D11" i="70"/>
  <c r="E11" i="70"/>
  <c r="F11" i="70"/>
  <c r="G11" i="70"/>
  <c r="H11" i="70"/>
  <c r="K11" i="70"/>
  <c r="L11" i="70"/>
  <c r="M11" i="70"/>
  <c r="N11" i="70"/>
  <c r="Q11" i="70"/>
  <c r="R11" i="70"/>
  <c r="N47" i="70" l="1"/>
  <c r="H47" i="70"/>
  <c r="R47" i="70"/>
  <c r="L47" i="70"/>
  <c r="F47" i="70"/>
  <c r="D47" i="70"/>
  <c r="D379" i="5"/>
  <c r="D373" i="5"/>
  <c r="C37" i="70" s="1"/>
  <c r="C38" i="70" l="1"/>
  <c r="CM15" i="5"/>
  <c r="CM46" i="5"/>
  <c r="B32" i="33"/>
  <c r="CK108" i="5"/>
  <c r="B13" i="19" l="1"/>
  <c r="B14" i="19"/>
  <c r="B15" i="19"/>
  <c r="B16" i="19"/>
  <c r="B17" i="19"/>
  <c r="B18" i="19"/>
  <c r="B19" i="19"/>
  <c r="B21" i="19"/>
  <c r="B22" i="19"/>
  <c r="B23" i="19"/>
  <c r="B24" i="19"/>
  <c r="B25" i="19"/>
  <c r="B26" i="19"/>
  <c r="B27" i="19"/>
  <c r="B28" i="19"/>
  <c r="B29" i="19"/>
  <c r="B30" i="19"/>
  <c r="B31" i="19"/>
  <c r="B32" i="19"/>
  <c r="B33" i="19"/>
  <c r="B34" i="19"/>
  <c r="B37" i="19"/>
  <c r="B44" i="19"/>
  <c r="B46" i="19"/>
  <c r="B47" i="19"/>
  <c r="B48" i="19"/>
  <c r="B49" i="19"/>
  <c r="B53" i="19"/>
  <c r="B55" i="19"/>
  <c r="B56" i="19"/>
  <c r="B58" i="19"/>
  <c r="B59" i="19"/>
  <c r="B62" i="19"/>
  <c r="B63" i="19"/>
  <c r="B64" i="19"/>
  <c r="B65" i="19"/>
  <c r="B66" i="19"/>
  <c r="B68" i="19"/>
  <c r="B71" i="19"/>
  <c r="B73" i="19"/>
  <c r="B75" i="19"/>
  <c r="B76" i="19"/>
  <c r="B77" i="19"/>
  <c r="B78" i="19"/>
  <c r="B79" i="19"/>
  <c r="B80" i="19"/>
  <c r="B85" i="19"/>
  <c r="B48" i="13" l="1"/>
  <c r="B49" i="13"/>
  <c r="B50" i="13"/>
  <c r="B51" i="13"/>
  <c r="C51" i="6"/>
  <c r="C52" i="6"/>
  <c r="C49" i="6"/>
  <c r="C50" i="6"/>
  <c r="B43" i="38"/>
  <c r="B44" i="38"/>
  <c r="R51" i="6"/>
  <c r="B41" i="38"/>
  <c r="B42" i="38"/>
  <c r="F51" i="13"/>
  <c r="O15" i="69"/>
  <c r="L15" i="69"/>
  <c r="O16" i="69" l="1"/>
  <c r="O50" i="69" s="1"/>
  <c r="O51" i="69" s="1"/>
  <c r="CJ124" i="5"/>
  <c r="CJ122" i="5"/>
  <c r="L51" i="13"/>
  <c r="O38" i="69"/>
  <c r="I50" i="69"/>
  <c r="I51" i="69" s="1"/>
  <c r="I52" i="69" s="1"/>
  <c r="L38" i="69"/>
  <c r="L16" i="69"/>
  <c r="L50" i="69" s="1"/>
  <c r="L51" i="69" s="1"/>
  <c r="N129" i="10" l="1"/>
  <c r="L52" i="69"/>
  <c r="L53" i="69" s="1"/>
  <c r="O52" i="69"/>
  <c r="O52" i="6"/>
  <c r="G52" i="6" s="1"/>
  <c r="I52" i="6" s="1"/>
  <c r="R52" i="6" s="1"/>
  <c r="U52" i="6" s="1"/>
  <c r="R50" i="6"/>
  <c r="U50" i="6" s="1"/>
  <c r="O50" i="6"/>
  <c r="F50" i="69"/>
  <c r="F51" i="69" s="1"/>
  <c r="Z89" i="5"/>
  <c r="D292" i="5"/>
  <c r="D293" i="5" s="1"/>
  <c r="R53" i="69" l="1"/>
  <c r="R56" i="69" s="1"/>
  <c r="M38" i="8"/>
  <c r="S51" i="69"/>
  <c r="AD121" i="10"/>
  <c r="AH119" i="10" s="1"/>
  <c r="N93" i="10" l="1"/>
  <c r="BF286" i="5"/>
  <c r="BG286" i="5" s="1"/>
  <c r="AB108" i="10" l="1"/>
  <c r="V128" i="15"/>
  <c r="U127" i="15"/>
  <c r="CD13" i="5"/>
  <c r="CN117" i="4" l="1"/>
  <c r="N58" i="39"/>
  <c r="O58" i="39" s="1"/>
  <c r="EB158" i="5"/>
  <c r="X254" i="5" l="1"/>
  <c r="EB132" i="5" l="1"/>
  <c r="CA85" i="4" l="1"/>
  <c r="CA330" i="5" l="1"/>
  <c r="CA206" i="5"/>
  <c r="CA175" i="5"/>
  <c r="CA174" i="5"/>
  <c r="CA161" i="5"/>
  <c r="CA156" i="5"/>
  <c r="CA155" i="5"/>
  <c r="CA150" i="5"/>
  <c r="CA116" i="5"/>
  <c r="CA115" i="5"/>
  <c r="CA21" i="5"/>
  <c r="CA20" i="5"/>
  <c r="CA17" i="5"/>
  <c r="EB46" i="5" l="1"/>
  <c r="D103" i="5"/>
  <c r="P10" i="9"/>
  <c r="P11" i="9"/>
  <c r="P12" i="9"/>
  <c r="P12" i="10"/>
  <c r="P13" i="10"/>
  <c r="P14" i="10"/>
  <c r="C15" i="12" l="1"/>
  <c r="D16" i="64"/>
  <c r="AC113" i="7" l="1"/>
  <c r="AC108" i="7"/>
  <c r="AC109" i="7"/>
  <c r="AC96" i="7"/>
  <c r="AC97" i="7"/>
  <c r="AC99" i="7"/>
  <c r="AC100" i="7"/>
  <c r="AC101" i="7"/>
  <c r="AC103" i="7"/>
  <c r="AC104" i="7"/>
  <c r="AC90" i="7"/>
  <c r="AC91" i="7"/>
  <c r="AC112" i="7"/>
  <c r="AC95" i="7"/>
  <c r="AC88" i="7"/>
  <c r="AC85" i="7"/>
  <c r="AC84" i="7"/>
  <c r="AC83" i="7"/>
  <c r="Y114" i="7"/>
  <c r="Y105" i="7"/>
  <c r="Y86" i="7"/>
  <c r="Y92" i="7" s="1"/>
  <c r="U114" i="7"/>
  <c r="U105" i="7"/>
  <c r="U86" i="7"/>
  <c r="U92" i="7" s="1"/>
  <c r="Y107" i="7" l="1"/>
  <c r="Y110" i="7" s="1"/>
  <c r="Y116" i="7" s="1"/>
  <c r="AC114" i="7"/>
  <c r="U107" i="7"/>
  <c r="BD18" i="4"/>
  <c r="BD61" i="4"/>
  <c r="BD187" i="4" s="1"/>
  <c r="U110" i="7" l="1"/>
  <c r="U116" i="7" s="1"/>
  <c r="AC116" i="7" s="1"/>
  <c r="AC118" i="7" s="1"/>
  <c r="AC107" i="7"/>
  <c r="O13" i="37" l="1"/>
  <c r="O14" i="37"/>
  <c r="O19" i="37"/>
  <c r="O21" i="37"/>
  <c r="AD55" i="5" l="1"/>
  <c r="AD56" i="5"/>
  <c r="AD57" i="5"/>
  <c r="CZ85" i="5" l="1"/>
  <c r="DO85" i="5"/>
  <c r="BD98" i="5" l="1"/>
  <c r="EG98" i="5" s="1"/>
  <c r="BD99" i="5"/>
  <c r="EG99" i="5" s="1"/>
  <c r="E20" i="12" l="1"/>
  <c r="F71" i="11" l="1"/>
  <c r="CC99" i="5" l="1"/>
  <c r="CG99" i="5"/>
  <c r="CG98" i="5" s="1"/>
  <c r="M63" i="51" l="1"/>
  <c r="T63" i="51" s="1"/>
  <c r="BG4" i="22" l="1"/>
  <c r="B78" i="18" l="1"/>
  <c r="D20" i="52" l="1"/>
  <c r="B39" i="14"/>
  <c r="O17" i="37" l="1"/>
  <c r="CW85" i="5" l="1"/>
  <c r="L11" i="66"/>
  <c r="J11" i="66"/>
  <c r="J10" i="66"/>
  <c r="L10" i="66"/>
  <c r="F10" i="66"/>
  <c r="F11" i="66"/>
  <c r="D11" i="66"/>
  <c r="B11" i="66"/>
  <c r="L8" i="66"/>
  <c r="L9" i="66"/>
  <c r="L7" i="66"/>
  <c r="J8" i="66"/>
  <c r="J9" i="66"/>
  <c r="J7" i="66"/>
  <c r="D8" i="66"/>
  <c r="D9" i="66"/>
  <c r="D10" i="66"/>
  <c r="F8" i="66"/>
  <c r="F9" i="66"/>
  <c r="F7" i="66"/>
  <c r="D7" i="66"/>
  <c r="B12" i="66"/>
  <c r="B9" i="66"/>
  <c r="B10" i="66"/>
  <c r="B8" i="66"/>
  <c r="B7" i="66"/>
  <c r="B6" i="66"/>
  <c r="H34" i="66"/>
  <c r="CW84" i="5" l="1"/>
  <c r="DW87" i="4"/>
  <c r="AP150" i="6" l="1"/>
  <c r="AN150" i="6"/>
  <c r="AT159" i="6"/>
  <c r="AP159" i="6"/>
  <c r="AP153" i="6"/>
  <c r="AX164" i="6"/>
  <c r="AX161" i="6"/>
  <c r="AX158" i="6"/>
  <c r="AX157" i="6"/>
  <c r="AX155" i="6"/>
  <c r="AX152" i="6"/>
  <c r="AX151" i="6"/>
  <c r="AX165" i="6"/>
  <c r="AY141" i="6" l="1"/>
  <c r="AP180" i="6"/>
  <c r="AT180" i="6" s="1"/>
  <c r="AX180" i="6" s="1"/>
  <c r="AX150" i="6"/>
  <c r="AR150" i="6"/>
  <c r="AV150" i="6" s="1"/>
  <c r="AN180" i="6"/>
  <c r="AR180" i="6" s="1"/>
  <c r="AV180" i="6" s="1"/>
  <c r="AX167" i="6"/>
  <c r="AX159" i="6"/>
  <c r="AX153" i="6"/>
  <c r="D276" i="5" l="1"/>
  <c r="E276" i="5"/>
  <c r="F276" i="5"/>
  <c r="G276" i="5"/>
  <c r="H276" i="5"/>
  <c r="I276" i="5"/>
  <c r="J276" i="5"/>
  <c r="K276" i="5"/>
  <c r="L276" i="5"/>
  <c r="M276" i="5"/>
  <c r="N276" i="5"/>
  <c r="O276" i="5"/>
  <c r="P276" i="5"/>
  <c r="Q276" i="5"/>
  <c r="R276" i="5"/>
  <c r="S276" i="5"/>
  <c r="T276" i="5"/>
  <c r="U276" i="5"/>
  <c r="V276" i="5"/>
  <c r="W276" i="5"/>
  <c r="X276" i="5"/>
  <c r="Y276" i="5"/>
  <c r="Z276" i="5"/>
  <c r="AA276" i="5"/>
  <c r="AC276" i="5"/>
  <c r="AD276" i="5"/>
  <c r="AE276" i="5"/>
  <c r="AF276" i="5"/>
  <c r="AG276" i="5"/>
  <c r="AH276" i="5"/>
  <c r="AI276" i="5"/>
  <c r="AJ276" i="5"/>
  <c r="AK276" i="5"/>
  <c r="AL276" i="5"/>
  <c r="AM276" i="5"/>
  <c r="AN276" i="5"/>
  <c r="AO276" i="5"/>
  <c r="AP276" i="5"/>
  <c r="AQ276" i="5"/>
  <c r="AR276" i="5"/>
  <c r="AS276" i="5"/>
  <c r="AU276" i="5"/>
  <c r="AV276" i="5"/>
  <c r="AX276" i="5"/>
  <c r="AY276" i="5"/>
  <c r="AZ276" i="5"/>
  <c r="BA276" i="5"/>
  <c r="DO57" i="22" s="1"/>
  <c r="BB276" i="5"/>
  <c r="G62" i="10" s="1"/>
  <c r="BC276" i="5"/>
  <c r="BH276" i="5"/>
  <c r="BI276" i="5"/>
  <c r="BJ276" i="5"/>
  <c r="BK276" i="5"/>
  <c r="BL276" i="5"/>
  <c r="BN276" i="5"/>
  <c r="BR276" i="5"/>
  <c r="BS276" i="5"/>
  <c r="BT276" i="5"/>
  <c r="BU276" i="5"/>
  <c r="H56" i="25" s="1"/>
  <c r="BW276" i="5"/>
  <c r="L56" i="25" s="1"/>
  <c r="CJ276" i="5"/>
  <c r="CU276" i="5"/>
  <c r="CD128" i="5"/>
  <c r="CE128" i="5"/>
  <c r="CF128" i="5"/>
  <c r="CH128" i="5"/>
  <c r="CR128" i="5"/>
  <c r="BP276" i="5" l="1"/>
  <c r="BF276" i="5"/>
  <c r="BG276" i="5" s="1"/>
  <c r="BY276" i="5"/>
  <c r="M481" i="65"/>
  <c r="M480" i="65"/>
  <c r="I482" i="65"/>
  <c r="E436" i="65"/>
  <c r="CJ161" i="5" l="1"/>
  <c r="CJ133" i="5"/>
  <c r="CJ134" i="5"/>
  <c r="CJ136" i="5"/>
  <c r="CJ138" i="5"/>
  <c r="CJ139" i="5"/>
  <c r="CJ140" i="5"/>
  <c r="CJ142" i="5"/>
  <c r="CJ143" i="5"/>
  <c r="CJ144" i="5"/>
  <c r="T235" i="65"/>
  <c r="S235" i="65"/>
  <c r="V234" i="65"/>
  <c r="E235" i="65" l="1"/>
  <c r="E230" i="65"/>
  <c r="E165" i="65"/>
  <c r="E169" i="65"/>
  <c r="E184" i="65"/>
  <c r="N49" i="65"/>
  <c r="O49" i="65"/>
  <c r="G170" i="65" l="1"/>
  <c r="E49" i="65"/>
  <c r="F28" i="39"/>
  <c r="B24" i="16" l="1"/>
  <c r="M19" i="37" l="1"/>
  <c r="BG35" i="19" l="1"/>
  <c r="BG45" i="19"/>
  <c r="BG70" i="19"/>
  <c r="B15" i="14" l="1"/>
  <c r="BR371" i="5" l="1"/>
  <c r="M35" i="70" s="1"/>
  <c r="BR366" i="5"/>
  <c r="M30" i="70" s="1"/>
  <c r="AI27" i="9" l="1"/>
  <c r="AD134" i="10"/>
  <c r="AE133" i="10" s="1"/>
  <c r="AF133" i="10" s="1"/>
  <c r="AJ57" i="10"/>
  <c r="N128" i="10"/>
  <c r="N130" i="10"/>
  <c r="AC54" i="9"/>
  <c r="AC56" i="9" s="1"/>
  <c r="R153" i="9" s="1"/>
  <c r="AG54" i="9" l="1"/>
  <c r="E55" i="6" s="1"/>
  <c r="AE127" i="10"/>
  <c r="AJ24" i="10"/>
  <c r="AE129" i="10"/>
  <c r="N108" i="10"/>
  <c r="R109" i="10" s="1"/>
  <c r="AE132" i="10"/>
  <c r="AF132" i="10" s="1"/>
  <c r="AE130" i="10"/>
  <c r="AE128" i="10"/>
  <c r="AF128" i="10" s="1"/>
  <c r="AJ29" i="10" s="1"/>
  <c r="AE131" i="10"/>
  <c r="AJ28" i="10" l="1"/>
  <c r="AF131" i="10"/>
  <c r="AJ32" i="10" s="1"/>
  <c r="AF130" i="10"/>
  <c r="AJ31" i="10" s="1"/>
  <c r="AJ33" i="10"/>
  <c r="AF129" i="10"/>
  <c r="AJ30" i="10" s="1"/>
  <c r="AI90" i="9"/>
  <c r="AI91" i="9" s="1"/>
  <c r="AF134" i="10" l="1"/>
  <c r="AF137" i="10" s="1"/>
  <c r="AJ37" i="10"/>
  <c r="AJ39" i="10" s="1"/>
  <c r="P86" i="34"/>
  <c r="AJ60" i="10" l="1"/>
  <c r="M147" i="31"/>
  <c r="M146" i="31"/>
  <c r="K147" i="31"/>
  <c r="K146" i="31"/>
  <c r="I146" i="31"/>
  <c r="I147" i="31"/>
  <c r="F147" i="31"/>
  <c r="F146" i="31"/>
  <c r="H147" i="31"/>
  <c r="N16" i="21" l="1"/>
  <c r="N24" i="21"/>
  <c r="N25" i="21"/>
  <c r="N32" i="21"/>
  <c r="N33" i="21"/>
  <c r="N34" i="21"/>
  <c r="T65" i="33" l="1"/>
  <c r="D75" i="39" l="1"/>
  <c r="C45" i="6"/>
  <c r="C46" i="6"/>
  <c r="F38" i="38"/>
  <c r="B47" i="38"/>
  <c r="B40" i="38"/>
  <c r="B37" i="38"/>
  <c r="B38" i="38"/>
  <c r="B39" i="38"/>
  <c r="D82" i="38"/>
  <c r="C117" i="38" s="1"/>
  <c r="F69" i="38"/>
  <c r="F70" i="38"/>
  <c r="F71" i="38"/>
  <c r="F72" i="38"/>
  <c r="F73" i="38"/>
  <c r="F74" i="38"/>
  <c r="F75" i="38"/>
  <c r="F61" i="38"/>
  <c r="B62" i="38"/>
  <c r="B61" i="38"/>
  <c r="B82" i="38"/>
  <c r="B75" i="38"/>
  <c r="B70" i="38"/>
  <c r="B71" i="38"/>
  <c r="B72" i="38"/>
  <c r="B73" i="38"/>
  <c r="B74" i="38"/>
  <c r="B69" i="38"/>
  <c r="C100" i="6"/>
  <c r="C101" i="6"/>
  <c r="EB12" i="5"/>
  <c r="D15" i="39" s="1"/>
  <c r="H15" i="39" s="1"/>
  <c r="EC171" i="4"/>
  <c r="EC73" i="4" s="1"/>
  <c r="EB117" i="5"/>
  <c r="C37" i="38" l="1"/>
  <c r="C49" i="38" s="1"/>
  <c r="EB342" i="5"/>
  <c r="F52" i="39"/>
  <c r="C90" i="38" l="1"/>
  <c r="F37" i="38"/>
  <c r="CJ150" i="5"/>
  <c r="B94" i="13" l="1"/>
  <c r="O101" i="6" l="1"/>
  <c r="G101" i="6" s="1"/>
  <c r="I101" i="6" l="1"/>
  <c r="R101" i="6" s="1"/>
  <c r="U101" i="6" s="1"/>
  <c r="BP317" i="5"/>
  <c r="BP316" i="5"/>
  <c r="BP297" i="5"/>
  <c r="BP298" i="5"/>
  <c r="BP299" i="5"/>
  <c r="BP300" i="5"/>
  <c r="BP301" i="5"/>
  <c r="BP302" i="5"/>
  <c r="BP303" i="5"/>
  <c r="BP304" i="5"/>
  <c r="BP305" i="5"/>
  <c r="BP306" i="5"/>
  <c r="BP307" i="5"/>
  <c r="BP308" i="5"/>
  <c r="BP309" i="5"/>
  <c r="BP310" i="5"/>
  <c r="BP311" i="5"/>
  <c r="BP312" i="5"/>
  <c r="BP313" i="5"/>
  <c r="BP296" i="5"/>
  <c r="BQ289" i="5"/>
  <c r="BQ283" i="5" l="1"/>
  <c r="D28" i="66" s="1"/>
  <c r="N293" i="65"/>
  <c r="K20" i="37" l="1"/>
  <c r="U20" i="37" l="1"/>
  <c r="AE20" i="37" s="1"/>
  <c r="AO20" i="37" l="1"/>
  <c r="H24" i="16" l="1"/>
  <c r="AT20" i="37"/>
  <c r="AD89" i="5" l="1"/>
  <c r="CU164" i="5" l="1"/>
  <c r="CU165" i="5"/>
  <c r="CU166" i="5"/>
  <c r="CJ160" i="5"/>
  <c r="CR172" i="5"/>
  <c r="CQ172" i="5"/>
  <c r="CP172" i="5"/>
  <c r="CO172" i="5"/>
  <c r="CN172" i="5"/>
  <c r="CM172" i="5"/>
  <c r="CL172" i="5"/>
  <c r="BY160" i="5"/>
  <c r="BZ160" i="5" s="1"/>
  <c r="BY164" i="5"/>
  <c r="BZ164" i="5" s="1"/>
  <c r="BY165" i="5"/>
  <c r="BZ165" i="5" s="1"/>
  <c r="BY166" i="5"/>
  <c r="BZ166" i="5" s="1"/>
  <c r="BP160" i="5"/>
  <c r="BP164" i="5"/>
  <c r="BP165" i="5"/>
  <c r="BP166" i="5"/>
  <c r="BD172" i="5"/>
  <c r="CA164" i="5" l="1"/>
  <c r="CA160" i="5"/>
  <c r="CA166" i="5"/>
  <c r="CA165" i="5"/>
  <c r="CU173" i="5"/>
  <c r="EN160" i="5"/>
  <c r="EN165" i="5"/>
  <c r="AK17" i="37"/>
  <c r="AK19" i="37"/>
  <c r="AK21" i="37"/>
  <c r="AK27" i="37"/>
  <c r="DY85" i="5"/>
  <c r="DY132" i="5"/>
  <c r="AK26" i="37" s="1"/>
  <c r="C21" i="37"/>
  <c r="C26" i="37"/>
  <c r="EB10" i="5"/>
  <c r="EB11" i="5"/>
  <c r="EB14" i="5"/>
  <c r="EB15" i="5"/>
  <c r="EB16" i="5"/>
  <c r="EB29" i="5"/>
  <c r="EB34" i="5"/>
  <c r="EB50" i="5"/>
  <c r="EB54" i="5"/>
  <c r="EB55" i="5"/>
  <c r="EB56" i="5"/>
  <c r="EB57" i="5"/>
  <c r="EB71" i="5"/>
  <c r="EB93" i="5"/>
  <c r="EB94" i="5"/>
  <c r="EB341" i="5" s="1"/>
  <c r="EB100" i="5"/>
  <c r="EB107" i="5"/>
  <c r="EB193" i="5"/>
  <c r="EB232" i="5"/>
  <c r="EB258" i="5"/>
  <c r="EB292" i="5"/>
  <c r="EB314" i="5"/>
  <c r="EB318" i="5"/>
  <c r="EB334" i="5"/>
  <c r="EB343" i="5"/>
  <c r="EB349" i="5"/>
  <c r="EB376" i="5"/>
  <c r="EB191" i="5" s="1"/>
  <c r="EB382" i="5"/>
  <c r="EB192" i="5" s="1"/>
  <c r="X13" i="6"/>
  <c r="EB331" i="5" l="1"/>
  <c r="AK16" i="37"/>
  <c r="AK23" i="37" s="1"/>
  <c r="DY84" i="5"/>
  <c r="EB154" i="5"/>
  <c r="C52" i="38"/>
  <c r="F52" i="38" s="1"/>
  <c r="EB254" i="5"/>
  <c r="EB58" i="5"/>
  <c r="EB346" i="5"/>
  <c r="EB188" i="5" s="1"/>
  <c r="AK30" i="37"/>
  <c r="EB18" i="5"/>
  <c r="EB20" i="5" s="1"/>
  <c r="EB357" i="5" l="1"/>
  <c r="EB271" i="5"/>
  <c r="EB63" i="5" s="1"/>
  <c r="EB69" i="5" l="1"/>
  <c r="M69" i="51" l="1"/>
  <c r="T69" i="51" s="1"/>
  <c r="C17" i="37"/>
  <c r="EB114" i="5" l="1"/>
  <c r="L16" i="28" l="1"/>
  <c r="M16" i="28"/>
  <c r="L17" i="28"/>
  <c r="M17" i="28"/>
  <c r="L18" i="28"/>
  <c r="M18" i="28"/>
  <c r="L19" i="28"/>
  <c r="M19" i="28"/>
  <c r="L20" i="28"/>
  <c r="M20" i="28"/>
  <c r="L21" i="28"/>
  <c r="M21" i="28"/>
  <c r="L22" i="28"/>
  <c r="M22" i="28"/>
  <c r="L29" i="28"/>
  <c r="M29" i="28"/>
  <c r="L30" i="28"/>
  <c r="M30" i="28"/>
  <c r="L32" i="28"/>
  <c r="M32" i="28"/>
  <c r="L33" i="28"/>
  <c r="M33" i="28"/>
  <c r="L35" i="28"/>
  <c r="M35" i="28"/>
  <c r="L36" i="28"/>
  <c r="L38" i="28"/>
  <c r="M38" i="28"/>
  <c r="L39" i="28"/>
  <c r="M39" i="28"/>
  <c r="L41" i="28"/>
  <c r="M41" i="28"/>
  <c r="L42" i="28"/>
  <c r="M42" i="28"/>
  <c r="L44" i="28"/>
  <c r="M44" i="28"/>
  <c r="L45" i="28"/>
  <c r="M45" i="28"/>
  <c r="L46" i="28"/>
  <c r="M46" i="28"/>
  <c r="L47" i="28"/>
  <c r="M47" i="28"/>
  <c r="L54" i="28"/>
  <c r="M54" i="28"/>
  <c r="L55" i="28"/>
  <c r="M55" i="28"/>
  <c r="L56" i="28"/>
  <c r="M56" i="28"/>
  <c r="L57" i="28"/>
  <c r="M57" i="28"/>
  <c r="M63" i="28"/>
  <c r="M69" i="28" s="1"/>
  <c r="L59" i="28" l="1"/>
  <c r="N22" i="28"/>
  <c r="N54" i="28"/>
  <c r="N47" i="28"/>
  <c r="N46" i="28"/>
  <c r="N35" i="28"/>
  <c r="N29" i="28"/>
  <c r="N41" i="28"/>
  <c r="N38" i="28"/>
  <c r="N36" i="28"/>
  <c r="N18" i="28"/>
  <c r="N16" i="28"/>
  <c r="N56" i="28"/>
  <c r="N55" i="28"/>
  <c r="N44" i="28"/>
  <c r="N42" i="28"/>
  <c r="N32" i="28"/>
  <c r="N30" i="28"/>
  <c r="L49" i="28"/>
  <c r="N20" i="28"/>
  <c r="N19" i="28"/>
  <c r="L24" i="28"/>
  <c r="N57" i="28"/>
  <c r="N45" i="28"/>
  <c r="N39" i="28"/>
  <c r="N33" i="28"/>
  <c r="M24" i="28"/>
  <c r="N21" i="28"/>
  <c r="N17" i="28"/>
  <c r="M59" i="28"/>
  <c r="M49" i="28"/>
  <c r="BC29" i="4"/>
  <c r="BC29" i="5" s="1"/>
  <c r="N49" i="28" l="1"/>
  <c r="L51" i="28"/>
  <c r="L61" i="28" s="1"/>
  <c r="N24" i="28"/>
  <c r="N59" i="28"/>
  <c r="M51" i="28"/>
  <c r="M61" i="28" s="1"/>
  <c r="M73" i="28" s="1"/>
  <c r="BB86" i="5"/>
  <c r="BB85" i="5" s="1"/>
  <c r="G14" i="9" s="1"/>
  <c r="BB135" i="5"/>
  <c r="G65" i="9" s="1"/>
  <c r="BC135" i="5"/>
  <c r="BC86" i="5" l="1"/>
  <c r="BC85" i="5" s="1"/>
  <c r="BB136" i="4"/>
  <c r="BB112" i="4"/>
  <c r="BC112" i="4"/>
  <c r="N51" i="28"/>
  <c r="N61" i="28" s="1"/>
  <c r="BC136" i="4"/>
  <c r="CP106" i="4" l="1"/>
  <c r="CL13" i="5"/>
  <c r="CB154" i="4"/>
  <c r="CG131" i="4"/>
  <c r="CG146" i="5" s="1"/>
  <c r="CG130" i="5" s="1"/>
  <c r="CB88" i="4"/>
  <c r="D19" i="29" s="1"/>
  <c r="D85" i="31" s="1"/>
  <c r="EB22" i="5" l="1"/>
  <c r="EB41" i="5"/>
  <c r="EB43" i="5" l="1"/>
  <c r="EB61" i="5" s="1"/>
  <c r="EB73" i="5" s="1"/>
  <c r="EB213" i="5" s="1"/>
  <c r="N168" i="9"/>
  <c r="N169" i="9"/>
  <c r="R151" i="9" l="1"/>
  <c r="CU150" i="5" l="1"/>
  <c r="CJ104" i="5" l="1"/>
  <c r="E347" i="65" l="1"/>
  <c r="U235" i="65" l="1"/>
  <c r="X211" i="65" l="1"/>
  <c r="R186" i="65" l="1"/>
  <c r="H114" i="41"/>
  <c r="E40" i="65"/>
  <c r="T86" i="34" l="1"/>
  <c r="N90" i="15" s="1"/>
  <c r="L90" i="15"/>
  <c r="L191" i="6" l="1"/>
  <c r="Q38" i="8"/>
  <c r="AG47" i="9"/>
  <c r="AG56" i="9" s="1"/>
  <c r="E48" i="6" l="1"/>
  <c r="E57" i="6" s="1"/>
  <c r="E89" i="6"/>
  <c r="C54" i="7" l="1"/>
  <c r="C52" i="7"/>
  <c r="I45" i="6"/>
  <c r="B93" i="13"/>
  <c r="C105" i="6"/>
  <c r="C55" i="6"/>
  <c r="C102" i="6"/>
  <c r="C103" i="6"/>
  <c r="C104" i="6"/>
  <c r="C99" i="6"/>
  <c r="C48" i="6"/>
  <c r="C47" i="6"/>
  <c r="L98" i="15"/>
  <c r="E109" i="34"/>
  <c r="T93" i="34"/>
  <c r="N98" i="15" s="1"/>
  <c r="O99" i="6" l="1"/>
  <c r="G99" i="6" s="1"/>
  <c r="E143" i="34"/>
  <c r="B96" i="9"/>
  <c r="L96" i="9" s="1"/>
  <c r="T96" i="9" s="1"/>
  <c r="AG96" i="9" s="1"/>
  <c r="AJ66" i="10"/>
  <c r="B47" i="9"/>
  <c r="L47" i="9" s="1"/>
  <c r="B45" i="9"/>
  <c r="L45" i="9" s="1"/>
  <c r="B41" i="9"/>
  <c r="C44" i="6"/>
  <c r="B85" i="9"/>
  <c r="L85" i="9" s="1"/>
  <c r="E99" i="6" l="1"/>
  <c r="E111" i="6" s="1"/>
  <c r="AI85" i="9"/>
  <c r="AI86" i="9" s="1"/>
  <c r="I99" i="6"/>
  <c r="R99" i="6" s="1"/>
  <c r="U99" i="6" s="1"/>
  <c r="AN155" i="6"/>
  <c r="BR353" i="5" l="1"/>
  <c r="BC356" i="5"/>
  <c r="R130" i="34"/>
  <c r="P130" i="34"/>
  <c r="N130" i="34"/>
  <c r="N89" i="34" s="1"/>
  <c r="I130" i="34"/>
  <c r="G130" i="34"/>
  <c r="E130" i="34"/>
  <c r="C130" i="34"/>
  <c r="J92" i="31"/>
  <c r="L92" i="31"/>
  <c r="F92" i="31"/>
  <c r="H146" i="31"/>
  <c r="M136" i="31"/>
  <c r="K136" i="31"/>
  <c r="H136" i="31"/>
  <c r="F136" i="31"/>
  <c r="H92" i="31" l="1"/>
  <c r="O92" i="31" s="1"/>
  <c r="J97" i="15" s="1"/>
  <c r="B79" i="13" l="1"/>
  <c r="L90" i="13"/>
  <c r="B97" i="13"/>
  <c r="B98" i="13"/>
  <c r="B99" i="13"/>
  <c r="B90" i="13"/>
  <c r="B89" i="13"/>
  <c r="J56" i="13"/>
  <c r="B54" i="13"/>
  <c r="F79" i="13"/>
  <c r="F54" i="13"/>
  <c r="F47" i="13"/>
  <c r="CJ164" i="5"/>
  <c r="E547" i="65" s="1"/>
  <c r="F56" i="13" l="1"/>
  <c r="EN164" i="5"/>
  <c r="EN166" i="5"/>
  <c r="H79" i="13"/>
  <c r="E549" i="65"/>
  <c r="O105" i="6"/>
  <c r="H47" i="13"/>
  <c r="H54" i="13"/>
  <c r="L54" i="13" s="1"/>
  <c r="O55" i="6" s="1"/>
  <c r="CJ127" i="5"/>
  <c r="E543" i="65" s="1"/>
  <c r="H105" i="13" l="1"/>
  <c r="L104" i="15" s="1"/>
  <c r="G55" i="6"/>
  <c r="I55" i="6" s="1"/>
  <c r="R55" i="6" s="1"/>
  <c r="U55" i="6" s="1"/>
  <c r="L47" i="13"/>
  <c r="O48" i="6" s="1"/>
  <c r="G48" i="6" s="1"/>
  <c r="H56" i="13"/>
  <c r="L79" i="13"/>
  <c r="O89" i="6" s="1"/>
  <c r="L101" i="15"/>
  <c r="L92" i="15" l="1"/>
  <c r="G89" i="6"/>
  <c r="I89" i="6" s="1"/>
  <c r="R89" i="6"/>
  <c r="I48" i="6"/>
  <c r="L56" i="13"/>
  <c r="O103" i="6"/>
  <c r="G103" i="6" s="1"/>
  <c r="I103" i="6" s="1"/>
  <c r="R103" i="6" s="1"/>
  <c r="U103" i="6" s="1"/>
  <c r="L105" i="13"/>
  <c r="G57" i="6"/>
  <c r="AR155" i="6" l="1"/>
  <c r="AV155" i="6" s="1"/>
  <c r="I57" i="6"/>
  <c r="R48" i="6"/>
  <c r="U48" i="6" s="1"/>
  <c r="G105" i="6"/>
  <c r="B47" i="13"/>
  <c r="B45" i="13"/>
  <c r="B36" i="38"/>
  <c r="G111" i="6" l="1"/>
  <c r="AR161" i="6" s="1"/>
  <c r="I105" i="6"/>
  <c r="R105" i="6" s="1"/>
  <c r="U105" i="6" s="1"/>
  <c r="D88" i="4"/>
  <c r="CA186" i="5"/>
  <c r="CA96" i="5"/>
  <c r="CA97" i="5"/>
  <c r="B38" i="39" l="1"/>
  <c r="B39" i="39"/>
  <c r="B40" i="39"/>
  <c r="B41" i="39"/>
  <c r="B42" i="39"/>
  <c r="D68" i="39"/>
  <c r="F44" i="33"/>
  <c r="E48" i="34" l="1"/>
  <c r="E103" i="34"/>
  <c r="E142" i="34"/>
  <c r="T92" i="34" s="1"/>
  <c r="N97" i="15" s="1"/>
  <c r="EC18" i="4" l="1"/>
  <c r="ED19" i="4" s="1"/>
  <c r="EP88" i="4" l="1"/>
  <c r="BC22" i="4" l="1"/>
  <c r="F32" i="61"/>
  <c r="F36" i="61"/>
  <c r="F39" i="61"/>
  <c r="F42" i="61"/>
  <c r="D58" i="61"/>
  <c r="BC24" i="4"/>
  <c r="BC24" i="5" s="1"/>
  <c r="B72" i="61"/>
  <c r="B70" i="61"/>
  <c r="B68" i="61"/>
  <c r="B66" i="61"/>
  <c r="B64" i="61"/>
  <c r="B62" i="61"/>
  <c r="B60" i="61"/>
  <c r="B58" i="61"/>
  <c r="B56" i="61"/>
  <c r="B55" i="61"/>
  <c r="B54" i="61"/>
  <c r="B53" i="61"/>
  <c r="B52" i="61"/>
  <c r="B50" i="61"/>
  <c r="B49" i="61"/>
  <c r="B48" i="61"/>
  <c r="B46" i="61"/>
  <c r="B45" i="61"/>
  <c r="B42" i="61"/>
  <c r="B39" i="61"/>
  <c r="B36" i="61"/>
  <c r="B33" i="61"/>
  <c r="B30" i="61"/>
  <c r="B27" i="61"/>
  <c r="B26" i="61"/>
  <c r="B25" i="61"/>
  <c r="B23" i="61"/>
  <c r="B21" i="61"/>
  <c r="B20" i="61"/>
  <c r="B19" i="61"/>
  <c r="B18" i="61"/>
  <c r="B17" i="61"/>
  <c r="B16" i="61"/>
  <c r="D23" i="61"/>
  <c r="B15" i="61"/>
  <c r="B14" i="61"/>
  <c r="B6" i="61"/>
  <c r="H14" i="10"/>
  <c r="H13" i="10"/>
  <c r="H12" i="10"/>
  <c r="H29" i="10"/>
  <c r="H31" i="10"/>
  <c r="H32" i="10"/>
  <c r="H33" i="10"/>
  <c r="H12" i="9"/>
  <c r="H11" i="9"/>
  <c r="H10" i="9"/>
  <c r="H19" i="9"/>
  <c r="H26" i="9"/>
  <c r="H27" i="9"/>
  <c r="H29" i="9"/>
  <c r="H30" i="9"/>
  <c r="H31" i="9"/>
  <c r="H63" i="9"/>
  <c r="H64" i="9"/>
  <c r="H70" i="9"/>
  <c r="H72" i="9"/>
  <c r="H73" i="9"/>
  <c r="F16" i="61" l="1"/>
  <c r="F17" i="61"/>
  <c r="F18" i="61"/>
  <c r="F19" i="61"/>
  <c r="F20" i="61"/>
  <c r="F53" i="61"/>
  <c r="F54" i="61"/>
  <c r="E48" i="61"/>
  <c r="R48" i="61" s="1"/>
  <c r="F35" i="61"/>
  <c r="F45" i="61"/>
  <c r="E58" i="61"/>
  <c r="F55" i="61"/>
  <c r="F21" i="61"/>
  <c r="F56" i="61"/>
  <c r="F46" i="61"/>
  <c r="D48" i="61"/>
  <c r="D50" i="61" s="1"/>
  <c r="D60" i="61" s="1"/>
  <c r="F34" i="61"/>
  <c r="C48" i="61"/>
  <c r="F31" i="61"/>
  <c r="F48" i="61" l="1"/>
  <c r="BC23" i="4"/>
  <c r="C58" i="61"/>
  <c r="C23" i="61"/>
  <c r="C50" i="61" s="1"/>
  <c r="F58" i="61"/>
  <c r="C60" i="61" l="1"/>
  <c r="G194" i="65" l="1"/>
  <c r="CC13" i="5"/>
  <c r="CG54" i="5" l="1"/>
  <c r="E68" i="61"/>
  <c r="DY18" i="26"/>
  <c r="F50" i="11"/>
  <c r="F41" i="11"/>
  <c r="F15" i="61" l="1"/>
  <c r="F23" i="61" s="1"/>
  <c r="F50" i="61" s="1"/>
  <c r="F60" i="61" s="1"/>
  <c r="E23" i="61"/>
  <c r="H173" i="41"/>
  <c r="L210" i="11"/>
  <c r="D29" i="40"/>
  <c r="G13" i="50"/>
  <c r="G17" i="50"/>
  <c r="D13" i="50"/>
  <c r="D17" i="50"/>
  <c r="DL10" i="19"/>
  <c r="DL11" i="19"/>
  <c r="DL12" i="19"/>
  <c r="DL19" i="19"/>
  <c r="DL26" i="19"/>
  <c r="DL27" i="19"/>
  <c r="DL29" i="19"/>
  <c r="DL30" i="19"/>
  <c r="DL31" i="19"/>
  <c r="DL32" i="19"/>
  <c r="DL33" i="19"/>
  <c r="DL47" i="19"/>
  <c r="DL48" i="19"/>
  <c r="DL53" i="19"/>
  <c r="DL55" i="19"/>
  <c r="DL56" i="19"/>
  <c r="DL58" i="19"/>
  <c r="DL59" i="19"/>
  <c r="DL61" i="19"/>
  <c r="DL62" i="19"/>
  <c r="DL63" i="19"/>
  <c r="DL64" i="19"/>
  <c r="BU11" i="22"/>
  <c r="BU12" i="22"/>
  <c r="BU13" i="22"/>
  <c r="BU59" i="22"/>
  <c r="BU63" i="22"/>
  <c r="BU10" i="19"/>
  <c r="BU11" i="19"/>
  <c r="BU12" i="19"/>
  <c r="BU19" i="19"/>
  <c r="BU26" i="19"/>
  <c r="BU27" i="19"/>
  <c r="BU29" i="19"/>
  <c r="BU30" i="19"/>
  <c r="BU31" i="19"/>
  <c r="BU32" i="19"/>
  <c r="BU33" i="19"/>
  <c r="BU47" i="19"/>
  <c r="BU48" i="19"/>
  <c r="BU53" i="19"/>
  <c r="BU55" i="19"/>
  <c r="BU56" i="19"/>
  <c r="BU58" i="19"/>
  <c r="AK55" i="5"/>
  <c r="BU47" i="22" s="1"/>
  <c r="AK56" i="5"/>
  <c r="BU49" i="22" s="1"/>
  <c r="AK57" i="5"/>
  <c r="AK89" i="5"/>
  <c r="BU18" i="19" s="1"/>
  <c r="AK93" i="5"/>
  <c r="BU22" i="19" s="1"/>
  <c r="AK94" i="5"/>
  <c r="BU23" i="19" s="1"/>
  <c r="AK100" i="5"/>
  <c r="BU28" i="19" s="1"/>
  <c r="AK193" i="5"/>
  <c r="BU80" i="19" s="1"/>
  <c r="AK232" i="5"/>
  <c r="AK254" i="5"/>
  <c r="AK258" i="5"/>
  <c r="AK292" i="5"/>
  <c r="AK314" i="5"/>
  <c r="AK318" i="5"/>
  <c r="AK361" i="5"/>
  <c r="AK189" i="5" s="1"/>
  <c r="BU76" i="19" s="1"/>
  <c r="AK382" i="5"/>
  <c r="AK192" i="5" s="1"/>
  <c r="BU79" i="19" s="1"/>
  <c r="E50" i="61" l="1"/>
  <c r="E60" i="61" s="1"/>
  <c r="E72" i="61" s="1"/>
  <c r="F4" i="66" s="1"/>
  <c r="R23" i="61"/>
  <c r="D19" i="50"/>
  <c r="G19" i="50"/>
  <c r="AK341" i="5"/>
  <c r="AK346" i="5" s="1"/>
  <c r="AK188" i="5" s="1"/>
  <c r="BU75" i="19" s="1"/>
  <c r="AK271" i="5"/>
  <c r="AK331" i="5"/>
  <c r="AK83" i="4" l="1"/>
  <c r="AK86" i="5" s="1"/>
  <c r="AK84" i="4"/>
  <c r="AK86" i="4"/>
  <c r="AK334" i="5" s="1"/>
  <c r="AK88" i="5" s="1"/>
  <c r="BU17" i="19" s="1"/>
  <c r="AK87" i="4"/>
  <c r="AK88" i="4"/>
  <c r="AK92" i="4"/>
  <c r="AK92" i="5" s="1"/>
  <c r="BU21" i="19" s="1"/>
  <c r="AK93" i="4"/>
  <c r="AK94" i="4"/>
  <c r="AK98" i="4"/>
  <c r="AK99" i="4"/>
  <c r="AK100" i="4"/>
  <c r="AK101" i="4"/>
  <c r="AK102" i="4"/>
  <c r="AK103" i="4"/>
  <c r="AK104" i="4"/>
  <c r="AK105" i="4"/>
  <c r="AK106" i="4"/>
  <c r="AK108" i="4"/>
  <c r="AK109" i="4"/>
  <c r="AK111" i="4"/>
  <c r="AK117" i="4"/>
  <c r="AK132" i="5" s="1"/>
  <c r="BU46" i="19" s="1"/>
  <c r="AK118" i="4"/>
  <c r="AK119" i="4"/>
  <c r="AK120" i="4"/>
  <c r="AK135" i="5" s="1"/>
  <c r="BU49" i="19" s="1"/>
  <c r="AK121" i="4"/>
  <c r="AK122" i="4"/>
  <c r="AK123" i="4"/>
  <c r="AK124" i="4"/>
  <c r="AK125" i="4"/>
  <c r="AK126" i="4"/>
  <c r="AK127" i="4"/>
  <c r="AK128" i="4"/>
  <c r="AK130" i="4"/>
  <c r="AK131" i="4"/>
  <c r="AK132" i="4"/>
  <c r="AK133" i="4"/>
  <c r="AK134" i="4"/>
  <c r="AK171" i="4"/>
  <c r="FC63" i="26"/>
  <c r="FC69" i="26" s="1"/>
  <c r="FC57" i="26"/>
  <c r="AK49" i="4" s="1"/>
  <c r="AK54" i="5" s="1"/>
  <c r="BU46" i="22" s="1"/>
  <c r="FB57" i="26"/>
  <c r="FC56" i="26"/>
  <c r="AK48" i="4" s="1"/>
  <c r="AK50" i="5" s="1"/>
  <c r="BU45" i="22" s="1"/>
  <c r="FB56" i="26"/>
  <c r="FC55" i="26"/>
  <c r="AK47" i="4" s="1"/>
  <c r="AK47" i="5" s="1"/>
  <c r="BU42" i="22" s="1"/>
  <c r="FB55" i="26"/>
  <c r="FC54" i="26"/>
  <c r="FB54" i="26"/>
  <c r="FC47" i="26"/>
  <c r="AK29" i="4" s="1"/>
  <c r="FB47" i="26"/>
  <c r="FC46" i="26"/>
  <c r="AK28" i="4" s="1"/>
  <c r="FB46" i="26"/>
  <c r="FC45" i="26"/>
  <c r="FB45" i="26"/>
  <c r="FC44" i="26"/>
  <c r="FB44" i="26"/>
  <c r="FC42" i="26"/>
  <c r="FB42" i="26"/>
  <c r="FC41" i="26"/>
  <c r="FB41" i="26"/>
  <c r="FC39" i="26"/>
  <c r="FB39" i="26"/>
  <c r="FC38" i="26"/>
  <c r="FB38" i="26"/>
  <c r="FC36" i="26"/>
  <c r="FB36" i="26"/>
  <c r="FC35" i="26"/>
  <c r="FB35" i="26"/>
  <c r="FC33" i="26"/>
  <c r="FB33" i="26"/>
  <c r="FC32" i="26"/>
  <c r="FB32" i="26"/>
  <c r="FC30" i="26"/>
  <c r="FB30" i="26"/>
  <c r="FC29" i="26"/>
  <c r="FB29" i="26"/>
  <c r="FC22" i="26"/>
  <c r="FB22" i="26"/>
  <c r="FC21" i="26"/>
  <c r="FB21" i="26"/>
  <c r="FC20" i="26"/>
  <c r="FB20" i="26"/>
  <c r="FB19" i="26"/>
  <c r="FC18" i="26"/>
  <c r="FB18" i="26"/>
  <c r="FC17" i="26"/>
  <c r="FB17" i="26"/>
  <c r="FC16" i="26"/>
  <c r="FB16" i="26"/>
  <c r="G813" i="65"/>
  <c r="I813" i="65" s="1"/>
  <c r="AK157" i="5" l="1"/>
  <c r="FB49" i="26"/>
  <c r="BU68" i="19"/>
  <c r="FB59" i="26"/>
  <c r="AK25" i="4"/>
  <c r="AK25" i="5" s="1"/>
  <c r="BU30" i="22" s="1"/>
  <c r="AK26" i="4"/>
  <c r="AK26" i="5" s="1"/>
  <c r="BU31" i="22" s="1"/>
  <c r="AK27" i="4"/>
  <c r="AK27" i="5" s="1"/>
  <c r="BU32" i="22" s="1"/>
  <c r="FC59" i="26"/>
  <c r="AK23" i="4"/>
  <c r="AK23" i="5" s="1"/>
  <c r="BU28" i="22" s="1"/>
  <c r="FB24" i="26"/>
  <c r="AK154" i="5"/>
  <c r="FC49" i="26"/>
  <c r="AK24" i="4"/>
  <c r="AK24" i="5" s="1"/>
  <c r="BU29" i="22" s="1"/>
  <c r="FC24" i="26"/>
  <c r="FD17" i="26"/>
  <c r="FD18" i="26"/>
  <c r="AK28" i="5"/>
  <c r="BU33" i="22" s="1"/>
  <c r="AK29" i="5"/>
  <c r="BU34" i="22" s="1"/>
  <c r="AK112" i="4"/>
  <c r="FD30" i="26"/>
  <c r="FD32" i="26"/>
  <c r="FD33" i="26"/>
  <c r="FD35" i="26"/>
  <c r="FD36" i="26"/>
  <c r="FD38" i="26"/>
  <c r="FD39" i="26"/>
  <c r="FD41" i="26"/>
  <c r="FD42" i="26"/>
  <c r="FD44" i="26"/>
  <c r="FD45" i="26"/>
  <c r="FD46" i="26"/>
  <c r="FD47" i="26"/>
  <c r="FD19" i="26"/>
  <c r="FD20" i="26"/>
  <c r="FD21" i="26"/>
  <c r="FD22" i="26"/>
  <c r="AK61" i="4"/>
  <c r="AK46" i="4"/>
  <c r="AK22" i="4"/>
  <c r="AK22" i="5" s="1"/>
  <c r="AK16" i="4"/>
  <c r="AK16" i="5" s="1"/>
  <c r="BU21" i="22" s="1"/>
  <c r="AK14" i="4"/>
  <c r="AK14" i="5" s="1"/>
  <c r="BU19" i="22" s="1"/>
  <c r="AK12" i="4"/>
  <c r="AK12" i="5" s="1"/>
  <c r="BU17" i="22" s="1"/>
  <c r="AK10" i="4"/>
  <c r="AK15" i="4"/>
  <c r="AK15" i="5" s="1"/>
  <c r="BU20" i="22" s="1"/>
  <c r="AK13" i="4"/>
  <c r="AK13" i="5" s="1"/>
  <c r="BU18" i="22" s="1"/>
  <c r="AK11" i="4"/>
  <c r="AK11" i="5" s="1"/>
  <c r="BU16" i="22" s="1"/>
  <c r="AK136" i="4"/>
  <c r="AK173" i="4" s="1"/>
  <c r="AK369" i="5"/>
  <c r="AK376" i="5" s="1"/>
  <c r="AK386" i="5" s="1"/>
  <c r="AK85" i="5"/>
  <c r="BU15" i="19"/>
  <c r="AK73" i="4"/>
  <c r="FD55" i="26"/>
  <c r="FD56" i="26"/>
  <c r="FD57" i="26"/>
  <c r="FD16" i="26"/>
  <c r="FD29" i="26"/>
  <c r="FD54" i="26"/>
  <c r="K482" i="65"/>
  <c r="L482" i="65"/>
  <c r="J482" i="65"/>
  <c r="M482" i="65"/>
  <c r="G432" i="65"/>
  <c r="G429" i="65"/>
  <c r="BY291" i="5"/>
  <c r="BZ291" i="5" s="1"/>
  <c r="E438" i="65"/>
  <c r="E439" i="65"/>
  <c r="AK172" i="5" l="1"/>
  <c r="BU71" i="19"/>
  <c r="FB51" i="26"/>
  <c r="FB61" i="26" s="1"/>
  <c r="AG55" i="3"/>
  <c r="FC51" i="26"/>
  <c r="FC61" i="26" s="1"/>
  <c r="FC73" i="26" s="1"/>
  <c r="FD49" i="26"/>
  <c r="FD24" i="26"/>
  <c r="FD59" i="26"/>
  <c r="AK175" i="4"/>
  <c r="AK191" i="5"/>
  <c r="BU78" i="19" s="1"/>
  <c r="BU85" i="19" s="1"/>
  <c r="BU87" i="19" s="1"/>
  <c r="AK46" i="5"/>
  <c r="AK56" i="4"/>
  <c r="AK67" i="4"/>
  <c r="AK63" i="5"/>
  <c r="AK41" i="4"/>
  <c r="AK42" i="4" s="1"/>
  <c r="AK41" i="5"/>
  <c r="BU27" i="22"/>
  <c r="BU36" i="22" s="1"/>
  <c r="AK10" i="5"/>
  <c r="AK18" i="4"/>
  <c r="BU14" i="19"/>
  <c r="BU37" i="19" s="1"/>
  <c r="AK84" i="5"/>
  <c r="AK114" i="5"/>
  <c r="BU89" i="19" l="1"/>
  <c r="AG51" i="3"/>
  <c r="AG63" i="3"/>
  <c r="AK207" i="5"/>
  <c r="FD51" i="26"/>
  <c r="FD61" i="26" s="1"/>
  <c r="AK58" i="5"/>
  <c r="BU41" i="22"/>
  <c r="BU52" i="22" s="1"/>
  <c r="BU57" i="22"/>
  <c r="BU61" i="22" s="1"/>
  <c r="AK69" i="5"/>
  <c r="AK43" i="4"/>
  <c r="AK59" i="4" s="1"/>
  <c r="AK71" i="4" s="1"/>
  <c r="AK19" i="4"/>
  <c r="AK18" i="5"/>
  <c r="BU15" i="22"/>
  <c r="BU23" i="22" s="1"/>
  <c r="E357" i="65"/>
  <c r="E306" i="65"/>
  <c r="E308" i="65"/>
  <c r="G301" i="65"/>
  <c r="E90" i="65"/>
  <c r="E89" i="65"/>
  <c r="AK75" i="5" l="1"/>
  <c r="AK209" i="5"/>
  <c r="AK211" i="5" s="1"/>
  <c r="G310" i="65"/>
  <c r="G400" i="65"/>
  <c r="AK19" i="5"/>
  <c r="AK43" i="5"/>
  <c r="AK61" i="5" s="1"/>
  <c r="AK73" i="5" s="1"/>
  <c r="AK177" i="4"/>
  <c r="AK178" i="4" s="1"/>
  <c r="AK75" i="4"/>
  <c r="AG59" i="3"/>
  <c r="BU38" i="22"/>
  <c r="BU55" i="22" s="1"/>
  <c r="BU65" i="22" s="1"/>
  <c r="AK77" i="5" l="1"/>
  <c r="BU90" i="19"/>
  <c r="AK216" i="5"/>
  <c r="AK180" i="4"/>
  <c r="AK182" i="4" s="1"/>
  <c r="AK213" i="5"/>
  <c r="AK214" i="5" s="1"/>
  <c r="AK387" i="5"/>
  <c r="E100" i="65"/>
  <c r="E99" i="65"/>
  <c r="E95" i="65"/>
  <c r="E94" i="65"/>
  <c r="E51" i="65"/>
  <c r="E50" i="65"/>
  <c r="E46" i="65"/>
  <c r="E44" i="65"/>
  <c r="E42" i="65"/>
  <c r="E41" i="65"/>
  <c r="E38" i="65"/>
  <c r="E37" i="65"/>
  <c r="E36" i="65"/>
  <c r="E34" i="65"/>
  <c r="G48" i="65" l="1"/>
  <c r="G98" i="65"/>
  <c r="G54" i="65"/>
  <c r="G39" i="65"/>
  <c r="G93" i="65"/>
  <c r="B64" i="38"/>
  <c r="B34" i="38"/>
  <c r="B95" i="38"/>
  <c r="B97" i="38"/>
  <c r="C13" i="6"/>
  <c r="C59" i="6"/>
  <c r="B58" i="13"/>
  <c r="B51" i="38"/>
  <c r="B14" i="38"/>
  <c r="BT70" i="19"/>
  <c r="AT70" i="19"/>
  <c r="AI70" i="19"/>
  <c r="DK70" i="19" s="1"/>
  <c r="X70" i="19"/>
  <c r="CT70" i="19" s="1"/>
  <c r="M70" i="19"/>
  <c r="CG70" i="19" s="1"/>
  <c r="BY351" i="5" l="1"/>
  <c r="BZ351" i="5" s="1"/>
  <c r="BY352" i="5"/>
  <c r="BZ352" i="5" s="1"/>
  <c r="BY355" i="5"/>
  <c r="BZ355" i="5" s="1"/>
  <c r="BY357" i="5"/>
  <c r="BZ357" i="5" s="1"/>
  <c r="BY358" i="5"/>
  <c r="BZ358" i="5" s="1"/>
  <c r="BY359" i="5"/>
  <c r="BZ359" i="5" s="1"/>
  <c r="BP351" i="5"/>
  <c r="BQ351" i="5" s="1"/>
  <c r="BP352" i="5"/>
  <c r="BQ352" i="5" s="1"/>
  <c r="BP353" i="5"/>
  <c r="BQ353" i="5" s="1"/>
  <c r="BP354" i="5"/>
  <c r="BQ354" i="5" s="1"/>
  <c r="BP355" i="5"/>
  <c r="BQ355" i="5" s="1"/>
  <c r="BP356" i="5"/>
  <c r="BQ356" i="5" s="1"/>
  <c r="BP357" i="5"/>
  <c r="BQ357" i="5" s="1"/>
  <c r="BP358" i="5"/>
  <c r="BQ358" i="5" s="1"/>
  <c r="BP350" i="5"/>
  <c r="BQ350" i="5" s="1"/>
  <c r="BF353" i="5"/>
  <c r="BG353" i="5" s="1"/>
  <c r="B32" i="9"/>
  <c r="L32" i="9" s="1"/>
  <c r="D32" i="9"/>
  <c r="B33" i="9"/>
  <c r="L33" i="9" s="1"/>
  <c r="L34" i="9"/>
  <c r="B63" i="9"/>
  <c r="L63" i="9" s="1"/>
  <c r="D63" i="9"/>
  <c r="F63" i="9"/>
  <c r="J63" i="9"/>
  <c r="N63" i="9"/>
  <c r="B64" i="9"/>
  <c r="L64" i="9" s="1"/>
  <c r="F64" i="9"/>
  <c r="J64" i="9"/>
  <c r="N64" i="9"/>
  <c r="L87" i="9"/>
  <c r="T87" i="9" s="1"/>
  <c r="B70" i="9"/>
  <c r="L70" i="9" s="1"/>
  <c r="D70" i="9"/>
  <c r="F70" i="9"/>
  <c r="J70" i="9"/>
  <c r="N70" i="9"/>
  <c r="B72" i="9"/>
  <c r="L72" i="9" s="1"/>
  <c r="D72" i="9"/>
  <c r="F72" i="9"/>
  <c r="J72" i="9"/>
  <c r="N72" i="9"/>
  <c r="B73" i="9"/>
  <c r="L73" i="9" s="1"/>
  <c r="D73" i="9"/>
  <c r="F73" i="9"/>
  <c r="J73" i="9"/>
  <c r="N73" i="9"/>
  <c r="AE74" i="9"/>
  <c r="B79" i="9"/>
  <c r="L79" i="9" s="1"/>
  <c r="B81" i="9"/>
  <c r="L81" i="9" s="1"/>
  <c r="B82" i="9"/>
  <c r="L82" i="9" s="1"/>
  <c r="L83" i="9"/>
  <c r="B84" i="9"/>
  <c r="L84" i="9" s="1"/>
  <c r="B86" i="9"/>
  <c r="L86" i="9" s="1"/>
  <c r="T32" i="9" l="1"/>
  <c r="AG32" i="9" s="1"/>
  <c r="D64" i="3"/>
  <c r="BY342" i="5"/>
  <c r="BZ342" i="5" s="1"/>
  <c r="BY353" i="5"/>
  <c r="T354" i="5"/>
  <c r="BZ353" i="5" l="1"/>
  <c r="CA353" i="5" s="1"/>
  <c r="J19" i="8" s="1"/>
  <c r="I406" i="5"/>
  <c r="I426" i="5"/>
  <c r="S18" i="70" l="1"/>
  <c r="U18" i="70" s="1"/>
  <c r="I423" i="5"/>
  <c r="BG335" i="5" l="1"/>
  <c r="BF317" i="5" l="1"/>
  <c r="BG317" i="5" s="1"/>
  <c r="BF308" i="5"/>
  <c r="BG308" i="5" s="1"/>
  <c r="BF309" i="5"/>
  <c r="BG309" i="5" s="1"/>
  <c r="BF310" i="5"/>
  <c r="BG310" i="5" s="1"/>
  <c r="BF311" i="5"/>
  <c r="BG311" i="5" s="1"/>
  <c r="BF312" i="5"/>
  <c r="BG312" i="5" s="1"/>
  <c r="BF313" i="5"/>
  <c r="BG313" i="5" s="1"/>
  <c r="BF237" i="5"/>
  <c r="BG237" i="5" s="1"/>
  <c r="BF238" i="5"/>
  <c r="BG238" i="5" s="1"/>
  <c r="BF239" i="5"/>
  <c r="BG239" i="5" s="1"/>
  <c r="BF240" i="5"/>
  <c r="BG240" i="5" s="1"/>
  <c r="BF241" i="5"/>
  <c r="BG241" i="5" s="1"/>
  <c r="BF242" i="5"/>
  <c r="BG242" i="5" s="1"/>
  <c r="BF243" i="5"/>
  <c r="BG243" i="5" s="1"/>
  <c r="BF244" i="5"/>
  <c r="BG244" i="5" s="1"/>
  <c r="BF245" i="5"/>
  <c r="BG245" i="5" s="1"/>
  <c r="BF246" i="5"/>
  <c r="BG246" i="5" s="1"/>
  <c r="BF247" i="5"/>
  <c r="BG247" i="5" s="1"/>
  <c r="BF248" i="5"/>
  <c r="BG248" i="5" s="1"/>
  <c r="BF249" i="5"/>
  <c r="BG249" i="5" s="1"/>
  <c r="BF250" i="5"/>
  <c r="BG250" i="5" s="1"/>
  <c r="BF251" i="5"/>
  <c r="BG251" i="5" s="1"/>
  <c r="BF252" i="5"/>
  <c r="BG252" i="5" s="1"/>
  <c r="BF253" i="5"/>
  <c r="BG253" i="5" s="1"/>
  <c r="V213" i="65" l="1"/>
  <c r="U213" i="65"/>
  <c r="N231" i="65" s="1"/>
  <c r="T213" i="65"/>
  <c r="N226" i="65" s="1"/>
  <c r="R213" i="65"/>
  <c r="N216" i="65" s="1"/>
  <c r="E18" i="12"/>
  <c r="C210" i="64"/>
  <c r="C208" i="64"/>
  <c r="C206" i="64"/>
  <c r="C204" i="64"/>
  <c r="C202" i="64"/>
  <c r="C200" i="64"/>
  <c r="C198" i="64"/>
  <c r="F196" i="64"/>
  <c r="E196" i="64"/>
  <c r="D196" i="64"/>
  <c r="F195" i="64"/>
  <c r="E195" i="64"/>
  <c r="D195" i="64"/>
  <c r="N194" i="64"/>
  <c r="F194" i="64"/>
  <c r="M194" i="64" s="1"/>
  <c r="E194" i="64"/>
  <c r="D194" i="64"/>
  <c r="F193" i="64"/>
  <c r="E193" i="64"/>
  <c r="D193" i="64"/>
  <c r="F186" i="64"/>
  <c r="E186" i="64"/>
  <c r="D186" i="64"/>
  <c r="F184" i="64"/>
  <c r="M184" i="64" s="1"/>
  <c r="E184" i="64"/>
  <c r="D184" i="64"/>
  <c r="F179" i="64"/>
  <c r="E179" i="64"/>
  <c r="D179" i="64"/>
  <c r="F178" i="64"/>
  <c r="E178" i="64"/>
  <c r="D178" i="64"/>
  <c r="F172" i="64"/>
  <c r="E172" i="64"/>
  <c r="D172" i="64"/>
  <c r="F171" i="64"/>
  <c r="E171" i="64"/>
  <c r="D171" i="64"/>
  <c r="F169" i="64"/>
  <c r="E169" i="64"/>
  <c r="D169" i="64"/>
  <c r="F168" i="64"/>
  <c r="E168" i="64"/>
  <c r="D168" i="64"/>
  <c r="F162" i="64"/>
  <c r="E162" i="64"/>
  <c r="D162" i="64"/>
  <c r="F161" i="64"/>
  <c r="E161" i="64"/>
  <c r="D161" i="64"/>
  <c r="C151" i="64"/>
  <c r="C150" i="64"/>
  <c r="C149" i="64"/>
  <c r="F144" i="64"/>
  <c r="E144" i="64"/>
  <c r="D144" i="64"/>
  <c r="F143" i="64"/>
  <c r="E143" i="64"/>
  <c r="D143" i="64"/>
  <c r="F141" i="64"/>
  <c r="E141" i="64"/>
  <c r="D141" i="64"/>
  <c r="F140" i="64"/>
  <c r="E140" i="64"/>
  <c r="D140" i="64"/>
  <c r="F138" i="64"/>
  <c r="E138" i="64"/>
  <c r="D138" i="64"/>
  <c r="F137" i="64"/>
  <c r="E137" i="64"/>
  <c r="D137" i="64"/>
  <c r="F135" i="64"/>
  <c r="E135" i="64"/>
  <c r="D135" i="64"/>
  <c r="F134" i="64"/>
  <c r="E134" i="64"/>
  <c r="D134" i="64"/>
  <c r="F128" i="64"/>
  <c r="E128" i="64"/>
  <c r="D128" i="64"/>
  <c r="F127" i="64"/>
  <c r="E127" i="64"/>
  <c r="D127" i="64"/>
  <c r="F125" i="64"/>
  <c r="E125" i="64"/>
  <c r="D125" i="64"/>
  <c r="F124" i="64"/>
  <c r="E124" i="64"/>
  <c r="D124" i="64"/>
  <c r="F118" i="64"/>
  <c r="E118" i="64"/>
  <c r="D118" i="64"/>
  <c r="F117" i="64"/>
  <c r="E117" i="64"/>
  <c r="D117" i="64"/>
  <c r="F115" i="64"/>
  <c r="E115" i="64"/>
  <c r="D115" i="64"/>
  <c r="F114" i="64"/>
  <c r="E114" i="64"/>
  <c r="D114" i="64"/>
  <c r="F112" i="64"/>
  <c r="E112" i="64"/>
  <c r="D112" i="64"/>
  <c r="F111" i="64"/>
  <c r="E111" i="64"/>
  <c r="D111" i="64"/>
  <c r="F109" i="64"/>
  <c r="E109" i="64"/>
  <c r="D109" i="64"/>
  <c r="F108" i="64"/>
  <c r="E108" i="64"/>
  <c r="D108" i="64"/>
  <c r="F106" i="64"/>
  <c r="E106" i="64"/>
  <c r="D106" i="64"/>
  <c r="F105" i="64"/>
  <c r="E105" i="64"/>
  <c r="D105" i="64"/>
  <c r="F103" i="64"/>
  <c r="E103" i="64"/>
  <c r="D103" i="64"/>
  <c r="F102" i="64"/>
  <c r="E102" i="64"/>
  <c r="D102" i="64"/>
  <c r="F100" i="64"/>
  <c r="E100" i="64"/>
  <c r="D100" i="64"/>
  <c r="F99" i="64"/>
  <c r="E99" i="64"/>
  <c r="D99" i="64"/>
  <c r="F97" i="64"/>
  <c r="E97" i="64"/>
  <c r="D97" i="64"/>
  <c r="F96" i="64"/>
  <c r="E96" i="64"/>
  <c r="D96" i="64"/>
  <c r="F94" i="64"/>
  <c r="E94" i="64"/>
  <c r="D94" i="64"/>
  <c r="F93" i="64"/>
  <c r="E93" i="64"/>
  <c r="D93" i="64"/>
  <c r="F91" i="64"/>
  <c r="E91" i="64"/>
  <c r="D91" i="64"/>
  <c r="F90" i="64"/>
  <c r="E90" i="64"/>
  <c r="D90" i="64"/>
  <c r="C79" i="64"/>
  <c r="C78" i="64"/>
  <c r="C77" i="64"/>
  <c r="C74" i="64"/>
  <c r="E71" i="64"/>
  <c r="F67" i="64"/>
  <c r="E67" i="64"/>
  <c r="D67" i="64"/>
  <c r="F66" i="64"/>
  <c r="E66" i="64"/>
  <c r="D66" i="64"/>
  <c r="F60" i="64"/>
  <c r="E60" i="64"/>
  <c r="D60" i="64"/>
  <c r="F58" i="64"/>
  <c r="E58" i="64"/>
  <c r="D58" i="64"/>
  <c r="F57" i="64"/>
  <c r="E57" i="64"/>
  <c r="D57" i="64"/>
  <c r="F56" i="64"/>
  <c r="E56" i="64"/>
  <c r="D56" i="64"/>
  <c r="F55" i="64"/>
  <c r="E55" i="64"/>
  <c r="D55" i="64"/>
  <c r="F54" i="64"/>
  <c r="E54" i="64"/>
  <c r="D54" i="64"/>
  <c r="F53" i="64"/>
  <c r="E53" i="64"/>
  <c r="D53" i="64"/>
  <c r="F52" i="64"/>
  <c r="E52" i="64"/>
  <c r="D52" i="64"/>
  <c r="F51" i="64"/>
  <c r="E51" i="64"/>
  <c r="D51" i="64"/>
  <c r="E50" i="64"/>
  <c r="D50" i="64"/>
  <c r="F44" i="64"/>
  <c r="E44" i="64"/>
  <c r="D44" i="64"/>
  <c r="F43" i="64"/>
  <c r="E43" i="64"/>
  <c r="D43" i="64"/>
  <c r="F42" i="64"/>
  <c r="E42" i="64"/>
  <c r="D42" i="64"/>
  <c r="E41" i="64"/>
  <c r="D41" i="64"/>
  <c r="F39" i="64"/>
  <c r="E39" i="64"/>
  <c r="D39" i="64"/>
  <c r="F38" i="64"/>
  <c r="E38" i="64"/>
  <c r="D38" i="64"/>
  <c r="F36" i="64"/>
  <c r="E36" i="64"/>
  <c r="D36" i="64"/>
  <c r="F35" i="64"/>
  <c r="E35" i="64"/>
  <c r="D35" i="64"/>
  <c r="F34" i="64"/>
  <c r="E34" i="64"/>
  <c r="D34" i="64"/>
  <c r="F32" i="64"/>
  <c r="E32" i="64"/>
  <c r="D32" i="64"/>
  <c r="F31" i="64"/>
  <c r="E31" i="64"/>
  <c r="D31" i="64"/>
  <c r="F25" i="64"/>
  <c r="E25" i="64"/>
  <c r="D25" i="64"/>
  <c r="F24" i="64"/>
  <c r="E24" i="64"/>
  <c r="D24" i="64"/>
  <c r="F23" i="64"/>
  <c r="E23" i="64"/>
  <c r="D23" i="64"/>
  <c r="F18" i="64"/>
  <c r="E18" i="64"/>
  <c r="D18" i="64"/>
  <c r="F17" i="64"/>
  <c r="E17" i="64"/>
  <c r="D17" i="64"/>
  <c r="F16" i="64"/>
  <c r="E16" i="64"/>
  <c r="C6" i="64"/>
  <c r="C152" i="64" s="1"/>
  <c r="N236" i="65" l="1"/>
  <c r="E236" i="65" s="1"/>
  <c r="G239" i="65" s="1"/>
  <c r="D20" i="64"/>
  <c r="F20" i="64"/>
  <c r="G25" i="64"/>
  <c r="H169" i="64"/>
  <c r="E20" i="64"/>
  <c r="E231" i="65"/>
  <c r="G234" i="65" s="1"/>
  <c r="L112" i="64"/>
  <c r="H114" i="64"/>
  <c r="L138" i="64"/>
  <c r="L141" i="64"/>
  <c r="L144" i="64"/>
  <c r="D164" i="64"/>
  <c r="F164" i="64"/>
  <c r="H162" i="64"/>
  <c r="D174" i="64"/>
  <c r="F174" i="64"/>
  <c r="K172" i="64"/>
  <c r="M172" i="64"/>
  <c r="H172" i="64"/>
  <c r="D181" i="64"/>
  <c r="F181" i="64"/>
  <c r="H179" i="64"/>
  <c r="H186" i="64"/>
  <c r="D198" i="64"/>
  <c r="F198" i="64"/>
  <c r="H18" i="64"/>
  <c r="E27" i="64"/>
  <c r="D46" i="64"/>
  <c r="F46" i="64"/>
  <c r="H34" i="64"/>
  <c r="H36" i="64"/>
  <c r="E62" i="64"/>
  <c r="H39" i="64"/>
  <c r="H42" i="64"/>
  <c r="H44" i="64"/>
  <c r="H52" i="64"/>
  <c r="H54" i="64"/>
  <c r="H56" i="64"/>
  <c r="H58" i="64"/>
  <c r="E69" i="64"/>
  <c r="H67" i="64"/>
  <c r="H71" i="64"/>
  <c r="D120" i="64"/>
  <c r="F120" i="64"/>
  <c r="H91" i="64"/>
  <c r="K94" i="64"/>
  <c r="K95" i="64" s="1"/>
  <c r="M94" i="64"/>
  <c r="M95" i="64" s="1"/>
  <c r="H94" i="64"/>
  <c r="K97" i="64"/>
  <c r="M97" i="64"/>
  <c r="H97" i="64"/>
  <c r="K100" i="64"/>
  <c r="K101" i="64" s="1"/>
  <c r="M100" i="64"/>
  <c r="M101" i="64" s="1"/>
  <c r="H100" i="64"/>
  <c r="M103" i="64"/>
  <c r="K106" i="64"/>
  <c r="K107" i="64" s="1"/>
  <c r="M106" i="64"/>
  <c r="M107" i="64" s="1"/>
  <c r="H106" i="64"/>
  <c r="H109" i="64"/>
  <c r="K112" i="64"/>
  <c r="K113" i="64" s="1"/>
  <c r="M112" i="64"/>
  <c r="M113" i="64" s="1"/>
  <c r="H112" i="64"/>
  <c r="H115" i="64"/>
  <c r="H60" i="64"/>
  <c r="G56" i="64"/>
  <c r="G67" i="64"/>
  <c r="D27" i="64"/>
  <c r="F27" i="64"/>
  <c r="E46" i="64"/>
  <c r="L100" i="64"/>
  <c r="H102" i="64"/>
  <c r="L106" i="64"/>
  <c r="L107" i="64" s="1"/>
  <c r="H196" i="64"/>
  <c r="D130" i="64"/>
  <c r="F130" i="64"/>
  <c r="H125" i="64"/>
  <c r="K128" i="64"/>
  <c r="K129" i="64" s="1"/>
  <c r="M128" i="64"/>
  <c r="M129" i="64" s="1"/>
  <c r="H128" i="64"/>
  <c r="D146" i="64"/>
  <c r="F146" i="64"/>
  <c r="H135" i="64"/>
  <c r="K138" i="64"/>
  <c r="K139" i="64" s="1"/>
  <c r="M138" i="64"/>
  <c r="M139" i="64" s="1"/>
  <c r="H138" i="64"/>
  <c r="K141" i="64"/>
  <c r="M141" i="64"/>
  <c r="H141" i="64"/>
  <c r="K144" i="64"/>
  <c r="K145" i="64" s="1"/>
  <c r="M144" i="64"/>
  <c r="M145" i="64" s="1"/>
  <c r="H24" i="64"/>
  <c r="H25" i="64"/>
  <c r="H32" i="64"/>
  <c r="H35" i="64"/>
  <c r="H38" i="64"/>
  <c r="H41" i="64"/>
  <c r="H43" i="64"/>
  <c r="D62" i="64"/>
  <c r="F62" i="64"/>
  <c r="H51" i="64"/>
  <c r="H53" i="64"/>
  <c r="H55" i="64"/>
  <c r="H57" i="64"/>
  <c r="D69" i="64"/>
  <c r="F69" i="64"/>
  <c r="H72" i="64"/>
  <c r="E120" i="64"/>
  <c r="L94" i="64"/>
  <c r="L97" i="64"/>
  <c r="K103" i="64"/>
  <c r="H108" i="64"/>
  <c r="L117" i="64"/>
  <c r="K118" i="64"/>
  <c r="K119" i="64" s="1"/>
  <c r="K120" i="64" s="1"/>
  <c r="M118" i="64"/>
  <c r="M119" i="64" s="1"/>
  <c r="M120" i="64" s="1"/>
  <c r="E130" i="64"/>
  <c r="L128" i="64"/>
  <c r="E146" i="64"/>
  <c r="H17" i="64"/>
  <c r="L103" i="64"/>
  <c r="K117" i="64"/>
  <c r="M117" i="64"/>
  <c r="L118" i="64"/>
  <c r="H144" i="64"/>
  <c r="L162" i="64"/>
  <c r="E174" i="64"/>
  <c r="L172" i="64"/>
  <c r="E181" i="64"/>
  <c r="H184" i="64"/>
  <c r="E198" i="64"/>
  <c r="H195" i="64"/>
  <c r="H16" i="64"/>
  <c r="H31" i="64"/>
  <c r="H66" i="64"/>
  <c r="K91" i="64"/>
  <c r="K92" i="64" s="1"/>
  <c r="M91" i="64"/>
  <c r="M92" i="64" s="1"/>
  <c r="H93" i="64"/>
  <c r="H99" i="64"/>
  <c r="H105" i="64"/>
  <c r="H111" i="64"/>
  <c r="H118" i="64"/>
  <c r="K125" i="64"/>
  <c r="M125" i="64"/>
  <c r="H127" i="64"/>
  <c r="K135" i="64"/>
  <c r="K136" i="64" s="1"/>
  <c r="M135" i="64"/>
  <c r="M136" i="64" s="1"/>
  <c r="H137" i="64"/>
  <c r="H143" i="64"/>
  <c r="K162" i="64"/>
  <c r="K163" i="64" s="1"/>
  <c r="M162" i="64"/>
  <c r="M163" i="64" s="1"/>
  <c r="E164" i="64"/>
  <c r="H168" i="64"/>
  <c r="L169" i="64"/>
  <c r="H178" i="64"/>
  <c r="H193" i="64"/>
  <c r="H194" i="64"/>
  <c r="H23" i="64"/>
  <c r="H50" i="64"/>
  <c r="C80" i="64"/>
  <c r="H90" i="64"/>
  <c r="L91" i="64"/>
  <c r="H96" i="64"/>
  <c r="H103" i="64"/>
  <c r="H117" i="64"/>
  <c r="H124" i="64"/>
  <c r="L125" i="64"/>
  <c r="H134" i="64"/>
  <c r="L135" i="64"/>
  <c r="H140" i="64"/>
  <c r="H161" i="64"/>
  <c r="K169" i="64"/>
  <c r="K170" i="64" s="1"/>
  <c r="M169" i="64"/>
  <c r="M170" i="64" s="1"/>
  <c r="H171" i="64"/>
  <c r="H146" i="64" l="1"/>
  <c r="H130" i="64"/>
  <c r="H164" i="64"/>
  <c r="H181" i="64"/>
  <c r="H174" i="64"/>
  <c r="H120" i="64"/>
  <c r="D74" i="64"/>
  <c r="K74" i="64" s="1"/>
  <c r="H62" i="64"/>
  <c r="L62" i="64" s="1"/>
  <c r="H69" i="64"/>
  <c r="H20" i="64"/>
  <c r="L20" i="64" s="1"/>
  <c r="F74" i="64"/>
  <c r="F212" i="64" s="1"/>
  <c r="E74" i="64"/>
  <c r="L74" i="64" s="1"/>
  <c r="H27" i="64"/>
  <c r="L27" i="64" s="1"/>
  <c r="H46" i="64"/>
  <c r="L46" i="64" s="1"/>
  <c r="F188" i="64"/>
  <c r="F213" i="64" s="1"/>
  <c r="D188" i="64"/>
  <c r="K188" i="64" s="1"/>
  <c r="H198" i="64"/>
  <c r="E188" i="64"/>
  <c r="L188" i="64" s="1"/>
  <c r="M74" i="64" l="1"/>
  <c r="H188" i="64"/>
  <c r="H74" i="64"/>
  <c r="M188" i="64"/>
  <c r="F190" i="64"/>
  <c r="F200" i="64" s="1"/>
  <c r="D190" i="64"/>
  <c r="D200" i="64" s="1"/>
  <c r="E190" i="64"/>
  <c r="E200" i="64" l="1"/>
  <c r="H190" i="64"/>
  <c r="H200" i="64" s="1"/>
  <c r="O113" i="31" l="1"/>
  <c r="J119" i="15" s="1"/>
  <c r="L119" i="15" s="1"/>
  <c r="H65" i="31"/>
  <c r="K65" i="31"/>
  <c r="C46" i="28"/>
  <c r="D46" i="28"/>
  <c r="G46" i="28"/>
  <c r="H46" i="28"/>
  <c r="BT28" i="4"/>
  <c r="P46" i="28"/>
  <c r="Q46" i="28"/>
  <c r="Y46" i="28"/>
  <c r="Z46" i="28"/>
  <c r="C47" i="28"/>
  <c r="D47" i="28"/>
  <c r="G47" i="28"/>
  <c r="H47" i="28"/>
  <c r="BS29" i="4" s="1"/>
  <c r="P47" i="28"/>
  <c r="Q47" i="28"/>
  <c r="BU29" i="4" s="1"/>
  <c r="Y47" i="28"/>
  <c r="Z47" i="28"/>
  <c r="BW29" i="4" s="1"/>
  <c r="C45" i="28"/>
  <c r="D45" i="28"/>
  <c r="G45" i="28"/>
  <c r="H45" i="28"/>
  <c r="P45" i="28"/>
  <c r="Q45" i="28"/>
  <c r="Y45" i="28"/>
  <c r="Z45" i="28"/>
  <c r="C38" i="28"/>
  <c r="D38" i="28"/>
  <c r="G38" i="28"/>
  <c r="H38" i="28"/>
  <c r="P38" i="28"/>
  <c r="Q38" i="28"/>
  <c r="Y38" i="28"/>
  <c r="Z38" i="28"/>
  <c r="C39" i="28"/>
  <c r="D39" i="28"/>
  <c r="G39" i="28"/>
  <c r="H39" i="28"/>
  <c r="P39" i="28"/>
  <c r="Q39" i="28"/>
  <c r="Y39" i="28"/>
  <c r="Z39" i="28"/>
  <c r="C41" i="28"/>
  <c r="D41" i="28"/>
  <c r="G41" i="28"/>
  <c r="H41" i="28"/>
  <c r="P41" i="28"/>
  <c r="Q41" i="28"/>
  <c r="Y41" i="28"/>
  <c r="Z41" i="28"/>
  <c r="C42" i="28"/>
  <c r="D42" i="28"/>
  <c r="G42" i="28"/>
  <c r="H42" i="28"/>
  <c r="P42" i="28"/>
  <c r="Q42" i="28"/>
  <c r="Y42" i="28"/>
  <c r="Z42" i="28"/>
  <c r="C44" i="28"/>
  <c r="D44" i="28"/>
  <c r="G44" i="28"/>
  <c r="H44" i="28"/>
  <c r="BT27" i="4"/>
  <c r="P44" i="28"/>
  <c r="Q44" i="28"/>
  <c r="Y44" i="28"/>
  <c r="Z44" i="28"/>
  <c r="BT89" i="5"/>
  <c r="AI39" i="28" l="1"/>
  <c r="AI38" i="28"/>
  <c r="AH39" i="28"/>
  <c r="AH38" i="28"/>
  <c r="AA38" i="28"/>
  <c r="R45" i="28"/>
  <c r="R39" i="28"/>
  <c r="BR27" i="4"/>
  <c r="AI44" i="28"/>
  <c r="AH44" i="28"/>
  <c r="AI42" i="28"/>
  <c r="AH42" i="28"/>
  <c r="AI41" i="28"/>
  <c r="AH41" i="28"/>
  <c r="AI45" i="28"/>
  <c r="AH45" i="28"/>
  <c r="AI47" i="28"/>
  <c r="AH47" i="28"/>
  <c r="BR28" i="4"/>
  <c r="AI46" i="28"/>
  <c r="AH46" i="28"/>
  <c r="E45" i="28"/>
  <c r="I47" i="28"/>
  <c r="I42" i="28"/>
  <c r="R46" i="28"/>
  <c r="AA42" i="28"/>
  <c r="R42" i="28"/>
  <c r="R41" i="28"/>
  <c r="E38" i="28"/>
  <c r="AA47" i="28"/>
  <c r="R44" i="28"/>
  <c r="BT26" i="4"/>
  <c r="BR26" i="4"/>
  <c r="E39" i="28"/>
  <c r="BW25" i="4"/>
  <c r="BU25" i="4"/>
  <c r="I38" i="28"/>
  <c r="AA45" i="28"/>
  <c r="BR25" i="4"/>
  <c r="BR25" i="5" s="1"/>
  <c r="AA44" i="28"/>
  <c r="I44" i="28"/>
  <c r="E44" i="28"/>
  <c r="E42" i="28"/>
  <c r="AA41" i="28"/>
  <c r="I41" i="28"/>
  <c r="E41" i="28"/>
  <c r="AA39" i="28"/>
  <c r="I39" i="28"/>
  <c r="R38" i="28"/>
  <c r="I45" i="28"/>
  <c r="R47" i="28"/>
  <c r="E47" i="28"/>
  <c r="AA46" i="28"/>
  <c r="I46" i="28"/>
  <c r="E46" i="28"/>
  <c r="BS27" i="4"/>
  <c r="BS25" i="4"/>
  <c r="BU27" i="4"/>
  <c r="BW27" i="4"/>
  <c r="BR29" i="4"/>
  <c r="BS28" i="4"/>
  <c r="BS26" i="4"/>
  <c r="BT29" i="4"/>
  <c r="BT25" i="4"/>
  <c r="BU28" i="4"/>
  <c r="BU26" i="4"/>
  <c r="BW28" i="4"/>
  <c r="BW26" i="4"/>
  <c r="AJ47" i="28" l="1"/>
  <c r="AJ38" i="28"/>
  <c r="AJ44" i="28"/>
  <c r="AJ46" i="28"/>
  <c r="AJ45" i="28"/>
  <c r="AJ39" i="28"/>
  <c r="AJ41" i="28"/>
  <c r="AJ42" i="28"/>
  <c r="F35" i="11"/>
  <c r="BF283" i="5" l="1"/>
  <c r="BG283" i="5" l="1"/>
  <c r="B28" i="66" s="1"/>
  <c r="BF280" i="5"/>
  <c r="C108" i="38"/>
  <c r="C109" i="38"/>
  <c r="D32" i="38" s="1"/>
  <c r="O59" i="39" l="1"/>
  <c r="D28" i="39"/>
  <c r="D25" i="39"/>
  <c r="B36" i="39" l="1"/>
  <c r="B37" i="39"/>
  <c r="W37" i="39"/>
  <c r="Y37" i="39" s="1"/>
  <c r="X44" i="39"/>
  <c r="Z44" i="39"/>
  <c r="AA44" i="39"/>
  <c r="AB44" i="39"/>
  <c r="J49" i="39" l="1"/>
  <c r="W44" i="39"/>
  <c r="AD37" i="39"/>
  <c r="Y44" i="39"/>
  <c r="AD44" i="39" l="1"/>
  <c r="N12" i="50" l="1"/>
  <c r="F15" i="35" s="1"/>
  <c r="N11" i="50"/>
  <c r="DU85" i="5" s="1"/>
  <c r="DU84" i="5" s="1"/>
  <c r="B17" i="50"/>
  <c r="F13" i="50"/>
  <c r="I13" i="50"/>
  <c r="J13" i="50"/>
  <c r="L13" i="50"/>
  <c r="B13" i="50"/>
  <c r="F14" i="35" l="1"/>
  <c r="F20" i="16"/>
  <c r="B19" i="50"/>
  <c r="C38" i="51" s="1"/>
  <c r="C19" i="51"/>
  <c r="C25" i="51"/>
  <c r="F47" i="35" l="1"/>
  <c r="F16" i="16"/>
  <c r="DR86" i="5"/>
  <c r="DU114" i="5"/>
  <c r="DU185" i="5" s="1"/>
  <c r="DU207" i="5" s="1"/>
  <c r="C3" i="67"/>
  <c r="G125" i="6"/>
  <c r="K15" i="35" l="1"/>
  <c r="D15" i="35" s="1"/>
  <c r="DW86" i="5"/>
  <c r="DX86" i="5" s="1"/>
  <c r="DR85" i="5"/>
  <c r="K14" i="35" s="1"/>
  <c r="DU209" i="5"/>
  <c r="DU211" i="5" s="1"/>
  <c r="L83" i="4"/>
  <c r="L86" i="5" s="1"/>
  <c r="L84" i="4"/>
  <c r="L86" i="4"/>
  <c r="L334" i="5" s="1"/>
  <c r="L87" i="4"/>
  <c r="L88" i="4"/>
  <c r="L92" i="4"/>
  <c r="L93" i="4"/>
  <c r="L94" i="4"/>
  <c r="L98" i="4"/>
  <c r="L99" i="4"/>
  <c r="L100" i="4"/>
  <c r="L101" i="4"/>
  <c r="L102" i="4"/>
  <c r="L103" i="4"/>
  <c r="L104" i="4"/>
  <c r="L105" i="4"/>
  <c r="L106" i="4"/>
  <c r="L108" i="4"/>
  <c r="L109" i="4"/>
  <c r="L111" i="4"/>
  <c r="L117" i="4"/>
  <c r="L118" i="4"/>
  <c r="L119" i="4"/>
  <c r="L120" i="4"/>
  <c r="L135" i="5" s="1"/>
  <c r="R49" i="19" s="1"/>
  <c r="L121" i="4"/>
  <c r="L122" i="4"/>
  <c r="L123" i="4"/>
  <c r="L124" i="4"/>
  <c r="L125" i="4"/>
  <c r="L126" i="4"/>
  <c r="L127" i="4"/>
  <c r="L128" i="4"/>
  <c r="L130" i="4"/>
  <c r="L131" i="4"/>
  <c r="L132" i="4"/>
  <c r="L133" i="4"/>
  <c r="L134" i="4"/>
  <c r="L171" i="4"/>
  <c r="L73" i="4" s="1"/>
  <c r="L66" i="5"/>
  <c r="R59" i="22" s="1"/>
  <c r="L71" i="5"/>
  <c r="R63" i="22" s="1"/>
  <c r="L89" i="5"/>
  <c r="R18" i="19" s="1"/>
  <c r="L92" i="5"/>
  <c r="R21" i="19" s="1"/>
  <c r="L93" i="5"/>
  <c r="R22" i="19" s="1"/>
  <c r="L94" i="5"/>
  <c r="R23" i="19" s="1"/>
  <c r="L100" i="5"/>
  <c r="R28" i="19" s="1"/>
  <c r="L193" i="5"/>
  <c r="R80" i="19" s="1"/>
  <c r="L232" i="5"/>
  <c r="L254" i="5"/>
  <c r="L258" i="5"/>
  <c r="R57" i="22"/>
  <c r="L292" i="5"/>
  <c r="L314" i="5"/>
  <c r="L318" i="5"/>
  <c r="L361" i="5"/>
  <c r="L189" i="5" s="1"/>
  <c r="R76" i="19" s="1"/>
  <c r="L382" i="5"/>
  <c r="L192" i="5" s="1"/>
  <c r="R79" i="19" s="1"/>
  <c r="R10" i="19"/>
  <c r="R11" i="19"/>
  <c r="R12" i="19"/>
  <c r="R19" i="19"/>
  <c r="R26" i="19"/>
  <c r="R27" i="19"/>
  <c r="R29" i="19"/>
  <c r="R30" i="19"/>
  <c r="R31" i="19"/>
  <c r="R32" i="19"/>
  <c r="R33" i="19"/>
  <c r="R47" i="19"/>
  <c r="R48" i="19"/>
  <c r="R53" i="19"/>
  <c r="R55" i="19"/>
  <c r="R56" i="19"/>
  <c r="R58" i="19"/>
  <c r="R59" i="19"/>
  <c r="R61" i="19"/>
  <c r="R62" i="19"/>
  <c r="R63" i="19"/>
  <c r="R64" i="19"/>
  <c r="R11" i="22"/>
  <c r="R12" i="22"/>
  <c r="R13" i="22"/>
  <c r="R27" i="22"/>
  <c r="R28" i="22"/>
  <c r="R29" i="22"/>
  <c r="R31" i="22"/>
  <c r="R32" i="22"/>
  <c r="R45" i="22"/>
  <c r="R46" i="22"/>
  <c r="R47" i="22"/>
  <c r="R49" i="22"/>
  <c r="AM63" i="26"/>
  <c r="AM69" i="26" s="1"/>
  <c r="AM57" i="26"/>
  <c r="L49" i="4" s="1"/>
  <c r="AL57" i="26"/>
  <c r="AM56" i="26"/>
  <c r="L48" i="4" s="1"/>
  <c r="AL56" i="26"/>
  <c r="AM55" i="26"/>
  <c r="L47" i="4" s="1"/>
  <c r="AL55" i="26"/>
  <c r="AM54" i="26"/>
  <c r="AL54" i="26"/>
  <c r="AM47" i="26"/>
  <c r="L29" i="4" s="1"/>
  <c r="AL47" i="26"/>
  <c r="AM46" i="26"/>
  <c r="L28" i="4" s="1"/>
  <c r="AL46" i="26"/>
  <c r="AM45" i="26"/>
  <c r="AL45" i="26"/>
  <c r="AM44" i="26"/>
  <c r="AL44" i="26"/>
  <c r="AM42" i="26"/>
  <c r="AL42" i="26"/>
  <c r="AM41" i="26"/>
  <c r="AL41" i="26"/>
  <c r="AM39" i="26"/>
  <c r="AL39" i="26"/>
  <c r="AM38" i="26"/>
  <c r="AL38" i="26"/>
  <c r="AM36" i="26"/>
  <c r="AL36" i="26"/>
  <c r="AM35" i="26"/>
  <c r="AL35" i="26"/>
  <c r="AM33" i="26"/>
  <c r="AL33" i="26"/>
  <c r="AM32" i="26"/>
  <c r="AL32" i="26"/>
  <c r="AM30" i="26"/>
  <c r="AL30" i="26"/>
  <c r="AM29" i="26"/>
  <c r="AL29" i="26"/>
  <c r="AM22" i="26"/>
  <c r="L16" i="4" s="1"/>
  <c r="AL22" i="26"/>
  <c r="AM21" i="26"/>
  <c r="AL21" i="26"/>
  <c r="AM20" i="26"/>
  <c r="AL20" i="26"/>
  <c r="AM19" i="26"/>
  <c r="AL19" i="26"/>
  <c r="AM18" i="26"/>
  <c r="AL18" i="26"/>
  <c r="AM17" i="26"/>
  <c r="AL17" i="26"/>
  <c r="AL16" i="26"/>
  <c r="D14" i="35" l="1"/>
  <c r="D18" i="16" s="1"/>
  <c r="T21" i="16"/>
  <c r="T22" i="16" s="1"/>
  <c r="K17" i="35"/>
  <c r="K29" i="35" s="1"/>
  <c r="K32" i="35" s="1"/>
  <c r="K34" i="35" s="1"/>
  <c r="K44" i="35" s="1"/>
  <c r="N17" i="16"/>
  <c r="DR84" i="5"/>
  <c r="L23" i="4"/>
  <c r="L25" i="4"/>
  <c r="L26" i="4"/>
  <c r="AL49" i="26"/>
  <c r="L341" i="5"/>
  <c r="L346" i="5" s="1"/>
  <c r="L188" i="5" s="1"/>
  <c r="R75" i="19" s="1"/>
  <c r="L132" i="5"/>
  <c r="R46" i="19" s="1"/>
  <c r="L88" i="5"/>
  <c r="R17" i="19" s="1"/>
  <c r="L157" i="5"/>
  <c r="L172" i="5" s="1"/>
  <c r="AM49" i="26"/>
  <c r="L24" i="4"/>
  <c r="AL24" i="26"/>
  <c r="AL59" i="26"/>
  <c r="L27" i="4"/>
  <c r="AM59" i="26"/>
  <c r="L136" i="4"/>
  <c r="L173" i="4" s="1"/>
  <c r="L112" i="4"/>
  <c r="AM24" i="26"/>
  <c r="AN56" i="26"/>
  <c r="L85" i="5"/>
  <c r="AN47" i="26"/>
  <c r="AN30" i="26"/>
  <c r="AN32" i="26"/>
  <c r="AN35" i="26"/>
  <c r="AN38" i="26"/>
  <c r="AN41" i="26"/>
  <c r="AN42" i="26"/>
  <c r="AN44" i="26"/>
  <c r="AN45" i="26"/>
  <c r="AN46" i="26"/>
  <c r="L271" i="5"/>
  <c r="AN33" i="26"/>
  <c r="AN36" i="26"/>
  <c r="AN39" i="26"/>
  <c r="AN17" i="26"/>
  <c r="AN18" i="26"/>
  <c r="AN19" i="26"/>
  <c r="AN20" i="26"/>
  <c r="AN21" i="26"/>
  <c r="L15" i="4"/>
  <c r="L13" i="4"/>
  <c r="L11" i="4"/>
  <c r="L61" i="4"/>
  <c r="L67" i="4" s="1"/>
  <c r="L46" i="4"/>
  <c r="L56" i="4" s="1"/>
  <c r="L22" i="4"/>
  <c r="L14" i="4"/>
  <c r="L12" i="4"/>
  <c r="L10" i="4"/>
  <c r="AN22" i="26"/>
  <c r="AN55" i="26"/>
  <c r="AN57" i="26"/>
  <c r="R61" i="22"/>
  <c r="L331" i="5"/>
  <c r="AN16" i="26"/>
  <c r="AN29" i="26"/>
  <c r="AN54" i="26"/>
  <c r="D47" i="35" l="1"/>
  <c r="D19" i="16"/>
  <c r="D16" i="16"/>
  <c r="L369" i="5"/>
  <c r="L376" i="5" s="1"/>
  <c r="L191" i="5" s="1"/>
  <c r="R78" i="19" s="1"/>
  <c r="R85" i="19" s="1"/>
  <c r="AM51" i="26"/>
  <c r="AM61" i="26" s="1"/>
  <c r="AM73" i="26" s="1"/>
  <c r="AL51" i="26"/>
  <c r="AL61" i="26" s="1"/>
  <c r="R71" i="19"/>
  <c r="L41" i="4"/>
  <c r="L42" i="4" s="1"/>
  <c r="AN49" i="26"/>
  <c r="L175" i="4"/>
  <c r="AN24" i="26"/>
  <c r="R15" i="19"/>
  <c r="L84" i="5"/>
  <c r="R14" i="19"/>
  <c r="L114" i="5"/>
  <c r="AN59" i="26"/>
  <c r="L18" i="4"/>
  <c r="L19" i="4" s="1"/>
  <c r="L63" i="5"/>
  <c r="L154" i="5"/>
  <c r="R68" i="19"/>
  <c r="CR83" i="4"/>
  <c r="CR86" i="5" s="1"/>
  <c r="F172" i="11"/>
  <c r="D15" i="4"/>
  <c r="D15" i="5" s="1"/>
  <c r="CQ46" i="5"/>
  <c r="CM47" i="5"/>
  <c r="CM54" i="5"/>
  <c r="CN54" i="5"/>
  <c r="CM31" i="5"/>
  <c r="CN31" i="5"/>
  <c r="CP31" i="5"/>
  <c r="CP34" i="5"/>
  <c r="CQ34" i="5"/>
  <c r="CP12" i="5"/>
  <c r="CN15" i="5"/>
  <c r="CQ15" i="5"/>
  <c r="CL54" i="5"/>
  <c r="CL31" i="5"/>
  <c r="CL15" i="5"/>
  <c r="CL14" i="5"/>
  <c r="E701" i="65" l="1"/>
  <c r="L386" i="5"/>
  <c r="D21" i="16"/>
  <c r="D27" i="16" s="1"/>
  <c r="L207" i="5"/>
  <c r="L209" i="5" s="1"/>
  <c r="L211" i="5" s="1"/>
  <c r="N22" i="16"/>
  <c r="N23" i="16" s="1"/>
  <c r="F21" i="16"/>
  <c r="R37" i="19"/>
  <c r="CQ41" i="4"/>
  <c r="CO41" i="4"/>
  <c r="CL41" i="4"/>
  <c r="CR41" i="4"/>
  <c r="CP41" i="4"/>
  <c r="CN41" i="4"/>
  <c r="AN61" i="26"/>
  <c r="AG15" i="3"/>
  <c r="R87" i="19"/>
  <c r="L69" i="5"/>
  <c r="L43" i="4"/>
  <c r="L59" i="4" s="1"/>
  <c r="L71" i="4" s="1"/>
  <c r="L75" i="4" s="1"/>
  <c r="E13" i="65"/>
  <c r="I20" i="40"/>
  <c r="BL83" i="4"/>
  <c r="BL86" i="5" s="1"/>
  <c r="BL84" i="4"/>
  <c r="BL86" i="4"/>
  <c r="BL334" i="5" s="1"/>
  <c r="BL87" i="4"/>
  <c r="BL88" i="4"/>
  <c r="BL92" i="4"/>
  <c r="BL92" i="5" s="1"/>
  <c r="L21" i="20" s="1"/>
  <c r="BL93" i="4"/>
  <c r="BL94" i="4"/>
  <c r="BL98" i="4"/>
  <c r="BL99" i="4"/>
  <c r="BL100" i="4"/>
  <c r="BL101" i="4"/>
  <c r="BL103" i="5" s="1"/>
  <c r="L31" i="20" s="1"/>
  <c r="BL102" i="4"/>
  <c r="BL103" i="4"/>
  <c r="BL104" i="4"/>
  <c r="BL105" i="4"/>
  <c r="BL106" i="4"/>
  <c r="BL108" i="4"/>
  <c r="BL109" i="4"/>
  <c r="BL110" i="4"/>
  <c r="BL111" i="4"/>
  <c r="BL117" i="4"/>
  <c r="BL118" i="4"/>
  <c r="BL119" i="4"/>
  <c r="BL120" i="4"/>
  <c r="BL135" i="5" s="1"/>
  <c r="L49" i="20" s="1"/>
  <c r="BL121" i="4"/>
  <c r="BL122" i="4"/>
  <c r="BL123" i="4"/>
  <c r="BL124" i="4"/>
  <c r="BL125" i="4"/>
  <c r="BL126" i="4"/>
  <c r="BL127" i="4"/>
  <c r="BL128" i="4"/>
  <c r="BL130" i="4"/>
  <c r="BL131" i="4"/>
  <c r="BL132" i="4"/>
  <c r="BL133" i="4"/>
  <c r="BL134" i="4"/>
  <c r="BL171" i="4"/>
  <c r="V16" i="27"/>
  <c r="V17" i="27"/>
  <c r="W17" i="27"/>
  <c r="BL11" i="4" s="1"/>
  <c r="V18" i="27"/>
  <c r="W18" i="27"/>
  <c r="V19" i="27"/>
  <c r="W19" i="27"/>
  <c r="V20" i="27"/>
  <c r="W20" i="27"/>
  <c r="V21" i="27"/>
  <c r="W21" i="27"/>
  <c r="V22" i="27"/>
  <c r="W22" i="27"/>
  <c r="BL16" i="4" s="1"/>
  <c r="V28" i="27"/>
  <c r="W28" i="27"/>
  <c r="BL22" i="4" s="1"/>
  <c r="V29" i="27"/>
  <c r="W29" i="27"/>
  <c r="V30" i="27"/>
  <c r="W30" i="27"/>
  <c r="BL24" i="4" s="1"/>
  <c r="V31" i="27"/>
  <c r="W31" i="27"/>
  <c r="V32" i="27"/>
  <c r="W32" i="27"/>
  <c r="V33" i="27"/>
  <c r="W33" i="27"/>
  <c r="BL27" i="4" s="1"/>
  <c r="V34" i="27"/>
  <c r="W34" i="27"/>
  <c r="BL28" i="4" s="1"/>
  <c r="V35" i="27"/>
  <c r="W35" i="27"/>
  <c r="V42" i="27"/>
  <c r="W42" i="27"/>
  <c r="V43" i="27"/>
  <c r="W43" i="27"/>
  <c r="BL47" i="4" s="1"/>
  <c r="V44" i="27"/>
  <c r="W44" i="27"/>
  <c r="V48" i="27"/>
  <c r="W48" i="27"/>
  <c r="W54" i="27"/>
  <c r="W60" i="27" s="1"/>
  <c r="L11" i="24"/>
  <c r="L12" i="24"/>
  <c r="L13" i="24"/>
  <c r="L10" i="20"/>
  <c r="L11" i="20"/>
  <c r="L12" i="20"/>
  <c r="L19" i="20"/>
  <c r="L26" i="20"/>
  <c r="L27" i="20"/>
  <c r="L29" i="20"/>
  <c r="L30" i="20"/>
  <c r="L47" i="20"/>
  <c r="L48" i="20"/>
  <c r="L51" i="20"/>
  <c r="L52" i="20"/>
  <c r="L53" i="20"/>
  <c r="L54" i="20"/>
  <c r="L55" i="20"/>
  <c r="BN86" i="5"/>
  <c r="BL66" i="5"/>
  <c r="L60" i="24" s="1"/>
  <c r="BL71" i="5"/>
  <c r="L64" i="24" s="1"/>
  <c r="BL89" i="5"/>
  <c r="L18" i="20" s="1"/>
  <c r="BL93" i="5"/>
  <c r="L22" i="20" s="1"/>
  <c r="BL94" i="5"/>
  <c r="L23" i="20" s="1"/>
  <c r="BL100" i="5"/>
  <c r="L28" i="20" s="1"/>
  <c r="BL193" i="5"/>
  <c r="L75" i="20" s="1"/>
  <c r="BL232" i="5"/>
  <c r="BL258" i="5"/>
  <c r="L58" i="24"/>
  <c r="BL292" i="5"/>
  <c r="BL314" i="5"/>
  <c r="BL318" i="5"/>
  <c r="BL382" i="5"/>
  <c r="BL192" i="5" s="1"/>
  <c r="L74" i="20" s="1"/>
  <c r="BW10" i="19"/>
  <c r="BW11" i="19"/>
  <c r="BW12" i="19"/>
  <c r="BW19" i="19"/>
  <c r="BW26" i="19"/>
  <c r="BW27" i="19"/>
  <c r="BW29" i="19"/>
  <c r="BW30" i="19"/>
  <c r="BW31" i="19"/>
  <c r="BW32" i="19"/>
  <c r="BW33" i="19"/>
  <c r="BW47" i="19"/>
  <c r="BW48" i="19"/>
  <c r="BW53" i="19"/>
  <c r="BW55" i="19"/>
  <c r="BW56" i="19"/>
  <c r="BW58" i="19"/>
  <c r="H160" i="15"/>
  <c r="H95" i="15" l="1"/>
  <c r="H43" i="15"/>
  <c r="R89" i="19"/>
  <c r="L75" i="5"/>
  <c r="D43" i="16"/>
  <c r="BL73" i="4"/>
  <c r="V37" i="27"/>
  <c r="V24" i="27"/>
  <c r="BL10" i="4"/>
  <c r="BL10" i="5" s="1"/>
  <c r="X16" i="27"/>
  <c r="AG11" i="3"/>
  <c r="E11" i="65"/>
  <c r="W24" i="27"/>
  <c r="BL341" i="5"/>
  <c r="BL346" i="5" s="1"/>
  <c r="BL188" i="5" s="1"/>
  <c r="L70" i="20" s="1"/>
  <c r="BL136" i="4"/>
  <c r="BL173" i="4" s="1"/>
  <c r="BL157" i="5"/>
  <c r="BL368" i="5"/>
  <c r="BL376" i="5" s="1"/>
  <c r="BL191" i="5" s="1"/>
  <c r="L73" i="20" s="1"/>
  <c r="BL85" i="5"/>
  <c r="L14" i="20" s="1"/>
  <c r="X35" i="27"/>
  <c r="X32" i="27"/>
  <c r="X31" i="27"/>
  <c r="X29" i="27"/>
  <c r="X48" i="27"/>
  <c r="X44" i="27"/>
  <c r="X21" i="27"/>
  <c r="X20" i="27"/>
  <c r="X19" i="27"/>
  <c r="X42" i="27"/>
  <c r="BL331" i="5"/>
  <c r="BL112" i="4"/>
  <c r="BL271" i="5"/>
  <c r="BN85" i="5"/>
  <c r="BN84" i="5" s="1"/>
  <c r="X18" i="27"/>
  <c r="BL29" i="4"/>
  <c r="BL25" i="4"/>
  <c r="BL23" i="4"/>
  <c r="BL15" i="4"/>
  <c r="BL13" i="4"/>
  <c r="X17" i="27"/>
  <c r="BL61" i="4"/>
  <c r="BL48" i="4"/>
  <c r="BL46" i="4"/>
  <c r="BL26" i="4"/>
  <c r="BL14" i="4"/>
  <c r="BL12" i="4"/>
  <c r="BN136" i="4"/>
  <c r="BN173" i="4" s="1"/>
  <c r="BN112" i="4"/>
  <c r="L15" i="20"/>
  <c r="X43" i="27"/>
  <c r="X28" i="27"/>
  <c r="X22" i="27"/>
  <c r="W50" i="27"/>
  <c r="X34" i="27"/>
  <c r="X33" i="27"/>
  <c r="V50" i="27"/>
  <c r="W37" i="27"/>
  <c r="X30" i="27"/>
  <c r="L62" i="24"/>
  <c r="BL132" i="5"/>
  <c r="BL88" i="5"/>
  <c r="S351" i="5"/>
  <c r="BR356" i="5"/>
  <c r="BL67" i="4" l="1"/>
  <c r="BL187" i="4"/>
  <c r="V39" i="27"/>
  <c r="V52" i="27" s="1"/>
  <c r="BL175" i="4"/>
  <c r="W39" i="27"/>
  <c r="BR367" i="5"/>
  <c r="M31" i="70" s="1"/>
  <c r="M21" i="70"/>
  <c r="M25" i="70" s="1"/>
  <c r="BY356" i="5"/>
  <c r="BZ356" i="5" s="1"/>
  <c r="L65" i="20"/>
  <c r="BL172" i="5"/>
  <c r="BL359" i="5"/>
  <c r="BL361" i="5" s="1"/>
  <c r="BL189" i="5" s="1"/>
  <c r="L71" i="20" s="1"/>
  <c r="L79" i="20" s="1"/>
  <c r="X24" i="27"/>
  <c r="X50" i="27"/>
  <c r="BL84" i="5"/>
  <c r="BL154" i="5"/>
  <c r="L46" i="20"/>
  <c r="L62" i="20" s="1"/>
  <c r="X37" i="27"/>
  <c r="BL18" i="4"/>
  <c r="BL19" i="4" s="1"/>
  <c r="BL56" i="4"/>
  <c r="BL41" i="4"/>
  <c r="BL42" i="4" s="1"/>
  <c r="BL63" i="5"/>
  <c r="BN175" i="4"/>
  <c r="BL114" i="5"/>
  <c r="L17" i="20"/>
  <c r="L42" i="20" s="1"/>
  <c r="D94" i="5"/>
  <c r="E16" i="65" s="1"/>
  <c r="W52" i="27" l="1"/>
  <c r="W64" i="27" s="1"/>
  <c r="AW11" i="3"/>
  <c r="X39" i="27"/>
  <c r="X52" i="27" s="1"/>
  <c r="AW15" i="3"/>
  <c r="BL386" i="5"/>
  <c r="BL207" i="5"/>
  <c r="BL209" i="5" s="1"/>
  <c r="L81" i="20"/>
  <c r="L84" i="20" s="1"/>
  <c r="BL43" i="4"/>
  <c r="BL59" i="4" s="1"/>
  <c r="BL71" i="4" s="1"/>
  <c r="BL69" i="5"/>
  <c r="E38" i="12"/>
  <c r="BL211" i="5" l="1"/>
  <c r="BL75" i="5"/>
  <c r="BL75" i="4"/>
  <c r="BL177" i="4"/>
  <c r="BL178" i="4" s="1"/>
  <c r="BF358" i="5" l="1"/>
  <c r="BG358" i="5" s="1"/>
  <c r="BF359" i="5"/>
  <c r="BG359" i="5" s="1"/>
  <c r="BF342" i="5"/>
  <c r="BG342" i="5" s="1"/>
  <c r="BF343" i="5"/>
  <c r="BG343" i="5" s="1"/>
  <c r="BP342" i="5"/>
  <c r="BQ342" i="5" s="1"/>
  <c r="BP343" i="5"/>
  <c r="BQ343" i="5" s="1"/>
  <c r="BP344" i="5"/>
  <c r="BQ344" i="5" s="1"/>
  <c r="CA342" i="5" l="1"/>
  <c r="CA358" i="5" l="1"/>
  <c r="S23" i="70" s="1"/>
  <c r="U23" i="70" s="1"/>
  <c r="G419" i="5"/>
  <c r="CK315" i="5"/>
  <c r="G19" i="8" l="1"/>
  <c r="B46" i="12" l="1"/>
  <c r="C46" i="12"/>
  <c r="D46" i="12"/>
  <c r="E46" i="12"/>
  <c r="B47" i="12"/>
  <c r="C47" i="12"/>
  <c r="D47" i="12"/>
  <c r="E47" i="12"/>
  <c r="C48" i="12"/>
  <c r="D48" i="12"/>
  <c r="E48" i="12"/>
  <c r="F46" i="12" l="1"/>
  <c r="F48" i="12"/>
  <c r="F47" i="12"/>
  <c r="B65" i="14"/>
  <c r="CM314" i="5" l="1"/>
  <c r="CN314" i="5"/>
  <c r="CN132" i="5" s="1"/>
  <c r="CO314" i="5"/>
  <c r="CP314" i="5"/>
  <c r="CQ314" i="5"/>
  <c r="CR314" i="5"/>
  <c r="CL314" i="5"/>
  <c r="L49" i="32" l="1"/>
  <c r="G49" i="32"/>
  <c r="DT334" i="5"/>
  <c r="DG334" i="5"/>
  <c r="DG88" i="5" l="1"/>
  <c r="DG288" i="5"/>
  <c r="DT88" i="5"/>
  <c r="DT288" i="5"/>
  <c r="DT10" i="5" s="1"/>
  <c r="AL89" i="5"/>
  <c r="BW18" i="19" s="1"/>
  <c r="DT292" i="5" l="1"/>
  <c r="DT331" i="5" s="1"/>
  <c r="DT185" i="5" s="1"/>
  <c r="DT207" i="5" s="1"/>
  <c r="DT157" i="5"/>
  <c r="DT172" i="5" s="1"/>
  <c r="DG292" i="5"/>
  <c r="DG331" i="5" s="1"/>
  <c r="DG185" i="5" s="1"/>
  <c r="DG10" i="5"/>
  <c r="DG18" i="5" s="1"/>
  <c r="DG43" i="5" s="1"/>
  <c r="DG61" i="5" s="1"/>
  <c r="DG73" i="5" s="1"/>
  <c r="DG157" i="5"/>
  <c r="DG172" i="5" s="1"/>
  <c r="GA63" i="26"/>
  <c r="GA57" i="26"/>
  <c r="AP49" i="4" s="1"/>
  <c r="FZ57" i="26"/>
  <c r="GA56" i="26"/>
  <c r="AP48" i="4" s="1"/>
  <c r="FZ56" i="26"/>
  <c r="GA55" i="26"/>
  <c r="AP47" i="4" s="1"/>
  <c r="FZ55" i="26"/>
  <c r="GA54" i="26"/>
  <c r="FZ54" i="26"/>
  <c r="GA47" i="26"/>
  <c r="AP29" i="4" s="1"/>
  <c r="AP29" i="5" s="1"/>
  <c r="FZ47" i="26"/>
  <c r="GA46" i="26"/>
  <c r="AP28" i="4" s="1"/>
  <c r="AP28" i="5" s="1"/>
  <c r="FZ46" i="26"/>
  <c r="GA45" i="26"/>
  <c r="FZ45" i="26"/>
  <c r="GA44" i="26"/>
  <c r="FZ44" i="26"/>
  <c r="GA42" i="26"/>
  <c r="FZ42" i="26"/>
  <c r="GA41" i="26"/>
  <c r="FZ41" i="26"/>
  <c r="GA39" i="26"/>
  <c r="FZ39" i="26"/>
  <c r="GA38" i="26"/>
  <c r="FZ38" i="26"/>
  <c r="GA36" i="26"/>
  <c r="FZ36" i="26"/>
  <c r="GA35" i="26"/>
  <c r="FZ35" i="26"/>
  <c r="GA33" i="26"/>
  <c r="FZ33" i="26"/>
  <c r="GA32" i="26"/>
  <c r="FZ32" i="26"/>
  <c r="GA30" i="26"/>
  <c r="FZ30" i="26"/>
  <c r="GA29" i="26"/>
  <c r="FZ29" i="26"/>
  <c r="FZ22" i="26"/>
  <c r="GA21" i="26"/>
  <c r="AP15" i="4" s="1"/>
  <c r="FZ21" i="26"/>
  <c r="GA20" i="26"/>
  <c r="AP14" i="4" s="1"/>
  <c r="FZ20" i="26"/>
  <c r="GA19" i="26"/>
  <c r="AP13" i="4" s="1"/>
  <c r="FZ19" i="26"/>
  <c r="GA18" i="26"/>
  <c r="FZ18" i="26"/>
  <c r="GA17" i="26"/>
  <c r="FZ17" i="26"/>
  <c r="GA16" i="26"/>
  <c r="FZ16" i="26"/>
  <c r="CH12" i="22"/>
  <c r="CH13" i="22"/>
  <c r="CH59" i="22"/>
  <c r="CH63" i="22"/>
  <c r="CH11" i="19"/>
  <c r="CH12" i="19"/>
  <c r="CH19" i="19"/>
  <c r="CH26" i="19"/>
  <c r="CH27" i="19"/>
  <c r="CH29" i="19"/>
  <c r="CH30" i="19"/>
  <c r="CH31" i="19"/>
  <c r="CH32" i="19"/>
  <c r="CH33" i="19"/>
  <c r="CH47" i="19"/>
  <c r="CH48" i="19"/>
  <c r="CH53" i="19"/>
  <c r="CH55" i="19"/>
  <c r="CH56" i="19"/>
  <c r="CH58" i="19"/>
  <c r="DG207" i="5" l="1"/>
  <c r="E28" i="79"/>
  <c r="DT209" i="5"/>
  <c r="AI14" i="80"/>
  <c r="AI22" i="80" s="1"/>
  <c r="AI30" i="80" s="1"/>
  <c r="AI38" i="80" s="1"/>
  <c r="DT180" i="4" s="1"/>
  <c r="DT182" i="4" s="1"/>
  <c r="DT18" i="5"/>
  <c r="DT43" i="5" s="1"/>
  <c r="DT61" i="5" s="1"/>
  <c r="DT73" i="5" s="1"/>
  <c r="DT75" i="5"/>
  <c r="AI35" i="37"/>
  <c r="AI37" i="37" s="1"/>
  <c r="AP23" i="4"/>
  <c r="AP23" i="5" s="1"/>
  <c r="CH28" i="22" s="1"/>
  <c r="AP24" i="4"/>
  <c r="AP24" i="5" s="1"/>
  <c r="CH29" i="22" s="1"/>
  <c r="AP25" i="4"/>
  <c r="AP25" i="5" s="1"/>
  <c r="AP26" i="4"/>
  <c r="AP26" i="5" s="1"/>
  <c r="CH31" i="22" s="1"/>
  <c r="AP27" i="4"/>
  <c r="AP27" i="5" s="1"/>
  <c r="CH32" i="22" s="1"/>
  <c r="FZ49" i="26"/>
  <c r="FZ59" i="26"/>
  <c r="FZ24" i="26"/>
  <c r="GB47" i="26"/>
  <c r="GB30" i="26"/>
  <c r="GB32" i="26"/>
  <c r="GB33" i="26"/>
  <c r="GB35" i="26"/>
  <c r="GB36" i="26"/>
  <c r="GB38" i="26"/>
  <c r="GB39" i="26"/>
  <c r="GB41" i="26"/>
  <c r="GB42" i="26"/>
  <c r="GB44" i="26"/>
  <c r="GB45" i="26"/>
  <c r="GB46" i="26"/>
  <c r="GB56" i="26"/>
  <c r="AP10" i="4"/>
  <c r="GB17" i="26"/>
  <c r="AP11" i="4"/>
  <c r="GB18" i="26"/>
  <c r="AP12" i="4"/>
  <c r="GA49" i="26"/>
  <c r="AP22" i="4"/>
  <c r="GA59" i="26"/>
  <c r="AP46" i="4"/>
  <c r="AP56" i="4" s="1"/>
  <c r="GA69" i="26"/>
  <c r="AP61" i="4"/>
  <c r="AP67" i="4" s="1"/>
  <c r="GB19" i="26"/>
  <c r="GB20" i="26"/>
  <c r="GB21" i="26"/>
  <c r="GB55" i="26"/>
  <c r="GB57" i="26"/>
  <c r="GB16" i="26"/>
  <c r="GB29" i="26"/>
  <c r="GB54" i="26"/>
  <c r="DG209" i="5" l="1"/>
  <c r="DG218" i="5"/>
  <c r="AI43" i="37"/>
  <c r="AI44" i="37" s="1"/>
  <c r="DT216" i="5"/>
  <c r="DT218" i="5" s="1"/>
  <c r="E29" i="79"/>
  <c r="DT77" i="5"/>
  <c r="AP41" i="4"/>
  <c r="AP42" i="4" s="1"/>
  <c r="FZ51" i="26"/>
  <c r="FZ61" i="26" s="1"/>
  <c r="GB49" i="26"/>
  <c r="GB59" i="26"/>
  <c r="DS113" i="4" l="1"/>
  <c r="N13" i="50"/>
  <c r="AP16" i="4" l="1"/>
  <c r="GA24" i="26"/>
  <c r="GA51" i="26" s="1"/>
  <c r="GA61" i="26" s="1"/>
  <c r="GA73" i="26" s="1"/>
  <c r="GB22" i="26"/>
  <c r="GB24" i="26" s="1"/>
  <c r="GB51" i="26" s="1"/>
  <c r="GB61" i="26" s="1"/>
  <c r="D24" i="30"/>
  <c r="CC10" i="5"/>
  <c r="H62" i="10"/>
  <c r="AP18" i="4" l="1"/>
  <c r="AP19" i="4" s="1"/>
  <c r="AP16" i="5"/>
  <c r="BF223" i="5"/>
  <c r="BY223" i="5"/>
  <c r="BZ223" i="5" s="1"/>
  <c r="CJ223" i="5"/>
  <c r="CK223" i="5" s="1"/>
  <c r="BF224" i="5"/>
  <c r="BG224" i="5" s="1"/>
  <c r="BQ224" i="5"/>
  <c r="BY224" i="5"/>
  <c r="BZ224" i="5" s="1"/>
  <c r="CJ224" i="5"/>
  <c r="CK224" i="5" s="1"/>
  <c r="BF225" i="5"/>
  <c r="BG225" i="5" s="1"/>
  <c r="BQ225" i="5"/>
  <c r="BY225" i="5"/>
  <c r="BZ225" i="5" s="1"/>
  <c r="CJ225" i="5"/>
  <c r="CK225" i="5" s="1"/>
  <c r="BF226" i="5"/>
  <c r="BG226" i="5" s="1"/>
  <c r="BQ226" i="5"/>
  <c r="BY226" i="5"/>
  <c r="BZ226" i="5" s="1"/>
  <c r="CJ226" i="5"/>
  <c r="CK226" i="5" s="1"/>
  <c r="BF227" i="5"/>
  <c r="BG227" i="5" s="1"/>
  <c r="BQ227" i="5"/>
  <c r="BY227" i="5"/>
  <c r="BZ227" i="5" s="1"/>
  <c r="CJ227" i="5"/>
  <c r="CK227" i="5" s="1"/>
  <c r="BF228" i="5"/>
  <c r="BG228" i="5" s="1"/>
  <c r="BQ228" i="5"/>
  <c r="BY228" i="5"/>
  <c r="BZ228" i="5" s="1"/>
  <c r="CJ228" i="5"/>
  <c r="CK228" i="5" s="1"/>
  <c r="BF229" i="5"/>
  <c r="BG229" i="5" s="1"/>
  <c r="BQ229" i="5"/>
  <c r="BY229" i="5"/>
  <c r="BZ229" i="5" s="1"/>
  <c r="CJ229" i="5"/>
  <c r="CK229" i="5" s="1"/>
  <c r="BF230" i="5"/>
  <c r="BG230" i="5" s="1"/>
  <c r="BQ230" i="5"/>
  <c r="BY230" i="5"/>
  <c r="BZ230" i="5" s="1"/>
  <c r="CJ230" i="5"/>
  <c r="CK230" i="5" s="1"/>
  <c r="BF231" i="5"/>
  <c r="BG231" i="5" s="1"/>
  <c r="BQ231" i="5"/>
  <c r="BY231" i="5"/>
  <c r="BZ231" i="5" s="1"/>
  <c r="CJ231" i="5"/>
  <c r="CK231" i="5" s="1"/>
  <c r="V11" i="22"/>
  <c r="V12" i="22"/>
  <c r="V13" i="22"/>
  <c r="V27" i="22"/>
  <c r="V29" i="22"/>
  <c r="V30" i="22"/>
  <c r="V31" i="22"/>
  <c r="V45" i="22"/>
  <c r="V46" i="22"/>
  <c r="V47" i="22"/>
  <c r="V49" i="22"/>
  <c r="V10" i="19"/>
  <c r="V11" i="19"/>
  <c r="V12" i="19"/>
  <c r="V19" i="19"/>
  <c r="V26" i="19"/>
  <c r="V27" i="19"/>
  <c r="V29" i="19"/>
  <c r="V30" i="19"/>
  <c r="V31" i="19"/>
  <c r="V32" i="19"/>
  <c r="V33" i="19"/>
  <c r="V47" i="19"/>
  <c r="V48" i="19"/>
  <c r="V53" i="19"/>
  <c r="V55" i="19"/>
  <c r="V56" i="19"/>
  <c r="V58" i="19"/>
  <c r="V59" i="19"/>
  <c r="V61" i="19"/>
  <c r="V62" i="19"/>
  <c r="V63" i="19"/>
  <c r="V64" i="19"/>
  <c r="N66" i="5"/>
  <c r="V59" i="22" s="1"/>
  <c r="N71" i="5"/>
  <c r="V63" i="22" s="1"/>
  <c r="N89" i="5"/>
  <c r="V18" i="19" s="1"/>
  <c r="N93" i="5"/>
  <c r="V22" i="19" s="1"/>
  <c r="N94" i="5"/>
  <c r="V23" i="19" s="1"/>
  <c r="N100" i="5"/>
  <c r="V28" i="19" s="1"/>
  <c r="N193" i="5"/>
  <c r="V80" i="19" s="1"/>
  <c r="N232" i="5"/>
  <c r="N254" i="5"/>
  <c r="N258" i="5"/>
  <c r="V57" i="22"/>
  <c r="N292" i="5"/>
  <c r="N314" i="5"/>
  <c r="N318" i="5"/>
  <c r="N361" i="5"/>
  <c r="N189" i="5" s="1"/>
  <c r="V76" i="19" s="1"/>
  <c r="N382" i="5"/>
  <c r="N192" i="5" s="1"/>
  <c r="V79" i="19" s="1"/>
  <c r="N83" i="4"/>
  <c r="N86" i="5" s="1"/>
  <c r="N84" i="4"/>
  <c r="N86" i="4"/>
  <c r="N334" i="5" s="1"/>
  <c r="N88" i="5" s="1"/>
  <c r="V17" i="19" s="1"/>
  <c r="N87" i="4"/>
  <c r="N88" i="4"/>
  <c r="N92" i="4"/>
  <c r="N92" i="5" s="1"/>
  <c r="V21" i="19" s="1"/>
  <c r="N93" i="4"/>
  <c r="N94" i="4"/>
  <c r="N98" i="4"/>
  <c r="N99" i="4"/>
  <c r="N100" i="4"/>
  <c r="N101" i="4"/>
  <c r="N102" i="4"/>
  <c r="N103" i="4"/>
  <c r="N104" i="4"/>
  <c r="N105" i="4"/>
  <c r="N106" i="4"/>
  <c r="N108" i="4"/>
  <c r="N109" i="4"/>
  <c r="N111" i="4"/>
  <c r="N117" i="4"/>
  <c r="N118" i="4"/>
  <c r="N119" i="4"/>
  <c r="N120" i="4"/>
  <c r="N135" i="5" s="1"/>
  <c r="V49" i="19" s="1"/>
  <c r="N121" i="4"/>
  <c r="N122" i="4"/>
  <c r="N123" i="4"/>
  <c r="N124" i="4"/>
  <c r="N125" i="4"/>
  <c r="N126" i="4"/>
  <c r="N127" i="4"/>
  <c r="N128" i="4"/>
  <c r="N130" i="4"/>
  <c r="N131" i="4"/>
  <c r="N132" i="4"/>
  <c r="N133" i="4"/>
  <c r="N134" i="4"/>
  <c r="N171" i="4"/>
  <c r="O83" i="4"/>
  <c r="O86" i="5" s="1"/>
  <c r="O84" i="4"/>
  <c r="O86" i="4"/>
  <c r="O87" i="4"/>
  <c r="O88" i="4"/>
  <c r="O92" i="4"/>
  <c r="O93" i="4"/>
  <c r="O94" i="4"/>
  <c r="O98" i="4"/>
  <c r="O99" i="4"/>
  <c r="O100" i="4"/>
  <c r="O101" i="4"/>
  <c r="O102" i="4"/>
  <c r="O103" i="4"/>
  <c r="O104" i="4"/>
  <c r="O105" i="4"/>
  <c r="O106" i="4"/>
  <c r="O108" i="4"/>
  <c r="O109" i="4"/>
  <c r="O111" i="4"/>
  <c r="O117" i="4"/>
  <c r="O118" i="4"/>
  <c r="O119" i="4"/>
  <c r="O120" i="4"/>
  <c r="O135" i="5" s="1"/>
  <c r="O121" i="4"/>
  <c r="O122" i="4"/>
  <c r="O123" i="4"/>
  <c r="O124" i="4"/>
  <c r="O125" i="4"/>
  <c r="O126" i="4"/>
  <c r="O127" i="4"/>
  <c r="O128" i="4"/>
  <c r="O130" i="4"/>
  <c r="O131" i="4"/>
  <c r="O132" i="4"/>
  <c r="O133" i="4"/>
  <c r="O134" i="4"/>
  <c r="O171" i="4"/>
  <c r="BW83" i="4"/>
  <c r="BW86" i="5" s="1"/>
  <c r="BW84" i="4"/>
  <c r="BW86" i="4"/>
  <c r="BW87" i="4"/>
  <c r="BW88" i="4"/>
  <c r="BW92" i="4"/>
  <c r="BW93" i="4"/>
  <c r="BW94" i="4"/>
  <c r="BW98" i="4"/>
  <c r="BW99" i="4"/>
  <c r="BW100" i="4"/>
  <c r="BW101" i="4"/>
  <c r="BW102" i="4"/>
  <c r="BW103" i="4"/>
  <c r="BW104" i="4"/>
  <c r="BW105" i="4"/>
  <c r="BW106" i="4"/>
  <c r="BW117" i="4"/>
  <c r="BW118" i="4"/>
  <c r="BW119" i="4"/>
  <c r="BW120" i="4"/>
  <c r="BW121" i="4"/>
  <c r="BW122" i="4"/>
  <c r="BW123" i="4"/>
  <c r="BW124" i="4"/>
  <c r="BW125" i="4"/>
  <c r="BW126" i="4"/>
  <c r="BW127" i="4"/>
  <c r="BW128" i="4"/>
  <c r="BW129" i="4"/>
  <c r="BW130" i="4"/>
  <c r="BW131" i="4"/>
  <c r="BW132" i="4"/>
  <c r="BW133" i="4"/>
  <c r="BW134" i="4"/>
  <c r="BW171" i="4"/>
  <c r="AV16" i="26"/>
  <c r="N10" i="4"/>
  <c r="N10" i="5" s="1"/>
  <c r="V15" i="22" s="1"/>
  <c r="AV17" i="26"/>
  <c r="AW17" i="26"/>
  <c r="AV18" i="26"/>
  <c r="AW18" i="26"/>
  <c r="AV19" i="26"/>
  <c r="AW19" i="26"/>
  <c r="AV20" i="26"/>
  <c r="AW20" i="26"/>
  <c r="AV21" i="26"/>
  <c r="AW21" i="26"/>
  <c r="AV22" i="26"/>
  <c r="AW22" i="26"/>
  <c r="AV29" i="26"/>
  <c r="AW29" i="26"/>
  <c r="AV30" i="26"/>
  <c r="AW30" i="26"/>
  <c r="AV32" i="26"/>
  <c r="AW32" i="26"/>
  <c r="AV33" i="26"/>
  <c r="AW33" i="26"/>
  <c r="AV35" i="26"/>
  <c r="AW35" i="26"/>
  <c r="AV36" i="26"/>
  <c r="AW36" i="26"/>
  <c r="AV38" i="26"/>
  <c r="AW38" i="26"/>
  <c r="AV39" i="26"/>
  <c r="AW39" i="26"/>
  <c r="AV41" i="26"/>
  <c r="AW41" i="26"/>
  <c r="AV42" i="26"/>
  <c r="AW42" i="26"/>
  <c r="AV44" i="26"/>
  <c r="AW44" i="26"/>
  <c r="AV45" i="26"/>
  <c r="AW45" i="26"/>
  <c r="AV46" i="26"/>
  <c r="AW46" i="26"/>
  <c r="AV47" i="26"/>
  <c r="AW47" i="26"/>
  <c r="N29" i="4" s="1"/>
  <c r="N29" i="5" s="1"/>
  <c r="V34" i="22" s="1"/>
  <c r="AV54" i="26"/>
  <c r="AW54" i="26"/>
  <c r="AV55" i="26"/>
  <c r="AW55" i="26"/>
  <c r="AV56" i="26"/>
  <c r="AW56" i="26"/>
  <c r="AV57" i="26"/>
  <c r="AW57" i="26"/>
  <c r="AW63" i="26"/>
  <c r="AW69" i="26" s="1"/>
  <c r="BG223" i="5" l="1"/>
  <c r="BF221" i="5"/>
  <c r="CA225" i="5"/>
  <c r="CA231" i="5"/>
  <c r="CA230" i="5"/>
  <c r="CA229" i="5"/>
  <c r="CA228" i="5"/>
  <c r="CA227" i="5"/>
  <c r="CA226" i="5"/>
  <c r="CA224" i="5"/>
  <c r="AP43" i="4"/>
  <c r="AP59" i="4" s="1"/>
  <c r="AP71" i="4" s="1"/>
  <c r="AV59" i="26"/>
  <c r="AV24" i="26"/>
  <c r="AV49" i="26"/>
  <c r="AW49" i="26"/>
  <c r="AW59" i="26"/>
  <c r="N341" i="5"/>
  <c r="N346" i="5" s="1"/>
  <c r="N188" i="5" s="1"/>
  <c r="BW73" i="4"/>
  <c r="AX46" i="26"/>
  <c r="AX41" i="26"/>
  <c r="AX39" i="26"/>
  <c r="AX38" i="26"/>
  <c r="AX36" i="26"/>
  <c r="AX35" i="26"/>
  <c r="AX33" i="26"/>
  <c r="AW24" i="26"/>
  <c r="AX57" i="26"/>
  <c r="AX56" i="26"/>
  <c r="AX55" i="26"/>
  <c r="AX54" i="26"/>
  <c r="N136" i="4"/>
  <c r="N173" i="4" s="1"/>
  <c r="N112" i="4"/>
  <c r="AX32" i="26"/>
  <c r="AX29" i="26"/>
  <c r="AX16" i="26"/>
  <c r="AX22" i="26"/>
  <c r="AX21" i="26"/>
  <c r="AX20" i="26"/>
  <c r="N271" i="5"/>
  <c r="N331" i="5"/>
  <c r="N85" i="5"/>
  <c r="V14" i="19" s="1"/>
  <c r="V15" i="19"/>
  <c r="N73" i="4"/>
  <c r="AX19" i="26"/>
  <c r="AX18" i="26"/>
  <c r="N27" i="4"/>
  <c r="N27" i="5" s="1"/>
  <c r="V32" i="22" s="1"/>
  <c r="AX17" i="26"/>
  <c r="N61" i="4"/>
  <c r="N67" i="4" s="1"/>
  <c r="N48" i="4"/>
  <c r="N46" i="4"/>
  <c r="N46" i="5" s="1"/>
  <c r="V41" i="22" s="1"/>
  <c r="N28" i="4"/>
  <c r="N28" i="5" s="1"/>
  <c r="V33" i="22" s="1"/>
  <c r="N26" i="4"/>
  <c r="N24" i="4"/>
  <c r="N22" i="4"/>
  <c r="N15" i="4"/>
  <c r="N15" i="5" s="1"/>
  <c r="V20" i="22" s="1"/>
  <c r="N13" i="4"/>
  <c r="N13" i="5" s="1"/>
  <c r="V18" i="22" s="1"/>
  <c r="N11" i="4"/>
  <c r="N11" i="5" s="1"/>
  <c r="V16" i="22" s="1"/>
  <c r="N49" i="4"/>
  <c r="N47" i="4"/>
  <c r="N47" i="5" s="1"/>
  <c r="V42" i="22" s="1"/>
  <c r="N25" i="4"/>
  <c r="N23" i="4"/>
  <c r="N23" i="5" s="1"/>
  <c r="V28" i="22" s="1"/>
  <c r="N16" i="4"/>
  <c r="N16" i="5" s="1"/>
  <c r="V21" i="22" s="1"/>
  <c r="N14" i="4"/>
  <c r="N14" i="5" s="1"/>
  <c r="V19" i="22" s="1"/>
  <c r="N12" i="4"/>
  <c r="N12" i="5" s="1"/>
  <c r="V17" i="22" s="1"/>
  <c r="V61" i="22"/>
  <c r="N132" i="5"/>
  <c r="V46" i="19" s="1"/>
  <c r="N157" i="5"/>
  <c r="N172" i="5" s="1"/>
  <c r="O112" i="4"/>
  <c r="O136" i="4"/>
  <c r="O173" i="4" s="1"/>
  <c r="O73" i="4"/>
  <c r="BW112" i="4"/>
  <c r="BW136" i="4"/>
  <c r="BW173" i="4" s="1"/>
  <c r="AX47" i="26"/>
  <c r="AX44" i="26"/>
  <c r="AX42" i="26"/>
  <c r="AX30" i="26"/>
  <c r="AX45" i="26"/>
  <c r="V37" i="19" l="1"/>
  <c r="CA223" i="5"/>
  <c r="AV51" i="26"/>
  <c r="AV61" i="26" s="1"/>
  <c r="AW51" i="26"/>
  <c r="AW61" i="26" s="1"/>
  <c r="AW73" i="26" s="1"/>
  <c r="V71" i="19"/>
  <c r="AX59" i="26"/>
  <c r="N114" i="5"/>
  <c r="O175" i="4"/>
  <c r="N175" i="4"/>
  <c r="AX24" i="26"/>
  <c r="N84" i="5"/>
  <c r="N63" i="5"/>
  <c r="N41" i="5"/>
  <c r="V52" i="22"/>
  <c r="V36" i="22"/>
  <c r="N41" i="4"/>
  <c r="N42" i="4" s="1"/>
  <c r="N366" i="5"/>
  <c r="N376" i="5" s="1"/>
  <c r="N191" i="5" s="1"/>
  <c r="V75" i="19"/>
  <c r="V68" i="19"/>
  <c r="N58" i="5"/>
  <c r="BY354" i="5"/>
  <c r="BZ354" i="5" s="1"/>
  <c r="BW175" i="4"/>
  <c r="V23" i="22"/>
  <c r="N18" i="4"/>
  <c r="N19" i="4" s="1"/>
  <c r="N56" i="4"/>
  <c r="N18" i="5"/>
  <c r="N19" i="5" s="1"/>
  <c r="N154" i="5"/>
  <c r="AX49" i="26"/>
  <c r="B24" i="21"/>
  <c r="B24" i="20"/>
  <c r="BG24" i="19"/>
  <c r="B24" i="18"/>
  <c r="B24" i="9"/>
  <c r="L24" i="9" s="1"/>
  <c r="B28" i="18"/>
  <c r="B29" i="18"/>
  <c r="B30" i="18"/>
  <c r="B28" i="20"/>
  <c r="B29" i="20"/>
  <c r="D29" i="20"/>
  <c r="F29" i="20"/>
  <c r="H29" i="20"/>
  <c r="J29" i="20"/>
  <c r="B30" i="20"/>
  <c r="D30" i="20"/>
  <c r="F30" i="20"/>
  <c r="H30" i="20"/>
  <c r="J30" i="20"/>
  <c r="B28" i="21"/>
  <c r="B29" i="21"/>
  <c r="D29" i="21"/>
  <c r="F29" i="21"/>
  <c r="H29" i="21"/>
  <c r="B30" i="21"/>
  <c r="D30" i="21"/>
  <c r="F30" i="21"/>
  <c r="H30" i="21"/>
  <c r="BG29" i="19"/>
  <c r="C29" i="19"/>
  <c r="E29" i="19"/>
  <c r="G29" i="19"/>
  <c r="I29" i="19"/>
  <c r="K29" i="19"/>
  <c r="N29" i="19"/>
  <c r="P29" i="19"/>
  <c r="T29" i="19"/>
  <c r="Y29" i="19"/>
  <c r="AA29" i="19"/>
  <c r="AC29" i="19"/>
  <c r="AE29" i="19"/>
  <c r="AG29" i="19"/>
  <c r="AJ29" i="19"/>
  <c r="AL29" i="19"/>
  <c r="AN29" i="19"/>
  <c r="AP29" i="19"/>
  <c r="AR29" i="19"/>
  <c r="AU29" i="19"/>
  <c r="AY29" i="19"/>
  <c r="BA29" i="19"/>
  <c r="BC29" i="19"/>
  <c r="BH29" i="19"/>
  <c r="BJ29" i="19"/>
  <c r="BL29" i="19"/>
  <c r="BN29" i="19"/>
  <c r="BP29" i="19"/>
  <c r="BY29" i="19"/>
  <c r="CA29" i="19"/>
  <c r="CC29" i="19"/>
  <c r="CJ29" i="19"/>
  <c r="CL29" i="19"/>
  <c r="CN29" i="19"/>
  <c r="CU29" i="19"/>
  <c r="CW29" i="19"/>
  <c r="CY29" i="19"/>
  <c r="DA29" i="19"/>
  <c r="DC29" i="19"/>
  <c r="DP29" i="19"/>
  <c r="BG30" i="19"/>
  <c r="C30" i="19"/>
  <c r="E30" i="19"/>
  <c r="G30" i="19"/>
  <c r="I30" i="19"/>
  <c r="K30" i="19"/>
  <c r="N30" i="19"/>
  <c r="P30" i="19"/>
  <c r="T30" i="19"/>
  <c r="Y30" i="19"/>
  <c r="AA30" i="19"/>
  <c r="AC30" i="19"/>
  <c r="AE30" i="19"/>
  <c r="AG30" i="19"/>
  <c r="AJ30" i="19"/>
  <c r="AL30" i="19"/>
  <c r="AN30" i="19"/>
  <c r="AP30" i="19"/>
  <c r="AR30" i="19"/>
  <c r="AU30" i="19"/>
  <c r="AY30" i="19"/>
  <c r="BA30" i="19"/>
  <c r="BC30" i="19"/>
  <c r="BH30" i="19"/>
  <c r="BJ30" i="19"/>
  <c r="BL30" i="19"/>
  <c r="BN30" i="19"/>
  <c r="BP30" i="19"/>
  <c r="BY30" i="19"/>
  <c r="CA30" i="19"/>
  <c r="CC30" i="19"/>
  <c r="CJ30" i="19"/>
  <c r="CL30" i="19"/>
  <c r="CN30" i="19"/>
  <c r="CU30" i="19"/>
  <c r="CW30" i="19"/>
  <c r="CY30" i="19"/>
  <c r="DA30" i="19"/>
  <c r="DC30" i="19"/>
  <c r="DP30" i="19"/>
  <c r="B29" i="9"/>
  <c r="L29" i="9" s="1"/>
  <c r="D29" i="9"/>
  <c r="F29" i="9"/>
  <c r="J29" i="9"/>
  <c r="N29" i="9"/>
  <c r="B30" i="9"/>
  <c r="L30" i="9" s="1"/>
  <c r="D30" i="9"/>
  <c r="F30" i="9"/>
  <c r="J30" i="9"/>
  <c r="N30" i="9"/>
  <c r="M30" i="6"/>
  <c r="F33" i="13"/>
  <c r="H33" i="13"/>
  <c r="B33" i="29"/>
  <c r="F33" i="29"/>
  <c r="H33" i="29"/>
  <c r="J33" i="29"/>
  <c r="L33" i="29"/>
  <c r="B34" i="29"/>
  <c r="F34" i="29"/>
  <c r="H34" i="29"/>
  <c r="J34" i="29"/>
  <c r="L34" i="29"/>
  <c r="B33" i="32"/>
  <c r="K33" i="32" s="1"/>
  <c r="R33" i="32" s="1"/>
  <c r="B34" i="32"/>
  <c r="K34" i="32" s="1"/>
  <c r="R34" i="32" s="1"/>
  <c r="F34" i="13"/>
  <c r="H34" i="13"/>
  <c r="B32" i="13"/>
  <c r="B33" i="13"/>
  <c r="B34" i="13"/>
  <c r="BP104" i="5"/>
  <c r="BP105" i="5"/>
  <c r="BP106" i="5"/>
  <c r="BP107" i="5"/>
  <c r="BP108" i="5"/>
  <c r="BP110" i="5"/>
  <c r="BP111" i="5"/>
  <c r="BF104" i="5"/>
  <c r="BG104" i="5" s="1"/>
  <c r="BF105" i="5"/>
  <c r="BG105" i="5" s="1"/>
  <c r="BF106" i="5"/>
  <c r="BF107" i="5"/>
  <c r="BG107" i="5" s="1"/>
  <c r="BF101" i="5"/>
  <c r="BG101" i="5" s="1"/>
  <c r="BF102" i="5"/>
  <c r="BG102" i="5" s="1"/>
  <c r="CA118" i="5"/>
  <c r="CU101" i="5"/>
  <c r="CU102" i="5"/>
  <c r="CJ101" i="5"/>
  <c r="CJ103" i="5"/>
  <c r="BY101" i="5"/>
  <c r="BZ101" i="5" s="1"/>
  <c r="BY102" i="5"/>
  <c r="BZ102" i="5" s="1"/>
  <c r="BP101" i="5"/>
  <c r="BP102" i="5"/>
  <c r="D32" i="29"/>
  <c r="N33" i="13" l="1"/>
  <c r="W29" i="9" s="1"/>
  <c r="N34" i="13"/>
  <c r="W30" i="9" s="1"/>
  <c r="BG106" i="5"/>
  <c r="CA106" i="5" s="1"/>
  <c r="P29" i="20"/>
  <c r="F29" i="18" s="1"/>
  <c r="P30" i="20"/>
  <c r="F30" i="18" s="1"/>
  <c r="AK15" i="3"/>
  <c r="CA101" i="5"/>
  <c r="CA102" i="5"/>
  <c r="AI29" i="19"/>
  <c r="DK29" i="19" s="1"/>
  <c r="AT29" i="19"/>
  <c r="X29" i="19"/>
  <c r="CT29" i="19" s="1"/>
  <c r="M29" i="19"/>
  <c r="M28" i="19"/>
  <c r="BG28" i="19"/>
  <c r="N29" i="21"/>
  <c r="H29" i="18" s="1"/>
  <c r="N30" i="21"/>
  <c r="H30" i="18" s="1"/>
  <c r="AT30" i="19"/>
  <c r="AI30" i="19"/>
  <c r="DK30" i="19" s="1"/>
  <c r="X30" i="19"/>
  <c r="CT30" i="19" s="1"/>
  <c r="M30" i="19"/>
  <c r="BT30" i="19"/>
  <c r="BT29" i="19"/>
  <c r="AX51" i="26"/>
  <c r="AX61" i="26" s="1"/>
  <c r="N69" i="5"/>
  <c r="AK23" i="3"/>
  <c r="AK11" i="3"/>
  <c r="N386" i="5"/>
  <c r="V78" i="19"/>
  <c r="V85" i="19" s="1"/>
  <c r="N207" i="5"/>
  <c r="N75" i="5" s="1"/>
  <c r="V38" i="22"/>
  <c r="V55" i="22" s="1"/>
  <c r="V65" i="22" s="1"/>
  <c r="V90" i="19" s="1"/>
  <c r="AK19" i="3"/>
  <c r="N43" i="4"/>
  <c r="N59" i="4" s="1"/>
  <c r="N71" i="4" s="1"/>
  <c r="N43" i="5"/>
  <c r="N61" i="5" s="1"/>
  <c r="AT28" i="19"/>
  <c r="BT28" i="19"/>
  <c r="X28" i="19"/>
  <c r="CT28" i="19" s="1"/>
  <c r="AI28" i="19"/>
  <c r="DK28" i="19" s="1"/>
  <c r="CJ102" i="5"/>
  <c r="N34" i="29"/>
  <c r="J34" i="13" s="1"/>
  <c r="L34" i="13" s="1"/>
  <c r="O32" i="6" s="1"/>
  <c r="G32" i="6" s="1"/>
  <c r="N33" i="29"/>
  <c r="J33" i="13" s="1"/>
  <c r="CG28" i="19" l="1"/>
  <c r="CG30" i="19"/>
  <c r="DZ30" i="19" s="1"/>
  <c r="CG29" i="19"/>
  <c r="DZ29" i="19" s="1"/>
  <c r="N209" i="5"/>
  <c r="N211" i="5" s="1"/>
  <c r="N73" i="5"/>
  <c r="V87" i="19"/>
  <c r="V89" i="19" s="1"/>
  <c r="N216" i="5"/>
  <c r="N218" i="5" s="1"/>
  <c r="N180" i="4"/>
  <c r="N182" i="4" s="1"/>
  <c r="V91" i="19"/>
  <c r="N177" i="4"/>
  <c r="N178" i="4" s="1"/>
  <c r="N75" i="4"/>
  <c r="BD334" i="5"/>
  <c r="D30" i="18" l="1"/>
  <c r="L30" i="18" s="1"/>
  <c r="R30" i="9"/>
  <c r="D29" i="18"/>
  <c r="L29" i="18" s="1"/>
  <c r="R29" i="9"/>
  <c r="N77" i="5"/>
  <c r="N387" i="5"/>
  <c r="N213" i="5"/>
  <c r="N214" i="5" s="1"/>
  <c r="G88" i="34"/>
  <c r="P33" i="30"/>
  <c r="AF29" i="10" l="1"/>
  <c r="AF30" i="10"/>
  <c r="AF31" i="10"/>
  <c r="AF32" i="10"/>
  <c r="AF33" i="10"/>
  <c r="AF37" i="10" l="1"/>
  <c r="AB78" i="10"/>
  <c r="Y56" i="5" l="1"/>
  <c r="AB79" i="10" l="1"/>
  <c r="DY63" i="26" l="1"/>
  <c r="AL31" i="7" l="1"/>
  <c r="AD26" i="39"/>
  <c r="F92" i="38"/>
  <c r="AH126" i="6"/>
  <c r="DW89" i="4"/>
  <c r="EE89" i="4" s="1"/>
  <c r="CU89" i="4"/>
  <c r="CJ89" i="4"/>
  <c r="CK89" i="4" s="1"/>
  <c r="BY89" i="4"/>
  <c r="BP89" i="4"/>
  <c r="BF89" i="4"/>
  <c r="BG89" i="4" s="1"/>
  <c r="H109" i="38" l="1"/>
  <c r="H111" i="38" s="1"/>
  <c r="CC98" i="5"/>
  <c r="D31" i="38" l="1"/>
  <c r="D85" i="38" s="1"/>
  <c r="CJ288" i="5" l="1"/>
  <c r="X20" i="15" l="1"/>
  <c r="CG37" i="5"/>
  <c r="X56" i="5" l="1"/>
  <c r="DP85" i="5" l="1"/>
  <c r="AC16" i="37" s="1"/>
  <c r="AC23" i="37" s="1"/>
  <c r="DP334" i="5"/>
  <c r="DP171" i="4"/>
  <c r="DP73" i="4" s="1"/>
  <c r="DP75" i="4" s="1"/>
  <c r="AI17" i="37"/>
  <c r="DP332" i="5" l="1"/>
  <c r="DP288" i="5"/>
  <c r="DP182" i="4"/>
  <c r="DP173" i="4"/>
  <c r="DP175" i="4" s="1"/>
  <c r="DP84" i="5"/>
  <c r="DP114" i="5"/>
  <c r="DP292" i="5" l="1"/>
  <c r="DP331" i="5" s="1"/>
  <c r="DP185" i="5" s="1"/>
  <c r="DP207" i="5" s="1"/>
  <c r="AC35" i="37" s="1"/>
  <c r="DP10" i="5"/>
  <c r="DP157" i="5"/>
  <c r="DP172" i="5" s="1"/>
  <c r="DP177" i="4"/>
  <c r="DP18" i="5" l="1"/>
  <c r="DP43" i="5" s="1"/>
  <c r="DP61" i="5" s="1"/>
  <c r="DP73" i="5" s="1"/>
  <c r="DP213" i="5" s="1"/>
  <c r="DP214" i="5" s="1"/>
  <c r="AC14" i="80"/>
  <c r="AC22" i="80" s="1"/>
  <c r="AC30" i="80" s="1"/>
  <c r="AC38" i="80" s="1"/>
  <c r="AC37" i="37"/>
  <c r="AC39" i="37" s="1"/>
  <c r="AC42" i="37"/>
  <c r="E68" i="79"/>
  <c r="G62" i="79"/>
  <c r="DP209" i="5"/>
  <c r="DP211" i="5" s="1"/>
  <c r="DP75" i="5"/>
  <c r="CC86" i="5"/>
  <c r="F21" i="40"/>
  <c r="F9" i="40"/>
  <c r="AI21" i="5"/>
  <c r="AJ21" i="5"/>
  <c r="BC45" i="26"/>
  <c r="GD16" i="26"/>
  <c r="GE16" i="26"/>
  <c r="AQ10" i="4" s="1"/>
  <c r="AQ10" i="5" s="1"/>
  <c r="CJ15" i="22" s="1"/>
  <c r="GD17" i="26"/>
  <c r="GE17" i="26"/>
  <c r="AQ11" i="4" s="1"/>
  <c r="AQ11" i="5" s="1"/>
  <c r="CJ16" i="22" s="1"/>
  <c r="GD18" i="26"/>
  <c r="GE18" i="26"/>
  <c r="AQ12" i="4" s="1"/>
  <c r="AQ12" i="5" s="1"/>
  <c r="CJ17" i="22" s="1"/>
  <c r="GD19" i="26"/>
  <c r="GE19" i="26"/>
  <c r="AQ13" i="4" s="1"/>
  <c r="AQ13" i="5" s="1"/>
  <c r="CJ18" i="22" s="1"/>
  <c r="GD20" i="26"/>
  <c r="GE20" i="26"/>
  <c r="AQ14" i="4" s="1"/>
  <c r="AQ14" i="5" s="1"/>
  <c r="CJ19" i="22" s="1"/>
  <c r="GD21" i="26"/>
  <c r="AQ15" i="4"/>
  <c r="AQ15" i="5" s="1"/>
  <c r="CJ20" i="22" s="1"/>
  <c r="GD22" i="26"/>
  <c r="GE22" i="26"/>
  <c r="AQ16" i="4" s="1"/>
  <c r="AQ16" i="5" s="1"/>
  <c r="CJ21" i="22" s="1"/>
  <c r="GD29" i="26"/>
  <c r="GE29" i="26"/>
  <c r="GD30" i="26"/>
  <c r="GE30" i="26"/>
  <c r="GD32" i="26"/>
  <c r="GE32" i="26"/>
  <c r="GD33" i="26"/>
  <c r="GE33" i="26"/>
  <c r="GD35" i="26"/>
  <c r="GE35" i="26"/>
  <c r="GD36" i="26"/>
  <c r="GE36" i="26"/>
  <c r="GD38" i="26"/>
  <c r="GE38" i="26"/>
  <c r="GD39" i="26"/>
  <c r="GE39" i="26"/>
  <c r="GD41" i="26"/>
  <c r="GE41" i="26"/>
  <c r="GD42" i="26"/>
  <c r="GE42" i="26"/>
  <c r="GD44" i="26"/>
  <c r="GE44" i="26"/>
  <c r="GD45" i="26"/>
  <c r="GE45" i="26"/>
  <c r="GD46" i="26"/>
  <c r="GE46" i="26"/>
  <c r="AQ28" i="4" s="1"/>
  <c r="GD47" i="26"/>
  <c r="GE47" i="26"/>
  <c r="AQ29" i="4" s="1"/>
  <c r="AQ29" i="5" s="1"/>
  <c r="CJ34" i="22" s="1"/>
  <c r="GD54" i="26"/>
  <c r="GE54" i="26"/>
  <c r="AQ46" i="4" s="1"/>
  <c r="AQ46" i="5" s="1"/>
  <c r="GD55" i="26"/>
  <c r="GE55" i="26"/>
  <c r="AQ47" i="4" s="1"/>
  <c r="AQ47" i="5" s="1"/>
  <c r="CJ42" i="22" s="1"/>
  <c r="GD56" i="26"/>
  <c r="GE56" i="26"/>
  <c r="AQ48" i="4" s="1"/>
  <c r="AQ50" i="5" s="1"/>
  <c r="CJ45" i="22" s="1"/>
  <c r="GD57" i="26"/>
  <c r="GE57" i="26"/>
  <c r="AQ49" i="4" s="1"/>
  <c r="AQ54" i="5" s="1"/>
  <c r="CJ46" i="22" s="1"/>
  <c r="GE63" i="26"/>
  <c r="GE69" i="26" s="1"/>
  <c r="CJ11" i="22"/>
  <c r="CJ12" i="22"/>
  <c r="CJ10" i="19"/>
  <c r="CJ11" i="19"/>
  <c r="AQ55" i="5"/>
  <c r="CJ47" i="22" s="1"/>
  <c r="AQ56" i="5"/>
  <c r="CJ49" i="22" s="1"/>
  <c r="AQ57" i="5"/>
  <c r="AQ89" i="5"/>
  <c r="CJ18" i="19" s="1"/>
  <c r="AQ93" i="5"/>
  <c r="CJ22" i="19" s="1"/>
  <c r="AQ94" i="5"/>
  <c r="AQ341" i="5" s="1"/>
  <c r="AQ100" i="5"/>
  <c r="CJ28" i="19" s="1"/>
  <c r="AQ193" i="5"/>
  <c r="CJ80" i="19" s="1"/>
  <c r="AQ232" i="5"/>
  <c r="AQ254" i="5"/>
  <c r="AQ258" i="5"/>
  <c r="AQ292" i="5"/>
  <c r="AQ314" i="5"/>
  <c r="AQ318" i="5"/>
  <c r="AQ376" i="5"/>
  <c r="AQ191" i="5" s="1"/>
  <c r="CJ78" i="19" s="1"/>
  <c r="AQ382" i="5"/>
  <c r="AQ192" i="5" s="1"/>
  <c r="CJ79" i="19" s="1"/>
  <c r="CJ12" i="19"/>
  <c r="CJ19" i="19"/>
  <c r="CJ26" i="19"/>
  <c r="CJ27" i="19"/>
  <c r="CJ31" i="19"/>
  <c r="CJ32" i="19"/>
  <c r="CJ33" i="19"/>
  <c r="CJ47" i="19"/>
  <c r="CJ48" i="19"/>
  <c r="CJ53" i="19"/>
  <c r="CJ55" i="19"/>
  <c r="CJ56" i="19"/>
  <c r="CJ58" i="19"/>
  <c r="CJ59" i="19"/>
  <c r="CJ61" i="19"/>
  <c r="CJ62" i="19"/>
  <c r="CJ63" i="19"/>
  <c r="CJ64" i="19"/>
  <c r="CJ13" i="22"/>
  <c r="CJ28" i="22"/>
  <c r="CJ31" i="22"/>
  <c r="CJ32" i="22"/>
  <c r="CJ57" i="22"/>
  <c r="CJ59" i="22"/>
  <c r="CJ63" i="22"/>
  <c r="AQ83" i="4"/>
  <c r="AQ86" i="5" s="1"/>
  <c r="AQ84" i="4"/>
  <c r="AQ86" i="4"/>
  <c r="AQ87" i="4"/>
  <c r="AQ88" i="4"/>
  <c r="AQ92" i="4"/>
  <c r="AQ92" i="5" s="1"/>
  <c r="CJ21" i="19" s="1"/>
  <c r="AQ93" i="4"/>
  <c r="AQ94" i="4"/>
  <c r="AQ98" i="4"/>
  <c r="AQ99" i="4"/>
  <c r="AQ100" i="4"/>
  <c r="AQ101" i="4"/>
  <c r="AQ102" i="4"/>
  <c r="AQ103" i="4"/>
  <c r="AQ104" i="4"/>
  <c r="AQ105" i="4"/>
  <c r="AQ106" i="4"/>
  <c r="AQ108" i="4"/>
  <c r="AQ109" i="4"/>
  <c r="AQ111" i="4"/>
  <c r="AQ117" i="4"/>
  <c r="AQ118" i="4"/>
  <c r="AQ119" i="4"/>
  <c r="AQ120" i="4"/>
  <c r="AQ135" i="5" s="1"/>
  <c r="CJ49" i="19" s="1"/>
  <c r="AQ121" i="4"/>
  <c r="AQ122" i="4"/>
  <c r="AQ123" i="4"/>
  <c r="AQ124" i="4"/>
  <c r="AQ125" i="4"/>
  <c r="AQ126" i="4"/>
  <c r="AQ127" i="4"/>
  <c r="AQ128" i="4"/>
  <c r="AQ130" i="4"/>
  <c r="AQ131" i="4"/>
  <c r="AQ132" i="4"/>
  <c r="AQ133" i="4"/>
  <c r="AQ134" i="4"/>
  <c r="AQ171" i="4"/>
  <c r="DP77" i="5" l="1"/>
  <c r="AC43" i="37"/>
  <c r="AC44" i="37" s="1"/>
  <c r="DP216" i="5"/>
  <c r="DP218" i="5" s="1"/>
  <c r="D117" i="4"/>
  <c r="G68" i="79"/>
  <c r="GD59" i="26"/>
  <c r="GD24" i="26"/>
  <c r="GE59" i="26"/>
  <c r="AQ61" i="4"/>
  <c r="AQ67" i="4" s="1"/>
  <c r="AQ27" i="4"/>
  <c r="CJ23" i="19"/>
  <c r="AQ24" i="4"/>
  <c r="AQ24" i="5" s="1"/>
  <c r="CJ29" i="22" s="1"/>
  <c r="AQ26" i="4"/>
  <c r="AQ22" i="4"/>
  <c r="AQ22" i="5" s="1"/>
  <c r="CJ27" i="22" s="1"/>
  <c r="GF41" i="26"/>
  <c r="AQ28" i="5"/>
  <c r="CJ33" i="22" s="1"/>
  <c r="AQ58" i="5"/>
  <c r="AQ25" i="4"/>
  <c r="AQ23" i="4"/>
  <c r="CJ41" i="22"/>
  <c r="CJ52" i="22" s="1"/>
  <c r="GF46" i="26"/>
  <c r="GF44" i="26"/>
  <c r="GF42" i="26"/>
  <c r="GF21" i="26"/>
  <c r="GF20" i="26"/>
  <c r="GF19" i="26"/>
  <c r="GF18" i="26"/>
  <c r="GF16" i="26"/>
  <c r="AQ136" i="4"/>
  <c r="AQ173" i="4" s="1"/>
  <c r="AQ112" i="4"/>
  <c r="GF17" i="26"/>
  <c r="AQ334" i="5"/>
  <c r="AQ88" i="5" s="1"/>
  <c r="CJ17" i="19" s="1"/>
  <c r="AQ271" i="5"/>
  <c r="CJ15" i="19"/>
  <c r="GE49" i="26"/>
  <c r="GD49" i="26"/>
  <c r="AQ18" i="4"/>
  <c r="AQ19" i="4" s="1"/>
  <c r="GF54" i="26"/>
  <c r="GF57" i="26"/>
  <c r="GF56" i="26"/>
  <c r="GF55" i="26"/>
  <c r="GF36" i="26"/>
  <c r="GF33" i="26"/>
  <c r="GF32" i="26"/>
  <c r="GF30" i="26"/>
  <c r="GF29" i="26"/>
  <c r="GE24" i="26"/>
  <c r="GF22" i="26"/>
  <c r="AQ346" i="5"/>
  <c r="AQ188" i="5" s="1"/>
  <c r="GF47" i="26"/>
  <c r="GF38" i="26"/>
  <c r="AQ56" i="4"/>
  <c r="AQ73" i="4"/>
  <c r="GF45" i="26"/>
  <c r="GF39" i="26"/>
  <c r="GF35" i="26"/>
  <c r="AQ18" i="5"/>
  <c r="AQ19" i="5" s="1"/>
  <c r="CJ61" i="22"/>
  <c r="AQ85" i="5"/>
  <c r="AQ84" i="5" s="1"/>
  <c r="AQ132" i="5"/>
  <c r="CJ46" i="19" s="1"/>
  <c r="CJ23" i="22"/>
  <c r="AQ331" i="5"/>
  <c r="CL254" i="5"/>
  <c r="CM254" i="5"/>
  <c r="CN254" i="5"/>
  <c r="CO254" i="5"/>
  <c r="CP254" i="5"/>
  <c r="CQ254" i="5"/>
  <c r="CR254" i="5"/>
  <c r="BY186" i="4"/>
  <c r="CT84" i="5"/>
  <c r="CI84" i="5"/>
  <c r="BX84" i="5"/>
  <c r="AQ63" i="5" l="1"/>
  <c r="AQ69" i="5" s="1"/>
  <c r="U79" i="3"/>
  <c r="GD51" i="26"/>
  <c r="GD61" i="26" s="1"/>
  <c r="GE51" i="26"/>
  <c r="GE61" i="26" s="1"/>
  <c r="GE73" i="26" s="1"/>
  <c r="AQ356" i="5"/>
  <c r="AQ361" i="5" s="1"/>
  <c r="AQ189" i="5" s="1"/>
  <c r="CJ76" i="19" s="1"/>
  <c r="AQ157" i="5"/>
  <c r="AQ175" i="4"/>
  <c r="GF59" i="26"/>
  <c r="AQ41" i="4"/>
  <c r="AQ43" i="4" s="1"/>
  <c r="AQ59" i="4" s="1"/>
  <c r="AQ71" i="4" s="1"/>
  <c r="AQ177" i="4" s="1"/>
  <c r="AQ178" i="4" s="1"/>
  <c r="AQ25" i="5"/>
  <c r="CJ30" i="22" s="1"/>
  <c r="CJ36" i="22" s="1"/>
  <c r="CJ68" i="19"/>
  <c r="GF24" i="26"/>
  <c r="AQ114" i="5"/>
  <c r="GF49" i="26"/>
  <c r="CJ14" i="19"/>
  <c r="CJ37" i="19" s="1"/>
  <c r="AQ154" i="5"/>
  <c r="CJ75" i="19"/>
  <c r="B17" i="10"/>
  <c r="CA71" i="19" l="1"/>
  <c r="AQ172" i="5"/>
  <c r="U71" i="3"/>
  <c r="GF51" i="26"/>
  <c r="GF61" i="26" s="1"/>
  <c r="AQ41" i="5"/>
  <c r="AQ43" i="5" s="1"/>
  <c r="AQ61" i="5" s="1"/>
  <c r="AQ73" i="5" s="1"/>
  <c r="AQ42" i="4"/>
  <c r="U83" i="3"/>
  <c r="CJ38" i="22"/>
  <c r="CJ55" i="22" s="1"/>
  <c r="CJ65" i="22" s="1"/>
  <c r="AQ216" i="5" s="1"/>
  <c r="AQ386" i="5"/>
  <c r="CJ85" i="19"/>
  <c r="AQ207" i="5"/>
  <c r="AQ75" i="5" s="1"/>
  <c r="AQ75" i="4"/>
  <c r="Q42" i="8"/>
  <c r="AQ209" i="5" l="1"/>
  <c r="AQ211" i="5" s="1"/>
  <c r="AQ180" i="4"/>
  <c r="AQ182" i="4" s="1"/>
  <c r="CJ90" i="19"/>
  <c r="CJ91" i="19" s="1"/>
  <c r="AQ213" i="5"/>
  <c r="AQ214" i="5" s="1"/>
  <c r="AQ77" i="5"/>
  <c r="AQ387" i="5"/>
  <c r="AQ218" i="5"/>
  <c r="E73" i="6"/>
  <c r="I73" i="6" s="1"/>
  <c r="N32" i="10" l="1"/>
  <c r="N33" i="10"/>
  <c r="CH33" i="22"/>
  <c r="CH34" i="22"/>
  <c r="BR369" i="5" l="1"/>
  <c r="M33" i="70" s="1"/>
  <c r="C20" i="38" l="1"/>
  <c r="F20" i="38" s="1"/>
  <c r="C21" i="38"/>
  <c r="F21" i="38" s="1"/>
  <c r="B91" i="38"/>
  <c r="B88" i="38"/>
  <c r="CW382" i="5"/>
  <c r="CW376" i="5"/>
  <c r="C19" i="38"/>
  <c r="F19" i="38" s="1"/>
  <c r="AH77" i="6"/>
  <c r="AH88" i="6" s="1"/>
  <c r="AH115" i="6"/>
  <c r="AH61" i="6"/>
  <c r="AH19" i="6"/>
  <c r="AH18" i="6"/>
  <c r="CW386" i="5" l="1"/>
  <c r="C22" i="38" l="1"/>
  <c r="F22" i="38" s="1"/>
  <c r="Q213" i="65" l="1"/>
  <c r="N211" i="65" s="1"/>
  <c r="BF314" i="5"/>
  <c r="W214" i="65" s="1"/>
  <c r="BG314" i="5"/>
  <c r="W213" i="65" l="1"/>
  <c r="DZ65" i="19"/>
  <c r="DA56" i="19"/>
  <c r="DA57" i="19"/>
  <c r="DA58" i="19"/>
  <c r="DA59" i="19"/>
  <c r="DA60" i="19"/>
  <c r="DA61" i="19"/>
  <c r="DA62" i="19"/>
  <c r="DA63" i="19"/>
  <c r="DA64" i="19"/>
  <c r="CY54" i="19"/>
  <c r="DZ54" i="19" s="1"/>
  <c r="CY55" i="19"/>
  <c r="CY56" i="19"/>
  <c r="CY57" i="19"/>
  <c r="CY58" i="19"/>
  <c r="CY59" i="19"/>
  <c r="CY60" i="19"/>
  <c r="CY61" i="19"/>
  <c r="CY62" i="19"/>
  <c r="CY63" i="19"/>
  <c r="D31" i="25"/>
  <c r="F31" i="25"/>
  <c r="N49" i="25"/>
  <c r="N56" i="21"/>
  <c r="N52" i="21"/>
  <c r="N49" i="21"/>
  <c r="N46" i="21"/>
  <c r="N54" i="21"/>
  <c r="N57" i="21"/>
  <c r="N58" i="21"/>
  <c r="N59" i="21"/>
  <c r="X58" i="19"/>
  <c r="CT58" i="19" s="1"/>
  <c r="C58" i="19"/>
  <c r="E58" i="19"/>
  <c r="G58" i="19"/>
  <c r="K58" i="19"/>
  <c r="N58" i="19"/>
  <c r="P58" i="19"/>
  <c r="T58" i="19"/>
  <c r="Y58" i="19"/>
  <c r="AA58" i="19"/>
  <c r="AC58" i="19"/>
  <c r="AE58" i="19"/>
  <c r="AG58" i="19"/>
  <c r="AJ58" i="19"/>
  <c r="AL58" i="19"/>
  <c r="AN58" i="19"/>
  <c r="AP58" i="19"/>
  <c r="AR58" i="19"/>
  <c r="AU58" i="19"/>
  <c r="AY58" i="19"/>
  <c r="BA58" i="19"/>
  <c r="BC58" i="19"/>
  <c r="BH58" i="19"/>
  <c r="BJ58" i="19"/>
  <c r="BL58" i="19"/>
  <c r="BN58" i="19"/>
  <c r="BP58" i="19"/>
  <c r="BY58" i="19"/>
  <c r="CA58" i="19"/>
  <c r="CC58" i="19"/>
  <c r="CL58" i="19"/>
  <c r="CN58" i="19"/>
  <c r="CU58" i="19"/>
  <c r="CW58" i="19"/>
  <c r="DC58" i="19"/>
  <c r="DP58" i="19"/>
  <c r="C55" i="19"/>
  <c r="E55" i="19"/>
  <c r="G55" i="19"/>
  <c r="I55" i="19"/>
  <c r="K55" i="19"/>
  <c r="N55" i="19"/>
  <c r="P55" i="19"/>
  <c r="T55" i="19"/>
  <c r="Y55" i="19"/>
  <c r="AA55" i="19"/>
  <c r="AC55" i="19"/>
  <c r="AE55" i="19"/>
  <c r="AG55" i="19"/>
  <c r="AJ55" i="19"/>
  <c r="AL55" i="19"/>
  <c r="AN55" i="19"/>
  <c r="AP55" i="19"/>
  <c r="AR55" i="19"/>
  <c r="AU55" i="19"/>
  <c r="AY55" i="19"/>
  <c r="BA55" i="19"/>
  <c r="BC55" i="19"/>
  <c r="BH55" i="19"/>
  <c r="BJ55" i="19"/>
  <c r="BL55" i="19"/>
  <c r="BN55" i="19"/>
  <c r="BP55" i="19"/>
  <c r="BY55" i="19"/>
  <c r="CA55" i="19"/>
  <c r="CC55" i="19"/>
  <c r="CL55" i="19"/>
  <c r="CN55" i="19"/>
  <c r="CU55" i="19"/>
  <c r="CW55" i="19"/>
  <c r="DA55" i="19"/>
  <c r="DC55" i="19"/>
  <c r="DP55" i="19"/>
  <c r="B30" i="12"/>
  <c r="C31" i="12"/>
  <c r="D31" i="12"/>
  <c r="E31" i="12"/>
  <c r="AI58" i="19" l="1"/>
  <c r="DK58" i="19" s="1"/>
  <c r="AT58" i="19"/>
  <c r="M55" i="19"/>
  <c r="CG55" i="19" s="1"/>
  <c r="BG55" i="19"/>
  <c r="M58" i="19"/>
  <c r="CG58" i="19" s="1"/>
  <c r="BG58" i="19"/>
  <c r="BT55" i="19"/>
  <c r="BT58" i="19"/>
  <c r="AT55" i="19"/>
  <c r="AI55" i="19"/>
  <c r="DK55" i="19" s="1"/>
  <c r="X55" i="19"/>
  <c r="CT55" i="19" s="1"/>
  <c r="F31" i="12"/>
  <c r="DZ57" i="19"/>
  <c r="CB83" i="4"/>
  <c r="D15" i="29" l="1"/>
  <c r="D16" i="29"/>
  <c r="D56" i="31" s="1"/>
  <c r="D60" i="31" s="1"/>
  <c r="DZ55" i="19"/>
  <c r="CG176" i="5"/>
  <c r="CL57" i="5"/>
  <c r="CL55" i="5"/>
  <c r="CL56" i="5"/>
  <c r="CC254" i="5"/>
  <c r="CD254" i="5"/>
  <c r="CE254" i="5"/>
  <c r="CF254" i="5"/>
  <c r="CG254" i="5"/>
  <c r="D71" i="31" l="1"/>
  <c r="CG86" i="5"/>
  <c r="Z54" i="28"/>
  <c r="BW46" i="4" s="1"/>
  <c r="Z55" i="28"/>
  <c r="BW47" i="4" s="1"/>
  <c r="Z56" i="28"/>
  <c r="BW48" i="4" s="1"/>
  <c r="Z57" i="28"/>
  <c r="Z63" i="28"/>
  <c r="BW61" i="4" s="1"/>
  <c r="BW67" i="4" s="1"/>
  <c r="Y57" i="28"/>
  <c r="Y56" i="28"/>
  <c r="Y55" i="28"/>
  <c r="Y54" i="28"/>
  <c r="Z29" i="28"/>
  <c r="Z30" i="28"/>
  <c r="Z32" i="28"/>
  <c r="Z33" i="28"/>
  <c r="Z35" i="28"/>
  <c r="Y36" i="28"/>
  <c r="Y35" i="28"/>
  <c r="Y33" i="28"/>
  <c r="Y32" i="28"/>
  <c r="Y30" i="28"/>
  <c r="Y29" i="28"/>
  <c r="BW10" i="4"/>
  <c r="Z17" i="28"/>
  <c r="BW11" i="4" s="1"/>
  <c r="Z18" i="28"/>
  <c r="BW12" i="4" s="1"/>
  <c r="BW13" i="4"/>
  <c r="BW14" i="4"/>
  <c r="BW15" i="4"/>
  <c r="BW16" i="4"/>
  <c r="Y18" i="28"/>
  <c r="Y17" i="28"/>
  <c r="D16" i="30" l="1"/>
  <c r="BW24" i="4"/>
  <c r="BW24" i="5" s="1"/>
  <c r="BW18" i="4"/>
  <c r="BW23" i="4"/>
  <c r="BW22" i="4"/>
  <c r="BW56" i="4"/>
  <c r="E55" i="5"/>
  <c r="E56" i="5"/>
  <c r="E57" i="5"/>
  <c r="D55" i="5"/>
  <c r="D56" i="5"/>
  <c r="CT4" i="22"/>
  <c r="CT5" i="22"/>
  <c r="CT3" i="22"/>
  <c r="CG4" i="22"/>
  <c r="CG5" i="22"/>
  <c r="CG3" i="22"/>
  <c r="BW11" i="22"/>
  <c r="BY11" i="22"/>
  <c r="CA11" i="22"/>
  <c r="CC11" i="22"/>
  <c r="BW12" i="22"/>
  <c r="BY12" i="22"/>
  <c r="CA12" i="22"/>
  <c r="CC12" i="22"/>
  <c r="BW13" i="22"/>
  <c r="BY13" i="22"/>
  <c r="CA13" i="22"/>
  <c r="CC13" i="22"/>
  <c r="BY10" i="19"/>
  <c r="CA10" i="19"/>
  <c r="CC10" i="19"/>
  <c r="BW59" i="22"/>
  <c r="BY59" i="22"/>
  <c r="CA59" i="22"/>
  <c r="CC59" i="22"/>
  <c r="BW63" i="22"/>
  <c r="BY63" i="22"/>
  <c r="CA63" i="22"/>
  <c r="CC63" i="22"/>
  <c r="BY11" i="19"/>
  <c r="CA11" i="19"/>
  <c r="CC11" i="19"/>
  <c r="BY12" i="19"/>
  <c r="CA12" i="19"/>
  <c r="CC12" i="19"/>
  <c r="AL232" i="5"/>
  <c r="AM232" i="5"/>
  <c r="AN232" i="5"/>
  <c r="AO232" i="5"/>
  <c r="AP232" i="5"/>
  <c r="AL254" i="5"/>
  <c r="AM254" i="5"/>
  <c r="AN254" i="5"/>
  <c r="AO254" i="5"/>
  <c r="AP254" i="5"/>
  <c r="AL258" i="5"/>
  <c r="AM258" i="5"/>
  <c r="AN258" i="5"/>
  <c r="AO258" i="5"/>
  <c r="AP258" i="5"/>
  <c r="AL292" i="5"/>
  <c r="AM292" i="5"/>
  <c r="AN292" i="5"/>
  <c r="AO292" i="5"/>
  <c r="AP292" i="5"/>
  <c r="AL314" i="5"/>
  <c r="AM314" i="5"/>
  <c r="AN314" i="5"/>
  <c r="AO314" i="5"/>
  <c r="AP314" i="5"/>
  <c r="AL318" i="5"/>
  <c r="AM318" i="5"/>
  <c r="AN318" i="5"/>
  <c r="AO318" i="5"/>
  <c r="AP318" i="5"/>
  <c r="AL361" i="5"/>
  <c r="AL189" i="5" s="1"/>
  <c r="BW76" i="19" s="1"/>
  <c r="AM361" i="5"/>
  <c r="AM189" i="5" s="1"/>
  <c r="AN361" i="5"/>
  <c r="AN189" i="5" s="1"/>
  <c r="AO361" i="5"/>
  <c r="AO189" i="5" s="1"/>
  <c r="AL382" i="5"/>
  <c r="AL192" i="5" s="1"/>
  <c r="BW79" i="19" s="1"/>
  <c r="AM382" i="5"/>
  <c r="AM192" i="5" s="1"/>
  <c r="AN382" i="5"/>
  <c r="AN192" i="5" s="1"/>
  <c r="AO382" i="5"/>
  <c r="AO192" i="5" s="1"/>
  <c r="AP382" i="5"/>
  <c r="AP192" i="5" s="1"/>
  <c r="CH79" i="19" s="1"/>
  <c r="AM89" i="5"/>
  <c r="AN89" i="5"/>
  <c r="AO89" i="5"/>
  <c r="AP89" i="5"/>
  <c r="CH18" i="19" s="1"/>
  <c r="AL93" i="5"/>
  <c r="BW22" i="19" s="1"/>
  <c r="AM93" i="5"/>
  <c r="AN93" i="5"/>
  <c r="AO93" i="5"/>
  <c r="AP93" i="5"/>
  <c r="CH22" i="19" s="1"/>
  <c r="AL94" i="5"/>
  <c r="AM94" i="5"/>
  <c r="AM341" i="5" s="1"/>
  <c r="AM346" i="5" s="1"/>
  <c r="AN94" i="5"/>
  <c r="AN341" i="5" s="1"/>
  <c r="AN346" i="5" s="1"/>
  <c r="AO94" i="5"/>
  <c r="AO341" i="5" s="1"/>
  <c r="AO346" i="5" s="1"/>
  <c r="AP94" i="5"/>
  <c r="CH23" i="19" s="1"/>
  <c r="AL100" i="5"/>
  <c r="BW28" i="19" s="1"/>
  <c r="AM100" i="5"/>
  <c r="BY28" i="19" s="1"/>
  <c r="AN100" i="5"/>
  <c r="CA28" i="19" s="1"/>
  <c r="AO100" i="5"/>
  <c r="CC28" i="19" s="1"/>
  <c r="AP100" i="5"/>
  <c r="CH28" i="19" s="1"/>
  <c r="AL193" i="5"/>
  <c r="BW80" i="19" s="1"/>
  <c r="AM193" i="5"/>
  <c r="AN193" i="5"/>
  <c r="AO193" i="5"/>
  <c r="AP193" i="5"/>
  <c r="CH80" i="19" s="1"/>
  <c r="AL55" i="5"/>
  <c r="BW47" i="22" s="1"/>
  <c r="AM55" i="5"/>
  <c r="BY47" i="22" s="1"/>
  <c r="AN55" i="5"/>
  <c r="CA47" i="22" s="1"/>
  <c r="AO55" i="5"/>
  <c r="CC47" i="22" s="1"/>
  <c r="AP55" i="5"/>
  <c r="CH47" i="22" s="1"/>
  <c r="AL56" i="5"/>
  <c r="BW49" i="22" s="1"/>
  <c r="AM56" i="5"/>
  <c r="BY49" i="22" s="1"/>
  <c r="AN56" i="5"/>
  <c r="CA49" i="22" s="1"/>
  <c r="AO56" i="5"/>
  <c r="CC49" i="22" s="1"/>
  <c r="AP56" i="5"/>
  <c r="CH49" i="22" s="1"/>
  <c r="AL57" i="5"/>
  <c r="AM57" i="5"/>
  <c r="AN57" i="5"/>
  <c r="AO57" i="5"/>
  <c r="AP57" i="5"/>
  <c r="AP10" i="5"/>
  <c r="AP11" i="5"/>
  <c r="AP12" i="5"/>
  <c r="AP13" i="5"/>
  <c r="AP14" i="5"/>
  <c r="AP15" i="5"/>
  <c r="AP22" i="5"/>
  <c r="AP46" i="5"/>
  <c r="AP47" i="5"/>
  <c r="AP50" i="5"/>
  <c r="FW57" i="26"/>
  <c r="AO49" i="4" s="1"/>
  <c r="AO54" i="5" s="1"/>
  <c r="CC46" i="22" s="1"/>
  <c r="FV57" i="26"/>
  <c r="FW56" i="26"/>
  <c r="AO48" i="4" s="1"/>
  <c r="AO50" i="5" s="1"/>
  <c r="CC45" i="22" s="1"/>
  <c r="FV56" i="26"/>
  <c r="FW55" i="26"/>
  <c r="AO47" i="4" s="1"/>
  <c r="AO47" i="5" s="1"/>
  <c r="CC42" i="22" s="1"/>
  <c r="FV55" i="26"/>
  <c r="FW54" i="26"/>
  <c r="AO46" i="4" s="1"/>
  <c r="FV54" i="26"/>
  <c r="FW47" i="26"/>
  <c r="AO29" i="4" s="1"/>
  <c r="FV47" i="26"/>
  <c r="FW46" i="26"/>
  <c r="AO28" i="4" s="1"/>
  <c r="FV46" i="26"/>
  <c r="FW45" i="26"/>
  <c r="FV45" i="26"/>
  <c r="FW44" i="26"/>
  <c r="FV44" i="26"/>
  <c r="FW42" i="26"/>
  <c r="FV42" i="26"/>
  <c r="FW41" i="26"/>
  <c r="FV41" i="26"/>
  <c r="FW39" i="26"/>
  <c r="FV39" i="26"/>
  <c r="FW38" i="26"/>
  <c r="FV38" i="26"/>
  <c r="FW36" i="26"/>
  <c r="FV36" i="26"/>
  <c r="FW35" i="26"/>
  <c r="FV35" i="26"/>
  <c r="FW33" i="26"/>
  <c r="FV33" i="26"/>
  <c r="FW32" i="26"/>
  <c r="FV32" i="26"/>
  <c r="FW30" i="26"/>
  <c r="FV30" i="26"/>
  <c r="FW29" i="26"/>
  <c r="FV29" i="26"/>
  <c r="FW22" i="26"/>
  <c r="AO16" i="4" s="1"/>
  <c r="AO16" i="5" s="1"/>
  <c r="CC21" i="22" s="1"/>
  <c r="FV22" i="26"/>
  <c r="FW21" i="26"/>
  <c r="AO15" i="4" s="1"/>
  <c r="FV21" i="26"/>
  <c r="FW20" i="26"/>
  <c r="AO14" i="4" s="1"/>
  <c r="FV20" i="26"/>
  <c r="FW19" i="26"/>
  <c r="AO13" i="4" s="1"/>
  <c r="AO13" i="5" s="1"/>
  <c r="CC18" i="22" s="1"/>
  <c r="FV19" i="26"/>
  <c r="FW18" i="26"/>
  <c r="AO12" i="4" s="1"/>
  <c r="AO12" i="5" s="1"/>
  <c r="CC17" i="22" s="1"/>
  <c r="FV18" i="26"/>
  <c r="FW17" i="26"/>
  <c r="AO11" i="4" s="1"/>
  <c r="AO11" i="5" s="1"/>
  <c r="CC16" i="22" s="1"/>
  <c r="FV17" i="26"/>
  <c r="FW16" i="26"/>
  <c r="FV16" i="26"/>
  <c r="FQ57" i="26"/>
  <c r="AN49" i="4" s="1"/>
  <c r="AN54" i="5" s="1"/>
  <c r="CA46" i="22" s="1"/>
  <c r="FP57" i="26"/>
  <c r="FQ56" i="26"/>
  <c r="AN48" i="4" s="1"/>
  <c r="AN50" i="5" s="1"/>
  <c r="CA45" i="22" s="1"/>
  <c r="FP56" i="26"/>
  <c r="FQ55" i="26"/>
  <c r="AN47" i="4" s="1"/>
  <c r="AN47" i="5" s="1"/>
  <c r="CA42" i="22" s="1"/>
  <c r="FP55" i="26"/>
  <c r="FQ54" i="26"/>
  <c r="AN46" i="4" s="1"/>
  <c r="AN46" i="5" s="1"/>
  <c r="FP54" i="26"/>
  <c r="FQ47" i="26"/>
  <c r="AN29" i="4" s="1"/>
  <c r="FP47" i="26"/>
  <c r="FQ46" i="26"/>
  <c r="AN28" i="4" s="1"/>
  <c r="FP46" i="26"/>
  <c r="FQ45" i="26"/>
  <c r="FP45" i="26"/>
  <c r="FQ44" i="26"/>
  <c r="FP44" i="26"/>
  <c r="FQ42" i="26"/>
  <c r="FP42" i="26"/>
  <c r="FQ41" i="26"/>
  <c r="FP41" i="26"/>
  <c r="FQ39" i="26"/>
  <c r="FP39" i="26"/>
  <c r="FQ38" i="26"/>
  <c r="FP38" i="26"/>
  <c r="FQ36" i="26"/>
  <c r="FP36" i="26"/>
  <c r="FQ35" i="26"/>
  <c r="FP35" i="26"/>
  <c r="FQ33" i="26"/>
  <c r="FP33" i="26"/>
  <c r="FQ32" i="26"/>
  <c r="FP32" i="26"/>
  <c r="FQ30" i="26"/>
  <c r="FP30" i="26"/>
  <c r="FQ29" i="26"/>
  <c r="FP29" i="26"/>
  <c r="AN16" i="5"/>
  <c r="CA21" i="22" s="1"/>
  <c r="FP19" i="26"/>
  <c r="FR19" i="26" s="1"/>
  <c r="FQ21" i="26"/>
  <c r="FP21" i="26"/>
  <c r="FQ20" i="26"/>
  <c r="FP20" i="26"/>
  <c r="FQ18" i="26"/>
  <c r="FP18" i="26"/>
  <c r="FQ17" i="26"/>
  <c r="AN11" i="4" s="1"/>
  <c r="AN11" i="5" s="1"/>
  <c r="CA16" i="22" s="1"/>
  <c r="FP17" i="26"/>
  <c r="FQ16" i="26"/>
  <c r="FP16" i="26"/>
  <c r="FM57" i="26"/>
  <c r="AM49" i="4" s="1"/>
  <c r="AM54" i="5" s="1"/>
  <c r="BY46" i="22" s="1"/>
  <c r="FL57" i="26"/>
  <c r="FM56" i="26"/>
  <c r="AM48" i="4" s="1"/>
  <c r="AM50" i="5" s="1"/>
  <c r="BY45" i="22" s="1"/>
  <c r="FL56" i="26"/>
  <c r="FM55" i="26"/>
  <c r="AM47" i="4" s="1"/>
  <c r="AM47" i="5" s="1"/>
  <c r="BY42" i="22" s="1"/>
  <c r="FL55" i="26"/>
  <c r="FM54" i="26"/>
  <c r="AM46" i="4" s="1"/>
  <c r="AM46" i="5" s="1"/>
  <c r="FL54" i="26"/>
  <c r="FM47" i="26"/>
  <c r="AM29" i="4" s="1"/>
  <c r="FL47" i="26"/>
  <c r="FM46" i="26"/>
  <c r="AM28" i="4" s="1"/>
  <c r="FL46" i="26"/>
  <c r="FM45" i="26"/>
  <c r="FL45" i="26"/>
  <c r="FM44" i="26"/>
  <c r="FL44" i="26"/>
  <c r="FM42" i="26"/>
  <c r="FL42" i="26"/>
  <c r="FM41" i="26"/>
  <c r="FL41" i="26"/>
  <c r="FM39" i="26"/>
  <c r="FL39" i="26"/>
  <c r="FM38" i="26"/>
  <c r="FL38" i="26"/>
  <c r="FM36" i="26"/>
  <c r="FL36" i="26"/>
  <c r="FM35" i="26"/>
  <c r="FL35" i="26"/>
  <c r="FM33" i="26"/>
  <c r="FL33" i="26"/>
  <c r="FM32" i="26"/>
  <c r="FL32" i="26"/>
  <c r="FM30" i="26"/>
  <c r="FL30" i="26"/>
  <c r="FM29" i="26"/>
  <c r="FL29" i="26"/>
  <c r="FM22" i="26"/>
  <c r="AM16" i="4" s="1"/>
  <c r="AM16" i="5" s="1"/>
  <c r="BY21" i="22" s="1"/>
  <c r="FL22" i="26"/>
  <c r="FM21" i="26"/>
  <c r="AM15" i="4" s="1"/>
  <c r="AM15" i="5" s="1"/>
  <c r="BY20" i="22" s="1"/>
  <c r="FL21" i="26"/>
  <c r="FM20" i="26"/>
  <c r="AM14" i="4" s="1"/>
  <c r="AM14" i="5" s="1"/>
  <c r="BY19" i="22" s="1"/>
  <c r="FL20" i="26"/>
  <c r="AM13" i="4"/>
  <c r="AM13" i="5" s="1"/>
  <c r="BY18" i="22" s="1"/>
  <c r="FL19" i="26"/>
  <c r="FM18" i="26"/>
  <c r="AM12" i="4" s="1"/>
  <c r="AM12" i="5" s="1"/>
  <c r="BY17" i="22" s="1"/>
  <c r="FL18" i="26"/>
  <c r="FM17" i="26"/>
  <c r="AM11" i="4" s="1"/>
  <c r="AM11" i="5" s="1"/>
  <c r="BY16" i="22" s="1"/>
  <c r="FL17" i="26"/>
  <c r="FM16" i="26"/>
  <c r="FL16" i="26"/>
  <c r="FG57" i="26"/>
  <c r="AL49" i="4" s="1"/>
  <c r="AL54" i="5" s="1"/>
  <c r="BW46" i="22" s="1"/>
  <c r="FF57" i="26"/>
  <c r="FG56" i="26"/>
  <c r="AL48" i="4" s="1"/>
  <c r="AL50" i="5" s="1"/>
  <c r="BW45" i="22" s="1"/>
  <c r="FF56" i="26"/>
  <c r="FG55" i="26"/>
  <c r="AL47" i="4" s="1"/>
  <c r="AL47" i="5" s="1"/>
  <c r="BW42" i="22" s="1"/>
  <c r="FF55" i="26"/>
  <c r="FG54" i="26"/>
  <c r="AL46" i="4" s="1"/>
  <c r="AL46" i="5" s="1"/>
  <c r="FF54" i="26"/>
  <c r="FG47" i="26"/>
  <c r="AL29" i="4" s="1"/>
  <c r="FF47" i="26"/>
  <c r="FG46" i="26"/>
  <c r="AL28" i="4" s="1"/>
  <c r="FF46" i="26"/>
  <c r="FG45" i="26"/>
  <c r="FF45" i="26"/>
  <c r="FG44" i="26"/>
  <c r="FF44" i="26"/>
  <c r="FG42" i="26"/>
  <c r="FF42" i="26"/>
  <c r="FG41" i="26"/>
  <c r="FF41" i="26"/>
  <c r="FG39" i="26"/>
  <c r="FF39" i="26"/>
  <c r="FG38" i="26"/>
  <c r="FF38" i="26"/>
  <c r="FG36" i="26"/>
  <c r="FF36" i="26"/>
  <c r="FG35" i="26"/>
  <c r="FF35" i="26"/>
  <c r="FG33" i="26"/>
  <c r="FF33" i="26"/>
  <c r="FG32" i="26"/>
  <c r="FF32" i="26"/>
  <c r="FG30" i="26"/>
  <c r="FF30" i="26"/>
  <c r="FG29" i="26"/>
  <c r="FF29" i="26"/>
  <c r="FG22" i="26"/>
  <c r="AL16" i="4" s="1"/>
  <c r="AL16" i="5" s="1"/>
  <c r="BW21" i="22" s="1"/>
  <c r="FF22" i="26"/>
  <c r="FG21" i="26"/>
  <c r="AL15" i="4" s="1"/>
  <c r="AL15" i="5" s="1"/>
  <c r="BW20" i="22" s="1"/>
  <c r="FF21" i="26"/>
  <c r="FG20" i="26"/>
  <c r="AL14" i="4" s="1"/>
  <c r="AL14" i="5" s="1"/>
  <c r="BW19" i="22" s="1"/>
  <c r="FF20" i="26"/>
  <c r="AL13" i="4"/>
  <c r="AL13" i="5" s="1"/>
  <c r="BW18" i="22" s="1"/>
  <c r="FF19" i="26"/>
  <c r="FG18" i="26"/>
  <c r="AL12" i="4" s="1"/>
  <c r="AL12" i="5" s="1"/>
  <c r="BW17" i="22" s="1"/>
  <c r="FF18" i="26"/>
  <c r="FG17" i="26"/>
  <c r="AL11" i="4" s="1"/>
  <c r="AL11" i="5" s="1"/>
  <c r="BW16" i="22" s="1"/>
  <c r="FF17" i="26"/>
  <c r="FG16" i="26"/>
  <c r="FF16" i="26"/>
  <c r="FG63" i="26"/>
  <c r="FM63" i="26"/>
  <c r="FQ63" i="26"/>
  <c r="L29" i="25" l="1"/>
  <c r="AN12" i="4"/>
  <c r="AN12" i="5" s="1"/>
  <c r="CA17" i="22" s="1"/>
  <c r="FR18" i="26"/>
  <c r="AN15" i="4"/>
  <c r="AN15" i="5" s="1"/>
  <c r="CA20" i="22" s="1"/>
  <c r="FR21" i="26"/>
  <c r="AN14" i="4"/>
  <c r="AN14" i="5" s="1"/>
  <c r="CA19" i="22" s="1"/>
  <c r="FR20" i="26"/>
  <c r="AN13" i="5"/>
  <c r="CA18" i="22" s="1"/>
  <c r="AO25" i="4"/>
  <c r="AO25" i="5" s="1"/>
  <c r="CC30" i="22" s="1"/>
  <c r="FF49" i="26"/>
  <c r="AO15" i="5"/>
  <c r="CC20" i="22" s="1"/>
  <c r="FV24" i="26"/>
  <c r="AM23" i="4"/>
  <c r="AM23" i="5" s="1"/>
  <c r="BY28" i="22" s="1"/>
  <c r="AM26" i="4"/>
  <c r="AM26" i="5" s="1"/>
  <c r="BY31" i="22" s="1"/>
  <c r="FW49" i="26"/>
  <c r="AO23" i="4"/>
  <c r="AO23" i="5" s="1"/>
  <c r="CC28" i="22" s="1"/>
  <c r="AM25" i="4"/>
  <c r="AM25" i="5" s="1"/>
  <c r="BY30" i="22" s="1"/>
  <c r="AO24" i="4"/>
  <c r="AO24" i="5" s="1"/>
  <c r="CC29" i="22" s="1"/>
  <c r="AO26" i="4"/>
  <c r="AO26" i="5" s="1"/>
  <c r="CC31" i="22" s="1"/>
  <c r="AO27" i="4"/>
  <c r="AO27" i="5" s="1"/>
  <c r="CC32" i="22" s="1"/>
  <c r="FP49" i="26"/>
  <c r="FF24" i="26"/>
  <c r="FL49" i="26"/>
  <c r="FP24" i="26"/>
  <c r="FV49" i="26"/>
  <c r="FL24" i="26"/>
  <c r="AL24" i="4"/>
  <c r="AL24" i="5" s="1"/>
  <c r="BW29" i="22" s="1"/>
  <c r="AL27" i="4"/>
  <c r="AL27" i="5" s="1"/>
  <c r="BW32" i="22" s="1"/>
  <c r="AN27" i="4"/>
  <c r="AN27" i="5" s="1"/>
  <c r="CA32" i="22" s="1"/>
  <c r="FW24" i="26"/>
  <c r="AL23" i="4"/>
  <c r="AL23" i="5" s="1"/>
  <c r="BW28" i="22" s="1"/>
  <c r="AL25" i="4"/>
  <c r="AL25" i="5" s="1"/>
  <c r="BW30" i="22" s="1"/>
  <c r="AL28" i="5"/>
  <c r="BW33" i="22" s="1"/>
  <c r="AM29" i="5"/>
  <c r="BY34" i="22" s="1"/>
  <c r="AN28" i="5"/>
  <c r="CA33" i="22" s="1"/>
  <c r="AO28" i="5"/>
  <c r="CC33" i="22" s="1"/>
  <c r="AO29" i="5"/>
  <c r="CC34" i="22" s="1"/>
  <c r="AL29" i="5"/>
  <c r="BW34" i="22" s="1"/>
  <c r="AM28" i="5"/>
  <c r="BY33" i="22" s="1"/>
  <c r="AN29" i="5"/>
  <c r="CA34" i="22" s="1"/>
  <c r="AN26" i="4"/>
  <c r="AN26" i="5" s="1"/>
  <c r="CA31" i="22" s="1"/>
  <c r="AN25" i="4"/>
  <c r="AN25" i="5" s="1"/>
  <c r="CA30" i="22" s="1"/>
  <c r="AN24" i="4"/>
  <c r="AN23" i="4"/>
  <c r="FQ49" i="26"/>
  <c r="AL341" i="5"/>
  <c r="AL346" i="5" s="1"/>
  <c r="AL188" i="5" s="1"/>
  <c r="BW75" i="19" s="1"/>
  <c r="BW23" i="19"/>
  <c r="CH45" i="22"/>
  <c r="CH41" i="22"/>
  <c r="CH20" i="22"/>
  <c r="CH18" i="22"/>
  <c r="CH16" i="22"/>
  <c r="CH42" i="22"/>
  <c r="CH27" i="22"/>
  <c r="CH19" i="22"/>
  <c r="CH17" i="22"/>
  <c r="CH15" i="22"/>
  <c r="FG24" i="26"/>
  <c r="BW41" i="4"/>
  <c r="BW42" i="4" s="1"/>
  <c r="BW19" i="4"/>
  <c r="FQ24" i="26"/>
  <c r="FM49" i="26"/>
  <c r="AL331" i="5"/>
  <c r="AN271" i="5"/>
  <c r="AL271" i="5"/>
  <c r="AM27" i="4"/>
  <c r="FM24" i="26"/>
  <c r="FG49" i="26"/>
  <c r="AM24" i="4"/>
  <c r="AN331" i="5"/>
  <c r="AO271" i="5"/>
  <c r="AM271" i="5"/>
  <c r="AO331" i="5"/>
  <c r="AM331" i="5"/>
  <c r="AP341" i="5"/>
  <c r="AP346" i="5" s="1"/>
  <c r="AP188" i="5" s="1"/>
  <c r="CH75" i="19" s="1"/>
  <c r="AN61" i="4"/>
  <c r="FQ69" i="26"/>
  <c r="AL61" i="4"/>
  <c r="AL67" i="4" s="1"/>
  <c r="FG69" i="26"/>
  <c r="AO67" i="4"/>
  <c r="FW69" i="26"/>
  <c r="AM61" i="4"/>
  <c r="AM67" i="4" s="1"/>
  <c r="FM69" i="26"/>
  <c r="AL26" i="4"/>
  <c r="AO46" i="5"/>
  <c r="AO58" i="5" s="1"/>
  <c r="AO56" i="4"/>
  <c r="AL22" i="4"/>
  <c r="AM22" i="4"/>
  <c r="AN22" i="4"/>
  <c r="AN10" i="4"/>
  <c r="AO22" i="4"/>
  <c r="AL10" i="4"/>
  <c r="AL10" i="5" s="1"/>
  <c r="AL18" i="5" s="1"/>
  <c r="AM10" i="4"/>
  <c r="AM10" i="5" s="1"/>
  <c r="AM18" i="5" s="1"/>
  <c r="AO10" i="4"/>
  <c r="AO10" i="5" s="1"/>
  <c r="CC15" i="22" s="1"/>
  <c r="BW41" i="22"/>
  <c r="BW52" i="22" s="1"/>
  <c r="AL58" i="5"/>
  <c r="CA41" i="22"/>
  <c r="CA52" i="22" s="1"/>
  <c r="AN58" i="5"/>
  <c r="AM58" i="5"/>
  <c r="CH30" i="22"/>
  <c r="AP54" i="5"/>
  <c r="AO14" i="5"/>
  <c r="CC19" i="22" s="1"/>
  <c r="AP271" i="5"/>
  <c r="AP63" i="5" s="1"/>
  <c r="AP331" i="5"/>
  <c r="BY41" i="22"/>
  <c r="BY52" i="22" s="1"/>
  <c r="AN188" i="5"/>
  <c r="CA75" i="19" s="1"/>
  <c r="AO188" i="5"/>
  <c r="CC75" i="19" s="1"/>
  <c r="AM188" i="5"/>
  <c r="BY75" i="19" s="1"/>
  <c r="AN56" i="4"/>
  <c r="AM56" i="4"/>
  <c r="AL56" i="4"/>
  <c r="FW59" i="26"/>
  <c r="FQ59" i="26"/>
  <c r="FM59" i="26"/>
  <c r="FV59" i="26"/>
  <c r="FX33" i="26"/>
  <c r="FX32" i="26"/>
  <c r="FX30" i="26"/>
  <c r="FX22" i="26"/>
  <c r="FX18" i="26"/>
  <c r="FP59" i="26"/>
  <c r="FR33" i="26"/>
  <c r="FR32" i="26"/>
  <c r="FR29" i="26"/>
  <c r="FN33" i="26"/>
  <c r="FN30" i="26"/>
  <c r="FN29" i="26"/>
  <c r="FN19" i="26"/>
  <c r="FN18" i="26"/>
  <c r="FH35" i="26"/>
  <c r="FH33" i="26"/>
  <c r="FH32" i="26"/>
  <c r="FH30" i="26"/>
  <c r="FH29" i="26"/>
  <c r="FH21" i="26"/>
  <c r="FH19" i="26"/>
  <c r="FH18" i="26"/>
  <c r="FH16" i="26"/>
  <c r="FG59" i="26"/>
  <c r="FN57" i="26"/>
  <c r="FH54" i="26"/>
  <c r="FH46" i="26"/>
  <c r="FX45" i="26"/>
  <c r="FR45" i="26"/>
  <c r="FN45" i="26"/>
  <c r="FH45" i="26"/>
  <c r="FX44" i="26"/>
  <c r="FR44" i="26"/>
  <c r="FN44" i="26"/>
  <c r="FH44" i="26"/>
  <c r="FX17" i="26"/>
  <c r="FR17" i="26"/>
  <c r="FN17" i="26"/>
  <c r="FH17" i="26"/>
  <c r="FR16" i="26"/>
  <c r="FN16" i="26"/>
  <c r="FX55" i="26"/>
  <c r="FR54" i="26"/>
  <c r="FN54" i="26"/>
  <c r="FX57" i="26"/>
  <c r="FR57" i="26"/>
  <c r="FL59" i="26"/>
  <c r="FF59" i="26"/>
  <c r="FX42" i="26"/>
  <c r="FR42" i="26"/>
  <c r="FN42" i="26"/>
  <c r="FH42" i="26"/>
  <c r="FX41" i="26"/>
  <c r="FX39" i="26"/>
  <c r="FN39" i="26"/>
  <c r="FH39" i="26"/>
  <c r="FN21" i="26"/>
  <c r="FR56" i="26"/>
  <c r="FH56" i="26"/>
  <c r="FX47" i="26"/>
  <c r="FN47" i="26"/>
  <c r="FH47" i="26"/>
  <c r="FX36" i="26"/>
  <c r="FN36" i="26"/>
  <c r="FH36" i="26"/>
  <c r="FR41" i="26"/>
  <c r="FN41" i="26"/>
  <c r="FH41" i="26"/>
  <c r="FR38" i="26"/>
  <c r="FN38" i="26"/>
  <c r="FH38" i="26"/>
  <c r="FR35" i="26"/>
  <c r="FN35" i="26"/>
  <c r="FN22" i="26"/>
  <c r="FH22" i="26"/>
  <c r="FX20" i="26"/>
  <c r="FN20" i="26"/>
  <c r="FH20" i="26"/>
  <c r="FX56" i="26"/>
  <c r="FN55" i="26"/>
  <c r="FH55" i="26"/>
  <c r="FR46" i="26"/>
  <c r="FN46" i="26"/>
  <c r="FR47" i="26"/>
  <c r="FX46" i="26"/>
  <c r="FR36" i="26"/>
  <c r="FX35" i="26"/>
  <c r="FN32" i="26"/>
  <c r="FR30" i="26"/>
  <c r="FX29" i="26"/>
  <c r="FX19" i="26"/>
  <c r="FH57" i="26"/>
  <c r="FN56" i="26"/>
  <c r="FR55" i="26"/>
  <c r="FX54" i="26"/>
  <c r="FR39" i="26"/>
  <c r="FX38" i="26"/>
  <c r="FX21" i="26"/>
  <c r="FX16" i="26"/>
  <c r="BY19" i="19"/>
  <c r="CA19" i="19"/>
  <c r="CC19" i="19"/>
  <c r="BY18" i="19"/>
  <c r="CA18" i="19"/>
  <c r="CC18" i="19"/>
  <c r="BY22" i="19"/>
  <c r="CA22" i="19"/>
  <c r="CC22" i="19"/>
  <c r="BY23" i="19"/>
  <c r="CA23" i="19"/>
  <c r="CC23" i="19"/>
  <c r="BY26" i="19"/>
  <c r="CA26" i="19"/>
  <c r="CC26" i="19"/>
  <c r="BY27" i="19"/>
  <c r="CA27" i="19"/>
  <c r="CC27" i="19"/>
  <c r="BY31" i="19"/>
  <c r="CA31" i="19"/>
  <c r="CC31" i="19"/>
  <c r="BY32" i="19"/>
  <c r="CA32" i="19"/>
  <c r="CC32" i="19"/>
  <c r="BY33" i="19"/>
  <c r="CA33" i="19"/>
  <c r="CC33" i="19"/>
  <c r="BY47" i="19"/>
  <c r="CA47" i="19"/>
  <c r="CC47" i="19"/>
  <c r="BY48" i="19"/>
  <c r="CA48" i="19"/>
  <c r="CC48" i="19"/>
  <c r="CC71" i="19"/>
  <c r="BY53" i="19"/>
  <c r="CA53" i="19"/>
  <c r="CC53" i="19"/>
  <c r="BY56" i="19"/>
  <c r="CA56" i="19"/>
  <c r="CC56" i="19"/>
  <c r="BY76" i="19"/>
  <c r="CA76" i="19"/>
  <c r="CC76" i="19"/>
  <c r="BY79" i="19"/>
  <c r="CA79" i="19"/>
  <c r="CC79" i="19"/>
  <c r="BY80" i="19"/>
  <c r="CA80" i="19"/>
  <c r="CC80" i="19"/>
  <c r="AR89" i="5"/>
  <c r="AS89" i="5"/>
  <c r="AX89" i="5"/>
  <c r="AY89" i="5"/>
  <c r="AZ89" i="5"/>
  <c r="BA89" i="5"/>
  <c r="DL18" i="19" s="1"/>
  <c r="BB89" i="5"/>
  <c r="G18" i="9" s="1"/>
  <c r="BC89" i="5"/>
  <c r="H18" i="9" s="1"/>
  <c r="AR93" i="5"/>
  <c r="AS93" i="5"/>
  <c r="AU93" i="5"/>
  <c r="AV93" i="5"/>
  <c r="AX93" i="5"/>
  <c r="AY93" i="5"/>
  <c r="AZ93" i="5"/>
  <c r="BA93" i="5"/>
  <c r="DL22" i="19" s="1"/>
  <c r="BB93" i="5"/>
  <c r="G22" i="9" s="1"/>
  <c r="BC93" i="5"/>
  <c r="H22" i="9" s="1"/>
  <c r="AR94" i="5"/>
  <c r="AS94" i="5"/>
  <c r="AU94" i="5"/>
  <c r="AV94" i="5"/>
  <c r="AX94" i="5"/>
  <c r="AY94" i="5"/>
  <c r="AZ94" i="5"/>
  <c r="BA94" i="5"/>
  <c r="DL23" i="19" s="1"/>
  <c r="BB94" i="5"/>
  <c r="G23" i="9" s="1"/>
  <c r="BC94" i="5"/>
  <c r="H23" i="9" s="1"/>
  <c r="AR100" i="5"/>
  <c r="CL28" i="19" s="1"/>
  <c r="AS100" i="5"/>
  <c r="CN28" i="19" s="1"/>
  <c r="AU100" i="5"/>
  <c r="CU28" i="19" s="1"/>
  <c r="AV100" i="5"/>
  <c r="CW28" i="19" s="1"/>
  <c r="AX100" i="5"/>
  <c r="CY28" i="19" s="1"/>
  <c r="AY100" i="5"/>
  <c r="DA28" i="19" s="1"/>
  <c r="AZ100" i="5"/>
  <c r="DC28" i="19" s="1"/>
  <c r="BA100" i="5"/>
  <c r="BB100" i="5"/>
  <c r="G15" i="9" s="1"/>
  <c r="BC100" i="5"/>
  <c r="AR193" i="5"/>
  <c r="AS193" i="5"/>
  <c r="AX193" i="5"/>
  <c r="AY193" i="5"/>
  <c r="AZ193" i="5"/>
  <c r="BA193" i="5"/>
  <c r="DL80" i="19" s="1"/>
  <c r="BB193" i="5"/>
  <c r="G116" i="9" s="1"/>
  <c r="BC193" i="5"/>
  <c r="H116" i="9" s="1"/>
  <c r="AX86" i="5"/>
  <c r="AX85" i="5" s="1"/>
  <c r="AY86" i="5"/>
  <c r="BA86" i="5"/>
  <c r="AX334" i="5"/>
  <c r="AY334" i="5"/>
  <c r="AZ334" i="5"/>
  <c r="BA334" i="5"/>
  <c r="BB334" i="5"/>
  <c r="BB157" i="5" s="1"/>
  <c r="BB172" i="5" s="1"/>
  <c r="BC334" i="5"/>
  <c r="AV92" i="5"/>
  <c r="AX92" i="5"/>
  <c r="AY92" i="5"/>
  <c r="AZ92" i="5"/>
  <c r="BA92" i="5"/>
  <c r="DL21" i="19" s="1"/>
  <c r="BB92" i="5"/>
  <c r="G21" i="9" s="1"/>
  <c r="BC92" i="5"/>
  <c r="H21" i="9" s="1"/>
  <c r="AV135" i="5"/>
  <c r="AX135" i="5"/>
  <c r="AY135" i="5"/>
  <c r="AZ135" i="5"/>
  <c r="BA135" i="5"/>
  <c r="DL49" i="19" s="1"/>
  <c r="H65" i="9"/>
  <c r="BC141" i="5"/>
  <c r="H77" i="9" s="1"/>
  <c r="AX149" i="5"/>
  <c r="BF149" i="5" s="1"/>
  <c r="AZ171" i="4"/>
  <c r="BA171" i="4"/>
  <c r="AX171" i="4"/>
  <c r="AY171" i="4"/>
  <c r="BB171" i="4"/>
  <c r="BC171" i="4"/>
  <c r="AS83" i="4"/>
  <c r="AS86" i="5" s="1"/>
  <c r="AS84" i="4"/>
  <c r="AS86" i="4"/>
  <c r="AS334" i="5" s="1"/>
  <c r="AS87" i="4"/>
  <c r="AS88" i="4"/>
  <c r="AS92" i="4"/>
  <c r="AS92" i="5" s="1"/>
  <c r="AU92" i="5"/>
  <c r="AS93" i="4"/>
  <c r="AS94" i="4"/>
  <c r="AS98" i="4"/>
  <c r="AS99" i="4"/>
  <c r="AS100" i="4"/>
  <c r="AS101" i="4"/>
  <c r="AS102" i="4"/>
  <c r="AS103" i="4"/>
  <c r="AS104" i="4"/>
  <c r="AS105" i="4"/>
  <c r="AS106" i="4"/>
  <c r="AS108" i="4"/>
  <c r="AS109" i="4"/>
  <c r="AS111" i="4"/>
  <c r="AS117" i="4"/>
  <c r="AS118" i="4"/>
  <c r="AS119" i="4"/>
  <c r="AS120" i="4"/>
  <c r="AS135" i="5" s="1"/>
  <c r="AU135" i="5"/>
  <c r="AS121" i="4"/>
  <c r="AS122" i="4"/>
  <c r="AS123" i="4"/>
  <c r="AS124" i="4"/>
  <c r="AS125" i="4"/>
  <c r="AS126" i="4"/>
  <c r="AS127" i="4"/>
  <c r="AS128" i="4"/>
  <c r="AS130" i="4"/>
  <c r="AS131" i="4"/>
  <c r="AS132" i="4"/>
  <c r="AS133" i="4"/>
  <c r="AS134" i="4"/>
  <c r="AS171" i="4"/>
  <c r="AU171" i="4"/>
  <c r="AL83" i="4"/>
  <c r="AL86" i="5" s="1"/>
  <c r="AM83" i="4"/>
  <c r="AM86" i="5" s="1"/>
  <c r="AN83" i="4"/>
  <c r="AN86" i="5" s="1"/>
  <c r="AO83" i="4"/>
  <c r="AO86" i="5" s="1"/>
  <c r="AP83" i="4"/>
  <c r="AP86" i="5" s="1"/>
  <c r="AR83" i="4"/>
  <c r="AR86" i="5" s="1"/>
  <c r="AL84" i="4"/>
  <c r="AM84" i="4"/>
  <c r="AN84" i="4"/>
  <c r="AO84" i="4"/>
  <c r="AP84" i="4"/>
  <c r="AR84" i="4"/>
  <c r="AL86" i="4"/>
  <c r="AL334" i="5" s="1"/>
  <c r="AM86" i="4"/>
  <c r="AM334" i="5" s="1"/>
  <c r="AN86" i="4"/>
  <c r="AN334" i="5" s="1"/>
  <c r="AO86" i="4"/>
  <c r="AO334" i="5" s="1"/>
  <c r="AP86" i="4"/>
  <c r="AP334" i="5" s="1"/>
  <c r="AR86" i="4"/>
  <c r="AR334" i="5" s="1"/>
  <c r="AL87" i="4"/>
  <c r="AM87" i="4"/>
  <c r="AN87" i="4"/>
  <c r="AO87" i="4"/>
  <c r="AP87" i="4"/>
  <c r="AR87" i="4"/>
  <c r="AL88" i="4"/>
  <c r="AM88" i="4"/>
  <c r="AN88" i="4"/>
  <c r="AO88" i="4"/>
  <c r="AP88" i="4"/>
  <c r="AR88" i="4"/>
  <c r="AL92" i="4"/>
  <c r="AM92" i="4"/>
  <c r="AN92" i="4"/>
  <c r="AO92" i="4"/>
  <c r="AP92" i="4"/>
  <c r="AR92" i="4"/>
  <c r="AR92" i="5" s="1"/>
  <c r="AL93" i="4"/>
  <c r="AM93" i="4"/>
  <c r="AN93" i="4"/>
  <c r="AO93" i="4"/>
  <c r="AP93" i="4"/>
  <c r="AR93" i="4"/>
  <c r="AL94" i="4"/>
  <c r="AM94" i="4"/>
  <c r="AN94" i="4"/>
  <c r="AO94" i="4"/>
  <c r="AP94" i="4"/>
  <c r="AR94" i="4"/>
  <c r="AL98" i="4"/>
  <c r="AM98" i="4"/>
  <c r="AN98" i="4"/>
  <c r="AO98" i="4"/>
  <c r="AP98" i="4"/>
  <c r="AR98" i="4"/>
  <c r="AL99" i="4"/>
  <c r="AM99" i="4"/>
  <c r="AN99" i="4"/>
  <c r="AO99" i="4"/>
  <c r="AP99" i="4"/>
  <c r="AR99" i="4"/>
  <c r="AL100" i="4"/>
  <c r="AM100" i="4"/>
  <c r="AN100" i="4"/>
  <c r="AO100" i="4"/>
  <c r="AP100" i="4"/>
  <c r="AR100" i="4"/>
  <c r="AL101" i="4"/>
  <c r="AM101" i="4"/>
  <c r="AN101" i="4"/>
  <c r="AO101" i="4"/>
  <c r="AP101" i="4"/>
  <c r="AR101" i="4"/>
  <c r="AL102" i="4"/>
  <c r="AM102" i="4"/>
  <c r="AN102" i="4"/>
  <c r="AO102" i="4"/>
  <c r="AP102" i="4"/>
  <c r="AR102" i="4"/>
  <c r="AL103" i="4"/>
  <c r="AM103" i="4"/>
  <c r="AN103" i="4"/>
  <c r="AO103" i="4"/>
  <c r="AP103" i="4"/>
  <c r="AR103" i="4"/>
  <c r="AL104" i="4"/>
  <c r="AM104" i="4"/>
  <c r="AN104" i="4"/>
  <c r="AO104" i="4"/>
  <c r="AP104" i="4"/>
  <c r="AR104" i="4"/>
  <c r="AL105" i="4"/>
  <c r="AM105" i="4"/>
  <c r="AN105" i="4"/>
  <c r="AO105" i="4"/>
  <c r="AP105" i="4"/>
  <c r="AR105" i="4"/>
  <c r="AL106" i="4"/>
  <c r="AM106" i="4"/>
  <c r="AN106" i="4"/>
  <c r="AO106" i="4"/>
  <c r="AP106" i="4"/>
  <c r="AR106" i="4"/>
  <c r="AL108" i="4"/>
  <c r="AM108" i="4"/>
  <c r="AN108" i="4"/>
  <c r="AO108" i="4"/>
  <c r="AP108" i="4"/>
  <c r="AR108" i="4"/>
  <c r="AL109" i="4"/>
  <c r="AM109" i="4"/>
  <c r="AN109" i="4"/>
  <c r="AO109" i="4"/>
  <c r="AP109" i="4"/>
  <c r="AR109" i="4"/>
  <c r="AL111" i="4"/>
  <c r="AM111" i="4"/>
  <c r="AN111" i="4"/>
  <c r="AO111" i="4"/>
  <c r="AP111" i="4"/>
  <c r="AR111" i="4"/>
  <c r="AL117" i="4"/>
  <c r="AL132" i="5" s="1"/>
  <c r="BW46" i="19" s="1"/>
  <c r="AM117" i="4"/>
  <c r="AM132" i="5" s="1"/>
  <c r="AN117" i="4"/>
  <c r="AN132" i="5" s="1"/>
  <c r="AO132" i="5"/>
  <c r="AP117" i="4"/>
  <c r="AP132" i="5" s="1"/>
  <c r="CH46" i="19" s="1"/>
  <c r="AR117" i="4"/>
  <c r="AL118" i="4"/>
  <c r="AM118" i="4"/>
  <c r="AN118" i="4"/>
  <c r="AO118" i="4"/>
  <c r="AP118" i="4"/>
  <c r="AR118" i="4"/>
  <c r="AL119" i="4"/>
  <c r="AM119" i="4"/>
  <c r="AN119" i="4"/>
  <c r="AO119" i="4"/>
  <c r="AP119" i="4"/>
  <c r="AR119" i="4"/>
  <c r="AL120" i="4"/>
  <c r="AL135" i="5" s="1"/>
  <c r="BW49" i="19" s="1"/>
  <c r="AM120" i="4"/>
  <c r="AM135" i="5" s="1"/>
  <c r="BY49" i="19" s="1"/>
  <c r="AN120" i="4"/>
  <c r="AN135" i="5" s="1"/>
  <c r="CA49" i="19" s="1"/>
  <c r="AO120" i="4"/>
  <c r="AO135" i="5" s="1"/>
  <c r="CC49" i="19" s="1"/>
  <c r="AP120" i="4"/>
  <c r="AP135" i="5" s="1"/>
  <c r="CH49" i="19" s="1"/>
  <c r="AR120" i="4"/>
  <c r="AR135" i="5" s="1"/>
  <c r="AL121" i="4"/>
  <c r="AM121" i="4"/>
  <c r="AN121" i="4"/>
  <c r="AO121" i="4"/>
  <c r="AP121" i="4"/>
  <c r="AR121" i="4"/>
  <c r="AL122" i="4"/>
  <c r="AM122" i="4"/>
  <c r="AN122" i="4"/>
  <c r="AO122" i="4"/>
  <c r="AP122" i="4"/>
  <c r="AR122" i="4"/>
  <c r="AL123" i="4"/>
  <c r="AM123" i="4"/>
  <c r="AN123" i="4"/>
  <c r="AO123" i="4"/>
  <c r="AP123" i="4"/>
  <c r="AR123" i="4"/>
  <c r="AL124" i="4"/>
  <c r="AM124" i="4"/>
  <c r="AN124" i="4"/>
  <c r="AO124" i="4"/>
  <c r="AP124" i="4"/>
  <c r="AR124" i="4"/>
  <c r="AL125" i="4"/>
  <c r="AM125" i="4"/>
  <c r="AN125" i="4"/>
  <c r="AO125" i="4"/>
  <c r="AP125" i="4"/>
  <c r="AR125" i="4"/>
  <c r="AL126" i="4"/>
  <c r="AM126" i="4"/>
  <c r="AN126" i="4"/>
  <c r="AO126" i="4"/>
  <c r="AP126" i="4"/>
  <c r="AR126" i="4"/>
  <c r="AL127" i="4"/>
  <c r="AM127" i="4"/>
  <c r="AN127" i="4"/>
  <c r="AO127" i="4"/>
  <c r="AP127" i="4"/>
  <c r="AR127" i="4"/>
  <c r="AL128" i="4"/>
  <c r="AM128" i="4"/>
  <c r="AN128" i="4"/>
  <c r="AO128" i="4"/>
  <c r="AP128" i="4"/>
  <c r="AR128" i="4"/>
  <c r="AL130" i="4"/>
  <c r="AM130" i="4"/>
  <c r="AN130" i="4"/>
  <c r="AO130" i="4"/>
  <c r="AP130" i="4"/>
  <c r="AR130" i="4"/>
  <c r="AL131" i="4"/>
  <c r="AM131" i="4"/>
  <c r="AN131" i="4"/>
  <c r="AO131" i="4"/>
  <c r="AP131" i="4"/>
  <c r="AR131" i="4"/>
  <c r="AL132" i="4"/>
  <c r="AM132" i="4"/>
  <c r="AN132" i="4"/>
  <c r="AO132" i="4"/>
  <c r="AP132" i="4"/>
  <c r="AR132" i="4"/>
  <c r="AL133" i="4"/>
  <c r="AM133" i="4"/>
  <c r="AN133" i="4"/>
  <c r="AO133" i="4"/>
  <c r="AP133" i="4"/>
  <c r="AR133" i="4"/>
  <c r="AL134" i="4"/>
  <c r="AM134" i="4"/>
  <c r="AN134" i="4"/>
  <c r="AO134" i="4"/>
  <c r="AP134" i="4"/>
  <c r="AR134" i="4"/>
  <c r="AL171" i="4"/>
  <c r="AL73" i="4" s="1"/>
  <c r="AM171" i="4"/>
  <c r="AM73" i="4" s="1"/>
  <c r="AN171" i="4"/>
  <c r="AN73" i="4" s="1"/>
  <c r="AO171" i="4"/>
  <c r="AO73" i="4" s="1"/>
  <c r="AP171" i="4"/>
  <c r="AP73" i="4" s="1"/>
  <c r="AP75" i="4" s="1"/>
  <c r="AR171" i="4"/>
  <c r="F11" i="24"/>
  <c r="F12" i="24"/>
  <c r="F13" i="24"/>
  <c r="F10" i="20"/>
  <c r="F11" i="20"/>
  <c r="F12" i="20"/>
  <c r="F19" i="20"/>
  <c r="F26" i="20"/>
  <c r="F27" i="20"/>
  <c r="F31" i="20"/>
  <c r="F47" i="20"/>
  <c r="F48" i="20"/>
  <c r="F51" i="20"/>
  <c r="F52" i="20"/>
  <c r="F53" i="20"/>
  <c r="F54" i="20"/>
  <c r="F55" i="20"/>
  <c r="BI66" i="5"/>
  <c r="F60" i="24" s="1"/>
  <c r="BI71" i="5"/>
  <c r="F64" i="24" s="1"/>
  <c r="BI89" i="5"/>
  <c r="F18" i="20" s="1"/>
  <c r="BI93" i="5"/>
  <c r="F22" i="20" s="1"/>
  <c r="BI94" i="5"/>
  <c r="F23" i="20" s="1"/>
  <c r="BI100" i="5"/>
  <c r="F28" i="20" s="1"/>
  <c r="BI193" i="5"/>
  <c r="F75" i="20" s="1"/>
  <c r="BI232" i="5"/>
  <c r="BI258" i="5"/>
  <c r="F58" i="24"/>
  <c r="BI292" i="5"/>
  <c r="BI314" i="5"/>
  <c r="BI318" i="5"/>
  <c r="BI376" i="5"/>
  <c r="BI191" i="5" s="1"/>
  <c r="F73" i="20" s="1"/>
  <c r="BI382" i="5"/>
  <c r="BI192" i="5" s="1"/>
  <c r="F74" i="20" s="1"/>
  <c r="AJ16" i="27"/>
  <c r="BN22" i="4"/>
  <c r="BN23" i="4"/>
  <c r="BN23" i="5" s="1"/>
  <c r="BN24" i="4"/>
  <c r="BN25" i="4"/>
  <c r="BN25" i="5" s="1"/>
  <c r="BN26" i="4"/>
  <c r="BN27" i="4"/>
  <c r="BN27" i="5" s="1"/>
  <c r="BN28" i="4"/>
  <c r="BN29" i="4"/>
  <c r="BN46" i="4"/>
  <c r="BN48" i="4"/>
  <c r="Q16" i="27"/>
  <c r="R16" i="27"/>
  <c r="Q17" i="27"/>
  <c r="R17" i="27"/>
  <c r="Q18" i="27"/>
  <c r="R18" i="27"/>
  <c r="Q19" i="27"/>
  <c r="R19" i="27"/>
  <c r="Q20" i="27"/>
  <c r="R20" i="27"/>
  <c r="Q21" i="27"/>
  <c r="R21" i="27"/>
  <c r="Q22" i="27"/>
  <c r="Q28" i="27"/>
  <c r="R28" i="27"/>
  <c r="Q29" i="27"/>
  <c r="R29" i="27"/>
  <c r="Q30" i="27"/>
  <c r="R30" i="27"/>
  <c r="Q31" i="27"/>
  <c r="R31" i="27"/>
  <c r="Q32" i="27"/>
  <c r="R32" i="27"/>
  <c r="Q33" i="27"/>
  <c r="R33" i="27"/>
  <c r="Q34" i="27"/>
  <c r="R34" i="27"/>
  <c r="Q35" i="27"/>
  <c r="R35" i="27"/>
  <c r="Q42" i="27"/>
  <c r="R42" i="27"/>
  <c r="Q43" i="27"/>
  <c r="R43" i="27"/>
  <c r="Q44" i="27"/>
  <c r="R44" i="27"/>
  <c r="Q48" i="27"/>
  <c r="R48" i="27"/>
  <c r="R54" i="27"/>
  <c r="R60" i="27" s="1"/>
  <c r="M16" i="27"/>
  <c r="N16" i="27"/>
  <c r="M17" i="27"/>
  <c r="N17" i="27"/>
  <c r="M18" i="27"/>
  <c r="N18" i="27"/>
  <c r="M19" i="27"/>
  <c r="N19" i="27"/>
  <c r="M20" i="27"/>
  <c r="N20" i="27"/>
  <c r="M21" i="27"/>
  <c r="N21" i="27"/>
  <c r="M22" i="27"/>
  <c r="N22" i="27"/>
  <c r="M28" i="27"/>
  <c r="N28" i="27"/>
  <c r="M29" i="27"/>
  <c r="N29" i="27"/>
  <c r="M30" i="27"/>
  <c r="N30" i="27"/>
  <c r="M31" i="27"/>
  <c r="N31" i="27"/>
  <c r="M32" i="27"/>
  <c r="N32" i="27"/>
  <c r="M33" i="27"/>
  <c r="N33" i="27"/>
  <c r="M34" i="27"/>
  <c r="N34" i="27"/>
  <c r="M35" i="27"/>
  <c r="N35" i="27"/>
  <c r="M42" i="27"/>
  <c r="N42" i="27"/>
  <c r="M43" i="27"/>
  <c r="N43" i="27"/>
  <c r="M44" i="27"/>
  <c r="N44" i="27"/>
  <c r="M48" i="27"/>
  <c r="N48" i="27"/>
  <c r="N54" i="27"/>
  <c r="N60" i="27" s="1"/>
  <c r="BI83" i="4"/>
  <c r="BI86" i="5" s="1"/>
  <c r="BJ83" i="4"/>
  <c r="BJ86" i="5" s="1"/>
  <c r="BJ85" i="5" s="1"/>
  <c r="BK83" i="4"/>
  <c r="BK86" i="5" s="1"/>
  <c r="BK85" i="5" s="1"/>
  <c r="BI84" i="4"/>
  <c r="BJ84" i="4"/>
  <c r="BK84" i="4"/>
  <c r="BI86" i="4"/>
  <c r="BI334" i="5" s="1"/>
  <c r="BI88" i="5" s="1"/>
  <c r="F17" i="20" s="1"/>
  <c r="BJ86" i="4"/>
  <c r="BK86" i="4"/>
  <c r="BI87" i="4"/>
  <c r="BJ87" i="4"/>
  <c r="BK87" i="4"/>
  <c r="BI88" i="4"/>
  <c r="BJ88" i="4"/>
  <c r="BK88" i="4"/>
  <c r="BI92" i="4"/>
  <c r="BI92" i="5" s="1"/>
  <c r="F21" i="20" s="1"/>
  <c r="BJ92" i="4"/>
  <c r="BK92" i="4"/>
  <c r="BI93" i="4"/>
  <c r="BJ93" i="4"/>
  <c r="BK93" i="4"/>
  <c r="BI94" i="4"/>
  <c r="BJ94" i="4"/>
  <c r="BK94" i="4"/>
  <c r="BI98" i="4"/>
  <c r="BJ98" i="4"/>
  <c r="BK98" i="4"/>
  <c r="BI99" i="4"/>
  <c r="BJ99" i="4"/>
  <c r="BK99" i="4"/>
  <c r="BI100" i="4"/>
  <c r="BJ100" i="4"/>
  <c r="BK100" i="4"/>
  <c r="BI101" i="4"/>
  <c r="BJ101" i="4"/>
  <c r="BK101" i="4"/>
  <c r="BK103" i="5" s="1"/>
  <c r="BI102" i="4"/>
  <c r="BJ102" i="4"/>
  <c r="BK102" i="4"/>
  <c r="BI103" i="4"/>
  <c r="BJ103" i="4"/>
  <c r="BK103" i="4"/>
  <c r="BI104" i="4"/>
  <c r="BJ104" i="4"/>
  <c r="BK104" i="4"/>
  <c r="BI105" i="4"/>
  <c r="BJ105" i="4"/>
  <c r="BK105" i="4"/>
  <c r="BI106" i="4"/>
  <c r="BJ106" i="4"/>
  <c r="BK106" i="4"/>
  <c r="BI108" i="4"/>
  <c r="BJ108" i="4"/>
  <c r="BK108" i="4"/>
  <c r="BI109" i="4"/>
  <c r="BJ109" i="4"/>
  <c r="BK109" i="4"/>
  <c r="BI110" i="4"/>
  <c r="BJ110" i="4"/>
  <c r="BK110" i="4"/>
  <c r="BI111" i="4"/>
  <c r="BJ111" i="4"/>
  <c r="BK111" i="4"/>
  <c r="BI117" i="4"/>
  <c r="BJ117" i="4"/>
  <c r="BK117" i="4"/>
  <c r="BI118" i="4"/>
  <c r="BJ118" i="4"/>
  <c r="BK118" i="4"/>
  <c r="BI119" i="4"/>
  <c r="BJ119" i="4"/>
  <c r="BK119" i="4"/>
  <c r="BI120" i="4"/>
  <c r="BI135" i="5" s="1"/>
  <c r="F49" i="20" s="1"/>
  <c r="BJ120" i="4"/>
  <c r="BJ135" i="5" s="1"/>
  <c r="BK120" i="4"/>
  <c r="BK135" i="5" s="1"/>
  <c r="BI121" i="4"/>
  <c r="BJ121" i="4"/>
  <c r="BK121" i="4"/>
  <c r="BI122" i="4"/>
  <c r="BJ122" i="4"/>
  <c r="BK122" i="4"/>
  <c r="BI123" i="4"/>
  <c r="BJ123" i="4"/>
  <c r="BK123" i="4"/>
  <c r="BI124" i="4"/>
  <c r="BJ124" i="4"/>
  <c r="BK124" i="4"/>
  <c r="BI125" i="4"/>
  <c r="BJ125" i="4"/>
  <c r="BK125" i="4"/>
  <c r="BI126" i="4"/>
  <c r="BJ126" i="4"/>
  <c r="BK126" i="4"/>
  <c r="BI127" i="4"/>
  <c r="BJ127" i="4"/>
  <c r="BK127" i="4"/>
  <c r="BI128" i="4"/>
  <c r="BJ128" i="4"/>
  <c r="BK128" i="4"/>
  <c r="BI130" i="4"/>
  <c r="BJ130" i="4"/>
  <c r="BK130" i="4"/>
  <c r="BI131" i="4"/>
  <c r="BJ131" i="4"/>
  <c r="BK131" i="4"/>
  <c r="BI132" i="4"/>
  <c r="BJ132" i="4"/>
  <c r="BK132" i="4"/>
  <c r="BI133" i="4"/>
  <c r="BJ133" i="4"/>
  <c r="BK133" i="4"/>
  <c r="BI134" i="4"/>
  <c r="BJ134" i="4"/>
  <c r="BK134" i="4"/>
  <c r="BI171" i="4"/>
  <c r="BI73" i="4" s="1"/>
  <c r="BJ171" i="4"/>
  <c r="BJ73" i="4" s="1"/>
  <c r="BK171" i="4"/>
  <c r="BH84" i="4"/>
  <c r="BH86" i="4"/>
  <c r="BH87" i="4"/>
  <c r="BH88" i="4"/>
  <c r="BH92" i="4"/>
  <c r="BH93" i="4"/>
  <c r="BH94" i="4"/>
  <c r="BH98" i="4"/>
  <c r="BH99" i="4"/>
  <c r="BH100" i="4"/>
  <c r="BH101" i="4"/>
  <c r="BH102" i="4"/>
  <c r="BH103" i="4"/>
  <c r="BH104" i="4"/>
  <c r="BH105" i="4"/>
  <c r="BH106" i="4"/>
  <c r="BH108" i="4"/>
  <c r="BH109" i="4"/>
  <c r="BH110" i="4"/>
  <c r="BH111" i="4"/>
  <c r="BH117" i="4"/>
  <c r="BH118" i="4"/>
  <c r="BH119" i="4"/>
  <c r="BH120" i="4"/>
  <c r="BH135" i="5" s="1"/>
  <c r="BH121" i="4"/>
  <c r="BH122" i="4"/>
  <c r="BH123" i="4"/>
  <c r="BH124" i="4"/>
  <c r="BH125" i="4"/>
  <c r="BH126" i="4"/>
  <c r="BH127" i="4"/>
  <c r="BH128" i="4"/>
  <c r="BH130" i="4"/>
  <c r="BH131" i="4"/>
  <c r="BH132" i="4"/>
  <c r="BH133" i="4"/>
  <c r="BH134" i="4"/>
  <c r="G16" i="27"/>
  <c r="G17" i="27"/>
  <c r="H17" i="27"/>
  <c r="BI11" i="4" s="1"/>
  <c r="G18" i="27"/>
  <c r="H18" i="27"/>
  <c r="BI12" i="4" s="1"/>
  <c r="G19" i="27"/>
  <c r="H19" i="27"/>
  <c r="BI13" i="4" s="1"/>
  <c r="G20" i="27"/>
  <c r="H20" i="27"/>
  <c r="BI14" i="4" s="1"/>
  <c r="G21" i="27"/>
  <c r="H21" i="27"/>
  <c r="BI15" i="4" s="1"/>
  <c r="G22" i="27"/>
  <c r="H22" i="27"/>
  <c r="BI16" i="4" s="1"/>
  <c r="G28" i="27"/>
  <c r="H28" i="27"/>
  <c r="BI22" i="4" s="1"/>
  <c r="G29" i="27"/>
  <c r="H29" i="27"/>
  <c r="BI23" i="4" s="1"/>
  <c r="G30" i="27"/>
  <c r="H30" i="27"/>
  <c r="G31" i="27"/>
  <c r="H31" i="27"/>
  <c r="BI25" i="4" s="1"/>
  <c r="G32" i="27"/>
  <c r="H32" i="27"/>
  <c r="BI26" i="4" s="1"/>
  <c r="G33" i="27"/>
  <c r="H33" i="27"/>
  <c r="BI27" i="4" s="1"/>
  <c r="G34" i="27"/>
  <c r="H34" i="27"/>
  <c r="G35" i="27"/>
  <c r="H35" i="27"/>
  <c r="G42" i="27"/>
  <c r="H42" i="27"/>
  <c r="G43" i="27"/>
  <c r="H43" i="27"/>
  <c r="G44" i="27"/>
  <c r="G48" i="27"/>
  <c r="H48" i="27"/>
  <c r="H54" i="27"/>
  <c r="AN63" i="5" l="1"/>
  <c r="I48" i="27"/>
  <c r="BH171" i="4"/>
  <c r="BP157" i="4"/>
  <c r="AV136" i="4"/>
  <c r="AV173" i="4" s="1"/>
  <c r="FW51" i="26"/>
  <c r="FW61" i="26" s="1"/>
  <c r="FW73" i="26" s="1"/>
  <c r="AV334" i="5"/>
  <c r="AV88" i="5" s="1"/>
  <c r="AV114" i="5" s="1"/>
  <c r="AU334" i="5"/>
  <c r="AU88" i="5" s="1"/>
  <c r="AU114" i="5" s="1"/>
  <c r="G50" i="27"/>
  <c r="AL112" i="4"/>
  <c r="FF51" i="26"/>
  <c r="FF61" i="26" s="1"/>
  <c r="AR136" i="4"/>
  <c r="AR173" i="4" s="1"/>
  <c r="AO136" i="4"/>
  <c r="AO173" i="4" s="1"/>
  <c r="CH68" i="19"/>
  <c r="BW68" i="19"/>
  <c r="AM136" i="4"/>
  <c r="AM173" i="4" s="1"/>
  <c r="AN136" i="4"/>
  <c r="AN173" i="4" s="1"/>
  <c r="AP136" i="4"/>
  <c r="AP173" i="4" s="1"/>
  <c r="AL136" i="4"/>
  <c r="AL173" i="4" s="1"/>
  <c r="AZ86" i="5"/>
  <c r="AZ85" i="5" s="1"/>
  <c r="AZ84" i="5" s="1"/>
  <c r="Q37" i="27"/>
  <c r="R24" i="27"/>
  <c r="BW43" i="4"/>
  <c r="BW59" i="4" s="1"/>
  <c r="BW71" i="4" s="1"/>
  <c r="BW75" i="4" s="1"/>
  <c r="Q24" i="27"/>
  <c r="AH24" i="27"/>
  <c r="AH39" i="27" s="1"/>
  <c r="N37" i="27"/>
  <c r="H50" i="27"/>
  <c r="AH50" i="27"/>
  <c r="AI24" i="27"/>
  <c r="AI39" i="27" s="1"/>
  <c r="AI50" i="27"/>
  <c r="FV51" i="26"/>
  <c r="FV61" i="26" s="1"/>
  <c r="FG51" i="26"/>
  <c r="FG61" i="26" s="1"/>
  <c r="FG73" i="26" s="1"/>
  <c r="FL51" i="26"/>
  <c r="FL61" i="26" s="1"/>
  <c r="FP51" i="26"/>
  <c r="FP61" i="26" s="1"/>
  <c r="AN69" i="5"/>
  <c r="CC41" i="22"/>
  <c r="CC52" i="22" s="1"/>
  <c r="AS112" i="4"/>
  <c r="AL63" i="5"/>
  <c r="AM63" i="5"/>
  <c r="FQ51" i="26"/>
  <c r="FQ61" i="26" s="1"/>
  <c r="FQ73" i="26" s="1"/>
  <c r="BB84" i="5"/>
  <c r="BA85" i="5"/>
  <c r="AX84" i="5"/>
  <c r="H15" i="9"/>
  <c r="AO22" i="5"/>
  <c r="CC27" i="22" s="1"/>
  <c r="CC36" i="22" s="1"/>
  <c r="AN22" i="5"/>
  <c r="CA27" i="22" s="1"/>
  <c r="AL22" i="5"/>
  <c r="BW27" i="22" s="1"/>
  <c r="AN24" i="5"/>
  <c r="CA29" i="22" s="1"/>
  <c r="AM22" i="5"/>
  <c r="BY27" i="22" s="1"/>
  <c r="AL26" i="5"/>
  <c r="BW31" i="22" s="1"/>
  <c r="AM24" i="5"/>
  <c r="BY29" i="22" s="1"/>
  <c r="AM27" i="5"/>
  <c r="BY32" i="22" s="1"/>
  <c r="AN23" i="5"/>
  <c r="CA28" i="22" s="1"/>
  <c r="DL15" i="19"/>
  <c r="DL28" i="19"/>
  <c r="AU136" i="4"/>
  <c r="AU173" i="4" s="1"/>
  <c r="BN41" i="4"/>
  <c r="BN42" i="4" s="1"/>
  <c r="H60" i="27"/>
  <c r="BI61" i="4"/>
  <c r="BI48" i="4"/>
  <c r="BI50" i="5" s="1"/>
  <c r="F45" i="24" s="1"/>
  <c r="BI47" i="4"/>
  <c r="BI47" i="5" s="1"/>
  <c r="F42" i="24" s="1"/>
  <c r="BI46" i="4"/>
  <c r="BI29" i="4"/>
  <c r="BI29" i="5" s="1"/>
  <c r="BI28" i="4"/>
  <c r="BI28" i="5" s="1"/>
  <c r="BI24" i="4"/>
  <c r="BI24" i="5" s="1"/>
  <c r="BI10" i="4"/>
  <c r="BI18" i="4" s="1"/>
  <c r="AJ21" i="27"/>
  <c r="AJ20" i="27"/>
  <c r="AJ19" i="27"/>
  <c r="BK136" i="4"/>
  <c r="BK173" i="4" s="1"/>
  <c r="AS136" i="4"/>
  <c r="AS173" i="4" s="1"/>
  <c r="BK112" i="4"/>
  <c r="AL18" i="4"/>
  <c r="AL19" i="4" s="1"/>
  <c r="AO18" i="4"/>
  <c r="AO19" i="4" s="1"/>
  <c r="AN67" i="4"/>
  <c r="AM41" i="4"/>
  <c r="AM42" i="4" s="1"/>
  <c r="CH15" i="19"/>
  <c r="BW15" i="19"/>
  <c r="BN61" i="4"/>
  <c r="BN56" i="4"/>
  <c r="AP112" i="4"/>
  <c r="AN112" i="4"/>
  <c r="AR112" i="4"/>
  <c r="AO112" i="4"/>
  <c r="AM112" i="4"/>
  <c r="BI136" i="4"/>
  <c r="BI173" i="4" s="1"/>
  <c r="BJ136" i="4"/>
  <c r="BJ173" i="4" s="1"/>
  <c r="BJ112" i="4"/>
  <c r="BI112" i="4"/>
  <c r="AJ35" i="27"/>
  <c r="AJ34" i="27"/>
  <c r="AJ33" i="27"/>
  <c r="AJ32" i="27"/>
  <c r="AJ31" i="27"/>
  <c r="AJ30" i="27"/>
  <c r="AJ18" i="27"/>
  <c r="AN41" i="4"/>
  <c r="AN42" i="4" s="1"/>
  <c r="AM18" i="4"/>
  <c r="AM19" i="4" s="1"/>
  <c r="AO63" i="5"/>
  <c r="CH36" i="22"/>
  <c r="CH57" i="22"/>
  <c r="CH61" i="22" s="1"/>
  <c r="CH46" i="22"/>
  <c r="CH52" i="22" s="1"/>
  <c r="CH21" i="22"/>
  <c r="CH23" i="22" s="1"/>
  <c r="FH24" i="26"/>
  <c r="AJ29" i="27"/>
  <c r="FN59" i="26"/>
  <c r="AL41" i="4"/>
  <c r="AL42" i="4" s="1"/>
  <c r="AO41" i="4"/>
  <c r="AO42" i="4" s="1"/>
  <c r="BY15" i="22"/>
  <c r="BY23" i="22" s="1"/>
  <c r="FM51" i="26"/>
  <c r="FM61" i="26" s="1"/>
  <c r="FM73" i="26" s="1"/>
  <c r="O44" i="27"/>
  <c r="O42" i="27"/>
  <c r="O33" i="27"/>
  <c r="O30" i="27"/>
  <c r="O28" i="27"/>
  <c r="O21" i="27"/>
  <c r="O19" i="27"/>
  <c r="O18" i="27"/>
  <c r="O17" i="27"/>
  <c r="R50" i="27"/>
  <c r="S34" i="27"/>
  <c r="BL28" i="5" s="1"/>
  <c r="S32" i="27"/>
  <c r="S30" i="27"/>
  <c r="BL24" i="5" s="1"/>
  <c r="S29" i="27"/>
  <c r="S21" i="27"/>
  <c r="BL15" i="5" s="1"/>
  <c r="L20" i="24" s="1"/>
  <c r="S18" i="27"/>
  <c r="BL12" i="5" s="1"/>
  <c r="L17" i="24" s="1"/>
  <c r="S16" i="27"/>
  <c r="AJ44" i="27"/>
  <c r="S48" i="27"/>
  <c r="FH49" i="26"/>
  <c r="BA112" i="4"/>
  <c r="FR24" i="26"/>
  <c r="FR59" i="26"/>
  <c r="S42" i="27"/>
  <c r="BL46" i="5" s="1"/>
  <c r="L41" i="24" s="1"/>
  <c r="O22" i="27"/>
  <c r="AJ42" i="27"/>
  <c r="I16" i="27"/>
  <c r="M24" i="27"/>
  <c r="S28" i="27"/>
  <c r="N50" i="27"/>
  <c r="O35" i="27"/>
  <c r="O34" i="27"/>
  <c r="M37" i="27"/>
  <c r="O16" i="27"/>
  <c r="S33" i="27"/>
  <c r="AY112" i="4"/>
  <c r="BC173" i="4"/>
  <c r="BA136" i="4"/>
  <c r="BA173" i="4" s="1"/>
  <c r="AZ112" i="4"/>
  <c r="AX112" i="4"/>
  <c r="CY64" i="19"/>
  <c r="BI85" i="5"/>
  <c r="AO85" i="5"/>
  <c r="AO84" i="5" s="1"/>
  <c r="AJ17" i="27"/>
  <c r="BB173" i="4"/>
  <c r="AY136" i="4"/>
  <c r="AY173" i="4" s="1"/>
  <c r="AN85" i="5"/>
  <c r="AN84" i="5" s="1"/>
  <c r="AL85" i="5"/>
  <c r="AY85" i="5"/>
  <c r="AY84" i="5" s="1"/>
  <c r="O48" i="27"/>
  <c r="M50" i="27"/>
  <c r="O32" i="27"/>
  <c r="O31" i="27"/>
  <c r="O20" i="27"/>
  <c r="S43" i="27"/>
  <c r="Q50" i="27"/>
  <c r="S35" i="27"/>
  <c r="BL29" i="5" s="1"/>
  <c r="S31" i="27"/>
  <c r="S19" i="27"/>
  <c r="BL13" i="5" s="1"/>
  <c r="L18" i="24" s="1"/>
  <c r="S22" i="27"/>
  <c r="BL16" i="5" s="1"/>
  <c r="L21" i="24" s="1"/>
  <c r="CC23" i="22"/>
  <c r="CA57" i="22"/>
  <c r="CA61" i="22" s="1"/>
  <c r="BW15" i="22"/>
  <c r="BW23" i="22" s="1"/>
  <c r="AL19" i="5"/>
  <c r="AS85" i="5"/>
  <c r="AS84" i="5" s="1"/>
  <c r="BI341" i="5"/>
  <c r="BI346" i="5" s="1"/>
  <c r="BI271" i="5"/>
  <c r="AM19" i="5"/>
  <c r="FH59" i="26"/>
  <c r="AN10" i="5"/>
  <c r="AN18" i="4"/>
  <c r="AN19" i="4" s="1"/>
  <c r="FN49" i="26"/>
  <c r="AP41" i="5"/>
  <c r="AP58" i="5"/>
  <c r="AO18" i="5"/>
  <c r="N24" i="27"/>
  <c r="BI331" i="5"/>
  <c r="AP18" i="5"/>
  <c r="AP69" i="5"/>
  <c r="AP177" i="4"/>
  <c r="AP178" i="4" s="1"/>
  <c r="AZ136" i="4"/>
  <c r="AZ173" i="4" s="1"/>
  <c r="AX136" i="4"/>
  <c r="AX173" i="4" s="1"/>
  <c r="CC46" i="19"/>
  <c r="CC68" i="19" s="1"/>
  <c r="BY46" i="19"/>
  <c r="BY68" i="19" s="1"/>
  <c r="AO92" i="5"/>
  <c r="CC21" i="19" s="1"/>
  <c r="AM92" i="5"/>
  <c r="BY21" i="19" s="1"/>
  <c r="AO88" i="5"/>
  <c r="AM88" i="5"/>
  <c r="BY17" i="19" s="1"/>
  <c r="AM85" i="5"/>
  <c r="AM84" i="5" s="1"/>
  <c r="AL369" i="5"/>
  <c r="AL376" i="5" s="1"/>
  <c r="AL191" i="5" s="1"/>
  <c r="BW78" i="19" s="1"/>
  <c r="BW85" i="19" s="1"/>
  <c r="AN369" i="5"/>
  <c r="AN376" i="5" s="1"/>
  <c r="AN191" i="5" s="1"/>
  <c r="CA78" i="19" s="1"/>
  <c r="CA85" i="19" s="1"/>
  <c r="AP92" i="5"/>
  <c r="CH21" i="19" s="1"/>
  <c r="AN92" i="5"/>
  <c r="CA21" i="19" s="1"/>
  <c r="AL92" i="5"/>
  <c r="BW21" i="19" s="1"/>
  <c r="AP88" i="5"/>
  <c r="CH17" i="19" s="1"/>
  <c r="AN88" i="5"/>
  <c r="AL88" i="5"/>
  <c r="BW17" i="19" s="1"/>
  <c r="AN157" i="5"/>
  <c r="AN172" i="5" s="1"/>
  <c r="AM369" i="5"/>
  <c r="AM376" i="5" s="1"/>
  <c r="AO369" i="5"/>
  <c r="AO376" i="5" s="1"/>
  <c r="AO191" i="5" s="1"/>
  <c r="CC78" i="19" s="1"/>
  <c r="CC85" i="19" s="1"/>
  <c r="FX24" i="26"/>
  <c r="FR49" i="26"/>
  <c r="FN24" i="26"/>
  <c r="CA46" i="19"/>
  <c r="CA68" i="19" s="1"/>
  <c r="CA15" i="19"/>
  <c r="AR85" i="5"/>
  <c r="AR84" i="5" s="1"/>
  <c r="CC15" i="19"/>
  <c r="FX49" i="26"/>
  <c r="FX59" i="26"/>
  <c r="O43" i="27"/>
  <c r="O29" i="27"/>
  <c r="S44" i="27"/>
  <c r="BL50" i="5" s="1"/>
  <c r="L45" i="24" s="1"/>
  <c r="R37" i="27"/>
  <c r="S20" i="27"/>
  <c r="BL14" i="5" s="1"/>
  <c r="L19" i="24" s="1"/>
  <c r="S17" i="27"/>
  <c r="BL11" i="5" s="1"/>
  <c r="L16" i="24" s="1"/>
  <c r="AJ28" i="27"/>
  <c r="AJ22" i="27"/>
  <c r="I22" i="27"/>
  <c r="I21" i="27"/>
  <c r="I20" i="27"/>
  <c r="I18" i="27"/>
  <c r="I17" i="27"/>
  <c r="AJ43" i="27"/>
  <c r="F62" i="24"/>
  <c r="F15" i="20"/>
  <c r="BI132" i="5"/>
  <c r="F46" i="20" s="1"/>
  <c r="BI157" i="5"/>
  <c r="H37" i="27"/>
  <c r="BI16" i="5"/>
  <c r="F21" i="24" s="1"/>
  <c r="BI14" i="5"/>
  <c r="F19" i="24" s="1"/>
  <c r="BI12" i="5"/>
  <c r="F17" i="24" s="1"/>
  <c r="H24" i="27"/>
  <c r="BI15" i="5"/>
  <c r="F20" i="24" s="1"/>
  <c r="BI13" i="5"/>
  <c r="F18" i="24" s="1"/>
  <c r="BI11" i="5"/>
  <c r="F16" i="24" s="1"/>
  <c r="I35" i="27"/>
  <c r="I30" i="27"/>
  <c r="I29" i="27"/>
  <c r="I28" i="27"/>
  <c r="I42" i="27"/>
  <c r="G24" i="27"/>
  <c r="BH136" i="4"/>
  <c r="G37" i="27"/>
  <c r="I33" i="27"/>
  <c r="I32" i="27"/>
  <c r="I31" i="27"/>
  <c r="I44" i="27"/>
  <c r="I43" i="27"/>
  <c r="I34" i="27"/>
  <c r="I19" i="27"/>
  <c r="BN67" i="4" l="1"/>
  <c r="BN187" i="4"/>
  <c r="BI67" i="4"/>
  <c r="BI187" i="4"/>
  <c r="BH173" i="4"/>
  <c r="AV175" i="4"/>
  <c r="AH52" i="27"/>
  <c r="AU175" i="4"/>
  <c r="Q39" i="27"/>
  <c r="Q52" i="27" s="1"/>
  <c r="Q79" i="3"/>
  <c r="AK59" i="3"/>
  <c r="Q75" i="3"/>
  <c r="S83" i="3"/>
  <c r="Q83" i="3"/>
  <c r="AL175" i="4"/>
  <c r="R39" i="27"/>
  <c r="R52" i="27" s="1"/>
  <c r="R64" i="27" s="1"/>
  <c r="N39" i="27"/>
  <c r="N52" i="27" s="1"/>
  <c r="N64" i="27" s="1"/>
  <c r="AY175" i="4"/>
  <c r="BN18" i="4"/>
  <c r="BN19" i="4" s="1"/>
  <c r="AJ50" i="27"/>
  <c r="AI52" i="27"/>
  <c r="CC57" i="22"/>
  <c r="CC61" i="22" s="1"/>
  <c r="BY57" i="22"/>
  <c r="BY61" i="22" s="1"/>
  <c r="O37" i="27"/>
  <c r="H39" i="27"/>
  <c r="H52" i="27" s="1"/>
  <c r="H64" i="27" s="1"/>
  <c r="AM175" i="4"/>
  <c r="F65" i="20"/>
  <c r="BI172" i="5"/>
  <c r="AN154" i="5"/>
  <c r="AS175" i="4"/>
  <c r="AR175" i="4"/>
  <c r="AP175" i="4"/>
  <c r="FR51" i="26"/>
  <c r="FR61" i="26" s="1"/>
  <c r="AL69" i="5"/>
  <c r="BW57" i="22"/>
  <c r="BW61" i="22" s="1"/>
  <c r="AL41" i="5"/>
  <c r="AL43" i="5" s="1"/>
  <c r="AL61" i="5" s="1"/>
  <c r="AN41" i="5"/>
  <c r="AM69" i="5"/>
  <c r="FH51" i="26"/>
  <c r="FH61" i="26" s="1"/>
  <c r="AZ175" i="4"/>
  <c r="AO175" i="4"/>
  <c r="AN175" i="4"/>
  <c r="AM41" i="5"/>
  <c r="AM43" i="5" s="1"/>
  <c r="AM61" i="5" s="1"/>
  <c r="AO41" i="5"/>
  <c r="AO43" i="5" s="1"/>
  <c r="AO61" i="5" s="1"/>
  <c r="BY36" i="22"/>
  <c r="BW36" i="22"/>
  <c r="CA36" i="22"/>
  <c r="BC84" i="5"/>
  <c r="H14" i="9"/>
  <c r="AO69" i="5"/>
  <c r="BA84" i="5"/>
  <c r="DL14" i="19"/>
  <c r="CA87" i="19"/>
  <c r="AM55" i="3"/>
  <c r="BK175" i="4"/>
  <c r="BI41" i="4"/>
  <c r="BI42" i="4" s="1"/>
  <c r="AJ37" i="27"/>
  <c r="BI56" i="4"/>
  <c r="BI58" i="5" s="1"/>
  <c r="F29" i="24"/>
  <c r="BI41" i="5"/>
  <c r="BI10" i="5"/>
  <c r="BI46" i="5"/>
  <c r="F41" i="24" s="1"/>
  <c r="F53" i="24" s="1"/>
  <c r="BI19" i="4"/>
  <c r="CC87" i="19"/>
  <c r="BI359" i="5"/>
  <c r="BI361" i="5" s="1"/>
  <c r="BI189" i="5" s="1"/>
  <c r="F71" i="20" s="1"/>
  <c r="BI188" i="5"/>
  <c r="F70" i="20" s="1"/>
  <c r="BJ175" i="4"/>
  <c r="CC38" i="22"/>
  <c r="CC55" i="22" s="1"/>
  <c r="AM43" i="4"/>
  <c r="AM59" i="4" s="1"/>
  <c r="AM71" i="4" s="1"/>
  <c r="AM75" i="4" s="1"/>
  <c r="AO43" i="4"/>
  <c r="AO59" i="4" s="1"/>
  <c r="BI175" i="4"/>
  <c r="BL58" i="5"/>
  <c r="BL47" i="5"/>
  <c r="L42" i="24" s="1"/>
  <c r="L53" i="24" s="1"/>
  <c r="BL41" i="5"/>
  <c r="O24" i="27"/>
  <c r="S37" i="27"/>
  <c r="AL84" i="5"/>
  <c r="BW14" i="19"/>
  <c r="BW37" i="19" s="1"/>
  <c r="BB175" i="4"/>
  <c r="AJ24" i="27"/>
  <c r="AX175" i="4"/>
  <c r="AL43" i="4"/>
  <c r="AL59" i="4" s="1"/>
  <c r="AL71" i="4" s="1"/>
  <c r="BA175" i="4"/>
  <c r="CH38" i="22"/>
  <c r="CH55" i="22" s="1"/>
  <c r="CH65" i="22" s="1"/>
  <c r="S79" i="3"/>
  <c r="AI59" i="3"/>
  <c r="FN51" i="26"/>
  <c r="FN61" i="26" s="1"/>
  <c r="S24" i="27"/>
  <c r="M39" i="27"/>
  <c r="M52" i="27" s="1"/>
  <c r="AN207" i="5"/>
  <c r="AN75" i="5" s="1"/>
  <c r="O50" i="27"/>
  <c r="S50" i="27"/>
  <c r="BC175" i="4"/>
  <c r="FX51" i="26"/>
  <c r="FX61" i="26" s="1"/>
  <c r="F14" i="20"/>
  <c r="F42" i="20" s="1"/>
  <c r="BI84" i="5"/>
  <c r="BI114" i="5"/>
  <c r="AP85" i="5"/>
  <c r="AN386" i="5"/>
  <c r="AO386" i="5"/>
  <c r="AL386" i="5"/>
  <c r="AL207" i="5"/>
  <c r="AL75" i="5" s="1"/>
  <c r="AL114" i="5"/>
  <c r="G39" i="27"/>
  <c r="G52" i="27" s="1"/>
  <c r="AN43" i="4"/>
  <c r="AN59" i="4" s="1"/>
  <c r="AN71" i="4" s="1"/>
  <c r="AN75" i="4" s="1"/>
  <c r="CA15" i="22"/>
  <c r="CA23" i="22" s="1"/>
  <c r="AN18" i="5"/>
  <c r="AO19" i="5"/>
  <c r="F62" i="20"/>
  <c r="AL157" i="5"/>
  <c r="AL172" i="5" s="1"/>
  <c r="AP43" i="5"/>
  <c r="AP61" i="5" s="1"/>
  <c r="AP73" i="5" s="1"/>
  <c r="AP19" i="5"/>
  <c r="AM157" i="5"/>
  <c r="AM114" i="5"/>
  <c r="AP157" i="5"/>
  <c r="AO114" i="5"/>
  <c r="CC17" i="19"/>
  <c r="AN114" i="5"/>
  <c r="CA17" i="19"/>
  <c r="AO207" i="5"/>
  <c r="AO157" i="5"/>
  <c r="BY15" i="19"/>
  <c r="AM191" i="5"/>
  <c r="AM386" i="5"/>
  <c r="CA14" i="19"/>
  <c r="BY14" i="19"/>
  <c r="BI63" i="5"/>
  <c r="BI154" i="5"/>
  <c r="I24" i="27"/>
  <c r="I37" i="27"/>
  <c r="I50" i="27"/>
  <c r="B44" i="52"/>
  <c r="B45" i="52"/>
  <c r="B70" i="21"/>
  <c r="B71" i="21"/>
  <c r="B72" i="21"/>
  <c r="B73" i="21"/>
  <c r="B74" i="21"/>
  <c r="B75" i="21"/>
  <c r="B70" i="20"/>
  <c r="B71" i="20"/>
  <c r="B72" i="20"/>
  <c r="B73" i="20"/>
  <c r="B74" i="20"/>
  <c r="B75" i="20"/>
  <c r="BG79" i="19"/>
  <c r="B80" i="18"/>
  <c r="B81" i="18"/>
  <c r="B76" i="18"/>
  <c r="B77" i="18"/>
  <c r="B79" i="18"/>
  <c r="O23" i="8"/>
  <c r="B116" i="9"/>
  <c r="L116" i="9" s="1"/>
  <c r="B111" i="9"/>
  <c r="L111" i="9" s="1"/>
  <c r="B112" i="9"/>
  <c r="L112" i="9" s="1"/>
  <c r="B113" i="9"/>
  <c r="L113" i="9" s="1"/>
  <c r="B114" i="9"/>
  <c r="L114" i="9" s="1"/>
  <c r="B115" i="9"/>
  <c r="L115" i="9" s="1"/>
  <c r="BF373" i="5"/>
  <c r="BG373" i="5" s="1"/>
  <c r="BF374" i="5"/>
  <c r="BG374" i="5" s="1"/>
  <c r="BY380" i="5"/>
  <c r="BZ380" i="5" s="1"/>
  <c r="BY379" i="5"/>
  <c r="BZ379" i="5" s="1"/>
  <c r="BY374" i="5"/>
  <c r="BZ374" i="5" s="1"/>
  <c r="BY373" i="5"/>
  <c r="BZ373" i="5" s="1"/>
  <c r="BY372" i="5"/>
  <c r="BZ372" i="5" s="1"/>
  <c r="BY371" i="5"/>
  <c r="BZ371" i="5" s="1"/>
  <c r="BY369" i="5"/>
  <c r="BZ369" i="5" s="1"/>
  <c r="BY368" i="5"/>
  <c r="BZ368" i="5" s="1"/>
  <c r="BY366" i="5"/>
  <c r="BZ366" i="5" s="1"/>
  <c r="BY365" i="5"/>
  <c r="BZ365" i="5" s="1"/>
  <c r="BY344" i="5"/>
  <c r="BZ344" i="5" s="1"/>
  <c r="BR361" i="5"/>
  <c r="BN376" i="5"/>
  <c r="BN191" i="5" s="1"/>
  <c r="J114" i="9" s="1"/>
  <c r="BH376" i="5"/>
  <c r="BH191" i="5" s="1"/>
  <c r="D73" i="20" s="1"/>
  <c r="BP384" i="5"/>
  <c r="BQ384" i="5" s="1"/>
  <c r="BP380" i="5"/>
  <c r="BQ380" i="5" s="1"/>
  <c r="BP379" i="5"/>
  <c r="BQ379" i="5" s="1"/>
  <c r="BP374" i="5"/>
  <c r="BQ374" i="5" s="1"/>
  <c r="BP373" i="5"/>
  <c r="BQ373" i="5" s="1"/>
  <c r="BP372" i="5"/>
  <c r="BQ372" i="5" s="1"/>
  <c r="BP371" i="5"/>
  <c r="BQ371" i="5" s="1"/>
  <c r="BP370" i="5"/>
  <c r="BQ370" i="5" s="1"/>
  <c r="BP369" i="5"/>
  <c r="BQ369" i="5" s="1"/>
  <c r="BP367" i="5"/>
  <c r="BQ367" i="5" s="1"/>
  <c r="BP366" i="5"/>
  <c r="BQ366" i="5" s="1"/>
  <c r="BP365" i="5"/>
  <c r="BQ365" i="5" s="1"/>
  <c r="BP364" i="5"/>
  <c r="BH382" i="5"/>
  <c r="BH192" i="5" s="1"/>
  <c r="D74" i="20" s="1"/>
  <c r="BR382" i="5"/>
  <c r="BR192" i="5" s="1"/>
  <c r="N115" i="9" s="1"/>
  <c r="BW193" i="5"/>
  <c r="L75" i="21" s="1"/>
  <c r="BU193" i="5"/>
  <c r="H75" i="21" s="1"/>
  <c r="BS193" i="5"/>
  <c r="D75" i="21" s="1"/>
  <c r="BR193" i="5"/>
  <c r="N116" i="9" s="1"/>
  <c r="BN193" i="5"/>
  <c r="J116" i="9" s="1"/>
  <c r="BK193" i="5"/>
  <c r="J75" i="20" s="1"/>
  <c r="BJ193" i="5"/>
  <c r="H75" i="20" s="1"/>
  <c r="BH193" i="5"/>
  <c r="D75" i="20" s="1"/>
  <c r="E193" i="5"/>
  <c r="C80" i="19" s="1"/>
  <c r="F193" i="5"/>
  <c r="E80" i="19" s="1"/>
  <c r="G193" i="5"/>
  <c r="G80" i="19" s="1"/>
  <c r="H193" i="5"/>
  <c r="I80" i="19" s="1"/>
  <c r="I193" i="5"/>
  <c r="K80" i="19" s="1"/>
  <c r="J193" i="5"/>
  <c r="N80" i="19" s="1"/>
  <c r="K193" i="5"/>
  <c r="P80" i="19" s="1"/>
  <c r="M193" i="5"/>
  <c r="T80" i="19" s="1"/>
  <c r="O193" i="5"/>
  <c r="Y80" i="19" s="1"/>
  <c r="P193" i="5"/>
  <c r="Q193" i="5"/>
  <c r="AA80" i="19" s="1"/>
  <c r="R193" i="5"/>
  <c r="AC80" i="19" s="1"/>
  <c r="S193" i="5"/>
  <c r="AE80" i="19" s="1"/>
  <c r="T193" i="5"/>
  <c r="AG80" i="19" s="1"/>
  <c r="U193" i="5"/>
  <c r="AJ80" i="19" s="1"/>
  <c r="V193" i="5"/>
  <c r="AL80" i="19" s="1"/>
  <c r="W193" i="5"/>
  <c r="AN80" i="19" s="1"/>
  <c r="X193" i="5"/>
  <c r="F116" i="9" s="1"/>
  <c r="Y193" i="5"/>
  <c r="AP80" i="19" s="1"/>
  <c r="Z193" i="5"/>
  <c r="AA193" i="5"/>
  <c r="AU80" i="19" s="1"/>
  <c r="AC193" i="5"/>
  <c r="AY80" i="19" s="1"/>
  <c r="AD193" i="5"/>
  <c r="BA80" i="19" s="1"/>
  <c r="AE193" i="5"/>
  <c r="BC80" i="19" s="1"/>
  <c r="AF193" i="5"/>
  <c r="BH80" i="19" s="1"/>
  <c r="AG193" i="5"/>
  <c r="BJ80" i="19" s="1"/>
  <c r="AH193" i="5"/>
  <c r="BL80" i="19" s="1"/>
  <c r="AI193" i="5"/>
  <c r="BN80" i="19" s="1"/>
  <c r="AJ193" i="5"/>
  <c r="BP80" i="19" s="1"/>
  <c r="CL80" i="19"/>
  <c r="CN80" i="19"/>
  <c r="CU80" i="19"/>
  <c r="CW80" i="19"/>
  <c r="CY80" i="19"/>
  <c r="DA80" i="19"/>
  <c r="DC80" i="19"/>
  <c r="BD193" i="5"/>
  <c r="DP80" i="19" s="1"/>
  <c r="BD376" i="5"/>
  <c r="BD191" i="5" s="1"/>
  <c r="DP78" i="19" s="1"/>
  <c r="BD382" i="5"/>
  <c r="BD192" i="5" s="1"/>
  <c r="DP79" i="19" s="1"/>
  <c r="E382" i="5"/>
  <c r="E192" i="5" s="1"/>
  <c r="C79" i="19" s="1"/>
  <c r="F382" i="5"/>
  <c r="F192" i="5" s="1"/>
  <c r="E79" i="19" s="1"/>
  <c r="G382" i="5"/>
  <c r="G192" i="5" s="1"/>
  <c r="G79" i="19" s="1"/>
  <c r="H382" i="5"/>
  <c r="H192" i="5" s="1"/>
  <c r="I79" i="19" s="1"/>
  <c r="I382" i="5"/>
  <c r="I192" i="5" s="1"/>
  <c r="K79" i="19" s="1"/>
  <c r="J382" i="5"/>
  <c r="J192" i="5" s="1"/>
  <c r="N79" i="19" s="1"/>
  <c r="K382" i="5"/>
  <c r="K192" i="5" s="1"/>
  <c r="P79" i="19" s="1"/>
  <c r="M382" i="5"/>
  <c r="M192" i="5" s="1"/>
  <c r="T79" i="19" s="1"/>
  <c r="O382" i="5"/>
  <c r="O192" i="5" s="1"/>
  <c r="Y79" i="19" s="1"/>
  <c r="P382" i="5"/>
  <c r="P192" i="5" s="1"/>
  <c r="Q382" i="5"/>
  <c r="Q192" i="5" s="1"/>
  <c r="AA79" i="19" s="1"/>
  <c r="R382" i="5"/>
  <c r="R192" i="5" s="1"/>
  <c r="AC79" i="19" s="1"/>
  <c r="S382" i="5"/>
  <c r="S192" i="5" s="1"/>
  <c r="AE79" i="19" s="1"/>
  <c r="T382" i="5"/>
  <c r="T192" i="5" s="1"/>
  <c r="AG79" i="19" s="1"/>
  <c r="U382" i="5"/>
  <c r="U192" i="5" s="1"/>
  <c r="AJ79" i="19" s="1"/>
  <c r="V382" i="5"/>
  <c r="V192" i="5" s="1"/>
  <c r="AL79" i="19" s="1"/>
  <c r="W382" i="5"/>
  <c r="W192" i="5" s="1"/>
  <c r="AN79" i="19" s="1"/>
  <c r="AC382" i="5"/>
  <c r="AC192" i="5" s="1"/>
  <c r="AY79" i="19" s="1"/>
  <c r="AE382" i="5"/>
  <c r="AE192" i="5" s="1"/>
  <c r="BC79" i="19" s="1"/>
  <c r="AG382" i="5"/>
  <c r="AG192" i="5" s="1"/>
  <c r="BJ79" i="19" s="1"/>
  <c r="AH382" i="5"/>
  <c r="AH192" i="5" s="1"/>
  <c r="BL79" i="19" s="1"/>
  <c r="AI382" i="5"/>
  <c r="AI192" i="5" s="1"/>
  <c r="BN79" i="19" s="1"/>
  <c r="AJ382" i="5"/>
  <c r="AJ192" i="5" s="1"/>
  <c r="BP79" i="19" s="1"/>
  <c r="AR382" i="5"/>
  <c r="AS382" i="5"/>
  <c r="AU382" i="5"/>
  <c r="AU192" i="5" s="1"/>
  <c r="AV382" i="5"/>
  <c r="AV192" i="5" s="1"/>
  <c r="AX382" i="5"/>
  <c r="AY382" i="5"/>
  <c r="AZ382" i="5"/>
  <c r="BA382" i="5"/>
  <c r="BB382" i="5"/>
  <c r="E376" i="5"/>
  <c r="E191" i="5" s="1"/>
  <c r="C78" i="19" s="1"/>
  <c r="P376" i="5"/>
  <c r="P191" i="5" s="1"/>
  <c r="AD376" i="5"/>
  <c r="AD191" i="5" s="1"/>
  <c r="BA78" i="19" s="1"/>
  <c r="AE376" i="5"/>
  <c r="AE191" i="5" s="1"/>
  <c r="BC78" i="19" s="1"/>
  <c r="AG376" i="5"/>
  <c r="AG191" i="5" s="1"/>
  <c r="BJ78" i="19" s="1"/>
  <c r="AH376" i="5"/>
  <c r="AH191" i="5" s="1"/>
  <c r="BL78" i="19" s="1"/>
  <c r="AI376" i="5"/>
  <c r="AI191" i="5" s="1"/>
  <c r="BN78" i="19" s="1"/>
  <c r="AJ376" i="5"/>
  <c r="AJ191" i="5" s="1"/>
  <c r="BP78" i="19" s="1"/>
  <c r="AR376" i="5"/>
  <c r="AS376" i="5"/>
  <c r="AU376" i="5"/>
  <c r="AU191" i="5" s="1"/>
  <c r="AV376" i="5"/>
  <c r="AV191" i="5" s="1"/>
  <c r="AX376" i="5"/>
  <c r="AY376" i="5"/>
  <c r="AZ376" i="5"/>
  <c r="BA376" i="5"/>
  <c r="BB376" i="5"/>
  <c r="P346" i="5"/>
  <c r="P188" i="5" s="1"/>
  <c r="D361" i="5"/>
  <c r="F361" i="5"/>
  <c r="F189" i="5" s="1"/>
  <c r="E76" i="19" s="1"/>
  <c r="G361" i="5"/>
  <c r="G189" i="5" s="1"/>
  <c r="G76" i="19" s="1"/>
  <c r="H361" i="5"/>
  <c r="H189" i="5" s="1"/>
  <c r="I76" i="19" s="1"/>
  <c r="I361" i="5"/>
  <c r="I189" i="5" s="1"/>
  <c r="K76" i="19" s="1"/>
  <c r="J361" i="5"/>
  <c r="J189" i="5" s="1"/>
  <c r="N76" i="19" s="1"/>
  <c r="K361" i="5"/>
  <c r="K189" i="5" s="1"/>
  <c r="P76" i="19" s="1"/>
  <c r="M361" i="5"/>
  <c r="M189" i="5" s="1"/>
  <c r="T76" i="19" s="1"/>
  <c r="O361" i="5"/>
  <c r="O189" i="5" s="1"/>
  <c r="Y76" i="19" s="1"/>
  <c r="P361" i="5"/>
  <c r="P189" i="5" s="1"/>
  <c r="Q361" i="5"/>
  <c r="Q189" i="5" s="1"/>
  <c r="AA76" i="19" s="1"/>
  <c r="R361" i="5"/>
  <c r="R189" i="5" s="1"/>
  <c r="AC76" i="19" s="1"/>
  <c r="S361" i="5"/>
  <c r="S189" i="5" s="1"/>
  <c r="AE76" i="19" s="1"/>
  <c r="U361" i="5"/>
  <c r="U189" i="5" s="1"/>
  <c r="AJ76" i="19" s="1"/>
  <c r="V361" i="5"/>
  <c r="V189" i="5" s="1"/>
  <c r="AL76" i="19" s="1"/>
  <c r="W361" i="5"/>
  <c r="W189" i="5" s="1"/>
  <c r="AN76" i="19" s="1"/>
  <c r="Y361" i="5"/>
  <c r="Y189" i="5" s="1"/>
  <c r="AP76" i="19" s="1"/>
  <c r="Z361" i="5"/>
  <c r="Z189" i="5" s="1"/>
  <c r="AA361" i="5"/>
  <c r="AA189" i="5" s="1"/>
  <c r="AU76" i="19" s="1"/>
  <c r="AC361" i="5"/>
  <c r="AC189" i="5" s="1"/>
  <c r="AY76" i="19" s="1"/>
  <c r="AD361" i="5"/>
  <c r="AD189" i="5" s="1"/>
  <c r="BA76" i="19" s="1"/>
  <c r="AF361" i="5"/>
  <c r="AF189" i="5" s="1"/>
  <c r="BH76" i="19" s="1"/>
  <c r="BD361" i="5"/>
  <c r="BD189" i="5" s="1"/>
  <c r="DP76" i="19" s="1"/>
  <c r="X382" i="5"/>
  <c r="X192" i="5" s="1"/>
  <c r="F115" i="9" s="1"/>
  <c r="BW382" i="5"/>
  <c r="BW192" i="5" s="1"/>
  <c r="L74" i="21" s="1"/>
  <c r="BJ376" i="5"/>
  <c r="BJ191" i="5" s="1"/>
  <c r="BS376" i="5"/>
  <c r="BS191" i="5" s="1"/>
  <c r="D73" i="21" s="1"/>
  <c r="BU376" i="5"/>
  <c r="BU191" i="5" s="1"/>
  <c r="H73" i="21" s="1"/>
  <c r="BW376" i="5"/>
  <c r="BW191" i="5" s="1"/>
  <c r="L73" i="21" s="1"/>
  <c r="BJ382" i="5"/>
  <c r="BK382" i="5"/>
  <c r="BK192" i="5" s="1"/>
  <c r="J74" i="20" s="1"/>
  <c r="BN382" i="5"/>
  <c r="BN192" i="5" s="1"/>
  <c r="J115" i="9" s="1"/>
  <c r="BS382" i="5"/>
  <c r="BS192" i="5" s="1"/>
  <c r="D74" i="21" s="1"/>
  <c r="BT382" i="5"/>
  <c r="BT192" i="5" s="1"/>
  <c r="F74" i="21" s="1"/>
  <c r="BU382" i="5"/>
  <c r="BU192" i="5" s="1"/>
  <c r="H74" i="21" s="1"/>
  <c r="BC361" i="5"/>
  <c r="BF187" i="5"/>
  <c r="BF190" i="5"/>
  <c r="BP190" i="5"/>
  <c r="D343" i="5"/>
  <c r="BF316" i="5"/>
  <c r="AH37" i="6"/>
  <c r="AD21" i="39"/>
  <c r="AD30" i="39"/>
  <c r="AH38" i="6"/>
  <c r="F53" i="38"/>
  <c r="D26" i="39"/>
  <c r="D27" i="39"/>
  <c r="H27" i="39" s="1"/>
  <c r="AH27" i="39" s="1"/>
  <c r="H28" i="39"/>
  <c r="AH28" i="39" s="1"/>
  <c r="JB16" i="26"/>
  <c r="P10" i="4" s="1"/>
  <c r="Z15" i="39"/>
  <c r="Z13" i="39" s="1"/>
  <c r="JB17" i="26"/>
  <c r="P11" i="4" s="1"/>
  <c r="JB18" i="26"/>
  <c r="JB19" i="26"/>
  <c r="P13" i="4" s="1"/>
  <c r="JB20" i="26"/>
  <c r="P14" i="4" s="1"/>
  <c r="JB21" i="26"/>
  <c r="P15" i="4" s="1"/>
  <c r="Z18" i="39"/>
  <c r="AA18" i="39"/>
  <c r="JB22" i="26"/>
  <c r="P16" i="4" s="1"/>
  <c r="W25" i="39"/>
  <c r="Y25" i="39" s="1"/>
  <c r="JB43" i="26"/>
  <c r="P27" i="4" s="1"/>
  <c r="JB47" i="26"/>
  <c r="P29" i="4" s="1"/>
  <c r="X26" i="39"/>
  <c r="W27" i="39"/>
  <c r="Y27" i="39" s="1"/>
  <c r="AA27" i="39"/>
  <c r="AD94" i="39"/>
  <c r="E17" i="12"/>
  <c r="X12" i="4" s="1"/>
  <c r="I18" i="26"/>
  <c r="F12" i="4" s="1"/>
  <c r="F12" i="5" s="1"/>
  <c r="E17" i="22" s="1"/>
  <c r="O18" i="26"/>
  <c r="G12" i="4" s="1"/>
  <c r="G12" i="5" s="1"/>
  <c r="G17" i="22" s="1"/>
  <c r="S18" i="26"/>
  <c r="H12" i="4" s="1"/>
  <c r="H12" i="5" s="1"/>
  <c r="I17" i="22" s="1"/>
  <c r="Y18" i="26"/>
  <c r="I12" i="4" s="1"/>
  <c r="I12" i="5" s="1"/>
  <c r="K17" i="22" s="1"/>
  <c r="AC18" i="26"/>
  <c r="J12" i="4" s="1"/>
  <c r="AI18" i="26"/>
  <c r="K12" i="4" s="1"/>
  <c r="K12" i="5" s="1"/>
  <c r="P17" i="22" s="1"/>
  <c r="AS18" i="26"/>
  <c r="M12" i="4" s="1"/>
  <c r="M12" i="5" s="1"/>
  <c r="T17" i="22" s="1"/>
  <c r="BC18" i="26"/>
  <c r="BK18" i="26"/>
  <c r="Q12" i="4" s="1"/>
  <c r="Q12" i="5" s="1"/>
  <c r="AA17" i="22" s="1"/>
  <c r="BQ18" i="26"/>
  <c r="BU18" i="26"/>
  <c r="S12" i="4" s="1"/>
  <c r="AE17" i="22" s="1"/>
  <c r="CA18" i="26"/>
  <c r="T12" i="4" s="1"/>
  <c r="T12" i="5" s="1"/>
  <c r="AG17" i="22" s="1"/>
  <c r="CE18" i="26"/>
  <c r="U12" i="4" s="1"/>
  <c r="U12" i="5" s="1"/>
  <c r="AJ17" i="22" s="1"/>
  <c r="CK18" i="26"/>
  <c r="V12" i="4" s="1"/>
  <c r="V12" i="5" s="1"/>
  <c r="AL17" i="22" s="1"/>
  <c r="CO18" i="26"/>
  <c r="CY18" i="26"/>
  <c r="DE18" i="26"/>
  <c r="DO18" i="26"/>
  <c r="AC12" i="4" s="1"/>
  <c r="AC12" i="5" s="1"/>
  <c r="DS18" i="26"/>
  <c r="AE12" i="4"/>
  <c r="AE12" i="5" s="1"/>
  <c r="EC18" i="26"/>
  <c r="EI18" i="26"/>
  <c r="AG12" i="4" s="1"/>
  <c r="AG12" i="5" s="1"/>
  <c r="EM18" i="26"/>
  <c r="AH12" i="4" s="1"/>
  <c r="AH12" i="5" s="1"/>
  <c r="BL17" i="22" s="1"/>
  <c r="ES18" i="26"/>
  <c r="AI12" i="4" s="1"/>
  <c r="AI12" i="5" s="1"/>
  <c r="EW18" i="26"/>
  <c r="GK18" i="26"/>
  <c r="AR12" i="4" s="1"/>
  <c r="AR12" i="5" s="1"/>
  <c r="CL17" i="22" s="1"/>
  <c r="AS12" i="4"/>
  <c r="AS12" i="5" s="1"/>
  <c r="CN17" i="22" s="1"/>
  <c r="AX12" i="4"/>
  <c r="AX12" i="5" s="1"/>
  <c r="BB12" i="5"/>
  <c r="BC12" i="4"/>
  <c r="BC12" i="5" s="1"/>
  <c r="X54" i="5"/>
  <c r="E57" i="26"/>
  <c r="I57" i="26"/>
  <c r="F49" i="4" s="1"/>
  <c r="F54" i="5" s="1"/>
  <c r="E46" i="22" s="1"/>
  <c r="AC57" i="26"/>
  <c r="J49" i="4" s="1"/>
  <c r="J54" i="5" s="1"/>
  <c r="BQ57" i="26"/>
  <c r="R49" i="4" s="1"/>
  <c r="R54" i="5" s="1"/>
  <c r="AC46" i="22" s="1"/>
  <c r="CE57" i="26"/>
  <c r="U49" i="4" s="1"/>
  <c r="U54" i="5" s="1"/>
  <c r="AJ46" i="22" s="1"/>
  <c r="CU57" i="26"/>
  <c r="DO57" i="26"/>
  <c r="AC49" i="4" s="1"/>
  <c r="AC54" i="5" s="1"/>
  <c r="AY46" i="22" s="1"/>
  <c r="DY57" i="26"/>
  <c r="ES57" i="26"/>
  <c r="AI49" i="4" s="1"/>
  <c r="AI54" i="5" s="1"/>
  <c r="BN46" i="22" s="1"/>
  <c r="EW57" i="26"/>
  <c r="GK57" i="26"/>
  <c r="AR49" i="4" s="1"/>
  <c r="AR54" i="5" s="1"/>
  <c r="CL46" i="22" s="1"/>
  <c r="GP57" i="26"/>
  <c r="HP57" i="26"/>
  <c r="BA49" i="4"/>
  <c r="BA54" i="5" s="1"/>
  <c r="DO46" i="22" s="1"/>
  <c r="BB54" i="5"/>
  <c r="BC49" i="4"/>
  <c r="BC54" i="5" s="1"/>
  <c r="X15" i="5"/>
  <c r="E21" i="26"/>
  <c r="I21" i="26"/>
  <c r="F15" i="4" s="1"/>
  <c r="F15" i="5" s="1"/>
  <c r="E20" i="22" s="1"/>
  <c r="O21" i="26"/>
  <c r="G15" i="4" s="1"/>
  <c r="G15" i="5" s="1"/>
  <c r="G20" i="22" s="1"/>
  <c r="S21" i="26"/>
  <c r="H15" i="4" s="1"/>
  <c r="H15" i="5" s="1"/>
  <c r="I20" i="22" s="1"/>
  <c r="Y21" i="26"/>
  <c r="I15" i="4" s="1"/>
  <c r="AC21" i="26"/>
  <c r="J15" i="4" s="1"/>
  <c r="J15" i="5" s="1"/>
  <c r="AI21" i="26"/>
  <c r="K15" i="4" s="1"/>
  <c r="K15" i="5" s="1"/>
  <c r="P20" i="22" s="1"/>
  <c r="AS21" i="26"/>
  <c r="M15" i="4" s="1"/>
  <c r="BC21" i="26"/>
  <c r="BK21" i="26"/>
  <c r="BQ21" i="26"/>
  <c r="R15" i="4" s="1"/>
  <c r="R15" i="5" s="1"/>
  <c r="AC20" i="22" s="1"/>
  <c r="BU21" i="26"/>
  <c r="S15" i="4" s="1"/>
  <c r="S15" i="5" s="1"/>
  <c r="AE20" i="22" s="1"/>
  <c r="CA21" i="26"/>
  <c r="T15" i="4" s="1"/>
  <c r="T15" i="5" s="1"/>
  <c r="AG20" i="22" s="1"/>
  <c r="CE21" i="26"/>
  <c r="CK21" i="26"/>
  <c r="V15" i="4" s="1"/>
  <c r="V15" i="5" s="1"/>
  <c r="AL20" i="22" s="1"/>
  <c r="CO21" i="26"/>
  <c r="W15" i="4" s="1"/>
  <c r="W15" i="5" s="1"/>
  <c r="AN20" i="22" s="1"/>
  <c r="Y15" i="4"/>
  <c r="Y15" i="5" s="1"/>
  <c r="AP20" i="22" s="1"/>
  <c r="CY21" i="26"/>
  <c r="Z15" i="4" s="1"/>
  <c r="Z15" i="5" s="1"/>
  <c r="AR20" i="22" s="1"/>
  <c r="DE21" i="26"/>
  <c r="AA15" i="4" s="1"/>
  <c r="AA15" i="5" s="1"/>
  <c r="AU20" i="22" s="1"/>
  <c r="DO21" i="26"/>
  <c r="AC15" i="4" s="1"/>
  <c r="AC15" i="5" s="1"/>
  <c r="AY20" i="22" s="1"/>
  <c r="AD15" i="4"/>
  <c r="AD15" i="5" s="1"/>
  <c r="AE15" i="4"/>
  <c r="AE15" i="5" s="1"/>
  <c r="BC20" i="22" s="1"/>
  <c r="EC21" i="26"/>
  <c r="AF15" i="4" s="1"/>
  <c r="EI21" i="26"/>
  <c r="AG15" i="4" s="1"/>
  <c r="AG15" i="5" s="1"/>
  <c r="BJ20" i="22" s="1"/>
  <c r="EM21" i="26"/>
  <c r="ES21" i="26"/>
  <c r="AI15" i="4" s="1"/>
  <c r="AI15" i="5" s="1"/>
  <c r="BN20" i="22" s="1"/>
  <c r="EW21" i="26"/>
  <c r="AJ15" i="4" s="1"/>
  <c r="AJ15" i="5" s="1"/>
  <c r="BP20" i="22" s="1"/>
  <c r="GK21" i="26"/>
  <c r="AR15" i="4" s="1"/>
  <c r="AR15" i="5" s="1"/>
  <c r="CL20" i="22" s="1"/>
  <c r="GP21" i="26"/>
  <c r="AZ15" i="4"/>
  <c r="AZ15" i="5" s="1"/>
  <c r="DC20" i="22" s="1"/>
  <c r="BB15" i="5"/>
  <c r="BC15" i="4"/>
  <c r="BC15" i="5" s="1"/>
  <c r="X48" i="4"/>
  <c r="E56" i="26"/>
  <c r="I56" i="26"/>
  <c r="F48" i="4" s="1"/>
  <c r="F50" i="5" s="1"/>
  <c r="E45" i="22" s="1"/>
  <c r="AC56" i="26"/>
  <c r="J48" i="4" s="1"/>
  <c r="J50" i="5" s="1"/>
  <c r="N45" i="22" s="1"/>
  <c r="BQ56" i="26"/>
  <c r="R48" i="4" s="1"/>
  <c r="R50" i="5" s="1"/>
  <c r="AC45" i="22" s="1"/>
  <c r="CE56" i="26"/>
  <c r="U48" i="4" s="1"/>
  <c r="U50" i="5" s="1"/>
  <c r="AJ45" i="22" s="1"/>
  <c r="CU56" i="26"/>
  <c r="Y48" i="4" s="1"/>
  <c r="Y50" i="5" s="1"/>
  <c r="AP45" i="22" s="1"/>
  <c r="DE56" i="26"/>
  <c r="AA48" i="4" s="1"/>
  <c r="AA50" i="5" s="1"/>
  <c r="AU45" i="22" s="1"/>
  <c r="DO56" i="26"/>
  <c r="AC48" i="4" s="1"/>
  <c r="AC50" i="5" s="1"/>
  <c r="AY45" i="22" s="1"/>
  <c r="DY56" i="26"/>
  <c r="ES56" i="26"/>
  <c r="AI48" i="4" s="1"/>
  <c r="AI50" i="5" s="1"/>
  <c r="BN45" i="22" s="1"/>
  <c r="EW56" i="26"/>
  <c r="GK56" i="26"/>
  <c r="AR48" i="4" s="1"/>
  <c r="AR50" i="5" s="1"/>
  <c r="CL45" i="22" s="1"/>
  <c r="GP56" i="26"/>
  <c r="HP56" i="26"/>
  <c r="BB50" i="5"/>
  <c r="G46" i="10" s="1"/>
  <c r="BC48" i="4"/>
  <c r="BC50" i="5" s="1"/>
  <c r="H46" i="10" s="1"/>
  <c r="Z57" i="10"/>
  <c r="AL53" i="10"/>
  <c r="I44" i="7" s="1"/>
  <c r="X47" i="4"/>
  <c r="E55" i="26"/>
  <c r="I55" i="26"/>
  <c r="O55" i="26"/>
  <c r="G47" i="4" s="1"/>
  <c r="G47" i="5" s="1"/>
  <c r="G42" i="22" s="1"/>
  <c r="S55" i="26"/>
  <c r="Y55" i="26"/>
  <c r="I47" i="4" s="1"/>
  <c r="I47" i="5" s="1"/>
  <c r="K42" i="22" s="1"/>
  <c r="AC55" i="26"/>
  <c r="AI55" i="26"/>
  <c r="K47" i="4" s="1"/>
  <c r="K47" i="5" s="1"/>
  <c r="P42" i="22" s="1"/>
  <c r="AS55" i="26"/>
  <c r="BC55" i="26"/>
  <c r="BK55" i="26"/>
  <c r="BQ55" i="26"/>
  <c r="R47" i="4" s="1"/>
  <c r="R47" i="5" s="1"/>
  <c r="AC42" i="22" s="1"/>
  <c r="BU55" i="26"/>
  <c r="CA55" i="26"/>
  <c r="T47" i="4" s="1"/>
  <c r="T47" i="5" s="1"/>
  <c r="AG42" i="22" s="1"/>
  <c r="CE55" i="26"/>
  <c r="CK55" i="26"/>
  <c r="CO55" i="26"/>
  <c r="CU55" i="26"/>
  <c r="CY55" i="26"/>
  <c r="DE55" i="26"/>
  <c r="DO55" i="26"/>
  <c r="AC47" i="4" s="1"/>
  <c r="DS55" i="26"/>
  <c r="AD47" i="4" s="1"/>
  <c r="AD47" i="5" s="1"/>
  <c r="BA42" i="22" s="1"/>
  <c r="DY55" i="26"/>
  <c r="EC55" i="26"/>
  <c r="AF47" i="4" s="1"/>
  <c r="AF47" i="5" s="1"/>
  <c r="BH42" i="22" s="1"/>
  <c r="EI55" i="26"/>
  <c r="EM55" i="26"/>
  <c r="AH47" i="4" s="1"/>
  <c r="AH47" i="5" s="1"/>
  <c r="ES55" i="26"/>
  <c r="EW55" i="26"/>
  <c r="AJ47" i="4" s="1"/>
  <c r="AJ47" i="5" s="1"/>
  <c r="BP42" i="22" s="1"/>
  <c r="GK55" i="26"/>
  <c r="GP55" i="26"/>
  <c r="AS47" i="4" s="1"/>
  <c r="AS47" i="5" s="1"/>
  <c r="CN42" i="22" s="1"/>
  <c r="AX47" i="4"/>
  <c r="AX47" i="5" s="1"/>
  <c r="CY42" i="22" s="1"/>
  <c r="HP55" i="26"/>
  <c r="AZ47" i="4"/>
  <c r="AZ47" i="5" s="1"/>
  <c r="DC42" i="22" s="1"/>
  <c r="BA47" i="4"/>
  <c r="BA47" i="5" s="1"/>
  <c r="DO42" i="22" s="1"/>
  <c r="BB47" i="5"/>
  <c r="G43" i="10" s="1"/>
  <c r="BC47" i="4"/>
  <c r="BC47" i="5" s="1"/>
  <c r="H43" i="10" s="1"/>
  <c r="I54" i="26"/>
  <c r="F46" i="4" s="1"/>
  <c r="F46" i="5" s="1"/>
  <c r="E41" i="22" s="1"/>
  <c r="O54" i="26"/>
  <c r="S54" i="26"/>
  <c r="H46" i="4" s="1"/>
  <c r="H46" i="5" s="1"/>
  <c r="I41" i="22" s="1"/>
  <c r="Y54" i="26"/>
  <c r="AC54" i="26"/>
  <c r="J46" i="4" s="1"/>
  <c r="J46" i="5" s="1"/>
  <c r="N41" i="22" s="1"/>
  <c r="AI54" i="26"/>
  <c r="AS54" i="26"/>
  <c r="M46" i="4" s="1"/>
  <c r="M46" i="5" s="1"/>
  <c r="T41" i="22" s="1"/>
  <c r="BC54" i="26"/>
  <c r="BK54" i="26"/>
  <c r="Q46" i="4" s="1"/>
  <c r="Q46" i="5" s="1"/>
  <c r="AA41" i="22" s="1"/>
  <c r="BQ54" i="26"/>
  <c r="BU54" i="26"/>
  <c r="S46" i="4" s="1"/>
  <c r="S46" i="5" s="1"/>
  <c r="AE41" i="22" s="1"/>
  <c r="CA54" i="26"/>
  <c r="CE54" i="26"/>
  <c r="U46" i="4" s="1"/>
  <c r="U46" i="5" s="1"/>
  <c r="AJ41" i="22" s="1"/>
  <c r="CK54" i="26"/>
  <c r="CO54" i="26"/>
  <c r="W46" i="4" s="1"/>
  <c r="W46" i="5" s="1"/>
  <c r="AN41" i="22" s="1"/>
  <c r="CU54" i="26"/>
  <c r="Y46" i="4" s="1"/>
  <c r="Y46" i="5" s="1"/>
  <c r="AP41" i="22" s="1"/>
  <c r="CY54" i="26"/>
  <c r="Z46" i="4" s="1"/>
  <c r="DE54" i="26"/>
  <c r="DO54" i="26"/>
  <c r="DS54" i="26"/>
  <c r="AD46" i="4" s="1"/>
  <c r="AD46" i="5" s="1"/>
  <c r="DY54" i="26"/>
  <c r="AE46" i="4" s="1"/>
  <c r="AE46" i="5" s="1"/>
  <c r="BC41" i="22" s="1"/>
  <c r="EC54" i="26"/>
  <c r="EI54" i="26"/>
  <c r="AG46" i="4" s="1"/>
  <c r="AG46" i="5" s="1"/>
  <c r="BJ41" i="22" s="1"/>
  <c r="EM54" i="26"/>
  <c r="ES54" i="26"/>
  <c r="AI46" i="4" s="1"/>
  <c r="AI46" i="5" s="1"/>
  <c r="EW54" i="26"/>
  <c r="GK54" i="26"/>
  <c r="AR46" i="4" s="1"/>
  <c r="AR46" i="5" s="1"/>
  <c r="CL41" i="22" s="1"/>
  <c r="GP54" i="26"/>
  <c r="HP54" i="26"/>
  <c r="BB46" i="5"/>
  <c r="BC46" i="4"/>
  <c r="BC46" i="5" s="1"/>
  <c r="E16" i="26"/>
  <c r="F10" i="4"/>
  <c r="F10" i="5" s="1"/>
  <c r="E15" i="22" s="1"/>
  <c r="R10" i="4"/>
  <c r="R10" i="5" s="1"/>
  <c r="AC15" i="22" s="1"/>
  <c r="CU16" i="26"/>
  <c r="Y10" i="4" s="1"/>
  <c r="Y10" i="5" s="1"/>
  <c r="AP15" i="22" s="1"/>
  <c r="CY16" i="26"/>
  <c r="DE16" i="26"/>
  <c r="AA10" i="4" s="1"/>
  <c r="AA10" i="5" s="1"/>
  <c r="AU15" i="22" s="1"/>
  <c r="DS16" i="26"/>
  <c r="AD10" i="4" s="1"/>
  <c r="AD10" i="5" s="1"/>
  <c r="BA15" i="22" s="1"/>
  <c r="DY16" i="26"/>
  <c r="EC16" i="26"/>
  <c r="AF10" i="4" s="1"/>
  <c r="EI16" i="26"/>
  <c r="EM16" i="26"/>
  <c r="ES16" i="26"/>
  <c r="EW16" i="26"/>
  <c r="GK16" i="26"/>
  <c r="AR10" i="4" s="1"/>
  <c r="GP16" i="26"/>
  <c r="BB10" i="5"/>
  <c r="BC10" i="4"/>
  <c r="E21" i="12"/>
  <c r="E22" i="26"/>
  <c r="I22" i="26"/>
  <c r="F16" i="4" s="1"/>
  <c r="O22" i="26"/>
  <c r="G16" i="4" s="1"/>
  <c r="S22" i="26"/>
  <c r="H16" i="4" s="1"/>
  <c r="H16" i="5" s="1"/>
  <c r="I21" i="22" s="1"/>
  <c r="Y22" i="26"/>
  <c r="I16" i="4" s="1"/>
  <c r="I16" i="5" s="1"/>
  <c r="K21" i="22" s="1"/>
  <c r="AC22" i="26"/>
  <c r="J16" i="4" s="1"/>
  <c r="J16" i="5" s="1"/>
  <c r="N21" i="22" s="1"/>
  <c r="AI22" i="26"/>
  <c r="K16" i="4" s="1"/>
  <c r="K16" i="5" s="1"/>
  <c r="P21" i="22" s="1"/>
  <c r="AS22" i="26"/>
  <c r="M16" i="4" s="1"/>
  <c r="M16" i="5" s="1"/>
  <c r="T21" i="22" s="1"/>
  <c r="BC22" i="26"/>
  <c r="BK22" i="26"/>
  <c r="Q16" i="4" s="1"/>
  <c r="Q16" i="5" s="1"/>
  <c r="AA21" i="22" s="1"/>
  <c r="BQ22" i="26"/>
  <c r="R16" i="4" s="1"/>
  <c r="R16" i="5" s="1"/>
  <c r="BU22" i="26"/>
  <c r="S16" i="4" s="1"/>
  <c r="S16" i="5" s="1"/>
  <c r="AE21" i="22" s="1"/>
  <c r="CA22" i="26"/>
  <c r="T16" i="4" s="1"/>
  <c r="T16" i="5" s="1"/>
  <c r="AG21" i="22" s="1"/>
  <c r="CE22" i="26"/>
  <c r="U16" i="4" s="1"/>
  <c r="U16" i="5" s="1"/>
  <c r="AJ21" i="22" s="1"/>
  <c r="CK22" i="26"/>
  <c r="V16" i="4" s="1"/>
  <c r="V16" i="5" s="1"/>
  <c r="AL21" i="22" s="1"/>
  <c r="CO22" i="26"/>
  <c r="W16" i="4" s="1"/>
  <c r="W16" i="5" s="1"/>
  <c r="AN21" i="22" s="1"/>
  <c r="CU22" i="26"/>
  <c r="Y16" i="4" s="1"/>
  <c r="Y16" i="5" s="1"/>
  <c r="AP21" i="22" s="1"/>
  <c r="CY22" i="26"/>
  <c r="Z16" i="4" s="1"/>
  <c r="Z16" i="5" s="1"/>
  <c r="AR21" i="22" s="1"/>
  <c r="DE22" i="26"/>
  <c r="AA16" i="4" s="1"/>
  <c r="AA16" i="5" s="1"/>
  <c r="AU21" i="22" s="1"/>
  <c r="DO22" i="26"/>
  <c r="AC16" i="4" s="1"/>
  <c r="AC16" i="5" s="1"/>
  <c r="AY21" i="22" s="1"/>
  <c r="DS22" i="26"/>
  <c r="AD16" i="4" s="1"/>
  <c r="AD16" i="5" s="1"/>
  <c r="BA21" i="22" s="1"/>
  <c r="DY22" i="26"/>
  <c r="AE16" i="4" s="1"/>
  <c r="AE16" i="5" s="1"/>
  <c r="BC21" i="22" s="1"/>
  <c r="EC22" i="26"/>
  <c r="AF16" i="4" s="1"/>
  <c r="EI22" i="26"/>
  <c r="AG16" i="4" s="1"/>
  <c r="AG16" i="5" s="1"/>
  <c r="BJ21" i="22" s="1"/>
  <c r="AH16" i="4"/>
  <c r="AH16" i="5" s="1"/>
  <c r="BL21" i="22" s="1"/>
  <c r="AI16" i="4"/>
  <c r="AI16" i="5" s="1"/>
  <c r="BN21" i="22" s="1"/>
  <c r="AJ16" i="4"/>
  <c r="AJ16" i="5" s="1"/>
  <c r="BP21" i="22" s="1"/>
  <c r="GK22" i="26"/>
  <c r="AR16" i="4" s="1"/>
  <c r="AR16" i="5" s="1"/>
  <c r="CL21" i="22" s="1"/>
  <c r="GP22" i="26"/>
  <c r="AS16" i="4" s="1"/>
  <c r="AS16" i="5" s="1"/>
  <c r="CN21" i="22" s="1"/>
  <c r="AX16" i="4"/>
  <c r="AX16" i="5" s="1"/>
  <c r="CY21" i="22" s="1"/>
  <c r="AZ16" i="4"/>
  <c r="AZ16" i="5" s="1"/>
  <c r="DC21" i="22" s="1"/>
  <c r="BA16" i="4"/>
  <c r="BA16" i="5" s="1"/>
  <c r="DO21" i="22" s="1"/>
  <c r="BB16" i="5"/>
  <c r="BC16" i="4"/>
  <c r="BC16" i="5" s="1"/>
  <c r="AS29" i="26"/>
  <c r="AS30" i="26"/>
  <c r="BK29" i="26"/>
  <c r="BK30" i="26"/>
  <c r="BU29" i="26"/>
  <c r="BU30" i="26"/>
  <c r="DE29" i="26"/>
  <c r="DE30" i="26"/>
  <c r="DY29" i="26"/>
  <c r="DY30" i="26"/>
  <c r="EC29" i="26"/>
  <c r="EI29" i="26"/>
  <c r="EI30" i="26"/>
  <c r="EM29" i="26"/>
  <c r="EM30" i="26"/>
  <c r="E16" i="12"/>
  <c r="X11" i="4" s="1"/>
  <c r="I17" i="26"/>
  <c r="O17" i="26"/>
  <c r="G11" i="4" s="1"/>
  <c r="G11" i="5" s="1"/>
  <c r="G16" i="22" s="1"/>
  <c r="S17" i="26"/>
  <c r="Y17" i="26"/>
  <c r="I11" i="4" s="1"/>
  <c r="I11" i="5" s="1"/>
  <c r="K16" i="22" s="1"/>
  <c r="AC17" i="26"/>
  <c r="AI17" i="26"/>
  <c r="K11" i="4" s="1"/>
  <c r="K11" i="5" s="1"/>
  <c r="P16" i="22" s="1"/>
  <c r="AS17" i="26"/>
  <c r="BC17" i="26"/>
  <c r="BK17" i="26"/>
  <c r="Q11" i="4" s="1"/>
  <c r="Q11" i="5" s="1"/>
  <c r="AA16" i="22" s="1"/>
  <c r="BQ17" i="26"/>
  <c r="R11" i="4" s="1"/>
  <c r="R11" i="5" s="1"/>
  <c r="AC16" i="22" s="1"/>
  <c r="BU17" i="26"/>
  <c r="CA17" i="26"/>
  <c r="T11" i="4" s="1"/>
  <c r="T11" i="5" s="1"/>
  <c r="AG16" i="22" s="1"/>
  <c r="CE17" i="26"/>
  <c r="U11" i="4" s="1"/>
  <c r="U11" i="5" s="1"/>
  <c r="CK17" i="26"/>
  <c r="V11" i="4" s="1"/>
  <c r="V11" i="5" s="1"/>
  <c r="AL16" i="22" s="1"/>
  <c r="CO17" i="26"/>
  <c r="W11" i="4" s="1"/>
  <c r="W11" i="5" s="1"/>
  <c r="AN16" i="22" s="1"/>
  <c r="CU17" i="26"/>
  <c r="Y11" i="4" s="1"/>
  <c r="Y11" i="5" s="1"/>
  <c r="AP16" i="22" s="1"/>
  <c r="CY17" i="26"/>
  <c r="Z11" i="4" s="1"/>
  <c r="Z11" i="5" s="1"/>
  <c r="AR16" i="22" s="1"/>
  <c r="DE17" i="26"/>
  <c r="AA11" i="4" s="1"/>
  <c r="AA11" i="5" s="1"/>
  <c r="AU16" i="22" s="1"/>
  <c r="DO17" i="26"/>
  <c r="AC11" i="4" s="1"/>
  <c r="AC11" i="5" s="1"/>
  <c r="AY16" i="22" s="1"/>
  <c r="DS17" i="26"/>
  <c r="AD11" i="4" s="1"/>
  <c r="AD11" i="5" s="1"/>
  <c r="BA16" i="22" s="1"/>
  <c r="DY17" i="26"/>
  <c r="AE11" i="4" s="1"/>
  <c r="AE11" i="5" s="1"/>
  <c r="BC16" i="22" s="1"/>
  <c r="EC17" i="26"/>
  <c r="AF11" i="4" s="1"/>
  <c r="EI17" i="26"/>
  <c r="AG11" i="4" s="1"/>
  <c r="AG11" i="5" s="1"/>
  <c r="BJ16" i="22" s="1"/>
  <c r="EM17" i="26"/>
  <c r="ES17" i="26"/>
  <c r="EW17" i="26"/>
  <c r="GK17" i="26"/>
  <c r="GP17" i="26"/>
  <c r="BB11" i="5"/>
  <c r="BC11" i="4"/>
  <c r="BC11" i="5" s="1"/>
  <c r="X13" i="4"/>
  <c r="X13" i="5" s="1"/>
  <c r="E19" i="26"/>
  <c r="I19" i="26"/>
  <c r="F13" i="4" s="1"/>
  <c r="F13" i="5" s="1"/>
  <c r="E18" i="22" s="1"/>
  <c r="O19" i="26"/>
  <c r="G13" i="4" s="1"/>
  <c r="G13" i="5" s="1"/>
  <c r="G18" i="22" s="1"/>
  <c r="S19" i="26"/>
  <c r="H13" i="4" s="1"/>
  <c r="H13" i="5" s="1"/>
  <c r="I18" i="22" s="1"/>
  <c r="Y19" i="26"/>
  <c r="I13" i="4" s="1"/>
  <c r="I13" i="5" s="1"/>
  <c r="K18" i="22" s="1"/>
  <c r="AC19" i="26"/>
  <c r="J13" i="4" s="1"/>
  <c r="J13" i="5" s="1"/>
  <c r="N18" i="22" s="1"/>
  <c r="AI19" i="26"/>
  <c r="K13" i="4" s="1"/>
  <c r="K13" i="5" s="1"/>
  <c r="P18" i="22" s="1"/>
  <c r="AS19" i="26"/>
  <c r="M13" i="4" s="1"/>
  <c r="M13" i="5" s="1"/>
  <c r="T18" i="22" s="1"/>
  <c r="BC19" i="26"/>
  <c r="BK19" i="26"/>
  <c r="Q13" i="4" s="1"/>
  <c r="Q13" i="5" s="1"/>
  <c r="AA18" i="22" s="1"/>
  <c r="BQ19" i="26"/>
  <c r="R13" i="4" s="1"/>
  <c r="R13" i="5" s="1"/>
  <c r="AC18" i="22" s="1"/>
  <c r="BU19" i="26"/>
  <c r="S13" i="4" s="1"/>
  <c r="S13" i="5" s="1"/>
  <c r="AE18" i="22" s="1"/>
  <c r="CA19" i="26"/>
  <c r="T13" i="4" s="1"/>
  <c r="T13" i="5" s="1"/>
  <c r="AG18" i="22" s="1"/>
  <c r="CE19" i="26"/>
  <c r="U13" i="4" s="1"/>
  <c r="U13" i="5" s="1"/>
  <c r="AJ18" i="22" s="1"/>
  <c r="CK19" i="26"/>
  <c r="V13" i="4" s="1"/>
  <c r="V13" i="5" s="1"/>
  <c r="AL18" i="22" s="1"/>
  <c r="CO19" i="26"/>
  <c r="W13" i="4" s="1"/>
  <c r="W13" i="5" s="1"/>
  <c r="AN18" i="22" s="1"/>
  <c r="CU19" i="26"/>
  <c r="Y13" i="4" s="1"/>
  <c r="Y13" i="5" s="1"/>
  <c r="AP18" i="22" s="1"/>
  <c r="DO19" i="26"/>
  <c r="AC13" i="4" s="1"/>
  <c r="AC13" i="5" s="1"/>
  <c r="AY18" i="22" s="1"/>
  <c r="DS19" i="26"/>
  <c r="AD13" i="4" s="1"/>
  <c r="AD13" i="5" s="1"/>
  <c r="BA18" i="22" s="1"/>
  <c r="DY19" i="26"/>
  <c r="AE13" i="4" s="1"/>
  <c r="AE13" i="5" s="1"/>
  <c r="BC18" i="22" s="1"/>
  <c r="EC19" i="26"/>
  <c r="AF13" i="4" s="1"/>
  <c r="AF13" i="5" s="1"/>
  <c r="BH18" i="22" s="1"/>
  <c r="EI19" i="26"/>
  <c r="EM19" i="26"/>
  <c r="AH13" i="4" s="1"/>
  <c r="AH13" i="5" s="1"/>
  <c r="BL18" i="22" s="1"/>
  <c r="ES19" i="26"/>
  <c r="EW19" i="26"/>
  <c r="AJ13" i="4" s="1"/>
  <c r="AJ13" i="5" s="1"/>
  <c r="BP18" i="22" s="1"/>
  <c r="GK19" i="26"/>
  <c r="GP19" i="26"/>
  <c r="AS13" i="4" s="1"/>
  <c r="AS13" i="5" s="1"/>
  <c r="CN18" i="22" s="1"/>
  <c r="AX13" i="4"/>
  <c r="AX13" i="5" s="1"/>
  <c r="AZ13" i="4"/>
  <c r="AZ13" i="5" s="1"/>
  <c r="DC18" i="22" s="1"/>
  <c r="BB13" i="5"/>
  <c r="BC13" i="4"/>
  <c r="E19" i="12"/>
  <c r="X14" i="4" s="1"/>
  <c r="X14" i="5" s="1"/>
  <c r="E20" i="26"/>
  <c r="I20" i="26"/>
  <c r="F14" i="4" s="1"/>
  <c r="F14" i="5" s="1"/>
  <c r="E19" i="22" s="1"/>
  <c r="O20" i="26"/>
  <c r="G14" i="4" s="1"/>
  <c r="G14" i="5" s="1"/>
  <c r="G19" i="22" s="1"/>
  <c r="S20" i="26"/>
  <c r="H14" i="4" s="1"/>
  <c r="H14" i="5" s="1"/>
  <c r="I19" i="22" s="1"/>
  <c r="Y20" i="26"/>
  <c r="I14" i="4" s="1"/>
  <c r="I14" i="5" s="1"/>
  <c r="K19" i="22" s="1"/>
  <c r="AC20" i="26"/>
  <c r="J14" i="4" s="1"/>
  <c r="J14" i="5" s="1"/>
  <c r="N19" i="22" s="1"/>
  <c r="AI20" i="26"/>
  <c r="K14" i="4" s="1"/>
  <c r="K14" i="5" s="1"/>
  <c r="P19" i="22" s="1"/>
  <c r="AS20" i="26"/>
  <c r="M14" i="4" s="1"/>
  <c r="M14" i="5" s="1"/>
  <c r="T19" i="22" s="1"/>
  <c r="BC20" i="26"/>
  <c r="BK20" i="26"/>
  <c r="Q14" i="4" s="1"/>
  <c r="Q14" i="5" s="1"/>
  <c r="AA19" i="22" s="1"/>
  <c r="BQ20" i="26"/>
  <c r="R14" i="4" s="1"/>
  <c r="R14" i="5" s="1"/>
  <c r="AC19" i="22" s="1"/>
  <c r="BU20" i="26"/>
  <c r="CA20" i="26"/>
  <c r="T14" i="4" s="1"/>
  <c r="T14" i="5" s="1"/>
  <c r="AG19" i="22" s="1"/>
  <c r="CE20" i="26"/>
  <c r="U14" i="4" s="1"/>
  <c r="U14" i="5" s="1"/>
  <c r="AJ19" i="22" s="1"/>
  <c r="CK20" i="26"/>
  <c r="V14" i="4" s="1"/>
  <c r="V14" i="5" s="1"/>
  <c r="AL19" i="22" s="1"/>
  <c r="CO20" i="26"/>
  <c r="CU20" i="26"/>
  <c r="Y14" i="4" s="1"/>
  <c r="Y14" i="5" s="1"/>
  <c r="AP19" i="22" s="1"/>
  <c r="CY20" i="26"/>
  <c r="DE20" i="26"/>
  <c r="AA14" i="4" s="1"/>
  <c r="AA14" i="5" s="1"/>
  <c r="AU19" i="22" s="1"/>
  <c r="DO20" i="26"/>
  <c r="DS20" i="26"/>
  <c r="AD14" i="4" s="1"/>
  <c r="AD14" i="5" s="1"/>
  <c r="BA19" i="22" s="1"/>
  <c r="DY20" i="26"/>
  <c r="EC20" i="26"/>
  <c r="AF14" i="4" s="1"/>
  <c r="AG14" i="4"/>
  <c r="AG14" i="5" s="1"/>
  <c r="BJ19" i="22" s="1"/>
  <c r="EM20" i="26"/>
  <c r="ES20" i="26"/>
  <c r="AI14" i="4" s="1"/>
  <c r="AI14" i="5" s="1"/>
  <c r="BN19" i="22" s="1"/>
  <c r="EW20" i="26"/>
  <c r="AJ14" i="4" s="1"/>
  <c r="AJ14" i="5" s="1"/>
  <c r="BP19" i="22" s="1"/>
  <c r="GK20" i="26"/>
  <c r="AR14" i="4" s="1"/>
  <c r="AR14" i="5" s="1"/>
  <c r="CL19" i="22" s="1"/>
  <c r="GP20" i="26"/>
  <c r="AZ14" i="4"/>
  <c r="AZ14" i="5" s="1"/>
  <c r="DC19" i="22" s="1"/>
  <c r="BB14" i="5"/>
  <c r="BC14" i="4"/>
  <c r="BC14" i="5" s="1"/>
  <c r="AD29" i="10"/>
  <c r="E32" i="12"/>
  <c r="Y32" i="26"/>
  <c r="Y33" i="26"/>
  <c r="AS32" i="26"/>
  <c r="AS33" i="26"/>
  <c r="CA32" i="26"/>
  <c r="CA33" i="26"/>
  <c r="CU32" i="26"/>
  <c r="CY32" i="26"/>
  <c r="CY33" i="26"/>
  <c r="DY32" i="26"/>
  <c r="DY33" i="26"/>
  <c r="AC35" i="26"/>
  <c r="AC36" i="26"/>
  <c r="BQ35" i="26"/>
  <c r="BQ36" i="26"/>
  <c r="DY35" i="26"/>
  <c r="DY36" i="26"/>
  <c r="ES35" i="26"/>
  <c r="ES36" i="26"/>
  <c r="EW35" i="26"/>
  <c r="EW36" i="26"/>
  <c r="GP35" i="26"/>
  <c r="GP36" i="26"/>
  <c r="AB80" i="10"/>
  <c r="AD31" i="10"/>
  <c r="E38" i="26"/>
  <c r="E39" i="26"/>
  <c r="I38" i="26"/>
  <c r="I39" i="26"/>
  <c r="O38" i="26"/>
  <c r="O39" i="26"/>
  <c r="S38" i="26"/>
  <c r="S39" i="26"/>
  <c r="Y38" i="26"/>
  <c r="Y39" i="26"/>
  <c r="AI38" i="26"/>
  <c r="AI39" i="26"/>
  <c r="BK38" i="26"/>
  <c r="BK39" i="26"/>
  <c r="CE38" i="26"/>
  <c r="CE39" i="26"/>
  <c r="DY38" i="26"/>
  <c r="DY39" i="26"/>
  <c r="GK38" i="26"/>
  <c r="GK39" i="26"/>
  <c r="AB81" i="10"/>
  <c r="AD32" i="10"/>
  <c r="E41" i="26"/>
  <c r="E42" i="26"/>
  <c r="BK41" i="26"/>
  <c r="BK42" i="26"/>
  <c r="CK41" i="26"/>
  <c r="CK42" i="26"/>
  <c r="CO41" i="26"/>
  <c r="CO42" i="26"/>
  <c r="AB82" i="10"/>
  <c r="AD33" i="10"/>
  <c r="E44" i="26"/>
  <c r="E45" i="26"/>
  <c r="BC44" i="26"/>
  <c r="O27" i="4" s="1"/>
  <c r="O27" i="5" s="1"/>
  <c r="Y32" i="22" s="1"/>
  <c r="BK44" i="26"/>
  <c r="BK45" i="26"/>
  <c r="DO44" i="26"/>
  <c r="DO45" i="26"/>
  <c r="DS44" i="26"/>
  <c r="DS45" i="26"/>
  <c r="E37" i="12"/>
  <c r="X28" i="4" s="1"/>
  <c r="X28" i="5" s="1"/>
  <c r="F34" i="10" s="1"/>
  <c r="E46" i="26"/>
  <c r="I46" i="26"/>
  <c r="F28" i="4" s="1"/>
  <c r="F28" i="5" s="1"/>
  <c r="E33" i="22" s="1"/>
  <c r="O46" i="26"/>
  <c r="G28" i="4" s="1"/>
  <c r="G28" i="5" s="1"/>
  <c r="G33" i="22" s="1"/>
  <c r="S46" i="26"/>
  <c r="H28" i="4" s="1"/>
  <c r="H28" i="5" s="1"/>
  <c r="I33" i="22" s="1"/>
  <c r="AC46" i="26"/>
  <c r="J28" i="4" s="1"/>
  <c r="J28" i="5" s="1"/>
  <c r="N33" i="22" s="1"/>
  <c r="AI46" i="26"/>
  <c r="K28" i="4" s="1"/>
  <c r="K28" i="5" s="1"/>
  <c r="P33" i="22" s="1"/>
  <c r="AS46" i="26"/>
  <c r="M28" i="4" s="1"/>
  <c r="M28" i="5" s="1"/>
  <c r="T33" i="22" s="1"/>
  <c r="BC46" i="26"/>
  <c r="BK46" i="26"/>
  <c r="Q28" i="4" s="1"/>
  <c r="Q28" i="5" s="1"/>
  <c r="AA33" i="22" s="1"/>
  <c r="BQ46" i="26"/>
  <c r="R28" i="4" s="1"/>
  <c r="R28" i="5" s="1"/>
  <c r="AC33" i="22" s="1"/>
  <c r="BU46" i="26"/>
  <c r="S28" i="4" s="1"/>
  <c r="S28" i="5" s="1"/>
  <c r="AE33" i="22" s="1"/>
  <c r="CA46" i="26"/>
  <c r="T28" i="4" s="1"/>
  <c r="T28" i="5" s="1"/>
  <c r="AG33" i="22" s="1"/>
  <c r="CE46" i="26"/>
  <c r="U28" i="4" s="1"/>
  <c r="U28" i="5" s="1"/>
  <c r="AJ33" i="22" s="1"/>
  <c r="CK46" i="26"/>
  <c r="V28" i="4" s="1"/>
  <c r="V28" i="5" s="1"/>
  <c r="AL33" i="22" s="1"/>
  <c r="CO46" i="26"/>
  <c r="W28" i="4" s="1"/>
  <c r="W28" i="5" s="1"/>
  <c r="AN33" i="22" s="1"/>
  <c r="CU46" i="26"/>
  <c r="Y28" i="4" s="1"/>
  <c r="Y28" i="5" s="1"/>
  <c r="CY46" i="26"/>
  <c r="Z28" i="4" s="1"/>
  <c r="Z28" i="5" s="1"/>
  <c r="AR33" i="22" s="1"/>
  <c r="DE46" i="26"/>
  <c r="AA28" i="4" s="1"/>
  <c r="AA28" i="5" s="1"/>
  <c r="AU33" i="22" s="1"/>
  <c r="DO46" i="26"/>
  <c r="AC28" i="4" s="1"/>
  <c r="AC28" i="5" s="1"/>
  <c r="AY33" i="22" s="1"/>
  <c r="DS46" i="26"/>
  <c r="AD28" i="4" s="1"/>
  <c r="AD28" i="5" s="1"/>
  <c r="BA33" i="22" s="1"/>
  <c r="DY46" i="26"/>
  <c r="AE28" i="4" s="1"/>
  <c r="AE28" i="5" s="1"/>
  <c r="BC33" i="22" s="1"/>
  <c r="EC46" i="26"/>
  <c r="AF28" i="4" s="1"/>
  <c r="AF28" i="5" s="1"/>
  <c r="BH33" i="22" s="1"/>
  <c r="EI46" i="26"/>
  <c r="AG28" i="4" s="1"/>
  <c r="AG28" i="5" s="1"/>
  <c r="BJ33" i="22" s="1"/>
  <c r="EM46" i="26"/>
  <c r="AH28" i="4" s="1"/>
  <c r="AH28" i="5" s="1"/>
  <c r="BL33" i="22" s="1"/>
  <c r="ES46" i="26"/>
  <c r="AI28" i="4" s="1"/>
  <c r="EW46" i="26"/>
  <c r="AJ28" i="4" s="1"/>
  <c r="GK46" i="26"/>
  <c r="AR28" i="4" s="1"/>
  <c r="GP46" i="26"/>
  <c r="AS28" i="4" s="1"/>
  <c r="AX28" i="4"/>
  <c r="AX28" i="5" s="1"/>
  <c r="CY33" i="22" s="1"/>
  <c r="AZ28" i="4"/>
  <c r="AZ28" i="5" s="1"/>
  <c r="DC33" i="22" s="1"/>
  <c r="BB28" i="5"/>
  <c r="G34" i="10" s="1"/>
  <c r="BC28" i="5"/>
  <c r="H34" i="10" s="1"/>
  <c r="BC61" i="4"/>
  <c r="N170" i="9"/>
  <c r="Y33" i="9"/>
  <c r="R143" i="9"/>
  <c r="R144" i="9"/>
  <c r="Y35" i="9" s="1"/>
  <c r="AG35" i="9" s="1"/>
  <c r="N171" i="9"/>
  <c r="Q39" i="8"/>
  <c r="E47" i="26"/>
  <c r="I47" i="26"/>
  <c r="F29" i="4" s="1"/>
  <c r="O47" i="26"/>
  <c r="G29" i="4" s="1"/>
  <c r="G29" i="5" s="1"/>
  <c r="G34" i="22" s="1"/>
  <c r="S47" i="26"/>
  <c r="H29" i="4" s="1"/>
  <c r="H29" i="5" s="1"/>
  <c r="I34" i="22" s="1"/>
  <c r="Y47" i="26"/>
  <c r="I29" i="4" s="1"/>
  <c r="I29" i="5" s="1"/>
  <c r="AC47" i="26"/>
  <c r="J29" i="4" s="1"/>
  <c r="AI47" i="26"/>
  <c r="K29" i="4" s="1"/>
  <c r="AS47" i="26"/>
  <c r="M29" i="4" s="1"/>
  <c r="M29" i="5" s="1"/>
  <c r="T34" i="22" s="1"/>
  <c r="BC47" i="26"/>
  <c r="BK47" i="26"/>
  <c r="Q29" i="4" s="1"/>
  <c r="Q29" i="5" s="1"/>
  <c r="AA34" i="22" s="1"/>
  <c r="BQ47" i="26"/>
  <c r="R29" i="4" s="1"/>
  <c r="R29" i="5" s="1"/>
  <c r="AC34" i="22" s="1"/>
  <c r="BU47" i="26"/>
  <c r="S29" i="4" s="1"/>
  <c r="S29" i="5" s="1"/>
  <c r="AE34" i="22" s="1"/>
  <c r="CA47" i="26"/>
  <c r="T29" i="4" s="1"/>
  <c r="T29" i="5" s="1"/>
  <c r="AG34" i="22" s="1"/>
  <c r="CE47" i="26"/>
  <c r="U29" i="4" s="1"/>
  <c r="U29" i="5" s="1"/>
  <c r="AJ34" i="22" s="1"/>
  <c r="CK47" i="26"/>
  <c r="V29" i="4" s="1"/>
  <c r="V29" i="5" s="1"/>
  <c r="AL34" i="22" s="1"/>
  <c r="CO47" i="26"/>
  <c r="W29" i="4" s="1"/>
  <c r="W29" i="5" s="1"/>
  <c r="CU47" i="26"/>
  <c r="Y29" i="4" s="1"/>
  <c r="Y29" i="5" s="1"/>
  <c r="CY47" i="26"/>
  <c r="Z29" i="4" s="1"/>
  <c r="Z29" i="5" s="1"/>
  <c r="AR34" i="22" s="1"/>
  <c r="DE47" i="26"/>
  <c r="AA29" i="4" s="1"/>
  <c r="AA29" i="5" s="1"/>
  <c r="AU34" i="22" s="1"/>
  <c r="DO47" i="26"/>
  <c r="AC29" i="4" s="1"/>
  <c r="AC29" i="5" s="1"/>
  <c r="DS47" i="26"/>
  <c r="AD29" i="4" s="1"/>
  <c r="AD29" i="5" s="1"/>
  <c r="BA34" i="22" s="1"/>
  <c r="DY47" i="26"/>
  <c r="AE29" i="4" s="1"/>
  <c r="AE29" i="5" s="1"/>
  <c r="BC34" i="22" s="1"/>
  <c r="EC47" i="26"/>
  <c r="AF29" i="4" s="1"/>
  <c r="EI47" i="26"/>
  <c r="EM47" i="26"/>
  <c r="AH29" i="4" s="1"/>
  <c r="AH29" i="5" s="1"/>
  <c r="BL34" i="22" s="1"/>
  <c r="ES47" i="26"/>
  <c r="EW47" i="26"/>
  <c r="AJ29" i="4" s="1"/>
  <c r="AJ29" i="5" s="1"/>
  <c r="GK47" i="26"/>
  <c r="GP47" i="26"/>
  <c r="AS29" i="4" s="1"/>
  <c r="AS29" i="5" s="1"/>
  <c r="CN34" i="22" s="1"/>
  <c r="AX29" i="4"/>
  <c r="AX29" i="5" s="1"/>
  <c r="CY34" i="22" s="1"/>
  <c r="AZ29" i="4"/>
  <c r="AZ29" i="5" s="1"/>
  <c r="DC34" i="22" s="1"/>
  <c r="BA29" i="4"/>
  <c r="BA29" i="5" s="1"/>
  <c r="G35" i="10"/>
  <c r="H35" i="10"/>
  <c r="X29" i="4"/>
  <c r="X29" i="5" s="1"/>
  <c r="F49" i="23"/>
  <c r="BC254" i="5"/>
  <c r="BC258" i="5"/>
  <c r="BD254" i="5"/>
  <c r="BD258" i="5"/>
  <c r="EF254" i="5"/>
  <c r="EF258" i="5"/>
  <c r="CL258" i="5"/>
  <c r="CM258" i="5"/>
  <c r="CN258" i="5"/>
  <c r="CO258" i="5"/>
  <c r="CP258" i="5"/>
  <c r="CQ258" i="5"/>
  <c r="CR258" i="5"/>
  <c r="F50" i="23"/>
  <c r="F51" i="23"/>
  <c r="V258" i="5"/>
  <c r="W258" i="5"/>
  <c r="AX258" i="5"/>
  <c r="BB258" i="5"/>
  <c r="F31" i="23"/>
  <c r="D27" i="4"/>
  <c r="D27" i="5" s="1"/>
  <c r="D33" i="10" s="1"/>
  <c r="F32" i="23"/>
  <c r="BW258" i="5"/>
  <c r="BU258" i="5"/>
  <c r="BD25" i="5"/>
  <c r="EF25" i="5"/>
  <c r="L36" i="33"/>
  <c r="N114" i="10"/>
  <c r="N121" i="10"/>
  <c r="N122" i="10"/>
  <c r="M70" i="6"/>
  <c r="R70" i="6" s="1"/>
  <c r="M61" i="19"/>
  <c r="X61" i="19" s="1"/>
  <c r="AI61" i="19" s="1"/>
  <c r="AT61" i="19" s="1"/>
  <c r="BD314" i="5"/>
  <c r="E65" i="6"/>
  <c r="I65" i="6" s="1"/>
  <c r="E70" i="6"/>
  <c r="I70" i="6" s="1"/>
  <c r="L83" i="32"/>
  <c r="AA39" i="9"/>
  <c r="AB57" i="10"/>
  <c r="I44" i="34"/>
  <c r="H48" i="15"/>
  <c r="CC258" i="5"/>
  <c r="CC314" i="5"/>
  <c r="CG258" i="5"/>
  <c r="F48" i="15"/>
  <c r="CB120" i="4"/>
  <c r="H93" i="15"/>
  <c r="H80" i="13"/>
  <c r="D78" i="29"/>
  <c r="D97" i="31" s="1"/>
  <c r="F54" i="38"/>
  <c r="F55" i="38"/>
  <c r="C82" i="38"/>
  <c r="F58" i="38"/>
  <c r="F62" i="38"/>
  <c r="F57" i="38"/>
  <c r="C18" i="38"/>
  <c r="F18" i="38" s="1"/>
  <c r="F90" i="38"/>
  <c r="F26" i="38"/>
  <c r="F27" i="38"/>
  <c r="F29" i="38"/>
  <c r="F25" i="38"/>
  <c r="F28" i="38"/>
  <c r="F30" i="38"/>
  <c r="D18" i="39"/>
  <c r="H18" i="39" s="1"/>
  <c r="AH18" i="39" s="1"/>
  <c r="X21" i="39"/>
  <c r="X30" i="39"/>
  <c r="CW254" i="5"/>
  <c r="CW258" i="5"/>
  <c r="JB63" i="26"/>
  <c r="P61" i="4" s="1"/>
  <c r="P67" i="4" s="1"/>
  <c r="CF258" i="5"/>
  <c r="J24" i="30"/>
  <c r="CD314" i="5"/>
  <c r="CG314" i="5"/>
  <c r="CE314" i="5"/>
  <c r="AX314" i="5"/>
  <c r="CC131" i="4"/>
  <c r="CC146" i="5" s="1"/>
  <c r="I314" i="5"/>
  <c r="J314" i="5"/>
  <c r="K314" i="5"/>
  <c r="M314" i="5"/>
  <c r="O314" i="5"/>
  <c r="P314" i="5"/>
  <c r="Q314" i="5"/>
  <c r="R314" i="5"/>
  <c r="S314" i="5"/>
  <c r="T314" i="5"/>
  <c r="U314" i="5"/>
  <c r="V314" i="5"/>
  <c r="W314" i="5"/>
  <c r="X314" i="5"/>
  <c r="Y314" i="5"/>
  <c r="Z314" i="5"/>
  <c r="AA314" i="5"/>
  <c r="AC314" i="5"/>
  <c r="AD314" i="5"/>
  <c r="AE314" i="5"/>
  <c r="AF314" i="5"/>
  <c r="AG314" i="5"/>
  <c r="AH314" i="5"/>
  <c r="AI314" i="5"/>
  <c r="AJ314" i="5"/>
  <c r="AR314" i="5"/>
  <c r="AS314" i="5"/>
  <c r="AU314" i="5"/>
  <c r="AV314" i="5"/>
  <c r="AY314" i="5"/>
  <c r="AZ314" i="5"/>
  <c r="BA314" i="5"/>
  <c r="BB314" i="5"/>
  <c r="BC314" i="5"/>
  <c r="F13" i="66" s="1"/>
  <c r="F14" i="66" s="1"/>
  <c r="F16" i="66" s="1"/>
  <c r="CG292" i="5"/>
  <c r="BC292" i="5"/>
  <c r="BC318" i="5"/>
  <c r="AY292" i="5"/>
  <c r="AY318" i="5"/>
  <c r="AC292" i="5"/>
  <c r="AC318" i="5"/>
  <c r="Y292" i="5"/>
  <c r="Y318" i="5"/>
  <c r="CE16" i="5"/>
  <c r="H35" i="30" s="1"/>
  <c r="H55" i="31" s="1"/>
  <c r="H35" i="14"/>
  <c r="H57" i="15" s="1"/>
  <c r="CC292" i="5"/>
  <c r="CC318" i="5"/>
  <c r="CD292" i="5"/>
  <c r="CD318" i="5"/>
  <c r="CF292" i="5"/>
  <c r="CF314" i="5"/>
  <c r="CF318" i="5"/>
  <c r="CG318" i="5"/>
  <c r="CE171" i="4"/>
  <c r="CE73" i="4" s="1"/>
  <c r="CE292" i="5"/>
  <c r="CE318" i="5"/>
  <c r="X10" i="4"/>
  <c r="X10" i="5" s="1"/>
  <c r="E45" i="12"/>
  <c r="X46" i="4" s="1"/>
  <c r="X46" i="5" s="1"/>
  <c r="E68" i="70" s="1"/>
  <c r="AZ12" i="4"/>
  <c r="AZ12" i="5" s="1"/>
  <c r="AA13" i="4"/>
  <c r="AA13" i="5" s="1"/>
  <c r="AU18" i="22" s="1"/>
  <c r="M10" i="4"/>
  <c r="M10" i="5" s="1"/>
  <c r="J10" i="4"/>
  <c r="J10" i="5" s="1"/>
  <c r="N15" i="22" s="1"/>
  <c r="H10" i="4"/>
  <c r="H10" i="5" s="1"/>
  <c r="I15" i="22" s="1"/>
  <c r="E18" i="26"/>
  <c r="E54" i="26"/>
  <c r="E27" i="37"/>
  <c r="K27" i="37"/>
  <c r="AE27" i="37" s="1"/>
  <c r="G27" i="37"/>
  <c r="I27" i="37"/>
  <c r="M27" i="37"/>
  <c r="O27" i="37"/>
  <c r="DF334" i="5"/>
  <c r="Q27" i="37"/>
  <c r="S27" i="37"/>
  <c r="W27" i="37"/>
  <c r="DQ334" i="5"/>
  <c r="DQ88" i="5" s="1"/>
  <c r="DS334" i="5"/>
  <c r="K26" i="37"/>
  <c r="AE26" i="37" s="1"/>
  <c r="Y26" i="37"/>
  <c r="AG26" i="37"/>
  <c r="AI26" i="37"/>
  <c r="E19" i="37"/>
  <c r="K19" i="37"/>
  <c r="AE19" i="37" s="1"/>
  <c r="I19" i="37"/>
  <c r="Q19" i="37"/>
  <c r="S19" i="37"/>
  <c r="W19" i="37"/>
  <c r="E21" i="37"/>
  <c r="K21" i="37"/>
  <c r="AE21" i="37" s="1"/>
  <c r="I21" i="37"/>
  <c r="DD105" i="5"/>
  <c r="Q21" i="37"/>
  <c r="S21" i="37"/>
  <c r="W21" i="37"/>
  <c r="Y21" i="37"/>
  <c r="AA21" i="37"/>
  <c r="AG21" i="37"/>
  <c r="AI21" i="37"/>
  <c r="CX85" i="5"/>
  <c r="CX84" i="5" s="1"/>
  <c r="CY85" i="5"/>
  <c r="DA85" i="5"/>
  <c r="DA114" i="5" s="1"/>
  <c r="K16" i="37"/>
  <c r="AE16" i="37" s="1"/>
  <c r="DB85" i="5"/>
  <c r="G16" i="37" s="1"/>
  <c r="G23" i="37" s="1"/>
  <c r="DC85" i="5"/>
  <c r="DD85" i="5"/>
  <c r="DE85" i="5"/>
  <c r="O16" i="37" s="1"/>
  <c r="O23" i="37" s="1"/>
  <c r="DF85" i="5"/>
  <c r="DG85" i="5"/>
  <c r="DH85" i="5"/>
  <c r="DI85" i="5"/>
  <c r="DI114" i="5" s="1"/>
  <c r="DJ85" i="5"/>
  <c r="DJ114" i="5" s="1"/>
  <c r="DK85" i="5"/>
  <c r="DK84" i="5" s="1"/>
  <c r="DL85" i="5"/>
  <c r="DL114" i="5" s="1"/>
  <c r="DM85" i="5"/>
  <c r="DM84" i="5" s="1"/>
  <c r="DN85" i="5"/>
  <c r="DN114" i="5" s="1"/>
  <c r="DS85" i="5"/>
  <c r="AG16" i="37" s="1"/>
  <c r="DT85" i="5"/>
  <c r="DT84" i="5" s="1"/>
  <c r="B54" i="51"/>
  <c r="B17" i="51" s="1"/>
  <c r="B19" i="51" s="1"/>
  <c r="T25" i="51"/>
  <c r="T31" i="51"/>
  <c r="Q25" i="51"/>
  <c r="Q33" i="51"/>
  <c r="Y28" i="37"/>
  <c r="K17" i="37"/>
  <c r="AE17" i="37" s="1"/>
  <c r="C15" i="38"/>
  <c r="CX334" i="5"/>
  <c r="CX288" i="5" s="1"/>
  <c r="CY334" i="5"/>
  <c r="CY288" i="5" s="1"/>
  <c r="CZ334" i="5"/>
  <c r="CZ288" i="5" s="1"/>
  <c r="DA334" i="5"/>
  <c r="DA288" i="5" s="1"/>
  <c r="DB334" i="5"/>
  <c r="DB288" i="5" s="1"/>
  <c r="DC334" i="5"/>
  <c r="DC288" i="5" s="1"/>
  <c r="DD334" i="5"/>
  <c r="DD288" i="5" s="1"/>
  <c r="DE334" i="5"/>
  <c r="DE288" i="5" s="1"/>
  <c r="DH334" i="5"/>
  <c r="DH288" i="5" s="1"/>
  <c r="DI334" i="5"/>
  <c r="DI288" i="5" s="1"/>
  <c r="DJ334" i="5"/>
  <c r="DJ288" i="5" s="1"/>
  <c r="DK334" i="5"/>
  <c r="DK288" i="5" s="1"/>
  <c r="DL334" i="5"/>
  <c r="DL288" i="5" s="1"/>
  <c r="DM334" i="5"/>
  <c r="DM288" i="5" s="1"/>
  <c r="DN334" i="5"/>
  <c r="DN288" i="5" s="1"/>
  <c r="DO334" i="5"/>
  <c r="DW329" i="5"/>
  <c r="DW321" i="5"/>
  <c r="DW313" i="5"/>
  <c r="DW312" i="5"/>
  <c r="DW311" i="5"/>
  <c r="DW310" i="5"/>
  <c r="DW309" i="5"/>
  <c r="DW308" i="5"/>
  <c r="DW307" i="5"/>
  <c r="DW306" i="5"/>
  <c r="DW305" i="5"/>
  <c r="DW304" i="5"/>
  <c r="DW303" i="5"/>
  <c r="DW302" i="5"/>
  <c r="DW301" i="5"/>
  <c r="DW300" i="5"/>
  <c r="DW299" i="5"/>
  <c r="DW298" i="5"/>
  <c r="DW297" i="5"/>
  <c r="DW296" i="5"/>
  <c r="DW317" i="5"/>
  <c r="DW316" i="5"/>
  <c r="DW284" i="5"/>
  <c r="DW285" i="5"/>
  <c r="DW286" i="5"/>
  <c r="DW287" i="5"/>
  <c r="DW289" i="5"/>
  <c r="DW290" i="5"/>
  <c r="DW283" i="5"/>
  <c r="DW269" i="5"/>
  <c r="DW265" i="5"/>
  <c r="DW257" i="5"/>
  <c r="DW256" i="5"/>
  <c r="DW237" i="5"/>
  <c r="DW238" i="5"/>
  <c r="DW239" i="5"/>
  <c r="DW240" i="5"/>
  <c r="DW241" i="5"/>
  <c r="DW242" i="5"/>
  <c r="DW243" i="5"/>
  <c r="DW244" i="5"/>
  <c r="DW245" i="5"/>
  <c r="DW246" i="5"/>
  <c r="DW247" i="5"/>
  <c r="DW248" i="5"/>
  <c r="DW249" i="5"/>
  <c r="DW250" i="5"/>
  <c r="DW251" i="5"/>
  <c r="DW252" i="5"/>
  <c r="DW253" i="5"/>
  <c r="DW236" i="5"/>
  <c r="DW224" i="5"/>
  <c r="DW225" i="5"/>
  <c r="DW226" i="5"/>
  <c r="DW227" i="5"/>
  <c r="DW228" i="5"/>
  <c r="DW229" i="5"/>
  <c r="DW230" i="5"/>
  <c r="DW231" i="5"/>
  <c r="DW223" i="5"/>
  <c r="EN179" i="5"/>
  <c r="EN181" i="5"/>
  <c r="EN182" i="5"/>
  <c r="EN183" i="5"/>
  <c r="EN184" i="5"/>
  <c r="EN186" i="5"/>
  <c r="EN187" i="5"/>
  <c r="EN195" i="5"/>
  <c r="EN198" i="5"/>
  <c r="EN201" i="5"/>
  <c r="EN202" i="5"/>
  <c r="EN203" i="5"/>
  <c r="EN204" i="5"/>
  <c r="EN205" i="5"/>
  <c r="EN151" i="5"/>
  <c r="I26" i="37"/>
  <c r="O26" i="37"/>
  <c r="Q26" i="37"/>
  <c r="E781" i="65"/>
  <c r="EN35" i="5"/>
  <c r="EN30" i="5"/>
  <c r="EN24" i="5"/>
  <c r="EN23" i="5"/>
  <c r="EN22" i="5"/>
  <c r="E83" i="4"/>
  <c r="E86" i="5" s="1"/>
  <c r="E85" i="5" s="1"/>
  <c r="F83" i="4"/>
  <c r="F86" i="5" s="1"/>
  <c r="G83" i="4"/>
  <c r="G86" i="5" s="1"/>
  <c r="H83" i="4"/>
  <c r="H86" i="5" s="1"/>
  <c r="I83" i="4"/>
  <c r="I86" i="5" s="1"/>
  <c r="J83" i="4"/>
  <c r="J86" i="5" s="1"/>
  <c r="K83" i="4"/>
  <c r="K86" i="5" s="1"/>
  <c r="K85" i="5" s="1"/>
  <c r="M83" i="4"/>
  <c r="M86" i="5" s="1"/>
  <c r="P83" i="4"/>
  <c r="P86" i="5" s="1"/>
  <c r="Q83" i="4"/>
  <c r="Q86" i="5" s="1"/>
  <c r="R83" i="4"/>
  <c r="R86" i="5" s="1"/>
  <c r="S83" i="4"/>
  <c r="S86" i="5" s="1"/>
  <c r="T83" i="4"/>
  <c r="T86" i="5" s="1"/>
  <c r="U83" i="4"/>
  <c r="U86" i="5" s="1"/>
  <c r="V83" i="4"/>
  <c r="V86" i="5" s="1"/>
  <c r="W83" i="4"/>
  <c r="W86" i="5" s="1"/>
  <c r="X86" i="5"/>
  <c r="Y83" i="4"/>
  <c r="Y86" i="5" s="1"/>
  <c r="AA83" i="4"/>
  <c r="AA86" i="5" s="1"/>
  <c r="AC83" i="4"/>
  <c r="AC86" i="5" s="1"/>
  <c r="AD83" i="4"/>
  <c r="AD86" i="5" s="1"/>
  <c r="AE83" i="4"/>
  <c r="AE86" i="5" s="1"/>
  <c r="AF86" i="5"/>
  <c r="AG83" i="4"/>
  <c r="AG86" i="5" s="1"/>
  <c r="AH83" i="4"/>
  <c r="AH86" i="5" s="1"/>
  <c r="AI83" i="4"/>
  <c r="AI86" i="5" s="1"/>
  <c r="AJ83" i="4"/>
  <c r="CN14" i="19"/>
  <c r="BD85" i="5"/>
  <c r="BH83" i="4"/>
  <c r="BH86" i="5" s="1"/>
  <c r="BP86" i="5" s="1"/>
  <c r="BQ86" i="5" s="1"/>
  <c r="BK84" i="5"/>
  <c r="BR86" i="5"/>
  <c r="BS83" i="4"/>
  <c r="BS86" i="5" s="1"/>
  <c r="BT83" i="4"/>
  <c r="BT86" i="5" s="1"/>
  <c r="BT85" i="5" s="1"/>
  <c r="BU86" i="5"/>
  <c r="BU85" i="5" s="1"/>
  <c r="CD83" i="4"/>
  <c r="CD86" i="5" s="1"/>
  <c r="CE83" i="4"/>
  <c r="CE86" i="5" s="1"/>
  <c r="CF83" i="4"/>
  <c r="CF86" i="5" s="1"/>
  <c r="CH83" i="4"/>
  <c r="CH86" i="5" s="1"/>
  <c r="CL83" i="4"/>
  <c r="CL86" i="5" s="1"/>
  <c r="CN83" i="4"/>
  <c r="CN86" i="5" s="1"/>
  <c r="CO83" i="4"/>
  <c r="CO86" i="5" s="1"/>
  <c r="CP83" i="4"/>
  <c r="CP86" i="5" s="1"/>
  <c r="CQ83" i="4"/>
  <c r="CQ86" i="5" s="1"/>
  <c r="EF85" i="5"/>
  <c r="D16" i="52" s="1"/>
  <c r="EL86" i="5"/>
  <c r="EL85" i="5" s="1"/>
  <c r="EM86" i="5"/>
  <c r="EM85" i="5" s="1"/>
  <c r="BN24" i="5"/>
  <c r="BN28" i="5"/>
  <c r="BN47" i="5"/>
  <c r="J43" i="10" s="1"/>
  <c r="DO30" i="22"/>
  <c r="DO31" i="22"/>
  <c r="DO32" i="22"/>
  <c r="BA55" i="5"/>
  <c r="DO47" i="22" s="1"/>
  <c r="BA56" i="5"/>
  <c r="DO49" i="22" s="1"/>
  <c r="BA66" i="5"/>
  <c r="DO59" i="22" s="1"/>
  <c r="BA71" i="5"/>
  <c r="DO63" i="22" s="1"/>
  <c r="DO11" i="22"/>
  <c r="DO12" i="22"/>
  <c r="DO13" i="22"/>
  <c r="BA292" i="5"/>
  <c r="BA318" i="5"/>
  <c r="B65" i="22"/>
  <c r="BT65" i="22" s="1"/>
  <c r="BA57" i="5"/>
  <c r="BA232" i="5"/>
  <c r="BA254" i="5"/>
  <c r="BA258" i="5"/>
  <c r="BA73" i="4"/>
  <c r="D16" i="26"/>
  <c r="H16" i="26"/>
  <c r="N16" i="26"/>
  <c r="R16" i="26"/>
  <c r="X16" i="26"/>
  <c r="AB16" i="26"/>
  <c r="AH16" i="26"/>
  <c r="AR16" i="26"/>
  <c r="BB16" i="26"/>
  <c r="BJ16" i="26"/>
  <c r="BP16" i="26"/>
  <c r="BT16" i="26"/>
  <c r="BZ16" i="26"/>
  <c r="CD16" i="26"/>
  <c r="CJ16" i="26"/>
  <c r="CN16" i="26"/>
  <c r="CT16" i="26"/>
  <c r="CX16" i="26"/>
  <c r="DD16" i="26"/>
  <c r="DN16" i="26"/>
  <c r="DR16" i="26"/>
  <c r="DX16" i="26"/>
  <c r="EB16" i="26"/>
  <c r="EH16" i="26"/>
  <c r="EL16" i="26"/>
  <c r="ER16" i="26"/>
  <c r="EV16" i="26"/>
  <c r="GJ16" i="26"/>
  <c r="GO16" i="26"/>
  <c r="D7" i="26"/>
  <c r="BB292" i="5"/>
  <c r="BB318" i="5"/>
  <c r="E171" i="4"/>
  <c r="E73" i="4" s="1"/>
  <c r="F171" i="4"/>
  <c r="F73" i="4" s="1"/>
  <c r="G171" i="4"/>
  <c r="G73" i="4" s="1"/>
  <c r="H171" i="4"/>
  <c r="I171" i="4"/>
  <c r="J171" i="4"/>
  <c r="K171" i="4"/>
  <c r="M171" i="4"/>
  <c r="P171" i="4"/>
  <c r="P73" i="4" s="1"/>
  <c r="Q171" i="4"/>
  <c r="Q73" i="4" s="1"/>
  <c r="R171" i="4"/>
  <c r="R73" i="4" s="1"/>
  <c r="S171" i="4"/>
  <c r="T171" i="4"/>
  <c r="U171" i="4"/>
  <c r="U73" i="4" s="1"/>
  <c r="V171" i="4"/>
  <c r="V73" i="4" s="1"/>
  <c r="W171" i="4"/>
  <c r="W73" i="4" s="1"/>
  <c r="X171" i="4"/>
  <c r="Y171" i="4"/>
  <c r="Y73" i="4" s="1"/>
  <c r="Z171" i="4"/>
  <c r="AA171" i="4"/>
  <c r="AA73" i="4" s="1"/>
  <c r="AC171" i="4"/>
  <c r="AC73" i="4" s="1"/>
  <c r="AD171" i="4"/>
  <c r="AD73" i="4" s="1"/>
  <c r="AE171" i="4"/>
  <c r="AE73" i="4" s="1"/>
  <c r="AF171" i="4"/>
  <c r="AF73" i="4" s="1"/>
  <c r="AG171" i="4"/>
  <c r="AG73" i="4" s="1"/>
  <c r="AH171" i="4"/>
  <c r="AH73" i="4" s="1"/>
  <c r="AI171" i="4"/>
  <c r="AI73" i="4" s="1"/>
  <c r="AJ171" i="4"/>
  <c r="BF157" i="4"/>
  <c r="BG157" i="4" s="1"/>
  <c r="BF158" i="4"/>
  <c r="BG158" i="4" s="1"/>
  <c r="BF159" i="4"/>
  <c r="BG159" i="4" s="1"/>
  <c r="BF160" i="4"/>
  <c r="BG160" i="4" s="1"/>
  <c r="BF163" i="4"/>
  <c r="BG163" i="4" s="1"/>
  <c r="C27" i="22"/>
  <c r="C28" i="22"/>
  <c r="C29" i="22"/>
  <c r="C47" i="22"/>
  <c r="C49" i="22"/>
  <c r="E27" i="22"/>
  <c r="E28" i="22"/>
  <c r="E29" i="22"/>
  <c r="E31" i="22"/>
  <c r="E32" i="22"/>
  <c r="E47" i="22"/>
  <c r="E49" i="22"/>
  <c r="G27" i="22"/>
  <c r="G28" i="22"/>
  <c r="G29" i="22"/>
  <c r="G31" i="22"/>
  <c r="G32" i="22"/>
  <c r="G45" i="22"/>
  <c r="G47" i="22"/>
  <c r="G46" i="22"/>
  <c r="G49" i="22"/>
  <c r="I27" i="22"/>
  <c r="I28" i="22"/>
  <c r="I29" i="22"/>
  <c r="I31" i="22"/>
  <c r="I32" i="22"/>
  <c r="I45" i="22"/>
  <c r="I47" i="22"/>
  <c r="I46" i="22"/>
  <c r="I49" i="22"/>
  <c r="K27" i="22"/>
  <c r="K29" i="22"/>
  <c r="K31" i="22"/>
  <c r="K32" i="22"/>
  <c r="K45" i="22"/>
  <c r="K47" i="22"/>
  <c r="K46" i="22"/>
  <c r="K49" i="22"/>
  <c r="N27" i="22"/>
  <c r="N28" i="22"/>
  <c r="N30" i="22"/>
  <c r="N31" i="22"/>
  <c r="N32" i="22"/>
  <c r="J55" i="5"/>
  <c r="J56" i="5"/>
  <c r="N49" i="22" s="1"/>
  <c r="P27" i="22"/>
  <c r="P28" i="22"/>
  <c r="P29" i="22"/>
  <c r="P31" i="22"/>
  <c r="P32" i="22"/>
  <c r="P45" i="22"/>
  <c r="P47" i="22"/>
  <c r="P46" i="22"/>
  <c r="P49" i="22"/>
  <c r="T29" i="22"/>
  <c r="T30" i="22"/>
  <c r="T31" i="22"/>
  <c r="T32" i="22"/>
  <c r="T45" i="22"/>
  <c r="T47" i="22"/>
  <c r="T46" i="22"/>
  <c r="T49" i="22"/>
  <c r="Y27" i="22"/>
  <c r="Y28" i="22"/>
  <c r="Y29" i="22"/>
  <c r="Y30" i="22"/>
  <c r="Y31" i="22"/>
  <c r="Y45" i="22"/>
  <c r="Y47" i="22"/>
  <c r="Y46" i="22"/>
  <c r="Y49" i="22"/>
  <c r="AA28" i="22"/>
  <c r="AA29" i="22"/>
  <c r="AA45" i="22"/>
  <c r="AA47" i="22"/>
  <c r="AA46" i="22"/>
  <c r="AA49" i="22"/>
  <c r="AC27" i="22"/>
  <c r="AC28" i="22"/>
  <c r="AC30" i="22"/>
  <c r="AC31" i="22"/>
  <c r="AC32" i="22"/>
  <c r="AC47" i="22"/>
  <c r="AC49" i="22"/>
  <c r="AE28" i="22"/>
  <c r="AE29" i="22"/>
  <c r="AE30" i="22"/>
  <c r="AE31" i="22"/>
  <c r="AE32" i="22"/>
  <c r="AE45" i="22"/>
  <c r="AE47" i="22"/>
  <c r="AE46" i="22"/>
  <c r="AE49" i="22"/>
  <c r="AG27" i="22"/>
  <c r="AG29" i="22"/>
  <c r="AG30" i="22"/>
  <c r="AG31" i="22"/>
  <c r="AG32" i="22"/>
  <c r="AG45" i="22"/>
  <c r="AG47" i="22"/>
  <c r="AG46" i="22"/>
  <c r="AG49" i="22"/>
  <c r="AJ27" i="22"/>
  <c r="AJ28" i="22"/>
  <c r="AJ29" i="22"/>
  <c r="AJ31" i="22"/>
  <c r="AJ32" i="22"/>
  <c r="AJ47" i="22"/>
  <c r="AJ49" i="22"/>
  <c r="V318" i="5"/>
  <c r="AL27" i="22"/>
  <c r="AL28" i="22"/>
  <c r="AL29" i="22"/>
  <c r="AL30" i="22"/>
  <c r="AL32" i="22"/>
  <c r="AL45" i="22"/>
  <c r="AL47" i="22"/>
  <c r="AL46" i="22"/>
  <c r="AL49" i="22"/>
  <c r="W318" i="5"/>
  <c r="AN27" i="22"/>
  <c r="AN28" i="22"/>
  <c r="AN29" i="22"/>
  <c r="AN30" i="22"/>
  <c r="AN32" i="22"/>
  <c r="AN45" i="22"/>
  <c r="AN47" i="22"/>
  <c r="AN46" i="22"/>
  <c r="AN49" i="22"/>
  <c r="AP27" i="22"/>
  <c r="AP29" i="22"/>
  <c r="AP30" i="22"/>
  <c r="AP31" i="22"/>
  <c r="AP32" i="22"/>
  <c r="Y55" i="5"/>
  <c r="AP47" i="22" s="1"/>
  <c r="AP49" i="22"/>
  <c r="AR27" i="22"/>
  <c r="AR29" i="22"/>
  <c r="AR30" i="22"/>
  <c r="AR31" i="22"/>
  <c r="AR32" i="22"/>
  <c r="AR45" i="22"/>
  <c r="AR47" i="22"/>
  <c r="AR46" i="22"/>
  <c r="AR49" i="22"/>
  <c r="AU28" i="22"/>
  <c r="AU29" i="22"/>
  <c r="AU30" i="22"/>
  <c r="AU31" i="22"/>
  <c r="AU32" i="22"/>
  <c r="AU47" i="22"/>
  <c r="AU46" i="22"/>
  <c r="AU49" i="22"/>
  <c r="AY27" i="22"/>
  <c r="AY28" i="22"/>
  <c r="AY29" i="22"/>
  <c r="AY30" i="22"/>
  <c r="AY31" i="22"/>
  <c r="AY47" i="22"/>
  <c r="AY49" i="22"/>
  <c r="BA27" i="22"/>
  <c r="BA28" i="22"/>
  <c r="BA29" i="22"/>
  <c r="BA30" i="22"/>
  <c r="BA31" i="22"/>
  <c r="BA47" i="22"/>
  <c r="BA49" i="22"/>
  <c r="BC31" i="22"/>
  <c r="BC32" i="22"/>
  <c r="AE55" i="5"/>
  <c r="BC47" i="22" s="1"/>
  <c r="AE56" i="5"/>
  <c r="BC49" i="22" s="1"/>
  <c r="BH28" i="22"/>
  <c r="BH29" i="22"/>
  <c r="BH30" i="22"/>
  <c r="BH31" i="22"/>
  <c r="BH32" i="22"/>
  <c r="BH45" i="22"/>
  <c r="BH47" i="22"/>
  <c r="BH46" i="22"/>
  <c r="BH49" i="22"/>
  <c r="BJ28" i="22"/>
  <c r="BJ29" i="22"/>
  <c r="BJ30" i="22"/>
  <c r="BJ31" i="22"/>
  <c r="BJ32" i="22"/>
  <c r="BJ45" i="22"/>
  <c r="BJ47" i="22"/>
  <c r="BJ46" i="22"/>
  <c r="BJ49" i="22"/>
  <c r="BL28" i="22"/>
  <c r="BL29" i="22"/>
  <c r="BL30" i="22"/>
  <c r="BL31" i="22"/>
  <c r="BL32" i="22"/>
  <c r="BL45" i="22"/>
  <c r="BL47" i="22"/>
  <c r="BL46" i="22"/>
  <c r="BL49" i="22"/>
  <c r="AI55" i="5"/>
  <c r="BN47" i="22" s="1"/>
  <c r="AI56" i="5"/>
  <c r="BN49" i="22" s="1"/>
  <c r="AJ55" i="5"/>
  <c r="BP47" i="22" s="1"/>
  <c r="AJ56" i="5"/>
  <c r="BP49" i="22" s="1"/>
  <c r="CL27" i="22"/>
  <c r="CL28" i="22"/>
  <c r="CL29" i="22"/>
  <c r="CL31" i="22"/>
  <c r="CL32" i="22"/>
  <c r="AR55" i="5"/>
  <c r="CL47" i="22" s="1"/>
  <c r="AR56" i="5"/>
  <c r="CL49" i="22" s="1"/>
  <c r="CN27" i="22"/>
  <c r="CN28" i="22"/>
  <c r="CN30" i="22"/>
  <c r="CN31" i="22"/>
  <c r="CN32" i="22"/>
  <c r="AS55" i="5"/>
  <c r="CN47" i="22" s="1"/>
  <c r="AS56" i="5"/>
  <c r="CN49" i="22" s="1"/>
  <c r="CU28" i="22"/>
  <c r="CU29" i="22"/>
  <c r="CU30" i="22"/>
  <c r="CU31" i="22"/>
  <c r="CU32" i="22"/>
  <c r="AU55" i="5"/>
  <c r="CU47" i="22" s="1"/>
  <c r="AU56" i="5"/>
  <c r="CU49" i="22" s="1"/>
  <c r="CW29" i="22"/>
  <c r="CW30" i="22"/>
  <c r="CW31" i="22"/>
  <c r="CW32" i="22"/>
  <c r="AV55" i="5"/>
  <c r="CW47" i="22" s="1"/>
  <c r="AV56" i="5"/>
  <c r="CW49" i="22" s="1"/>
  <c r="AX318" i="5"/>
  <c r="AX55" i="5"/>
  <c r="CY47" i="22" s="1"/>
  <c r="AX56" i="5"/>
  <c r="CY49" i="22" s="1"/>
  <c r="DA28" i="22"/>
  <c r="DA29" i="22"/>
  <c r="DA30" i="22"/>
  <c r="DA32" i="22"/>
  <c r="AY55" i="5"/>
  <c r="DA47" i="22" s="1"/>
  <c r="AY56" i="5"/>
  <c r="DA49" i="22" s="1"/>
  <c r="DC28" i="22"/>
  <c r="DC30" i="22"/>
  <c r="DC31" i="22"/>
  <c r="DC32" i="22"/>
  <c r="AZ55" i="5"/>
  <c r="DC47" i="22" s="1"/>
  <c r="AZ56" i="5"/>
  <c r="DC49" i="22" s="1"/>
  <c r="BB55" i="5"/>
  <c r="G52" i="10" s="1"/>
  <c r="G54" i="10"/>
  <c r="BC55" i="5"/>
  <c r="H52" i="10" s="1"/>
  <c r="BC56" i="5"/>
  <c r="H54" i="10" s="1"/>
  <c r="BC57" i="5"/>
  <c r="BD10" i="5"/>
  <c r="BD11" i="5"/>
  <c r="DU16" i="22" s="1"/>
  <c r="BD12" i="5"/>
  <c r="DU17" i="22" s="1"/>
  <c r="BD13" i="5"/>
  <c r="DU18" i="22" s="1"/>
  <c r="BD14" i="5"/>
  <c r="DU19" i="22" s="1"/>
  <c r="BD15" i="5"/>
  <c r="DU20" i="22" s="1"/>
  <c r="DU21" i="22"/>
  <c r="DU27" i="22"/>
  <c r="DU28" i="22"/>
  <c r="DU29" i="22"/>
  <c r="DU31" i="22"/>
  <c r="DU32" i="22"/>
  <c r="DU33" i="22"/>
  <c r="DU34" i="22"/>
  <c r="BD46" i="5"/>
  <c r="BD47" i="5"/>
  <c r="DU42" i="22" s="1"/>
  <c r="BD50" i="5"/>
  <c r="DU45" i="22" s="1"/>
  <c r="BD55" i="5"/>
  <c r="DU47" i="22" s="1"/>
  <c r="BD54" i="5"/>
  <c r="DU46" i="22" s="1"/>
  <c r="BD56" i="5"/>
  <c r="DU49" i="22" s="1"/>
  <c r="BD57" i="5"/>
  <c r="DU50" i="22" s="1"/>
  <c r="B55" i="22"/>
  <c r="BG55" i="22" s="1"/>
  <c r="BC232" i="5"/>
  <c r="C57" i="22"/>
  <c r="E57" i="22"/>
  <c r="I57" i="22"/>
  <c r="N57" i="22"/>
  <c r="P57" i="22"/>
  <c r="T57" i="22"/>
  <c r="Y57" i="22"/>
  <c r="AA57" i="22"/>
  <c r="AC57" i="22"/>
  <c r="AE57" i="22"/>
  <c r="AG57" i="22"/>
  <c r="AJ57" i="22"/>
  <c r="AL57" i="22"/>
  <c r="AN57" i="22"/>
  <c r="AP57" i="22"/>
  <c r="AR57" i="22"/>
  <c r="AU57" i="22"/>
  <c r="AY57" i="22"/>
  <c r="BA57" i="22"/>
  <c r="BC57" i="22"/>
  <c r="BH57" i="22"/>
  <c r="BJ57" i="22"/>
  <c r="BL57" i="22"/>
  <c r="BN57" i="22"/>
  <c r="BP57" i="22"/>
  <c r="CL57" i="22"/>
  <c r="CN57" i="22"/>
  <c r="CU57" i="22"/>
  <c r="CW57" i="22"/>
  <c r="CY57" i="22"/>
  <c r="DA57" i="22"/>
  <c r="DC57" i="22"/>
  <c r="BD232" i="5"/>
  <c r="B57" i="22"/>
  <c r="AT57" i="22" s="1"/>
  <c r="E66" i="5"/>
  <c r="C59" i="22" s="1"/>
  <c r="F66" i="5"/>
  <c r="E59" i="22" s="1"/>
  <c r="G66" i="5"/>
  <c r="G59" i="22" s="1"/>
  <c r="H66" i="5"/>
  <c r="I66" i="5"/>
  <c r="K59" i="22" s="1"/>
  <c r="J66" i="5"/>
  <c r="N59" i="22" s="1"/>
  <c r="K66" i="5"/>
  <c r="P59" i="22" s="1"/>
  <c r="M66" i="5"/>
  <c r="T59" i="22" s="1"/>
  <c r="O66" i="5"/>
  <c r="Y59" i="22" s="1"/>
  <c r="Q66" i="5"/>
  <c r="AA59" i="22" s="1"/>
  <c r="R66" i="5"/>
  <c r="AC59" i="22" s="1"/>
  <c r="S66" i="5"/>
  <c r="AE59" i="22" s="1"/>
  <c r="T66" i="5"/>
  <c r="AG59" i="22" s="1"/>
  <c r="U66" i="5"/>
  <c r="AJ59" i="22" s="1"/>
  <c r="V66" i="5"/>
  <c r="AL59" i="22" s="1"/>
  <c r="W66" i="5"/>
  <c r="AN59" i="22" s="1"/>
  <c r="Y66" i="5"/>
  <c r="AP59" i="22" s="1"/>
  <c r="Z66" i="5"/>
  <c r="AA66" i="5"/>
  <c r="AU59" i="22" s="1"/>
  <c r="AC66" i="5"/>
  <c r="AY59" i="22" s="1"/>
  <c r="AD66" i="5"/>
  <c r="BA59" i="22" s="1"/>
  <c r="AE66" i="5"/>
  <c r="BC59" i="22" s="1"/>
  <c r="AF66" i="5"/>
  <c r="BH59" i="22" s="1"/>
  <c r="AG66" i="5"/>
  <c r="BJ59" i="22" s="1"/>
  <c r="AH66" i="5"/>
  <c r="BL59" i="22" s="1"/>
  <c r="AI66" i="5"/>
  <c r="BN59" i="22" s="1"/>
  <c r="AJ66" i="5"/>
  <c r="BP59" i="22" s="1"/>
  <c r="AR66" i="5"/>
  <c r="CL59" i="22" s="1"/>
  <c r="AS66" i="5"/>
  <c r="CN59" i="22" s="1"/>
  <c r="AU66" i="5"/>
  <c r="CU59" i="22" s="1"/>
  <c r="AV66" i="5"/>
  <c r="CW59" i="22" s="1"/>
  <c r="AX66" i="5"/>
  <c r="CY59" i="22" s="1"/>
  <c r="AY66" i="5"/>
  <c r="DA59" i="22" s="1"/>
  <c r="AZ66" i="5"/>
  <c r="DC59" i="22" s="1"/>
  <c r="BB66" i="5"/>
  <c r="G64" i="10" s="1"/>
  <c r="G66" i="10" s="1"/>
  <c r="BC66" i="5"/>
  <c r="H64" i="10" s="1"/>
  <c r="H66" i="10" s="1"/>
  <c r="B59" i="22"/>
  <c r="BG59" i="22" s="1"/>
  <c r="DU59" i="22"/>
  <c r="J71" i="5"/>
  <c r="N63" i="22" s="1"/>
  <c r="K71" i="5"/>
  <c r="P63" i="22" s="1"/>
  <c r="M71" i="5"/>
  <c r="T63" i="22" s="1"/>
  <c r="O71" i="5"/>
  <c r="Y63" i="22" s="1"/>
  <c r="Q71" i="5"/>
  <c r="AA63" i="22" s="1"/>
  <c r="R71" i="5"/>
  <c r="AC63" i="22" s="1"/>
  <c r="S71" i="5"/>
  <c r="AE63" i="22" s="1"/>
  <c r="T71" i="5"/>
  <c r="AG63" i="22" s="1"/>
  <c r="U71" i="5"/>
  <c r="AJ63" i="22" s="1"/>
  <c r="V71" i="5"/>
  <c r="AL63" i="22" s="1"/>
  <c r="W71" i="5"/>
  <c r="AN63" i="22" s="1"/>
  <c r="Y71" i="5"/>
  <c r="AP63" i="22" s="1"/>
  <c r="Z71" i="5"/>
  <c r="AA71" i="5"/>
  <c r="AU63" i="22" s="1"/>
  <c r="AC71" i="5"/>
  <c r="AY63" i="22" s="1"/>
  <c r="AD71" i="5"/>
  <c r="BA63" i="22" s="1"/>
  <c r="AE71" i="5"/>
  <c r="BC63" i="22" s="1"/>
  <c r="AF71" i="5"/>
  <c r="BH63" i="22" s="1"/>
  <c r="AG71" i="5"/>
  <c r="BJ63" i="22" s="1"/>
  <c r="AH71" i="5"/>
  <c r="BL63" i="22" s="1"/>
  <c r="AI71" i="5"/>
  <c r="BN63" i="22" s="1"/>
  <c r="AJ71" i="5"/>
  <c r="BP63" i="22" s="1"/>
  <c r="AR71" i="5"/>
  <c r="CL63" i="22" s="1"/>
  <c r="AS71" i="5"/>
  <c r="CN63" i="22" s="1"/>
  <c r="AU71" i="5"/>
  <c r="CU63" i="22" s="1"/>
  <c r="AV71" i="5"/>
  <c r="CW63" i="22" s="1"/>
  <c r="AX71" i="5"/>
  <c r="CY63" i="22" s="1"/>
  <c r="AY71" i="5"/>
  <c r="DA63" i="22" s="1"/>
  <c r="AZ71" i="5"/>
  <c r="DC63" i="22" s="1"/>
  <c r="BB71" i="5"/>
  <c r="G68" i="10" s="1"/>
  <c r="BC71" i="5"/>
  <c r="H68" i="10" s="1"/>
  <c r="B63" i="22"/>
  <c r="AI63" i="22" s="1"/>
  <c r="DU63" i="22"/>
  <c r="F28" i="10"/>
  <c r="F30" i="10"/>
  <c r="F31" i="10"/>
  <c r="F32" i="10"/>
  <c r="F33" i="10"/>
  <c r="F52" i="10"/>
  <c r="F54" i="10"/>
  <c r="F62" i="10"/>
  <c r="X66" i="5"/>
  <c r="F64" i="10" s="1"/>
  <c r="X71" i="5"/>
  <c r="F68" i="10" s="1"/>
  <c r="BF284" i="5"/>
  <c r="BG284" i="5" s="1"/>
  <c r="BF285" i="5"/>
  <c r="BG285" i="5" s="1"/>
  <c r="B30" i="66"/>
  <c r="BF287" i="5"/>
  <c r="BG287" i="5" s="1"/>
  <c r="BF288" i="5"/>
  <c r="BG288" i="5" s="1"/>
  <c r="BF289" i="5"/>
  <c r="BG289" i="5" s="1"/>
  <c r="BF290" i="5"/>
  <c r="BG290" i="5" s="1"/>
  <c r="BF291" i="5"/>
  <c r="BF329" i="5"/>
  <c r="BG329" i="5" s="1"/>
  <c r="D334" i="5"/>
  <c r="D19" i="9"/>
  <c r="D21" i="9"/>
  <c r="D93" i="5"/>
  <c r="D341" i="5"/>
  <c r="D31" i="9"/>
  <c r="M37" i="6"/>
  <c r="M38" i="6"/>
  <c r="E100" i="5"/>
  <c r="C28" i="19" s="1"/>
  <c r="F100" i="5"/>
  <c r="G100" i="5"/>
  <c r="G28" i="19" s="1"/>
  <c r="H100" i="5"/>
  <c r="I28" i="19" s="1"/>
  <c r="I100" i="5"/>
  <c r="K28" i="19" s="1"/>
  <c r="J100" i="5"/>
  <c r="N28" i="19" s="1"/>
  <c r="K100" i="5"/>
  <c r="P28" i="19" s="1"/>
  <c r="M100" i="5"/>
  <c r="T28" i="19" s="1"/>
  <c r="O100" i="5"/>
  <c r="Y28" i="19" s="1"/>
  <c r="Q100" i="5"/>
  <c r="AA28" i="19" s="1"/>
  <c r="R100" i="5"/>
  <c r="AC28" i="19" s="1"/>
  <c r="S100" i="5"/>
  <c r="AE28" i="19" s="1"/>
  <c r="T100" i="5"/>
  <c r="AG28" i="19" s="1"/>
  <c r="U100" i="5"/>
  <c r="AJ28" i="19" s="1"/>
  <c r="V100" i="5"/>
  <c r="AL28" i="19" s="1"/>
  <c r="W100" i="5"/>
  <c r="AN28" i="19" s="1"/>
  <c r="Y100" i="5"/>
  <c r="AP28" i="19" s="1"/>
  <c r="Z100" i="5"/>
  <c r="AR28" i="19" s="1"/>
  <c r="AA100" i="5"/>
  <c r="AU28" i="19" s="1"/>
  <c r="AC100" i="5"/>
  <c r="AY28" i="19" s="1"/>
  <c r="AD100" i="5"/>
  <c r="BA28" i="19" s="1"/>
  <c r="AE100" i="5"/>
  <c r="BC28" i="19" s="1"/>
  <c r="AF100" i="5"/>
  <c r="BH28" i="19" s="1"/>
  <c r="AG100" i="5"/>
  <c r="BJ28" i="19" s="1"/>
  <c r="AH100" i="5"/>
  <c r="BL28" i="19" s="1"/>
  <c r="AI100" i="5"/>
  <c r="BN28" i="19" s="1"/>
  <c r="AJ100" i="5"/>
  <c r="BP28" i="19" s="1"/>
  <c r="DP15" i="19"/>
  <c r="E86" i="4"/>
  <c r="E334" i="5" s="1"/>
  <c r="F86" i="4"/>
  <c r="G86" i="4"/>
  <c r="G334" i="5" s="1"/>
  <c r="H86" i="4"/>
  <c r="H334" i="5" s="1"/>
  <c r="H88" i="5" s="1"/>
  <c r="I17" i="19" s="1"/>
  <c r="I86" i="4"/>
  <c r="I334" i="5" s="1"/>
  <c r="J86" i="4"/>
  <c r="J334" i="5" s="1"/>
  <c r="K86" i="4"/>
  <c r="K334" i="5" s="1"/>
  <c r="M86" i="4"/>
  <c r="O334" i="5"/>
  <c r="O157" i="5" s="1"/>
  <c r="O172" i="5" s="1"/>
  <c r="Q86" i="4"/>
  <c r="Q334" i="5" s="1"/>
  <c r="R86" i="4"/>
  <c r="R334" i="5" s="1"/>
  <c r="S86" i="4"/>
  <c r="T86" i="4"/>
  <c r="T334" i="5" s="1"/>
  <c r="T88" i="5" s="1"/>
  <c r="AG17" i="19" s="1"/>
  <c r="U86" i="4"/>
  <c r="U334" i="5" s="1"/>
  <c r="V86" i="4"/>
  <c r="V334" i="5" s="1"/>
  <c r="W86" i="4"/>
  <c r="W334" i="5" s="1"/>
  <c r="Y86" i="4"/>
  <c r="Y334" i="5" s="1"/>
  <c r="Y88" i="5" s="1"/>
  <c r="AP17" i="19" s="1"/>
  <c r="Z86" i="4"/>
  <c r="Z334" i="5" s="1"/>
  <c r="AA86" i="4"/>
  <c r="AA334" i="5" s="1"/>
  <c r="AC86" i="4"/>
  <c r="AC334" i="5" s="1"/>
  <c r="AD86" i="4"/>
  <c r="AD334" i="5" s="1"/>
  <c r="AD88" i="5" s="1"/>
  <c r="BA17" i="19" s="1"/>
  <c r="AE86" i="4"/>
  <c r="AE334" i="5" s="1"/>
  <c r="AF86" i="4"/>
  <c r="AF334" i="5" s="1"/>
  <c r="AG86" i="4"/>
  <c r="AG334" i="5" s="1"/>
  <c r="AH86" i="4"/>
  <c r="AH334" i="5" s="1"/>
  <c r="AH88" i="5" s="1"/>
  <c r="BL17" i="19" s="1"/>
  <c r="AI86" i="4"/>
  <c r="AI334" i="5" s="1"/>
  <c r="AJ86" i="4"/>
  <c r="AJ334" i="5" s="1"/>
  <c r="BD88" i="5"/>
  <c r="DP17" i="19" s="1"/>
  <c r="E89" i="5"/>
  <c r="C18" i="19" s="1"/>
  <c r="H89" i="5"/>
  <c r="I18" i="19" s="1"/>
  <c r="J89" i="5"/>
  <c r="N18" i="19" s="1"/>
  <c r="R89" i="5"/>
  <c r="AC18" i="19" s="1"/>
  <c r="U89" i="5"/>
  <c r="AJ18" i="19" s="1"/>
  <c r="Y89" i="5"/>
  <c r="AP18" i="19" s="1"/>
  <c r="AE89" i="5"/>
  <c r="BC18" i="19" s="1"/>
  <c r="AG89" i="5"/>
  <c r="BJ18" i="19" s="1"/>
  <c r="CY18" i="19"/>
  <c r="BD89" i="5"/>
  <c r="DP18" i="19" s="1"/>
  <c r="F89" i="5"/>
  <c r="E18" i="19" s="1"/>
  <c r="G89" i="5"/>
  <c r="G18" i="19" s="1"/>
  <c r="K89" i="5"/>
  <c r="P18" i="19" s="1"/>
  <c r="M89" i="5"/>
  <c r="T18" i="19" s="1"/>
  <c r="O89" i="5"/>
  <c r="Y18" i="19" s="1"/>
  <c r="Q89" i="5"/>
  <c r="AA18" i="19" s="1"/>
  <c r="S89" i="5"/>
  <c r="AE18" i="19" s="1"/>
  <c r="T89" i="5"/>
  <c r="AG18" i="19" s="1"/>
  <c r="V89" i="5"/>
  <c r="AL18" i="19" s="1"/>
  <c r="W89" i="5"/>
  <c r="AN18" i="19" s="1"/>
  <c r="AA89" i="5"/>
  <c r="AU18" i="19" s="1"/>
  <c r="AC89" i="5"/>
  <c r="AY18" i="19" s="1"/>
  <c r="BA18" i="19"/>
  <c r="AF89" i="5"/>
  <c r="BH18" i="19" s="1"/>
  <c r="AH89" i="5"/>
  <c r="BL18" i="19" s="1"/>
  <c r="AI89" i="5"/>
  <c r="BN18" i="19" s="1"/>
  <c r="AJ89" i="5"/>
  <c r="BP18" i="19" s="1"/>
  <c r="CL18" i="19"/>
  <c r="CN18" i="19"/>
  <c r="CU18" i="19"/>
  <c r="CW18" i="19"/>
  <c r="DA18" i="19"/>
  <c r="DC18" i="19"/>
  <c r="E92" i="4"/>
  <c r="E92" i="5" s="1"/>
  <c r="C21" i="19" s="1"/>
  <c r="F92" i="4"/>
  <c r="F92" i="5" s="1"/>
  <c r="E21" i="19" s="1"/>
  <c r="G92" i="4"/>
  <c r="G92" i="5" s="1"/>
  <c r="G21" i="19" s="1"/>
  <c r="H92" i="4"/>
  <c r="H92" i="5" s="1"/>
  <c r="I21" i="19" s="1"/>
  <c r="I92" i="4"/>
  <c r="I92" i="5" s="1"/>
  <c r="J92" i="4"/>
  <c r="J92" i="5" s="1"/>
  <c r="N21" i="19" s="1"/>
  <c r="K92" i="4"/>
  <c r="K92" i="5" s="1"/>
  <c r="P21" i="19" s="1"/>
  <c r="M92" i="4"/>
  <c r="M92" i="5" s="1"/>
  <c r="T21" i="19" s="1"/>
  <c r="O92" i="5"/>
  <c r="Q92" i="4"/>
  <c r="Q92" i="5" s="1"/>
  <c r="AA21" i="19" s="1"/>
  <c r="R92" i="4"/>
  <c r="R92" i="5" s="1"/>
  <c r="AC21" i="19" s="1"/>
  <c r="S92" i="4"/>
  <c r="S92" i="5" s="1"/>
  <c r="AE21" i="19" s="1"/>
  <c r="T92" i="4"/>
  <c r="T92" i="5" s="1"/>
  <c r="AG21" i="19" s="1"/>
  <c r="U92" i="4"/>
  <c r="U92" i="5" s="1"/>
  <c r="AJ21" i="19" s="1"/>
  <c r="V92" i="4"/>
  <c r="V92" i="5" s="1"/>
  <c r="AL21" i="19" s="1"/>
  <c r="W92" i="4"/>
  <c r="W92" i="5" s="1"/>
  <c r="AN21" i="19" s="1"/>
  <c r="Y92" i="4"/>
  <c r="Y92" i="5" s="1"/>
  <c r="AP21" i="19" s="1"/>
  <c r="Z92" i="4"/>
  <c r="Z92" i="5" s="1"/>
  <c r="AA92" i="4"/>
  <c r="AA92" i="5" s="1"/>
  <c r="AC92" i="4"/>
  <c r="AC92" i="5" s="1"/>
  <c r="AY21" i="19" s="1"/>
  <c r="AD92" i="4"/>
  <c r="AD92" i="5" s="1"/>
  <c r="AE92" i="4"/>
  <c r="AE92" i="5" s="1"/>
  <c r="BC21" i="19" s="1"/>
  <c r="AF92" i="4"/>
  <c r="AF92" i="5" s="1"/>
  <c r="BH21" i="19" s="1"/>
  <c r="AG92" i="4"/>
  <c r="AG92" i="5" s="1"/>
  <c r="BJ21" i="19" s="1"/>
  <c r="AH92" i="4"/>
  <c r="AH92" i="5" s="1"/>
  <c r="BL21" i="19" s="1"/>
  <c r="AI92" i="4"/>
  <c r="AI92" i="5" s="1"/>
  <c r="BN21" i="19" s="1"/>
  <c r="AJ92" i="4"/>
  <c r="AJ92" i="5" s="1"/>
  <c r="BP21" i="19" s="1"/>
  <c r="CL21" i="19"/>
  <c r="CU21" i="19"/>
  <c r="CW21" i="19"/>
  <c r="CY21" i="19"/>
  <c r="DA21" i="19"/>
  <c r="DC21" i="19"/>
  <c r="BD92" i="5"/>
  <c r="DP21" i="19" s="1"/>
  <c r="C26" i="19"/>
  <c r="E26" i="19"/>
  <c r="G26" i="19"/>
  <c r="I26" i="19"/>
  <c r="K26" i="19"/>
  <c r="N26" i="19"/>
  <c r="P26" i="19"/>
  <c r="T26" i="19"/>
  <c r="Y26" i="19"/>
  <c r="AC26" i="19"/>
  <c r="AE26" i="19"/>
  <c r="AG26" i="19"/>
  <c r="AJ26" i="19"/>
  <c r="AL26" i="19"/>
  <c r="AN26" i="19"/>
  <c r="AP26" i="19"/>
  <c r="AU26" i="19"/>
  <c r="AY26" i="19"/>
  <c r="BA26" i="19"/>
  <c r="BC26" i="19"/>
  <c r="BH26" i="19"/>
  <c r="BJ26" i="19"/>
  <c r="BL26" i="19"/>
  <c r="BN26" i="19"/>
  <c r="BP26" i="19"/>
  <c r="CL26" i="19"/>
  <c r="CN26" i="19"/>
  <c r="CU26" i="19"/>
  <c r="CW26" i="19"/>
  <c r="CY26" i="19"/>
  <c r="DA26" i="19"/>
  <c r="DC26" i="19"/>
  <c r="BF99" i="5"/>
  <c r="BG99" i="5" s="1"/>
  <c r="BD100" i="5"/>
  <c r="DP28" i="19" s="1"/>
  <c r="C27" i="19"/>
  <c r="E27" i="19"/>
  <c r="G27" i="19"/>
  <c r="I27" i="19"/>
  <c r="K27" i="19"/>
  <c r="N27" i="19"/>
  <c r="P27" i="19"/>
  <c r="T27" i="19"/>
  <c r="Y27" i="19"/>
  <c r="AA27" i="19"/>
  <c r="AC27" i="19"/>
  <c r="AE27" i="19"/>
  <c r="AG27" i="19"/>
  <c r="AJ27" i="19"/>
  <c r="AL27" i="19"/>
  <c r="AN27" i="19"/>
  <c r="AP27" i="19"/>
  <c r="AR27" i="19"/>
  <c r="AU27" i="19"/>
  <c r="AY27" i="19"/>
  <c r="BA27" i="19"/>
  <c r="BC27" i="19"/>
  <c r="BH27" i="19"/>
  <c r="BJ27" i="19"/>
  <c r="BL27" i="19"/>
  <c r="BN27" i="19"/>
  <c r="BP27" i="19"/>
  <c r="CL27" i="19"/>
  <c r="CN27" i="19"/>
  <c r="CU27" i="19"/>
  <c r="CW27" i="19"/>
  <c r="CY27" i="19"/>
  <c r="DA27" i="19"/>
  <c r="DC27" i="19"/>
  <c r="U101" i="4"/>
  <c r="U103" i="5" s="1"/>
  <c r="C31" i="19"/>
  <c r="E31" i="19"/>
  <c r="G31" i="19"/>
  <c r="I31" i="19"/>
  <c r="K31" i="19"/>
  <c r="N31" i="19"/>
  <c r="P31" i="19"/>
  <c r="T31" i="19"/>
  <c r="Y31" i="19"/>
  <c r="AA31" i="19"/>
  <c r="AC31" i="19"/>
  <c r="AE31" i="19"/>
  <c r="AG31" i="19"/>
  <c r="AL31" i="19"/>
  <c r="AN31" i="19"/>
  <c r="AP31" i="19"/>
  <c r="AR31" i="19"/>
  <c r="AU31" i="19"/>
  <c r="AY31" i="19"/>
  <c r="BA31" i="19"/>
  <c r="BC31" i="19"/>
  <c r="BH31" i="19"/>
  <c r="BJ31" i="19"/>
  <c r="BL31" i="19"/>
  <c r="BN31" i="19"/>
  <c r="BP31" i="19"/>
  <c r="CL31" i="19"/>
  <c r="CN31" i="19"/>
  <c r="CU31" i="19"/>
  <c r="CW31" i="19"/>
  <c r="CY31" i="19"/>
  <c r="DA31" i="19"/>
  <c r="DC31" i="19"/>
  <c r="DP31" i="19"/>
  <c r="C19" i="19"/>
  <c r="E19" i="19"/>
  <c r="G19" i="19"/>
  <c r="I19" i="19"/>
  <c r="K19" i="19"/>
  <c r="N19" i="19"/>
  <c r="P19" i="19"/>
  <c r="T19" i="19"/>
  <c r="Y19" i="19"/>
  <c r="AA19" i="19"/>
  <c r="AC19" i="19"/>
  <c r="AE19" i="19"/>
  <c r="AG19" i="19"/>
  <c r="AJ19" i="19"/>
  <c r="AL19" i="19"/>
  <c r="AN19" i="19"/>
  <c r="AP19" i="19"/>
  <c r="AR19" i="19"/>
  <c r="AU19" i="19"/>
  <c r="AY19" i="19"/>
  <c r="BA19" i="19"/>
  <c r="BC19" i="19"/>
  <c r="BH19" i="19"/>
  <c r="BJ19" i="19"/>
  <c r="BL19" i="19"/>
  <c r="BN19" i="19"/>
  <c r="BP19" i="19"/>
  <c r="CL19" i="19"/>
  <c r="CN19" i="19"/>
  <c r="CU19" i="19"/>
  <c r="CW19" i="19"/>
  <c r="CY19" i="19"/>
  <c r="DA19" i="19"/>
  <c r="DC19" i="19"/>
  <c r="DP19" i="19"/>
  <c r="E93" i="5"/>
  <c r="C22" i="19" s="1"/>
  <c r="F93" i="5"/>
  <c r="E22" i="19" s="1"/>
  <c r="G93" i="5"/>
  <c r="G22" i="19" s="1"/>
  <c r="H93" i="5"/>
  <c r="I22" i="19" s="1"/>
  <c r="I93" i="5"/>
  <c r="K22" i="19" s="1"/>
  <c r="J93" i="5"/>
  <c r="N22" i="19" s="1"/>
  <c r="K93" i="5"/>
  <c r="P22" i="19" s="1"/>
  <c r="M93" i="5"/>
  <c r="T22" i="19" s="1"/>
  <c r="O93" i="5"/>
  <c r="Y22" i="19" s="1"/>
  <c r="Q93" i="5"/>
  <c r="AA22" i="19" s="1"/>
  <c r="R93" i="5"/>
  <c r="AC22" i="19" s="1"/>
  <c r="S93" i="5"/>
  <c r="AE22" i="19" s="1"/>
  <c r="T93" i="5"/>
  <c r="AG22" i="19" s="1"/>
  <c r="U93" i="5"/>
  <c r="AJ22" i="19" s="1"/>
  <c r="V93" i="5"/>
  <c r="AL22" i="19" s="1"/>
  <c r="W93" i="5"/>
  <c r="AN22" i="19" s="1"/>
  <c r="Y93" i="5"/>
  <c r="AP22" i="19" s="1"/>
  <c r="AA93" i="5"/>
  <c r="AU22" i="19" s="1"/>
  <c r="AC93" i="5"/>
  <c r="AY22" i="19" s="1"/>
  <c r="AD93" i="5"/>
  <c r="BA22" i="19" s="1"/>
  <c r="AE93" i="5"/>
  <c r="BC22" i="19" s="1"/>
  <c r="AF93" i="5"/>
  <c r="BH22" i="19" s="1"/>
  <c r="AG93" i="5"/>
  <c r="BJ22" i="19" s="1"/>
  <c r="AH93" i="5"/>
  <c r="BL22" i="19" s="1"/>
  <c r="AI93" i="5"/>
  <c r="BN22" i="19" s="1"/>
  <c r="AJ93" i="5"/>
  <c r="BP22" i="19" s="1"/>
  <c r="CL22" i="19"/>
  <c r="CN22" i="19"/>
  <c r="CU22" i="19"/>
  <c r="CW22" i="19"/>
  <c r="CY22" i="19"/>
  <c r="DA22" i="19"/>
  <c r="DC22" i="19"/>
  <c r="BD93" i="5"/>
  <c r="DP22" i="19" s="1"/>
  <c r="E94" i="5"/>
  <c r="F94" i="5"/>
  <c r="F341" i="5" s="1"/>
  <c r="G94" i="5"/>
  <c r="H94" i="5"/>
  <c r="H341" i="5" s="1"/>
  <c r="I94" i="5"/>
  <c r="I341" i="5" s="1"/>
  <c r="I346" i="5" s="1"/>
  <c r="I188" i="5" s="1"/>
  <c r="K75" i="19" s="1"/>
  <c r="J94" i="5"/>
  <c r="J341" i="5" s="1"/>
  <c r="K94" i="5"/>
  <c r="P23" i="19" s="1"/>
  <c r="M94" i="5"/>
  <c r="O94" i="5"/>
  <c r="Y23" i="19" s="1"/>
  <c r="Q94" i="5"/>
  <c r="AA23" i="19" s="1"/>
  <c r="R94" i="5"/>
  <c r="R341" i="5" s="1"/>
  <c r="S94" i="5"/>
  <c r="T94" i="5"/>
  <c r="T341" i="5" s="1"/>
  <c r="U94" i="5"/>
  <c r="AJ23" i="19" s="1"/>
  <c r="V94" i="5"/>
  <c r="V341" i="5" s="1"/>
  <c r="G16" i="8" s="1"/>
  <c r="W94" i="5"/>
  <c r="Y94" i="5"/>
  <c r="AP23" i="19" s="1"/>
  <c r="Z94" i="5"/>
  <c r="AR23" i="19" s="1"/>
  <c r="AA94" i="5"/>
  <c r="AU23" i="19" s="1"/>
  <c r="AC94" i="5"/>
  <c r="AD94" i="5"/>
  <c r="BA23" i="19" s="1"/>
  <c r="AE94" i="5"/>
  <c r="BC23" i="19" s="1"/>
  <c r="AF94" i="5"/>
  <c r="AF341" i="5" s="1"/>
  <c r="AF346" i="5" s="1"/>
  <c r="AF188" i="5" s="1"/>
  <c r="BH75" i="19" s="1"/>
  <c r="AG94" i="5"/>
  <c r="AH94" i="5"/>
  <c r="AH341" i="5" s="1"/>
  <c r="AH346" i="5" s="1"/>
  <c r="AH188" i="5" s="1"/>
  <c r="BL75" i="19" s="1"/>
  <c r="AI94" i="5"/>
  <c r="BN23" i="19" s="1"/>
  <c r="AJ94" i="5"/>
  <c r="AJ341" i="5" s="1"/>
  <c r="AJ346" i="5" s="1"/>
  <c r="AJ188" i="5" s="1"/>
  <c r="BP75" i="19" s="1"/>
  <c r="AR341" i="5"/>
  <c r="AR346" i="5" s="1"/>
  <c r="CN23" i="19"/>
  <c r="AU341" i="5"/>
  <c r="AU346" i="5" s="1"/>
  <c r="AU188" i="5" s="1"/>
  <c r="AV341" i="5"/>
  <c r="AV346" i="5" s="1"/>
  <c r="AV188" i="5" s="1"/>
  <c r="AX341" i="5"/>
  <c r="AX346" i="5" s="1"/>
  <c r="DA23" i="19"/>
  <c r="AZ341" i="5"/>
  <c r="AZ346" i="5" s="1"/>
  <c r="BB341" i="5"/>
  <c r="BD94" i="5"/>
  <c r="BD341" i="5" s="1"/>
  <c r="C32" i="19"/>
  <c r="E32" i="19"/>
  <c r="G32" i="19"/>
  <c r="I32" i="19"/>
  <c r="K32" i="19"/>
  <c r="N32" i="19"/>
  <c r="P32" i="19"/>
  <c r="T32" i="19"/>
  <c r="Y32" i="19"/>
  <c r="AA32" i="19"/>
  <c r="AC32" i="19"/>
  <c r="AE32" i="19"/>
  <c r="AG32" i="19"/>
  <c r="AJ32" i="19"/>
  <c r="AL32" i="19"/>
  <c r="AN32" i="19"/>
  <c r="AP32" i="19"/>
  <c r="AR32" i="19"/>
  <c r="AU32" i="19"/>
  <c r="AY32" i="19"/>
  <c r="BA32" i="19"/>
  <c r="BC32" i="19"/>
  <c r="BH32" i="19"/>
  <c r="BJ32" i="19"/>
  <c r="BL32" i="19"/>
  <c r="BN32" i="19"/>
  <c r="BP32" i="19"/>
  <c r="CL32" i="19"/>
  <c r="CN32" i="19"/>
  <c r="CU32" i="19"/>
  <c r="CW32" i="19"/>
  <c r="CY32" i="19"/>
  <c r="DA32" i="19"/>
  <c r="DC32" i="19"/>
  <c r="DP32" i="19"/>
  <c r="C33" i="19"/>
  <c r="E33" i="19"/>
  <c r="G33" i="19"/>
  <c r="I33" i="19"/>
  <c r="K33" i="19"/>
  <c r="BG33" i="19"/>
  <c r="N33" i="19"/>
  <c r="P33" i="19"/>
  <c r="T33" i="19"/>
  <c r="Y33" i="19"/>
  <c r="AA33" i="19"/>
  <c r="AC33" i="19"/>
  <c r="AE33" i="19"/>
  <c r="AG33" i="19"/>
  <c r="AJ33" i="19"/>
  <c r="AL33" i="19"/>
  <c r="AN33" i="19"/>
  <c r="AP33" i="19"/>
  <c r="AR33" i="19"/>
  <c r="AU33" i="19"/>
  <c r="AY33" i="19"/>
  <c r="BA33" i="19"/>
  <c r="BC33" i="19"/>
  <c r="BH33" i="19"/>
  <c r="BJ33" i="19"/>
  <c r="BL33" i="19"/>
  <c r="BN33" i="19"/>
  <c r="BP33" i="19"/>
  <c r="CL33" i="19"/>
  <c r="CN33" i="19"/>
  <c r="CU33" i="19"/>
  <c r="CW33" i="19"/>
  <c r="CY33" i="19"/>
  <c r="DA33" i="19"/>
  <c r="DC33" i="19"/>
  <c r="DP33" i="19"/>
  <c r="M35" i="19"/>
  <c r="X100" i="5"/>
  <c r="X86" i="4"/>
  <c r="X88" i="4"/>
  <c r="X89" i="5" s="1"/>
  <c r="X92" i="4"/>
  <c r="X92" i="5" s="1"/>
  <c r="F21" i="9" s="1"/>
  <c r="F19" i="9"/>
  <c r="X93" i="5"/>
  <c r="F22" i="9" s="1"/>
  <c r="X94" i="5"/>
  <c r="F26" i="9"/>
  <c r="F27" i="9"/>
  <c r="F31" i="9"/>
  <c r="BH100" i="5"/>
  <c r="D28" i="20" s="1"/>
  <c r="BJ100" i="5"/>
  <c r="H28" i="20" s="1"/>
  <c r="BK100" i="5"/>
  <c r="BH334" i="5"/>
  <c r="BJ334" i="5"/>
  <c r="BJ88" i="5" s="1"/>
  <c r="H17" i="20" s="1"/>
  <c r="BK334" i="5"/>
  <c r="BK88" i="5" s="1"/>
  <c r="J17" i="20" s="1"/>
  <c r="BH89" i="5"/>
  <c r="D18" i="20" s="1"/>
  <c r="BJ89" i="5"/>
  <c r="BK89" i="5"/>
  <c r="J18" i="20" s="1"/>
  <c r="BH92" i="5"/>
  <c r="BJ92" i="5"/>
  <c r="H21" i="20" s="1"/>
  <c r="BK92" i="5"/>
  <c r="J21" i="20" s="1"/>
  <c r="I508" i="5"/>
  <c r="D31" i="20"/>
  <c r="H31" i="20"/>
  <c r="D19" i="20"/>
  <c r="H19" i="20"/>
  <c r="J19" i="20"/>
  <c r="BH93" i="5"/>
  <c r="BJ93" i="5"/>
  <c r="H22" i="20" s="1"/>
  <c r="BK93" i="5"/>
  <c r="J22" i="20" s="1"/>
  <c r="BH94" i="5"/>
  <c r="BH341" i="5" s="1"/>
  <c r="BH346" i="5" s="1"/>
  <c r="BH188" i="5" s="1"/>
  <c r="D70" i="20" s="1"/>
  <c r="BJ94" i="5"/>
  <c r="BJ341" i="5" s="1"/>
  <c r="BJ346" i="5" s="1"/>
  <c r="BJ188" i="5" s="1"/>
  <c r="H70" i="20" s="1"/>
  <c r="BK94" i="5"/>
  <c r="BK341" i="5" s="1"/>
  <c r="BK346" i="5" s="1"/>
  <c r="BK188" i="5" s="1"/>
  <c r="J70" i="20" s="1"/>
  <c r="D26" i="20"/>
  <c r="H26" i="20"/>
  <c r="J26" i="20"/>
  <c r="D27" i="20"/>
  <c r="H27" i="20"/>
  <c r="J27" i="20"/>
  <c r="BN100" i="5"/>
  <c r="BN89" i="5"/>
  <c r="J18" i="9" s="1"/>
  <c r="BN92" i="5"/>
  <c r="J21" i="9" s="1"/>
  <c r="J19" i="9"/>
  <c r="BN93" i="5"/>
  <c r="J22" i="9" s="1"/>
  <c r="BN94" i="5"/>
  <c r="BN341" i="5" s="1"/>
  <c r="J26" i="9"/>
  <c r="J27" i="9"/>
  <c r="J31" i="9"/>
  <c r="BS100" i="5"/>
  <c r="D28" i="21" s="1"/>
  <c r="BT100" i="5"/>
  <c r="F28" i="21" s="1"/>
  <c r="BU100" i="5"/>
  <c r="H28" i="21" s="1"/>
  <c r="BS86" i="4"/>
  <c r="BS334" i="5" s="1"/>
  <c r="BS88" i="5" s="1"/>
  <c r="BT86" i="4"/>
  <c r="BT334" i="5" s="1"/>
  <c r="BU86" i="4"/>
  <c r="BU334" i="5" s="1"/>
  <c r="BS89" i="5"/>
  <c r="D18" i="21" s="1"/>
  <c r="F18" i="21"/>
  <c r="BU89" i="5"/>
  <c r="H18" i="21" s="1"/>
  <c r="BS92" i="4"/>
  <c r="BS92" i="5" s="1"/>
  <c r="BT92" i="4"/>
  <c r="BT92" i="5" s="1"/>
  <c r="F21" i="21" s="1"/>
  <c r="BU92" i="4"/>
  <c r="BU92" i="5" s="1"/>
  <c r="H21" i="21" s="1"/>
  <c r="D19" i="21"/>
  <c r="F19" i="21"/>
  <c r="H19" i="21"/>
  <c r="BS93" i="5"/>
  <c r="D22" i="21" s="1"/>
  <c r="BT93" i="5"/>
  <c r="F22" i="21" s="1"/>
  <c r="BU93" i="5"/>
  <c r="H22" i="21" s="1"/>
  <c r="BS94" i="5"/>
  <c r="BT94" i="5"/>
  <c r="BT341" i="5" s="1"/>
  <c r="BT346" i="5" s="1"/>
  <c r="BT188" i="5" s="1"/>
  <c r="F70" i="21" s="1"/>
  <c r="BU94" i="5"/>
  <c r="D26" i="21"/>
  <c r="F26" i="21"/>
  <c r="H26" i="21"/>
  <c r="D27" i="21"/>
  <c r="F27" i="21"/>
  <c r="H27" i="21"/>
  <c r="D31" i="21"/>
  <c r="F31" i="21"/>
  <c r="H31" i="21"/>
  <c r="BR100" i="5"/>
  <c r="BR86" i="4"/>
  <c r="BR89" i="5"/>
  <c r="N18" i="9" s="1"/>
  <c r="BR92" i="4"/>
  <c r="BR92" i="5" s="1"/>
  <c r="N21" i="9" s="1"/>
  <c r="BR101" i="4"/>
  <c r="BR103" i="5" s="1"/>
  <c r="BR370" i="5" s="1"/>
  <c r="M34" i="70" s="1"/>
  <c r="N19" i="9"/>
  <c r="BR93" i="5"/>
  <c r="BR94" i="5"/>
  <c r="BR341" i="5" s="1"/>
  <c r="N26" i="9"/>
  <c r="N27" i="9"/>
  <c r="BW100" i="5"/>
  <c r="L15" i="21" s="1"/>
  <c r="BW334" i="5"/>
  <c r="BW88" i="5" s="1"/>
  <c r="L17" i="21" s="1"/>
  <c r="BW89" i="5"/>
  <c r="L18" i="21" s="1"/>
  <c r="BW92" i="5"/>
  <c r="L21" i="21" s="1"/>
  <c r="BW93" i="5"/>
  <c r="L22" i="21" s="1"/>
  <c r="BW94" i="5"/>
  <c r="L23" i="21" s="1"/>
  <c r="CB98" i="4"/>
  <c r="D30" i="29" s="1"/>
  <c r="F30" i="29"/>
  <c r="F72" i="31" s="1"/>
  <c r="H30" i="29"/>
  <c r="H72" i="31" s="1"/>
  <c r="J30" i="29"/>
  <c r="K72" i="31" s="1"/>
  <c r="L30" i="29"/>
  <c r="M72" i="31" s="1"/>
  <c r="F31" i="13"/>
  <c r="H31" i="13"/>
  <c r="F31" i="29"/>
  <c r="H31" i="29"/>
  <c r="J31" i="29"/>
  <c r="L31" i="29"/>
  <c r="CB102" i="4"/>
  <c r="CB106" i="4"/>
  <c r="D38" i="29" s="1"/>
  <c r="CD106" i="4"/>
  <c r="CE106" i="4"/>
  <c r="CF106" i="4"/>
  <c r="CF107" i="5" s="1"/>
  <c r="J39" i="29"/>
  <c r="CH106" i="4"/>
  <c r="CH107" i="5" s="1"/>
  <c r="CH176" i="5" s="1"/>
  <c r="L103" i="29" s="1"/>
  <c r="F35" i="13"/>
  <c r="H35" i="13"/>
  <c r="F35" i="29"/>
  <c r="H35" i="29"/>
  <c r="J35" i="29"/>
  <c r="L35" i="29"/>
  <c r="F37" i="13"/>
  <c r="H37" i="13"/>
  <c r="F37" i="29"/>
  <c r="H37" i="29"/>
  <c r="J37" i="29"/>
  <c r="L37" i="29"/>
  <c r="F39" i="13"/>
  <c r="H39" i="13"/>
  <c r="F39" i="29"/>
  <c r="H39" i="29"/>
  <c r="L39" i="29"/>
  <c r="CG100" i="5"/>
  <c r="F16" i="13" s="1"/>
  <c r="CC100" i="5"/>
  <c r="CD100" i="5"/>
  <c r="F32" i="29" s="1"/>
  <c r="CE100" i="5"/>
  <c r="H32" i="29" s="1"/>
  <c r="CF100" i="5"/>
  <c r="J32" i="29" s="1"/>
  <c r="CH100" i="5"/>
  <c r="L32" i="29" s="1"/>
  <c r="CC86" i="4"/>
  <c r="CC334" i="5" s="1"/>
  <c r="H112" i="15" s="1"/>
  <c r="F18" i="13"/>
  <c r="F18" i="29"/>
  <c r="H18" i="29"/>
  <c r="J18" i="29"/>
  <c r="L18" i="29"/>
  <c r="CG88" i="4"/>
  <c r="CC88" i="4"/>
  <c r="CC89" i="5" s="1"/>
  <c r="CD88" i="4"/>
  <c r="CE88" i="4"/>
  <c r="CE334" i="5" s="1"/>
  <c r="H108" i="31" s="1"/>
  <c r="CF88" i="4"/>
  <c r="CH88" i="4"/>
  <c r="CH334" i="5" s="1"/>
  <c r="CB94" i="4"/>
  <c r="H24" i="13"/>
  <c r="H91" i="15" s="1"/>
  <c r="F24" i="29"/>
  <c r="F87" i="31" s="1"/>
  <c r="H24" i="29"/>
  <c r="J24" i="29"/>
  <c r="K87" i="31" s="1"/>
  <c r="L24" i="29"/>
  <c r="M87" i="31" s="1"/>
  <c r="F20" i="13"/>
  <c r="H20" i="13"/>
  <c r="F20" i="29"/>
  <c r="H20" i="29"/>
  <c r="J20" i="29"/>
  <c r="L20" i="29"/>
  <c r="F22" i="13"/>
  <c r="H22" i="13"/>
  <c r="F22" i="29"/>
  <c r="H22" i="29"/>
  <c r="J22" i="29"/>
  <c r="L22" i="29"/>
  <c r="F23" i="13"/>
  <c r="F23" i="29"/>
  <c r="H23" i="29"/>
  <c r="J23" i="29"/>
  <c r="L23" i="29"/>
  <c r="D25" i="29"/>
  <c r="F25" i="13"/>
  <c r="F103" i="15" s="1"/>
  <c r="H25" i="13"/>
  <c r="H103" i="15" s="1"/>
  <c r="F25" i="29"/>
  <c r="H25" i="29"/>
  <c r="J25" i="29"/>
  <c r="L25" i="29"/>
  <c r="I63" i="26"/>
  <c r="O63" i="26"/>
  <c r="G61" i="4" s="1"/>
  <c r="S63" i="26"/>
  <c r="S69" i="26" s="1"/>
  <c r="Y63" i="26"/>
  <c r="AI63" i="26"/>
  <c r="K61" i="4" s="1"/>
  <c r="K67" i="4" s="1"/>
  <c r="AS63" i="26"/>
  <c r="BC63" i="26"/>
  <c r="BK63" i="26"/>
  <c r="BQ63" i="26"/>
  <c r="R61" i="4" s="1"/>
  <c r="R67" i="4" s="1"/>
  <c r="BU63" i="26"/>
  <c r="CA63" i="26"/>
  <c r="CE63" i="26"/>
  <c r="CK63" i="26"/>
  <c r="CO63" i="26"/>
  <c r="CU63" i="26"/>
  <c r="DE63" i="26"/>
  <c r="DO63" i="26"/>
  <c r="DS63" i="26"/>
  <c r="EC63" i="26"/>
  <c r="EI63" i="26"/>
  <c r="AG61" i="4" s="1"/>
  <c r="AG67" i="4" s="1"/>
  <c r="EM63" i="26"/>
  <c r="AH61" i="4" s="1"/>
  <c r="AH67" i="4" s="1"/>
  <c r="ES63" i="26"/>
  <c r="AI61" i="4" s="1"/>
  <c r="AI67" i="4" s="1"/>
  <c r="EW63" i="26"/>
  <c r="AJ61" i="4" s="1"/>
  <c r="AJ67" i="4" s="1"/>
  <c r="GK63" i="26"/>
  <c r="AR61" i="4" s="1"/>
  <c r="AR67" i="4" s="1"/>
  <c r="GP63" i="26"/>
  <c r="AS61" i="4" s="1"/>
  <c r="AS67" i="4" s="1"/>
  <c r="BB67" i="4"/>
  <c r="AE232" i="5"/>
  <c r="AE254" i="5"/>
  <c r="AE258" i="5"/>
  <c r="E232" i="5"/>
  <c r="E254" i="5"/>
  <c r="E258" i="5"/>
  <c r="F232" i="5"/>
  <c r="F254" i="5"/>
  <c r="F258" i="5"/>
  <c r="G232" i="5"/>
  <c r="G254" i="5"/>
  <c r="G258" i="5"/>
  <c r="H232" i="5"/>
  <c r="H254" i="5"/>
  <c r="H258" i="5"/>
  <c r="I232" i="5"/>
  <c r="I254" i="5"/>
  <c r="I258" i="5"/>
  <c r="J232" i="5"/>
  <c r="J254" i="5"/>
  <c r="J258" i="5"/>
  <c r="K232" i="5"/>
  <c r="K254" i="5"/>
  <c r="K258" i="5"/>
  <c r="M232" i="5"/>
  <c r="M254" i="5"/>
  <c r="M258" i="5"/>
  <c r="O232" i="5"/>
  <c r="O254" i="5"/>
  <c r="O258" i="5"/>
  <c r="P232" i="5"/>
  <c r="P254" i="5"/>
  <c r="P258" i="5"/>
  <c r="Q232" i="5"/>
  <c r="Q254" i="5"/>
  <c r="Q258" i="5"/>
  <c r="R232" i="5"/>
  <c r="R254" i="5"/>
  <c r="R258" i="5"/>
  <c r="S232" i="5"/>
  <c r="S254" i="5"/>
  <c r="S258" i="5"/>
  <c r="T232" i="5"/>
  <c r="T254" i="5"/>
  <c r="T258" i="5"/>
  <c r="U232" i="5"/>
  <c r="U254" i="5"/>
  <c r="U258" i="5"/>
  <c r="V232" i="5"/>
  <c r="V254" i="5"/>
  <c r="W232" i="5"/>
  <c r="W254" i="5"/>
  <c r="X61" i="4"/>
  <c r="X67" i="4" s="1"/>
  <c r="X232" i="5"/>
  <c r="X258" i="5"/>
  <c r="Y232" i="5"/>
  <c r="Y254" i="5"/>
  <c r="Y258" i="5"/>
  <c r="Z232" i="5"/>
  <c r="Z254" i="5"/>
  <c r="Z258" i="5"/>
  <c r="AA232" i="5"/>
  <c r="AA254" i="5"/>
  <c r="AA258" i="5"/>
  <c r="AC232" i="5"/>
  <c r="AC254" i="5"/>
  <c r="AC258" i="5"/>
  <c r="AD232" i="5"/>
  <c r="AD254" i="5"/>
  <c r="AD258" i="5"/>
  <c r="AF232" i="5"/>
  <c r="AF254" i="5"/>
  <c r="AF258" i="5"/>
  <c r="AG232" i="5"/>
  <c r="AG254" i="5"/>
  <c r="AG258" i="5"/>
  <c r="AH232" i="5"/>
  <c r="AH254" i="5"/>
  <c r="AH258" i="5"/>
  <c r="AI232" i="5"/>
  <c r="AI254" i="5"/>
  <c r="AI258" i="5"/>
  <c r="AJ232" i="5"/>
  <c r="AJ254" i="5"/>
  <c r="AJ258" i="5"/>
  <c r="AR232" i="5"/>
  <c r="AR254" i="5"/>
  <c r="AR258" i="5"/>
  <c r="AS232" i="5"/>
  <c r="AS254" i="5"/>
  <c r="AS258" i="5"/>
  <c r="AU232" i="5"/>
  <c r="AU254" i="5"/>
  <c r="AU258" i="5"/>
  <c r="AV232" i="5"/>
  <c r="AV254" i="5"/>
  <c r="AV258" i="5"/>
  <c r="AX232" i="5"/>
  <c r="AX254" i="5"/>
  <c r="AY232" i="5"/>
  <c r="AY254" i="5"/>
  <c r="AY258" i="5"/>
  <c r="AZ232" i="5"/>
  <c r="AZ254" i="5"/>
  <c r="AZ258" i="5"/>
  <c r="BB232" i="5"/>
  <c r="BB254" i="5"/>
  <c r="CL232" i="5"/>
  <c r="CD232" i="5"/>
  <c r="CD258" i="5"/>
  <c r="CD50" i="5"/>
  <c r="F39" i="30" s="1"/>
  <c r="CM232" i="5"/>
  <c r="CN232" i="5"/>
  <c r="CO232" i="5"/>
  <c r="CP67" i="4"/>
  <c r="CP232" i="5"/>
  <c r="CQ232" i="5"/>
  <c r="CR67" i="4"/>
  <c r="CR232" i="5"/>
  <c r="CE232" i="5"/>
  <c r="CE258" i="5"/>
  <c r="CF232" i="5"/>
  <c r="CG232" i="5"/>
  <c r="CH67" i="4"/>
  <c r="CH232" i="5"/>
  <c r="CH254" i="5"/>
  <c r="CH258" i="5"/>
  <c r="CC232" i="5"/>
  <c r="CO31" i="5"/>
  <c r="CQ31" i="5"/>
  <c r="CR31" i="5"/>
  <c r="R17" i="34" s="1"/>
  <c r="C17" i="34"/>
  <c r="CD31" i="5"/>
  <c r="CE31" i="5"/>
  <c r="CF31" i="5"/>
  <c r="K18" i="31" s="1"/>
  <c r="CH31" i="5"/>
  <c r="CC31" i="5"/>
  <c r="H18" i="15" s="1"/>
  <c r="CD151" i="5"/>
  <c r="CE151" i="5"/>
  <c r="CF151" i="5"/>
  <c r="F80" i="13"/>
  <c r="CH292" i="5"/>
  <c r="CH314" i="5"/>
  <c r="CH318" i="5"/>
  <c r="CM292" i="5"/>
  <c r="CM318" i="5"/>
  <c r="CN292" i="5"/>
  <c r="CN318" i="5"/>
  <c r="CO292" i="5"/>
  <c r="CO318" i="5"/>
  <c r="CP292" i="5"/>
  <c r="CP318" i="5"/>
  <c r="CQ292" i="5"/>
  <c r="CQ318" i="5"/>
  <c r="CR292" i="5"/>
  <c r="CR318" i="5"/>
  <c r="CL292" i="5"/>
  <c r="CL318" i="5"/>
  <c r="CU265" i="5"/>
  <c r="BQ265" i="5"/>
  <c r="BF265" i="5"/>
  <c r="BG265" i="5" s="1"/>
  <c r="CJ248" i="5"/>
  <c r="CK248" i="5" s="1"/>
  <c r="CJ249" i="5"/>
  <c r="CK249" i="5" s="1"/>
  <c r="CJ250" i="5"/>
  <c r="CK250" i="5" s="1"/>
  <c r="CJ251" i="5"/>
  <c r="CK251" i="5" s="1"/>
  <c r="CJ252" i="5"/>
  <c r="CK252" i="5" s="1"/>
  <c r="BY248" i="5"/>
  <c r="BZ248" i="5" s="1"/>
  <c r="CD34" i="5"/>
  <c r="CC130" i="4"/>
  <c r="CC145" i="5" s="1"/>
  <c r="CB131" i="4"/>
  <c r="D73" i="29" s="1"/>
  <c r="D61" i="4"/>
  <c r="D67" i="4" s="1"/>
  <c r="CO37" i="5"/>
  <c r="J34" i="33" s="1"/>
  <c r="I47" i="34" s="1"/>
  <c r="P23" i="33"/>
  <c r="J23" i="33"/>
  <c r="H37" i="33"/>
  <c r="G41" i="34" s="1"/>
  <c r="CL130" i="4"/>
  <c r="CL145" i="5" s="1"/>
  <c r="C63" i="32" s="1"/>
  <c r="CM145" i="5"/>
  <c r="E63" i="32" s="1"/>
  <c r="CN130" i="4"/>
  <c r="CN145" i="5" s="1"/>
  <c r="G63" i="32" s="1"/>
  <c r="CL37" i="5"/>
  <c r="D34" i="33" s="1"/>
  <c r="C47" i="34" s="1"/>
  <c r="CR13" i="5"/>
  <c r="CL12" i="5"/>
  <c r="C27" i="34" s="1"/>
  <c r="CL16" i="5"/>
  <c r="D33" i="33" s="1"/>
  <c r="CD37" i="5"/>
  <c r="F36" i="30" s="1"/>
  <c r="F49" i="31" s="1"/>
  <c r="CD130" i="4"/>
  <c r="CD145" i="5" s="1"/>
  <c r="F72" i="29" s="1"/>
  <c r="BR117" i="4"/>
  <c r="BR314" i="5"/>
  <c r="L13" i="66" s="1"/>
  <c r="D57" i="28"/>
  <c r="D16" i="4"/>
  <c r="E71" i="11"/>
  <c r="G71" i="11" s="1"/>
  <c r="D71" i="11"/>
  <c r="D67" i="11"/>
  <c r="E67" i="11"/>
  <c r="F67" i="11"/>
  <c r="F66" i="11"/>
  <c r="E66" i="11"/>
  <c r="D66" i="11"/>
  <c r="F60" i="11"/>
  <c r="E60" i="11"/>
  <c r="D60" i="11"/>
  <c r="D51" i="11"/>
  <c r="E51" i="11"/>
  <c r="F51" i="11"/>
  <c r="D52" i="11"/>
  <c r="E52" i="11"/>
  <c r="F52" i="11"/>
  <c r="D53" i="11"/>
  <c r="E53" i="11"/>
  <c r="F53" i="11"/>
  <c r="D54" i="11"/>
  <c r="E54" i="11"/>
  <c r="F54" i="11"/>
  <c r="D55" i="11"/>
  <c r="E55" i="11"/>
  <c r="F55" i="11"/>
  <c r="D56" i="11"/>
  <c r="E56" i="11"/>
  <c r="F56" i="11"/>
  <c r="D57" i="11"/>
  <c r="E57" i="11"/>
  <c r="F57" i="11"/>
  <c r="D58" i="11"/>
  <c r="E58" i="11"/>
  <c r="F58" i="11"/>
  <c r="E50" i="11"/>
  <c r="D50" i="11"/>
  <c r="D31" i="11"/>
  <c r="D32" i="11"/>
  <c r="D34" i="11"/>
  <c r="D35" i="11"/>
  <c r="D36" i="11"/>
  <c r="D38" i="11"/>
  <c r="D39" i="11"/>
  <c r="D41" i="11"/>
  <c r="D42" i="11"/>
  <c r="D43" i="11"/>
  <c r="D44" i="11"/>
  <c r="E44" i="11"/>
  <c r="F44" i="11"/>
  <c r="EL314" i="5"/>
  <c r="EL318" i="5"/>
  <c r="CL106" i="4"/>
  <c r="CL107" i="5" s="1"/>
  <c r="CN106" i="4"/>
  <c r="CM107" i="5"/>
  <c r="F41" i="14"/>
  <c r="P41" i="30" s="1"/>
  <c r="CG50" i="5"/>
  <c r="D16" i="28"/>
  <c r="D19" i="28"/>
  <c r="D20" i="28"/>
  <c r="D22" i="28"/>
  <c r="D17" i="28"/>
  <c r="D29" i="28"/>
  <c r="D30" i="28"/>
  <c r="D32" i="28"/>
  <c r="D33" i="28"/>
  <c r="D35" i="28"/>
  <c r="D36" i="28"/>
  <c r="D54" i="28"/>
  <c r="D55" i="28"/>
  <c r="BR47" i="4" s="1"/>
  <c r="D56" i="28"/>
  <c r="N52" i="10"/>
  <c r="N62" i="10"/>
  <c r="BR66" i="5"/>
  <c r="BR71" i="5"/>
  <c r="N68" i="10" s="1"/>
  <c r="BW12" i="5"/>
  <c r="L17" i="25" s="1"/>
  <c r="BW13" i="5"/>
  <c r="L18" i="25" s="1"/>
  <c r="BW14" i="5"/>
  <c r="L19" i="25" s="1"/>
  <c r="BW16" i="5"/>
  <c r="L21" i="25" s="1"/>
  <c r="BW11" i="5"/>
  <c r="L16" i="25" s="1"/>
  <c r="BW15" i="5"/>
  <c r="L20" i="25" s="1"/>
  <c r="BW318" i="5"/>
  <c r="BW66" i="5"/>
  <c r="L58" i="25" s="1"/>
  <c r="L60" i="25" s="1"/>
  <c r="BW71" i="5"/>
  <c r="L62" i="25" s="1"/>
  <c r="H16" i="28"/>
  <c r="Q16" i="28"/>
  <c r="H18" i="28"/>
  <c r="Q18" i="28"/>
  <c r="H22" i="28"/>
  <c r="Q22" i="28"/>
  <c r="H17" i="28"/>
  <c r="Q17" i="28"/>
  <c r="H21" i="28"/>
  <c r="Q21" i="28"/>
  <c r="H29" i="28"/>
  <c r="H30" i="28"/>
  <c r="Q29" i="28"/>
  <c r="Q30" i="28"/>
  <c r="H32" i="28"/>
  <c r="H33" i="28"/>
  <c r="Q32" i="28"/>
  <c r="Q33" i="28"/>
  <c r="H35" i="28"/>
  <c r="H36" i="28"/>
  <c r="Q35" i="28"/>
  <c r="Q36" i="28"/>
  <c r="BU318" i="5"/>
  <c r="H54" i="28"/>
  <c r="Q54" i="28"/>
  <c r="BU46" i="4" s="1"/>
  <c r="H55" i="28"/>
  <c r="Q55" i="28"/>
  <c r="H56" i="28"/>
  <c r="Q56" i="28"/>
  <c r="D48" i="25"/>
  <c r="F48" i="25"/>
  <c r="H48" i="25"/>
  <c r="F56" i="25"/>
  <c r="BS66" i="5"/>
  <c r="D58" i="25" s="1"/>
  <c r="BT66" i="5"/>
  <c r="F58" i="25" s="1"/>
  <c r="BU66" i="5"/>
  <c r="H58" i="25" s="1"/>
  <c r="H60" i="25" s="1"/>
  <c r="BS71" i="5"/>
  <c r="BT71" i="5"/>
  <c r="F62" i="25" s="1"/>
  <c r="BU71" i="5"/>
  <c r="H62" i="25" s="1"/>
  <c r="P106" i="4"/>
  <c r="CW314" i="5"/>
  <c r="CW318" i="5"/>
  <c r="F21" i="39"/>
  <c r="P121" i="4"/>
  <c r="P86" i="4"/>
  <c r="P130" i="4"/>
  <c r="B20" i="38"/>
  <c r="U76" i="43"/>
  <c r="U77" i="43"/>
  <c r="U78" i="43"/>
  <c r="D26" i="30"/>
  <c r="D82" i="31" s="1"/>
  <c r="CG13" i="5"/>
  <c r="F17" i="14"/>
  <c r="CE13" i="5"/>
  <c r="CH13" i="5"/>
  <c r="J33" i="30"/>
  <c r="L33" i="30"/>
  <c r="CD15" i="5"/>
  <c r="F17" i="30" s="1"/>
  <c r="CE15" i="5"/>
  <c r="CF15" i="5"/>
  <c r="CH15" i="5"/>
  <c r="CG38" i="5"/>
  <c r="F26" i="14" s="1"/>
  <c r="CH34" i="5"/>
  <c r="CD38" i="5"/>
  <c r="F26" i="30" s="1"/>
  <c r="F82" i="31" s="1"/>
  <c r="CE38" i="5"/>
  <c r="H26" i="30" s="1"/>
  <c r="J26" i="30"/>
  <c r="K82" i="31" s="1"/>
  <c r="L26" i="30"/>
  <c r="M82" i="31" s="1"/>
  <c r="CE37" i="5"/>
  <c r="H36" i="30" s="1"/>
  <c r="H49" i="31" s="1"/>
  <c r="CF37" i="5"/>
  <c r="J36" i="30" s="1"/>
  <c r="K49" i="31" s="1"/>
  <c r="CH37" i="5"/>
  <c r="L36" i="30" s="1"/>
  <c r="M49" i="31" s="1"/>
  <c r="H17" i="14"/>
  <c r="H112" i="14" s="1"/>
  <c r="CC38" i="5"/>
  <c r="H26" i="14" s="1"/>
  <c r="H84" i="15" s="1"/>
  <c r="H49" i="14"/>
  <c r="H15" i="14"/>
  <c r="F15" i="14"/>
  <c r="P38" i="30" s="1"/>
  <c r="F38" i="30"/>
  <c r="H38" i="30"/>
  <c r="J38" i="30"/>
  <c r="L38" i="30"/>
  <c r="CC12" i="5"/>
  <c r="CG16" i="5"/>
  <c r="F35" i="14" s="1"/>
  <c r="CD16" i="5"/>
  <c r="F35" i="30" s="1"/>
  <c r="F55" i="31" s="1"/>
  <c r="CF16" i="5"/>
  <c r="CH16" i="5"/>
  <c r="L35" i="30" s="1"/>
  <c r="M55" i="31" s="1"/>
  <c r="D42" i="30"/>
  <c r="D43" i="31" s="1"/>
  <c r="CD54" i="5"/>
  <c r="CE54" i="5"/>
  <c r="H41" i="30" s="1"/>
  <c r="H42" i="31" s="1"/>
  <c r="CF54" i="5"/>
  <c r="J41" i="30" s="1"/>
  <c r="CH54" i="5"/>
  <c r="L41" i="30" s="1"/>
  <c r="F37" i="14"/>
  <c r="H37" i="14"/>
  <c r="CG46" i="5"/>
  <c r="CC46" i="5"/>
  <c r="H50" i="14" s="1"/>
  <c r="H31" i="15" s="1"/>
  <c r="CD46" i="5"/>
  <c r="CE46" i="5"/>
  <c r="H50" i="30" s="1"/>
  <c r="H30" i="31" s="1"/>
  <c r="CF46" i="5"/>
  <c r="J50" i="30" s="1"/>
  <c r="K30" i="31" s="1"/>
  <c r="CH46" i="5"/>
  <c r="L50" i="30" s="1"/>
  <c r="M30" i="31" s="1"/>
  <c r="D51" i="30"/>
  <c r="D31" i="31" s="1"/>
  <c r="CG47" i="5"/>
  <c r="F51" i="14" s="1"/>
  <c r="P51" i="30" s="1"/>
  <c r="CC47" i="5"/>
  <c r="H51" i="14" s="1"/>
  <c r="H32" i="15" s="1"/>
  <c r="CD47" i="5"/>
  <c r="CE47" i="5"/>
  <c r="CF47" i="5"/>
  <c r="J51" i="30" s="1"/>
  <c r="CH47" i="5"/>
  <c r="CO12" i="5"/>
  <c r="CO13" i="5"/>
  <c r="CO15" i="5"/>
  <c r="J24" i="33"/>
  <c r="CO38" i="5"/>
  <c r="J25" i="33" s="1"/>
  <c r="I80" i="34" s="1"/>
  <c r="CP13" i="5"/>
  <c r="CP15" i="5"/>
  <c r="N18" i="34" s="1"/>
  <c r="N80" i="34"/>
  <c r="CQ12" i="5"/>
  <c r="P32" i="33" s="1"/>
  <c r="CQ13" i="5"/>
  <c r="P24" i="33"/>
  <c r="CQ38" i="5"/>
  <c r="P25" i="33" s="1"/>
  <c r="P80" i="34" s="1"/>
  <c r="CR12" i="5"/>
  <c r="R32" i="33" s="1"/>
  <c r="CR15" i="5"/>
  <c r="CR33" i="5"/>
  <c r="CR34" i="5"/>
  <c r="R24" i="33" s="1"/>
  <c r="CR38" i="5"/>
  <c r="R25" i="33" s="1"/>
  <c r="R80" i="34" s="1"/>
  <c r="F90" i="11"/>
  <c r="F91" i="11"/>
  <c r="F93" i="11"/>
  <c r="F94" i="11"/>
  <c r="F96" i="11"/>
  <c r="F97" i="11"/>
  <c r="F99" i="11"/>
  <c r="F100" i="11"/>
  <c r="F102" i="11"/>
  <c r="F103" i="11"/>
  <c r="F105" i="11"/>
  <c r="F106" i="11"/>
  <c r="F108" i="11"/>
  <c r="F109" i="11"/>
  <c r="F111" i="11"/>
  <c r="F112" i="11"/>
  <c r="F114" i="11"/>
  <c r="L117" i="11" s="1"/>
  <c r="F115" i="11"/>
  <c r="F118" i="11"/>
  <c r="B27" i="22"/>
  <c r="BG27" i="22" s="1"/>
  <c r="F23" i="11"/>
  <c r="F24" i="11"/>
  <c r="F25" i="11"/>
  <c r="BN11" i="5"/>
  <c r="J17" i="10" s="1"/>
  <c r="B16" i="22"/>
  <c r="D17" i="27"/>
  <c r="AR17" i="27" s="1"/>
  <c r="BJ11" i="4"/>
  <c r="BK11" i="4"/>
  <c r="BK11" i="5" s="1"/>
  <c r="J16" i="24" s="1"/>
  <c r="BN13" i="5"/>
  <c r="J19" i="10" s="1"/>
  <c r="B18" i="22"/>
  <c r="DN18" i="22" s="1"/>
  <c r="D19" i="27"/>
  <c r="AR19" i="27" s="1"/>
  <c r="BJ13" i="4"/>
  <c r="BK13" i="4"/>
  <c r="BK13" i="5" s="1"/>
  <c r="J18" i="24" s="1"/>
  <c r="EF13" i="5"/>
  <c r="E840" i="65" s="1"/>
  <c r="B19" i="22"/>
  <c r="BG19" i="22" s="1"/>
  <c r="D20" i="27"/>
  <c r="AR20" i="27" s="1"/>
  <c r="BK14" i="4"/>
  <c r="BK14" i="5" s="1"/>
  <c r="J19" i="24" s="1"/>
  <c r="D15" i="33"/>
  <c r="CL38" i="5"/>
  <c r="D25" i="33" s="1"/>
  <c r="C80" i="34" s="1"/>
  <c r="CN12" i="5"/>
  <c r="CN13" i="5"/>
  <c r="G18" i="34"/>
  <c r="CN38" i="5"/>
  <c r="H25" i="33" s="1"/>
  <c r="G80" i="34" s="1"/>
  <c r="F134" i="11"/>
  <c r="F135" i="11"/>
  <c r="F137" i="11"/>
  <c r="F138" i="11"/>
  <c r="F140" i="11"/>
  <c r="F141" i="11"/>
  <c r="F143" i="11"/>
  <c r="F144" i="11"/>
  <c r="B29" i="22"/>
  <c r="BG29" i="22" s="1"/>
  <c r="D30" i="27"/>
  <c r="AR30" i="27" s="1"/>
  <c r="CM12" i="5"/>
  <c r="F32" i="33" s="1"/>
  <c r="F16" i="33"/>
  <c r="CM38" i="5"/>
  <c r="F161" i="11"/>
  <c r="F162" i="11"/>
  <c r="B30" i="22"/>
  <c r="DN30" i="22" s="1"/>
  <c r="CM37" i="5"/>
  <c r="F34" i="33" s="1"/>
  <c r="E47" i="34" s="1"/>
  <c r="CN37" i="5"/>
  <c r="H34" i="33" s="1"/>
  <c r="G47" i="34" s="1"/>
  <c r="CQ37" i="5"/>
  <c r="P34" i="33" s="1"/>
  <c r="P47" i="34" s="1"/>
  <c r="CR37" i="5"/>
  <c r="R34" i="33" s="1"/>
  <c r="R47" i="34" s="1"/>
  <c r="B34" i="33"/>
  <c r="L34" i="33" s="1"/>
  <c r="F184" i="11"/>
  <c r="D28" i="4" s="1"/>
  <c r="D34" i="10" s="1"/>
  <c r="BN29" i="5"/>
  <c r="B33" i="22"/>
  <c r="M33" i="22" s="1"/>
  <c r="CG33" i="22" s="1"/>
  <c r="D34" i="27"/>
  <c r="AR34" i="27" s="1"/>
  <c r="D35" i="27"/>
  <c r="AR35" i="27" s="1"/>
  <c r="BJ24" i="4"/>
  <c r="BJ29" i="4"/>
  <c r="BJ29" i="5" s="1"/>
  <c r="BK24" i="4"/>
  <c r="BK24" i="5" s="1"/>
  <c r="BK28" i="4"/>
  <c r="BK28" i="5" s="1"/>
  <c r="BK29" i="4"/>
  <c r="F124" i="11"/>
  <c r="F125" i="11"/>
  <c r="F127" i="11"/>
  <c r="F128" i="11"/>
  <c r="B28" i="22"/>
  <c r="X28" i="22" s="1"/>
  <c r="F168" i="11"/>
  <c r="F169" i="11"/>
  <c r="F171" i="11"/>
  <c r="B31" i="22"/>
  <c r="DN31" i="22" s="1"/>
  <c r="B32" i="22"/>
  <c r="BG32" i="22" s="1"/>
  <c r="F33" i="33"/>
  <c r="E53" i="34" s="1"/>
  <c r="CN16" i="5"/>
  <c r="H33" i="33" s="1"/>
  <c r="G53" i="34" s="1"/>
  <c r="CO16" i="5"/>
  <c r="J33" i="33" s="1"/>
  <c r="I53" i="34" s="1"/>
  <c r="CP16" i="5"/>
  <c r="N33" i="33" s="1"/>
  <c r="N53" i="34" s="1"/>
  <c r="CQ16" i="5"/>
  <c r="P33" i="33" s="1"/>
  <c r="P53" i="34" s="1"/>
  <c r="CR16" i="5"/>
  <c r="R33" i="33" s="1"/>
  <c r="R53" i="34" s="1"/>
  <c r="L33" i="33"/>
  <c r="BN16" i="5"/>
  <c r="J22" i="10" s="1"/>
  <c r="B21" i="22"/>
  <c r="DN21" i="22" s="1"/>
  <c r="D22" i="27"/>
  <c r="AR22" i="27" s="1"/>
  <c r="BK16" i="4"/>
  <c r="BK16" i="5" s="1"/>
  <c r="J21" i="24" s="1"/>
  <c r="EF16" i="5"/>
  <c r="E852" i="65" s="1"/>
  <c r="CM50" i="5"/>
  <c r="CN50" i="5"/>
  <c r="H36" i="33" s="1"/>
  <c r="CO50" i="5"/>
  <c r="J36" i="33" s="1"/>
  <c r="CP50" i="5"/>
  <c r="N36" i="33" s="1"/>
  <c r="CQ50" i="5"/>
  <c r="P36" i="33" s="1"/>
  <c r="CR50" i="5"/>
  <c r="F195" i="11"/>
  <c r="D48" i="4" s="1"/>
  <c r="D50" i="5" s="1"/>
  <c r="BN50" i="5"/>
  <c r="J46" i="10" s="1"/>
  <c r="B45" i="22"/>
  <c r="DN45" i="22" s="1"/>
  <c r="D44" i="27"/>
  <c r="AR44" i="27" s="1"/>
  <c r="BJ48" i="4"/>
  <c r="BK48" i="4"/>
  <c r="BK50" i="5" s="1"/>
  <c r="J45" i="24" s="1"/>
  <c r="CO54" i="5"/>
  <c r="J37" i="33" s="1"/>
  <c r="I41" i="34" s="1"/>
  <c r="CQ54" i="5"/>
  <c r="P37" i="33" s="1"/>
  <c r="P41" i="34" s="1"/>
  <c r="CR54" i="5"/>
  <c r="R37" i="33" s="1"/>
  <c r="R41" i="34" s="1"/>
  <c r="F196" i="11"/>
  <c r="D49" i="4" s="1"/>
  <c r="J51" i="10"/>
  <c r="B46" i="22"/>
  <c r="C66" i="70"/>
  <c r="B20" i="22"/>
  <c r="AR21" i="27"/>
  <c r="BK15" i="4"/>
  <c r="BK15" i="5" s="1"/>
  <c r="J20" i="24" s="1"/>
  <c r="F45" i="33"/>
  <c r="E29" i="34" s="1"/>
  <c r="CN46" i="5"/>
  <c r="CO46" i="5"/>
  <c r="J45" i="33" s="1"/>
  <c r="I29" i="34" s="1"/>
  <c r="CP46" i="5"/>
  <c r="CR46" i="5"/>
  <c r="R45" i="33" s="1"/>
  <c r="R29" i="34" s="1"/>
  <c r="B45" i="33"/>
  <c r="L45" i="33" s="1"/>
  <c r="F193" i="11"/>
  <c r="D46" i="4" s="1"/>
  <c r="D46" i="5" s="1"/>
  <c r="B41" i="22"/>
  <c r="DN41" i="22" s="1"/>
  <c r="D42" i="27"/>
  <c r="AR42" i="27" s="1"/>
  <c r="BJ46" i="4"/>
  <c r="BJ46" i="5" s="1"/>
  <c r="H41" i="24" s="1"/>
  <c r="BK46" i="4"/>
  <c r="CN47" i="5"/>
  <c r="H46" i="33" s="1"/>
  <c r="G30" i="34" s="1"/>
  <c r="CO47" i="5"/>
  <c r="J46" i="33" s="1"/>
  <c r="I30" i="34" s="1"/>
  <c r="CP47" i="5"/>
  <c r="N46" i="33" s="1"/>
  <c r="N30" i="34" s="1"/>
  <c r="CQ47" i="5"/>
  <c r="P46" i="33" s="1"/>
  <c r="P30" i="34" s="1"/>
  <c r="CR47" i="5"/>
  <c r="R46" i="33" s="1"/>
  <c r="R30" i="34" s="1"/>
  <c r="B46" i="33"/>
  <c r="L46" i="33" s="1"/>
  <c r="F194" i="11"/>
  <c r="B42" i="22"/>
  <c r="AI42" i="22" s="1"/>
  <c r="D43" i="27"/>
  <c r="AR43" i="27" s="1"/>
  <c r="BK47" i="4"/>
  <c r="BK47" i="5" s="1"/>
  <c r="J42" i="24" s="1"/>
  <c r="F17" i="11"/>
  <c r="F18" i="11"/>
  <c r="B15" i="22"/>
  <c r="DN15" i="22" s="1"/>
  <c r="D16" i="27"/>
  <c r="AR16" i="27" s="1"/>
  <c r="BJ10" i="4"/>
  <c r="BK10" i="4"/>
  <c r="F31" i="11"/>
  <c r="F32" i="11"/>
  <c r="F34" i="11"/>
  <c r="F36" i="11"/>
  <c r="F38" i="11"/>
  <c r="F42" i="11"/>
  <c r="F43" i="11"/>
  <c r="BN12" i="5"/>
  <c r="J18" i="10" s="1"/>
  <c r="B17" i="22"/>
  <c r="AI17" i="22" s="1"/>
  <c r="D18" i="27"/>
  <c r="AR18" i="27" s="1"/>
  <c r="BK12" i="4"/>
  <c r="BK12" i="5" s="1"/>
  <c r="J17" i="24" s="1"/>
  <c r="B44" i="33"/>
  <c r="L44" i="33" s="1"/>
  <c r="D44" i="33"/>
  <c r="F20" i="7"/>
  <c r="C162" i="7" s="1"/>
  <c r="B53" i="33"/>
  <c r="L53" i="33" s="1"/>
  <c r="D62" i="10"/>
  <c r="J62" i="10"/>
  <c r="D58" i="24"/>
  <c r="H58" i="24"/>
  <c r="J58" i="24"/>
  <c r="EF232" i="5"/>
  <c r="W108" i="7"/>
  <c r="D13" i="39"/>
  <c r="D19" i="39"/>
  <c r="H19" i="39" s="1"/>
  <c r="AH19" i="39" s="1"/>
  <c r="D36" i="39"/>
  <c r="H37" i="39"/>
  <c r="D38" i="39"/>
  <c r="H38" i="39" s="1"/>
  <c r="D314" i="5"/>
  <c r="B13" i="66" s="1"/>
  <c r="D119" i="4"/>
  <c r="D134" i="5" s="1"/>
  <c r="D64" i="9" s="1"/>
  <c r="D77" i="9"/>
  <c r="O96" i="31"/>
  <c r="J103" i="15"/>
  <c r="N103" i="15"/>
  <c r="F74" i="13"/>
  <c r="CE130" i="4"/>
  <c r="CE145" i="5" s="1"/>
  <c r="J72" i="29"/>
  <c r="L72" i="29"/>
  <c r="F75" i="13"/>
  <c r="F73" i="29"/>
  <c r="H73" i="29"/>
  <c r="J73" i="29"/>
  <c r="L73" i="29"/>
  <c r="CG132" i="4"/>
  <c r="CG147" i="5" s="1"/>
  <c r="CJ147" i="5" s="1"/>
  <c r="H76" i="13"/>
  <c r="F74" i="29"/>
  <c r="H74" i="29"/>
  <c r="J74" i="29"/>
  <c r="L74" i="29"/>
  <c r="H77" i="13"/>
  <c r="F75" i="29"/>
  <c r="H75" i="29"/>
  <c r="L75" i="29"/>
  <c r="CG149" i="5"/>
  <c r="F70" i="13" s="1"/>
  <c r="F78" i="13" s="1"/>
  <c r="F94" i="15" s="1"/>
  <c r="CC149" i="5"/>
  <c r="H70" i="13" s="1"/>
  <c r="H78" i="13" s="1"/>
  <c r="H94" i="15" s="1"/>
  <c r="CD149" i="5"/>
  <c r="F68" i="29" s="1"/>
  <c r="CE149" i="5"/>
  <c r="H68" i="29" s="1"/>
  <c r="H76" i="29" s="1"/>
  <c r="H90" i="31" s="1"/>
  <c r="CF149" i="5"/>
  <c r="J68" i="29" s="1"/>
  <c r="J76" i="29" s="1"/>
  <c r="K90" i="31" s="1"/>
  <c r="CH149" i="5"/>
  <c r="L68" i="29" s="1"/>
  <c r="L76" i="29" s="1"/>
  <c r="M90" i="31" s="1"/>
  <c r="CO130" i="4"/>
  <c r="CO145" i="5" s="1"/>
  <c r="B63" i="32"/>
  <c r="K63" i="32" s="1"/>
  <c r="CP130" i="4"/>
  <c r="CP145" i="5" s="1"/>
  <c r="N63" i="32"/>
  <c r="P63" i="32"/>
  <c r="C64" i="32"/>
  <c r="CM146" i="5"/>
  <c r="G64" i="32"/>
  <c r="I64" i="32"/>
  <c r="B64" i="32"/>
  <c r="K64" i="32" s="1"/>
  <c r="L64" i="32"/>
  <c r="N64" i="32"/>
  <c r="P64" i="32"/>
  <c r="C65" i="32"/>
  <c r="E65" i="32"/>
  <c r="G65" i="32"/>
  <c r="I65" i="32"/>
  <c r="B65" i="32"/>
  <c r="K65" i="32" s="1"/>
  <c r="L65" i="32"/>
  <c r="N65" i="32"/>
  <c r="P65" i="32"/>
  <c r="C66" i="32"/>
  <c r="E66" i="32"/>
  <c r="G66" i="32"/>
  <c r="I66" i="32"/>
  <c r="B66" i="32"/>
  <c r="K66" i="32" s="1"/>
  <c r="L66" i="32"/>
  <c r="N66" i="32"/>
  <c r="P66" i="32"/>
  <c r="CL149" i="5"/>
  <c r="C59" i="32" s="1"/>
  <c r="C67" i="32" s="1"/>
  <c r="C89" i="34" s="1"/>
  <c r="CM149" i="5"/>
  <c r="E59" i="32" s="1"/>
  <c r="E67" i="32" s="1"/>
  <c r="E89" i="34" s="1"/>
  <c r="CN149" i="5"/>
  <c r="G59" i="32" s="1"/>
  <c r="G67" i="32" s="1"/>
  <c r="G89" i="34" s="1"/>
  <c r="CO149" i="5"/>
  <c r="B67" i="32"/>
  <c r="K67" i="32" s="1"/>
  <c r="CP149" i="5"/>
  <c r="CQ149" i="5"/>
  <c r="N59" i="32" s="1"/>
  <c r="N67" i="32" s="1"/>
  <c r="CR149" i="5"/>
  <c r="P59" i="32" s="1"/>
  <c r="P67" i="32" s="1"/>
  <c r="CB117" i="4"/>
  <c r="B80" i="13"/>
  <c r="BY151" i="5"/>
  <c r="BZ151" i="5" s="1"/>
  <c r="CL117" i="4"/>
  <c r="CL132" i="5" s="1"/>
  <c r="CM132" i="5"/>
  <c r="CO117" i="4"/>
  <c r="CO132" i="5" s="1"/>
  <c r="I49" i="32" s="1"/>
  <c r="CP117" i="4"/>
  <c r="CQ117" i="4"/>
  <c r="CQ132" i="5" s="1"/>
  <c r="N49" i="32" s="1"/>
  <c r="P90" i="34" s="1"/>
  <c r="CR117" i="4"/>
  <c r="CR120" i="4"/>
  <c r="CR135" i="5" s="1"/>
  <c r="P51" i="32" s="1"/>
  <c r="CM141" i="5"/>
  <c r="E58" i="32" s="1"/>
  <c r="E25" i="34" s="1"/>
  <c r="CR140" i="5"/>
  <c r="CU140" i="5" s="1"/>
  <c r="CU138" i="5"/>
  <c r="CU133" i="5"/>
  <c r="CU134" i="5"/>
  <c r="CU157" i="5"/>
  <c r="CU172" i="5" s="1"/>
  <c r="CU136" i="5"/>
  <c r="CU139" i="5"/>
  <c r="CU142" i="5"/>
  <c r="CU143" i="5"/>
  <c r="CU147" i="5"/>
  <c r="CU148" i="5"/>
  <c r="CU151" i="5"/>
  <c r="U117" i="4"/>
  <c r="U121" i="4"/>
  <c r="B32" i="39"/>
  <c r="B2" i="5"/>
  <c r="B3" i="7" s="1"/>
  <c r="B7" i="39" s="1"/>
  <c r="B34" i="22"/>
  <c r="M170" i="41"/>
  <c r="M172" i="41"/>
  <c r="M174" i="41"/>
  <c r="N171" i="41"/>
  <c r="N173" i="41"/>
  <c r="N175" i="41"/>
  <c r="L176" i="41"/>
  <c r="K42" i="7"/>
  <c r="K38" i="7"/>
  <c r="D318" i="5"/>
  <c r="X292" i="5"/>
  <c r="X318" i="5"/>
  <c r="E292" i="5"/>
  <c r="E314" i="5"/>
  <c r="E318" i="5"/>
  <c r="F292" i="5"/>
  <c r="F314" i="5"/>
  <c r="F318" i="5"/>
  <c r="G292" i="5"/>
  <c r="G314" i="5"/>
  <c r="G318" i="5"/>
  <c r="H292" i="5"/>
  <c r="H314" i="5"/>
  <c r="H318" i="5"/>
  <c r="I292" i="5"/>
  <c r="I318" i="5"/>
  <c r="J292" i="5"/>
  <c r="J318" i="5"/>
  <c r="K292" i="5"/>
  <c r="K318" i="5"/>
  <c r="M292" i="5"/>
  <c r="M318" i="5"/>
  <c r="O292" i="5"/>
  <c r="O318" i="5"/>
  <c r="Q292" i="5"/>
  <c r="Q318" i="5"/>
  <c r="R292" i="5"/>
  <c r="R318" i="5"/>
  <c r="S292" i="5"/>
  <c r="S318" i="5"/>
  <c r="T292" i="5"/>
  <c r="T318" i="5"/>
  <c r="BF196" i="5"/>
  <c r="BG196" i="5" s="1"/>
  <c r="U292" i="5"/>
  <c r="U318" i="5"/>
  <c r="V292" i="5"/>
  <c r="W292" i="5"/>
  <c r="Z292" i="5"/>
  <c r="Z318" i="5"/>
  <c r="AA292" i="5"/>
  <c r="AA318" i="5"/>
  <c r="AD292" i="5"/>
  <c r="AD318" i="5"/>
  <c r="AE292" i="5"/>
  <c r="AE318" i="5"/>
  <c r="AF292" i="5"/>
  <c r="AF318" i="5"/>
  <c r="AG292" i="5"/>
  <c r="AG318" i="5"/>
  <c r="AH292" i="5"/>
  <c r="AH318" i="5"/>
  <c r="AI292" i="5"/>
  <c r="AI318" i="5"/>
  <c r="AJ292" i="5"/>
  <c r="AJ318" i="5"/>
  <c r="AR292" i="5"/>
  <c r="AR318" i="5"/>
  <c r="AS292" i="5"/>
  <c r="AS318" i="5"/>
  <c r="AU292" i="5"/>
  <c r="AU318" i="5"/>
  <c r="AV292" i="5"/>
  <c r="AV318" i="5"/>
  <c r="AX292" i="5"/>
  <c r="AZ292" i="5"/>
  <c r="AZ318" i="5"/>
  <c r="BR171" i="4"/>
  <c r="BR73" i="4" s="1"/>
  <c r="BR292" i="5"/>
  <c r="BR318" i="5"/>
  <c r="BW292" i="5"/>
  <c r="BW314" i="5"/>
  <c r="BS164" i="4"/>
  <c r="BS292" i="5"/>
  <c r="BS314" i="5"/>
  <c r="BS318" i="5"/>
  <c r="BT171" i="4"/>
  <c r="BT292" i="5"/>
  <c r="BT314" i="5"/>
  <c r="BT318" i="5"/>
  <c r="BU171" i="4"/>
  <c r="BU292" i="5"/>
  <c r="BU314" i="5"/>
  <c r="BY201" i="5"/>
  <c r="BZ201" i="5" s="1"/>
  <c r="BY202" i="5"/>
  <c r="BZ202" i="5" s="1"/>
  <c r="BY203" i="5"/>
  <c r="BZ203" i="5" s="1"/>
  <c r="BY204" i="5"/>
  <c r="BZ204" i="5" s="1"/>
  <c r="BY205" i="5"/>
  <c r="BZ205" i="5" s="1"/>
  <c r="C35" i="32"/>
  <c r="E35" i="32"/>
  <c r="G35" i="32"/>
  <c r="I35" i="32"/>
  <c r="B35" i="32"/>
  <c r="K35" i="32" s="1"/>
  <c r="L35" i="32"/>
  <c r="N35" i="32"/>
  <c r="P35" i="32"/>
  <c r="H62" i="13"/>
  <c r="H33" i="15" s="1"/>
  <c r="F61" i="29"/>
  <c r="H61" i="29"/>
  <c r="J61" i="29"/>
  <c r="L61" i="29"/>
  <c r="CC126" i="4"/>
  <c r="CC141" i="5" s="1"/>
  <c r="CJ141" i="5" s="1"/>
  <c r="F67" i="29"/>
  <c r="H67" i="29"/>
  <c r="J67" i="29"/>
  <c r="L67" i="29"/>
  <c r="B50" i="22"/>
  <c r="EF57" i="5"/>
  <c r="D45" i="53" s="1"/>
  <c r="J43" i="23" s="1"/>
  <c r="L43" i="23" s="1"/>
  <c r="D52" i="10"/>
  <c r="J52" i="10"/>
  <c r="B47" i="22"/>
  <c r="AT47" i="22" s="1"/>
  <c r="J54" i="10"/>
  <c r="B49" i="22"/>
  <c r="BG49" i="22" s="1"/>
  <c r="F186" i="11"/>
  <c r="D29" i="4" s="1"/>
  <c r="D35" i="10" s="1"/>
  <c r="N131" i="10"/>
  <c r="R132" i="10" s="1"/>
  <c r="J65" i="9"/>
  <c r="N65" i="9"/>
  <c r="E135" i="5"/>
  <c r="F120" i="4"/>
  <c r="Y49" i="19"/>
  <c r="CL49" i="19"/>
  <c r="CN49" i="19"/>
  <c r="CU49" i="19"/>
  <c r="CW49" i="19"/>
  <c r="CY49" i="19"/>
  <c r="DA49" i="19"/>
  <c r="DC49" i="19"/>
  <c r="DP49" i="19"/>
  <c r="D49" i="20"/>
  <c r="H49" i="20"/>
  <c r="J49" i="20"/>
  <c r="D44" i="21"/>
  <c r="C51" i="32"/>
  <c r="E51" i="32"/>
  <c r="G51" i="32"/>
  <c r="I51" i="32"/>
  <c r="I31" i="34" s="1"/>
  <c r="T31" i="34" s="1"/>
  <c r="N33" i="15" s="1"/>
  <c r="B51" i="32"/>
  <c r="K51" i="32" s="1"/>
  <c r="L51" i="32"/>
  <c r="N51" i="32"/>
  <c r="D19" i="52"/>
  <c r="C18" i="32"/>
  <c r="E18" i="32"/>
  <c r="G18" i="32"/>
  <c r="I18" i="32"/>
  <c r="B18" i="32"/>
  <c r="K18" i="32" s="1"/>
  <c r="L18" i="32"/>
  <c r="N18" i="32"/>
  <c r="P18" i="32"/>
  <c r="CO106" i="4"/>
  <c r="CO107" i="5" s="1"/>
  <c r="I39" i="32" s="1"/>
  <c r="B39" i="32"/>
  <c r="K39" i="32" s="1"/>
  <c r="CQ106" i="4"/>
  <c r="CQ107" i="5" s="1"/>
  <c r="CR106" i="4"/>
  <c r="CR107" i="5" s="1"/>
  <c r="C40" i="32"/>
  <c r="E40" i="32"/>
  <c r="G40" i="32"/>
  <c r="I40" i="32"/>
  <c r="B40" i="32"/>
  <c r="K40" i="32" s="1"/>
  <c r="L40" i="32"/>
  <c r="N40" i="32"/>
  <c r="P40" i="32"/>
  <c r="B15" i="32"/>
  <c r="K15" i="32" s="1"/>
  <c r="C30" i="32"/>
  <c r="CM98" i="5"/>
  <c r="CU98" i="5" s="1"/>
  <c r="G30" i="32"/>
  <c r="I30" i="32"/>
  <c r="B30" i="32"/>
  <c r="K30" i="32" s="1"/>
  <c r="L30" i="32"/>
  <c r="N30" i="32"/>
  <c r="P30" i="32"/>
  <c r="EF98" i="5"/>
  <c r="EH98" i="5" s="1"/>
  <c r="D17" i="52"/>
  <c r="CL100" i="5"/>
  <c r="B16" i="32"/>
  <c r="K16" i="32" s="1"/>
  <c r="CP100" i="5"/>
  <c r="CQ100" i="5"/>
  <c r="CR100" i="5"/>
  <c r="EF89" i="5"/>
  <c r="CL88" i="4"/>
  <c r="CL89" i="5" s="1"/>
  <c r="CN88" i="4"/>
  <c r="CN89" i="5" s="1"/>
  <c r="CO88" i="4"/>
  <c r="B19" i="32"/>
  <c r="K19" i="32" s="1"/>
  <c r="CP88" i="4"/>
  <c r="CP89" i="5" s="1"/>
  <c r="CQ88" i="4"/>
  <c r="CQ89" i="5" s="1"/>
  <c r="CR88" i="4"/>
  <c r="CR89" i="5" s="1"/>
  <c r="C23" i="32"/>
  <c r="E23" i="32"/>
  <c r="G23" i="32"/>
  <c r="I23" i="32"/>
  <c r="B23" i="32"/>
  <c r="K23" i="32" s="1"/>
  <c r="L23" i="32"/>
  <c r="N23" i="32"/>
  <c r="P23" i="32"/>
  <c r="EF94" i="5"/>
  <c r="C24" i="32"/>
  <c r="C87" i="34" s="1"/>
  <c r="E24" i="32"/>
  <c r="E87" i="34" s="1"/>
  <c r="B24" i="32"/>
  <c r="K24" i="32" s="1"/>
  <c r="L24" i="32"/>
  <c r="N87" i="34" s="1"/>
  <c r="N24" i="32"/>
  <c r="P87" i="34" s="1"/>
  <c r="P24" i="32"/>
  <c r="R87" i="34" s="1"/>
  <c r="EF99" i="5"/>
  <c r="EF100" i="5"/>
  <c r="EH100" i="5" s="1"/>
  <c r="C31" i="32"/>
  <c r="E31" i="32"/>
  <c r="G31" i="32"/>
  <c r="I31" i="32"/>
  <c r="B31" i="32"/>
  <c r="K31" i="32" s="1"/>
  <c r="L31" i="32"/>
  <c r="N31" i="32"/>
  <c r="P31" i="32"/>
  <c r="D51" i="20"/>
  <c r="H51" i="20"/>
  <c r="J51" i="20"/>
  <c r="K69" i="32"/>
  <c r="C64" i="19"/>
  <c r="E64" i="19"/>
  <c r="G64" i="19"/>
  <c r="I64" i="19"/>
  <c r="K64" i="19"/>
  <c r="N64" i="19"/>
  <c r="P64" i="19"/>
  <c r="T64" i="19"/>
  <c r="Y64" i="19"/>
  <c r="AA64" i="19"/>
  <c r="AC64" i="19"/>
  <c r="AE64" i="19"/>
  <c r="AG64" i="19"/>
  <c r="AJ64" i="19"/>
  <c r="AL64" i="19"/>
  <c r="AN64" i="19"/>
  <c r="AP64" i="19"/>
  <c r="AR64" i="19"/>
  <c r="AU64" i="19"/>
  <c r="AY64" i="19"/>
  <c r="BA64" i="19"/>
  <c r="BC64" i="19"/>
  <c r="BH64" i="19"/>
  <c r="BJ64" i="19"/>
  <c r="BL64" i="19"/>
  <c r="BN64" i="19"/>
  <c r="BP64" i="19"/>
  <c r="CL64" i="19"/>
  <c r="CN64" i="19"/>
  <c r="CU64" i="19"/>
  <c r="CW64" i="19"/>
  <c r="DC64" i="19"/>
  <c r="C59" i="19"/>
  <c r="E59" i="19"/>
  <c r="G59" i="19"/>
  <c r="I59" i="19"/>
  <c r="K59" i="19"/>
  <c r="N59" i="19"/>
  <c r="P59" i="19"/>
  <c r="T59" i="19"/>
  <c r="Y59" i="19"/>
  <c r="AA59" i="19"/>
  <c r="AC59" i="19"/>
  <c r="AE59" i="19"/>
  <c r="AG59" i="19"/>
  <c r="AJ59" i="19"/>
  <c r="AL59" i="19"/>
  <c r="AN59" i="19"/>
  <c r="AP59" i="19"/>
  <c r="AR59" i="19"/>
  <c r="AU59" i="19"/>
  <c r="AY59" i="19"/>
  <c r="BA59" i="19"/>
  <c r="BC59" i="19"/>
  <c r="BH59" i="19"/>
  <c r="BJ59" i="19"/>
  <c r="BL59" i="19"/>
  <c r="BN59" i="19"/>
  <c r="BP59" i="19"/>
  <c r="CL59" i="19"/>
  <c r="CN59" i="19"/>
  <c r="CU59" i="19"/>
  <c r="CW59" i="19"/>
  <c r="DC59" i="19"/>
  <c r="DP59" i="19"/>
  <c r="C47" i="19"/>
  <c r="E47" i="19"/>
  <c r="G47" i="19"/>
  <c r="I47" i="19"/>
  <c r="K47" i="19"/>
  <c r="BG47" i="19"/>
  <c r="N47" i="19"/>
  <c r="P47" i="19"/>
  <c r="T47" i="19"/>
  <c r="Y47" i="19"/>
  <c r="AA47" i="19"/>
  <c r="AC47" i="19"/>
  <c r="AE47" i="19"/>
  <c r="AG47" i="19"/>
  <c r="AJ47" i="19"/>
  <c r="AL47" i="19"/>
  <c r="AN47" i="19"/>
  <c r="AP47" i="19"/>
  <c r="AR47" i="19"/>
  <c r="AU47" i="19"/>
  <c r="AY47" i="19"/>
  <c r="BA47" i="19"/>
  <c r="BC47" i="19"/>
  <c r="BH47" i="19"/>
  <c r="BJ47" i="19"/>
  <c r="BL47" i="19"/>
  <c r="BN47" i="19"/>
  <c r="BP47" i="19"/>
  <c r="CL47" i="19"/>
  <c r="CN47" i="19"/>
  <c r="CU47" i="19"/>
  <c r="CW47" i="19"/>
  <c r="CY47" i="19"/>
  <c r="DA47" i="19"/>
  <c r="DC47" i="19"/>
  <c r="DP47" i="19"/>
  <c r="D47" i="20"/>
  <c r="H47" i="20"/>
  <c r="J47" i="20"/>
  <c r="N42" i="21"/>
  <c r="C50" i="32"/>
  <c r="E50" i="32"/>
  <c r="G50" i="32"/>
  <c r="I50" i="32"/>
  <c r="B50" i="32"/>
  <c r="K50" i="32" s="1"/>
  <c r="L50" i="32"/>
  <c r="N50" i="32"/>
  <c r="P50" i="32"/>
  <c r="C53" i="19"/>
  <c r="E53" i="19"/>
  <c r="G53" i="19"/>
  <c r="I53" i="19"/>
  <c r="K53" i="19"/>
  <c r="N53" i="19"/>
  <c r="P53" i="19"/>
  <c r="T53" i="19"/>
  <c r="Y53" i="19"/>
  <c r="AA53" i="19"/>
  <c r="AC53" i="19"/>
  <c r="AE53" i="19"/>
  <c r="AG53" i="19"/>
  <c r="AJ53" i="19"/>
  <c r="AL53" i="19"/>
  <c r="AN53" i="19"/>
  <c r="AP53" i="19"/>
  <c r="AR53" i="19"/>
  <c r="AU53" i="19"/>
  <c r="AY53" i="19"/>
  <c r="BA53" i="19"/>
  <c r="BC53" i="19"/>
  <c r="BH53" i="19"/>
  <c r="BJ53" i="19"/>
  <c r="BL53" i="19"/>
  <c r="BN53" i="19"/>
  <c r="BP53" i="19"/>
  <c r="CL53" i="19"/>
  <c r="CN53" i="19"/>
  <c r="CU53" i="19"/>
  <c r="CW53" i="19"/>
  <c r="CY53" i="19"/>
  <c r="DA53" i="19"/>
  <c r="DC53" i="19"/>
  <c r="DP53" i="19"/>
  <c r="D52" i="20"/>
  <c r="H52" i="20"/>
  <c r="J52" i="20"/>
  <c r="C55" i="32"/>
  <c r="E55" i="32"/>
  <c r="G55" i="32"/>
  <c r="I55" i="32"/>
  <c r="B55" i="32"/>
  <c r="K55" i="32" s="1"/>
  <c r="L55" i="32"/>
  <c r="N55" i="32"/>
  <c r="P55" i="32"/>
  <c r="C56" i="19"/>
  <c r="E56" i="19"/>
  <c r="G56" i="19"/>
  <c r="I56" i="19"/>
  <c r="K56" i="19"/>
  <c r="N56" i="19"/>
  <c r="P56" i="19"/>
  <c r="T56" i="19"/>
  <c r="Y56" i="19"/>
  <c r="AA56" i="19"/>
  <c r="AC56" i="19"/>
  <c r="AE56" i="19"/>
  <c r="AG56" i="19"/>
  <c r="AJ56" i="19"/>
  <c r="AL56" i="19"/>
  <c r="AN56" i="19"/>
  <c r="AP56" i="19"/>
  <c r="AR56" i="19"/>
  <c r="AU56" i="19"/>
  <c r="AY56" i="19"/>
  <c r="BA56" i="19"/>
  <c r="BC56" i="19"/>
  <c r="BH56" i="19"/>
  <c r="BJ56" i="19"/>
  <c r="BL56" i="19"/>
  <c r="BN56" i="19"/>
  <c r="BP56" i="19"/>
  <c r="CL56" i="19"/>
  <c r="CN56" i="19"/>
  <c r="CU56" i="19"/>
  <c r="CW56" i="19"/>
  <c r="DC56" i="19"/>
  <c r="DP56" i="19"/>
  <c r="D54" i="20"/>
  <c r="H54" i="20"/>
  <c r="J54" i="20"/>
  <c r="N51" i="21"/>
  <c r="C57" i="32"/>
  <c r="E57" i="32"/>
  <c r="G57" i="32"/>
  <c r="I57" i="32"/>
  <c r="B57" i="32"/>
  <c r="K57" i="32" s="1"/>
  <c r="L57" i="32"/>
  <c r="N57" i="32"/>
  <c r="B59" i="32"/>
  <c r="K59" i="32" s="1"/>
  <c r="C63" i="19"/>
  <c r="E63" i="19"/>
  <c r="G63" i="19"/>
  <c r="I63" i="19"/>
  <c r="K63" i="19"/>
  <c r="N63" i="19"/>
  <c r="P63" i="19"/>
  <c r="T63" i="19"/>
  <c r="Y63" i="19"/>
  <c r="AA63" i="19"/>
  <c r="AC63" i="19"/>
  <c r="AE63" i="19"/>
  <c r="AG63" i="19"/>
  <c r="AJ63" i="19"/>
  <c r="AL63" i="19"/>
  <c r="AN63" i="19"/>
  <c r="AP63" i="19"/>
  <c r="AR63" i="19"/>
  <c r="AU63" i="19"/>
  <c r="AY63" i="19"/>
  <c r="BA63" i="19"/>
  <c r="BC63" i="19"/>
  <c r="BH63" i="19"/>
  <c r="BJ63" i="19"/>
  <c r="BL63" i="19"/>
  <c r="BN63" i="19"/>
  <c r="BP63" i="19"/>
  <c r="CL63" i="19"/>
  <c r="CN63" i="19"/>
  <c r="CU63" i="19"/>
  <c r="CW63" i="19"/>
  <c r="DC63" i="19"/>
  <c r="DP63" i="19"/>
  <c r="C61" i="19"/>
  <c r="E61" i="19"/>
  <c r="G61" i="19"/>
  <c r="I61" i="19"/>
  <c r="K61" i="19"/>
  <c r="N61" i="19"/>
  <c r="P61" i="19"/>
  <c r="T61" i="19"/>
  <c r="Y61" i="19"/>
  <c r="AA61" i="19"/>
  <c r="AC61" i="19"/>
  <c r="AE61" i="19"/>
  <c r="AG61" i="19"/>
  <c r="AJ61" i="19"/>
  <c r="AL61" i="19"/>
  <c r="AN61" i="19"/>
  <c r="AP61" i="19"/>
  <c r="AR61" i="19"/>
  <c r="AU61" i="19"/>
  <c r="AY61" i="19"/>
  <c r="BA61" i="19"/>
  <c r="BC61" i="19"/>
  <c r="BH61" i="19"/>
  <c r="BJ61" i="19"/>
  <c r="BL61" i="19"/>
  <c r="BN61" i="19"/>
  <c r="BP61" i="19"/>
  <c r="CL61" i="19"/>
  <c r="CN61" i="19"/>
  <c r="CU61" i="19"/>
  <c r="CW61" i="19"/>
  <c r="DC61" i="19"/>
  <c r="DP61" i="19"/>
  <c r="C62" i="19"/>
  <c r="E62" i="19"/>
  <c r="G62" i="19"/>
  <c r="I62" i="19"/>
  <c r="K62" i="19"/>
  <c r="N62" i="19"/>
  <c r="P62" i="19"/>
  <c r="T62" i="19"/>
  <c r="Y62" i="19"/>
  <c r="AA62" i="19"/>
  <c r="AC62" i="19"/>
  <c r="AE62" i="19"/>
  <c r="AG62" i="19"/>
  <c r="AJ62" i="19"/>
  <c r="AL62" i="19"/>
  <c r="AN62" i="19"/>
  <c r="AP62" i="19"/>
  <c r="AR62" i="19"/>
  <c r="AU62" i="19"/>
  <c r="AY62" i="19"/>
  <c r="BA62" i="19"/>
  <c r="BC62" i="19"/>
  <c r="BH62" i="19"/>
  <c r="BJ62" i="19"/>
  <c r="BL62" i="19"/>
  <c r="BN62" i="19"/>
  <c r="BP62" i="19"/>
  <c r="CL62" i="19"/>
  <c r="CN62" i="19"/>
  <c r="CU62" i="19"/>
  <c r="CW62" i="19"/>
  <c r="DC62" i="19"/>
  <c r="DP62" i="19"/>
  <c r="C48" i="19"/>
  <c r="E48" i="19"/>
  <c r="G48" i="19"/>
  <c r="I48" i="19"/>
  <c r="K48" i="19"/>
  <c r="N48" i="19"/>
  <c r="P48" i="19"/>
  <c r="T48" i="19"/>
  <c r="Y48" i="19"/>
  <c r="AA48" i="19"/>
  <c r="AC48" i="19"/>
  <c r="AE48" i="19"/>
  <c r="AG48" i="19"/>
  <c r="AJ48" i="19"/>
  <c r="AL48" i="19"/>
  <c r="AN48" i="19"/>
  <c r="AP48" i="19"/>
  <c r="AR48" i="19"/>
  <c r="AU48" i="19"/>
  <c r="AY48" i="19"/>
  <c r="BA48" i="19"/>
  <c r="BC48" i="19"/>
  <c r="BH48" i="19"/>
  <c r="BJ48" i="19"/>
  <c r="BL48" i="19"/>
  <c r="BN48" i="19"/>
  <c r="BP48" i="19"/>
  <c r="CL48" i="19"/>
  <c r="CN48" i="19"/>
  <c r="CU48" i="19"/>
  <c r="CW48" i="19"/>
  <c r="CY48" i="19"/>
  <c r="DA48" i="19"/>
  <c r="DC48" i="19"/>
  <c r="DP48" i="19"/>
  <c r="D48" i="20"/>
  <c r="H48" i="20"/>
  <c r="J48" i="20"/>
  <c r="N43" i="21"/>
  <c r="H54" i="18" s="1"/>
  <c r="D37" i="52"/>
  <c r="J54" i="18" s="1"/>
  <c r="X117" i="4"/>
  <c r="BN314" i="5"/>
  <c r="E117" i="4"/>
  <c r="F117" i="4"/>
  <c r="G117" i="4"/>
  <c r="H117" i="4"/>
  <c r="I117" i="4"/>
  <c r="J117" i="4"/>
  <c r="K117" i="4"/>
  <c r="M117" i="4"/>
  <c r="Q117" i="4"/>
  <c r="R117" i="4"/>
  <c r="S117" i="4"/>
  <c r="T117" i="4"/>
  <c r="V117" i="4"/>
  <c r="W117" i="4"/>
  <c r="Y117" i="4"/>
  <c r="Z117" i="4"/>
  <c r="AA117" i="4"/>
  <c r="AC117" i="4"/>
  <c r="AD117" i="4"/>
  <c r="AE117" i="4"/>
  <c r="AF117" i="4"/>
  <c r="AG117" i="4"/>
  <c r="AH117" i="4"/>
  <c r="AI117" i="4"/>
  <c r="AJ117" i="4"/>
  <c r="DP46" i="19"/>
  <c r="BJ314" i="5"/>
  <c r="BK314" i="5"/>
  <c r="D36" i="52"/>
  <c r="B49" i="32"/>
  <c r="K49" i="32" s="1"/>
  <c r="X121" i="4"/>
  <c r="BR121" i="4"/>
  <c r="E121" i="4"/>
  <c r="F121" i="4"/>
  <c r="G121" i="4"/>
  <c r="H121" i="4"/>
  <c r="I121" i="4"/>
  <c r="J121" i="4"/>
  <c r="K121" i="4"/>
  <c r="M121" i="4"/>
  <c r="Q121" i="4"/>
  <c r="R121" i="4"/>
  <c r="S121" i="4"/>
  <c r="T121" i="4"/>
  <c r="V121" i="4"/>
  <c r="W121" i="4"/>
  <c r="Y121" i="4"/>
  <c r="Z121" i="4"/>
  <c r="AA121" i="4"/>
  <c r="AC121" i="4"/>
  <c r="AD121" i="4"/>
  <c r="AE121" i="4"/>
  <c r="AF121" i="4"/>
  <c r="AG121" i="4"/>
  <c r="AH121" i="4"/>
  <c r="AI121" i="4"/>
  <c r="AJ121" i="4"/>
  <c r="BS121" i="4"/>
  <c r="BT121" i="4"/>
  <c r="BU121" i="4"/>
  <c r="C52" i="32"/>
  <c r="E52" i="32"/>
  <c r="G52" i="32"/>
  <c r="I52" i="32"/>
  <c r="B52" i="32"/>
  <c r="K52" i="32" s="1"/>
  <c r="L52" i="32"/>
  <c r="N52" i="32"/>
  <c r="P52" i="32"/>
  <c r="E60" i="6"/>
  <c r="B79" i="32"/>
  <c r="K79" i="32" s="1"/>
  <c r="BN292" i="5"/>
  <c r="BH292" i="5"/>
  <c r="BH318" i="5"/>
  <c r="BJ292" i="5"/>
  <c r="BJ318" i="5"/>
  <c r="BK292" i="5"/>
  <c r="BK318" i="5"/>
  <c r="B84" i="32"/>
  <c r="K84" i="32" s="1"/>
  <c r="CQ171" i="4"/>
  <c r="CQ73" i="4" s="1"/>
  <c r="C80" i="32"/>
  <c r="E80" i="32"/>
  <c r="G80" i="32"/>
  <c r="I80" i="32"/>
  <c r="B80" i="32"/>
  <c r="K80" i="32" s="1"/>
  <c r="L80" i="32"/>
  <c r="N80" i="32"/>
  <c r="P80" i="32"/>
  <c r="EF292" i="5"/>
  <c r="EF314" i="5"/>
  <c r="EF318" i="5"/>
  <c r="BD292" i="5"/>
  <c r="BD318" i="5"/>
  <c r="C83" i="32"/>
  <c r="E83" i="32"/>
  <c r="G83" i="32"/>
  <c r="I83" i="32"/>
  <c r="B83" i="32"/>
  <c r="K83" i="32" s="1"/>
  <c r="N83" i="32"/>
  <c r="P83" i="32"/>
  <c r="C22" i="32"/>
  <c r="E22" i="32"/>
  <c r="G22" i="32"/>
  <c r="I22" i="32"/>
  <c r="B22" i="32"/>
  <c r="K22" i="32" s="1"/>
  <c r="L22" i="32"/>
  <c r="N22" i="32"/>
  <c r="P22" i="32"/>
  <c r="F77" i="9"/>
  <c r="BN141" i="5"/>
  <c r="J77" i="9" s="1"/>
  <c r="N77" i="9"/>
  <c r="H126" i="4"/>
  <c r="H141" i="5" s="1"/>
  <c r="D55" i="20"/>
  <c r="H55" i="20"/>
  <c r="J55" i="20"/>
  <c r="D53" i="21"/>
  <c r="F53" i="21"/>
  <c r="H53" i="21"/>
  <c r="C58" i="32"/>
  <c r="G58" i="32"/>
  <c r="G25" i="34" s="1"/>
  <c r="I58" i="32"/>
  <c r="I25" i="34" s="1"/>
  <c r="B58" i="32"/>
  <c r="K58" i="32" s="1"/>
  <c r="L58" i="32"/>
  <c r="N25" i="34" s="1"/>
  <c r="N58" i="32"/>
  <c r="P25" i="34" s="1"/>
  <c r="P58" i="32"/>
  <c r="R25" i="34" s="1"/>
  <c r="C20" i="32"/>
  <c r="E20" i="32"/>
  <c r="G20" i="32"/>
  <c r="I20" i="32"/>
  <c r="B20" i="32"/>
  <c r="K20" i="32" s="1"/>
  <c r="L20" i="32"/>
  <c r="N20" i="32"/>
  <c r="P20" i="32"/>
  <c r="I32" i="32"/>
  <c r="B32" i="32"/>
  <c r="K32" i="32" s="1"/>
  <c r="I36" i="32"/>
  <c r="B36" i="32"/>
  <c r="K36" i="32" s="1"/>
  <c r="C56" i="32"/>
  <c r="E56" i="32"/>
  <c r="G56" i="32"/>
  <c r="I56" i="32"/>
  <c r="B56" i="32"/>
  <c r="K56" i="32" s="1"/>
  <c r="L56" i="32"/>
  <c r="N56" i="32"/>
  <c r="P56" i="32"/>
  <c r="D47" i="52"/>
  <c r="G47" i="52" s="1"/>
  <c r="CC121" i="4"/>
  <c r="Q17" i="15"/>
  <c r="H154" i="15"/>
  <c r="H49" i="15" s="1"/>
  <c r="T32" i="34"/>
  <c r="N35" i="15" s="1"/>
  <c r="O34" i="31"/>
  <c r="J35" i="15" s="1"/>
  <c r="L35" i="15" s="1"/>
  <c r="Q16" i="15"/>
  <c r="CD121" i="4"/>
  <c r="CE121" i="4"/>
  <c r="CF121" i="4"/>
  <c r="CH121" i="4"/>
  <c r="Q58" i="15"/>
  <c r="R50" i="15"/>
  <c r="R49" i="15"/>
  <c r="R48" i="15"/>
  <c r="R20" i="15"/>
  <c r="CC117" i="4"/>
  <c r="CC132" i="5" s="1"/>
  <c r="C88" i="34"/>
  <c r="T142" i="34"/>
  <c r="T143" i="34"/>
  <c r="CG121" i="4"/>
  <c r="D55" i="26"/>
  <c r="H55" i="26"/>
  <c r="N55" i="26"/>
  <c r="R55" i="26"/>
  <c r="X55" i="26"/>
  <c r="AB55" i="26"/>
  <c r="AH55" i="26"/>
  <c r="AR55" i="26"/>
  <c r="BB55" i="26"/>
  <c r="BJ55" i="26"/>
  <c r="BP55" i="26"/>
  <c r="BT55" i="26"/>
  <c r="BZ55" i="26"/>
  <c r="CD55" i="26"/>
  <c r="CJ55" i="26"/>
  <c r="CN55" i="26"/>
  <c r="CT55" i="26"/>
  <c r="CX55" i="26"/>
  <c r="DD55" i="26"/>
  <c r="DN55" i="26"/>
  <c r="DR55" i="26"/>
  <c r="DX55" i="26"/>
  <c r="EB55" i="26"/>
  <c r="EH55" i="26"/>
  <c r="EL55" i="26"/>
  <c r="ER55" i="26"/>
  <c r="EV55" i="26"/>
  <c r="GJ55" i="26"/>
  <c r="GO55" i="26"/>
  <c r="HO55" i="26"/>
  <c r="D56" i="26"/>
  <c r="H56" i="26"/>
  <c r="N56" i="26"/>
  <c r="R56" i="26"/>
  <c r="X56" i="26"/>
  <c r="AB56" i="26"/>
  <c r="AH56" i="26"/>
  <c r="AR56" i="26"/>
  <c r="BB56" i="26"/>
  <c r="BJ56" i="26"/>
  <c r="BP56" i="26"/>
  <c r="BT56" i="26"/>
  <c r="BZ56" i="26"/>
  <c r="CD56" i="26"/>
  <c r="CJ56" i="26"/>
  <c r="CN56" i="26"/>
  <c r="CT56" i="26"/>
  <c r="CX56" i="26"/>
  <c r="DD56" i="26"/>
  <c r="DN56" i="26"/>
  <c r="DR56" i="26"/>
  <c r="DX56" i="26"/>
  <c r="EB56" i="26"/>
  <c r="EH56" i="26"/>
  <c r="EL56" i="26"/>
  <c r="ER56" i="26"/>
  <c r="EV56" i="26"/>
  <c r="GJ56" i="26"/>
  <c r="GO56" i="26"/>
  <c r="HO56" i="26"/>
  <c r="O56" i="26"/>
  <c r="S56" i="26"/>
  <c r="H48" i="4" s="1"/>
  <c r="Y56" i="26"/>
  <c r="I48" i="4" s="1"/>
  <c r="AI56" i="26"/>
  <c r="K48" i="4" s="1"/>
  <c r="AS56" i="26"/>
  <c r="M48" i="4" s="1"/>
  <c r="BC56" i="26"/>
  <c r="O48" i="4" s="1"/>
  <c r="BK56" i="26"/>
  <c r="Q48" i="4" s="1"/>
  <c r="BU56" i="26"/>
  <c r="S48" i="4" s="1"/>
  <c r="CA56" i="26"/>
  <c r="CK56" i="26"/>
  <c r="V48" i="4" s="1"/>
  <c r="CO56" i="26"/>
  <c r="W48" i="4" s="1"/>
  <c r="CY56" i="26"/>
  <c r="DS56" i="26"/>
  <c r="EC56" i="26"/>
  <c r="AF48" i="4" s="1"/>
  <c r="EI56" i="26"/>
  <c r="EM56" i="26"/>
  <c r="D57" i="26"/>
  <c r="H57" i="26"/>
  <c r="N57" i="26"/>
  <c r="R57" i="26"/>
  <c r="X57" i="26"/>
  <c r="AB57" i="26"/>
  <c r="AH57" i="26"/>
  <c r="AR57" i="26"/>
  <c r="BB57" i="26"/>
  <c r="BJ57" i="26"/>
  <c r="BP57" i="26"/>
  <c r="BT57" i="26"/>
  <c r="BZ57" i="26"/>
  <c r="CD57" i="26"/>
  <c r="CJ57" i="26"/>
  <c r="CN57" i="26"/>
  <c r="CT57" i="26"/>
  <c r="CX57" i="26"/>
  <c r="DD57" i="26"/>
  <c r="DN57" i="26"/>
  <c r="DR57" i="26"/>
  <c r="DX57" i="26"/>
  <c r="EB57" i="26"/>
  <c r="EH57" i="26"/>
  <c r="EL57" i="26"/>
  <c r="ER57" i="26"/>
  <c r="EV57" i="26"/>
  <c r="GJ57" i="26"/>
  <c r="GO57" i="26"/>
  <c r="HO57" i="26"/>
  <c r="O57" i="26"/>
  <c r="G49" i="4" s="1"/>
  <c r="S57" i="26"/>
  <c r="H49" i="4" s="1"/>
  <c r="Y57" i="26"/>
  <c r="AI57" i="26"/>
  <c r="K49" i="4" s="1"/>
  <c r="AS57" i="26"/>
  <c r="BC57" i="26"/>
  <c r="O49" i="4" s="1"/>
  <c r="BK57" i="26"/>
  <c r="BU57" i="26"/>
  <c r="S49" i="4" s="1"/>
  <c r="CA57" i="26"/>
  <c r="T49" i="4" s="1"/>
  <c r="CK57" i="26"/>
  <c r="V49" i="4" s="1"/>
  <c r="CO57" i="26"/>
  <c r="CY57" i="26"/>
  <c r="Z49" i="4" s="1"/>
  <c r="DE57" i="26"/>
  <c r="AA49" i="4" s="1"/>
  <c r="DS57" i="26"/>
  <c r="AD49" i="4" s="1"/>
  <c r="AD54" i="5" s="1"/>
  <c r="BA46" i="22" s="1"/>
  <c r="EC57" i="26"/>
  <c r="AF49" i="4" s="1"/>
  <c r="EI57" i="26"/>
  <c r="AG49" i="4" s="1"/>
  <c r="EM57" i="26"/>
  <c r="AH49" i="4" s="1"/>
  <c r="D54" i="26"/>
  <c r="H54" i="26"/>
  <c r="N54" i="26"/>
  <c r="R54" i="26"/>
  <c r="X54" i="26"/>
  <c r="AB54" i="26"/>
  <c r="AH54" i="26"/>
  <c r="AR54" i="26"/>
  <c r="BB54" i="26"/>
  <c r="BJ54" i="26"/>
  <c r="BP54" i="26"/>
  <c r="BT54" i="26"/>
  <c r="BZ54" i="26"/>
  <c r="CD54" i="26"/>
  <c r="CJ54" i="26"/>
  <c r="CN54" i="26"/>
  <c r="CT54" i="26"/>
  <c r="CX54" i="26"/>
  <c r="DD54" i="26"/>
  <c r="DN54" i="26"/>
  <c r="DR54" i="26"/>
  <c r="DX54" i="26"/>
  <c r="EB54" i="26"/>
  <c r="EH54" i="26"/>
  <c r="EL54" i="26"/>
  <c r="ER54" i="26"/>
  <c r="EV54" i="26"/>
  <c r="GJ54" i="26"/>
  <c r="GO54" i="26"/>
  <c r="HO54" i="26"/>
  <c r="D47" i="26"/>
  <c r="H47" i="26"/>
  <c r="N47" i="26"/>
  <c r="R47" i="26"/>
  <c r="X47" i="26"/>
  <c r="AB47" i="26"/>
  <c r="AH47" i="26"/>
  <c r="AR47" i="26"/>
  <c r="BB47" i="26"/>
  <c r="BJ47" i="26"/>
  <c r="BP47" i="26"/>
  <c r="BT47" i="26"/>
  <c r="BZ47" i="26"/>
  <c r="CD47" i="26"/>
  <c r="CJ47" i="26"/>
  <c r="CN47" i="26"/>
  <c r="CT47" i="26"/>
  <c r="CX47" i="26"/>
  <c r="DD47" i="26"/>
  <c r="DN47" i="26"/>
  <c r="DR47" i="26"/>
  <c r="DX47" i="26"/>
  <c r="EB47" i="26"/>
  <c r="EH47" i="26"/>
  <c r="EL47" i="26"/>
  <c r="ER47" i="26"/>
  <c r="EV47" i="26"/>
  <c r="GJ47" i="26"/>
  <c r="GO47" i="26"/>
  <c r="Y46" i="26"/>
  <c r="I28" i="4" s="1"/>
  <c r="I28" i="5" s="1"/>
  <c r="D46" i="26"/>
  <c r="H46" i="26"/>
  <c r="N46" i="26"/>
  <c r="R46" i="26"/>
  <c r="X46" i="26"/>
  <c r="AB46" i="26"/>
  <c r="AH46" i="26"/>
  <c r="AR46" i="26"/>
  <c r="BB46" i="26"/>
  <c r="BJ46" i="26"/>
  <c r="BP46" i="26"/>
  <c r="BT46" i="26"/>
  <c r="BZ46" i="26"/>
  <c r="CD46" i="26"/>
  <c r="CJ46" i="26"/>
  <c r="CN46" i="26"/>
  <c r="CT46" i="26"/>
  <c r="CX46" i="26"/>
  <c r="DD46" i="26"/>
  <c r="DN46" i="26"/>
  <c r="DR46" i="26"/>
  <c r="DX46" i="26"/>
  <c r="EB46" i="26"/>
  <c r="EH46" i="26"/>
  <c r="EL46" i="26"/>
  <c r="ER46" i="26"/>
  <c r="EV46" i="26"/>
  <c r="GJ46" i="26"/>
  <c r="GO46" i="26"/>
  <c r="I45" i="26"/>
  <c r="O45" i="26"/>
  <c r="S45" i="26"/>
  <c r="Y45" i="26"/>
  <c r="AC45" i="26"/>
  <c r="AI45" i="26"/>
  <c r="AS45" i="26"/>
  <c r="BQ45" i="26"/>
  <c r="BU45" i="26"/>
  <c r="CA45" i="26"/>
  <c r="CE45" i="26"/>
  <c r="CK45" i="26"/>
  <c r="CO45" i="26"/>
  <c r="CU45" i="26"/>
  <c r="CY45" i="26"/>
  <c r="DE45" i="26"/>
  <c r="DY45" i="26"/>
  <c r="EC45" i="26"/>
  <c r="EI45" i="26"/>
  <c r="EM45" i="26"/>
  <c r="ES45" i="26"/>
  <c r="EW45" i="26"/>
  <c r="GK45" i="26"/>
  <c r="GP45" i="26"/>
  <c r="D45" i="26"/>
  <c r="H45" i="26"/>
  <c r="N45" i="26"/>
  <c r="R45" i="26"/>
  <c r="X45" i="26"/>
  <c r="AB45" i="26"/>
  <c r="AH45" i="26"/>
  <c r="AR45" i="26"/>
  <c r="BB45" i="26"/>
  <c r="BD45" i="26" s="1"/>
  <c r="BJ45" i="26"/>
  <c r="BP45" i="26"/>
  <c r="BT45" i="26"/>
  <c r="BZ45" i="26"/>
  <c r="CD45" i="26"/>
  <c r="CJ45" i="26"/>
  <c r="CN45" i="26"/>
  <c r="CT45" i="26"/>
  <c r="CX45" i="26"/>
  <c r="DD45" i="26"/>
  <c r="DN45" i="26"/>
  <c r="DR45" i="26"/>
  <c r="DX45" i="26"/>
  <c r="EB45" i="26"/>
  <c r="EH45" i="26"/>
  <c r="EL45" i="26"/>
  <c r="ER45" i="26"/>
  <c r="EV45" i="26"/>
  <c r="GJ45" i="26"/>
  <c r="GO45" i="26"/>
  <c r="I44" i="26"/>
  <c r="O44" i="26"/>
  <c r="S44" i="26"/>
  <c r="Y44" i="26"/>
  <c r="AC44" i="26"/>
  <c r="AI44" i="26"/>
  <c r="AS44" i="26"/>
  <c r="BQ44" i="26"/>
  <c r="BU44" i="26"/>
  <c r="CA44" i="26"/>
  <c r="CE44" i="26"/>
  <c r="CK44" i="26"/>
  <c r="CO44" i="26"/>
  <c r="CU44" i="26"/>
  <c r="CY44" i="26"/>
  <c r="DE44" i="26"/>
  <c r="DY44" i="26"/>
  <c r="EC44" i="26"/>
  <c r="EI44" i="26"/>
  <c r="EM44" i="26"/>
  <c r="ES44" i="26"/>
  <c r="EW44" i="26"/>
  <c r="GK44" i="26"/>
  <c r="GP44" i="26"/>
  <c r="D44" i="26"/>
  <c r="H44" i="26"/>
  <c r="N44" i="26"/>
  <c r="R44" i="26"/>
  <c r="X44" i="26"/>
  <c r="AB44" i="26"/>
  <c r="AH44" i="26"/>
  <c r="AR44" i="26"/>
  <c r="BB44" i="26"/>
  <c r="BJ44" i="26"/>
  <c r="BP44" i="26"/>
  <c r="BT44" i="26"/>
  <c r="BZ44" i="26"/>
  <c r="CD44" i="26"/>
  <c r="CJ44" i="26"/>
  <c r="CN44" i="26"/>
  <c r="CT44" i="26"/>
  <c r="CX44" i="26"/>
  <c r="DD44" i="26"/>
  <c r="DN44" i="26"/>
  <c r="DR44" i="26"/>
  <c r="DX44" i="26"/>
  <c r="EB44" i="26"/>
  <c r="EH44" i="26"/>
  <c r="EL44" i="26"/>
  <c r="ER44" i="26"/>
  <c r="EV44" i="26"/>
  <c r="GJ44" i="26"/>
  <c r="GO44" i="26"/>
  <c r="I42" i="26"/>
  <c r="O42" i="26"/>
  <c r="S42" i="26"/>
  <c r="Y42" i="26"/>
  <c r="AC42" i="26"/>
  <c r="AI42" i="26"/>
  <c r="AS42" i="26"/>
  <c r="BC42" i="26"/>
  <c r="BQ42" i="26"/>
  <c r="BU42" i="26"/>
  <c r="CA42" i="26"/>
  <c r="CE42" i="26"/>
  <c r="CU42" i="26"/>
  <c r="CY42" i="26"/>
  <c r="DE42" i="26"/>
  <c r="DO42" i="26"/>
  <c r="DS42" i="26"/>
  <c r="DY42" i="26"/>
  <c r="EC42" i="26"/>
  <c r="EI42" i="26"/>
  <c r="EM42" i="26"/>
  <c r="ES42" i="26"/>
  <c r="EW42" i="26"/>
  <c r="GK42" i="26"/>
  <c r="GP42" i="26"/>
  <c r="D42" i="26"/>
  <c r="H42" i="26"/>
  <c r="N42" i="26"/>
  <c r="R42" i="26"/>
  <c r="X42" i="26"/>
  <c r="AB42" i="26"/>
  <c r="AH42" i="26"/>
  <c r="AR42" i="26"/>
  <c r="BB42" i="26"/>
  <c r="BJ42" i="26"/>
  <c r="BP42" i="26"/>
  <c r="BT42" i="26"/>
  <c r="BZ42" i="26"/>
  <c r="CD42" i="26"/>
  <c r="CJ42" i="26"/>
  <c r="CN42" i="26"/>
  <c r="CT42" i="26"/>
  <c r="CX42" i="26"/>
  <c r="DD42" i="26"/>
  <c r="DN42" i="26"/>
  <c r="DR42" i="26"/>
  <c r="DX42" i="26"/>
  <c r="EB42" i="26"/>
  <c r="EH42" i="26"/>
  <c r="EL42" i="26"/>
  <c r="ER42" i="26"/>
  <c r="EV42" i="26"/>
  <c r="GJ42" i="26"/>
  <c r="GO42" i="26"/>
  <c r="I41" i="26"/>
  <c r="O41" i="26"/>
  <c r="S41" i="26"/>
  <c r="Y41" i="26"/>
  <c r="AC41" i="26"/>
  <c r="AI41" i="26"/>
  <c r="AS41" i="26"/>
  <c r="BC41" i="26"/>
  <c r="BQ41" i="26"/>
  <c r="BU41" i="26"/>
  <c r="CA41" i="26"/>
  <c r="CE41" i="26"/>
  <c r="CU41" i="26"/>
  <c r="CY41" i="26"/>
  <c r="DE41" i="26"/>
  <c r="DO41" i="26"/>
  <c r="DS41" i="26"/>
  <c r="DY41" i="26"/>
  <c r="EC41" i="26"/>
  <c r="EI41" i="26"/>
  <c r="EM41" i="26"/>
  <c r="ES41" i="26"/>
  <c r="EW41" i="26"/>
  <c r="GK41" i="26"/>
  <c r="GP41" i="26"/>
  <c r="D41" i="26"/>
  <c r="H41" i="26"/>
  <c r="N41" i="26"/>
  <c r="R41" i="26"/>
  <c r="X41" i="26"/>
  <c r="AB41" i="26"/>
  <c r="AH41" i="26"/>
  <c r="AR41" i="26"/>
  <c r="BB41" i="26"/>
  <c r="BJ41" i="26"/>
  <c r="BP41" i="26"/>
  <c r="BT41" i="26"/>
  <c r="BZ41" i="26"/>
  <c r="CD41" i="26"/>
  <c r="CJ41" i="26"/>
  <c r="CN41" i="26"/>
  <c r="CT41" i="26"/>
  <c r="CX41" i="26"/>
  <c r="DD41" i="26"/>
  <c r="DN41" i="26"/>
  <c r="DR41" i="26"/>
  <c r="DX41" i="26"/>
  <c r="EB41" i="26"/>
  <c r="EH41" i="26"/>
  <c r="EL41" i="26"/>
  <c r="ER41" i="26"/>
  <c r="EV41" i="26"/>
  <c r="GJ41" i="26"/>
  <c r="GO41" i="26"/>
  <c r="AC39" i="26"/>
  <c r="AS39" i="26"/>
  <c r="BC39" i="26"/>
  <c r="BQ39" i="26"/>
  <c r="BU39" i="26"/>
  <c r="CA39" i="26"/>
  <c r="CK39" i="26"/>
  <c r="CO39" i="26"/>
  <c r="CU39" i="26"/>
  <c r="CY39" i="26"/>
  <c r="DE39" i="26"/>
  <c r="DO39" i="26"/>
  <c r="DS39" i="26"/>
  <c r="EC39" i="26"/>
  <c r="EI39" i="26"/>
  <c r="EM39" i="26"/>
  <c r="ES39" i="26"/>
  <c r="EW39" i="26"/>
  <c r="GP39" i="26"/>
  <c r="D39" i="26"/>
  <c r="H39" i="26"/>
  <c r="N39" i="26"/>
  <c r="R39" i="26"/>
  <c r="X39" i="26"/>
  <c r="AB39" i="26"/>
  <c r="AH39" i="26"/>
  <c r="AR39" i="26"/>
  <c r="BB39" i="26"/>
  <c r="BJ39" i="26"/>
  <c r="BP39" i="26"/>
  <c r="BT39" i="26"/>
  <c r="BZ39" i="26"/>
  <c r="CD39" i="26"/>
  <c r="CJ39" i="26"/>
  <c r="CN39" i="26"/>
  <c r="CT39" i="26"/>
  <c r="CX39" i="26"/>
  <c r="DD39" i="26"/>
  <c r="DN39" i="26"/>
  <c r="DR39" i="26"/>
  <c r="DX39" i="26"/>
  <c r="EB39" i="26"/>
  <c r="EH39" i="26"/>
  <c r="EL39" i="26"/>
  <c r="ER39" i="26"/>
  <c r="EV39" i="26"/>
  <c r="GJ39" i="26"/>
  <c r="GO39" i="26"/>
  <c r="AC38" i="26"/>
  <c r="AS38" i="26"/>
  <c r="BC38" i="26"/>
  <c r="BQ38" i="26"/>
  <c r="BU38" i="26"/>
  <c r="CA38" i="26"/>
  <c r="CK38" i="26"/>
  <c r="CO38" i="26"/>
  <c r="CU38" i="26"/>
  <c r="CY38" i="26"/>
  <c r="DE38" i="26"/>
  <c r="DO38" i="26"/>
  <c r="DS38" i="26"/>
  <c r="EC38" i="26"/>
  <c r="EI38" i="26"/>
  <c r="EM38" i="26"/>
  <c r="ES38" i="26"/>
  <c r="EW38" i="26"/>
  <c r="GP38" i="26"/>
  <c r="D38" i="26"/>
  <c r="H38" i="26"/>
  <c r="N38" i="26"/>
  <c r="R38" i="26"/>
  <c r="X38" i="26"/>
  <c r="AB38" i="26"/>
  <c r="AH38" i="26"/>
  <c r="AR38" i="26"/>
  <c r="BB38" i="26"/>
  <c r="BJ38" i="26"/>
  <c r="BP38" i="26"/>
  <c r="BT38" i="26"/>
  <c r="BZ38" i="26"/>
  <c r="CD38" i="26"/>
  <c r="CJ38" i="26"/>
  <c r="CN38" i="26"/>
  <c r="CT38" i="26"/>
  <c r="CX38" i="26"/>
  <c r="DD38" i="26"/>
  <c r="DN38" i="26"/>
  <c r="DR38" i="26"/>
  <c r="DX38" i="26"/>
  <c r="EB38" i="26"/>
  <c r="EH38" i="26"/>
  <c r="EL38" i="26"/>
  <c r="ER38" i="26"/>
  <c r="EV38" i="26"/>
  <c r="GJ38" i="26"/>
  <c r="GO38" i="26"/>
  <c r="E36" i="26"/>
  <c r="I36" i="26"/>
  <c r="O36" i="26"/>
  <c r="S36" i="26"/>
  <c r="Y36" i="26"/>
  <c r="AI36" i="26"/>
  <c r="AS36" i="26"/>
  <c r="BC36" i="26"/>
  <c r="BK36" i="26"/>
  <c r="BU36" i="26"/>
  <c r="CA36" i="26"/>
  <c r="CE36" i="26"/>
  <c r="CK36" i="26"/>
  <c r="CO36" i="26"/>
  <c r="CU36" i="26"/>
  <c r="CY36" i="26"/>
  <c r="DE36" i="26"/>
  <c r="DO36" i="26"/>
  <c r="DS36" i="26"/>
  <c r="EC36" i="26"/>
  <c r="EI36" i="26"/>
  <c r="EM36" i="26"/>
  <c r="GK36" i="26"/>
  <c r="D36" i="26"/>
  <c r="H36" i="26"/>
  <c r="N36" i="26"/>
  <c r="R36" i="26"/>
  <c r="X36" i="26"/>
  <c r="AB36" i="26"/>
  <c r="AH36" i="26"/>
  <c r="AR36" i="26"/>
  <c r="BB36" i="26"/>
  <c r="BJ36" i="26"/>
  <c r="BP36" i="26"/>
  <c r="BT36" i="26"/>
  <c r="BZ36" i="26"/>
  <c r="CD36" i="26"/>
  <c r="CJ36" i="26"/>
  <c r="CN36" i="26"/>
  <c r="CT36" i="26"/>
  <c r="CX36" i="26"/>
  <c r="DD36" i="26"/>
  <c r="DN36" i="26"/>
  <c r="DR36" i="26"/>
  <c r="DX36" i="26"/>
  <c r="EB36" i="26"/>
  <c r="EH36" i="26"/>
  <c r="EL36" i="26"/>
  <c r="ER36" i="26"/>
  <c r="EV36" i="26"/>
  <c r="GJ36" i="26"/>
  <c r="GO36" i="26"/>
  <c r="HA36" i="26"/>
  <c r="E35" i="26"/>
  <c r="I35" i="26"/>
  <c r="O35" i="26"/>
  <c r="S35" i="26"/>
  <c r="Y35" i="26"/>
  <c r="AI35" i="26"/>
  <c r="AS35" i="26"/>
  <c r="BC35" i="26"/>
  <c r="BK35" i="26"/>
  <c r="BU35" i="26"/>
  <c r="CA35" i="26"/>
  <c r="CE35" i="26"/>
  <c r="CK35" i="26"/>
  <c r="CO35" i="26"/>
  <c r="CU35" i="26"/>
  <c r="CY35" i="26"/>
  <c r="DE35" i="26"/>
  <c r="DO35" i="26"/>
  <c r="DS35" i="26"/>
  <c r="EC35" i="26"/>
  <c r="EI35" i="26"/>
  <c r="EM35" i="26"/>
  <c r="GK35" i="26"/>
  <c r="D35" i="26"/>
  <c r="H35" i="26"/>
  <c r="N35" i="26"/>
  <c r="R35" i="26"/>
  <c r="X35" i="26"/>
  <c r="AB35" i="26"/>
  <c r="AH35" i="26"/>
  <c r="AR35" i="26"/>
  <c r="BB35" i="26"/>
  <c r="BJ35" i="26"/>
  <c r="BP35" i="26"/>
  <c r="BT35" i="26"/>
  <c r="BZ35" i="26"/>
  <c r="CD35" i="26"/>
  <c r="CJ35" i="26"/>
  <c r="CN35" i="26"/>
  <c r="CT35" i="26"/>
  <c r="CX35" i="26"/>
  <c r="DD35" i="26"/>
  <c r="DN35" i="26"/>
  <c r="DR35" i="26"/>
  <c r="DX35" i="26"/>
  <c r="EB35" i="26"/>
  <c r="EH35" i="26"/>
  <c r="EL35" i="26"/>
  <c r="ER35" i="26"/>
  <c r="EV35" i="26"/>
  <c r="GJ35" i="26"/>
  <c r="GO35" i="26"/>
  <c r="HG35" i="26"/>
  <c r="E33" i="26"/>
  <c r="I33" i="26"/>
  <c r="O33" i="26"/>
  <c r="S33" i="26"/>
  <c r="AC33" i="26"/>
  <c r="AI33" i="26"/>
  <c r="BC33" i="26"/>
  <c r="BK33" i="26"/>
  <c r="BQ33" i="26"/>
  <c r="BU33" i="26"/>
  <c r="CE33" i="26"/>
  <c r="CK33" i="26"/>
  <c r="CO33" i="26"/>
  <c r="DE33" i="26"/>
  <c r="DO33" i="26"/>
  <c r="DS33" i="26"/>
  <c r="EC33" i="26"/>
  <c r="EI33" i="26"/>
  <c r="EM33" i="26"/>
  <c r="ES33" i="26"/>
  <c r="EW33" i="26"/>
  <c r="GK33" i="26"/>
  <c r="GP33" i="26"/>
  <c r="D33" i="26"/>
  <c r="H33" i="26"/>
  <c r="N33" i="26"/>
  <c r="R33" i="26"/>
  <c r="X33" i="26"/>
  <c r="AB33" i="26"/>
  <c r="AH33" i="26"/>
  <c r="AR33" i="26"/>
  <c r="BB33" i="26"/>
  <c r="BJ33" i="26"/>
  <c r="BP33" i="26"/>
  <c r="BT33" i="26"/>
  <c r="BZ33" i="26"/>
  <c r="CD33" i="26"/>
  <c r="CJ33" i="26"/>
  <c r="CN33" i="26"/>
  <c r="CT33" i="26"/>
  <c r="CX33" i="26"/>
  <c r="DD33" i="26"/>
  <c r="DN33" i="26"/>
  <c r="DR33" i="26"/>
  <c r="DX33" i="26"/>
  <c r="EB33" i="26"/>
  <c r="EH33" i="26"/>
  <c r="EL33" i="26"/>
  <c r="ER33" i="26"/>
  <c r="EV33" i="26"/>
  <c r="GJ33" i="26"/>
  <c r="GO33" i="26"/>
  <c r="HA33" i="26"/>
  <c r="E32" i="26"/>
  <c r="I32" i="26"/>
  <c r="O32" i="26"/>
  <c r="S32" i="26"/>
  <c r="AC32" i="26"/>
  <c r="AI32" i="26"/>
  <c r="BC32" i="26"/>
  <c r="BK32" i="26"/>
  <c r="BQ32" i="26"/>
  <c r="BU32" i="26"/>
  <c r="CE32" i="26"/>
  <c r="CK32" i="26"/>
  <c r="CO32" i="26"/>
  <c r="DE32" i="26"/>
  <c r="DO32" i="26"/>
  <c r="DS32" i="26"/>
  <c r="EC32" i="26"/>
  <c r="EI32" i="26"/>
  <c r="EM32" i="26"/>
  <c r="ES32" i="26"/>
  <c r="EW32" i="26"/>
  <c r="GK32" i="26"/>
  <c r="GP32" i="26"/>
  <c r="D32" i="26"/>
  <c r="H32" i="26"/>
  <c r="N32" i="26"/>
  <c r="R32" i="26"/>
  <c r="X32" i="26"/>
  <c r="AB32" i="26"/>
  <c r="AH32" i="26"/>
  <c r="AR32" i="26"/>
  <c r="BB32" i="26"/>
  <c r="BJ32" i="26"/>
  <c r="BP32" i="26"/>
  <c r="BT32" i="26"/>
  <c r="BZ32" i="26"/>
  <c r="CD32" i="26"/>
  <c r="CJ32" i="26"/>
  <c r="CN32" i="26"/>
  <c r="CT32" i="26"/>
  <c r="CX32" i="26"/>
  <c r="DD32" i="26"/>
  <c r="DN32" i="26"/>
  <c r="DR32" i="26"/>
  <c r="DX32" i="26"/>
  <c r="EB32" i="26"/>
  <c r="EH32" i="26"/>
  <c r="EL32" i="26"/>
  <c r="ER32" i="26"/>
  <c r="EV32" i="26"/>
  <c r="GJ32" i="26"/>
  <c r="GO32" i="26"/>
  <c r="E30" i="26"/>
  <c r="I30" i="26"/>
  <c r="O30" i="26"/>
  <c r="S30" i="26"/>
  <c r="Y30" i="26"/>
  <c r="AC30" i="26"/>
  <c r="AI30" i="26"/>
  <c r="BC30" i="26"/>
  <c r="BQ30" i="26"/>
  <c r="CA30" i="26"/>
  <c r="CE30" i="26"/>
  <c r="CK30" i="26"/>
  <c r="CO30" i="26"/>
  <c r="CU30" i="26"/>
  <c r="CY30" i="26"/>
  <c r="DO30" i="26"/>
  <c r="DS30" i="26"/>
  <c r="ES30" i="26"/>
  <c r="EW30" i="26"/>
  <c r="GK30" i="26"/>
  <c r="GP30" i="26"/>
  <c r="D30" i="26"/>
  <c r="H30" i="26"/>
  <c r="N30" i="26"/>
  <c r="R30" i="26"/>
  <c r="X30" i="26"/>
  <c r="AB30" i="26"/>
  <c r="AH30" i="26"/>
  <c r="AR30" i="26"/>
  <c r="BB30" i="26"/>
  <c r="BJ30" i="26"/>
  <c r="BP30" i="26"/>
  <c r="BT30" i="26"/>
  <c r="BZ30" i="26"/>
  <c r="CB30" i="26" s="1"/>
  <c r="CD30" i="26"/>
  <c r="CJ30" i="26"/>
  <c r="CN30" i="26"/>
  <c r="CT30" i="26"/>
  <c r="CV30" i="26" s="1"/>
  <c r="CX30" i="26"/>
  <c r="DD30" i="26"/>
  <c r="DN30" i="26"/>
  <c r="DR30" i="26"/>
  <c r="DX30" i="26"/>
  <c r="EB30" i="26"/>
  <c r="EH30" i="26"/>
  <c r="EL30" i="26"/>
  <c r="ER30" i="26"/>
  <c r="EV30" i="26"/>
  <c r="GJ30" i="26"/>
  <c r="GO30" i="26"/>
  <c r="E29" i="26"/>
  <c r="I29" i="26"/>
  <c r="O29" i="26"/>
  <c r="S29" i="26"/>
  <c r="Y29" i="26"/>
  <c r="AC29" i="26"/>
  <c r="AI29" i="26"/>
  <c r="BC29" i="26"/>
  <c r="BQ29" i="26"/>
  <c r="CA29" i="26"/>
  <c r="CE29" i="26"/>
  <c r="CK29" i="26"/>
  <c r="CO29" i="26"/>
  <c r="CU29" i="26"/>
  <c r="CY29" i="26"/>
  <c r="DO29" i="26"/>
  <c r="DS29" i="26"/>
  <c r="ES29" i="26"/>
  <c r="EW29" i="26"/>
  <c r="GK29" i="26"/>
  <c r="GP29" i="26"/>
  <c r="D29" i="26"/>
  <c r="H29" i="26"/>
  <c r="N29" i="26"/>
  <c r="R29" i="26"/>
  <c r="X29" i="26"/>
  <c r="AB29" i="26"/>
  <c r="AH29" i="26"/>
  <c r="AR29" i="26"/>
  <c r="BB29" i="26"/>
  <c r="BJ29" i="26"/>
  <c r="BP29" i="26"/>
  <c r="BT29" i="26"/>
  <c r="BZ29" i="26"/>
  <c r="CD29" i="26"/>
  <c r="CJ29" i="26"/>
  <c r="CN29" i="26"/>
  <c r="CT29" i="26"/>
  <c r="CX29" i="26"/>
  <c r="DD29" i="26"/>
  <c r="DN29" i="26"/>
  <c r="DR29" i="26"/>
  <c r="DX29" i="26"/>
  <c r="EB29" i="26"/>
  <c r="EH29" i="26"/>
  <c r="EL29" i="26"/>
  <c r="ER29" i="26"/>
  <c r="EV29" i="26"/>
  <c r="GJ29" i="26"/>
  <c r="GO29" i="26"/>
  <c r="D17" i="26"/>
  <c r="H17" i="26"/>
  <c r="N17" i="26"/>
  <c r="R17" i="26"/>
  <c r="X17" i="26"/>
  <c r="AB17" i="26"/>
  <c r="AH17" i="26"/>
  <c r="AR17" i="26"/>
  <c r="BB17" i="26"/>
  <c r="BJ17" i="26"/>
  <c r="BP17" i="26"/>
  <c r="BT17" i="26"/>
  <c r="BZ17" i="26"/>
  <c r="CD17" i="26"/>
  <c r="CJ17" i="26"/>
  <c r="CN17" i="26"/>
  <c r="CT17" i="26"/>
  <c r="CX17" i="26"/>
  <c r="DD17" i="26"/>
  <c r="DN17" i="26"/>
  <c r="DR17" i="26"/>
  <c r="DX17" i="26"/>
  <c r="EB17" i="26"/>
  <c r="EH17" i="26"/>
  <c r="EL17" i="26"/>
  <c r="ER17" i="26"/>
  <c r="EV17" i="26"/>
  <c r="GJ17" i="26"/>
  <c r="GO17" i="26"/>
  <c r="D19" i="26"/>
  <c r="H19" i="26"/>
  <c r="N19" i="26"/>
  <c r="R19" i="26"/>
  <c r="X19" i="26"/>
  <c r="AB19" i="26"/>
  <c r="AH19" i="26"/>
  <c r="AR19" i="26"/>
  <c r="BB19" i="26"/>
  <c r="BJ19" i="26"/>
  <c r="BP19" i="26"/>
  <c r="BT19" i="26"/>
  <c r="BZ19" i="26"/>
  <c r="CD19" i="26"/>
  <c r="CJ19" i="26"/>
  <c r="CN19" i="26"/>
  <c r="CT19" i="26"/>
  <c r="CX19" i="26"/>
  <c r="DD19" i="26"/>
  <c r="DN19" i="26"/>
  <c r="DR19" i="26"/>
  <c r="DX19" i="26"/>
  <c r="EB19" i="26"/>
  <c r="EH19" i="26"/>
  <c r="EL19" i="26"/>
  <c r="ER19" i="26"/>
  <c r="EV19" i="26"/>
  <c r="GJ19" i="26"/>
  <c r="GO19" i="26"/>
  <c r="D20" i="26"/>
  <c r="H20" i="26"/>
  <c r="N20" i="26"/>
  <c r="R20" i="26"/>
  <c r="X20" i="26"/>
  <c r="AB20" i="26"/>
  <c r="AH20" i="26"/>
  <c r="AR20" i="26"/>
  <c r="BB20" i="26"/>
  <c r="BJ20" i="26"/>
  <c r="BP20" i="26"/>
  <c r="BT20" i="26"/>
  <c r="BZ20" i="26"/>
  <c r="CD20" i="26"/>
  <c r="CJ20" i="26"/>
  <c r="CN20" i="26"/>
  <c r="CT20" i="26"/>
  <c r="CX20" i="26"/>
  <c r="DD20" i="26"/>
  <c r="DN20" i="26"/>
  <c r="DR20" i="26"/>
  <c r="DX20" i="26"/>
  <c r="EB20" i="26"/>
  <c r="EH20" i="26"/>
  <c r="EL20" i="26"/>
  <c r="ER20" i="26"/>
  <c r="EV20" i="26"/>
  <c r="GJ20" i="26"/>
  <c r="GO20" i="26"/>
  <c r="D21" i="26"/>
  <c r="H21" i="26"/>
  <c r="N21" i="26"/>
  <c r="R21" i="26"/>
  <c r="X21" i="26"/>
  <c r="AB21" i="26"/>
  <c r="AH21" i="26"/>
  <c r="AR21" i="26"/>
  <c r="BB21" i="26"/>
  <c r="BJ21" i="26"/>
  <c r="BP21" i="26"/>
  <c r="BT21" i="26"/>
  <c r="BZ21" i="26"/>
  <c r="CD21" i="26"/>
  <c r="CJ21" i="26"/>
  <c r="CN21" i="26"/>
  <c r="CT21" i="26"/>
  <c r="CX21" i="26"/>
  <c r="DD21" i="26"/>
  <c r="DN21" i="26"/>
  <c r="DR21" i="26"/>
  <c r="DX21" i="26"/>
  <c r="EB21" i="26"/>
  <c r="EH21" i="26"/>
  <c r="EL21" i="26"/>
  <c r="ER21" i="26"/>
  <c r="EV21" i="26"/>
  <c r="GJ21" i="26"/>
  <c r="GO21" i="26"/>
  <c r="D22" i="26"/>
  <c r="H22" i="26"/>
  <c r="N22" i="26"/>
  <c r="R22" i="26"/>
  <c r="X22" i="26"/>
  <c r="AB22" i="26"/>
  <c r="AH22" i="26"/>
  <c r="AR22" i="26"/>
  <c r="BB22" i="26"/>
  <c r="BJ22" i="26"/>
  <c r="BP22" i="26"/>
  <c r="BT22" i="26"/>
  <c r="BZ22" i="26"/>
  <c r="CD22" i="26"/>
  <c r="CJ22" i="26"/>
  <c r="CN22" i="26"/>
  <c r="CT22" i="26"/>
  <c r="CX22" i="26"/>
  <c r="DD22" i="26"/>
  <c r="DN22" i="26"/>
  <c r="DR22" i="26"/>
  <c r="DX22" i="26"/>
  <c r="EB22" i="26"/>
  <c r="EH22" i="26"/>
  <c r="EL22" i="26"/>
  <c r="ER22" i="26"/>
  <c r="EV22" i="26"/>
  <c r="GJ22" i="26"/>
  <c r="GO22" i="26"/>
  <c r="D18" i="26"/>
  <c r="H18" i="26"/>
  <c r="N18" i="26"/>
  <c r="R18" i="26"/>
  <c r="X18" i="26"/>
  <c r="AB18" i="26"/>
  <c r="AH18" i="26"/>
  <c r="AR18" i="26"/>
  <c r="BB18" i="26"/>
  <c r="BJ18" i="26"/>
  <c r="BP18" i="26"/>
  <c r="BT18" i="26"/>
  <c r="BZ18" i="26"/>
  <c r="CD18" i="26"/>
  <c r="CJ18" i="26"/>
  <c r="CN18" i="26"/>
  <c r="CT18" i="26"/>
  <c r="CX18" i="26"/>
  <c r="DD18" i="26"/>
  <c r="DN18" i="26"/>
  <c r="DR18" i="26"/>
  <c r="DX18" i="26"/>
  <c r="DZ18" i="26" s="1"/>
  <c r="EB18" i="26"/>
  <c r="EH18" i="26"/>
  <c r="EL18" i="26"/>
  <c r="ER18" i="26"/>
  <c r="EV18" i="26"/>
  <c r="GJ18" i="26"/>
  <c r="GO18" i="26"/>
  <c r="H61" i="13"/>
  <c r="H97" i="15" s="1"/>
  <c r="H66" i="13"/>
  <c r="F66" i="13"/>
  <c r="JB55" i="26"/>
  <c r="P47" i="4" s="1"/>
  <c r="J57" i="5"/>
  <c r="X57" i="5"/>
  <c r="Y57" i="5"/>
  <c r="AE57" i="5"/>
  <c r="AI57" i="5"/>
  <c r="AJ57" i="5"/>
  <c r="AR57" i="5"/>
  <c r="AS57" i="5"/>
  <c r="AU57" i="5"/>
  <c r="AV57" i="5"/>
  <c r="AX57" i="5"/>
  <c r="AY57" i="5"/>
  <c r="AZ57" i="5"/>
  <c r="E36" i="12"/>
  <c r="X27" i="4" s="1"/>
  <c r="P22" i="4"/>
  <c r="X22" i="4"/>
  <c r="P23" i="4"/>
  <c r="E33" i="12"/>
  <c r="X24" i="4" s="1"/>
  <c r="P24" i="4"/>
  <c r="E34" i="12"/>
  <c r="X25" i="4" s="1"/>
  <c r="P25" i="4"/>
  <c r="E35" i="12"/>
  <c r="X26" i="4" s="1"/>
  <c r="P26" i="4"/>
  <c r="JB46" i="26"/>
  <c r="P28" i="4" s="1"/>
  <c r="BF30" i="4"/>
  <c r="BF31" i="4"/>
  <c r="BF32" i="4"/>
  <c r="BF33" i="4"/>
  <c r="BF34" i="4"/>
  <c r="BF35" i="4"/>
  <c r="BF36" i="4"/>
  <c r="BF37" i="4"/>
  <c r="BF38" i="4"/>
  <c r="JB56" i="26"/>
  <c r="P48" i="4" s="1"/>
  <c r="JB57" i="26"/>
  <c r="P49" i="4" s="1"/>
  <c r="BF55" i="4"/>
  <c r="BG55" i="4" s="1"/>
  <c r="BF63" i="4"/>
  <c r="BG63" i="4" s="1"/>
  <c r="BF64" i="4"/>
  <c r="BG64" i="4" s="1"/>
  <c r="BF69" i="4"/>
  <c r="BG69" i="4" s="1"/>
  <c r="BQ285" i="5"/>
  <c r="D30" i="66" s="1"/>
  <c r="BY285" i="5"/>
  <c r="E433" i="65" s="1"/>
  <c r="BY329" i="5"/>
  <c r="BZ329" i="5" s="1"/>
  <c r="BY317" i="5"/>
  <c r="BZ317" i="5" s="1"/>
  <c r="BY316" i="5"/>
  <c r="BZ316" i="5" s="1"/>
  <c r="BY313" i="5"/>
  <c r="BZ313" i="5" s="1"/>
  <c r="BY312" i="5"/>
  <c r="BZ312" i="5" s="1"/>
  <c r="BY311" i="5"/>
  <c r="BZ311" i="5" s="1"/>
  <c r="BY310" i="5"/>
  <c r="BZ310" i="5" s="1"/>
  <c r="BY309" i="5"/>
  <c r="BZ309" i="5" s="1"/>
  <c r="BY308" i="5"/>
  <c r="BZ308" i="5" s="1"/>
  <c r="BY307" i="5"/>
  <c r="BZ307" i="5" s="1"/>
  <c r="BY306" i="5"/>
  <c r="BZ306" i="5" s="1"/>
  <c r="BY305" i="5"/>
  <c r="BZ305" i="5" s="1"/>
  <c r="BY304" i="5"/>
  <c r="BZ304" i="5" s="1"/>
  <c r="BY303" i="5"/>
  <c r="BZ303" i="5" s="1"/>
  <c r="BY302" i="5"/>
  <c r="BZ302" i="5" s="1"/>
  <c r="BY301" i="5"/>
  <c r="BZ301" i="5" s="1"/>
  <c r="BY300" i="5"/>
  <c r="BZ300" i="5" s="1"/>
  <c r="BY299" i="5"/>
  <c r="BZ299" i="5" s="1"/>
  <c r="BY298" i="5"/>
  <c r="BZ298" i="5" s="1"/>
  <c r="BY297" i="5"/>
  <c r="BZ297" i="5" s="1"/>
  <c r="BY296" i="5"/>
  <c r="BZ296" i="5" s="1"/>
  <c r="F32" i="66"/>
  <c r="BY290" i="5"/>
  <c r="BZ290" i="5" s="1"/>
  <c r="BY289" i="5"/>
  <c r="BZ289" i="5" s="1"/>
  <c r="BY288" i="5"/>
  <c r="BZ288" i="5" s="1"/>
  <c r="BY287" i="5"/>
  <c r="BZ287" i="5" s="1"/>
  <c r="BY286" i="5"/>
  <c r="BZ286" i="5" s="1"/>
  <c r="BY284" i="5"/>
  <c r="BZ284" i="5" s="1"/>
  <c r="BY283" i="5"/>
  <c r="BZ283" i="5" s="1"/>
  <c r="BY257" i="5"/>
  <c r="BZ257" i="5" s="1"/>
  <c r="BY256" i="5"/>
  <c r="BZ256" i="5" s="1"/>
  <c r="BY253" i="5"/>
  <c r="BZ253" i="5" s="1"/>
  <c r="BY252" i="5"/>
  <c r="BZ252" i="5" s="1"/>
  <c r="BY251" i="5"/>
  <c r="BZ251" i="5" s="1"/>
  <c r="BY250" i="5"/>
  <c r="BZ250" i="5" s="1"/>
  <c r="BY249" i="5"/>
  <c r="BZ249" i="5" s="1"/>
  <c r="BY247" i="5"/>
  <c r="BZ247" i="5" s="1"/>
  <c r="BY246" i="5"/>
  <c r="BZ246" i="5" s="1"/>
  <c r="BY245" i="5"/>
  <c r="BZ245" i="5" s="1"/>
  <c r="BY244" i="5"/>
  <c r="BZ244" i="5" s="1"/>
  <c r="BY243" i="5"/>
  <c r="BZ243" i="5" s="1"/>
  <c r="BY242" i="5"/>
  <c r="BZ242" i="5" s="1"/>
  <c r="BY241" i="5"/>
  <c r="BZ241" i="5" s="1"/>
  <c r="BY240" i="5"/>
  <c r="BZ240" i="5" s="1"/>
  <c r="BY239" i="5"/>
  <c r="BZ239" i="5" s="1"/>
  <c r="BY238" i="5"/>
  <c r="BZ238" i="5" s="1"/>
  <c r="BY237" i="5"/>
  <c r="BZ237" i="5" s="1"/>
  <c r="BY236" i="5"/>
  <c r="BZ236" i="5" s="1"/>
  <c r="CB86" i="4"/>
  <c r="CH171" i="4"/>
  <c r="CH73" i="4" s="1"/>
  <c r="BH66" i="5"/>
  <c r="D60" i="24" s="1"/>
  <c r="BJ66" i="5"/>
  <c r="H60" i="24" s="1"/>
  <c r="BK66" i="5"/>
  <c r="J60" i="24" s="1"/>
  <c r="D54" i="53"/>
  <c r="H54" i="53" s="1"/>
  <c r="BH71" i="5"/>
  <c r="D64" i="24" s="1"/>
  <c r="BJ71" i="5"/>
  <c r="H64" i="24" s="1"/>
  <c r="BK71" i="5"/>
  <c r="J64" i="24" s="1"/>
  <c r="EF71" i="5"/>
  <c r="D58" i="53" s="1"/>
  <c r="H58" i="53" s="1"/>
  <c r="D66" i="5"/>
  <c r="F204" i="11" s="1"/>
  <c r="F206" i="11" s="1"/>
  <c r="D71" i="5"/>
  <c r="J15" i="23"/>
  <c r="J16" i="23"/>
  <c r="J17" i="23"/>
  <c r="J19" i="23"/>
  <c r="J20" i="23"/>
  <c r="J27" i="23"/>
  <c r="J28" i="23"/>
  <c r="J29" i="23"/>
  <c r="J31" i="23"/>
  <c r="J32" i="23"/>
  <c r="J33" i="23"/>
  <c r="D36" i="53"/>
  <c r="J34" i="23" s="1"/>
  <c r="J41" i="23"/>
  <c r="J42" i="23"/>
  <c r="L32" i="33"/>
  <c r="B15" i="33"/>
  <c r="L15" i="33" s="1"/>
  <c r="B16" i="33"/>
  <c r="L16" i="33" s="1"/>
  <c r="CJ308" i="5"/>
  <c r="CK308" i="5" s="1"/>
  <c r="CU308" i="5"/>
  <c r="BP86" i="4"/>
  <c r="BQ86" i="4" s="1"/>
  <c r="CU86" i="4"/>
  <c r="E88" i="4"/>
  <c r="F88" i="4"/>
  <c r="G88" i="4"/>
  <c r="H88" i="4"/>
  <c r="I88" i="4"/>
  <c r="I89" i="5" s="1"/>
  <c r="K18" i="19" s="1"/>
  <c r="J88" i="4"/>
  <c r="K88" i="4"/>
  <c r="M88" i="4"/>
  <c r="P88" i="4"/>
  <c r="Q88" i="4"/>
  <c r="R88" i="4"/>
  <c r="S88" i="4"/>
  <c r="T88" i="4"/>
  <c r="U88" i="4"/>
  <c r="V88" i="4"/>
  <c r="W88" i="4"/>
  <c r="Y88" i="4"/>
  <c r="Z88" i="4"/>
  <c r="AA88" i="4"/>
  <c r="AC88" i="4"/>
  <c r="AD88" i="4"/>
  <c r="AE88" i="4"/>
  <c r="AF88" i="4"/>
  <c r="AG88" i="4"/>
  <c r="AH88" i="4"/>
  <c r="AI88" i="4"/>
  <c r="AJ88" i="4"/>
  <c r="BR88" i="4"/>
  <c r="BS88" i="4"/>
  <c r="BT88" i="4"/>
  <c r="BU88" i="4"/>
  <c r="D39" i="30"/>
  <c r="D50" i="31"/>
  <c r="CB171" i="4"/>
  <c r="CB73" i="4" s="1"/>
  <c r="CC50" i="5"/>
  <c r="H39" i="14" s="1"/>
  <c r="S7" i="27"/>
  <c r="AD7" i="27" s="1"/>
  <c r="AO7" i="27" s="1"/>
  <c r="T108" i="34"/>
  <c r="N115" i="15" s="1"/>
  <c r="E31" i="11"/>
  <c r="E32" i="11"/>
  <c r="E34" i="11"/>
  <c r="E35" i="11"/>
  <c r="G35" i="11" s="1"/>
  <c r="E36" i="11"/>
  <c r="E38" i="11"/>
  <c r="E39" i="11"/>
  <c r="E41" i="11"/>
  <c r="G41" i="11" s="1"/>
  <c r="E42" i="11"/>
  <c r="E43" i="11"/>
  <c r="E23" i="11"/>
  <c r="E24" i="11"/>
  <c r="E25" i="11"/>
  <c r="E16" i="11"/>
  <c r="E17" i="11"/>
  <c r="E18" i="11"/>
  <c r="EQ86" i="5"/>
  <c r="EQ314" i="5"/>
  <c r="EQ318" i="5"/>
  <c r="EQ232" i="5"/>
  <c r="EQ254" i="5"/>
  <c r="EQ258" i="5"/>
  <c r="EQ66" i="5"/>
  <c r="EQ71" i="5"/>
  <c r="AF106" i="4"/>
  <c r="EQ107" i="5" s="1"/>
  <c r="EQ176" i="5" s="1"/>
  <c r="EQ89" i="5"/>
  <c r="EQ100" i="5"/>
  <c r="AF111" i="4"/>
  <c r="EQ113" i="5" s="1"/>
  <c r="AF130" i="4"/>
  <c r="EQ145" i="5" s="1"/>
  <c r="EQ149" i="5"/>
  <c r="H14" i="35"/>
  <c r="Q14" i="6" s="1"/>
  <c r="H15" i="35"/>
  <c r="T107" i="34"/>
  <c r="N114" i="15" s="1"/>
  <c r="G109" i="34"/>
  <c r="I109" i="34"/>
  <c r="N109" i="34"/>
  <c r="P109" i="34"/>
  <c r="R109" i="34"/>
  <c r="O107" i="31"/>
  <c r="J115" i="15" s="1"/>
  <c r="L115" i="15" s="1"/>
  <c r="F47" i="31"/>
  <c r="H47" i="31"/>
  <c r="K47" i="31"/>
  <c r="M47" i="31"/>
  <c r="F49" i="15"/>
  <c r="F52" i="15"/>
  <c r="F50" i="31"/>
  <c r="H50" i="31"/>
  <c r="K50" i="31"/>
  <c r="M50" i="31"/>
  <c r="O44" i="31"/>
  <c r="J46" i="15" s="1"/>
  <c r="L46" i="15" s="1"/>
  <c r="O45" i="31"/>
  <c r="J47" i="15" s="1"/>
  <c r="L47" i="15" s="1"/>
  <c r="F46" i="31"/>
  <c r="H46" i="31"/>
  <c r="K46" i="31"/>
  <c r="M46" i="31"/>
  <c r="O48" i="31"/>
  <c r="J50" i="15" s="1"/>
  <c r="L50" i="15" s="1"/>
  <c r="F154" i="15"/>
  <c r="F141" i="31"/>
  <c r="H141" i="31"/>
  <c r="K141" i="31"/>
  <c r="M141" i="31"/>
  <c r="O57" i="31"/>
  <c r="J59" i="15" s="1"/>
  <c r="L59" i="15" s="1"/>
  <c r="O26" i="31"/>
  <c r="J26" i="15" s="1"/>
  <c r="O29" i="31"/>
  <c r="J30" i="15" s="1"/>
  <c r="L30" i="15" s="1"/>
  <c r="O35" i="31"/>
  <c r="J37" i="15" s="1"/>
  <c r="L37" i="15" s="1"/>
  <c r="F65" i="31"/>
  <c r="M65" i="31"/>
  <c r="H67" i="15"/>
  <c r="B25" i="13"/>
  <c r="CO71" i="5"/>
  <c r="J59" i="33" s="1"/>
  <c r="I34" i="34" s="1"/>
  <c r="T34" i="34" s="1"/>
  <c r="N37" i="15" s="1"/>
  <c r="T28" i="34"/>
  <c r="N30" i="15" s="1"/>
  <c r="T19" i="34"/>
  <c r="N20" i="15" s="1"/>
  <c r="N137" i="34"/>
  <c r="P137" i="34"/>
  <c r="R137" i="34"/>
  <c r="T55" i="34"/>
  <c r="N59" i="15" s="1"/>
  <c r="T42" i="34"/>
  <c r="N46" i="15" s="1"/>
  <c r="T43" i="34"/>
  <c r="N47" i="15" s="1"/>
  <c r="C44" i="34"/>
  <c r="E44" i="34"/>
  <c r="G44" i="34"/>
  <c r="N44" i="34"/>
  <c r="P44" i="34"/>
  <c r="R44" i="34"/>
  <c r="C45" i="34"/>
  <c r="E45" i="34"/>
  <c r="G45" i="34"/>
  <c r="I45" i="34"/>
  <c r="N45" i="34"/>
  <c r="P45" i="34"/>
  <c r="R45" i="34"/>
  <c r="T46" i="34"/>
  <c r="N50" i="15" s="1"/>
  <c r="G48" i="34"/>
  <c r="I48" i="34"/>
  <c r="N48" i="34"/>
  <c r="P48" i="34"/>
  <c r="R48" i="34"/>
  <c r="C63" i="34"/>
  <c r="E63" i="34"/>
  <c r="I63" i="34"/>
  <c r="N63" i="34"/>
  <c r="P63" i="34"/>
  <c r="R63" i="34"/>
  <c r="CD171" i="4"/>
  <c r="C25" i="32"/>
  <c r="E25" i="32"/>
  <c r="G25" i="32"/>
  <c r="I25" i="32"/>
  <c r="B25" i="32"/>
  <c r="K25" i="32" s="1"/>
  <c r="L25" i="32"/>
  <c r="N25" i="32"/>
  <c r="P25" i="32"/>
  <c r="B25" i="29"/>
  <c r="CU95" i="5"/>
  <c r="BY95" i="5"/>
  <c r="BZ95" i="5" s="1"/>
  <c r="BP95" i="5"/>
  <c r="BF95" i="5"/>
  <c r="BG95" i="5" s="1"/>
  <c r="F106" i="29"/>
  <c r="H106" i="29"/>
  <c r="J106" i="29"/>
  <c r="L106" i="29"/>
  <c r="F112" i="13"/>
  <c r="H112" i="13"/>
  <c r="G124" i="6"/>
  <c r="F107" i="29"/>
  <c r="H107" i="29"/>
  <c r="J107" i="29"/>
  <c r="L107" i="29"/>
  <c r="F113" i="13"/>
  <c r="H113" i="13"/>
  <c r="C27" i="51"/>
  <c r="C33" i="51"/>
  <c r="U22" i="6"/>
  <c r="U63" i="6" s="1"/>
  <c r="D53" i="20"/>
  <c r="H53" i="20"/>
  <c r="J53" i="20"/>
  <c r="B23" i="22"/>
  <c r="DN23" i="22" s="1"/>
  <c r="N49" i="30"/>
  <c r="J49" i="14" s="1"/>
  <c r="B36" i="22"/>
  <c r="M36" i="22" s="1"/>
  <c r="CG36" i="22" s="1"/>
  <c r="BP201" i="5"/>
  <c r="BP199" i="5"/>
  <c r="BP195" i="5"/>
  <c r="BP194" i="5"/>
  <c r="BP149" i="5"/>
  <c r="BP148" i="5"/>
  <c r="BP147" i="5"/>
  <c r="BP146" i="5"/>
  <c r="BP145" i="5"/>
  <c r="BP143" i="5"/>
  <c r="BP142" i="5"/>
  <c r="BP140" i="5"/>
  <c r="BP139" i="5"/>
  <c r="BP138" i="5"/>
  <c r="BP136" i="5"/>
  <c r="BP135" i="5"/>
  <c r="BP134" i="5"/>
  <c r="BP133" i="5"/>
  <c r="BP113" i="5"/>
  <c r="BP112" i="5"/>
  <c r="BP99" i="5"/>
  <c r="BP98" i="5"/>
  <c r="BP90" i="5"/>
  <c r="BN71" i="5"/>
  <c r="BP70" i="5"/>
  <c r="BP67" i="5"/>
  <c r="BN66" i="5"/>
  <c r="BP65" i="5"/>
  <c r="BN232" i="5"/>
  <c r="BN258" i="5"/>
  <c r="BN26" i="5" s="1"/>
  <c r="BP26" i="5" s="1"/>
  <c r="D54" i="27"/>
  <c r="AR54" i="27" s="1"/>
  <c r="AX66" i="27" s="1"/>
  <c r="BH232" i="5"/>
  <c r="BH258" i="5"/>
  <c r="BJ61" i="4"/>
  <c r="BJ232" i="5"/>
  <c r="BJ258" i="5"/>
  <c r="BK61" i="4"/>
  <c r="BK232" i="5"/>
  <c r="BK258" i="5"/>
  <c r="D48" i="27"/>
  <c r="AR48" i="27" s="1"/>
  <c r="BP23" i="5"/>
  <c r="BP27" i="5"/>
  <c r="BP30" i="5"/>
  <c r="BP31" i="5"/>
  <c r="BP32" i="5"/>
  <c r="BP33" i="5"/>
  <c r="BP34" i="5"/>
  <c r="BP35" i="5"/>
  <c r="BP36" i="5"/>
  <c r="BP37" i="5"/>
  <c r="BP38" i="5"/>
  <c r="BP39" i="5"/>
  <c r="BP40" i="5"/>
  <c r="AR73" i="4"/>
  <c r="Q33" i="8"/>
  <c r="C78" i="32"/>
  <c r="E78" i="32"/>
  <c r="G78" i="32"/>
  <c r="I78" i="32"/>
  <c r="B78" i="32"/>
  <c r="K78" i="32" s="1"/>
  <c r="L78" i="32"/>
  <c r="N78" i="32"/>
  <c r="P78" i="32"/>
  <c r="C81" i="32"/>
  <c r="E81" i="32"/>
  <c r="G81" i="32"/>
  <c r="I81" i="32"/>
  <c r="B81" i="32"/>
  <c r="K81" i="32" s="1"/>
  <c r="L81" i="32"/>
  <c r="N81" i="32"/>
  <c r="P81" i="32"/>
  <c r="C82" i="32"/>
  <c r="E82" i="32"/>
  <c r="G82" i="32"/>
  <c r="I82" i="32"/>
  <c r="B82" i="32"/>
  <c r="K82" i="32" s="1"/>
  <c r="L82" i="32"/>
  <c r="N82" i="32"/>
  <c r="P82" i="32"/>
  <c r="F61" i="18"/>
  <c r="B71" i="18"/>
  <c r="B6" i="18"/>
  <c r="B74" i="18"/>
  <c r="J55" i="18"/>
  <c r="F63" i="18"/>
  <c r="F64" i="18"/>
  <c r="F65" i="18"/>
  <c r="F66" i="18"/>
  <c r="B85" i="18"/>
  <c r="B68" i="18"/>
  <c r="B65" i="18"/>
  <c r="B64" i="18"/>
  <c r="B61" i="18"/>
  <c r="B60" i="18"/>
  <c r="B59" i="18"/>
  <c r="B58" i="18"/>
  <c r="B57" i="18"/>
  <c r="B55" i="18"/>
  <c r="B54" i="18"/>
  <c r="B53" i="18"/>
  <c r="B52" i="18"/>
  <c r="B51" i="18"/>
  <c r="B50" i="18"/>
  <c r="B42" i="18"/>
  <c r="B40" i="18"/>
  <c r="B39" i="18"/>
  <c r="B38" i="18"/>
  <c r="B37" i="18"/>
  <c r="B36" i="18"/>
  <c r="B34" i="18"/>
  <c r="B33" i="18"/>
  <c r="B32" i="18"/>
  <c r="B31" i="18"/>
  <c r="B27" i="18"/>
  <c r="B26" i="18"/>
  <c r="B25" i="18"/>
  <c r="B23" i="18"/>
  <c r="B22" i="18"/>
  <c r="B19" i="18"/>
  <c r="B18" i="18"/>
  <c r="B20" i="18"/>
  <c r="B17" i="18"/>
  <c r="B16" i="18"/>
  <c r="B15" i="18"/>
  <c r="B14" i="18"/>
  <c r="B13" i="18"/>
  <c r="H61" i="18"/>
  <c r="H63" i="18"/>
  <c r="H65" i="18"/>
  <c r="H66" i="18"/>
  <c r="EF107" i="5"/>
  <c r="F27" i="23"/>
  <c r="F28" i="23"/>
  <c r="F30" i="23"/>
  <c r="F34" i="23"/>
  <c r="H51" i="23"/>
  <c r="B37" i="23"/>
  <c r="B6" i="23"/>
  <c r="B51" i="23"/>
  <c r="B45" i="23"/>
  <c r="B49" i="23"/>
  <c r="B50" i="23"/>
  <c r="B66" i="23"/>
  <c r="B64" i="23"/>
  <c r="B62" i="23"/>
  <c r="B60" i="23"/>
  <c r="B58" i="23"/>
  <c r="B56" i="23"/>
  <c r="B53" i="23"/>
  <c r="B42" i="23"/>
  <c r="B41" i="23"/>
  <c r="B40" i="23"/>
  <c r="B38" i="23"/>
  <c r="B36" i="23"/>
  <c r="B34" i="23"/>
  <c r="B33" i="23"/>
  <c r="B32" i="23"/>
  <c r="B31" i="23"/>
  <c r="B30" i="23"/>
  <c r="B29" i="23"/>
  <c r="B28" i="23"/>
  <c r="B27" i="23"/>
  <c r="B26" i="23"/>
  <c r="B25" i="23"/>
  <c r="B23" i="23"/>
  <c r="B21" i="23"/>
  <c r="B20" i="23"/>
  <c r="B19" i="23"/>
  <c r="B18" i="23"/>
  <c r="B17" i="23"/>
  <c r="B16" i="23"/>
  <c r="B15" i="23"/>
  <c r="B14" i="23"/>
  <c r="Z52" i="39"/>
  <c r="AB52" i="39"/>
  <c r="Z30" i="39"/>
  <c r="AB30" i="39"/>
  <c r="B54" i="39"/>
  <c r="B52" i="39"/>
  <c r="B50" i="39"/>
  <c r="B48" i="39"/>
  <c r="B46" i="39"/>
  <c r="B33" i="39"/>
  <c r="B28" i="39"/>
  <c r="B27" i="39"/>
  <c r="B26" i="39"/>
  <c r="B25" i="39"/>
  <c r="B24" i="39"/>
  <c r="B19" i="39"/>
  <c r="B18" i="39"/>
  <c r="B17" i="39"/>
  <c r="B16" i="39"/>
  <c r="B15" i="39"/>
  <c r="B14" i="39"/>
  <c r="B13" i="39"/>
  <c r="AB21" i="39"/>
  <c r="CW232" i="5"/>
  <c r="AD52" i="39"/>
  <c r="B33" i="21"/>
  <c r="B34" i="21"/>
  <c r="B53" i="21"/>
  <c r="H10" i="21"/>
  <c r="F11" i="21"/>
  <c r="H11" i="21"/>
  <c r="F12" i="21"/>
  <c r="H12" i="21"/>
  <c r="D11" i="21"/>
  <c r="B17" i="21"/>
  <c r="B15" i="21"/>
  <c r="B14" i="21"/>
  <c r="B68" i="21"/>
  <c r="B66" i="21"/>
  <c r="B44" i="21"/>
  <c r="B43" i="21"/>
  <c r="B42" i="21"/>
  <c r="B41" i="21"/>
  <c r="B40" i="21"/>
  <c r="B80" i="21"/>
  <c r="B63" i="21"/>
  <c r="B39" i="21"/>
  <c r="B37" i="21"/>
  <c r="B16" i="21"/>
  <c r="B19" i="21"/>
  <c r="B18" i="21"/>
  <c r="B21" i="21"/>
  <c r="B22" i="21"/>
  <c r="B23" i="21"/>
  <c r="B25" i="21"/>
  <c r="B26" i="21"/>
  <c r="B31" i="21"/>
  <c r="B32" i="21"/>
  <c r="B13" i="21"/>
  <c r="B6" i="21"/>
  <c r="B59" i="21"/>
  <c r="B58" i="21"/>
  <c r="B57" i="21"/>
  <c r="B55" i="21"/>
  <c r="B54" i="21"/>
  <c r="B51" i="21"/>
  <c r="B50" i="21"/>
  <c r="B48" i="21"/>
  <c r="B47" i="21"/>
  <c r="N12" i="21"/>
  <c r="D12" i="21"/>
  <c r="N11" i="21"/>
  <c r="N10" i="21"/>
  <c r="C29" i="28"/>
  <c r="G29" i="28"/>
  <c r="P29" i="28"/>
  <c r="AA29" i="28"/>
  <c r="P32" i="28"/>
  <c r="G32" i="28"/>
  <c r="AA16" i="28"/>
  <c r="Z24" i="28"/>
  <c r="Z49" i="28"/>
  <c r="Z59" i="28"/>
  <c r="Z69" i="28"/>
  <c r="AA17" i="28"/>
  <c r="AA18" i="28"/>
  <c r="AA19" i="28"/>
  <c r="AA20" i="28"/>
  <c r="AA21" i="28"/>
  <c r="AA22" i="28"/>
  <c r="AA30" i="28"/>
  <c r="AA32" i="28"/>
  <c r="AA33" i="28"/>
  <c r="AA35" i="28"/>
  <c r="AA36" i="28"/>
  <c r="AA54" i="28"/>
  <c r="AA55" i="28"/>
  <c r="AA56" i="28"/>
  <c r="AA57" i="28"/>
  <c r="C54" i="28"/>
  <c r="C55" i="28"/>
  <c r="C56" i="28"/>
  <c r="C36" i="28"/>
  <c r="C35" i="28"/>
  <c r="C33" i="28"/>
  <c r="C32" i="28"/>
  <c r="C30" i="28"/>
  <c r="D63" i="28"/>
  <c r="H63" i="28"/>
  <c r="BS61" i="4" s="1"/>
  <c r="BS67" i="4" s="1"/>
  <c r="Q63" i="28"/>
  <c r="Q69" i="28" s="1"/>
  <c r="G56" i="28"/>
  <c r="P56" i="28"/>
  <c r="G55" i="28"/>
  <c r="P55" i="28"/>
  <c r="G54" i="28"/>
  <c r="P54" i="28"/>
  <c r="BT28" i="5"/>
  <c r="G36" i="28"/>
  <c r="P36" i="28"/>
  <c r="G35" i="28"/>
  <c r="P35" i="28"/>
  <c r="G33" i="28"/>
  <c r="P33" i="28"/>
  <c r="G30" i="28"/>
  <c r="P30" i="28"/>
  <c r="C19" i="28"/>
  <c r="G19" i="28"/>
  <c r="P19" i="28"/>
  <c r="H19" i="28"/>
  <c r="BS13" i="4" s="1"/>
  <c r="BS13" i="5" s="1"/>
  <c r="BT13" i="4"/>
  <c r="BT13" i="5" s="1"/>
  <c r="Q19" i="28"/>
  <c r="C20" i="28"/>
  <c r="G20" i="28"/>
  <c r="P20" i="28"/>
  <c r="H20" i="28"/>
  <c r="BS14" i="4" s="1"/>
  <c r="BS14" i="5" s="1"/>
  <c r="BT14" i="4"/>
  <c r="BT14" i="5" s="1"/>
  <c r="Q20" i="28"/>
  <c r="BU14" i="4" s="1"/>
  <c r="BU14" i="5" s="1"/>
  <c r="C22" i="28"/>
  <c r="G22" i="28"/>
  <c r="P22" i="28"/>
  <c r="C21" i="28"/>
  <c r="G21" i="28"/>
  <c r="P21" i="28"/>
  <c r="C18" i="28"/>
  <c r="G18" i="28"/>
  <c r="P18" i="28"/>
  <c r="C7" i="28"/>
  <c r="C57" i="28"/>
  <c r="G57" i="28"/>
  <c r="P57" i="28"/>
  <c r="H57" i="28"/>
  <c r="BS54" i="5" s="1"/>
  <c r="Q57" i="28"/>
  <c r="BU54" i="5" s="1"/>
  <c r="C17" i="28"/>
  <c r="G17" i="28"/>
  <c r="P17" i="28"/>
  <c r="C16" i="28"/>
  <c r="G16" i="28"/>
  <c r="P16" i="28"/>
  <c r="D85" i="28"/>
  <c r="H11" i="25"/>
  <c r="F12" i="25"/>
  <c r="H12" i="25"/>
  <c r="F13" i="25"/>
  <c r="H13" i="25"/>
  <c r="B23" i="25"/>
  <c r="D12" i="25"/>
  <c r="D13" i="25"/>
  <c r="B15" i="25"/>
  <c r="B16" i="25"/>
  <c r="B17" i="25"/>
  <c r="B18" i="25"/>
  <c r="B19" i="25"/>
  <c r="B20" i="25"/>
  <c r="B21" i="25"/>
  <c r="B27" i="25"/>
  <c r="B28" i="25"/>
  <c r="B29" i="25"/>
  <c r="B30" i="25"/>
  <c r="B31" i="25"/>
  <c r="B32" i="25"/>
  <c r="B33" i="25"/>
  <c r="B34" i="25"/>
  <c r="B41" i="25"/>
  <c r="B42" i="25"/>
  <c r="B45" i="25"/>
  <c r="B56" i="25"/>
  <c r="B62" i="25"/>
  <c r="B54" i="25"/>
  <c r="B51" i="25"/>
  <c r="B40" i="25"/>
  <c r="B38" i="25"/>
  <c r="B37" i="25"/>
  <c r="B36" i="25"/>
  <c r="B25" i="25"/>
  <c r="B64" i="25"/>
  <c r="B14" i="25"/>
  <c r="B6" i="25"/>
  <c r="B49" i="25"/>
  <c r="B46" i="25"/>
  <c r="B47" i="25"/>
  <c r="B60" i="25"/>
  <c r="B58" i="25"/>
  <c r="B48" i="25"/>
  <c r="N13" i="25"/>
  <c r="N12" i="25"/>
  <c r="N11" i="25"/>
  <c r="J64" i="38"/>
  <c r="B86" i="38"/>
  <c r="B32" i="38"/>
  <c r="B31" i="38"/>
  <c r="B29" i="38"/>
  <c r="B28" i="38"/>
  <c r="B27" i="38"/>
  <c r="B26" i="38"/>
  <c r="B25" i="38"/>
  <c r="B23" i="38"/>
  <c r="B22" i="38"/>
  <c r="B21" i="38"/>
  <c r="B19" i="38"/>
  <c r="B18" i="38"/>
  <c r="B17" i="38"/>
  <c r="B16" i="38"/>
  <c r="B15" i="38"/>
  <c r="C4" i="6"/>
  <c r="B6" i="38" s="1"/>
  <c r="P111" i="4"/>
  <c r="J12" i="20"/>
  <c r="J11" i="20"/>
  <c r="J10" i="20"/>
  <c r="D10" i="20"/>
  <c r="D11" i="20"/>
  <c r="D12" i="20"/>
  <c r="B6" i="20"/>
  <c r="B56" i="20"/>
  <c r="B57" i="20"/>
  <c r="B58" i="20"/>
  <c r="B59" i="20"/>
  <c r="B60" i="20"/>
  <c r="B51" i="20"/>
  <c r="B52" i="20"/>
  <c r="B53" i="20"/>
  <c r="B54" i="20"/>
  <c r="B55" i="20"/>
  <c r="B47" i="20"/>
  <c r="B48" i="20"/>
  <c r="B49" i="20"/>
  <c r="B31" i="20"/>
  <c r="B46" i="20"/>
  <c r="B27" i="20"/>
  <c r="B26" i="20"/>
  <c r="B23" i="20"/>
  <c r="B22" i="20"/>
  <c r="B18" i="20"/>
  <c r="B19" i="20"/>
  <c r="B15" i="20"/>
  <c r="B79" i="20"/>
  <c r="B68" i="20"/>
  <c r="B62" i="20"/>
  <c r="B65" i="20"/>
  <c r="B44" i="20"/>
  <c r="B42" i="20"/>
  <c r="B25" i="20"/>
  <c r="B21" i="20"/>
  <c r="B17" i="20"/>
  <c r="B16" i="20"/>
  <c r="B14" i="20"/>
  <c r="B13" i="20"/>
  <c r="H12" i="20"/>
  <c r="H11" i="20"/>
  <c r="H10" i="20"/>
  <c r="C43" i="27"/>
  <c r="AQ43" i="27" s="1"/>
  <c r="C44" i="27"/>
  <c r="AQ44" i="27" s="1"/>
  <c r="C48" i="27"/>
  <c r="AQ48" i="27" s="1"/>
  <c r="C42" i="27"/>
  <c r="AQ42" i="27" s="1"/>
  <c r="C35" i="27"/>
  <c r="AQ35" i="27" s="1"/>
  <c r="C28" i="27"/>
  <c r="AQ28" i="27" s="1"/>
  <c r="D28" i="27"/>
  <c r="AR28" i="27" s="1"/>
  <c r="BJ22" i="4"/>
  <c r="C29" i="27"/>
  <c r="AQ29" i="27" s="1"/>
  <c r="D29" i="27"/>
  <c r="AR29" i="27" s="1"/>
  <c r="BJ23" i="4"/>
  <c r="C30" i="27"/>
  <c r="AQ30" i="27" s="1"/>
  <c r="C31" i="27"/>
  <c r="AQ31" i="27" s="1"/>
  <c r="D31" i="27"/>
  <c r="AR31" i="27" s="1"/>
  <c r="C32" i="27"/>
  <c r="AQ32" i="27" s="1"/>
  <c r="D32" i="27"/>
  <c r="AR32" i="27" s="1"/>
  <c r="BJ26" i="4"/>
  <c r="C33" i="27"/>
  <c r="AQ33" i="27" s="1"/>
  <c r="D33" i="27"/>
  <c r="AR33" i="27" s="1"/>
  <c r="BJ27" i="4"/>
  <c r="C34" i="27"/>
  <c r="AQ34" i="27" s="1"/>
  <c r="C19" i="27"/>
  <c r="AQ19" i="27" s="1"/>
  <c r="C20" i="27"/>
  <c r="AQ20" i="27" s="1"/>
  <c r="C21" i="27"/>
  <c r="AQ21" i="27" s="1"/>
  <c r="C22" i="27"/>
  <c r="AQ22" i="27" s="1"/>
  <c r="C17" i="27"/>
  <c r="AQ17" i="27" s="1"/>
  <c r="C18" i="27"/>
  <c r="AQ18" i="27" s="1"/>
  <c r="C16" i="27"/>
  <c r="AQ16" i="27" s="1"/>
  <c r="J13" i="24"/>
  <c r="J12" i="24"/>
  <c r="J11" i="24"/>
  <c r="D11" i="24"/>
  <c r="D12" i="24"/>
  <c r="D13" i="24"/>
  <c r="P70" i="24"/>
  <c r="B45" i="24"/>
  <c r="B50" i="24"/>
  <c r="B51" i="24"/>
  <c r="B6" i="24"/>
  <c r="B64" i="24"/>
  <c r="B60" i="24"/>
  <c r="B58" i="24"/>
  <c r="B41" i="24"/>
  <c r="B42" i="24"/>
  <c r="B33" i="24"/>
  <c r="B15" i="24"/>
  <c r="B16" i="24"/>
  <c r="B17" i="24"/>
  <c r="B18" i="24"/>
  <c r="B19" i="24"/>
  <c r="B20" i="24"/>
  <c r="B21" i="24"/>
  <c r="B37" i="24"/>
  <c r="B38" i="24"/>
  <c r="B26" i="24"/>
  <c r="B27" i="24"/>
  <c r="B28" i="24"/>
  <c r="B29" i="24"/>
  <c r="B30" i="24"/>
  <c r="B31" i="24"/>
  <c r="B32" i="24"/>
  <c r="B66" i="24"/>
  <c r="B62" i="24"/>
  <c r="B56" i="24"/>
  <c r="B53" i="24"/>
  <c r="B40" i="24"/>
  <c r="B36" i="24"/>
  <c r="B25" i="24"/>
  <c r="B23" i="24"/>
  <c r="B14" i="24"/>
  <c r="P13" i="24"/>
  <c r="H13" i="24"/>
  <c r="P12" i="24"/>
  <c r="H12" i="24"/>
  <c r="P11" i="24"/>
  <c r="H11" i="24"/>
  <c r="L60" i="29"/>
  <c r="L63" i="29"/>
  <c r="L64" i="29"/>
  <c r="L65" i="29"/>
  <c r="B68" i="29"/>
  <c r="B39" i="29"/>
  <c r="B104" i="29"/>
  <c r="B105" i="29"/>
  <c r="B106" i="29"/>
  <c r="B107" i="29"/>
  <c r="B108" i="29"/>
  <c r="B103" i="29"/>
  <c r="B101" i="29"/>
  <c r="B59" i="29"/>
  <c r="B60" i="29"/>
  <c r="B61" i="29"/>
  <c r="B62" i="29"/>
  <c r="B63" i="29"/>
  <c r="B64" i="29"/>
  <c r="B65" i="29"/>
  <c r="B66" i="29"/>
  <c r="B67" i="29"/>
  <c r="B71" i="29"/>
  <c r="B72" i="29"/>
  <c r="B73" i="29"/>
  <c r="B74" i="29"/>
  <c r="B75" i="29"/>
  <c r="B76" i="29"/>
  <c r="B58" i="29"/>
  <c r="B57" i="29"/>
  <c r="B29" i="29"/>
  <c r="B30" i="29"/>
  <c r="B31" i="29"/>
  <c r="B32" i="29"/>
  <c r="B35" i="29"/>
  <c r="B36" i="29"/>
  <c r="B37" i="29"/>
  <c r="B38" i="29"/>
  <c r="B15" i="29"/>
  <c r="B16" i="29"/>
  <c r="B17" i="29"/>
  <c r="B18" i="29"/>
  <c r="B20" i="29"/>
  <c r="B19" i="29"/>
  <c r="B22" i="29"/>
  <c r="B23" i="29"/>
  <c r="B24" i="29"/>
  <c r="B28" i="29"/>
  <c r="B14" i="29"/>
  <c r="B13" i="29"/>
  <c r="B6" i="29"/>
  <c r="F60" i="29"/>
  <c r="H60" i="29"/>
  <c r="J60" i="29"/>
  <c r="T15" i="29"/>
  <c r="T108" i="29"/>
  <c r="T110" i="29" s="1"/>
  <c r="T19" i="29"/>
  <c r="U16" i="31" s="1"/>
  <c r="T81" i="29"/>
  <c r="T18" i="29"/>
  <c r="T42" i="29" s="1"/>
  <c r="T35" i="29"/>
  <c r="T37" i="29"/>
  <c r="F102" i="29"/>
  <c r="F104" i="29"/>
  <c r="F105" i="29"/>
  <c r="H102" i="29"/>
  <c r="H104" i="29"/>
  <c r="H105" i="29"/>
  <c r="J102" i="29"/>
  <c r="J104" i="29"/>
  <c r="J105" i="29"/>
  <c r="F63" i="29"/>
  <c r="H63" i="29"/>
  <c r="J63" i="29"/>
  <c r="F65" i="29"/>
  <c r="H65" i="29"/>
  <c r="J65" i="29"/>
  <c r="F64" i="29"/>
  <c r="H64" i="29"/>
  <c r="J64" i="29"/>
  <c r="L105" i="29"/>
  <c r="L104" i="29"/>
  <c r="L102" i="29"/>
  <c r="B102" i="29"/>
  <c r="L12" i="29"/>
  <c r="J12" i="29"/>
  <c r="H12" i="29"/>
  <c r="F12" i="29"/>
  <c r="L11" i="29"/>
  <c r="J11" i="29"/>
  <c r="H11" i="29"/>
  <c r="F11" i="29"/>
  <c r="J10" i="29"/>
  <c r="L59" i="29"/>
  <c r="M91" i="31" s="1"/>
  <c r="CD117" i="4"/>
  <c r="CE117" i="4"/>
  <c r="CF117" i="4"/>
  <c r="F55" i="30"/>
  <c r="CH50" i="5"/>
  <c r="L55" i="30"/>
  <c r="CE50" i="5"/>
  <c r="H55" i="30"/>
  <c r="CF50" i="5"/>
  <c r="J39" i="30" s="1"/>
  <c r="J55" i="30"/>
  <c r="F114" i="31"/>
  <c r="H114" i="31"/>
  <c r="O111" i="31"/>
  <c r="J114" i="15" s="1"/>
  <c r="L114" i="15" s="1"/>
  <c r="O110" i="31"/>
  <c r="B6" i="31"/>
  <c r="I6" i="31" s="1"/>
  <c r="F89" i="31"/>
  <c r="H89" i="31"/>
  <c r="K89" i="31"/>
  <c r="M89" i="31"/>
  <c r="G72" i="31"/>
  <c r="G71" i="31"/>
  <c r="M112" i="31"/>
  <c r="K112" i="31"/>
  <c r="F112" i="31"/>
  <c r="H112" i="31"/>
  <c r="O106" i="31"/>
  <c r="U89" i="31"/>
  <c r="U17" i="31"/>
  <c r="U91" i="31"/>
  <c r="U18" i="31"/>
  <c r="U60" i="31"/>
  <c r="U52" i="31"/>
  <c r="U38" i="31"/>
  <c r="B33" i="30"/>
  <c r="B38" i="30"/>
  <c r="B49" i="30"/>
  <c r="B50" i="30"/>
  <c r="B51" i="30"/>
  <c r="B16" i="30"/>
  <c r="B17" i="30"/>
  <c r="B22" i="30"/>
  <c r="B23" i="30"/>
  <c r="B24" i="30"/>
  <c r="B25" i="30"/>
  <c r="B26" i="30"/>
  <c r="B36" i="30"/>
  <c r="B55" i="30"/>
  <c r="B57" i="30"/>
  <c r="B59" i="30"/>
  <c r="B61" i="30"/>
  <c r="B63" i="30"/>
  <c r="B65" i="30"/>
  <c r="B7" i="30"/>
  <c r="F63" i="14"/>
  <c r="P63" i="30" s="1"/>
  <c r="F59" i="14"/>
  <c r="F55" i="14"/>
  <c r="P55" i="30" s="1"/>
  <c r="N17" i="50"/>
  <c r="N19" i="50" s="1"/>
  <c r="A5" i="50"/>
  <c r="F17" i="50"/>
  <c r="I17" i="50"/>
  <c r="I19" i="50" s="1"/>
  <c r="J17" i="50"/>
  <c r="J19" i="50" s="1"/>
  <c r="L17" i="50"/>
  <c r="L19" i="50" s="1"/>
  <c r="F34" i="16"/>
  <c r="B32" i="16"/>
  <c r="B31" i="16"/>
  <c r="B30" i="16"/>
  <c r="B25" i="16"/>
  <c r="B23" i="16"/>
  <c r="B22" i="16"/>
  <c r="B17" i="16"/>
  <c r="B16" i="16"/>
  <c r="B8" i="16"/>
  <c r="D17" i="35"/>
  <c r="D29" i="35" s="1"/>
  <c r="F17" i="35"/>
  <c r="F30" i="35" s="1"/>
  <c r="F32" i="35" s="1"/>
  <c r="A6" i="51"/>
  <c r="B25" i="51"/>
  <c r="B33" i="51"/>
  <c r="B8" i="17"/>
  <c r="H24" i="36"/>
  <c r="F30" i="17" s="1"/>
  <c r="K30" i="17" s="1"/>
  <c r="H30" i="36"/>
  <c r="U30" i="37"/>
  <c r="U25" i="37"/>
  <c r="U23" i="37"/>
  <c r="U18" i="37"/>
  <c r="U15" i="37"/>
  <c r="U8" i="37"/>
  <c r="U7" i="37"/>
  <c r="U6" i="37"/>
  <c r="U5" i="37"/>
  <c r="W14" i="37"/>
  <c r="K7" i="37"/>
  <c r="AE7" i="37" s="1"/>
  <c r="K6" i="37"/>
  <c r="AE6" i="37" s="1"/>
  <c r="K5" i="37"/>
  <c r="AE5" i="37" s="1"/>
  <c r="E12" i="37"/>
  <c r="E13" i="37"/>
  <c r="E14" i="37"/>
  <c r="M14" i="37"/>
  <c r="S14" i="37"/>
  <c r="Q14" i="37"/>
  <c r="I14" i="37"/>
  <c r="M13" i="37"/>
  <c r="S13" i="37"/>
  <c r="Q13" i="37"/>
  <c r="I13" i="37"/>
  <c r="M12" i="37"/>
  <c r="I12" i="37"/>
  <c r="D34" i="36"/>
  <c r="B6" i="36"/>
  <c r="D24" i="35"/>
  <c r="F24" i="35"/>
  <c r="B34" i="35"/>
  <c r="H20" i="35"/>
  <c r="B20" i="35"/>
  <c r="B27" i="35"/>
  <c r="B6" i="35"/>
  <c r="B24" i="35"/>
  <c r="B14" i="35"/>
  <c r="B15" i="35"/>
  <c r="B19" i="35"/>
  <c r="B17" i="35"/>
  <c r="B13" i="35"/>
  <c r="D168" i="11"/>
  <c r="D169" i="11"/>
  <c r="D161" i="11"/>
  <c r="D162" i="11"/>
  <c r="D171" i="11"/>
  <c r="D172" i="11"/>
  <c r="E171" i="11"/>
  <c r="E172" i="11"/>
  <c r="G172" i="11" s="1"/>
  <c r="E168" i="11"/>
  <c r="E169" i="11"/>
  <c r="E161" i="11"/>
  <c r="E162" i="11"/>
  <c r="D143" i="11"/>
  <c r="D144" i="11"/>
  <c r="D137" i="11"/>
  <c r="D138" i="11"/>
  <c r="D134" i="11"/>
  <c r="D135" i="11"/>
  <c r="E143" i="11"/>
  <c r="E144" i="11"/>
  <c r="D140" i="11"/>
  <c r="D141" i="11"/>
  <c r="E140" i="11"/>
  <c r="E141" i="11"/>
  <c r="E137" i="11"/>
  <c r="E138" i="11"/>
  <c r="E134" i="11"/>
  <c r="E135" i="11"/>
  <c r="D127" i="11"/>
  <c r="D128" i="11"/>
  <c r="E127" i="11"/>
  <c r="E128" i="11"/>
  <c r="E124" i="11"/>
  <c r="E125" i="11"/>
  <c r="D124" i="11"/>
  <c r="D125" i="11"/>
  <c r="E117" i="11"/>
  <c r="E114" i="11"/>
  <c r="E108" i="11"/>
  <c r="E118" i="11"/>
  <c r="E115" i="11"/>
  <c r="E109" i="11"/>
  <c r="E105" i="11"/>
  <c r="E106" i="11"/>
  <c r="D118" i="11"/>
  <c r="D115" i="11"/>
  <c r="D109" i="11"/>
  <c r="D114" i="11"/>
  <c r="D108" i="11"/>
  <c r="D111" i="11"/>
  <c r="D112" i="11"/>
  <c r="E111" i="11"/>
  <c r="E112" i="11"/>
  <c r="D105" i="11"/>
  <c r="D106" i="11"/>
  <c r="D99" i="11"/>
  <c r="D100" i="11"/>
  <c r="E99" i="11"/>
  <c r="E100" i="11"/>
  <c r="D93" i="11"/>
  <c r="D94" i="11"/>
  <c r="D96" i="11"/>
  <c r="D97" i="11"/>
  <c r="E96" i="11"/>
  <c r="E97" i="11"/>
  <c r="E93" i="11"/>
  <c r="E94" i="11"/>
  <c r="D90" i="11"/>
  <c r="D91" i="11"/>
  <c r="M194" i="11"/>
  <c r="E193" i="11"/>
  <c r="D16" i="11"/>
  <c r="D17" i="11"/>
  <c r="D18" i="11"/>
  <c r="D23" i="11"/>
  <c r="D24" i="11"/>
  <c r="D25" i="11"/>
  <c r="D193" i="11"/>
  <c r="E103" i="11"/>
  <c r="E102" i="11"/>
  <c r="D103" i="11"/>
  <c r="D102" i="11"/>
  <c r="E90" i="11"/>
  <c r="E91" i="11"/>
  <c r="E178" i="11"/>
  <c r="E179" i="11"/>
  <c r="E184" i="11"/>
  <c r="E186" i="11"/>
  <c r="F178" i="11"/>
  <c r="F179" i="11"/>
  <c r="G179" i="11" s="1"/>
  <c r="D117" i="11"/>
  <c r="D178" i="11"/>
  <c r="D179" i="11"/>
  <c r="D184" i="11"/>
  <c r="D186" i="11"/>
  <c r="E196" i="11"/>
  <c r="D196" i="11"/>
  <c r="E195" i="11"/>
  <c r="D195" i="11"/>
  <c r="C150" i="11"/>
  <c r="C151" i="11"/>
  <c r="C6" i="11"/>
  <c r="C152" i="11" s="1"/>
  <c r="C149" i="11"/>
  <c r="C79" i="11"/>
  <c r="C210" i="11"/>
  <c r="C208" i="11"/>
  <c r="C206" i="11"/>
  <c r="C204" i="11"/>
  <c r="C200" i="11"/>
  <c r="C198" i="11"/>
  <c r="C78" i="11"/>
  <c r="C74" i="11"/>
  <c r="E194" i="11"/>
  <c r="D194" i="11"/>
  <c r="L114" i="41"/>
  <c r="H157" i="41"/>
  <c r="H154" i="41"/>
  <c r="G114" i="41"/>
  <c r="J114" i="41"/>
  <c r="H124" i="41"/>
  <c r="H121" i="41"/>
  <c r="H131" i="41"/>
  <c r="H134" i="41"/>
  <c r="H140" i="41"/>
  <c r="I140" i="41" s="1"/>
  <c r="H147" i="41"/>
  <c r="H108" i="41"/>
  <c r="I102" i="41"/>
  <c r="H96" i="41"/>
  <c r="H93" i="41"/>
  <c r="H90" i="41"/>
  <c r="H87" i="41"/>
  <c r="H102" i="41"/>
  <c r="H179" i="41"/>
  <c r="I179" i="41" s="1"/>
  <c r="J12" i="9"/>
  <c r="J11" i="9"/>
  <c r="J10" i="9"/>
  <c r="N12" i="9"/>
  <c r="N11" i="9"/>
  <c r="B132" i="9"/>
  <c r="B110" i="9"/>
  <c r="B123" i="9"/>
  <c r="B121" i="9"/>
  <c r="B90" i="9"/>
  <c r="B77" i="9"/>
  <c r="L77" i="9" s="1"/>
  <c r="B93" i="9"/>
  <c r="L93" i="9" s="1"/>
  <c r="B65" i="9"/>
  <c r="L65" i="9" s="1"/>
  <c r="B62" i="9"/>
  <c r="L62" i="9" s="1"/>
  <c r="B60" i="9"/>
  <c r="B39" i="9"/>
  <c r="B31" i="9"/>
  <c r="L31" i="9" s="1"/>
  <c r="B28" i="9"/>
  <c r="L28" i="9" s="1"/>
  <c r="B27" i="9"/>
  <c r="L27" i="9" s="1"/>
  <c r="B26" i="9"/>
  <c r="L26" i="9" s="1"/>
  <c r="B25" i="9"/>
  <c r="L25" i="9" s="1"/>
  <c r="B23" i="9"/>
  <c r="L23" i="9" s="1"/>
  <c r="B22" i="9"/>
  <c r="L22" i="9" s="1"/>
  <c r="B21" i="9"/>
  <c r="L21" i="9" s="1"/>
  <c r="B18" i="9"/>
  <c r="L18" i="9" s="1"/>
  <c r="B19" i="9"/>
  <c r="L19" i="9" s="1"/>
  <c r="B17" i="9"/>
  <c r="L17" i="9" s="1"/>
  <c r="B16" i="9"/>
  <c r="L16" i="9" s="1"/>
  <c r="B15" i="9"/>
  <c r="L15" i="9" s="1"/>
  <c r="B14" i="9"/>
  <c r="L14" i="9" s="1"/>
  <c r="B13" i="9"/>
  <c r="J14" i="10"/>
  <c r="J13" i="10"/>
  <c r="J12" i="10"/>
  <c r="AN18" i="10"/>
  <c r="N14" i="10"/>
  <c r="N13" i="10"/>
  <c r="B6" i="10"/>
  <c r="B79" i="10" s="1"/>
  <c r="AD57" i="10"/>
  <c r="AH57" i="10"/>
  <c r="AB24" i="10"/>
  <c r="AD24" i="10"/>
  <c r="AH37" i="10"/>
  <c r="AH24" i="10"/>
  <c r="Z24" i="10"/>
  <c r="B38" i="10"/>
  <c r="B55" i="10"/>
  <c r="L55" i="10" s="1"/>
  <c r="B52" i="10"/>
  <c r="L52" i="10" s="1"/>
  <c r="B51" i="10"/>
  <c r="L51" i="10" s="1"/>
  <c r="B70" i="10"/>
  <c r="B68" i="10"/>
  <c r="B66" i="10"/>
  <c r="B64" i="10"/>
  <c r="B62" i="10"/>
  <c r="B60" i="10"/>
  <c r="B54" i="10"/>
  <c r="L54" i="10" s="1"/>
  <c r="B46" i="10"/>
  <c r="L46" i="10" s="1"/>
  <c r="B43" i="10"/>
  <c r="L43" i="10" s="1"/>
  <c r="B42" i="10"/>
  <c r="L42" i="10" s="1"/>
  <c r="B41" i="10"/>
  <c r="B39" i="10"/>
  <c r="B37" i="10"/>
  <c r="B35" i="10"/>
  <c r="B34" i="10"/>
  <c r="B33" i="10"/>
  <c r="B32" i="10"/>
  <c r="B31" i="10"/>
  <c r="B30" i="10"/>
  <c r="B29" i="10"/>
  <c r="B28" i="10"/>
  <c r="B27" i="10"/>
  <c r="B26" i="10"/>
  <c r="B24" i="10"/>
  <c r="B22" i="10"/>
  <c r="B21" i="10"/>
  <c r="B20" i="10"/>
  <c r="B19" i="10"/>
  <c r="B18" i="10"/>
  <c r="B16" i="10"/>
  <c r="B15" i="10"/>
  <c r="L27" i="33"/>
  <c r="X29" i="10" s="1"/>
  <c r="BF201" i="5"/>
  <c r="BG201" i="5" s="1"/>
  <c r="BF202" i="5"/>
  <c r="BG202" i="5" s="1"/>
  <c r="BF203" i="5"/>
  <c r="BG203" i="5" s="1"/>
  <c r="BF204" i="5"/>
  <c r="BG204" i="5" s="1"/>
  <c r="BF205" i="5"/>
  <c r="BG205" i="5" s="1"/>
  <c r="BF176" i="5"/>
  <c r="BF177" i="5"/>
  <c r="BF178" i="5"/>
  <c r="BF179" i="5"/>
  <c r="BF180" i="5"/>
  <c r="BF181" i="5"/>
  <c r="BF182" i="5"/>
  <c r="BF183" i="5"/>
  <c r="BF184" i="5"/>
  <c r="BF185" i="5"/>
  <c r="BF197" i="5"/>
  <c r="BG197" i="5" s="1"/>
  <c r="BY197" i="5"/>
  <c r="BZ197" i="5" s="1"/>
  <c r="BW254" i="5"/>
  <c r="CJ269" i="5"/>
  <c r="CK269" i="5" s="1"/>
  <c r="CJ256" i="5"/>
  <c r="CK256" i="5" s="1"/>
  <c r="CJ257" i="5"/>
  <c r="CK257" i="5" s="1"/>
  <c r="CU224" i="5"/>
  <c r="CJ245" i="5"/>
  <c r="CK245" i="5" s="1"/>
  <c r="CJ246" i="5"/>
  <c r="CK246" i="5" s="1"/>
  <c r="CJ247" i="5"/>
  <c r="CK247" i="5" s="1"/>
  <c r="CJ253" i="5"/>
  <c r="CK253" i="5" s="1"/>
  <c r="CJ283" i="5"/>
  <c r="CK283" i="5" s="1"/>
  <c r="CK284" i="5"/>
  <c r="CJ285" i="5"/>
  <c r="CJ286" i="5"/>
  <c r="CJ287" i="5"/>
  <c r="CJ289" i="5"/>
  <c r="CK289" i="5" s="1"/>
  <c r="CJ290" i="5"/>
  <c r="CK290" i="5" s="1"/>
  <c r="CJ291" i="5"/>
  <c r="CK291" i="5" s="1"/>
  <c r="CJ305" i="5"/>
  <c r="CK305" i="5" s="1"/>
  <c r="CJ306" i="5"/>
  <c r="CK306" i="5" s="1"/>
  <c r="CJ307" i="5"/>
  <c r="CK307" i="5" s="1"/>
  <c r="CJ309" i="5"/>
  <c r="CK309" i="5" s="1"/>
  <c r="CJ310" i="5"/>
  <c r="CK310" i="5" s="1"/>
  <c r="CJ311" i="5"/>
  <c r="CK311" i="5" s="1"/>
  <c r="CJ312" i="5"/>
  <c r="CK312" i="5" s="1"/>
  <c r="CJ313" i="5"/>
  <c r="CK313" i="5" s="1"/>
  <c r="CJ316" i="5"/>
  <c r="CK316" i="5" s="1"/>
  <c r="CJ317" i="5"/>
  <c r="CK317" i="5" s="1"/>
  <c r="BY333" i="5"/>
  <c r="BQ284" i="5"/>
  <c r="D29" i="66" s="1"/>
  <c r="BQ286" i="5"/>
  <c r="D31" i="66" s="1"/>
  <c r="BQ287" i="5"/>
  <c r="BQ288" i="5"/>
  <c r="BQ290" i="5"/>
  <c r="BQ291" i="5"/>
  <c r="D32" i="66" s="1"/>
  <c r="BQ296" i="5"/>
  <c r="BQ297" i="5"/>
  <c r="BQ298" i="5"/>
  <c r="BQ299" i="5"/>
  <c r="BQ300" i="5"/>
  <c r="BQ301" i="5"/>
  <c r="BQ302" i="5"/>
  <c r="BQ303" i="5"/>
  <c r="BQ304" i="5"/>
  <c r="BQ305" i="5"/>
  <c r="BQ306" i="5"/>
  <c r="BQ307" i="5"/>
  <c r="BQ309" i="5"/>
  <c r="BQ310" i="5"/>
  <c r="BQ316" i="5"/>
  <c r="BQ317" i="5"/>
  <c r="BQ236" i="5"/>
  <c r="BQ237" i="5"/>
  <c r="BQ238" i="5"/>
  <c r="BQ239" i="5"/>
  <c r="BQ240" i="5"/>
  <c r="BQ241" i="5"/>
  <c r="BQ242" i="5"/>
  <c r="BQ243" i="5"/>
  <c r="BQ244" i="5"/>
  <c r="BQ245" i="5"/>
  <c r="BQ246" i="5"/>
  <c r="BQ247" i="5"/>
  <c r="BQ249" i="5"/>
  <c r="BQ250" i="5"/>
  <c r="BQ256" i="5"/>
  <c r="BQ257" i="5"/>
  <c r="BQ269" i="5"/>
  <c r="B33" i="66"/>
  <c r="BF236" i="5"/>
  <c r="BG236" i="5" s="1"/>
  <c r="BF269" i="5"/>
  <c r="BG269" i="5" s="1"/>
  <c r="P94" i="5"/>
  <c r="BU254" i="5"/>
  <c r="BT254" i="5"/>
  <c r="BS254" i="5"/>
  <c r="BR254" i="5"/>
  <c r="D254" i="5"/>
  <c r="D232" i="5"/>
  <c r="D258" i="5"/>
  <c r="CU108" i="5"/>
  <c r="BF108" i="5"/>
  <c r="BG108" i="5" s="1"/>
  <c r="P89" i="5"/>
  <c r="P93" i="5"/>
  <c r="P100" i="5"/>
  <c r="BF110" i="5"/>
  <c r="BG110" i="5" s="1"/>
  <c r="BF111" i="5"/>
  <c r="BG111" i="5" s="1"/>
  <c r="BF112" i="5"/>
  <c r="BG112" i="5" s="1"/>
  <c r="BF113" i="5"/>
  <c r="BG113" i="5" s="1"/>
  <c r="BG133" i="5"/>
  <c r="BG134" i="5"/>
  <c r="BF90" i="5"/>
  <c r="BG90" i="5" s="1"/>
  <c r="P292" i="5"/>
  <c r="P318" i="5"/>
  <c r="CJ296" i="5"/>
  <c r="CJ297" i="5"/>
  <c r="CJ298" i="5"/>
  <c r="CJ299" i="5"/>
  <c r="CJ300" i="5"/>
  <c r="CJ301" i="5"/>
  <c r="CJ302" i="5"/>
  <c r="CJ303" i="5"/>
  <c r="CJ304" i="5"/>
  <c r="BF195" i="5"/>
  <c r="BF199" i="5"/>
  <c r="BG199" i="5" s="1"/>
  <c r="EN210" i="5"/>
  <c r="EN206" i="5"/>
  <c r="D100" i="5"/>
  <c r="BG136" i="5"/>
  <c r="BG138" i="5"/>
  <c r="BG139" i="5"/>
  <c r="BG140" i="5"/>
  <c r="BG142" i="5"/>
  <c r="BG143" i="5"/>
  <c r="BG145" i="5"/>
  <c r="BG146" i="5"/>
  <c r="BG147" i="5"/>
  <c r="BG148" i="5"/>
  <c r="BY87" i="5"/>
  <c r="BZ87" i="5" s="1"/>
  <c r="BY90" i="5"/>
  <c r="BZ90" i="5" s="1"/>
  <c r="BY98" i="5"/>
  <c r="BZ98" i="5" s="1"/>
  <c r="BY99" i="5"/>
  <c r="BZ99" i="5" s="1"/>
  <c r="BY104" i="5"/>
  <c r="BZ104" i="5" s="1"/>
  <c r="BY105" i="5"/>
  <c r="BZ105" i="5" s="1"/>
  <c r="BY107" i="5"/>
  <c r="BZ107" i="5" s="1"/>
  <c r="BY108" i="5"/>
  <c r="BZ108" i="5" s="1"/>
  <c r="BY110" i="5"/>
  <c r="BZ110" i="5" s="1"/>
  <c r="BY111" i="5"/>
  <c r="BZ111" i="5" s="1"/>
  <c r="BY112" i="5"/>
  <c r="BZ112" i="5" s="1"/>
  <c r="BY113" i="5"/>
  <c r="BZ113" i="5" s="1"/>
  <c r="BY133" i="5"/>
  <c r="BZ133" i="5" s="1"/>
  <c r="BY134" i="5"/>
  <c r="BZ134" i="5" s="1"/>
  <c r="BY136" i="5"/>
  <c r="BZ136" i="5" s="1"/>
  <c r="BY138" i="5"/>
  <c r="BZ138" i="5" s="1"/>
  <c r="BY139" i="5"/>
  <c r="BZ139" i="5" s="1"/>
  <c r="BY140" i="5"/>
  <c r="BZ140" i="5" s="1"/>
  <c r="BY142" i="5"/>
  <c r="BZ142" i="5" s="1"/>
  <c r="BY143" i="5"/>
  <c r="BZ143" i="5" s="1"/>
  <c r="BY144" i="5"/>
  <c r="BZ144" i="5" s="1"/>
  <c r="BY145" i="5"/>
  <c r="BZ145" i="5" s="1"/>
  <c r="BY146" i="5"/>
  <c r="BZ146" i="5" s="1"/>
  <c r="BY147" i="5"/>
  <c r="BZ147" i="5" s="1"/>
  <c r="BY148" i="5"/>
  <c r="BZ148" i="5" s="1"/>
  <c r="BY149" i="5"/>
  <c r="BZ149" i="5" s="1"/>
  <c r="BY194" i="5"/>
  <c r="BZ194" i="5" s="1"/>
  <c r="BY199" i="5"/>
  <c r="BZ199" i="5" s="1"/>
  <c r="CJ90" i="5"/>
  <c r="CJ92" i="5"/>
  <c r="CJ97" i="5"/>
  <c r="CJ105" i="5"/>
  <c r="CJ112" i="5"/>
  <c r="CJ113" i="5"/>
  <c r="CJ178" i="5"/>
  <c r="CJ177" i="5"/>
  <c r="CJ180" i="5"/>
  <c r="CJ181" i="5"/>
  <c r="CJ182" i="5"/>
  <c r="CJ183" i="5"/>
  <c r="CJ184" i="5"/>
  <c r="CJ187" i="5"/>
  <c r="CJ193" i="5"/>
  <c r="CJ194" i="5"/>
  <c r="CJ196" i="5"/>
  <c r="CJ199" i="5"/>
  <c r="CJ200" i="5"/>
  <c r="CJ206" i="5"/>
  <c r="CU88" i="5"/>
  <c r="E619" i="65" s="1"/>
  <c r="CU90" i="5"/>
  <c r="CU92" i="5"/>
  <c r="CU93" i="5"/>
  <c r="CU103" i="5"/>
  <c r="CU118" i="5"/>
  <c r="CU105" i="5"/>
  <c r="CU110" i="5"/>
  <c r="CU112" i="5"/>
  <c r="CU113" i="5"/>
  <c r="CU178" i="5"/>
  <c r="CU184" i="5"/>
  <c r="CU177" i="5"/>
  <c r="CU180" i="5"/>
  <c r="CU181" i="5"/>
  <c r="CU182" i="5"/>
  <c r="CU183" i="5"/>
  <c r="CU187" i="5"/>
  <c r="CU200" i="5"/>
  <c r="CU206" i="5"/>
  <c r="EN212" i="5"/>
  <c r="EN39" i="5"/>
  <c r="EN40" i="5"/>
  <c r="BF31" i="5"/>
  <c r="BG31" i="5" s="1"/>
  <c r="BF32" i="5"/>
  <c r="BG32" i="5" s="1"/>
  <c r="BF33" i="5"/>
  <c r="BG33" i="5" s="1"/>
  <c r="BF34" i="5"/>
  <c r="BG34" i="5" s="1"/>
  <c r="BF35" i="5"/>
  <c r="BG35" i="5" s="1"/>
  <c r="CA35" i="5" s="1"/>
  <c r="BF36" i="5"/>
  <c r="BG36" i="5" s="1"/>
  <c r="BF37" i="5"/>
  <c r="BG37" i="5" s="1"/>
  <c r="BF38" i="5"/>
  <c r="BG38" i="5" s="1"/>
  <c r="BY31" i="5"/>
  <c r="BY32" i="5"/>
  <c r="BY33" i="5"/>
  <c r="BY34" i="5"/>
  <c r="BY36" i="5"/>
  <c r="BZ36" i="5" s="1"/>
  <c r="BY37" i="5"/>
  <c r="BZ37" i="5" s="1"/>
  <c r="BY38" i="5"/>
  <c r="BZ38" i="5" s="1"/>
  <c r="BR258" i="5"/>
  <c r="BS258" i="5"/>
  <c r="BT258" i="5"/>
  <c r="BY65" i="5"/>
  <c r="BZ65" i="5" s="1"/>
  <c r="EN215" i="5"/>
  <c r="EN217" i="5"/>
  <c r="CU313" i="5"/>
  <c r="EN208" i="5"/>
  <c r="EN96" i="5"/>
  <c r="EF47" i="5"/>
  <c r="EF50" i="5"/>
  <c r="EF54" i="5"/>
  <c r="EF55" i="5"/>
  <c r="EF56" i="5"/>
  <c r="EF46" i="5"/>
  <c r="EF29" i="5"/>
  <c r="EF15" i="5"/>
  <c r="EF14" i="5"/>
  <c r="EF12" i="5"/>
  <c r="EF11" i="5"/>
  <c r="EF10" i="5"/>
  <c r="EK86" i="5"/>
  <c r="CM71" i="5"/>
  <c r="F59" i="33" s="1"/>
  <c r="CN71" i="5"/>
  <c r="H59" i="33" s="1"/>
  <c r="E71" i="5"/>
  <c r="C63" i="22" s="1"/>
  <c r="F71" i="5"/>
  <c r="E63" i="22" s="1"/>
  <c r="G71" i="5"/>
  <c r="G63" i="22" s="1"/>
  <c r="H71" i="5"/>
  <c r="I71" i="5"/>
  <c r="K63" i="22" s="1"/>
  <c r="P71" i="5"/>
  <c r="P66" i="5"/>
  <c r="BF65" i="5"/>
  <c r="EN19" i="5"/>
  <c r="EN21" i="5"/>
  <c r="CJ35" i="5"/>
  <c r="CU35" i="5"/>
  <c r="CJ36" i="5"/>
  <c r="CU36" i="5"/>
  <c r="EN42" i="5"/>
  <c r="EN44" i="5"/>
  <c r="EN45" i="5"/>
  <c r="CU56" i="5"/>
  <c r="E668" i="65" s="1"/>
  <c r="EN59" i="5"/>
  <c r="EN60" i="5"/>
  <c r="EN62" i="5"/>
  <c r="EN64" i="5"/>
  <c r="CJ65" i="5"/>
  <c r="CU65" i="5"/>
  <c r="CJ66" i="5"/>
  <c r="CU66" i="5"/>
  <c r="EL66" i="5"/>
  <c r="EL69" i="5" s="1"/>
  <c r="EN67" i="5"/>
  <c r="EN68" i="5"/>
  <c r="EN70" i="5"/>
  <c r="CL71" i="5"/>
  <c r="CQ71" i="5"/>
  <c r="P59" i="33" s="1"/>
  <c r="CR71" i="5"/>
  <c r="R59" i="33" s="1"/>
  <c r="CJ71" i="5"/>
  <c r="L63" i="30" s="1"/>
  <c r="EL71" i="5"/>
  <c r="EM71" i="5"/>
  <c r="EN72" i="5"/>
  <c r="EN74" i="5"/>
  <c r="EN76" i="5"/>
  <c r="EN78" i="5"/>
  <c r="EN79" i="5"/>
  <c r="EN80" i="5"/>
  <c r="EN87" i="5"/>
  <c r="EL88" i="5"/>
  <c r="EL93" i="5"/>
  <c r="EL100" i="5"/>
  <c r="EM100" i="5"/>
  <c r="EL111" i="5"/>
  <c r="EM111" i="5"/>
  <c r="EL113" i="5"/>
  <c r="DY154" i="5"/>
  <c r="EN115" i="5"/>
  <c r="EN129" i="5"/>
  <c r="EN130" i="5"/>
  <c r="EN131" i="5"/>
  <c r="EN155" i="5"/>
  <c r="EN175" i="5"/>
  <c r="EL177" i="5"/>
  <c r="EM177" i="5"/>
  <c r="EM194" i="5"/>
  <c r="EN219" i="5"/>
  <c r="EN220" i="5"/>
  <c r="EN221" i="5"/>
  <c r="EN222" i="5"/>
  <c r="CU223" i="5"/>
  <c r="CU225" i="5"/>
  <c r="CU226" i="5"/>
  <c r="CU227" i="5"/>
  <c r="CU228" i="5"/>
  <c r="CU229" i="5"/>
  <c r="CU230" i="5"/>
  <c r="BO331" i="5"/>
  <c r="EF154" i="5"/>
  <c r="BD154" i="5"/>
  <c r="CJ243" i="5"/>
  <c r="CJ242" i="5"/>
  <c r="CJ241" i="5"/>
  <c r="CJ240" i="5"/>
  <c r="CJ239" i="5"/>
  <c r="CJ238" i="5"/>
  <c r="CJ237" i="5"/>
  <c r="CJ236" i="5"/>
  <c r="CJ67" i="5"/>
  <c r="CJ57" i="5"/>
  <c r="CD55" i="5"/>
  <c r="CE55" i="5"/>
  <c r="CF55" i="5"/>
  <c r="CH55" i="5"/>
  <c r="CJ29" i="5"/>
  <c r="CJ28" i="5"/>
  <c r="CJ27" i="5"/>
  <c r="CJ26" i="5"/>
  <c r="CJ25" i="5"/>
  <c r="CJ24" i="5"/>
  <c r="CJ23" i="5"/>
  <c r="CJ22" i="5"/>
  <c r="CJ11" i="5"/>
  <c r="CU269" i="5"/>
  <c r="EM258" i="5"/>
  <c r="EL258" i="5"/>
  <c r="DY258" i="5"/>
  <c r="CU256" i="5"/>
  <c r="CU257" i="5"/>
  <c r="EM254" i="5"/>
  <c r="EL254" i="5"/>
  <c r="DY254" i="5"/>
  <c r="CU253" i="5"/>
  <c r="CU236" i="5"/>
  <c r="CU237" i="5"/>
  <c r="CU238" i="5"/>
  <c r="CU239" i="5"/>
  <c r="CU240" i="5"/>
  <c r="CU241" i="5"/>
  <c r="CU242" i="5"/>
  <c r="CU243" i="5"/>
  <c r="CU244" i="5"/>
  <c r="CU245" i="5"/>
  <c r="CU246" i="5"/>
  <c r="CU247" i="5"/>
  <c r="CU249" i="5"/>
  <c r="CU250" i="5"/>
  <c r="CU251" i="5"/>
  <c r="CU252" i="5"/>
  <c r="CU231" i="5"/>
  <c r="EJ50" i="5"/>
  <c r="CU290" i="5"/>
  <c r="CU291" i="5"/>
  <c r="CU296" i="5"/>
  <c r="CU297" i="5"/>
  <c r="CU298" i="5"/>
  <c r="CU299" i="5"/>
  <c r="CU300" i="5"/>
  <c r="CU301" i="5"/>
  <c r="CU302" i="5"/>
  <c r="CU303" i="5"/>
  <c r="CU304" i="5"/>
  <c r="CU305" i="5"/>
  <c r="CU306" i="5"/>
  <c r="CU307" i="5"/>
  <c r="CU309" i="5"/>
  <c r="CU310" i="5"/>
  <c r="CU311" i="5"/>
  <c r="CU312" i="5"/>
  <c r="CU316" i="5"/>
  <c r="CU317" i="5"/>
  <c r="CU329" i="5"/>
  <c r="BX331" i="5"/>
  <c r="DY318" i="5"/>
  <c r="DY314" i="5"/>
  <c r="DY292" i="5"/>
  <c r="B1" i="5"/>
  <c r="EM314" i="5"/>
  <c r="EM318" i="5"/>
  <c r="EM10" i="5"/>
  <c r="EM11" i="5"/>
  <c r="EM12" i="5"/>
  <c r="EM13" i="5"/>
  <c r="EM14" i="5"/>
  <c r="EM15" i="5"/>
  <c r="EM16" i="5"/>
  <c r="EM25" i="5"/>
  <c r="EM41" i="5" s="1"/>
  <c r="EM58" i="5"/>
  <c r="EM232" i="5"/>
  <c r="EL10" i="5"/>
  <c r="EL11" i="5"/>
  <c r="EL27" i="5"/>
  <c r="EL41" i="5" s="1"/>
  <c r="EL58" i="5"/>
  <c r="EL232" i="5"/>
  <c r="EM216" i="5"/>
  <c r="EL216" i="5"/>
  <c r="EM107" i="5"/>
  <c r="EL132" i="5"/>
  <c r="EL157" i="5"/>
  <c r="EL145" i="5"/>
  <c r="BY232" i="5"/>
  <c r="BF232" i="5"/>
  <c r="EE154" i="5"/>
  <c r="CI154" i="5"/>
  <c r="BO154" i="5"/>
  <c r="BE154" i="5"/>
  <c r="BE209" i="5" s="1"/>
  <c r="CU22" i="5"/>
  <c r="CU23" i="5"/>
  <c r="CU24" i="5"/>
  <c r="CU25" i="5"/>
  <c r="CU26" i="5"/>
  <c r="CU27" i="5"/>
  <c r="CU28" i="5"/>
  <c r="CU29" i="5"/>
  <c r="CU55" i="5"/>
  <c r="CU57" i="5"/>
  <c r="EE218" i="5"/>
  <c r="DY18" i="5"/>
  <c r="DY41" i="5"/>
  <c r="DY58" i="5"/>
  <c r="DY69" i="5"/>
  <c r="CP71" i="5"/>
  <c r="N59" i="33" s="1"/>
  <c r="BP232" i="5"/>
  <c r="EI231" i="5"/>
  <c r="EI230" i="5"/>
  <c r="EI229" i="5"/>
  <c r="EI228" i="5"/>
  <c r="EI227" i="5"/>
  <c r="EI226" i="5"/>
  <c r="EI225" i="5"/>
  <c r="EI223" i="5"/>
  <c r="CJ244" i="5"/>
  <c r="CU97" i="5"/>
  <c r="CC55" i="5"/>
  <c r="BY141" i="5"/>
  <c r="BZ141" i="5" s="1"/>
  <c r="CJ110" i="5"/>
  <c r="CJ232" i="5"/>
  <c r="CU99" i="5"/>
  <c r="CJ14" i="5"/>
  <c r="CK288" i="5"/>
  <c r="CW58" i="5"/>
  <c r="D57" i="5"/>
  <c r="P92" i="4"/>
  <c r="P92" i="5" s="1"/>
  <c r="P117" i="4"/>
  <c r="CG117" i="4"/>
  <c r="CO11" i="5"/>
  <c r="CO14" i="5"/>
  <c r="CQ11" i="5"/>
  <c r="CQ14" i="5"/>
  <c r="CP11" i="5"/>
  <c r="CP14" i="5"/>
  <c r="CR11" i="5"/>
  <c r="CR14" i="5"/>
  <c r="CM11" i="5"/>
  <c r="CM14" i="5"/>
  <c r="CN11" i="5"/>
  <c r="CN14" i="5"/>
  <c r="M28" i="31"/>
  <c r="CQ10" i="5"/>
  <c r="CL10" i="5"/>
  <c r="CL11" i="5"/>
  <c r="D28" i="31"/>
  <c r="CP10" i="5"/>
  <c r="CR10" i="5"/>
  <c r="CJ10" i="5"/>
  <c r="E557" i="65" s="1"/>
  <c r="K28" i="31"/>
  <c r="CM10" i="5"/>
  <c r="CN10" i="5"/>
  <c r="CO10" i="5"/>
  <c r="BR28" i="5"/>
  <c r="N34" i="10" s="1"/>
  <c r="BS28" i="5"/>
  <c r="BT54" i="5"/>
  <c r="BU28" i="5"/>
  <c r="BW28" i="5"/>
  <c r="L33" i="25" s="1"/>
  <c r="F51" i="33"/>
  <c r="F55" i="33"/>
  <c r="H51" i="33"/>
  <c r="H55" i="33"/>
  <c r="P51" i="33"/>
  <c r="P55" i="33"/>
  <c r="R51" i="33"/>
  <c r="R55" i="33"/>
  <c r="H55" i="14"/>
  <c r="H59" i="14"/>
  <c r="H63" i="14"/>
  <c r="D51" i="33"/>
  <c r="D55" i="33"/>
  <c r="N51" i="33"/>
  <c r="N55" i="33"/>
  <c r="B21" i="33"/>
  <c r="L21" i="33" s="1"/>
  <c r="B22" i="33"/>
  <c r="L22" i="33" s="1"/>
  <c r="B23" i="33"/>
  <c r="L23" i="33" s="1"/>
  <c r="B24" i="33"/>
  <c r="L24" i="33" s="1"/>
  <c r="B25" i="33"/>
  <c r="L25" i="33" s="1"/>
  <c r="B35" i="33"/>
  <c r="L35" i="33" s="1"/>
  <c r="T35" i="33" s="1"/>
  <c r="N37" i="14" s="1"/>
  <c r="B51" i="33"/>
  <c r="J51" i="33"/>
  <c r="B55" i="33"/>
  <c r="L55" i="33" s="1"/>
  <c r="J55" i="33"/>
  <c r="B59" i="33"/>
  <c r="L59" i="33" s="1"/>
  <c r="I37" i="32"/>
  <c r="I38" i="32"/>
  <c r="I12" i="32"/>
  <c r="C38" i="32"/>
  <c r="E38" i="32"/>
  <c r="G38" i="32"/>
  <c r="B38" i="32"/>
  <c r="K38" i="32" s="1"/>
  <c r="L38" i="32"/>
  <c r="N38" i="32"/>
  <c r="P38" i="32"/>
  <c r="I11" i="32"/>
  <c r="L10" i="32"/>
  <c r="B6" i="32"/>
  <c r="K6" i="32" s="1"/>
  <c r="B37" i="32"/>
  <c r="K37" i="32" s="1"/>
  <c r="B17" i="32"/>
  <c r="K17" i="32" s="1"/>
  <c r="B77" i="32"/>
  <c r="K77" i="32" s="1"/>
  <c r="K70" i="32"/>
  <c r="K60" i="32"/>
  <c r="B62" i="32"/>
  <c r="K62" i="32" s="1"/>
  <c r="B48" i="32"/>
  <c r="K48" i="32" s="1"/>
  <c r="B47" i="32"/>
  <c r="K47" i="32" s="1"/>
  <c r="B14" i="32"/>
  <c r="K14" i="32" s="1"/>
  <c r="K42" i="32"/>
  <c r="B28" i="32"/>
  <c r="K28" i="32" s="1"/>
  <c r="K26" i="32"/>
  <c r="K88" i="32"/>
  <c r="K86" i="32"/>
  <c r="K72" i="32"/>
  <c r="K44" i="32"/>
  <c r="B29" i="32"/>
  <c r="K29" i="32" s="1"/>
  <c r="B13" i="32"/>
  <c r="K13" i="32" s="1"/>
  <c r="R12" i="32"/>
  <c r="P12" i="32"/>
  <c r="N12" i="32"/>
  <c r="L12" i="32"/>
  <c r="G12" i="32"/>
  <c r="E12" i="32"/>
  <c r="C12" i="32"/>
  <c r="R11" i="32"/>
  <c r="P11" i="32"/>
  <c r="N11" i="32"/>
  <c r="L11" i="32"/>
  <c r="G11" i="32"/>
  <c r="E11" i="32"/>
  <c r="C11" i="32"/>
  <c r="R10" i="32"/>
  <c r="E10" i="32"/>
  <c r="C10" i="32"/>
  <c r="K5" i="32"/>
  <c r="K4" i="32"/>
  <c r="K3" i="32"/>
  <c r="L4" i="34"/>
  <c r="T139" i="34"/>
  <c r="T138" i="34"/>
  <c r="T136" i="34"/>
  <c r="T135" i="34"/>
  <c r="T134" i="34"/>
  <c r="T133" i="34"/>
  <c r="T130" i="34"/>
  <c r="T129" i="34"/>
  <c r="T128" i="34"/>
  <c r="T127" i="34"/>
  <c r="T126" i="34"/>
  <c r="T124" i="34"/>
  <c r="T123" i="34"/>
  <c r="T122" i="34"/>
  <c r="T121" i="34"/>
  <c r="T119" i="34"/>
  <c r="T118" i="34"/>
  <c r="T117" i="34"/>
  <c r="T104" i="34"/>
  <c r="N111" i="15" s="1"/>
  <c r="R88" i="34"/>
  <c r="P88" i="34"/>
  <c r="N88" i="34"/>
  <c r="I88" i="34"/>
  <c r="E88" i="34"/>
  <c r="B6" i="34"/>
  <c r="L6" i="34" s="1"/>
  <c r="T97" i="34"/>
  <c r="L3" i="33"/>
  <c r="L4" i="33"/>
  <c r="L5" i="33"/>
  <c r="L6" i="33"/>
  <c r="B7" i="33"/>
  <c r="L7" i="33" s="1"/>
  <c r="B61" i="33"/>
  <c r="L61" i="33" s="1"/>
  <c r="B57" i="33"/>
  <c r="L57" i="33" s="1"/>
  <c r="B49" i="33"/>
  <c r="L49" i="33" s="1"/>
  <c r="L40" i="33"/>
  <c r="L31" i="33"/>
  <c r="B29" i="33"/>
  <c r="L29" i="33" s="1"/>
  <c r="L20" i="33"/>
  <c r="L18" i="33"/>
  <c r="L14" i="33"/>
  <c r="AQ5" i="3"/>
  <c r="AQ29" i="3" s="1"/>
  <c r="J42" i="3"/>
  <c r="H42" i="3"/>
  <c r="F42" i="3"/>
  <c r="D42" i="3"/>
  <c r="F61" i="13"/>
  <c r="F64" i="13"/>
  <c r="H64" i="13"/>
  <c r="F67" i="13"/>
  <c r="H67" i="13"/>
  <c r="F68" i="13"/>
  <c r="H68" i="13"/>
  <c r="J68" i="13"/>
  <c r="C32" i="12"/>
  <c r="D32" i="12"/>
  <c r="E58" i="12"/>
  <c r="E62" i="12"/>
  <c r="D15" i="12"/>
  <c r="D16" i="12"/>
  <c r="D17" i="12"/>
  <c r="D18" i="12"/>
  <c r="D19" i="12"/>
  <c r="D20" i="12"/>
  <c r="D21" i="12"/>
  <c r="D33" i="12"/>
  <c r="D34" i="12"/>
  <c r="D35" i="12"/>
  <c r="D36" i="12"/>
  <c r="D37" i="12"/>
  <c r="D38" i="12"/>
  <c r="F38" i="12" s="1"/>
  <c r="D45" i="12"/>
  <c r="C16" i="12"/>
  <c r="C17" i="12"/>
  <c r="C18" i="12"/>
  <c r="C19" i="12"/>
  <c r="C20" i="12"/>
  <c r="C21" i="12"/>
  <c r="C33" i="12"/>
  <c r="C34" i="12"/>
  <c r="C35" i="12"/>
  <c r="C36" i="12"/>
  <c r="C37" i="12"/>
  <c r="C38" i="12"/>
  <c r="C45" i="12"/>
  <c r="C50" i="12" s="1"/>
  <c r="B6" i="12"/>
  <c r="B14" i="12"/>
  <c r="B15" i="12"/>
  <c r="B16" i="12"/>
  <c r="B17" i="12"/>
  <c r="B18" i="12"/>
  <c r="B19" i="12"/>
  <c r="B20" i="12"/>
  <c r="B21" i="12"/>
  <c r="B23" i="12"/>
  <c r="B25" i="12"/>
  <c r="B26" i="12"/>
  <c r="B27" i="12"/>
  <c r="B33" i="12"/>
  <c r="B34" i="12"/>
  <c r="B35" i="12"/>
  <c r="B36" i="12"/>
  <c r="B37" i="12"/>
  <c r="B38" i="12"/>
  <c r="B40" i="12"/>
  <c r="B41" i="12"/>
  <c r="B42" i="12"/>
  <c r="B44" i="12"/>
  <c r="B45" i="12"/>
  <c r="B50" i="12"/>
  <c r="B52" i="12"/>
  <c r="B54" i="12"/>
  <c r="B56" i="12"/>
  <c r="B58" i="12"/>
  <c r="B60" i="12"/>
  <c r="B62" i="12"/>
  <c r="B64" i="12"/>
  <c r="B8" i="52"/>
  <c r="B43" i="52"/>
  <c r="B39" i="52"/>
  <c r="B38" i="52"/>
  <c r="B36" i="52"/>
  <c r="B37" i="52"/>
  <c r="B47" i="52"/>
  <c r="B41" i="52"/>
  <c r="B20" i="52"/>
  <c r="B21" i="52"/>
  <c r="B16" i="52"/>
  <c r="B17" i="52"/>
  <c r="B18" i="52"/>
  <c r="B19" i="52"/>
  <c r="B22" i="52"/>
  <c r="B23" i="52"/>
  <c r="B24" i="52"/>
  <c r="B51" i="52"/>
  <c r="B49" i="52"/>
  <c r="B35" i="52"/>
  <c r="B34" i="52"/>
  <c r="B32" i="52"/>
  <c r="B15" i="52"/>
  <c r="B9" i="53"/>
  <c r="B40" i="53"/>
  <c r="B39" i="53"/>
  <c r="B60" i="53"/>
  <c r="B58" i="53"/>
  <c r="B56" i="53"/>
  <c r="B54" i="53"/>
  <c r="B52" i="53"/>
  <c r="B50" i="53"/>
  <c r="B47" i="53"/>
  <c r="B43" i="53"/>
  <c r="B44" i="53"/>
  <c r="B42" i="53"/>
  <c r="B35" i="53"/>
  <c r="B36" i="53"/>
  <c r="B31" i="53"/>
  <c r="B32" i="53"/>
  <c r="B33" i="53"/>
  <c r="B34" i="53"/>
  <c r="B29" i="53"/>
  <c r="B30" i="53"/>
  <c r="B28" i="53"/>
  <c r="B23" i="53"/>
  <c r="B21" i="53"/>
  <c r="B17" i="53"/>
  <c r="B18" i="53"/>
  <c r="B19" i="53"/>
  <c r="B45" i="53"/>
  <c r="B22" i="53"/>
  <c r="B20" i="53"/>
  <c r="L111" i="15"/>
  <c r="H120" i="15"/>
  <c r="N120" i="15"/>
  <c r="L99" i="15"/>
  <c r="B6" i="15"/>
  <c r="B78" i="13"/>
  <c r="B70" i="13"/>
  <c r="H11" i="13"/>
  <c r="H12" i="13"/>
  <c r="H108" i="13"/>
  <c r="H110" i="13"/>
  <c r="H111" i="13"/>
  <c r="B39" i="13"/>
  <c r="F108" i="13"/>
  <c r="F110" i="13"/>
  <c r="F111" i="13"/>
  <c r="B37" i="13"/>
  <c r="B38" i="13"/>
  <c r="B6" i="13"/>
  <c r="B113" i="13"/>
  <c r="B112" i="13"/>
  <c r="B107" i="13"/>
  <c r="B73" i="13"/>
  <c r="B68" i="13"/>
  <c r="B59" i="13"/>
  <c r="B30" i="13"/>
  <c r="B31" i="13"/>
  <c r="B35" i="13"/>
  <c r="B15" i="13"/>
  <c r="B16" i="13"/>
  <c r="B18" i="13"/>
  <c r="B20" i="13"/>
  <c r="B19" i="13"/>
  <c r="B22" i="13"/>
  <c r="B23" i="13"/>
  <c r="B24" i="13"/>
  <c r="B36" i="13"/>
  <c r="B28" i="13"/>
  <c r="B14" i="13"/>
  <c r="U15" i="13"/>
  <c r="U114" i="13"/>
  <c r="U116" i="13" s="1"/>
  <c r="U19" i="13"/>
  <c r="U87" i="13"/>
  <c r="U18" i="13"/>
  <c r="U35" i="13"/>
  <c r="U37" i="13"/>
  <c r="B64" i="13"/>
  <c r="B67" i="13"/>
  <c r="B66" i="13"/>
  <c r="B111" i="13"/>
  <c r="B110" i="13"/>
  <c r="B69" i="13"/>
  <c r="B62" i="13"/>
  <c r="B114" i="13"/>
  <c r="B108" i="13"/>
  <c r="B77" i="13"/>
  <c r="B75" i="13"/>
  <c r="B74" i="13"/>
  <c r="B61" i="13"/>
  <c r="B60" i="13"/>
  <c r="B29" i="13"/>
  <c r="B17" i="13"/>
  <c r="B13" i="13"/>
  <c r="B37" i="14"/>
  <c r="B33" i="14"/>
  <c r="J84" i="14"/>
  <c r="B49" i="14"/>
  <c r="B7" i="14"/>
  <c r="B61" i="14"/>
  <c r="B36" i="14"/>
  <c r="B55" i="14"/>
  <c r="B59" i="14"/>
  <c r="B63" i="14"/>
  <c r="B26" i="14"/>
  <c r="B25" i="14"/>
  <c r="B24" i="14"/>
  <c r="B23" i="14"/>
  <c r="B22" i="14"/>
  <c r="B17" i="14"/>
  <c r="B16" i="14"/>
  <c r="M60" i="19"/>
  <c r="X60" i="19" s="1"/>
  <c r="AI45" i="19"/>
  <c r="DK45" i="19" s="1"/>
  <c r="B6" i="19"/>
  <c r="M6" i="19" s="1"/>
  <c r="X6" i="19" s="1"/>
  <c r="AI6" i="19" s="1"/>
  <c r="AT6" i="19" s="1"/>
  <c r="M5" i="19"/>
  <c r="X5" i="19" s="1"/>
  <c r="AI5" i="19" s="1"/>
  <c r="AT5" i="19" s="1"/>
  <c r="M4" i="19"/>
  <c r="X4" i="19" s="1"/>
  <c r="AI4" i="19" s="1"/>
  <c r="AT4" i="19" s="1"/>
  <c r="M3" i="19"/>
  <c r="X3" i="19" s="1"/>
  <c r="AI3" i="19" s="1"/>
  <c r="AT3" i="19" s="1"/>
  <c r="CL12" i="19"/>
  <c r="AP10" i="19"/>
  <c r="AP11" i="19"/>
  <c r="AP12" i="19"/>
  <c r="C11" i="19"/>
  <c r="C12" i="19"/>
  <c r="C10" i="19"/>
  <c r="DC10" i="19"/>
  <c r="E11" i="19"/>
  <c r="E12" i="19"/>
  <c r="E10" i="19"/>
  <c r="G12" i="19"/>
  <c r="G11" i="19"/>
  <c r="P11" i="19"/>
  <c r="P12" i="19"/>
  <c r="X45" i="19"/>
  <c r="CT45" i="19" s="1"/>
  <c r="DC11" i="19"/>
  <c r="DC12" i="19"/>
  <c r="CU12" i="19"/>
  <c r="M45" i="19"/>
  <c r="CG45" i="19" s="1"/>
  <c r="AA12" i="19"/>
  <c r="AA11" i="19"/>
  <c r="DZ10" i="19"/>
  <c r="DZ11" i="19"/>
  <c r="DZ12" i="19"/>
  <c r="BL10" i="19"/>
  <c r="BL11" i="19"/>
  <c r="BL12" i="19"/>
  <c r="BT45" i="19"/>
  <c r="AT45" i="19"/>
  <c r="BJ12" i="19"/>
  <c r="BP12" i="19"/>
  <c r="BN12" i="19"/>
  <c r="CN12" i="19"/>
  <c r="AR12" i="19"/>
  <c r="DA12" i="19"/>
  <c r="AU12" i="19"/>
  <c r="BH12" i="19"/>
  <c r="AN12" i="19"/>
  <c r="AL12" i="19"/>
  <c r="K12" i="19"/>
  <c r="AJ12" i="19"/>
  <c r="AG12" i="19"/>
  <c r="AE12" i="19"/>
  <c r="AC12" i="19"/>
  <c r="BA12" i="19"/>
  <c r="AY12" i="19"/>
  <c r="Y12" i="19"/>
  <c r="I12" i="19"/>
  <c r="N12" i="19"/>
  <c r="BJ11" i="19"/>
  <c r="BP11" i="19"/>
  <c r="BN11" i="19"/>
  <c r="CN11" i="19"/>
  <c r="AR11" i="19"/>
  <c r="DA11" i="19"/>
  <c r="AU11" i="19"/>
  <c r="BH11" i="19"/>
  <c r="AN11" i="19"/>
  <c r="AL11" i="19"/>
  <c r="K11" i="19"/>
  <c r="AG11" i="19"/>
  <c r="AC11" i="19"/>
  <c r="BA11" i="19"/>
  <c r="AY11" i="19"/>
  <c r="I11" i="19"/>
  <c r="P10" i="19"/>
  <c r="BJ10" i="19"/>
  <c r="BP10" i="19"/>
  <c r="BN10" i="19"/>
  <c r="JA57" i="26"/>
  <c r="JA56" i="26"/>
  <c r="JA55" i="26"/>
  <c r="JB54" i="26"/>
  <c r="JA54" i="26"/>
  <c r="JA31" i="26"/>
  <c r="JB31" i="26"/>
  <c r="JA34" i="26"/>
  <c r="JB34" i="26"/>
  <c r="JA37" i="26"/>
  <c r="JB37" i="26"/>
  <c r="JA40" i="26"/>
  <c r="JB40" i="26"/>
  <c r="JA43" i="26"/>
  <c r="JA46" i="26"/>
  <c r="JA47" i="26"/>
  <c r="JB28" i="26"/>
  <c r="JA28" i="26"/>
  <c r="JA18" i="26"/>
  <c r="JA19" i="26"/>
  <c r="JA20" i="26"/>
  <c r="JA21" i="26"/>
  <c r="JA22" i="26"/>
  <c r="JA17" i="26"/>
  <c r="JA16" i="26"/>
  <c r="DY69" i="26"/>
  <c r="DA12" i="22"/>
  <c r="DA13" i="22"/>
  <c r="C12" i="22"/>
  <c r="E12" i="22"/>
  <c r="G12" i="22"/>
  <c r="I12" i="22"/>
  <c r="K12" i="22"/>
  <c r="P12" i="22"/>
  <c r="AA12" i="22"/>
  <c r="AC12" i="22"/>
  <c r="AG12" i="22"/>
  <c r="AL12" i="22"/>
  <c r="AN12" i="22"/>
  <c r="AP12" i="22"/>
  <c r="AR12" i="22"/>
  <c r="AU12" i="22"/>
  <c r="AY12" i="22"/>
  <c r="BA12" i="22"/>
  <c r="BH12" i="22"/>
  <c r="BJ12" i="22"/>
  <c r="BL12" i="22"/>
  <c r="BN12" i="22"/>
  <c r="BP12" i="22"/>
  <c r="CN12" i="22"/>
  <c r="DC12" i="22"/>
  <c r="DU12" i="22"/>
  <c r="EC12" i="22"/>
  <c r="G13" i="22"/>
  <c r="B61" i="22"/>
  <c r="M61" i="22" s="1"/>
  <c r="CG61" i="22" s="1"/>
  <c r="B52" i="22"/>
  <c r="DN52" i="22" s="1"/>
  <c r="B40" i="22"/>
  <c r="BG40" i="22" s="1"/>
  <c r="B38" i="22"/>
  <c r="X38" i="22" s="1"/>
  <c r="B37" i="22"/>
  <c r="BG37" i="22" s="1"/>
  <c r="B26" i="22"/>
  <c r="X26" i="22" s="1"/>
  <c r="B25" i="22"/>
  <c r="M25" i="22" s="1"/>
  <c r="CG25" i="22" s="1"/>
  <c r="B14" i="22"/>
  <c r="M14" i="22" s="1"/>
  <c r="CG14" i="22" s="1"/>
  <c r="B6" i="22"/>
  <c r="AI5" i="22"/>
  <c r="AI4" i="22"/>
  <c r="AI3" i="22"/>
  <c r="CL13" i="22"/>
  <c r="AP11" i="22"/>
  <c r="AP13" i="22"/>
  <c r="AR13" i="22"/>
  <c r="C13" i="22"/>
  <c r="C11" i="22"/>
  <c r="DC11" i="22"/>
  <c r="E13" i="22"/>
  <c r="E11" i="22"/>
  <c r="P13" i="22"/>
  <c r="P11" i="22"/>
  <c r="M3" i="22"/>
  <c r="DN3" i="22" s="1"/>
  <c r="M4" i="22"/>
  <c r="DN4" i="22" s="1"/>
  <c r="M5" i="22"/>
  <c r="DN5" i="22" s="1"/>
  <c r="X5" i="22"/>
  <c r="X4" i="22"/>
  <c r="X3" i="22"/>
  <c r="DU13" i="22"/>
  <c r="DC13" i="22"/>
  <c r="CU13" i="22"/>
  <c r="AA13" i="22"/>
  <c r="BL13" i="22"/>
  <c r="BL11" i="22"/>
  <c r="EC13" i="22"/>
  <c r="BJ13" i="22"/>
  <c r="BP13" i="22"/>
  <c r="BN13" i="22"/>
  <c r="CN13" i="22"/>
  <c r="AU13" i="22"/>
  <c r="BH13" i="22"/>
  <c r="AN13" i="22"/>
  <c r="AL13" i="22"/>
  <c r="K13" i="22"/>
  <c r="AJ13" i="22"/>
  <c r="AG13" i="22"/>
  <c r="AE13" i="22"/>
  <c r="AC13" i="22"/>
  <c r="BA13" i="22"/>
  <c r="AY13" i="22"/>
  <c r="Y13" i="22"/>
  <c r="I13" i="22"/>
  <c r="N13" i="22"/>
  <c r="EC11" i="22"/>
  <c r="BJ11" i="22"/>
  <c r="BP11" i="22"/>
  <c r="BN11" i="22"/>
  <c r="BT5" i="22"/>
  <c r="BG5" i="22"/>
  <c r="AT5" i="22"/>
  <c r="BT4" i="22"/>
  <c r="AT4" i="22"/>
  <c r="BT3" i="22"/>
  <c r="BG3" i="22"/>
  <c r="AT3" i="22"/>
  <c r="EI68" i="22"/>
  <c r="AL34" i="7"/>
  <c r="AL46" i="7"/>
  <c r="E156" i="7"/>
  <c r="E153" i="7"/>
  <c r="E152" i="7"/>
  <c r="E151" i="7"/>
  <c r="E150" i="7"/>
  <c r="E149" i="7"/>
  <c r="E148" i="7"/>
  <c r="B221" i="7"/>
  <c r="B219" i="7"/>
  <c r="G34" i="7"/>
  <c r="G128" i="6"/>
  <c r="I128" i="6" s="1"/>
  <c r="G129" i="6"/>
  <c r="I129" i="6" s="1"/>
  <c r="M27" i="6"/>
  <c r="R27" i="6" s="1"/>
  <c r="N93" i="6"/>
  <c r="U80" i="6"/>
  <c r="G60" i="6"/>
  <c r="G85" i="6"/>
  <c r="G62" i="6"/>
  <c r="G39" i="6"/>
  <c r="R60" i="6"/>
  <c r="Q94" i="6"/>
  <c r="R39" i="6"/>
  <c r="B130" i="6"/>
  <c r="B127" i="6"/>
  <c r="B123" i="6"/>
  <c r="B122" i="6"/>
  <c r="B114" i="6"/>
  <c r="B113" i="6"/>
  <c r="B86" i="6"/>
  <c r="B84" i="6"/>
  <c r="B87" i="6"/>
  <c r="B88" i="6"/>
  <c r="B83" i="6"/>
  <c r="B80" i="6"/>
  <c r="B76" i="6"/>
  <c r="B75" i="6"/>
  <c r="B74" i="6"/>
  <c r="B72" i="6"/>
  <c r="B64" i="6"/>
  <c r="B63" i="6"/>
  <c r="B71" i="6"/>
  <c r="B61" i="6"/>
  <c r="B60" i="6"/>
  <c r="B59" i="6"/>
  <c r="B37" i="6"/>
  <c r="B36" i="6"/>
  <c r="B35" i="6"/>
  <c r="B34" i="6"/>
  <c r="B33" i="6"/>
  <c r="B30" i="6"/>
  <c r="B29" i="6"/>
  <c r="B28" i="6"/>
  <c r="B27" i="6"/>
  <c r="B26" i="6"/>
  <c r="B24" i="6"/>
  <c r="B23" i="6"/>
  <c r="B22" i="6"/>
  <c r="B19" i="6"/>
  <c r="B18" i="6"/>
  <c r="B16" i="6"/>
  <c r="B15" i="6"/>
  <c r="B14" i="6"/>
  <c r="B13" i="6"/>
  <c r="B12" i="6"/>
  <c r="AH94" i="6"/>
  <c r="R127" i="6"/>
  <c r="G34" i="6"/>
  <c r="I34" i="6" s="1"/>
  <c r="D84" i="4"/>
  <c r="BW27" i="5"/>
  <c r="L32" i="25" s="1"/>
  <c r="CU47" i="4"/>
  <c r="CX171" i="4"/>
  <c r="CX112" i="4"/>
  <c r="CQ42" i="4"/>
  <c r="CC54" i="5"/>
  <c r="CP18" i="4"/>
  <c r="CP19" i="4" s="1"/>
  <c r="BK22" i="4"/>
  <c r="BK23" i="4"/>
  <c r="BK25" i="4"/>
  <c r="BK26" i="4"/>
  <c r="BK27" i="4"/>
  <c r="BD41" i="4"/>
  <c r="BD42" i="4" s="1"/>
  <c r="CC118" i="4"/>
  <c r="CC119" i="4"/>
  <c r="CC120" i="4"/>
  <c r="CC122" i="4"/>
  <c r="CC123" i="4"/>
  <c r="CC124" i="4"/>
  <c r="CC125" i="4"/>
  <c r="CC127" i="4"/>
  <c r="CC128" i="4"/>
  <c r="CC129" i="4"/>
  <c r="CC132" i="4"/>
  <c r="CC133" i="4"/>
  <c r="CC134" i="4"/>
  <c r="CC84" i="4"/>
  <c r="CC87" i="4"/>
  <c r="CC92" i="4"/>
  <c r="CC93" i="4"/>
  <c r="CC93" i="5" s="1"/>
  <c r="H23" i="13" s="1"/>
  <c r="CC94" i="4"/>
  <c r="CC97" i="4"/>
  <c r="CC99" i="4"/>
  <c r="CC100" i="4"/>
  <c r="CC101" i="4"/>
  <c r="CC102" i="4"/>
  <c r="CC103" i="4"/>
  <c r="CC104" i="4"/>
  <c r="CC105" i="4"/>
  <c r="CC107" i="4"/>
  <c r="CC108" i="4"/>
  <c r="CC109" i="4"/>
  <c r="CC110" i="4"/>
  <c r="CC111" i="4"/>
  <c r="BP186" i="4"/>
  <c r="BP169" i="4"/>
  <c r="BP168" i="4"/>
  <c r="BP167" i="4"/>
  <c r="BP166" i="4"/>
  <c r="BP165" i="4"/>
  <c r="BP164" i="4"/>
  <c r="BP163" i="4"/>
  <c r="BP162" i="4"/>
  <c r="BP160" i="4"/>
  <c r="BP159" i="4"/>
  <c r="BP158" i="4"/>
  <c r="BP129" i="4"/>
  <c r="BP121" i="4"/>
  <c r="BQ121" i="4" s="1"/>
  <c r="BP107" i="4"/>
  <c r="BP92" i="4"/>
  <c r="BP72" i="4"/>
  <c r="BP69" i="4"/>
  <c r="BP68" i="4"/>
  <c r="BP65" i="4"/>
  <c r="BP64" i="4"/>
  <c r="BP63" i="4"/>
  <c r="BP62" i="4"/>
  <c r="BP55" i="4"/>
  <c r="BP53" i="4"/>
  <c r="BP52" i="4"/>
  <c r="BP40" i="4"/>
  <c r="BP39" i="4"/>
  <c r="BP38" i="4"/>
  <c r="BP37" i="4"/>
  <c r="BP36" i="4"/>
  <c r="BP35" i="4"/>
  <c r="BP34" i="4"/>
  <c r="BP33" i="4"/>
  <c r="BP32" i="4"/>
  <c r="BP31" i="4"/>
  <c r="BP30" i="4"/>
  <c r="CR171" i="4"/>
  <c r="CR73" i="4" s="1"/>
  <c r="CQ67" i="4"/>
  <c r="CP171" i="4"/>
  <c r="CP73" i="4" s="1"/>
  <c r="CO171" i="4"/>
  <c r="CO67" i="4"/>
  <c r="CJ156" i="4"/>
  <c r="CJ157" i="4"/>
  <c r="CJ158" i="4"/>
  <c r="CJ159" i="4"/>
  <c r="CJ160" i="4"/>
  <c r="CJ162" i="4"/>
  <c r="CJ163" i="4"/>
  <c r="CJ164" i="4"/>
  <c r="CJ146" i="4"/>
  <c r="CJ147" i="4"/>
  <c r="CJ148" i="4"/>
  <c r="CJ149" i="4"/>
  <c r="CJ150" i="4"/>
  <c r="CJ151" i="4"/>
  <c r="CJ152" i="4"/>
  <c r="CJ153" i="4"/>
  <c r="CJ165" i="4"/>
  <c r="CJ166" i="4"/>
  <c r="CJ167" i="4"/>
  <c r="CJ168" i="4"/>
  <c r="CJ169" i="4"/>
  <c r="CG171" i="4"/>
  <c r="BY157" i="4"/>
  <c r="BY158" i="4"/>
  <c r="BY160" i="4"/>
  <c r="BY163" i="4"/>
  <c r="BY169" i="4"/>
  <c r="D87" i="4"/>
  <c r="E87" i="4"/>
  <c r="F87" i="4"/>
  <c r="G87" i="4"/>
  <c r="H87" i="4"/>
  <c r="I87" i="4"/>
  <c r="J87" i="4"/>
  <c r="K87" i="4"/>
  <c r="M87" i="4"/>
  <c r="P87" i="4"/>
  <c r="Q87" i="4"/>
  <c r="R87" i="4"/>
  <c r="S87" i="4"/>
  <c r="T87" i="4"/>
  <c r="U87" i="4"/>
  <c r="V87" i="4"/>
  <c r="W87" i="4"/>
  <c r="X87" i="4"/>
  <c r="Y87" i="4"/>
  <c r="Z87" i="4"/>
  <c r="AA87" i="4"/>
  <c r="AC87" i="4"/>
  <c r="AD87" i="4"/>
  <c r="AE87" i="4"/>
  <c r="AF87" i="4"/>
  <c r="AG87" i="4"/>
  <c r="AH87" i="4"/>
  <c r="AI87" i="4"/>
  <c r="AJ87" i="4"/>
  <c r="BR87" i="4"/>
  <c r="BS87" i="4"/>
  <c r="BT87" i="4"/>
  <c r="BU87" i="4"/>
  <c r="CB87" i="4"/>
  <c r="CL87" i="4"/>
  <c r="CN87" i="4"/>
  <c r="CO87" i="4"/>
  <c r="CP87" i="4"/>
  <c r="CQ87" i="4"/>
  <c r="CR87" i="4"/>
  <c r="EE87" i="4"/>
  <c r="CB92" i="4"/>
  <c r="CD92" i="4"/>
  <c r="CE92" i="4"/>
  <c r="CF92" i="4"/>
  <c r="CG92" i="4"/>
  <c r="CH92" i="4"/>
  <c r="CL92" i="4"/>
  <c r="CN92" i="4"/>
  <c r="CO92" i="4"/>
  <c r="CP92" i="4"/>
  <c r="CQ92" i="4"/>
  <c r="CR92" i="4"/>
  <c r="DW92" i="4"/>
  <c r="EE92" i="4" s="1"/>
  <c r="EE153" i="4"/>
  <c r="EE145" i="4"/>
  <c r="EE135" i="4"/>
  <c r="CW109" i="4"/>
  <c r="CW112" i="4" s="1"/>
  <c r="EC112" i="4"/>
  <c r="EE30" i="4"/>
  <c r="CZ171" i="4"/>
  <c r="CZ73" i="4" s="1"/>
  <c r="CZ75" i="4" s="1"/>
  <c r="DA171" i="4"/>
  <c r="DA73" i="4" s="1"/>
  <c r="DA75" i="4" s="1"/>
  <c r="DB171" i="4"/>
  <c r="DC171" i="4"/>
  <c r="DD171" i="4"/>
  <c r="DE171" i="4"/>
  <c r="DF171" i="4"/>
  <c r="DF73" i="4" s="1"/>
  <c r="DF75" i="4" s="1"/>
  <c r="DG171" i="4"/>
  <c r="DG73" i="4" s="1"/>
  <c r="DG75" i="4" s="1"/>
  <c r="DH171" i="4"/>
  <c r="DH73" i="4" s="1"/>
  <c r="DH75" i="4" s="1"/>
  <c r="DI171" i="4"/>
  <c r="DJ171" i="4"/>
  <c r="DK171" i="4"/>
  <c r="DL171" i="4"/>
  <c r="DM171" i="4"/>
  <c r="DM73" i="4" s="1"/>
  <c r="DM75" i="4" s="1"/>
  <c r="DN171" i="4"/>
  <c r="DQ171" i="4"/>
  <c r="DR171" i="4"/>
  <c r="DS171" i="4"/>
  <c r="DO171" i="4"/>
  <c r="DW121" i="4"/>
  <c r="EE121" i="4" s="1"/>
  <c r="DW123" i="4"/>
  <c r="EE123" i="4" s="1"/>
  <c r="CZ112" i="4"/>
  <c r="DA112" i="4"/>
  <c r="DB112" i="4"/>
  <c r="DC112" i="4"/>
  <c r="DD112" i="4"/>
  <c r="DE112" i="4"/>
  <c r="DF112" i="4"/>
  <c r="DG112" i="4"/>
  <c r="DH112" i="4"/>
  <c r="DI112" i="4"/>
  <c r="DJ112" i="4"/>
  <c r="DK112" i="4"/>
  <c r="DW169" i="4"/>
  <c r="EE169" i="4" s="1"/>
  <c r="DW168" i="4"/>
  <c r="EE168" i="4" s="1"/>
  <c r="DW167" i="4"/>
  <c r="EE167" i="4" s="1"/>
  <c r="DW166" i="4"/>
  <c r="EE166" i="4" s="1"/>
  <c r="DW165" i="4"/>
  <c r="EE165" i="4" s="1"/>
  <c r="DW164" i="4"/>
  <c r="EE164" i="4" s="1"/>
  <c r="DW163" i="4"/>
  <c r="EE163" i="4" s="1"/>
  <c r="DW162" i="4"/>
  <c r="EE162" i="4" s="1"/>
  <c r="DW160" i="4"/>
  <c r="EE160" i="4" s="1"/>
  <c r="DW159" i="4"/>
  <c r="EE159" i="4" s="1"/>
  <c r="DW158" i="4"/>
  <c r="EE158" i="4" s="1"/>
  <c r="DW157" i="4"/>
  <c r="EE157" i="4" s="1"/>
  <c r="DW156" i="4"/>
  <c r="EE156" i="4" s="1"/>
  <c r="DW155" i="4"/>
  <c r="DW154" i="4"/>
  <c r="DW152" i="4"/>
  <c r="EE152" i="4" s="1"/>
  <c r="DW151" i="4"/>
  <c r="EE151" i="4" s="1"/>
  <c r="DW150" i="4"/>
  <c r="EE150" i="4" s="1"/>
  <c r="DW149" i="4"/>
  <c r="EE149" i="4" s="1"/>
  <c r="DW148" i="4"/>
  <c r="EE148" i="4" s="1"/>
  <c r="DW147" i="4"/>
  <c r="EE147" i="4" s="1"/>
  <c r="DW146" i="4"/>
  <c r="EE146" i="4" s="1"/>
  <c r="DW134" i="4"/>
  <c r="EE134" i="4" s="1"/>
  <c r="DW133" i="4"/>
  <c r="EE133" i="4" s="1"/>
  <c r="DW132" i="4"/>
  <c r="EE132" i="4" s="1"/>
  <c r="DW131" i="4"/>
  <c r="EE131" i="4" s="1"/>
  <c r="DW130" i="4"/>
  <c r="EE130" i="4" s="1"/>
  <c r="DW129" i="4"/>
  <c r="EE129" i="4" s="1"/>
  <c r="DW128" i="4"/>
  <c r="EE128" i="4" s="1"/>
  <c r="DW127" i="4"/>
  <c r="EE127" i="4" s="1"/>
  <c r="DW126" i="4"/>
  <c r="EE126" i="4" s="1"/>
  <c r="DW125" i="4"/>
  <c r="EE125" i="4" s="1"/>
  <c r="DW124" i="4"/>
  <c r="EE124" i="4" s="1"/>
  <c r="DW122" i="4"/>
  <c r="EE122" i="4" s="1"/>
  <c r="DW118" i="4"/>
  <c r="EE118" i="4" s="1"/>
  <c r="DW111" i="4"/>
  <c r="EE111" i="4" s="1"/>
  <c r="DW110" i="4"/>
  <c r="EE110" i="4" s="1"/>
  <c r="DW109" i="4"/>
  <c r="DW108" i="4"/>
  <c r="EE108" i="4" s="1"/>
  <c r="DW107" i="4"/>
  <c r="EE107" i="4" s="1"/>
  <c r="DW106" i="4"/>
  <c r="DW105" i="4"/>
  <c r="EE105" i="4" s="1"/>
  <c r="DW104" i="4"/>
  <c r="EE104" i="4" s="1"/>
  <c r="DW103" i="4"/>
  <c r="EE103" i="4" s="1"/>
  <c r="DW102" i="4"/>
  <c r="EE102" i="4" s="1"/>
  <c r="DW101" i="4"/>
  <c r="EE101" i="4" s="1"/>
  <c r="DW99" i="4"/>
  <c r="EE99" i="4" s="1"/>
  <c r="DW98" i="4"/>
  <c r="EE98" i="4" s="1"/>
  <c r="DW97" i="4"/>
  <c r="EE97" i="4" s="1"/>
  <c r="EE96" i="4"/>
  <c r="DW94" i="4"/>
  <c r="EE94" i="4" s="1"/>
  <c r="DW93" i="4"/>
  <c r="EE93" i="4" s="1"/>
  <c r="DW85" i="4"/>
  <c r="EE85" i="4" s="1"/>
  <c r="DW69" i="4"/>
  <c r="EE69" i="4" s="1"/>
  <c r="DW64" i="4"/>
  <c r="EE64" i="4" s="1"/>
  <c r="DW63" i="4"/>
  <c r="EE63" i="4" s="1"/>
  <c r="DW61" i="4"/>
  <c r="EE61" i="4" s="1"/>
  <c r="DW55" i="4"/>
  <c r="EE55" i="4" s="1"/>
  <c r="DW53" i="4"/>
  <c r="EE53" i="4" s="1"/>
  <c r="DW52" i="4"/>
  <c r="EE52" i="4" s="1"/>
  <c r="DW49" i="4"/>
  <c r="EE49" i="4" s="1"/>
  <c r="DW48" i="4"/>
  <c r="EE48" i="4" s="1"/>
  <c r="DW47" i="4"/>
  <c r="EE47" i="4" s="1"/>
  <c r="DW40" i="4"/>
  <c r="EE40" i="4" s="1"/>
  <c r="DW39" i="4"/>
  <c r="EE39" i="4" s="1"/>
  <c r="DW38" i="4"/>
  <c r="EE38" i="4" s="1"/>
  <c r="DW37" i="4"/>
  <c r="EE37" i="4" s="1"/>
  <c r="DW36" i="4"/>
  <c r="EE36" i="4" s="1"/>
  <c r="DW35" i="4"/>
  <c r="EE35" i="4" s="1"/>
  <c r="DW34" i="4"/>
  <c r="EE34" i="4" s="1"/>
  <c r="DW33" i="4"/>
  <c r="EE33" i="4" s="1"/>
  <c r="DW32" i="4"/>
  <c r="EE32" i="4" s="1"/>
  <c r="DW31" i="4"/>
  <c r="EE31" i="4" s="1"/>
  <c r="DW29" i="4"/>
  <c r="EE29" i="4" s="1"/>
  <c r="DW28" i="4"/>
  <c r="EE28" i="4" s="1"/>
  <c r="DW27" i="4"/>
  <c r="EE27" i="4" s="1"/>
  <c r="DW26" i="4"/>
  <c r="EE26" i="4" s="1"/>
  <c r="DW25" i="4"/>
  <c r="EE25" i="4" s="1"/>
  <c r="DW24" i="4"/>
  <c r="DW23" i="4"/>
  <c r="DW22" i="4"/>
  <c r="AQ20" i="80"/>
  <c r="CN67" i="4"/>
  <c r="CL67" i="4"/>
  <c r="CN171" i="4"/>
  <c r="CN73" i="4" s="1"/>
  <c r="CL171" i="4"/>
  <c r="CL73" i="4" s="1"/>
  <c r="CR118" i="4"/>
  <c r="CR119" i="4"/>
  <c r="CR121" i="4"/>
  <c r="CR122" i="4"/>
  <c r="CR123" i="4"/>
  <c r="CR124" i="4"/>
  <c r="CR125" i="4"/>
  <c r="CR126" i="4"/>
  <c r="CR127" i="4"/>
  <c r="CR128" i="4"/>
  <c r="CR129" i="4"/>
  <c r="CR130" i="4"/>
  <c r="CR131" i="4"/>
  <c r="CR132" i="4"/>
  <c r="CR133" i="4"/>
  <c r="CR134" i="4"/>
  <c r="CQ118" i="4"/>
  <c r="CQ119" i="4"/>
  <c r="CQ120" i="4"/>
  <c r="CQ121" i="4"/>
  <c r="CQ122" i="4"/>
  <c r="CQ123" i="4"/>
  <c r="CQ124" i="4"/>
  <c r="CQ125" i="4"/>
  <c r="CQ126" i="4"/>
  <c r="CQ127" i="4"/>
  <c r="CQ128" i="4"/>
  <c r="CQ129" i="4"/>
  <c r="CQ130" i="4"/>
  <c r="CQ131" i="4"/>
  <c r="CQ132" i="4"/>
  <c r="CQ133" i="4"/>
  <c r="CQ134" i="4"/>
  <c r="CP118" i="4"/>
  <c r="CP119" i="4"/>
  <c r="CP120" i="4"/>
  <c r="CP121" i="4"/>
  <c r="CP122" i="4"/>
  <c r="CP123" i="4"/>
  <c r="CP124" i="4"/>
  <c r="CP125" i="4"/>
  <c r="CP126" i="4"/>
  <c r="CP127" i="4"/>
  <c r="CP128" i="4"/>
  <c r="CP129" i="4"/>
  <c r="CP131" i="4"/>
  <c r="CP132" i="4"/>
  <c r="CP133" i="4"/>
  <c r="CP134" i="4"/>
  <c r="CO118" i="4"/>
  <c r="CO119" i="4"/>
  <c r="CO120" i="4"/>
  <c r="CO121" i="4"/>
  <c r="CO122" i="4"/>
  <c r="CO123" i="4"/>
  <c r="CO124" i="4"/>
  <c r="CO125" i="4"/>
  <c r="CO126" i="4"/>
  <c r="CO127" i="4"/>
  <c r="CO128" i="4"/>
  <c r="CO129" i="4"/>
  <c r="CO131" i="4"/>
  <c r="CO132" i="4"/>
  <c r="CO133" i="4"/>
  <c r="CO134" i="4"/>
  <c r="CN118" i="4"/>
  <c r="CN119" i="4"/>
  <c r="CN120" i="4"/>
  <c r="CN121" i="4"/>
  <c r="CN122" i="4"/>
  <c r="CN123" i="4"/>
  <c r="CN124" i="4"/>
  <c r="CN125" i="4"/>
  <c r="CN126" i="4"/>
  <c r="CN127" i="4"/>
  <c r="CN128" i="4"/>
  <c r="CN129" i="4"/>
  <c r="CN131" i="4"/>
  <c r="CN132" i="4"/>
  <c r="CN133" i="4"/>
  <c r="CN134" i="4"/>
  <c r="CL118" i="4"/>
  <c r="CL119" i="4"/>
  <c r="CL120" i="4"/>
  <c r="CL121" i="4"/>
  <c r="CL122" i="4"/>
  <c r="CL123" i="4"/>
  <c r="CL124" i="4"/>
  <c r="CL125" i="4"/>
  <c r="CL126" i="4"/>
  <c r="CL127" i="4"/>
  <c r="CL128" i="4"/>
  <c r="CL129" i="4"/>
  <c r="CL131" i="4"/>
  <c r="CL132" i="4"/>
  <c r="CL133" i="4"/>
  <c r="CL134" i="4"/>
  <c r="CR84" i="4"/>
  <c r="CR93" i="4"/>
  <c r="CR94" i="4"/>
  <c r="CR97" i="4"/>
  <c r="CR98" i="4"/>
  <c r="CR99" i="4"/>
  <c r="CR100" i="4"/>
  <c r="CR101" i="4"/>
  <c r="CR102" i="4"/>
  <c r="CR103" i="4"/>
  <c r="CR104" i="4"/>
  <c r="CR105" i="4"/>
  <c r="CR107" i="4"/>
  <c r="CR108" i="4"/>
  <c r="CR109" i="4"/>
  <c r="CR110" i="4"/>
  <c r="CR111" i="4"/>
  <c r="CQ84" i="4"/>
  <c r="CQ93" i="4"/>
  <c r="CQ94" i="4"/>
  <c r="CQ97" i="4"/>
  <c r="CQ98" i="4"/>
  <c r="CQ99" i="4"/>
  <c r="CQ100" i="4"/>
  <c r="CQ101" i="4"/>
  <c r="CQ102" i="4"/>
  <c r="CQ103" i="4"/>
  <c r="CQ104" i="4"/>
  <c r="CQ105" i="4"/>
  <c r="CQ107" i="4"/>
  <c r="CQ108" i="4"/>
  <c r="CQ109" i="4"/>
  <c r="CQ110" i="4"/>
  <c r="CQ111" i="4"/>
  <c r="CP84" i="4"/>
  <c r="CP93" i="4"/>
  <c r="CP94" i="4"/>
  <c r="CP97" i="4"/>
  <c r="CP98" i="4"/>
  <c r="CP99" i="4"/>
  <c r="CP100" i="4"/>
  <c r="CP101" i="4"/>
  <c r="CP102" i="4"/>
  <c r="CP103" i="4"/>
  <c r="CP104" i="4"/>
  <c r="CP105" i="4"/>
  <c r="CP107" i="4"/>
  <c r="CP108" i="4"/>
  <c r="CP109" i="4"/>
  <c r="CP110" i="4"/>
  <c r="CP111" i="4"/>
  <c r="CO84" i="4"/>
  <c r="CO93" i="4"/>
  <c r="CO94" i="4"/>
  <c r="CO97" i="4"/>
  <c r="CO98" i="4"/>
  <c r="CO99" i="4"/>
  <c r="CO100" i="4"/>
  <c r="CO101" i="4"/>
  <c r="CO102" i="4"/>
  <c r="CO103" i="4"/>
  <c r="CO104" i="4"/>
  <c r="CO105" i="4"/>
  <c r="CO107" i="4"/>
  <c r="CO108" i="4"/>
  <c r="CO109" i="4"/>
  <c r="CO110" i="4"/>
  <c r="CO111" i="4"/>
  <c r="CN84" i="4"/>
  <c r="CN93" i="4"/>
  <c r="CN94" i="4"/>
  <c r="CN97" i="4"/>
  <c r="CN98" i="4"/>
  <c r="CN99" i="4"/>
  <c r="CN100" i="4"/>
  <c r="CN101" i="4"/>
  <c r="CN102" i="4"/>
  <c r="CN103" i="4"/>
  <c r="CN104" i="4"/>
  <c r="CN105" i="4"/>
  <c r="CN107" i="4"/>
  <c r="CN108" i="4"/>
  <c r="CN109" i="4"/>
  <c r="CN110" i="4"/>
  <c r="CN111" i="4"/>
  <c r="CL84" i="4"/>
  <c r="CL93" i="4"/>
  <c r="CL94" i="4"/>
  <c r="CL97" i="4"/>
  <c r="CL98" i="4"/>
  <c r="CL99" i="4"/>
  <c r="CL100" i="4"/>
  <c r="CL101" i="4"/>
  <c r="CL102" i="4"/>
  <c r="CL103" i="4"/>
  <c r="CL104" i="4"/>
  <c r="CL105" i="4"/>
  <c r="CL107" i="4"/>
  <c r="CL108" i="4"/>
  <c r="CL109" i="4"/>
  <c r="CL110" i="4"/>
  <c r="CL111" i="4"/>
  <c r="CH117" i="4"/>
  <c r="CD118" i="4"/>
  <c r="CE118" i="4"/>
  <c r="CF118" i="4"/>
  <c r="CG118" i="4"/>
  <c r="CH118" i="4"/>
  <c r="CD119" i="4"/>
  <c r="CE119" i="4"/>
  <c r="CF119" i="4"/>
  <c r="CG119" i="4"/>
  <c r="CH119" i="4"/>
  <c r="CD120" i="4"/>
  <c r="CE120" i="4"/>
  <c r="CF120" i="4"/>
  <c r="CG120" i="4"/>
  <c r="CG135" i="5" s="1"/>
  <c r="F62" i="13" s="1"/>
  <c r="F33" i="15" s="1"/>
  <c r="CH120" i="4"/>
  <c r="CD122" i="4"/>
  <c r="CE122" i="4"/>
  <c r="CF122" i="4"/>
  <c r="CG122" i="4"/>
  <c r="CH122" i="4"/>
  <c r="CD123" i="4"/>
  <c r="CE123" i="4"/>
  <c r="CF123" i="4"/>
  <c r="CG123" i="4"/>
  <c r="CH123" i="4"/>
  <c r="CD124" i="4"/>
  <c r="CE124" i="4"/>
  <c r="CF124" i="4"/>
  <c r="CG124" i="4"/>
  <c r="CH124" i="4"/>
  <c r="CD125" i="4"/>
  <c r="CE125" i="4"/>
  <c r="CF125" i="4"/>
  <c r="CG125" i="4"/>
  <c r="CH125" i="4"/>
  <c r="CD126" i="4"/>
  <c r="CE126" i="4"/>
  <c r="CF126" i="4"/>
  <c r="CG126" i="4"/>
  <c r="CH126" i="4"/>
  <c r="CD127" i="4"/>
  <c r="CE127" i="4"/>
  <c r="CF127" i="4"/>
  <c r="CG127" i="4"/>
  <c r="CH127" i="4"/>
  <c r="CD128" i="4"/>
  <c r="CE128" i="4"/>
  <c r="CF128" i="4"/>
  <c r="CG128" i="4"/>
  <c r="CH128" i="4"/>
  <c r="CD129" i="4"/>
  <c r="CE129" i="4"/>
  <c r="CF129" i="4"/>
  <c r="CG129" i="4"/>
  <c r="CH129" i="4"/>
  <c r="CF130" i="4"/>
  <c r="CG130" i="4"/>
  <c r="CH130" i="4"/>
  <c r="CD131" i="4"/>
  <c r="CE131" i="4"/>
  <c r="CF131" i="4"/>
  <c r="CH131" i="4"/>
  <c r="CD132" i="4"/>
  <c r="CE132" i="4"/>
  <c r="CF132" i="4"/>
  <c r="CH132" i="4"/>
  <c r="CD133" i="4"/>
  <c r="CE133" i="4"/>
  <c r="CH133" i="4"/>
  <c r="CD134" i="4"/>
  <c r="CE134" i="4"/>
  <c r="CF134" i="4"/>
  <c r="CG134" i="4"/>
  <c r="CH134" i="4"/>
  <c r="CB118" i="4"/>
  <c r="CB119" i="4"/>
  <c r="CB121" i="4"/>
  <c r="CB122" i="4"/>
  <c r="CB123" i="4"/>
  <c r="CB124" i="4"/>
  <c r="CB125" i="4"/>
  <c r="CB126" i="4"/>
  <c r="CB127" i="4"/>
  <c r="CB128" i="4"/>
  <c r="CB129" i="4"/>
  <c r="CB130" i="4"/>
  <c r="CB132" i="4"/>
  <c r="CB133" i="4"/>
  <c r="CB134" i="4"/>
  <c r="CG84" i="4"/>
  <c r="CH84" i="4"/>
  <c r="CG93" i="4"/>
  <c r="CH93" i="4"/>
  <c r="CG94" i="4"/>
  <c r="CH94" i="4"/>
  <c r="CG97" i="4"/>
  <c r="CH97" i="4"/>
  <c r="CH98" i="4"/>
  <c r="CG99" i="4"/>
  <c r="CH99" i="4"/>
  <c r="CG100" i="4"/>
  <c r="CH100" i="4"/>
  <c r="CG101" i="4"/>
  <c r="CH101" i="4"/>
  <c r="CG102" i="4"/>
  <c r="CH102" i="4"/>
  <c r="CG103" i="4"/>
  <c r="CH103" i="4"/>
  <c r="CG104" i="4"/>
  <c r="CH104" i="4"/>
  <c r="CG105" i="4"/>
  <c r="CH105" i="4"/>
  <c r="CG107" i="4"/>
  <c r="CH107" i="4"/>
  <c r="CG108" i="4"/>
  <c r="CH108" i="4"/>
  <c r="CG109" i="4"/>
  <c r="CH109" i="4"/>
  <c r="CG110" i="4"/>
  <c r="CH110" i="4"/>
  <c r="CG111" i="4"/>
  <c r="CH111" i="4"/>
  <c r="CD84" i="4"/>
  <c r="CE84" i="4"/>
  <c r="CF84" i="4"/>
  <c r="CD93" i="4"/>
  <c r="CE93" i="4"/>
  <c r="CF93" i="4"/>
  <c r="CD94" i="4"/>
  <c r="CE94" i="4"/>
  <c r="CF94" i="4"/>
  <c r="CD97" i="4"/>
  <c r="CE97" i="4"/>
  <c r="CF97" i="4"/>
  <c r="CD98" i="4"/>
  <c r="CE98" i="4"/>
  <c r="CF98" i="4"/>
  <c r="CD99" i="4"/>
  <c r="CE99" i="4"/>
  <c r="CF99" i="4"/>
  <c r="CD100" i="4"/>
  <c r="CE100" i="4"/>
  <c r="CF100" i="4"/>
  <c r="CD101" i="4"/>
  <c r="CE101" i="4"/>
  <c r="CF101" i="4"/>
  <c r="CD102" i="4"/>
  <c r="CE102" i="4"/>
  <c r="CF102" i="4"/>
  <c r="CD103" i="4"/>
  <c r="CE103" i="4"/>
  <c r="CF103" i="4"/>
  <c r="CD104" i="4"/>
  <c r="CE104" i="4"/>
  <c r="CF104" i="4"/>
  <c r="CD105" i="4"/>
  <c r="CE105" i="4"/>
  <c r="CF105" i="4"/>
  <c r="CD107" i="4"/>
  <c r="CE107" i="4"/>
  <c r="CF107" i="4"/>
  <c r="CD108" i="4"/>
  <c r="CE108" i="4"/>
  <c r="CF108" i="4"/>
  <c r="CD109" i="4"/>
  <c r="CE109" i="4"/>
  <c r="CF109" i="4"/>
  <c r="CD110" i="4"/>
  <c r="CE110" i="4"/>
  <c r="CF110" i="4"/>
  <c r="CD111" i="4"/>
  <c r="CE111" i="4"/>
  <c r="CF111" i="4"/>
  <c r="CB93" i="4"/>
  <c r="CB97" i="4"/>
  <c r="CB99" i="4"/>
  <c r="CB100" i="4"/>
  <c r="CB101" i="4"/>
  <c r="CB103" i="4"/>
  <c r="CB104" i="4"/>
  <c r="CB105" i="4"/>
  <c r="CB107" i="4"/>
  <c r="CB108" i="4"/>
  <c r="CB109" i="4"/>
  <c r="CB110" i="4"/>
  <c r="CB111" i="4"/>
  <c r="CB84" i="4"/>
  <c r="BS117" i="4"/>
  <c r="BS118" i="4"/>
  <c r="BS119" i="4"/>
  <c r="BS120" i="4"/>
  <c r="BS122" i="4"/>
  <c r="BS123" i="4"/>
  <c r="BS124" i="4"/>
  <c r="BS125" i="4"/>
  <c r="BS126" i="4"/>
  <c r="BS127" i="4"/>
  <c r="BS128" i="4"/>
  <c r="BS129" i="4"/>
  <c r="BS130" i="4"/>
  <c r="BS131" i="4"/>
  <c r="BS132" i="4"/>
  <c r="BS133" i="4"/>
  <c r="BS134" i="4"/>
  <c r="BT117" i="4"/>
  <c r="BT118" i="4"/>
  <c r="BT119" i="4"/>
  <c r="BT120" i="4"/>
  <c r="BT135" i="5" s="1"/>
  <c r="F44" i="21" s="1"/>
  <c r="BT122" i="4"/>
  <c r="BT123" i="4"/>
  <c r="BT124" i="4"/>
  <c r="BT125" i="4"/>
  <c r="BT126" i="4"/>
  <c r="BT127" i="4"/>
  <c r="BT128" i="4"/>
  <c r="BT129" i="4"/>
  <c r="BT130" i="4"/>
  <c r="BT131" i="4"/>
  <c r="BT132" i="4"/>
  <c r="BT133" i="4"/>
  <c r="BT134" i="4"/>
  <c r="BU117" i="4"/>
  <c r="BU118" i="4"/>
  <c r="BU119" i="4"/>
  <c r="BU120" i="4"/>
  <c r="BU135" i="5" s="1"/>
  <c r="BU122" i="4"/>
  <c r="BU123" i="4"/>
  <c r="BU124" i="4"/>
  <c r="BU125" i="4"/>
  <c r="BU126" i="4"/>
  <c r="BU127" i="4"/>
  <c r="BU128" i="4"/>
  <c r="BU129" i="4"/>
  <c r="BU130" i="4"/>
  <c r="BU131" i="4"/>
  <c r="BU132" i="4"/>
  <c r="BU133" i="4"/>
  <c r="BU134" i="4"/>
  <c r="BS84" i="4"/>
  <c r="BS93" i="4"/>
  <c r="BS94" i="4"/>
  <c r="BS98" i="4"/>
  <c r="BS99" i="4"/>
  <c r="BS100" i="4"/>
  <c r="BS101" i="4"/>
  <c r="BS102" i="4"/>
  <c r="BS103" i="4"/>
  <c r="BS104" i="4"/>
  <c r="BS105" i="4"/>
  <c r="BS106" i="4"/>
  <c r="BT84" i="4"/>
  <c r="BT93" i="4"/>
  <c r="BT94" i="4"/>
  <c r="BT98" i="4"/>
  <c r="BT99" i="4"/>
  <c r="BT100" i="4"/>
  <c r="BT101" i="4"/>
  <c r="BT102" i="4"/>
  <c r="BT103" i="4"/>
  <c r="BT104" i="4"/>
  <c r="BT105" i="4"/>
  <c r="BT106" i="4"/>
  <c r="BU84" i="4"/>
  <c r="BU93" i="4"/>
  <c r="BU94" i="4"/>
  <c r="BU98" i="4"/>
  <c r="BU99" i="4"/>
  <c r="BU100" i="4"/>
  <c r="BU101" i="4"/>
  <c r="BU102" i="4"/>
  <c r="BU103" i="4"/>
  <c r="BU104" i="4"/>
  <c r="BU105" i="4"/>
  <c r="BU106" i="4"/>
  <c r="BR118" i="4"/>
  <c r="BR119" i="4"/>
  <c r="BR120" i="4"/>
  <c r="BR122" i="4"/>
  <c r="BR123" i="4"/>
  <c r="BR124" i="4"/>
  <c r="BR125" i="4"/>
  <c r="BR126" i="4"/>
  <c r="BR127" i="4"/>
  <c r="BR128" i="4"/>
  <c r="BR129" i="4"/>
  <c r="BR130" i="4"/>
  <c r="BR131" i="4"/>
  <c r="BR132" i="4"/>
  <c r="BR133" i="4"/>
  <c r="BR134" i="4"/>
  <c r="BR84" i="4"/>
  <c r="BR93" i="4"/>
  <c r="BR94" i="4"/>
  <c r="BR98" i="4"/>
  <c r="BR99" i="4"/>
  <c r="BR100" i="4"/>
  <c r="BR102" i="4"/>
  <c r="BR103" i="4"/>
  <c r="BR104" i="4"/>
  <c r="BR105" i="4"/>
  <c r="BR106" i="4"/>
  <c r="BH73" i="4"/>
  <c r="E106" i="4"/>
  <c r="F106" i="4"/>
  <c r="G106" i="4"/>
  <c r="H106" i="4"/>
  <c r="I106" i="4"/>
  <c r="J106" i="4"/>
  <c r="K106" i="4"/>
  <c r="M106" i="4"/>
  <c r="Q106" i="4"/>
  <c r="R106" i="4"/>
  <c r="S106" i="4"/>
  <c r="T106" i="4"/>
  <c r="U106" i="4"/>
  <c r="V106" i="4"/>
  <c r="W106" i="4"/>
  <c r="X106" i="4"/>
  <c r="Y106" i="4"/>
  <c r="Z106" i="4"/>
  <c r="AA106" i="4"/>
  <c r="AC106" i="4"/>
  <c r="AD106" i="4"/>
  <c r="AE106" i="4"/>
  <c r="AG106" i="4"/>
  <c r="AH106" i="4"/>
  <c r="AI106" i="4"/>
  <c r="AJ106" i="4"/>
  <c r="AE118" i="4"/>
  <c r="AE119" i="4"/>
  <c r="AE120" i="4"/>
  <c r="AE135" i="5" s="1"/>
  <c r="BC49" i="19" s="1"/>
  <c r="AE122" i="4"/>
  <c r="AE123" i="4"/>
  <c r="AE124" i="4"/>
  <c r="AE125" i="4"/>
  <c r="AE126" i="4"/>
  <c r="AE127" i="4"/>
  <c r="AE128" i="4"/>
  <c r="AE130" i="4"/>
  <c r="AE131" i="4"/>
  <c r="AE132" i="4"/>
  <c r="AE133" i="4"/>
  <c r="AE134" i="4"/>
  <c r="AE98" i="4"/>
  <c r="AE99" i="4"/>
  <c r="AE100" i="4"/>
  <c r="AE101" i="4"/>
  <c r="AE102" i="4"/>
  <c r="AE103" i="4"/>
  <c r="AE104" i="4"/>
  <c r="AE105" i="4"/>
  <c r="AE108" i="4"/>
  <c r="AE109" i="4"/>
  <c r="AE111" i="4"/>
  <c r="AE93" i="4"/>
  <c r="AE94" i="4"/>
  <c r="AE84" i="4"/>
  <c r="E118" i="4"/>
  <c r="E119" i="4"/>
  <c r="E122" i="4"/>
  <c r="E123" i="4"/>
  <c r="E124" i="4"/>
  <c r="E125" i="4"/>
  <c r="E126" i="4"/>
  <c r="E127" i="4"/>
  <c r="E128" i="4"/>
  <c r="E130" i="4"/>
  <c r="E131" i="4"/>
  <c r="E132" i="4"/>
  <c r="E133" i="4"/>
  <c r="E134" i="4"/>
  <c r="Y118" i="4"/>
  <c r="Y119" i="4"/>
  <c r="Y120" i="4"/>
  <c r="Y135" i="5" s="1"/>
  <c r="AP49" i="19" s="1"/>
  <c r="Y122" i="4"/>
  <c r="Y123" i="4"/>
  <c r="Y124" i="4"/>
  <c r="Y125" i="4"/>
  <c r="Y126" i="4"/>
  <c r="Y127" i="4"/>
  <c r="Y128" i="4"/>
  <c r="Y130" i="4"/>
  <c r="Y131" i="4"/>
  <c r="Y132" i="4"/>
  <c r="Y133" i="4"/>
  <c r="Y134" i="4"/>
  <c r="Y84" i="4"/>
  <c r="Y93" i="4"/>
  <c r="Y94" i="4"/>
  <c r="Y98" i="4"/>
  <c r="Y99" i="4"/>
  <c r="Y100" i="4"/>
  <c r="Y101" i="4"/>
  <c r="Y102" i="4"/>
  <c r="Y103" i="4"/>
  <c r="Y104" i="4"/>
  <c r="Y105" i="4"/>
  <c r="Y108" i="4"/>
  <c r="Y109" i="4"/>
  <c r="Y111" i="4"/>
  <c r="F134" i="4"/>
  <c r="G134" i="4"/>
  <c r="H134" i="4"/>
  <c r="I134" i="4"/>
  <c r="J134" i="4"/>
  <c r="K134" i="4"/>
  <c r="M134" i="4"/>
  <c r="P134" i="4"/>
  <c r="Q134" i="4"/>
  <c r="R134" i="4"/>
  <c r="S134" i="4"/>
  <c r="T134" i="4"/>
  <c r="U134" i="4"/>
  <c r="V134" i="4"/>
  <c r="W134" i="4"/>
  <c r="X134" i="4"/>
  <c r="Z134" i="4"/>
  <c r="AA134" i="4"/>
  <c r="AC134" i="4"/>
  <c r="AD134" i="4"/>
  <c r="AF134" i="4"/>
  <c r="AG134" i="4"/>
  <c r="AH134" i="4"/>
  <c r="AI134" i="4"/>
  <c r="AJ134" i="4"/>
  <c r="F133" i="4"/>
  <c r="G133" i="4"/>
  <c r="H133" i="4"/>
  <c r="I133" i="4"/>
  <c r="J133" i="4"/>
  <c r="K133" i="4"/>
  <c r="M133" i="4"/>
  <c r="P133" i="4"/>
  <c r="Q133" i="4"/>
  <c r="R133" i="4"/>
  <c r="S133" i="4"/>
  <c r="T133" i="4"/>
  <c r="U133" i="4"/>
  <c r="V133" i="4"/>
  <c r="W133" i="4"/>
  <c r="X133" i="4"/>
  <c r="Z133" i="4"/>
  <c r="AA133" i="4"/>
  <c r="AC133" i="4"/>
  <c r="AD133" i="4"/>
  <c r="AF133" i="4"/>
  <c r="AG133" i="4"/>
  <c r="AH133" i="4"/>
  <c r="AI133" i="4"/>
  <c r="AJ133" i="4"/>
  <c r="F132" i="4"/>
  <c r="G132" i="4"/>
  <c r="H132" i="4"/>
  <c r="I132" i="4"/>
  <c r="J132" i="4"/>
  <c r="K132" i="4"/>
  <c r="M132" i="4"/>
  <c r="P132" i="4"/>
  <c r="Q132" i="4"/>
  <c r="R132" i="4"/>
  <c r="S132" i="4"/>
  <c r="T132" i="4"/>
  <c r="U132" i="4"/>
  <c r="V132" i="4"/>
  <c r="W132" i="4"/>
  <c r="X132" i="4"/>
  <c r="Z132" i="4"/>
  <c r="AA132" i="4"/>
  <c r="AC132" i="4"/>
  <c r="AD132" i="4"/>
  <c r="AF132" i="4"/>
  <c r="AG132" i="4"/>
  <c r="AH132" i="4"/>
  <c r="AI132" i="4"/>
  <c r="AJ132" i="4"/>
  <c r="F131" i="4"/>
  <c r="G131" i="4"/>
  <c r="H131" i="4"/>
  <c r="I131" i="4"/>
  <c r="J131" i="4"/>
  <c r="K131" i="4"/>
  <c r="M131" i="4"/>
  <c r="P131" i="4"/>
  <c r="Q131" i="4"/>
  <c r="R131" i="4"/>
  <c r="S131" i="4"/>
  <c r="T131" i="4"/>
  <c r="U131" i="4"/>
  <c r="V131" i="4"/>
  <c r="W131" i="4"/>
  <c r="X131" i="4"/>
  <c r="Z131" i="4"/>
  <c r="AA131" i="4"/>
  <c r="AC131" i="4"/>
  <c r="AD131" i="4"/>
  <c r="AF131" i="4"/>
  <c r="AG131" i="4"/>
  <c r="AH131" i="4"/>
  <c r="AI131" i="4"/>
  <c r="AJ131" i="4"/>
  <c r="F130" i="4"/>
  <c r="G130" i="4"/>
  <c r="H130" i="4"/>
  <c r="I130" i="4"/>
  <c r="J130" i="4"/>
  <c r="K130" i="4"/>
  <c r="M130" i="4"/>
  <c r="Q130" i="4"/>
  <c r="R130" i="4"/>
  <c r="S130" i="4"/>
  <c r="T130" i="4"/>
  <c r="U130" i="4"/>
  <c r="V130" i="4"/>
  <c r="W130" i="4"/>
  <c r="X130" i="4"/>
  <c r="Z130" i="4"/>
  <c r="AA130" i="4"/>
  <c r="AC130" i="4"/>
  <c r="AD130" i="4"/>
  <c r="AG130" i="4"/>
  <c r="AH130" i="4"/>
  <c r="AI130" i="4"/>
  <c r="AJ130" i="4"/>
  <c r="F128" i="4"/>
  <c r="G128" i="4"/>
  <c r="H128" i="4"/>
  <c r="I128" i="4"/>
  <c r="J128" i="4"/>
  <c r="K128" i="4"/>
  <c r="M128" i="4"/>
  <c r="P128" i="4"/>
  <c r="Q128" i="4"/>
  <c r="R128" i="4"/>
  <c r="S128" i="4"/>
  <c r="T128" i="4"/>
  <c r="U128" i="4"/>
  <c r="V128" i="4"/>
  <c r="W128" i="4"/>
  <c r="X128" i="4"/>
  <c r="Z128" i="4"/>
  <c r="AA128" i="4"/>
  <c r="AC128" i="4"/>
  <c r="AD128" i="4"/>
  <c r="AF128" i="4"/>
  <c r="AG128" i="4"/>
  <c r="AH128" i="4"/>
  <c r="AI128" i="4"/>
  <c r="AJ128" i="4"/>
  <c r="F127" i="4"/>
  <c r="G127" i="4"/>
  <c r="H127" i="4"/>
  <c r="I127" i="4"/>
  <c r="J127" i="4"/>
  <c r="K127" i="4"/>
  <c r="M127" i="4"/>
  <c r="P127" i="4"/>
  <c r="Q127" i="4"/>
  <c r="R127" i="4"/>
  <c r="S127" i="4"/>
  <c r="T127" i="4"/>
  <c r="U127" i="4"/>
  <c r="V127" i="4"/>
  <c r="W127" i="4"/>
  <c r="X127" i="4"/>
  <c r="Z127" i="4"/>
  <c r="AA127" i="4"/>
  <c r="AC127" i="4"/>
  <c r="AD127" i="4"/>
  <c r="AF127" i="4"/>
  <c r="AG127" i="4"/>
  <c r="AH127" i="4"/>
  <c r="AI127" i="4"/>
  <c r="AJ127" i="4"/>
  <c r="F126" i="4"/>
  <c r="G126" i="4"/>
  <c r="I126" i="4"/>
  <c r="J126" i="4"/>
  <c r="K126" i="4"/>
  <c r="M126" i="4"/>
  <c r="P126" i="4"/>
  <c r="Q126" i="4"/>
  <c r="R126" i="4"/>
  <c r="S126" i="4"/>
  <c r="T126" i="4"/>
  <c r="U126" i="4"/>
  <c r="V126" i="4"/>
  <c r="W126" i="4"/>
  <c r="X126" i="4"/>
  <c r="Z126" i="4"/>
  <c r="AA126" i="4"/>
  <c r="AC126" i="4"/>
  <c r="AD126" i="4"/>
  <c r="AF126" i="4"/>
  <c r="AG126" i="4"/>
  <c r="AH126" i="4"/>
  <c r="AI126" i="4"/>
  <c r="AJ126" i="4"/>
  <c r="F125" i="4"/>
  <c r="G125" i="4"/>
  <c r="H125" i="4"/>
  <c r="I125" i="4"/>
  <c r="J125" i="4"/>
  <c r="K125" i="4"/>
  <c r="M125" i="4"/>
  <c r="P125" i="4"/>
  <c r="Q125" i="4"/>
  <c r="R125" i="4"/>
  <c r="S125" i="4"/>
  <c r="T125" i="4"/>
  <c r="U125" i="4"/>
  <c r="V125" i="4"/>
  <c r="W125" i="4"/>
  <c r="X125" i="4"/>
  <c r="Z125" i="4"/>
  <c r="AA125" i="4"/>
  <c r="AC125" i="4"/>
  <c r="AD125" i="4"/>
  <c r="AF125" i="4"/>
  <c r="AG125" i="4"/>
  <c r="AH125" i="4"/>
  <c r="AI125" i="4"/>
  <c r="AJ125" i="4"/>
  <c r="F124" i="4"/>
  <c r="G124" i="4"/>
  <c r="H124" i="4"/>
  <c r="I124" i="4"/>
  <c r="J124" i="4"/>
  <c r="K124" i="4"/>
  <c r="M124" i="4"/>
  <c r="P124" i="4"/>
  <c r="Q124" i="4"/>
  <c r="R124" i="4"/>
  <c r="S124" i="4"/>
  <c r="T124" i="4"/>
  <c r="U124" i="4"/>
  <c r="V124" i="4"/>
  <c r="W124" i="4"/>
  <c r="X124" i="4"/>
  <c r="Z124" i="4"/>
  <c r="AA124" i="4"/>
  <c r="AC124" i="4"/>
  <c r="AD124" i="4"/>
  <c r="AF124" i="4"/>
  <c r="AG124" i="4"/>
  <c r="AH124" i="4"/>
  <c r="AI124" i="4"/>
  <c r="AJ124" i="4"/>
  <c r="F123" i="4"/>
  <c r="G123" i="4"/>
  <c r="H123" i="4"/>
  <c r="I123" i="4"/>
  <c r="J123" i="4"/>
  <c r="K123" i="4"/>
  <c r="M123" i="4"/>
  <c r="P123" i="4"/>
  <c r="Q123" i="4"/>
  <c r="R123" i="4"/>
  <c r="S123" i="4"/>
  <c r="T123" i="4"/>
  <c r="U123" i="4"/>
  <c r="V123" i="4"/>
  <c r="W123" i="4"/>
  <c r="X123" i="4"/>
  <c r="Z123" i="4"/>
  <c r="AA123" i="4"/>
  <c r="AC123" i="4"/>
  <c r="AD123" i="4"/>
  <c r="AF123" i="4"/>
  <c r="AG123" i="4"/>
  <c r="AH123" i="4"/>
  <c r="AI123" i="4"/>
  <c r="AJ123" i="4"/>
  <c r="F122" i="4"/>
  <c r="G122" i="4"/>
  <c r="H122" i="4"/>
  <c r="I122" i="4"/>
  <c r="J122" i="4"/>
  <c r="K122" i="4"/>
  <c r="M122" i="4"/>
  <c r="P122" i="4"/>
  <c r="Q122" i="4"/>
  <c r="R122" i="4"/>
  <c r="S122" i="4"/>
  <c r="T122" i="4"/>
  <c r="U122" i="4"/>
  <c r="V122" i="4"/>
  <c r="W122" i="4"/>
  <c r="X122" i="4"/>
  <c r="Z122" i="4"/>
  <c r="AA122" i="4"/>
  <c r="AC122" i="4"/>
  <c r="AD122" i="4"/>
  <c r="AF122" i="4"/>
  <c r="AG122" i="4"/>
  <c r="AH122" i="4"/>
  <c r="AI122" i="4"/>
  <c r="AJ122" i="4"/>
  <c r="G120" i="4"/>
  <c r="G135" i="5" s="1"/>
  <c r="G49" i="19" s="1"/>
  <c r="H120" i="4"/>
  <c r="H135" i="5" s="1"/>
  <c r="I49" i="19" s="1"/>
  <c r="I120" i="4"/>
  <c r="I135" i="5" s="1"/>
  <c r="K49" i="19" s="1"/>
  <c r="J120" i="4"/>
  <c r="J135" i="5" s="1"/>
  <c r="N49" i="19" s="1"/>
  <c r="K120" i="4"/>
  <c r="K135" i="5" s="1"/>
  <c r="P49" i="19" s="1"/>
  <c r="M120" i="4"/>
  <c r="M135" i="5" s="1"/>
  <c r="T49" i="19" s="1"/>
  <c r="P120" i="4"/>
  <c r="P135" i="5" s="1"/>
  <c r="Q120" i="4"/>
  <c r="Q135" i="5" s="1"/>
  <c r="AA49" i="19" s="1"/>
  <c r="R120" i="4"/>
  <c r="R135" i="5" s="1"/>
  <c r="AC49" i="19" s="1"/>
  <c r="S120" i="4"/>
  <c r="S135" i="5" s="1"/>
  <c r="AE49" i="19" s="1"/>
  <c r="T120" i="4"/>
  <c r="T135" i="5" s="1"/>
  <c r="AG49" i="19" s="1"/>
  <c r="U120" i="4"/>
  <c r="U135" i="5" s="1"/>
  <c r="AJ49" i="19" s="1"/>
  <c r="V120" i="4"/>
  <c r="V135" i="5" s="1"/>
  <c r="AL49" i="19" s="1"/>
  <c r="W120" i="4"/>
  <c r="W135" i="5" s="1"/>
  <c r="AN49" i="19" s="1"/>
  <c r="X120" i="4"/>
  <c r="X135" i="5" s="1"/>
  <c r="F65" i="9" s="1"/>
  <c r="AR49" i="19"/>
  <c r="AA120" i="4"/>
  <c r="AA135" i="5" s="1"/>
  <c r="AU49" i="19" s="1"/>
  <c r="AC120" i="4"/>
  <c r="AC135" i="5" s="1"/>
  <c r="AY49" i="19" s="1"/>
  <c r="AD120" i="4"/>
  <c r="AD135" i="5" s="1"/>
  <c r="BA49" i="19" s="1"/>
  <c r="AF120" i="4"/>
  <c r="AF135" i="5" s="1"/>
  <c r="BH49" i="19" s="1"/>
  <c r="AG120" i="4"/>
  <c r="AG135" i="5" s="1"/>
  <c r="BJ49" i="19" s="1"/>
  <c r="AH120" i="4"/>
  <c r="AH135" i="5" s="1"/>
  <c r="BL49" i="19" s="1"/>
  <c r="AI120" i="4"/>
  <c r="AI135" i="5" s="1"/>
  <c r="BN49" i="19" s="1"/>
  <c r="AJ120" i="4"/>
  <c r="AJ135" i="5" s="1"/>
  <c r="BP49" i="19" s="1"/>
  <c r="F119" i="4"/>
  <c r="G119" i="4"/>
  <c r="H119" i="4"/>
  <c r="I119" i="4"/>
  <c r="J119" i="4"/>
  <c r="K119" i="4"/>
  <c r="M119" i="4"/>
  <c r="P119" i="4"/>
  <c r="Q119" i="4"/>
  <c r="R119" i="4"/>
  <c r="S119" i="4"/>
  <c r="T119" i="4"/>
  <c r="U119" i="4"/>
  <c r="V119" i="4"/>
  <c r="W119" i="4"/>
  <c r="X119" i="4"/>
  <c r="Z119" i="4"/>
  <c r="AA119" i="4"/>
  <c r="AC119" i="4"/>
  <c r="AD119" i="4"/>
  <c r="AF119" i="4"/>
  <c r="AG119" i="4"/>
  <c r="AH119" i="4"/>
  <c r="AI119" i="4"/>
  <c r="AJ119" i="4"/>
  <c r="F118" i="4"/>
  <c r="G118" i="4"/>
  <c r="H118" i="4"/>
  <c r="I118" i="4"/>
  <c r="J118" i="4"/>
  <c r="K118" i="4"/>
  <c r="M118" i="4"/>
  <c r="P118" i="4"/>
  <c r="Q118" i="4"/>
  <c r="R118" i="4"/>
  <c r="S118" i="4"/>
  <c r="T118" i="4"/>
  <c r="U118" i="4"/>
  <c r="V118" i="4"/>
  <c r="W118" i="4"/>
  <c r="X118" i="4"/>
  <c r="Z118" i="4"/>
  <c r="AA118" i="4"/>
  <c r="AC118" i="4"/>
  <c r="AD118" i="4"/>
  <c r="AF118" i="4"/>
  <c r="AG118" i="4"/>
  <c r="AH118" i="4"/>
  <c r="AI118" i="4"/>
  <c r="AJ118" i="4"/>
  <c r="E111" i="4"/>
  <c r="F111" i="4"/>
  <c r="G111" i="4"/>
  <c r="H111" i="4"/>
  <c r="I111" i="4"/>
  <c r="J111" i="4"/>
  <c r="K111" i="4"/>
  <c r="M111" i="4"/>
  <c r="Q111" i="4"/>
  <c r="R111" i="4"/>
  <c r="S111" i="4"/>
  <c r="T111" i="4"/>
  <c r="U111" i="4"/>
  <c r="V111" i="4"/>
  <c r="W111" i="4"/>
  <c r="X111" i="4"/>
  <c r="Z111" i="4"/>
  <c r="AA111" i="4"/>
  <c r="AC111" i="4"/>
  <c r="AD111" i="4"/>
  <c r="AG111" i="4"/>
  <c r="AH111" i="4"/>
  <c r="AI111" i="4"/>
  <c r="AJ111" i="4"/>
  <c r="BF110" i="4"/>
  <c r="BG110" i="4" s="1"/>
  <c r="E109" i="4"/>
  <c r="F109" i="4"/>
  <c r="G109" i="4"/>
  <c r="H109" i="4"/>
  <c r="I109" i="4"/>
  <c r="J109" i="4"/>
  <c r="K109" i="4"/>
  <c r="M109" i="4"/>
  <c r="P109" i="4"/>
  <c r="Q109" i="4"/>
  <c r="R109" i="4"/>
  <c r="S109" i="4"/>
  <c r="T109" i="4"/>
  <c r="U109" i="4"/>
  <c r="V109" i="4"/>
  <c r="W109" i="4"/>
  <c r="X109" i="4"/>
  <c r="Z109" i="4"/>
  <c r="AA109" i="4"/>
  <c r="AC109" i="4"/>
  <c r="AD109" i="4"/>
  <c r="AF109" i="4"/>
  <c r="AG109" i="4"/>
  <c r="AH109" i="4"/>
  <c r="AI109" i="4"/>
  <c r="AJ109" i="4"/>
  <c r="E108" i="4"/>
  <c r="F108" i="4"/>
  <c r="G108" i="4"/>
  <c r="H108" i="4"/>
  <c r="I108" i="4"/>
  <c r="J108" i="4"/>
  <c r="K108" i="4"/>
  <c r="M108" i="4"/>
  <c r="P108" i="4"/>
  <c r="Q108" i="4"/>
  <c r="R108" i="4"/>
  <c r="S108" i="4"/>
  <c r="T108" i="4"/>
  <c r="U108" i="4"/>
  <c r="V108" i="4"/>
  <c r="W108" i="4"/>
  <c r="X108" i="4"/>
  <c r="Z108" i="4"/>
  <c r="AA108" i="4"/>
  <c r="AC108" i="4"/>
  <c r="AD108" i="4"/>
  <c r="AF108" i="4"/>
  <c r="AG108" i="4"/>
  <c r="AH108" i="4"/>
  <c r="AI108" i="4"/>
  <c r="AJ108" i="4"/>
  <c r="E105" i="4"/>
  <c r="F105" i="4"/>
  <c r="G105" i="4"/>
  <c r="H105" i="4"/>
  <c r="I105" i="4"/>
  <c r="J105" i="4"/>
  <c r="K105" i="4"/>
  <c r="M105" i="4"/>
  <c r="P105" i="4"/>
  <c r="Q105" i="4"/>
  <c r="R105" i="4"/>
  <c r="S105" i="4"/>
  <c r="T105" i="4"/>
  <c r="U105" i="4"/>
  <c r="V105" i="4"/>
  <c r="W105" i="4"/>
  <c r="X105" i="4"/>
  <c r="Z105" i="4"/>
  <c r="AA105" i="4"/>
  <c r="AC105" i="4"/>
  <c r="AD105" i="4"/>
  <c r="AF105" i="4"/>
  <c r="AG105" i="4"/>
  <c r="AH105" i="4"/>
  <c r="AI105" i="4"/>
  <c r="AJ105" i="4"/>
  <c r="E104" i="4"/>
  <c r="F104" i="4"/>
  <c r="G104" i="4"/>
  <c r="H104" i="4"/>
  <c r="I104" i="4"/>
  <c r="J104" i="4"/>
  <c r="K104" i="4"/>
  <c r="M104" i="4"/>
  <c r="P104" i="4"/>
  <c r="Q104" i="4"/>
  <c r="R104" i="4"/>
  <c r="S104" i="4"/>
  <c r="T104" i="4"/>
  <c r="U104" i="4"/>
  <c r="V104" i="4"/>
  <c r="W104" i="4"/>
  <c r="X104" i="4"/>
  <c r="Z104" i="4"/>
  <c r="AA104" i="4"/>
  <c r="AC104" i="4"/>
  <c r="AD104" i="4"/>
  <c r="AF104" i="4"/>
  <c r="AG104" i="4"/>
  <c r="AH104" i="4"/>
  <c r="AI104" i="4"/>
  <c r="AJ104" i="4"/>
  <c r="E102" i="4"/>
  <c r="F102" i="4"/>
  <c r="G102" i="4"/>
  <c r="H102" i="4"/>
  <c r="J102" i="4"/>
  <c r="K102" i="4"/>
  <c r="M102" i="4"/>
  <c r="P102" i="4"/>
  <c r="Q102" i="4"/>
  <c r="R102" i="4"/>
  <c r="S102" i="4"/>
  <c r="T102" i="4"/>
  <c r="U102" i="4"/>
  <c r="V102" i="4"/>
  <c r="W102" i="4"/>
  <c r="X102" i="4"/>
  <c r="Z102" i="4"/>
  <c r="AA102" i="4"/>
  <c r="AC102" i="4"/>
  <c r="AD102" i="4"/>
  <c r="AF102" i="4"/>
  <c r="AG102" i="4"/>
  <c r="AH102" i="4"/>
  <c r="AI102" i="4"/>
  <c r="AJ102" i="4"/>
  <c r="E101" i="4"/>
  <c r="F101" i="4"/>
  <c r="G101" i="4"/>
  <c r="H101" i="4"/>
  <c r="I101" i="4"/>
  <c r="J101" i="4"/>
  <c r="K101" i="4"/>
  <c r="M101" i="4"/>
  <c r="P101" i="4"/>
  <c r="Q101" i="4"/>
  <c r="R101" i="4"/>
  <c r="S101" i="4"/>
  <c r="T101" i="4"/>
  <c r="V101" i="4"/>
  <c r="W101" i="4"/>
  <c r="X101" i="4"/>
  <c r="Z101" i="4"/>
  <c r="AA101" i="4"/>
  <c r="AC101" i="4"/>
  <c r="AD101" i="4"/>
  <c r="AF101" i="4"/>
  <c r="AG101" i="4"/>
  <c r="AH101" i="4"/>
  <c r="AI101" i="4"/>
  <c r="AJ101" i="4"/>
  <c r="E100" i="4"/>
  <c r="F100" i="4"/>
  <c r="G100" i="4"/>
  <c r="H100" i="4"/>
  <c r="I100" i="4"/>
  <c r="J100" i="4"/>
  <c r="K100" i="4"/>
  <c r="M100" i="4"/>
  <c r="P100" i="4"/>
  <c r="Q100" i="4"/>
  <c r="R100" i="4"/>
  <c r="S100" i="4"/>
  <c r="T100" i="4"/>
  <c r="U100" i="4"/>
  <c r="V100" i="4"/>
  <c r="W100" i="4"/>
  <c r="X100" i="4"/>
  <c r="Z100" i="4"/>
  <c r="AA100" i="4"/>
  <c r="AC100" i="4"/>
  <c r="AD100" i="4"/>
  <c r="AF100" i="4"/>
  <c r="AG100" i="4"/>
  <c r="AH100" i="4"/>
  <c r="AI100" i="4"/>
  <c r="AJ100" i="4"/>
  <c r="E99" i="4"/>
  <c r="F99" i="4"/>
  <c r="G99" i="4"/>
  <c r="H99" i="4"/>
  <c r="I99" i="4"/>
  <c r="J99" i="4"/>
  <c r="K99" i="4"/>
  <c r="M99" i="4"/>
  <c r="P99" i="4"/>
  <c r="Q99" i="4"/>
  <c r="R99" i="4"/>
  <c r="S99" i="4"/>
  <c r="T99" i="4"/>
  <c r="U99" i="4"/>
  <c r="V99" i="4"/>
  <c r="W99" i="4"/>
  <c r="X99" i="4"/>
  <c r="Z99" i="4"/>
  <c r="AA99" i="4"/>
  <c r="AC99" i="4"/>
  <c r="AD99" i="4"/>
  <c r="AF99" i="4"/>
  <c r="AG99" i="4"/>
  <c r="AH99" i="4"/>
  <c r="AI99" i="4"/>
  <c r="AJ99" i="4"/>
  <c r="E98" i="4"/>
  <c r="F98" i="4"/>
  <c r="G98" i="4"/>
  <c r="H98" i="4"/>
  <c r="I98" i="4"/>
  <c r="J98" i="4"/>
  <c r="K98" i="4"/>
  <c r="M98" i="4"/>
  <c r="P98" i="4"/>
  <c r="Q98" i="4"/>
  <c r="Q98" i="5" s="1"/>
  <c r="AA26" i="19" s="1"/>
  <c r="R98" i="4"/>
  <c r="S98" i="4"/>
  <c r="T98" i="4"/>
  <c r="U98" i="4"/>
  <c r="V98" i="4"/>
  <c r="W98" i="4"/>
  <c r="X98" i="4"/>
  <c r="Z98" i="4"/>
  <c r="Z98" i="5" s="1"/>
  <c r="AR26" i="19" s="1"/>
  <c r="AA98" i="4"/>
  <c r="AC98" i="4"/>
  <c r="AD98" i="4"/>
  <c r="AF98" i="4"/>
  <c r="AG98" i="4"/>
  <c r="AH98" i="4"/>
  <c r="AI98" i="4"/>
  <c r="AJ98" i="4"/>
  <c r="E94" i="4"/>
  <c r="F94" i="4"/>
  <c r="G94" i="4"/>
  <c r="H94" i="4"/>
  <c r="I94" i="4"/>
  <c r="J94" i="4"/>
  <c r="K94" i="4"/>
  <c r="M94" i="4"/>
  <c r="P94" i="4"/>
  <c r="Q94" i="4"/>
  <c r="R94" i="4"/>
  <c r="S94" i="4"/>
  <c r="T94" i="4"/>
  <c r="U94" i="4"/>
  <c r="V94" i="4"/>
  <c r="W94" i="4"/>
  <c r="X94" i="4"/>
  <c r="Z94" i="4"/>
  <c r="AA94" i="4"/>
  <c r="AC94" i="4"/>
  <c r="AD94" i="4"/>
  <c r="AF94" i="4"/>
  <c r="AG94" i="4"/>
  <c r="AH94" i="4"/>
  <c r="AI94" i="4"/>
  <c r="AJ94" i="4"/>
  <c r="E93" i="4"/>
  <c r="F93" i="4"/>
  <c r="G93" i="4"/>
  <c r="H93" i="4"/>
  <c r="I93" i="4"/>
  <c r="J93" i="4"/>
  <c r="K93" i="4"/>
  <c r="M93" i="4"/>
  <c r="P93" i="4"/>
  <c r="Q93" i="4"/>
  <c r="R93" i="4"/>
  <c r="S93" i="4"/>
  <c r="T93" i="4"/>
  <c r="U93" i="4"/>
  <c r="V93" i="4"/>
  <c r="W93" i="4"/>
  <c r="X93" i="4"/>
  <c r="Z93" i="4"/>
  <c r="AA93" i="4"/>
  <c r="AC93" i="4"/>
  <c r="AD93" i="4"/>
  <c r="AF93" i="4"/>
  <c r="AG93" i="4"/>
  <c r="AH93" i="4"/>
  <c r="AI93" i="4"/>
  <c r="AJ93" i="4"/>
  <c r="E84" i="4"/>
  <c r="F84" i="4"/>
  <c r="G84" i="4"/>
  <c r="H84" i="4"/>
  <c r="I84" i="4"/>
  <c r="J84" i="4"/>
  <c r="K84" i="4"/>
  <c r="M84" i="4"/>
  <c r="P84" i="4"/>
  <c r="Q84" i="4"/>
  <c r="R84" i="4"/>
  <c r="S84" i="4"/>
  <c r="T84" i="4"/>
  <c r="U84" i="4"/>
  <c r="V84" i="4"/>
  <c r="W84" i="4"/>
  <c r="X84" i="4"/>
  <c r="Z84" i="4"/>
  <c r="AA84" i="4"/>
  <c r="AC84" i="4"/>
  <c r="AD84" i="4"/>
  <c r="AF84" i="4"/>
  <c r="AG84" i="4"/>
  <c r="AH84" i="4"/>
  <c r="AI84" i="4"/>
  <c r="AJ84" i="4"/>
  <c r="BD56" i="4"/>
  <c r="BD67" i="4"/>
  <c r="BB73" i="4"/>
  <c r="AX73" i="4"/>
  <c r="V103" i="4"/>
  <c r="W103" i="4"/>
  <c r="X103" i="4"/>
  <c r="Z103" i="4"/>
  <c r="AA103" i="4"/>
  <c r="AC103" i="4"/>
  <c r="AD103" i="4"/>
  <c r="AF103" i="4"/>
  <c r="AG103" i="4"/>
  <c r="AH103" i="4"/>
  <c r="AI103" i="4"/>
  <c r="AJ103" i="4"/>
  <c r="BD112" i="4"/>
  <c r="BD162" i="4" s="1"/>
  <c r="BD171" i="4" s="1"/>
  <c r="BD136" i="4"/>
  <c r="K103" i="4"/>
  <c r="M103" i="4"/>
  <c r="P103" i="4"/>
  <c r="Q103" i="4"/>
  <c r="R103" i="4"/>
  <c r="S103" i="4"/>
  <c r="T103" i="4"/>
  <c r="U103" i="4"/>
  <c r="F103" i="4"/>
  <c r="G103" i="4"/>
  <c r="H103" i="4"/>
  <c r="I103" i="4"/>
  <c r="J103" i="4"/>
  <c r="E103" i="4"/>
  <c r="D127" i="4"/>
  <c r="D128" i="4"/>
  <c r="D130" i="4"/>
  <c r="D131" i="4"/>
  <c r="D132" i="4"/>
  <c r="D133" i="4"/>
  <c r="D134" i="4"/>
  <c r="D120" i="4"/>
  <c r="D135" i="5" s="1"/>
  <c r="D122" i="4"/>
  <c r="D123" i="4"/>
  <c r="D124" i="4"/>
  <c r="D125" i="4"/>
  <c r="D126" i="4"/>
  <c r="D118" i="4"/>
  <c r="D102" i="4"/>
  <c r="D103" i="4"/>
  <c r="D104" i="4"/>
  <c r="D105" i="4"/>
  <c r="D106" i="4"/>
  <c r="D108" i="4"/>
  <c r="D109" i="4"/>
  <c r="D111" i="4"/>
  <c r="D93" i="4"/>
  <c r="D94" i="4"/>
  <c r="D98" i="4"/>
  <c r="D98" i="5" s="1"/>
  <c r="D84" i="5" s="1"/>
  <c r="D99" i="4"/>
  <c r="D27" i="9" s="1"/>
  <c r="D100" i="4"/>
  <c r="EG112" i="4"/>
  <c r="EG136" i="4"/>
  <c r="EG18" i="4"/>
  <c r="EG41" i="4"/>
  <c r="EG56" i="4"/>
  <c r="EG67" i="4"/>
  <c r="CY112" i="4"/>
  <c r="CY171" i="4"/>
  <c r="CY73" i="4" s="1"/>
  <c r="CC171" i="4"/>
  <c r="AU73" i="4"/>
  <c r="AZ73" i="4"/>
  <c r="CU146" i="4"/>
  <c r="CU147" i="4"/>
  <c r="CU149" i="4"/>
  <c r="CU157" i="4"/>
  <c r="CU158" i="4"/>
  <c r="CU160" i="4"/>
  <c r="CU164" i="4"/>
  <c r="CU169" i="4"/>
  <c r="EB361" i="5"/>
  <c r="EB189" i="5" s="1"/>
  <c r="CU15" i="4"/>
  <c r="CU13" i="4"/>
  <c r="CU22" i="4"/>
  <c r="CU23" i="4"/>
  <c r="CU24" i="4"/>
  <c r="CU25" i="4"/>
  <c r="CU26" i="4"/>
  <c r="CU27" i="4"/>
  <c r="CU28" i="4"/>
  <c r="CU29" i="4"/>
  <c r="CU31" i="4"/>
  <c r="CU35" i="4"/>
  <c r="CU36" i="4"/>
  <c r="CU38" i="4"/>
  <c r="CU39" i="4"/>
  <c r="CU40" i="4"/>
  <c r="CU53" i="4"/>
  <c r="CU55" i="4"/>
  <c r="CU61" i="4"/>
  <c r="CU63" i="4"/>
  <c r="CU64" i="4"/>
  <c r="CU69" i="4"/>
  <c r="CU150" i="4"/>
  <c r="CU151" i="4"/>
  <c r="CU152" i="4"/>
  <c r="CU153" i="4"/>
  <c r="CU155" i="4"/>
  <c r="CU156" i="4"/>
  <c r="CU159" i="4"/>
  <c r="CU162" i="4"/>
  <c r="CU163" i="4"/>
  <c r="CU165" i="4"/>
  <c r="CU166" i="4"/>
  <c r="CU167" i="4"/>
  <c r="CU168" i="4"/>
  <c r="CW18" i="4"/>
  <c r="CW41" i="4"/>
  <c r="DX106" i="4"/>
  <c r="CW67" i="4"/>
  <c r="CW136" i="4"/>
  <c r="EF136" i="4"/>
  <c r="EC136" i="4"/>
  <c r="EC173" i="4" s="1"/>
  <c r="DX136" i="4"/>
  <c r="CI136" i="4"/>
  <c r="BO136" i="4"/>
  <c r="BY31" i="4"/>
  <c r="BY32" i="4"/>
  <c r="BY33" i="4"/>
  <c r="BY34" i="4"/>
  <c r="BY35" i="4"/>
  <c r="BY36" i="4"/>
  <c r="BY37" i="4"/>
  <c r="BY38" i="4"/>
  <c r="BY39" i="4"/>
  <c r="BY40" i="4"/>
  <c r="BY53" i="4"/>
  <c r="BY55" i="4"/>
  <c r="BY63" i="4"/>
  <c r="BY64" i="4"/>
  <c r="BY69" i="4"/>
  <c r="CB67" i="4"/>
  <c r="CD67" i="4"/>
  <c r="CE67" i="4"/>
  <c r="CF67" i="4"/>
  <c r="CJ15" i="4"/>
  <c r="CJ22" i="4"/>
  <c r="CJ23" i="4"/>
  <c r="CJ24" i="4"/>
  <c r="CJ25" i="4"/>
  <c r="CJ26" i="4"/>
  <c r="CJ27" i="4"/>
  <c r="CJ28" i="4"/>
  <c r="CJ29" i="4"/>
  <c r="CJ35" i="4"/>
  <c r="CJ36" i="4"/>
  <c r="CJ38" i="4"/>
  <c r="CJ53" i="4"/>
  <c r="CJ55" i="4"/>
  <c r="CJ62" i="4"/>
  <c r="CJ63" i="4"/>
  <c r="CJ64" i="4"/>
  <c r="CJ69" i="4"/>
  <c r="EF182" i="4"/>
  <c r="DX171" i="4"/>
  <c r="DX182" i="4" s="1"/>
  <c r="D171" i="4"/>
  <c r="EC41" i="4"/>
  <c r="EC56" i="4"/>
  <c r="EC67" i="4"/>
  <c r="DZ18" i="4"/>
  <c r="DZ41" i="4"/>
  <c r="DZ56" i="4"/>
  <c r="DZ67" i="4"/>
  <c r="DX41" i="4"/>
  <c r="DX56" i="4"/>
  <c r="DX67" i="4"/>
  <c r="BY108" i="4"/>
  <c r="BY110" i="4"/>
  <c r="BY111" i="4"/>
  <c r="BK73" i="4"/>
  <c r="BC73" i="4"/>
  <c r="AY73" i="4"/>
  <c r="CJ65" i="4"/>
  <c r="CJ329" i="5"/>
  <c r="CK329" i="5" s="1"/>
  <c r="CJ99" i="5"/>
  <c r="BP87" i="4"/>
  <c r="BP98" i="4"/>
  <c r="BP103" i="4"/>
  <c r="BP109" i="4"/>
  <c r="BP118" i="4"/>
  <c r="BP122" i="4"/>
  <c r="BP126" i="4"/>
  <c r="BP131" i="4"/>
  <c r="BP93" i="4"/>
  <c r="BP100" i="4"/>
  <c r="BP105" i="4"/>
  <c r="BP111" i="4"/>
  <c r="BP120" i="4"/>
  <c r="BP124" i="4"/>
  <c r="BP127" i="4"/>
  <c r="BP133" i="4"/>
  <c r="BY196" i="5"/>
  <c r="BZ196" i="5" s="1"/>
  <c r="Y49" i="28"/>
  <c r="H30" i="10"/>
  <c r="BP88" i="4"/>
  <c r="CN15" i="19"/>
  <c r="Y24" i="28"/>
  <c r="AI24" i="19"/>
  <c r="DK24" i="19" s="1"/>
  <c r="X24" i="19"/>
  <c r="CT24" i="19" s="1"/>
  <c r="BT24" i="19"/>
  <c r="DC14" i="19"/>
  <c r="DC15" i="19"/>
  <c r="L37" i="33"/>
  <c r="CW14" i="19"/>
  <c r="CW15" i="19"/>
  <c r="CL14" i="19"/>
  <c r="CL15" i="19"/>
  <c r="BU25" i="5"/>
  <c r="H30" i="25" s="1"/>
  <c r="BT25" i="5"/>
  <c r="F30" i="25" s="1"/>
  <c r="BS25" i="5"/>
  <c r="D30" i="25" s="1"/>
  <c r="BT24" i="4"/>
  <c r="BT24" i="5" s="1"/>
  <c r="BT23" i="4"/>
  <c r="BT23" i="5" s="1"/>
  <c r="F28" i="25" s="1"/>
  <c r="BT22" i="4"/>
  <c r="BT22" i="5" s="1"/>
  <c r="F27" i="25" s="1"/>
  <c r="BW25" i="5"/>
  <c r="L30" i="25" s="1"/>
  <c r="BW23" i="5"/>
  <c r="L28" i="25" s="1"/>
  <c r="N31" i="10"/>
  <c r="AI35" i="19"/>
  <c r="DK35" i="19" s="1"/>
  <c r="C16" i="38"/>
  <c r="F16" i="38" s="1"/>
  <c r="BC22" i="5"/>
  <c r="H28" i="10" s="1"/>
  <c r="BW22" i="5"/>
  <c r="L27" i="25" s="1"/>
  <c r="BP200" i="5"/>
  <c r="BC341" i="5"/>
  <c r="BA341" i="5"/>
  <c r="AY341" i="5"/>
  <c r="AS341" i="5"/>
  <c r="X35" i="19"/>
  <c r="CT35" i="19" s="1"/>
  <c r="DC23" i="19"/>
  <c r="CY23" i="19"/>
  <c r="CW23" i="19"/>
  <c r="CU23" i="19"/>
  <c r="CL23" i="19"/>
  <c r="D23" i="9"/>
  <c r="BT35" i="19"/>
  <c r="BF194" i="5"/>
  <c r="BG194" i="5" s="1"/>
  <c r="H30" i="13"/>
  <c r="AT35" i="19"/>
  <c r="W17" i="37"/>
  <c r="S17" i="37"/>
  <c r="Q17" i="37"/>
  <c r="D17" i="39"/>
  <c r="H17" i="39" s="1"/>
  <c r="AH17" i="39" s="1"/>
  <c r="P45" i="33"/>
  <c r="P29" i="34" s="1"/>
  <c r="M17" i="37"/>
  <c r="I17" i="37"/>
  <c r="E17" i="37"/>
  <c r="AI19" i="37"/>
  <c r="BQ232" i="5"/>
  <c r="AH48" i="39"/>
  <c r="M50" i="7"/>
  <c r="D189" i="5" l="1"/>
  <c r="D384" i="5"/>
  <c r="L59" i="32"/>
  <c r="L67" i="32" s="1"/>
  <c r="L70" i="32" s="1"/>
  <c r="L63" i="32"/>
  <c r="CP154" i="5"/>
  <c r="R69" i="32"/>
  <c r="N82" i="13" s="1"/>
  <c r="W88" i="9" s="1"/>
  <c r="AG88" i="9" s="1"/>
  <c r="E39" i="32"/>
  <c r="G15" i="34"/>
  <c r="P15" i="34"/>
  <c r="M28" i="8"/>
  <c r="Q28" i="8" s="1"/>
  <c r="R176" i="9"/>
  <c r="I70" i="34"/>
  <c r="I42" i="32"/>
  <c r="G70" i="34"/>
  <c r="R70" i="34"/>
  <c r="P70" i="34"/>
  <c r="N70" i="34"/>
  <c r="R55" i="32"/>
  <c r="P70" i="32"/>
  <c r="N70" i="32"/>
  <c r="G70" i="32"/>
  <c r="R56" i="32"/>
  <c r="C70" i="32"/>
  <c r="U43" i="13"/>
  <c r="CA384" i="5"/>
  <c r="CG271" i="5"/>
  <c r="CG63" i="5" s="1"/>
  <c r="Y34" i="9"/>
  <c r="O32" i="8"/>
  <c r="Q32" i="8" s="1"/>
  <c r="C48" i="34"/>
  <c r="T48" i="34" s="1"/>
  <c r="N52" i="15" s="1"/>
  <c r="C103" i="34"/>
  <c r="T103" i="34" s="1"/>
  <c r="CH71" i="19"/>
  <c r="S75" i="3" s="1"/>
  <c r="AP172" i="5"/>
  <c r="BY71" i="19"/>
  <c r="AK55" i="3" s="1"/>
  <c r="AO172" i="5"/>
  <c r="AM172" i="5"/>
  <c r="BW71" i="19"/>
  <c r="I58" i="19"/>
  <c r="DZ58" i="19" s="1"/>
  <c r="D60" i="18" s="1"/>
  <c r="BF141" i="5"/>
  <c r="H52" i="15"/>
  <c r="H110" i="15"/>
  <c r="J15" i="33"/>
  <c r="CM86" i="5"/>
  <c r="CM85" i="5" s="1"/>
  <c r="E226" i="65"/>
  <c r="D88" i="5"/>
  <c r="K34" i="22"/>
  <c r="AP33" i="22"/>
  <c r="H13" i="66"/>
  <c r="H16" i="66" s="1"/>
  <c r="I60" i="6"/>
  <c r="CG132" i="5"/>
  <c r="F60" i="13" s="1"/>
  <c r="BZ34" i="5"/>
  <c r="CA34" i="5" s="1"/>
  <c r="BZ33" i="5"/>
  <c r="CA33" i="5" s="1"/>
  <c r="BZ31" i="5"/>
  <c r="CA31" i="5" s="1"/>
  <c r="BZ32" i="5"/>
  <c r="CA32" i="5" s="1"/>
  <c r="BF52" i="4"/>
  <c r="BG52" i="4" s="1"/>
  <c r="F50" i="10"/>
  <c r="BJ67" i="4"/>
  <c r="BJ187" i="4"/>
  <c r="BK67" i="4"/>
  <c r="BK187" i="4"/>
  <c r="BC67" i="4"/>
  <c r="BC187" i="4"/>
  <c r="G178" i="11"/>
  <c r="II18" i="26"/>
  <c r="CA37" i="5"/>
  <c r="BG316" i="5"/>
  <c r="H51" i="10"/>
  <c r="H50" i="10"/>
  <c r="G51" i="10"/>
  <c r="G50" i="10"/>
  <c r="CQ32" i="5"/>
  <c r="P16" i="34" s="1"/>
  <c r="CA36" i="5"/>
  <c r="IH18" i="26"/>
  <c r="IH19" i="26"/>
  <c r="IH30" i="26"/>
  <c r="IH35" i="26"/>
  <c r="II36" i="26"/>
  <c r="II45" i="26"/>
  <c r="II39" i="26"/>
  <c r="II17" i="26"/>
  <c r="II16" i="26"/>
  <c r="CA38" i="5"/>
  <c r="IH22" i="26"/>
  <c r="IH17" i="26"/>
  <c r="II30" i="26"/>
  <c r="II32" i="26"/>
  <c r="IH36" i="26"/>
  <c r="IH38" i="26"/>
  <c r="IH39" i="26"/>
  <c r="IH41" i="26"/>
  <c r="IH44" i="26"/>
  <c r="IH47" i="26"/>
  <c r="IH16" i="26"/>
  <c r="II47" i="26"/>
  <c r="II44" i="26"/>
  <c r="II38" i="26"/>
  <c r="II20" i="26"/>
  <c r="II19" i="26"/>
  <c r="IH21" i="26"/>
  <c r="IH29" i="26"/>
  <c r="IH32" i="26"/>
  <c r="II33" i="26"/>
  <c r="IH45" i="26"/>
  <c r="IH55" i="26"/>
  <c r="E46" i="4"/>
  <c r="II54" i="26"/>
  <c r="II46" i="26"/>
  <c r="II42" i="26"/>
  <c r="II22" i="26"/>
  <c r="II55" i="26"/>
  <c r="II21" i="26"/>
  <c r="BG103" i="4"/>
  <c r="IH20" i="26"/>
  <c r="II29" i="26"/>
  <c r="IH33" i="26"/>
  <c r="II35" i="26"/>
  <c r="IH42" i="26"/>
  <c r="IH46" i="26"/>
  <c r="IH54" i="26"/>
  <c r="II41" i="26"/>
  <c r="G17" i="10"/>
  <c r="I60" i="70"/>
  <c r="G16" i="10"/>
  <c r="I59" i="70"/>
  <c r="G22" i="10"/>
  <c r="I67" i="70"/>
  <c r="G42" i="10"/>
  <c r="I68" i="70"/>
  <c r="G18" i="10"/>
  <c r="I79" i="70"/>
  <c r="I80" i="70" s="1"/>
  <c r="G19" i="10"/>
  <c r="I64" i="70"/>
  <c r="G21" i="10"/>
  <c r="I66" i="70"/>
  <c r="G20" i="10"/>
  <c r="I65" i="70"/>
  <c r="J35" i="26"/>
  <c r="I69" i="26"/>
  <c r="II63" i="26"/>
  <c r="IZ75" i="26" s="1"/>
  <c r="BG195" i="5"/>
  <c r="CA195" i="5" s="1"/>
  <c r="BG182" i="5"/>
  <c r="CA182" i="5" s="1"/>
  <c r="BG178" i="5"/>
  <c r="CA178" i="5" s="1"/>
  <c r="G111" i="11"/>
  <c r="C35" i="51"/>
  <c r="C39" i="51" s="1"/>
  <c r="CC154" i="5"/>
  <c r="B31" i="66"/>
  <c r="BG183" i="5"/>
  <c r="CA183" i="5" s="1"/>
  <c r="BG179" i="5"/>
  <c r="CA179" i="5" s="1"/>
  <c r="BG185" i="5"/>
  <c r="CA185" i="5" s="1"/>
  <c r="BG181" i="5"/>
  <c r="CA181" i="5" s="1"/>
  <c r="BG177" i="5"/>
  <c r="CA177" i="5" s="1"/>
  <c r="G193" i="11"/>
  <c r="G127" i="11"/>
  <c r="BG190" i="5"/>
  <c r="CA190" i="5" s="1"/>
  <c r="BG184" i="5"/>
  <c r="CA184" i="5" s="1"/>
  <c r="BG180" i="5"/>
  <c r="CA180" i="5" s="1"/>
  <c r="BG176" i="5"/>
  <c r="CA176" i="5" s="1"/>
  <c r="BZ285" i="5"/>
  <c r="F29" i="66" s="1"/>
  <c r="BG291" i="5"/>
  <c r="CA291" i="5" s="1"/>
  <c r="B27" i="66"/>
  <c r="BG187" i="5"/>
  <c r="CA187" i="5" s="1"/>
  <c r="DW85" i="5"/>
  <c r="D62" i="9"/>
  <c r="P59" i="30"/>
  <c r="AC21" i="22"/>
  <c r="DW334" i="5"/>
  <c r="AR19" i="37" s="1"/>
  <c r="D46" i="10"/>
  <c r="IH57" i="26"/>
  <c r="II57" i="26"/>
  <c r="II56" i="26"/>
  <c r="IH56" i="26"/>
  <c r="CD334" i="5"/>
  <c r="F108" i="31" s="1"/>
  <c r="N15" i="34"/>
  <c r="CG334" i="5"/>
  <c r="CG89" i="5" s="1"/>
  <c r="DS73" i="4"/>
  <c r="DS75" i="4" s="1"/>
  <c r="BY86" i="5"/>
  <c r="BZ86" i="5" s="1"/>
  <c r="EG163" i="4"/>
  <c r="EG171" i="4" s="1"/>
  <c r="DR73" i="4"/>
  <c r="DR75" i="4" s="1"/>
  <c r="DR182" i="4"/>
  <c r="M21" i="37"/>
  <c r="DW105" i="5"/>
  <c r="CY84" i="5"/>
  <c r="ED16" i="26"/>
  <c r="DF16" i="26"/>
  <c r="G25" i="11"/>
  <c r="G42" i="11"/>
  <c r="M15" i="5"/>
  <c r="T20" i="22" s="1"/>
  <c r="Q17" i="51"/>
  <c r="Q16" i="51" s="1"/>
  <c r="G17" i="11"/>
  <c r="G34" i="11"/>
  <c r="P58" i="24"/>
  <c r="F58" i="23" s="1"/>
  <c r="CC157" i="5"/>
  <c r="CC172" i="5" s="1"/>
  <c r="CA269" i="5"/>
  <c r="DO182" i="4"/>
  <c r="DO73" i="4"/>
  <c r="DO75" i="4" s="1"/>
  <c r="DN73" i="4"/>
  <c r="DN75" i="4" s="1"/>
  <c r="DJ73" i="4"/>
  <c r="DJ75" i="4" s="1"/>
  <c r="DB73" i="4"/>
  <c r="DB75" i="4" s="1"/>
  <c r="CX182" i="4"/>
  <c r="CX73" i="4"/>
  <c r="W50" i="39"/>
  <c r="AH50" i="39" s="1"/>
  <c r="AH52" i="39" s="1"/>
  <c r="C34" i="80"/>
  <c r="AO34" i="80" s="1"/>
  <c r="AO36" i="80" s="1"/>
  <c r="DO332" i="5"/>
  <c r="DO288" i="5"/>
  <c r="DK292" i="5"/>
  <c r="DK331" i="5" s="1"/>
  <c r="DK185" i="5" s="1"/>
  <c r="DK207" i="5" s="1"/>
  <c r="DK218" i="5" s="1"/>
  <c r="DK10" i="5"/>
  <c r="DK18" i="5" s="1"/>
  <c r="DK43" i="5" s="1"/>
  <c r="DK61" i="5" s="1"/>
  <c r="DK73" i="5" s="1"/>
  <c r="DK157" i="5"/>
  <c r="DK172" i="5" s="1"/>
  <c r="DE157" i="5"/>
  <c r="DE172" i="5" s="1"/>
  <c r="DE292" i="5"/>
  <c r="DE331" i="5" s="1"/>
  <c r="DE185" i="5" s="1"/>
  <c r="DE207" i="5" s="1"/>
  <c r="DE10" i="5"/>
  <c r="DA292" i="5"/>
  <c r="DA331" i="5" s="1"/>
  <c r="DA185" i="5" s="1"/>
  <c r="DA207" i="5" s="1"/>
  <c r="DA10" i="5"/>
  <c r="DA18" i="5" s="1"/>
  <c r="DA43" i="5" s="1"/>
  <c r="DA61" i="5" s="1"/>
  <c r="DA73" i="5" s="1"/>
  <c r="DA157" i="5"/>
  <c r="DA172" i="5" s="1"/>
  <c r="DI182" i="4"/>
  <c r="DI73" i="4"/>
  <c r="DI75" i="4" s="1"/>
  <c r="DE73" i="4"/>
  <c r="DE75" i="4" s="1"/>
  <c r="DN292" i="5"/>
  <c r="DN331" i="5" s="1"/>
  <c r="DN185" i="5" s="1"/>
  <c r="DN207" i="5" s="1"/>
  <c r="W35" i="37" s="1"/>
  <c r="W37" i="37" s="1"/>
  <c r="DN10" i="5"/>
  <c r="DN157" i="5"/>
  <c r="DN172" i="5" s="1"/>
  <c r="DJ292" i="5"/>
  <c r="DJ331" i="5" s="1"/>
  <c r="DJ185" i="5" s="1"/>
  <c r="DJ207" i="5" s="1"/>
  <c r="Q35" i="37" s="1"/>
  <c r="Q37" i="37" s="1"/>
  <c r="DJ10" i="5"/>
  <c r="DJ157" i="5"/>
  <c r="DJ172" i="5" s="1"/>
  <c r="DD292" i="5"/>
  <c r="DD331" i="5" s="1"/>
  <c r="DD185" i="5" s="1"/>
  <c r="DD207" i="5" s="1"/>
  <c r="M35" i="37" s="1"/>
  <c r="M37" i="37" s="1"/>
  <c r="DD10" i="5"/>
  <c r="DD157" i="5"/>
  <c r="DD172" i="5" s="1"/>
  <c r="CZ292" i="5"/>
  <c r="CZ331" i="5" s="1"/>
  <c r="CZ185" i="5" s="1"/>
  <c r="CZ207" i="5" s="1"/>
  <c r="CZ218" i="5" s="1"/>
  <c r="CZ10" i="5"/>
  <c r="CZ18" i="5" s="1"/>
  <c r="CZ43" i="5" s="1"/>
  <c r="CZ61" i="5" s="1"/>
  <c r="CZ73" i="5" s="1"/>
  <c r="CZ157" i="5"/>
  <c r="CZ172" i="5" s="1"/>
  <c r="DS88" i="5"/>
  <c r="AG19" i="37" s="1"/>
  <c r="DS288" i="5"/>
  <c r="DS10" i="5" s="1"/>
  <c r="DL73" i="4"/>
  <c r="DL75" i="4" s="1"/>
  <c r="DD73" i="4"/>
  <c r="DD75" i="4" s="1"/>
  <c r="DM292" i="5"/>
  <c r="DM331" i="5" s="1"/>
  <c r="DM185" i="5" s="1"/>
  <c r="DM207" i="5" s="1"/>
  <c r="DM75" i="5" s="1"/>
  <c r="DM10" i="5"/>
  <c r="DM18" i="5" s="1"/>
  <c r="DM43" i="5" s="1"/>
  <c r="DM61" i="5" s="1"/>
  <c r="DM73" i="5" s="1"/>
  <c r="DM157" i="5"/>
  <c r="DM172" i="5" s="1"/>
  <c r="DI292" i="5"/>
  <c r="DI331" i="5" s="1"/>
  <c r="DI185" i="5" s="1"/>
  <c r="DI207" i="5" s="1"/>
  <c r="DI218" i="5" s="1"/>
  <c r="DI10" i="5"/>
  <c r="DI18" i="5" s="1"/>
  <c r="DI43" i="5" s="1"/>
  <c r="DI61" i="5" s="1"/>
  <c r="DI73" i="5" s="1"/>
  <c r="DI157" i="5"/>
  <c r="DI172" i="5" s="1"/>
  <c r="DC292" i="5"/>
  <c r="DC331" i="5" s="1"/>
  <c r="DC185" i="5" s="1"/>
  <c r="DC207" i="5" s="1"/>
  <c r="DC10" i="5"/>
  <c r="DC157" i="5"/>
  <c r="DC172" i="5" s="1"/>
  <c r="CY292" i="5"/>
  <c r="CY331" i="5" s="1"/>
  <c r="CY185" i="5" s="1"/>
  <c r="CY207" i="5" s="1"/>
  <c r="E35" i="37" s="1"/>
  <c r="E37" i="37" s="1"/>
  <c r="CY10" i="5"/>
  <c r="CY157" i="5"/>
  <c r="CY172" i="5" s="1"/>
  <c r="DR88" i="5"/>
  <c r="AA19" i="37" s="1"/>
  <c r="AA23" i="37" s="1"/>
  <c r="DR288" i="5"/>
  <c r="DR10" i="5" s="1"/>
  <c r="AA14" i="80" s="1"/>
  <c r="DQ182" i="4"/>
  <c r="DQ73" i="4"/>
  <c r="DQ75" i="4" s="1"/>
  <c r="DK182" i="4"/>
  <c r="DK73" i="4"/>
  <c r="DK75" i="4" s="1"/>
  <c r="DC73" i="4"/>
  <c r="DC75" i="4" s="1"/>
  <c r="DL292" i="5"/>
  <c r="DL331" i="5" s="1"/>
  <c r="DL185" i="5" s="1"/>
  <c r="DL207" i="5" s="1"/>
  <c r="S35" i="37" s="1"/>
  <c r="S37" i="37" s="1"/>
  <c r="DL10" i="5"/>
  <c r="DL157" i="5"/>
  <c r="DL172" i="5" s="1"/>
  <c r="DH292" i="5"/>
  <c r="DH331" i="5" s="1"/>
  <c r="DH185" i="5" s="1"/>
  <c r="DH207" i="5" s="1"/>
  <c r="DH218" i="5" s="1"/>
  <c r="DH10" i="5"/>
  <c r="DH18" i="5" s="1"/>
  <c r="DH43" i="5" s="1"/>
  <c r="DH61" i="5" s="1"/>
  <c r="DH73" i="5" s="1"/>
  <c r="DH157" i="5"/>
  <c r="DH172" i="5" s="1"/>
  <c r="DB292" i="5"/>
  <c r="DB331" i="5" s="1"/>
  <c r="DB185" i="5" s="1"/>
  <c r="DB207" i="5" s="1"/>
  <c r="G35" i="37" s="1"/>
  <c r="DB10" i="5"/>
  <c r="DB157" i="5"/>
  <c r="DB172" i="5" s="1"/>
  <c r="CX292" i="5"/>
  <c r="CX331" i="5" s="1"/>
  <c r="CX185" i="5" s="1"/>
  <c r="CX207" i="5" s="1"/>
  <c r="CX218" i="5" s="1"/>
  <c r="CX10" i="5"/>
  <c r="CX18" i="5" s="1"/>
  <c r="CX43" i="5" s="1"/>
  <c r="CX61" i="5" s="1"/>
  <c r="CX73" i="5" s="1"/>
  <c r="CX157" i="5"/>
  <c r="DQ332" i="5"/>
  <c r="DQ288" i="5"/>
  <c r="DQ10" i="5" s="1"/>
  <c r="Y14" i="80" s="1"/>
  <c r="DF88" i="5"/>
  <c r="DG75" i="5"/>
  <c r="DG77" i="5" s="1"/>
  <c r="CG35" i="19"/>
  <c r="DZ35" i="19" s="1"/>
  <c r="F46" i="11"/>
  <c r="D12" i="4" s="1"/>
  <c r="EC175" i="4"/>
  <c r="T73" i="4"/>
  <c r="D36" i="30"/>
  <c r="D49" i="31" s="1"/>
  <c r="O49" i="31" s="1"/>
  <c r="J51" i="15" s="1"/>
  <c r="G124" i="11"/>
  <c r="G102" i="11"/>
  <c r="H36" i="14"/>
  <c r="X334" i="5"/>
  <c r="X157" i="5" s="1"/>
  <c r="X172" i="5" s="1"/>
  <c r="S334" i="5"/>
  <c r="S157" i="5" s="1"/>
  <c r="S172" i="5" s="1"/>
  <c r="DB177" i="4"/>
  <c r="DW46" i="4"/>
  <c r="EE46" i="4" s="1"/>
  <c r="G31" i="11"/>
  <c r="CW56" i="4"/>
  <c r="F37" i="33"/>
  <c r="E41" i="34" s="1"/>
  <c r="P75" i="20"/>
  <c r="F81" i="18" s="1"/>
  <c r="D59" i="33"/>
  <c r="T59" i="33" s="1"/>
  <c r="N63" i="14" s="1"/>
  <c r="N63" i="30"/>
  <c r="J63" i="14" s="1"/>
  <c r="L63" i="14" s="1"/>
  <c r="P40" i="33"/>
  <c r="AH32" i="28"/>
  <c r="CA95" i="5"/>
  <c r="BY135" i="5"/>
  <c r="BZ135" i="5" s="1"/>
  <c r="G23" i="11"/>
  <c r="CA144" i="5"/>
  <c r="CA104" i="5"/>
  <c r="CA87" i="5"/>
  <c r="D19" i="31"/>
  <c r="R19" i="15" s="1"/>
  <c r="D17" i="30"/>
  <c r="D19" i="30" s="1"/>
  <c r="CA248" i="5"/>
  <c r="CO73" i="4"/>
  <c r="CA251" i="5"/>
  <c r="CA311" i="5"/>
  <c r="CA151" i="5"/>
  <c r="D41" i="31"/>
  <c r="D72" i="31"/>
  <c r="D74" i="31" s="1"/>
  <c r="D40" i="29"/>
  <c r="CA252" i="5"/>
  <c r="CA283" i="5"/>
  <c r="CA308" i="5"/>
  <c r="CA312" i="5"/>
  <c r="N176" i="41"/>
  <c r="D62" i="29"/>
  <c r="D16" i="31" s="1"/>
  <c r="CA105" i="5"/>
  <c r="CA253" i="5"/>
  <c r="CA313" i="5"/>
  <c r="D68" i="29"/>
  <c r="D76" i="29" s="1"/>
  <c r="D50" i="30"/>
  <c r="D30" i="31" s="1"/>
  <c r="R31" i="15" s="1"/>
  <c r="D18" i="31"/>
  <c r="R18" i="15" s="1"/>
  <c r="D22" i="30"/>
  <c r="CJ135" i="5"/>
  <c r="D61" i="29"/>
  <c r="D32" i="31" s="1"/>
  <c r="O32" i="31" s="1"/>
  <c r="J33" i="15" s="1"/>
  <c r="L33" i="15" s="1"/>
  <c r="O89" i="31"/>
  <c r="J93" i="15" s="1"/>
  <c r="G30" i="37"/>
  <c r="P52" i="20"/>
  <c r="F58" i="18" s="1"/>
  <c r="P47" i="20"/>
  <c r="F53" i="18" s="1"/>
  <c r="D16" i="5"/>
  <c r="C67" i="70" s="1"/>
  <c r="U119" i="13"/>
  <c r="C68" i="70"/>
  <c r="BS171" i="4"/>
  <c r="BS73" i="4" s="1"/>
  <c r="BY164" i="4"/>
  <c r="BY171" i="4" s="1"/>
  <c r="GL33" i="26"/>
  <c r="EJ33" i="26"/>
  <c r="L118" i="11"/>
  <c r="L119" i="11" s="1"/>
  <c r="L120" i="11" s="1"/>
  <c r="P26" i="20"/>
  <c r="F26" i="18" s="1"/>
  <c r="P54" i="20"/>
  <c r="P51" i="20"/>
  <c r="EE106" i="4"/>
  <c r="BD32" i="26"/>
  <c r="BV33" i="26"/>
  <c r="AH22" i="28"/>
  <c r="AH19" i="28"/>
  <c r="AH29" i="28"/>
  <c r="D60" i="27"/>
  <c r="P19" i="32"/>
  <c r="R83" i="34" s="1"/>
  <c r="R15" i="34"/>
  <c r="L19" i="32"/>
  <c r="N83" i="34" s="1"/>
  <c r="AI63" i="28"/>
  <c r="P53" i="20"/>
  <c r="AS16" i="27"/>
  <c r="P10" i="5"/>
  <c r="DP35" i="26"/>
  <c r="CP35" i="26"/>
  <c r="ET32" i="26"/>
  <c r="BL32" i="26"/>
  <c r="V25" i="4"/>
  <c r="AY16" i="5"/>
  <c r="DA21" i="22" s="1"/>
  <c r="AY15" i="5"/>
  <c r="DA20" i="22" s="1"/>
  <c r="AY14" i="5"/>
  <c r="DA19" i="22" s="1"/>
  <c r="AY46" i="5"/>
  <c r="DA41" i="22" s="1"/>
  <c r="AY50" i="5"/>
  <c r="DA45" i="22" s="1"/>
  <c r="AY54" i="5"/>
  <c r="DA46" i="22" s="1"/>
  <c r="AY12" i="5"/>
  <c r="DA17" i="22" s="1"/>
  <c r="AY28" i="5"/>
  <c r="DA33" i="22" s="1"/>
  <c r="AY41" i="4"/>
  <c r="AY42" i="4" s="1"/>
  <c r="GL32" i="26"/>
  <c r="EJ32" i="26"/>
  <c r="BV32" i="26"/>
  <c r="BR33" i="26"/>
  <c r="BD33" i="26"/>
  <c r="BV35" i="26"/>
  <c r="BR32" i="26"/>
  <c r="ET33" i="26"/>
  <c r="BL33" i="26"/>
  <c r="DF36" i="26"/>
  <c r="CL36" i="26"/>
  <c r="AV29" i="5"/>
  <c r="CW34" i="22" s="1"/>
  <c r="AV14" i="5"/>
  <c r="CW19" i="22" s="1"/>
  <c r="AV16" i="5"/>
  <c r="CW21" i="22" s="1"/>
  <c r="AV15" i="5"/>
  <c r="CW20" i="22" s="1"/>
  <c r="HA32" i="26"/>
  <c r="AV47" i="5"/>
  <c r="CW42" i="22" s="1"/>
  <c r="AU46" i="5"/>
  <c r="CU41" i="22" s="1"/>
  <c r="AU50" i="5"/>
  <c r="CU45" i="22" s="1"/>
  <c r="AU54" i="5"/>
  <c r="CU46" i="22" s="1"/>
  <c r="AU14" i="5"/>
  <c r="CU19" i="22" s="1"/>
  <c r="AU16" i="5"/>
  <c r="CU21" i="22" s="1"/>
  <c r="AU15" i="5"/>
  <c r="CU20" i="22" s="1"/>
  <c r="AU12" i="5"/>
  <c r="CU17" i="22" s="1"/>
  <c r="P55" i="20"/>
  <c r="F60" i="18" s="1"/>
  <c r="P49" i="20"/>
  <c r="P48" i="20"/>
  <c r="F54" i="18" s="1"/>
  <c r="P27" i="20"/>
  <c r="F27" i="18" s="1"/>
  <c r="P19" i="20"/>
  <c r="F20" i="18" s="1"/>
  <c r="G19" i="32"/>
  <c r="G83" i="34" s="1"/>
  <c r="AH56" i="28"/>
  <c r="P70" i="20"/>
  <c r="CD331" i="5"/>
  <c r="CF271" i="5"/>
  <c r="CF63" i="5" s="1"/>
  <c r="CE271" i="5"/>
  <c r="CE63" i="5" s="1"/>
  <c r="H57" i="30" s="1"/>
  <c r="H61" i="30" s="1"/>
  <c r="CD271" i="5"/>
  <c r="CD63" i="5" s="1"/>
  <c r="F57" i="30" s="1"/>
  <c r="CC271" i="5"/>
  <c r="CC63" i="5" s="1"/>
  <c r="F15" i="24"/>
  <c r="F23" i="24" s="1"/>
  <c r="AS19" i="3" s="1"/>
  <c r="G229" i="65"/>
  <c r="AH21" i="28"/>
  <c r="AH33" i="28"/>
  <c r="AH55" i="28"/>
  <c r="AI56" i="28"/>
  <c r="AI35" i="28"/>
  <c r="AI29" i="28"/>
  <c r="AI20" i="28"/>
  <c r="AH57" i="28"/>
  <c r="AH18" i="28"/>
  <c r="AH20" i="28"/>
  <c r="AH35" i="28"/>
  <c r="AH54" i="28"/>
  <c r="AI33" i="28"/>
  <c r="AI21" i="28"/>
  <c r="AI19" i="28"/>
  <c r="AH30" i="28"/>
  <c r="AH36" i="28"/>
  <c r="AI32" i="28"/>
  <c r="AI18" i="28"/>
  <c r="AI36" i="28"/>
  <c r="AI30" i="28"/>
  <c r="AI22" i="28"/>
  <c r="AI57" i="28"/>
  <c r="AI64" i="27"/>
  <c r="J4" i="66" s="1"/>
  <c r="AR50" i="27"/>
  <c r="AQ50" i="27"/>
  <c r="CG12" i="5"/>
  <c r="F33" i="14" s="1"/>
  <c r="CG94" i="5"/>
  <c r="F24" i="13" s="1"/>
  <c r="F91" i="15" s="1"/>
  <c r="BN157" i="5"/>
  <c r="BN172" i="5" s="1"/>
  <c r="BN88" i="5"/>
  <c r="J17" i="9" s="1"/>
  <c r="DX86" i="4"/>
  <c r="EE86" i="4" s="1"/>
  <c r="F18" i="9"/>
  <c r="I73" i="4"/>
  <c r="C91" i="38"/>
  <c r="AI54" i="28"/>
  <c r="AI55" i="28"/>
  <c r="F15" i="38"/>
  <c r="CG331" i="5"/>
  <c r="CC331" i="5"/>
  <c r="CH331" i="5"/>
  <c r="CH185" i="5" s="1"/>
  <c r="CE331" i="5"/>
  <c r="CF331" i="5"/>
  <c r="CA265" i="5"/>
  <c r="CA194" i="5"/>
  <c r="C15" i="34"/>
  <c r="CG58" i="5"/>
  <c r="CJ118" i="5"/>
  <c r="AI63" i="3"/>
  <c r="AM63" i="3"/>
  <c r="E580" i="65"/>
  <c r="L51" i="30"/>
  <c r="M31" i="31" s="1"/>
  <c r="M38" i="31" s="1"/>
  <c r="H51" i="30"/>
  <c r="H31" i="31" s="1"/>
  <c r="H39" i="30"/>
  <c r="F51" i="30"/>
  <c r="F31" i="31" s="1"/>
  <c r="O30" i="37"/>
  <c r="EN110" i="5"/>
  <c r="EN177" i="5"/>
  <c r="CA317" i="5"/>
  <c r="CA307" i="5"/>
  <c r="CA305" i="5"/>
  <c r="CA303" i="5"/>
  <c r="CA301" i="5"/>
  <c r="CA299" i="5"/>
  <c r="CA297" i="5"/>
  <c r="DW58" i="5"/>
  <c r="EN108" i="5"/>
  <c r="CA310" i="5"/>
  <c r="CA205" i="5"/>
  <c r="CA203" i="5"/>
  <c r="CA201" i="5"/>
  <c r="J13" i="66"/>
  <c r="BN22" i="5"/>
  <c r="BP22" i="5" s="1"/>
  <c r="BW132" i="5"/>
  <c r="L41" i="21" s="1"/>
  <c r="L63" i="21" s="1"/>
  <c r="AO71" i="4"/>
  <c r="AO75" i="4" s="1"/>
  <c r="BY100" i="4"/>
  <c r="G99" i="11"/>
  <c r="BY99" i="4"/>
  <c r="BD29" i="26"/>
  <c r="BD30" i="26"/>
  <c r="T36" i="26"/>
  <c r="J46" i="26"/>
  <c r="J32" i="26"/>
  <c r="HA56" i="26"/>
  <c r="T33" i="26"/>
  <c r="AF25" i="4"/>
  <c r="AD37" i="10"/>
  <c r="N94" i="10" s="1"/>
  <c r="R95" i="10" s="1"/>
  <c r="CC41" i="4"/>
  <c r="CC42" i="4" s="1"/>
  <c r="E57" i="28"/>
  <c r="E20" i="28"/>
  <c r="BU61" i="4"/>
  <c r="BU67" i="4" s="1"/>
  <c r="JE63" i="26"/>
  <c r="DW67" i="4"/>
  <c r="EE56" i="4"/>
  <c r="CY177" i="4"/>
  <c r="DZ22" i="26"/>
  <c r="DP22" i="26"/>
  <c r="CP22" i="26"/>
  <c r="BV22" i="26"/>
  <c r="AT22" i="26"/>
  <c r="T22" i="26"/>
  <c r="AD20" i="26"/>
  <c r="CF17" i="26"/>
  <c r="AD17" i="26"/>
  <c r="J17" i="26"/>
  <c r="IE35" i="26"/>
  <c r="CB47" i="26"/>
  <c r="HY47" i="26"/>
  <c r="HK47" i="26"/>
  <c r="CB54" i="26"/>
  <c r="P54" i="26"/>
  <c r="GQ55" i="26"/>
  <c r="AT47" i="5" s="1"/>
  <c r="CP42" i="22" s="1"/>
  <c r="EN55" i="26"/>
  <c r="DT55" i="26"/>
  <c r="CV55" i="26"/>
  <c r="CB55" i="26"/>
  <c r="BD55" i="26"/>
  <c r="DO177" i="4"/>
  <c r="DO178" i="4" s="1"/>
  <c r="BN43" i="4"/>
  <c r="BN59" i="4" s="1"/>
  <c r="DH182" i="4"/>
  <c r="DB173" i="4"/>
  <c r="DB175" i="4" s="1"/>
  <c r="EE67" i="4"/>
  <c r="CX173" i="4"/>
  <c r="CX175" i="4" s="1"/>
  <c r="BY94" i="4"/>
  <c r="BF162" i="4"/>
  <c r="BG162" i="4" s="1"/>
  <c r="BG171" i="4" s="1"/>
  <c r="BY83" i="4"/>
  <c r="BZ83" i="4" s="1"/>
  <c r="BD43" i="4"/>
  <c r="BD59" i="4" s="1"/>
  <c r="BD71" i="4" s="1"/>
  <c r="BD177" i="4" s="1"/>
  <c r="BD178" i="4" s="1"/>
  <c r="CG41" i="4"/>
  <c r="CG40" i="5" s="1"/>
  <c r="CA107" i="5"/>
  <c r="G105" i="11"/>
  <c r="L97" i="11"/>
  <c r="T16" i="26"/>
  <c r="G195" i="11"/>
  <c r="G91" i="11"/>
  <c r="L184" i="11"/>
  <c r="G94" i="11"/>
  <c r="J94" i="11"/>
  <c r="J95" i="11" s="1"/>
  <c r="G118" i="11"/>
  <c r="G138" i="11"/>
  <c r="G141" i="11"/>
  <c r="G144" i="11"/>
  <c r="G169" i="11"/>
  <c r="F164" i="11"/>
  <c r="D25" i="4" s="1"/>
  <c r="D25" i="5" s="1"/>
  <c r="H98" i="65" s="1"/>
  <c r="I98" i="65" s="1"/>
  <c r="GP69" i="26"/>
  <c r="AT16" i="26"/>
  <c r="EM69" i="26"/>
  <c r="JC16" i="26"/>
  <c r="F45" i="12"/>
  <c r="F50" i="12" s="1"/>
  <c r="E50" i="12"/>
  <c r="DT21" i="26"/>
  <c r="CV21" i="26"/>
  <c r="CB21" i="26"/>
  <c r="BD21" i="26"/>
  <c r="Z21" i="26"/>
  <c r="DF19" i="26"/>
  <c r="CC18" i="5"/>
  <c r="H29" i="15"/>
  <c r="J25" i="30"/>
  <c r="H19" i="13"/>
  <c r="H130" i="13" s="1"/>
  <c r="H133" i="13" s="1"/>
  <c r="H134" i="13" s="1"/>
  <c r="CN334" i="5"/>
  <c r="G106" i="34" s="1"/>
  <c r="CR132" i="5"/>
  <c r="P49" i="32" s="1"/>
  <c r="R90" i="34" s="1"/>
  <c r="CF171" i="4"/>
  <c r="CF73" i="4" s="1"/>
  <c r="I30" i="28"/>
  <c r="I33" i="28"/>
  <c r="I36" i="28"/>
  <c r="BY98" i="4"/>
  <c r="H44" i="21"/>
  <c r="N44" i="21" s="1"/>
  <c r="H55" i="18" s="1"/>
  <c r="HA38" i="26"/>
  <c r="DT38" i="26"/>
  <c r="DF38" i="26"/>
  <c r="CV38" i="26"/>
  <c r="CL38" i="26"/>
  <c r="E66" i="70"/>
  <c r="H17" i="10"/>
  <c r="G60" i="70"/>
  <c r="H42" i="10"/>
  <c r="G68" i="70"/>
  <c r="H21" i="10"/>
  <c r="G66" i="70"/>
  <c r="X132" i="5"/>
  <c r="F62" i="9" s="1"/>
  <c r="F90" i="9" s="1"/>
  <c r="G108" i="11"/>
  <c r="G117" i="11"/>
  <c r="G39" i="11"/>
  <c r="G36" i="11"/>
  <c r="D65" i="9"/>
  <c r="F135" i="5"/>
  <c r="E49" i="19" s="1"/>
  <c r="Q15" i="6"/>
  <c r="Q42" i="6" s="1"/>
  <c r="H20" i="10"/>
  <c r="G65" i="70"/>
  <c r="H22" i="10"/>
  <c r="G67" i="70"/>
  <c r="BJ59" i="26"/>
  <c r="F16" i="10"/>
  <c r="E59" i="70"/>
  <c r="F20" i="10"/>
  <c r="E65" i="70"/>
  <c r="F19" i="10"/>
  <c r="E64" i="70"/>
  <c r="Z46" i="5"/>
  <c r="AR41" i="22" s="1"/>
  <c r="S84" i="7"/>
  <c r="E29" i="27"/>
  <c r="C50" i="27"/>
  <c r="H18" i="10"/>
  <c r="G79" i="70"/>
  <c r="G80" i="70" s="1"/>
  <c r="X47" i="5"/>
  <c r="F43" i="10" s="1"/>
  <c r="Z37" i="10"/>
  <c r="Z39" i="10" s="1"/>
  <c r="Z60" i="10" s="1"/>
  <c r="I393" i="5"/>
  <c r="C9" i="70"/>
  <c r="CA306" i="5"/>
  <c r="CA304" i="5"/>
  <c r="CA302" i="5"/>
  <c r="CA300" i="5"/>
  <c r="CA329" i="5"/>
  <c r="CN32" i="5"/>
  <c r="CA374" i="5"/>
  <c r="CC73" i="4"/>
  <c r="CA133" i="5"/>
  <c r="CA199" i="5"/>
  <c r="CA134" i="5"/>
  <c r="CA309" i="5"/>
  <c r="CA197" i="5"/>
  <c r="CA204" i="5"/>
  <c r="CA202" i="5"/>
  <c r="CA196" i="5"/>
  <c r="CA373" i="5"/>
  <c r="S37" i="70" s="1"/>
  <c r="U37" i="70" s="1"/>
  <c r="CA148" i="5"/>
  <c r="CA146" i="5"/>
  <c r="CA108" i="5"/>
  <c r="D13" i="66"/>
  <c r="CA249" i="5"/>
  <c r="CA246" i="5"/>
  <c r="CA244" i="5"/>
  <c r="CA242" i="5"/>
  <c r="CA240" i="5"/>
  <c r="CA238" i="5"/>
  <c r="CA250" i="5"/>
  <c r="CA245" i="5"/>
  <c r="CA241" i="5"/>
  <c r="CA237" i="5"/>
  <c r="F18" i="26"/>
  <c r="F21" i="26"/>
  <c r="F57" i="26"/>
  <c r="F55" i="26"/>
  <c r="E69" i="26"/>
  <c r="ES69" i="26"/>
  <c r="BV19" i="26"/>
  <c r="AT19" i="26"/>
  <c r="T19" i="26"/>
  <c r="GQ36" i="26"/>
  <c r="EX36" i="26"/>
  <c r="AJ39" i="26"/>
  <c r="P39" i="26"/>
  <c r="CP42" i="26"/>
  <c r="BL42" i="26"/>
  <c r="DT44" i="26"/>
  <c r="P46" i="26"/>
  <c r="F46" i="26"/>
  <c r="HG47" i="26"/>
  <c r="EX47" i="26"/>
  <c r="ED47" i="26"/>
  <c r="DF47" i="26"/>
  <c r="CL47" i="26"/>
  <c r="BR47" i="26"/>
  <c r="AJ47" i="26"/>
  <c r="L29" i="5" s="1"/>
  <c r="R34" i="22" s="1"/>
  <c r="P47" i="26"/>
  <c r="F47" i="26"/>
  <c r="DP54" i="26"/>
  <c r="CP54" i="26"/>
  <c r="BV54" i="26"/>
  <c r="AT54" i="26"/>
  <c r="T54" i="26"/>
  <c r="HK55" i="26"/>
  <c r="T55" i="26"/>
  <c r="J22" i="26"/>
  <c r="J56" i="26"/>
  <c r="AJ55" i="26"/>
  <c r="BL17" i="26"/>
  <c r="CL57" i="26"/>
  <c r="ED20" i="26"/>
  <c r="HQ56" i="26"/>
  <c r="ET56" i="26"/>
  <c r="EJ18" i="26"/>
  <c r="JC19" i="26"/>
  <c r="JC47" i="26"/>
  <c r="DP18" i="26"/>
  <c r="CP18" i="26"/>
  <c r="AT18" i="26"/>
  <c r="AD18" i="26"/>
  <c r="T18" i="26"/>
  <c r="AI23" i="4"/>
  <c r="AI23" i="5" s="1"/>
  <c r="BN28" i="22" s="1"/>
  <c r="AD23" i="4"/>
  <c r="V23" i="4"/>
  <c r="H23" i="4"/>
  <c r="Z24" i="4"/>
  <c r="U24" i="4"/>
  <c r="H24" i="4"/>
  <c r="HG39" i="26"/>
  <c r="DT39" i="26"/>
  <c r="DF39" i="26"/>
  <c r="CV39" i="26"/>
  <c r="GQ44" i="26"/>
  <c r="EN44" i="26"/>
  <c r="DF44" i="26"/>
  <c r="CV44" i="26"/>
  <c r="CL44" i="26"/>
  <c r="CB44" i="26"/>
  <c r="BR44" i="26"/>
  <c r="Z44" i="26"/>
  <c r="HA45" i="26"/>
  <c r="ET45" i="26"/>
  <c r="DZ45" i="26"/>
  <c r="CZ45" i="26"/>
  <c r="CP45" i="26"/>
  <c r="CF45" i="26"/>
  <c r="BV45" i="26"/>
  <c r="AD45" i="26"/>
  <c r="J45" i="26"/>
  <c r="CD59" i="26"/>
  <c r="AB59" i="26"/>
  <c r="H59" i="26"/>
  <c r="GL57" i="26"/>
  <c r="DP57" i="26"/>
  <c r="AD57" i="26"/>
  <c r="CV56" i="26"/>
  <c r="H61" i="4"/>
  <c r="H67" i="4" s="1"/>
  <c r="BL55" i="26"/>
  <c r="AD55" i="26"/>
  <c r="J57" i="26"/>
  <c r="J20" i="26"/>
  <c r="BL20" i="26"/>
  <c r="ED57" i="26"/>
  <c r="AT20" i="26"/>
  <c r="CF20" i="26"/>
  <c r="DF57" i="26"/>
  <c r="DT16" i="26"/>
  <c r="GK69" i="26"/>
  <c r="AJ23" i="4"/>
  <c r="AJ23" i="5" s="1"/>
  <c r="BP28" i="22" s="1"/>
  <c r="HY36" i="26"/>
  <c r="HK36" i="26"/>
  <c r="HA39" i="26"/>
  <c r="DP39" i="26"/>
  <c r="CZ39" i="26"/>
  <c r="CP39" i="26"/>
  <c r="AD41" i="26"/>
  <c r="J41" i="26"/>
  <c r="IE42" i="26"/>
  <c r="AJ42" i="26"/>
  <c r="P42" i="26"/>
  <c r="HK44" i="26"/>
  <c r="GL44" i="26"/>
  <c r="EJ44" i="26"/>
  <c r="CZ44" i="26"/>
  <c r="CP44" i="26"/>
  <c r="CF44" i="26"/>
  <c r="BV44" i="26"/>
  <c r="AT44" i="26"/>
  <c r="T44" i="26"/>
  <c r="GQ45" i="26"/>
  <c r="EN45" i="26"/>
  <c r="DF45" i="26"/>
  <c r="CV45" i="26"/>
  <c r="CL45" i="26"/>
  <c r="CB45" i="26"/>
  <c r="BR45" i="26"/>
  <c r="Z45" i="26"/>
  <c r="HA46" i="26"/>
  <c r="ET46" i="26"/>
  <c r="CF46" i="26"/>
  <c r="BL46" i="26"/>
  <c r="AD46" i="26"/>
  <c r="CF16" i="26"/>
  <c r="J16" i="26"/>
  <c r="CY18" i="22"/>
  <c r="AB33" i="39"/>
  <c r="AB46" i="39" s="1"/>
  <c r="AB54" i="39" s="1"/>
  <c r="N33" i="25"/>
  <c r="H33" i="23" s="1"/>
  <c r="CA143" i="5"/>
  <c r="CA140" i="5"/>
  <c r="CA138" i="5"/>
  <c r="CA90" i="5"/>
  <c r="CA112" i="5"/>
  <c r="CA110" i="5"/>
  <c r="CA99" i="5"/>
  <c r="CA147" i="5"/>
  <c r="CA145" i="5"/>
  <c r="CA142" i="5"/>
  <c r="CA139" i="5"/>
  <c r="CA136" i="5"/>
  <c r="CA113" i="5"/>
  <c r="CA111" i="5"/>
  <c r="D46" i="33"/>
  <c r="C30" i="34" s="1"/>
  <c r="CU47" i="5"/>
  <c r="CU46" i="5"/>
  <c r="N47" i="25"/>
  <c r="CA296" i="5"/>
  <c r="CA298" i="5"/>
  <c r="F28" i="66"/>
  <c r="F30" i="66"/>
  <c r="CA288" i="5"/>
  <c r="CA287" i="5"/>
  <c r="CA290" i="5"/>
  <c r="BG254" i="5"/>
  <c r="CA236" i="5"/>
  <c r="N32" i="25"/>
  <c r="H32" i="23" s="1"/>
  <c r="CA247" i="5"/>
  <c r="CA243" i="5"/>
  <c r="CA239" i="5"/>
  <c r="CA257" i="5"/>
  <c r="F23" i="36"/>
  <c r="F28" i="17" s="1"/>
  <c r="CJ148" i="5"/>
  <c r="CN154" i="5"/>
  <c r="BY93" i="4"/>
  <c r="AJ86" i="5"/>
  <c r="AJ85" i="5" s="1"/>
  <c r="F174" i="11"/>
  <c r="D26" i="4" s="1"/>
  <c r="D26" i="5" s="1"/>
  <c r="G53" i="11"/>
  <c r="G67" i="11"/>
  <c r="G134" i="11"/>
  <c r="G137" i="11"/>
  <c r="G140" i="11"/>
  <c r="G143" i="11"/>
  <c r="E20" i="11"/>
  <c r="G43" i="11"/>
  <c r="G32" i="11"/>
  <c r="F20" i="11"/>
  <c r="G57" i="11"/>
  <c r="G72" i="11"/>
  <c r="G55" i="11"/>
  <c r="G51" i="11"/>
  <c r="D62" i="11"/>
  <c r="G60" i="11"/>
  <c r="E69" i="11"/>
  <c r="BD47" i="26"/>
  <c r="F42" i="26"/>
  <c r="F19" i="26"/>
  <c r="EM24" i="26"/>
  <c r="DT57" i="26"/>
  <c r="DS59" i="26"/>
  <c r="Z56" i="26"/>
  <c r="I57" i="28"/>
  <c r="R16" i="28"/>
  <c r="R22" i="28"/>
  <c r="O39" i="27"/>
  <c r="O52" i="27" s="1"/>
  <c r="AR37" i="27"/>
  <c r="AR24" i="27"/>
  <c r="BR16" i="26"/>
  <c r="D59" i="26"/>
  <c r="R59" i="26"/>
  <c r="CF57" i="26"/>
  <c r="BV46" i="26"/>
  <c r="CZ22" i="26"/>
  <c r="HQ57" i="26"/>
  <c r="GQ47" i="26"/>
  <c r="CP34" i="22" s="1"/>
  <c r="JC17" i="26"/>
  <c r="EJ20" i="26"/>
  <c r="EJ17" i="26"/>
  <c r="CO49" i="26"/>
  <c r="GL56" i="26"/>
  <c r="DP56" i="26"/>
  <c r="AD16" i="26"/>
  <c r="J54" i="26"/>
  <c r="J18" i="26"/>
  <c r="P55" i="26"/>
  <c r="Z47" i="26"/>
  <c r="AD22" i="26"/>
  <c r="JB69" i="26"/>
  <c r="CB57" i="26"/>
  <c r="CF22" i="26"/>
  <c r="DP46" i="26"/>
  <c r="CV16" i="26"/>
  <c r="HA57" i="26"/>
  <c r="EN47" i="26"/>
  <c r="HY18" i="26"/>
  <c r="HY21" i="26"/>
  <c r="HG21" i="26"/>
  <c r="EX21" i="26"/>
  <c r="ED21" i="26"/>
  <c r="DF21" i="26"/>
  <c r="CL21" i="26"/>
  <c r="BR21" i="26"/>
  <c r="AJ21" i="26"/>
  <c r="L15" i="5" s="1"/>
  <c r="R20" i="22" s="1"/>
  <c r="P21" i="26"/>
  <c r="F32" i="26"/>
  <c r="AS23" i="4"/>
  <c r="AH23" i="4"/>
  <c r="U23" i="4"/>
  <c r="O23" i="4"/>
  <c r="G23" i="4"/>
  <c r="P33" i="26"/>
  <c r="Z35" i="26"/>
  <c r="F35" i="26"/>
  <c r="AR24" i="4"/>
  <c r="BR36" i="26"/>
  <c r="P36" i="26"/>
  <c r="BD38" i="26"/>
  <c r="GQ39" i="26"/>
  <c r="BD39" i="26"/>
  <c r="Z39" i="26"/>
  <c r="F39" i="26"/>
  <c r="BD41" i="26"/>
  <c r="Z41" i="26"/>
  <c r="AD42" i="26"/>
  <c r="J42" i="26"/>
  <c r="HG44" i="26"/>
  <c r="EX44" i="26"/>
  <c r="ED44" i="26"/>
  <c r="AJ44" i="26"/>
  <c r="P44" i="26"/>
  <c r="IE45" i="26"/>
  <c r="GL45" i="26"/>
  <c r="EJ45" i="26"/>
  <c r="AT45" i="26"/>
  <c r="T45" i="26"/>
  <c r="DZ54" i="26"/>
  <c r="CF54" i="26"/>
  <c r="BL54" i="26"/>
  <c r="AD54" i="26"/>
  <c r="Z57" i="26"/>
  <c r="BR56" i="26"/>
  <c r="HY55" i="26"/>
  <c r="EX55" i="26"/>
  <c r="ED55" i="26"/>
  <c r="DF55" i="26"/>
  <c r="CL55" i="26"/>
  <c r="BR55" i="26"/>
  <c r="T20" i="26"/>
  <c r="AT46" i="26"/>
  <c r="BL22" i="26"/>
  <c r="CP46" i="26"/>
  <c r="EI69" i="26"/>
  <c r="ET57" i="26"/>
  <c r="HG55" i="26"/>
  <c r="JC21" i="26"/>
  <c r="CZ18" i="26"/>
  <c r="AF23" i="4"/>
  <c r="AX27" i="4"/>
  <c r="AX27" i="5" s="1"/>
  <c r="CY32" i="22" s="1"/>
  <c r="V26" i="4"/>
  <c r="V26" i="5" s="1"/>
  <c r="AL31" i="22" s="1"/>
  <c r="AL36" i="22" s="1"/>
  <c r="Z42" i="26"/>
  <c r="AJ45" i="26"/>
  <c r="P45" i="26"/>
  <c r="AX25" i="4"/>
  <c r="AX25" i="5" s="1"/>
  <c r="CY30" i="22" s="1"/>
  <c r="AX24" i="4"/>
  <c r="AX24" i="5" s="1"/>
  <c r="CY29" i="22" s="1"/>
  <c r="W23" i="4"/>
  <c r="AT42" i="26"/>
  <c r="CP56" i="26"/>
  <c r="P16" i="26"/>
  <c r="AJ16" i="26"/>
  <c r="M23" i="4"/>
  <c r="M23" i="5" s="1"/>
  <c r="T28" i="22" s="1"/>
  <c r="CL16" i="26"/>
  <c r="BD16" i="26"/>
  <c r="BD54" i="26"/>
  <c r="Z54" i="26"/>
  <c r="CF55" i="26"/>
  <c r="J55" i="26"/>
  <c r="DT18" i="26"/>
  <c r="J21" i="26"/>
  <c r="AD56" i="26"/>
  <c r="AJ57" i="26"/>
  <c r="AJ46" i="26"/>
  <c r="L28" i="5" s="1"/>
  <c r="R33" i="22" s="1"/>
  <c r="CV54" i="26"/>
  <c r="EN18" i="26"/>
  <c r="CV18" i="26"/>
  <c r="BD18" i="26"/>
  <c r="BD22" i="26"/>
  <c r="CL41" i="26"/>
  <c r="T47" i="26"/>
  <c r="AT47" i="26"/>
  <c r="BV57" i="26"/>
  <c r="DF20" i="26"/>
  <c r="GL16" i="26"/>
  <c r="HY20" i="26"/>
  <c r="HG20" i="26"/>
  <c r="EX20" i="26"/>
  <c r="BR20" i="26"/>
  <c r="AJ20" i="26"/>
  <c r="L14" i="5" s="1"/>
  <c r="R19" i="22" s="1"/>
  <c r="P20" i="26"/>
  <c r="ED17" i="26"/>
  <c r="DF17" i="26"/>
  <c r="CL17" i="26"/>
  <c r="BR17" i="26"/>
  <c r="Z38" i="26"/>
  <c r="GP24" i="26"/>
  <c r="DY24" i="26"/>
  <c r="AD21" i="26"/>
  <c r="BR57" i="26"/>
  <c r="DT54" i="26"/>
  <c r="CL20" i="26"/>
  <c r="EW69" i="26"/>
  <c r="CC65" i="22"/>
  <c r="AO216" i="5" s="1"/>
  <c r="AO218" i="5" s="1"/>
  <c r="AM177" i="4"/>
  <c r="AM178" i="4" s="1"/>
  <c r="P32" i="26"/>
  <c r="R23" i="4"/>
  <c r="AJ41" i="26"/>
  <c r="P41" i="26"/>
  <c r="T42" i="26"/>
  <c r="J23" i="4"/>
  <c r="E23" i="4"/>
  <c r="K25" i="4"/>
  <c r="K25" i="5" s="1"/>
  <c r="F33" i="26"/>
  <c r="P35" i="26"/>
  <c r="Z36" i="26"/>
  <c r="F36" i="26"/>
  <c r="BD42" i="26"/>
  <c r="F54" i="26"/>
  <c r="Z16" i="26"/>
  <c r="BD46" i="26"/>
  <c r="F25" i="4"/>
  <c r="F25" i="5" s="1"/>
  <c r="E30" i="22" s="1"/>
  <c r="AJ24" i="4"/>
  <c r="AJ24" i="5" s="1"/>
  <c r="BP29" i="22" s="1"/>
  <c r="J24" i="4"/>
  <c r="J24" i="5" s="1"/>
  <c r="N29" i="22" s="1"/>
  <c r="GK24" i="26"/>
  <c r="EI24" i="26"/>
  <c r="HJ24" i="26"/>
  <c r="Q22" i="4"/>
  <c r="Q22" i="5" s="1"/>
  <c r="CB16" i="26"/>
  <c r="F16" i="26"/>
  <c r="HY54" i="26"/>
  <c r="EX54" i="26"/>
  <c r="EC59" i="26"/>
  <c r="BR54" i="26"/>
  <c r="AJ54" i="26"/>
  <c r="L46" i="5" s="1"/>
  <c r="R41" i="22" s="1"/>
  <c r="GK59" i="26"/>
  <c r="CP55" i="26"/>
  <c r="BV55" i="26"/>
  <c r="AT55" i="26"/>
  <c r="S10" i="4"/>
  <c r="S10" i="5" s="1"/>
  <c r="AE15" i="22" s="1"/>
  <c r="BV16" i="26"/>
  <c r="AR24" i="26"/>
  <c r="R24" i="26"/>
  <c r="X49" i="26"/>
  <c r="T57" i="26"/>
  <c r="T56" i="26"/>
  <c r="AR59" i="26"/>
  <c r="BJ24" i="26"/>
  <c r="AB24" i="26"/>
  <c r="H24" i="26"/>
  <c r="T21" i="26"/>
  <c r="T17" i="26"/>
  <c r="AT21" i="26"/>
  <c r="AT17" i="26"/>
  <c r="BV56" i="26"/>
  <c r="BL19" i="26"/>
  <c r="CV20" i="26"/>
  <c r="EJ57" i="26"/>
  <c r="CB20" i="26"/>
  <c r="BD20" i="26"/>
  <c r="Z20" i="26"/>
  <c r="F20" i="26"/>
  <c r="DT17" i="26"/>
  <c r="CV17" i="26"/>
  <c r="CB17" i="26"/>
  <c r="Z17" i="26"/>
  <c r="F17" i="26"/>
  <c r="HG32" i="26"/>
  <c r="F61" i="4"/>
  <c r="F67" i="4" s="1"/>
  <c r="T46" i="26"/>
  <c r="AD47" i="26"/>
  <c r="CD24" i="26"/>
  <c r="CF19" i="26"/>
  <c r="CZ57" i="26"/>
  <c r="DP55" i="26"/>
  <c r="DT20" i="26"/>
  <c r="DF18" i="26"/>
  <c r="CL18" i="26"/>
  <c r="BR18" i="26"/>
  <c r="AJ18" i="26"/>
  <c r="L12" i="5" s="1"/>
  <c r="R17" i="22" s="1"/>
  <c r="AJ22" i="26"/>
  <c r="L16" i="5" s="1"/>
  <c r="R21" i="22" s="1"/>
  <c r="HK32" i="26"/>
  <c r="Z32" i="26"/>
  <c r="BB18" i="4"/>
  <c r="BB19" i="4" s="1"/>
  <c r="HX24" i="26"/>
  <c r="J19" i="26"/>
  <c r="AD19" i="26"/>
  <c r="CF56" i="26"/>
  <c r="BV21" i="26"/>
  <c r="CE49" i="26"/>
  <c r="T32" i="26"/>
  <c r="AZ23" i="4"/>
  <c r="AR23" i="4"/>
  <c r="AG23" i="4"/>
  <c r="AA23" i="4"/>
  <c r="K23" i="4"/>
  <c r="F23" i="4"/>
  <c r="J33" i="26"/>
  <c r="T35" i="26"/>
  <c r="J36" i="26"/>
  <c r="AT38" i="26"/>
  <c r="AT39" i="26"/>
  <c r="AT41" i="26"/>
  <c r="T41" i="26"/>
  <c r="HA44" i="26"/>
  <c r="ET44" i="26"/>
  <c r="DZ44" i="26"/>
  <c r="AD44" i="26"/>
  <c r="J44" i="26"/>
  <c r="HG45" i="26"/>
  <c r="EX45" i="26"/>
  <c r="ED45" i="26"/>
  <c r="AL73" i="5"/>
  <c r="AL213" i="5" s="1"/>
  <c r="AL214" i="5" s="1"/>
  <c r="AF22" i="4"/>
  <c r="AF22" i="5" s="1"/>
  <c r="AY22" i="5"/>
  <c r="DA27" i="22" s="1"/>
  <c r="BK132" i="5"/>
  <c r="J46" i="20" s="1"/>
  <c r="BC132" i="5"/>
  <c r="H62" i="9" s="1"/>
  <c r="H90" i="9" s="1"/>
  <c r="AP213" i="5"/>
  <c r="CO94" i="5"/>
  <c r="I24" i="32" s="1"/>
  <c r="I87" i="34" s="1"/>
  <c r="BB132" i="5"/>
  <c r="G62" i="9" s="1"/>
  <c r="G90" i="9" s="1"/>
  <c r="AR132" i="5"/>
  <c r="CL46" i="19" s="1"/>
  <c r="CJ149" i="5"/>
  <c r="L80" i="13"/>
  <c r="O90" i="6" s="1"/>
  <c r="G90" i="6" s="1"/>
  <c r="CJ151" i="5"/>
  <c r="E550" i="65" s="1"/>
  <c r="H74" i="13"/>
  <c r="CJ145" i="5"/>
  <c r="CJ146" i="5"/>
  <c r="IE30" i="26"/>
  <c r="EJ30" i="26"/>
  <c r="AT44" i="19"/>
  <c r="BG44" i="19"/>
  <c r="M71" i="19"/>
  <c r="CG71" i="19" s="1"/>
  <c r="BG71" i="19"/>
  <c r="X48" i="19"/>
  <c r="CT48" i="19" s="1"/>
  <c r="BG48" i="19"/>
  <c r="X63" i="19"/>
  <c r="CT63" i="19" s="1"/>
  <c r="BG63" i="19"/>
  <c r="X53" i="19"/>
  <c r="CT53" i="19" s="1"/>
  <c r="BG53" i="19"/>
  <c r="X59" i="19"/>
  <c r="CT59" i="19" s="1"/>
  <c r="BG59" i="19"/>
  <c r="AT64" i="19"/>
  <c r="BG64" i="19"/>
  <c r="M32" i="19"/>
  <c r="BG32" i="19"/>
  <c r="M23" i="19"/>
  <c r="CG23" i="19" s="1"/>
  <c r="BG23" i="19"/>
  <c r="AI22" i="19"/>
  <c r="DK22" i="19" s="1"/>
  <c r="BG22" i="19"/>
  <c r="AT19" i="19"/>
  <c r="BG19" i="19"/>
  <c r="AI26" i="19"/>
  <c r="DK26" i="19" s="1"/>
  <c r="BG26" i="19"/>
  <c r="AT18" i="19"/>
  <c r="BG18" i="19"/>
  <c r="X15" i="19"/>
  <c r="CT15" i="19" s="1"/>
  <c r="BG15" i="19"/>
  <c r="M14" i="19"/>
  <c r="CG14" i="19" s="1"/>
  <c r="BG14" i="19"/>
  <c r="BG61" i="19"/>
  <c r="BT61" i="19" s="1"/>
  <c r="BT80" i="19"/>
  <c r="BG80" i="19"/>
  <c r="M78" i="19"/>
  <c r="CG78" i="19" s="1"/>
  <c r="BG78" i="19"/>
  <c r="X76" i="19"/>
  <c r="CT76" i="19" s="1"/>
  <c r="BG76" i="19"/>
  <c r="BG3" i="19"/>
  <c r="BT3" i="19" s="1"/>
  <c r="CG3" i="19" s="1"/>
  <c r="CT3" i="19" s="1"/>
  <c r="DK3" i="19" s="1"/>
  <c r="BG5" i="19"/>
  <c r="BT5" i="19" s="1"/>
  <c r="CG5" i="19" s="1"/>
  <c r="CT5" i="19" s="1"/>
  <c r="DK5" i="19" s="1"/>
  <c r="M25" i="19"/>
  <c r="CG25" i="19" s="1"/>
  <c r="BG25" i="19"/>
  <c r="BT68" i="19"/>
  <c r="BG68" i="19"/>
  <c r="M85" i="19"/>
  <c r="CG85" i="19" s="1"/>
  <c r="BG85" i="19"/>
  <c r="BG4" i="19"/>
  <c r="BT4" i="19" s="1"/>
  <c r="CG4" i="19" s="1"/>
  <c r="CT4" i="19" s="1"/>
  <c r="DK4" i="19" s="1"/>
  <c r="BG6" i="19"/>
  <c r="BT6" i="19" s="1"/>
  <c r="CG6" i="19" s="1"/>
  <c r="CT6" i="19" s="1"/>
  <c r="DK6" i="19" s="1"/>
  <c r="X16" i="19"/>
  <c r="CT16" i="19" s="1"/>
  <c r="BG16" i="19"/>
  <c r="BT37" i="19"/>
  <c r="BG37" i="19"/>
  <c r="X73" i="19"/>
  <c r="CT73" i="19" s="1"/>
  <c r="BG73" i="19"/>
  <c r="AI46" i="19"/>
  <c r="DK46" i="19" s="1"/>
  <c r="BG46" i="19"/>
  <c r="M62" i="19"/>
  <c r="CG62" i="19" s="1"/>
  <c r="BG62" i="19"/>
  <c r="AI56" i="19"/>
  <c r="DK56" i="19" s="1"/>
  <c r="BG56" i="19"/>
  <c r="X49" i="19"/>
  <c r="CT49" i="19" s="1"/>
  <c r="BG49" i="19"/>
  <c r="X31" i="19"/>
  <c r="CT31" i="19" s="1"/>
  <c r="BG31" i="19"/>
  <c r="AI27" i="19"/>
  <c r="DK27" i="19" s="1"/>
  <c r="BG27" i="19"/>
  <c r="M21" i="19"/>
  <c r="CG21" i="19" s="1"/>
  <c r="BG21" i="19"/>
  <c r="BT17" i="19"/>
  <c r="BG17" i="19"/>
  <c r="BT77" i="19"/>
  <c r="BG77" i="19"/>
  <c r="BT75" i="19"/>
  <c r="BG75" i="19"/>
  <c r="F57" i="15"/>
  <c r="I509" i="5"/>
  <c r="BB56" i="4"/>
  <c r="CT59" i="22"/>
  <c r="N31" i="21"/>
  <c r="H31" i="18" s="1"/>
  <c r="N26" i="21"/>
  <c r="H26" i="18" s="1"/>
  <c r="N22" i="21"/>
  <c r="H22" i="18" s="1"/>
  <c r="H50" i="39"/>
  <c r="D52" i="39"/>
  <c r="N27" i="21"/>
  <c r="H27" i="18" s="1"/>
  <c r="N19" i="21"/>
  <c r="H20" i="18" s="1"/>
  <c r="N18" i="21"/>
  <c r="N28" i="21"/>
  <c r="H28" i="18" s="1"/>
  <c r="Y39" i="9"/>
  <c r="Y118" i="9" s="1"/>
  <c r="Y121" i="9" s="1"/>
  <c r="M26" i="8"/>
  <c r="Q26" i="8" s="1"/>
  <c r="O37" i="8"/>
  <c r="Q37" i="8" s="1"/>
  <c r="F82" i="38"/>
  <c r="EE18" i="4"/>
  <c r="DW84" i="4"/>
  <c r="EE84" i="4" s="1"/>
  <c r="DW100" i="4"/>
  <c r="EE100" i="4" s="1"/>
  <c r="BA20" i="22"/>
  <c r="D331" i="5"/>
  <c r="AI65" i="22"/>
  <c r="AM73" i="5"/>
  <c r="H23" i="20"/>
  <c r="N23" i="19"/>
  <c r="AE341" i="5"/>
  <c r="AE346" i="5" s="1"/>
  <c r="AE188" i="5" s="1"/>
  <c r="BC75" i="19" s="1"/>
  <c r="M27" i="19"/>
  <c r="AL23" i="19"/>
  <c r="AD341" i="5"/>
  <c r="AD346" i="5" s="1"/>
  <c r="AD188" i="5" s="1"/>
  <c r="BA75" i="19" s="1"/>
  <c r="DA84" i="5"/>
  <c r="CR271" i="5"/>
  <c r="CR63" i="5" s="1"/>
  <c r="CN271" i="5"/>
  <c r="CN63" i="5" s="1"/>
  <c r="BR271" i="5"/>
  <c r="AI59" i="19"/>
  <c r="DK59" i="19" s="1"/>
  <c r="X36" i="22"/>
  <c r="AS15" i="3"/>
  <c r="M77" i="19"/>
  <c r="CG77" i="19" s="1"/>
  <c r="AI75" i="19"/>
  <c r="DK75" i="19" s="1"/>
  <c r="EN38" i="5"/>
  <c r="EN36" i="5"/>
  <c r="EN26" i="5"/>
  <c r="J38" i="29"/>
  <c r="CF176" i="5"/>
  <c r="CF185" i="5" s="1"/>
  <c r="BP334" i="5"/>
  <c r="BQ334" i="5" s="1"/>
  <c r="BT32" i="22"/>
  <c r="DJ84" i="5"/>
  <c r="AI32" i="22"/>
  <c r="E68" i="65"/>
  <c r="G68" i="65" s="1"/>
  <c r="E64" i="32"/>
  <c r="E70" i="32" s="1"/>
  <c r="S39" i="27"/>
  <c r="S52" i="27" s="1"/>
  <c r="K28" i="37"/>
  <c r="AE28" i="37" s="1"/>
  <c r="CG73" i="4"/>
  <c r="BT23" i="22"/>
  <c r="AT63" i="22"/>
  <c r="BT63" i="22"/>
  <c r="AI57" i="22"/>
  <c r="AT29" i="22"/>
  <c r="BT57" i="22"/>
  <c r="BG63" i="22"/>
  <c r="U19" i="37"/>
  <c r="AI59" i="22"/>
  <c r="AT63" i="19"/>
  <c r="X77" i="19"/>
  <c r="CT77" i="19" s="1"/>
  <c r="AT65" i="22"/>
  <c r="F23" i="21"/>
  <c r="DP23" i="19"/>
  <c r="K341" i="5"/>
  <c r="K346" i="5" s="1"/>
  <c r="K188" i="5" s="1"/>
  <c r="P75" i="19" s="1"/>
  <c r="N23" i="9"/>
  <c r="AI33" i="22"/>
  <c r="X62" i="19"/>
  <c r="CT62" i="19" s="1"/>
  <c r="BD331" i="5"/>
  <c r="X14" i="22"/>
  <c r="CT40" i="22"/>
  <c r="BG23" i="22"/>
  <c r="BT38" i="22"/>
  <c r="D23" i="20"/>
  <c r="AI16" i="19"/>
  <c r="DK16" i="19" s="1"/>
  <c r="J23" i="20"/>
  <c r="CT31" i="22"/>
  <c r="AT27" i="22"/>
  <c r="AC23" i="19"/>
  <c r="BL23" i="19"/>
  <c r="Y341" i="5"/>
  <c r="Y346" i="5" s="1"/>
  <c r="Y188" i="5" s="1"/>
  <c r="AP75" i="19" s="1"/>
  <c r="EQ331" i="5"/>
  <c r="EQ185" i="5" s="1"/>
  <c r="EQ207" i="5" s="1"/>
  <c r="EQ75" i="5" s="1"/>
  <c r="AI23" i="19"/>
  <c r="DK23" i="19" s="1"/>
  <c r="H16" i="14"/>
  <c r="AT71" i="19"/>
  <c r="X23" i="22"/>
  <c r="AT36" i="22"/>
  <c r="CT26" i="22"/>
  <c r="EN32" i="5"/>
  <c r="EN28" i="5"/>
  <c r="CN94" i="5"/>
  <c r="G24" i="32" s="1"/>
  <c r="N39" i="29"/>
  <c r="J39" i="13" s="1"/>
  <c r="L39" i="13" s="1"/>
  <c r="AI30" i="22"/>
  <c r="X79" i="19"/>
  <c r="CT79" i="19" s="1"/>
  <c r="AT75" i="19"/>
  <c r="AI23" i="22"/>
  <c r="M23" i="22"/>
  <c r="CG23" i="22" s="1"/>
  <c r="BF193" i="5"/>
  <c r="BG193" i="5" s="1"/>
  <c r="J23" i="9"/>
  <c r="AV271" i="5"/>
  <c r="F271" i="5"/>
  <c r="X29" i="22"/>
  <c r="AT59" i="22"/>
  <c r="CT30" i="22"/>
  <c r="X30" i="22"/>
  <c r="X59" i="22"/>
  <c r="BT59" i="22"/>
  <c r="Q341" i="5"/>
  <c r="Q346" i="5" s="1"/>
  <c r="Q188" i="5" s="1"/>
  <c r="AA75" i="19" s="1"/>
  <c r="X17" i="19"/>
  <c r="CT17" i="19" s="1"/>
  <c r="O88" i="5"/>
  <c r="Y17" i="19" s="1"/>
  <c r="AI29" i="22"/>
  <c r="M31" i="19"/>
  <c r="X75" i="19"/>
  <c r="CT75" i="19" s="1"/>
  <c r="AI71" i="19"/>
  <c r="DK71" i="19" s="1"/>
  <c r="BG30" i="22"/>
  <c r="AT23" i="22"/>
  <c r="AI36" i="22"/>
  <c r="BG36" i="22"/>
  <c r="BG65" i="22"/>
  <c r="X65" i="22"/>
  <c r="CT23" i="22"/>
  <c r="CT36" i="22"/>
  <c r="M65" i="22"/>
  <c r="CG65" i="22" s="1"/>
  <c r="EN144" i="5"/>
  <c r="N25" i="29"/>
  <c r="J25" i="13" s="1"/>
  <c r="N31" i="29"/>
  <c r="J31" i="13" s="1"/>
  <c r="L31" i="13" s="1"/>
  <c r="N55" i="30"/>
  <c r="J55" i="14" s="1"/>
  <c r="L55" i="14" s="1"/>
  <c r="AT55" i="22"/>
  <c r="AI55" i="22"/>
  <c r="X18" i="19"/>
  <c r="CT18" i="19" s="1"/>
  <c r="BT46" i="19"/>
  <c r="J64" i="23"/>
  <c r="BG38" i="22"/>
  <c r="M18" i="22"/>
  <c r="CG18" i="22" s="1"/>
  <c r="J60" i="23"/>
  <c r="X31" i="22"/>
  <c r="BG41" i="22"/>
  <c r="CU128" i="4"/>
  <c r="CC112" i="4"/>
  <c r="CC136" i="4"/>
  <c r="CC173" i="4" s="1"/>
  <c r="DW258" i="5"/>
  <c r="CL32" i="5"/>
  <c r="EN225" i="5"/>
  <c r="EN227" i="5"/>
  <c r="EN229" i="5"/>
  <c r="CU254" i="5"/>
  <c r="EN196" i="5"/>
  <c r="N65" i="29"/>
  <c r="J67" i="13" s="1"/>
  <c r="L67" i="13" s="1"/>
  <c r="O75" i="6" s="1"/>
  <c r="G75" i="6" s="1"/>
  <c r="I75" i="6" s="1"/>
  <c r="BB271" i="5"/>
  <c r="BB63" i="5" s="1"/>
  <c r="AJ271" i="5"/>
  <c r="AJ63" i="5" s="1"/>
  <c r="AH271" i="5"/>
  <c r="AH63" i="5" s="1"/>
  <c r="Q271" i="5"/>
  <c r="O271" i="5"/>
  <c r="BU341" i="5"/>
  <c r="BU346" i="5" s="1"/>
  <c r="BU188" i="5" s="1"/>
  <c r="H70" i="21" s="1"/>
  <c r="H23" i="21"/>
  <c r="BS341" i="5"/>
  <c r="BS346" i="5" s="1"/>
  <c r="BS188" i="5" s="1"/>
  <c r="D70" i="21" s="1"/>
  <c r="D23" i="21"/>
  <c r="X341" i="5"/>
  <c r="X346" i="5" s="1"/>
  <c r="X188" i="5" s="1"/>
  <c r="F111" i="9" s="1"/>
  <c r="F23" i="9"/>
  <c r="BJ23" i="19"/>
  <c r="AG341" i="5"/>
  <c r="AG346" i="5" s="1"/>
  <c r="AG188" i="5" s="1"/>
  <c r="BJ75" i="19" s="1"/>
  <c r="AC341" i="5"/>
  <c r="AC346" i="5" s="1"/>
  <c r="AC188" i="5" s="1"/>
  <c r="AY75" i="19" s="1"/>
  <c r="AY23" i="19"/>
  <c r="AN23" i="19"/>
  <c r="W341" i="5"/>
  <c r="W346" i="5" s="1"/>
  <c r="W188" i="5" s="1"/>
  <c r="AN75" i="19" s="1"/>
  <c r="AE23" i="19"/>
  <c r="S341" i="5"/>
  <c r="S346" i="5" s="1"/>
  <c r="S188" i="5" s="1"/>
  <c r="AE75" i="19" s="1"/>
  <c r="M341" i="5"/>
  <c r="M346" i="5" s="1"/>
  <c r="M188" i="5" s="1"/>
  <c r="T75" i="19" s="1"/>
  <c r="T23" i="19"/>
  <c r="G341" i="5"/>
  <c r="G346" i="5" s="1"/>
  <c r="G188" i="5" s="1"/>
  <c r="G75" i="19" s="1"/>
  <c r="G23" i="19"/>
  <c r="E341" i="5"/>
  <c r="E346" i="5" s="1"/>
  <c r="E188" i="5" s="1"/>
  <c r="C75" i="19" s="1"/>
  <c r="C23" i="19"/>
  <c r="E28" i="19"/>
  <c r="DZ28" i="19" s="1"/>
  <c r="E15" i="19"/>
  <c r="I15" i="19"/>
  <c r="AZ132" i="5"/>
  <c r="DC46" i="19" s="1"/>
  <c r="AU132" i="5"/>
  <c r="CU46" i="19" s="1"/>
  <c r="AX271" i="5"/>
  <c r="K23" i="19"/>
  <c r="AY271" i="5"/>
  <c r="Z271" i="5"/>
  <c r="BR331" i="5"/>
  <c r="U341" i="5"/>
  <c r="I395" i="5" s="1"/>
  <c r="AI341" i="5"/>
  <c r="AI346" i="5" s="1"/>
  <c r="AI188" i="5" s="1"/>
  <c r="BN75" i="19" s="1"/>
  <c r="I271" i="5"/>
  <c r="BS271" i="5"/>
  <c r="BS63" i="5" s="1"/>
  <c r="CF132" i="5"/>
  <c r="J59" i="29" s="1"/>
  <c r="K91" i="31" s="1"/>
  <c r="CD132" i="5"/>
  <c r="F59" i="29" s="1"/>
  <c r="F91" i="31" s="1"/>
  <c r="BN271" i="5"/>
  <c r="BN63" i="5" s="1"/>
  <c r="BN64" i="5" s="1"/>
  <c r="EQ271" i="5"/>
  <c r="BU132" i="5"/>
  <c r="H41" i="21" s="1"/>
  <c r="Z331" i="5"/>
  <c r="P132" i="5"/>
  <c r="CK318" i="5"/>
  <c r="CK258" i="5"/>
  <c r="AI132" i="5"/>
  <c r="BN46" i="19" s="1"/>
  <c r="AG132" i="5"/>
  <c r="BJ46" i="19" s="1"/>
  <c r="AE132" i="5"/>
  <c r="BC46" i="19" s="1"/>
  <c r="AC132" i="5"/>
  <c r="AY46" i="19" s="1"/>
  <c r="Z132" i="5"/>
  <c r="AR46" i="19" s="1"/>
  <c r="T132" i="5"/>
  <c r="AG46" i="19" s="1"/>
  <c r="AG68" i="19" s="1"/>
  <c r="R132" i="5"/>
  <c r="AC46" i="19" s="1"/>
  <c r="G132" i="5"/>
  <c r="G154" i="5" s="1"/>
  <c r="E132" i="5"/>
  <c r="C46" i="19" s="1"/>
  <c r="EL331" i="5"/>
  <c r="EL200" i="5" s="1"/>
  <c r="EL207" i="5" s="1"/>
  <c r="AC271" i="5"/>
  <c r="S271" i="5"/>
  <c r="AS331" i="5"/>
  <c r="R81" i="32"/>
  <c r="W16" i="37"/>
  <c r="W23" i="37" s="1"/>
  <c r="BT79" i="19"/>
  <c r="AI79" i="19"/>
  <c r="DK79" i="19" s="1"/>
  <c r="M75" i="19"/>
  <c r="CG75" i="19" s="1"/>
  <c r="AI77" i="19"/>
  <c r="DK77" i="19" s="1"/>
  <c r="AT77" i="19"/>
  <c r="CY114" i="5"/>
  <c r="BT21" i="19"/>
  <c r="M46" i="19"/>
  <c r="CG46" i="19" s="1"/>
  <c r="EN104" i="5"/>
  <c r="R66" i="32"/>
  <c r="EN193" i="5"/>
  <c r="AI18" i="19"/>
  <c r="DK18" i="19" s="1"/>
  <c r="X22" i="19"/>
  <c r="CT22" i="19" s="1"/>
  <c r="AI48" i="19"/>
  <c r="DK48" i="19" s="1"/>
  <c r="AT23" i="19"/>
  <c r="X71" i="19"/>
  <c r="CT71" i="19" s="1"/>
  <c r="DI173" i="4"/>
  <c r="DI175" i="4" s="1"/>
  <c r="DE173" i="4"/>
  <c r="DE175" i="4" s="1"/>
  <c r="AI16" i="37"/>
  <c r="AI76" i="19"/>
  <c r="DK76" i="19" s="1"/>
  <c r="U27" i="37"/>
  <c r="X32" i="19"/>
  <c r="CT32" i="19" s="1"/>
  <c r="AI33" i="19"/>
  <c r="DK33" i="19" s="1"/>
  <c r="BT18" i="19"/>
  <c r="AT22" i="19"/>
  <c r="AT59" i="19"/>
  <c r="M19" i="19"/>
  <c r="CG19" i="19" s="1"/>
  <c r="X23" i="19"/>
  <c r="CT23" i="19" s="1"/>
  <c r="AI53" i="19"/>
  <c r="DK53" i="19" s="1"/>
  <c r="BT71" i="19"/>
  <c r="EN97" i="5"/>
  <c r="BP141" i="5"/>
  <c r="E284" i="65" s="1"/>
  <c r="CW171" i="4"/>
  <c r="CW73" i="4" s="1"/>
  <c r="DL173" i="4"/>
  <c r="DL175" i="4" s="1"/>
  <c r="EN112" i="5"/>
  <c r="D346" i="5"/>
  <c r="D188" i="5" s="1"/>
  <c r="D111" i="9" s="1"/>
  <c r="E7" i="8" s="1"/>
  <c r="R20" i="32"/>
  <c r="R83" i="32"/>
  <c r="R40" i="32"/>
  <c r="N39" i="13" s="1"/>
  <c r="W34" i="9" s="1"/>
  <c r="N30" i="29"/>
  <c r="J30" i="13" s="1"/>
  <c r="J74" i="15" s="1"/>
  <c r="EM114" i="5"/>
  <c r="DB84" i="5"/>
  <c r="DG182" i="4"/>
  <c r="BD173" i="4"/>
  <c r="BD175" i="4" s="1"/>
  <c r="DW171" i="4"/>
  <c r="DW73" i="4" s="1"/>
  <c r="DO173" i="4"/>
  <c r="DO175" i="4" s="1"/>
  <c r="DM173" i="4"/>
  <c r="DM175" i="4" s="1"/>
  <c r="DK173" i="4"/>
  <c r="DK175" i="4" s="1"/>
  <c r="DD173" i="4"/>
  <c r="DD175" i="4" s="1"/>
  <c r="K25" i="37"/>
  <c r="AE25" i="37" s="1"/>
  <c r="AI21" i="19"/>
  <c r="DK21" i="19" s="1"/>
  <c r="X27" i="19"/>
  <c r="CT27" i="19" s="1"/>
  <c r="BT78" i="19"/>
  <c r="R25" i="32"/>
  <c r="N22" i="29"/>
  <c r="J22" i="13" s="1"/>
  <c r="L22" i="13" s="1"/>
  <c r="O22" i="6" s="1"/>
  <c r="G22" i="6" s="1"/>
  <c r="I22" i="6" s="1"/>
  <c r="N20" i="29"/>
  <c r="J20" i="13" s="1"/>
  <c r="L20" i="13" s="1"/>
  <c r="O20" i="6" s="1"/>
  <c r="G20" i="6" s="1"/>
  <c r="N18" i="29"/>
  <c r="J18" i="13" s="1"/>
  <c r="EB207" i="5"/>
  <c r="EB386" i="5"/>
  <c r="EB387" i="5" s="1"/>
  <c r="AN209" i="5"/>
  <c r="AN211" i="5" s="1"/>
  <c r="E16" i="37"/>
  <c r="E23" i="37" s="1"/>
  <c r="Q16" i="37"/>
  <c r="Q23" i="37" s="1"/>
  <c r="CY173" i="4"/>
  <c r="CY175" i="4" s="1"/>
  <c r="I79" i="32"/>
  <c r="Y71" i="19"/>
  <c r="AO154" i="5"/>
  <c r="AP154" i="5"/>
  <c r="AM154" i="5"/>
  <c r="AL154" i="5"/>
  <c r="DN84" i="5"/>
  <c r="R88" i="5"/>
  <c r="AC17" i="19" s="1"/>
  <c r="V88" i="5"/>
  <c r="AL17" i="19" s="1"/>
  <c r="AA88" i="5"/>
  <c r="AU17" i="19" s="1"/>
  <c r="AF88" i="5"/>
  <c r="BH17" i="19" s="1"/>
  <c r="AJ88" i="5"/>
  <c r="AF85" i="5"/>
  <c r="AH85" i="5"/>
  <c r="BL14" i="19" s="1"/>
  <c r="E88" i="5"/>
  <c r="C17" i="19" s="1"/>
  <c r="BF83" i="4"/>
  <c r="BG83" i="4" s="1"/>
  <c r="DJ173" i="4"/>
  <c r="DJ175" i="4" s="1"/>
  <c r="DH173" i="4"/>
  <c r="DH175" i="4" s="1"/>
  <c r="DC173" i="4"/>
  <c r="DC175" i="4" s="1"/>
  <c r="EF18" i="5"/>
  <c r="N48" i="25"/>
  <c r="BD114" i="5"/>
  <c r="J17" i="30"/>
  <c r="K19" i="31"/>
  <c r="M41" i="7"/>
  <c r="X52" i="22"/>
  <c r="F32" i="15"/>
  <c r="M30" i="22"/>
  <c r="CG30" i="22" s="1"/>
  <c r="CT25" i="22"/>
  <c r="K18" i="37"/>
  <c r="AE18" i="37" s="1"/>
  <c r="E23" i="19"/>
  <c r="I23" i="19"/>
  <c r="AI73" i="19"/>
  <c r="DK73" i="19" s="1"/>
  <c r="AF271" i="5"/>
  <c r="AZ271" i="5"/>
  <c r="U271" i="5"/>
  <c r="CQ331" i="5"/>
  <c r="AE271" i="5"/>
  <c r="X271" i="5"/>
  <c r="X63" i="5" s="1"/>
  <c r="CO331" i="5"/>
  <c r="BT331" i="5"/>
  <c r="AS271" i="5"/>
  <c r="AS63" i="5" s="1"/>
  <c r="K331" i="5"/>
  <c r="F44" i="15"/>
  <c r="AT32" i="19"/>
  <c r="BT32" i="19"/>
  <c r="AI32" i="19"/>
  <c r="DK32" i="19" s="1"/>
  <c r="BT29" i="22"/>
  <c r="CT18" i="22"/>
  <c r="AT30" i="22"/>
  <c r="CT29" i="22"/>
  <c r="U28" i="37"/>
  <c r="CT32" i="22"/>
  <c r="X55" i="22"/>
  <c r="AG23" i="19"/>
  <c r="BH23" i="19"/>
  <c r="BP23" i="19"/>
  <c r="O341" i="5"/>
  <c r="O346" i="5" s="1"/>
  <c r="O188" i="5" s="1"/>
  <c r="Y75" i="19" s="1"/>
  <c r="AA341" i="5"/>
  <c r="AA346" i="5" s="1"/>
  <c r="AA188" i="5" s="1"/>
  <c r="AU75" i="19" s="1"/>
  <c r="K271" i="5"/>
  <c r="K63" i="5" s="1"/>
  <c r="BT30" i="22"/>
  <c r="BF94" i="5"/>
  <c r="BG94" i="5" s="1"/>
  <c r="CN331" i="5"/>
  <c r="AI27" i="22"/>
  <c r="M18" i="19"/>
  <c r="CG18" i="19" s="1"/>
  <c r="BT23" i="19"/>
  <c r="CT15" i="22"/>
  <c r="BT49" i="19"/>
  <c r="AI78" i="19"/>
  <c r="DK78" i="19" s="1"/>
  <c r="BB26" i="5"/>
  <c r="G32" i="10" s="1"/>
  <c r="DY43" i="5"/>
  <c r="DY61" i="5" s="1"/>
  <c r="DY73" i="5" s="1"/>
  <c r="EN178" i="5"/>
  <c r="BP100" i="5"/>
  <c r="F19" i="31"/>
  <c r="J157" i="5"/>
  <c r="J172" i="5" s="1"/>
  <c r="BJ132" i="5"/>
  <c r="H46" i="20" s="1"/>
  <c r="H132" i="5"/>
  <c r="F132" i="5"/>
  <c r="CJ95" i="5"/>
  <c r="BY94" i="5"/>
  <c r="BZ94" i="5" s="1"/>
  <c r="DO84" i="5"/>
  <c r="DO114" i="5"/>
  <c r="AV132" i="5"/>
  <c r="CW46" i="19" s="1"/>
  <c r="AS132" i="5"/>
  <c r="CN46" i="19" s="1"/>
  <c r="AX132" i="5"/>
  <c r="CY46" i="19" s="1"/>
  <c r="CU318" i="5"/>
  <c r="R23" i="32"/>
  <c r="R331" i="5"/>
  <c r="G331" i="5"/>
  <c r="F331" i="5"/>
  <c r="N74" i="29"/>
  <c r="J76" i="13" s="1"/>
  <c r="L79" i="29"/>
  <c r="F60" i="25"/>
  <c r="CK286" i="5"/>
  <c r="CJ292" i="5"/>
  <c r="BN132" i="5"/>
  <c r="J62" i="9" s="1"/>
  <c r="J90" i="9" s="1"/>
  <c r="AI62" i="19"/>
  <c r="DK62" i="19" s="1"/>
  <c r="AT62" i="19"/>
  <c r="BT62" i="19"/>
  <c r="AT47" i="19"/>
  <c r="BT47" i="19"/>
  <c r="DN49" i="22"/>
  <c r="X49" i="22"/>
  <c r="DN47" i="22"/>
  <c r="AI47" i="22"/>
  <c r="DN50" i="22"/>
  <c r="BT50" i="22"/>
  <c r="N67" i="29"/>
  <c r="J69" i="13" s="1"/>
  <c r="BT132" i="5"/>
  <c r="BS132" i="5"/>
  <c r="D41" i="21" s="1"/>
  <c r="DN34" i="22"/>
  <c r="CT34" i="22"/>
  <c r="BT34" i="22"/>
  <c r="I59" i="32"/>
  <c r="I67" i="32" s="1"/>
  <c r="DN17" i="22"/>
  <c r="X17" i="22"/>
  <c r="DN42" i="22"/>
  <c r="AT42" i="22"/>
  <c r="DN20" i="22"/>
  <c r="CT20" i="22"/>
  <c r="DN46" i="22"/>
  <c r="X46" i="22"/>
  <c r="BT28" i="22"/>
  <c r="AI28" i="22"/>
  <c r="DN33" i="22"/>
  <c r="CT33" i="22"/>
  <c r="AT33" i="22"/>
  <c r="DN16" i="22"/>
  <c r="CT16" i="22"/>
  <c r="N38" i="30"/>
  <c r="J15" i="14" s="1"/>
  <c r="L15" i="14" s="1"/>
  <c r="J37" i="7" s="1"/>
  <c r="CP331" i="5"/>
  <c r="I331" i="5"/>
  <c r="I369" i="5" s="1"/>
  <c r="T331" i="5"/>
  <c r="M19" i="22"/>
  <c r="CG19" i="22" s="1"/>
  <c r="CT41" i="22"/>
  <c r="F76" i="29"/>
  <c r="F90" i="31" s="1"/>
  <c r="CM331" i="5"/>
  <c r="CR331" i="5"/>
  <c r="BS331" i="5"/>
  <c r="M331" i="5"/>
  <c r="AG331" i="5"/>
  <c r="AZ331" i="5"/>
  <c r="AZ356" i="5" s="1"/>
  <c r="BU331" i="5"/>
  <c r="EN142" i="5"/>
  <c r="AT19" i="22"/>
  <c r="CL331" i="5"/>
  <c r="BG21" i="22"/>
  <c r="BT17" i="22"/>
  <c r="X56" i="19"/>
  <c r="CT56" i="19" s="1"/>
  <c r="CT50" i="22"/>
  <c r="X47" i="19"/>
  <c r="CT47" i="19" s="1"/>
  <c r="G37" i="52"/>
  <c r="BP254" i="5"/>
  <c r="EM132" i="5"/>
  <c r="EM154" i="5" s="1"/>
  <c r="BY254" i="5"/>
  <c r="BT271" i="5"/>
  <c r="BZ318" i="5"/>
  <c r="BY318" i="5"/>
  <c r="BN331" i="5"/>
  <c r="G36" i="52"/>
  <c r="J52" i="18"/>
  <c r="EN111" i="5"/>
  <c r="DW318" i="5"/>
  <c r="DW314" i="5"/>
  <c r="CT37" i="22"/>
  <c r="CT61" i="22"/>
  <c r="R38" i="32"/>
  <c r="EN136" i="5"/>
  <c r="N64" i="29"/>
  <c r="N63" i="29"/>
  <c r="J64" i="13" s="1"/>
  <c r="R78" i="32"/>
  <c r="EN37" i="5"/>
  <c r="AC331" i="5"/>
  <c r="BA331" i="5"/>
  <c r="Y331" i="5"/>
  <c r="F25" i="33"/>
  <c r="T25" i="33" s="1"/>
  <c r="N26" i="14" s="1"/>
  <c r="CU38" i="5"/>
  <c r="AT16" i="19"/>
  <c r="AI52" i="22"/>
  <c r="BK271" i="5"/>
  <c r="BK63" i="5" s="1"/>
  <c r="Q331" i="5"/>
  <c r="AT25" i="22"/>
  <c r="O331" i="5"/>
  <c r="X33" i="22"/>
  <c r="AI41" i="22"/>
  <c r="M41" i="22"/>
  <c r="CG41" i="22" s="1"/>
  <c r="AI25" i="22"/>
  <c r="X25" i="22"/>
  <c r="EN90" i="5"/>
  <c r="AI85" i="19"/>
  <c r="DK85" i="19" s="1"/>
  <c r="AI37" i="19"/>
  <c r="DK37" i="19" s="1"/>
  <c r="AV331" i="5"/>
  <c r="AV356" i="5" s="1"/>
  <c r="X14" i="19"/>
  <c r="CT14" i="19" s="1"/>
  <c r="AT28" i="22"/>
  <c r="U17" i="37"/>
  <c r="CT28" i="22"/>
  <c r="CT21" i="22"/>
  <c r="AT41" i="22"/>
  <c r="X41" i="22"/>
  <c r="BT41" i="22"/>
  <c r="EL271" i="5"/>
  <c r="U16" i="37"/>
  <c r="BW26" i="5"/>
  <c r="L31" i="25" s="1"/>
  <c r="L36" i="25" s="1"/>
  <c r="BG33" i="22"/>
  <c r="BG28" i="22"/>
  <c r="CT42" i="22"/>
  <c r="CT17" i="22"/>
  <c r="AT17" i="22"/>
  <c r="BG17" i="22"/>
  <c r="M17" i="22"/>
  <c r="CG17" i="22" s="1"/>
  <c r="AI14" i="19"/>
  <c r="DK14" i="19" s="1"/>
  <c r="BT33" i="22"/>
  <c r="AI20" i="22"/>
  <c r="EN33" i="5"/>
  <c r="EN31" i="5"/>
  <c r="W132" i="5"/>
  <c r="AN46" i="19" s="1"/>
  <c r="O132" i="5"/>
  <c r="O154" i="5" s="1"/>
  <c r="K132" i="5"/>
  <c r="P46" i="19" s="1"/>
  <c r="W331" i="5"/>
  <c r="CF32" i="5"/>
  <c r="K17" i="31" s="1"/>
  <c r="CQ271" i="5"/>
  <c r="CQ63" i="5" s="1"/>
  <c r="D24" i="29"/>
  <c r="N24" i="29" s="1"/>
  <c r="J24" i="13" s="1"/>
  <c r="N22" i="9"/>
  <c r="BY93" i="5"/>
  <c r="BZ93" i="5" s="1"/>
  <c r="BY100" i="5"/>
  <c r="BZ100" i="5" s="1"/>
  <c r="D22" i="20"/>
  <c r="BP93" i="5"/>
  <c r="L51" i="33"/>
  <c r="T51" i="33" s="1"/>
  <c r="N55" i="14" s="1"/>
  <c r="EN139" i="5"/>
  <c r="BA132" i="5"/>
  <c r="DL46" i="19" s="1"/>
  <c r="DL68" i="19" s="1"/>
  <c r="AY132" i="5"/>
  <c r="DA46" i="19" s="1"/>
  <c r="CM32" i="5"/>
  <c r="E16" i="34" s="1"/>
  <c r="EN180" i="5"/>
  <c r="AJ132" i="5"/>
  <c r="BP46" i="19" s="1"/>
  <c r="AH132" i="5"/>
  <c r="BL46" i="19" s="1"/>
  <c r="AF132" i="5"/>
  <c r="BH46" i="19" s="1"/>
  <c r="AD132" i="5"/>
  <c r="BA46" i="19" s="1"/>
  <c r="AA132" i="5"/>
  <c r="AU46" i="19" s="1"/>
  <c r="Y132" i="5"/>
  <c r="AP46" i="19" s="1"/>
  <c r="AP68" i="19" s="1"/>
  <c r="Q132" i="5"/>
  <c r="AA46" i="19" s="1"/>
  <c r="I132" i="5"/>
  <c r="K46" i="19" s="1"/>
  <c r="U132" i="5"/>
  <c r="AJ46" i="19" s="1"/>
  <c r="D59" i="29"/>
  <c r="CO32" i="5"/>
  <c r="CO271" i="5"/>
  <c r="CO63" i="5" s="1"/>
  <c r="CM271" i="5"/>
  <c r="CM63" i="5" s="1"/>
  <c r="AT73" i="19"/>
  <c r="CT52" i="22"/>
  <c r="BG52" i="22"/>
  <c r="BT52" i="22"/>
  <c r="AT38" i="22"/>
  <c r="P331" i="5"/>
  <c r="AI38" i="22"/>
  <c r="M38" i="22"/>
  <c r="CG38" i="22" s="1"/>
  <c r="BG25" i="22"/>
  <c r="BT16" i="19"/>
  <c r="BT85" i="19"/>
  <c r="BT73" i="19"/>
  <c r="M37" i="19"/>
  <c r="CG37" i="19" s="1"/>
  <c r="M16" i="19"/>
  <c r="CG16" i="19" s="1"/>
  <c r="BW271" i="5"/>
  <c r="BW63" i="5" s="1"/>
  <c r="BP314" i="5"/>
  <c r="EM331" i="5"/>
  <c r="EM200" i="5" s="1"/>
  <c r="EN223" i="5"/>
  <c r="EN226" i="5"/>
  <c r="EN228" i="5"/>
  <c r="EN230" i="5"/>
  <c r="CU100" i="5"/>
  <c r="D62" i="24"/>
  <c r="BC271" i="5"/>
  <c r="BC63" i="5" s="1"/>
  <c r="EL18" i="5"/>
  <c r="EL43" i="5" s="1"/>
  <c r="EL61" i="5" s="1"/>
  <c r="EL73" i="5" s="1"/>
  <c r="BY55" i="5"/>
  <c r="BZ55" i="5" s="1"/>
  <c r="BY292" i="5"/>
  <c r="BY314" i="5"/>
  <c r="BY315" i="5" s="1"/>
  <c r="BP94" i="5"/>
  <c r="V132" i="5"/>
  <c r="AL46" i="19" s="1"/>
  <c r="M132" i="5"/>
  <c r="T46" i="19" s="1"/>
  <c r="J132" i="5"/>
  <c r="N46" i="19" s="1"/>
  <c r="E624" i="65"/>
  <c r="AX331" i="5"/>
  <c r="AX356" i="5" s="1"/>
  <c r="V331" i="5"/>
  <c r="EF271" i="5"/>
  <c r="BR132" i="5"/>
  <c r="N62" i="9" s="1"/>
  <c r="N90" i="9" s="1"/>
  <c r="BD271" i="5"/>
  <c r="BD63" i="5" s="1"/>
  <c r="BL15" i="19"/>
  <c r="BH15" i="19"/>
  <c r="U21" i="37"/>
  <c r="U26" i="37"/>
  <c r="DM114" i="5"/>
  <c r="CX114" i="5"/>
  <c r="DI84" i="5"/>
  <c r="DK114" i="5"/>
  <c r="CZ173" i="4"/>
  <c r="CZ175" i="4" s="1"/>
  <c r="H30" i="35"/>
  <c r="Q129" i="6" s="1"/>
  <c r="R129" i="6" s="1"/>
  <c r="BT157" i="5"/>
  <c r="T157" i="5"/>
  <c r="T172" i="5" s="1"/>
  <c r="K157" i="5"/>
  <c r="K172" i="5" s="1"/>
  <c r="DN173" i="4"/>
  <c r="DN175" i="4" s="1"/>
  <c r="E16" i="27"/>
  <c r="BH25" i="4"/>
  <c r="D50" i="27"/>
  <c r="P35" i="30"/>
  <c r="G59" i="28"/>
  <c r="I18" i="28"/>
  <c r="C24" i="28"/>
  <c r="G24" i="28"/>
  <c r="I21" i="28"/>
  <c r="I35" i="28"/>
  <c r="R54" i="28"/>
  <c r="R55" i="28"/>
  <c r="R32" i="28"/>
  <c r="BU23" i="4"/>
  <c r="BU23" i="5" s="1"/>
  <c r="H28" i="25" s="1"/>
  <c r="BS23" i="4"/>
  <c r="BS23" i="5" s="1"/>
  <c r="D28" i="25" s="1"/>
  <c r="BR24" i="4"/>
  <c r="BR24" i="5" s="1"/>
  <c r="HI49" i="26"/>
  <c r="EV49" i="26"/>
  <c r="AH49" i="26"/>
  <c r="F29" i="26"/>
  <c r="DN49" i="26"/>
  <c r="CD49" i="26"/>
  <c r="BJ49" i="26"/>
  <c r="Z46" i="26"/>
  <c r="BD57" i="26"/>
  <c r="EI59" i="26"/>
  <c r="BT24" i="26"/>
  <c r="BV17" i="26"/>
  <c r="HG54" i="26"/>
  <c r="HP59" i="26"/>
  <c r="GZ59" i="26"/>
  <c r="ES59" i="26"/>
  <c r="CZ55" i="26"/>
  <c r="CZ54" i="26"/>
  <c r="CX59" i="26"/>
  <c r="AD61" i="4"/>
  <c r="AD67" i="4" s="1"/>
  <c r="DS69" i="26"/>
  <c r="BL16" i="26"/>
  <c r="Z13" i="4"/>
  <c r="Z13" i="5" s="1"/>
  <c r="CZ19" i="26"/>
  <c r="AE14" i="4"/>
  <c r="AE14" i="5" s="1"/>
  <c r="BC19" i="22" s="1"/>
  <c r="DZ20" i="26"/>
  <c r="AC14" i="4"/>
  <c r="AC14" i="5" s="1"/>
  <c r="AY19" i="22" s="1"/>
  <c r="DP20" i="26"/>
  <c r="Z14" i="4"/>
  <c r="Z14" i="5" s="1"/>
  <c r="AR19" i="22" s="1"/>
  <c r="CZ20" i="26"/>
  <c r="W14" i="4"/>
  <c r="W14" i="5" s="1"/>
  <c r="AN19" i="22" s="1"/>
  <c r="CP20" i="26"/>
  <c r="S14" i="4"/>
  <c r="S14" i="5" s="1"/>
  <c r="AE19" i="22" s="1"/>
  <c r="BV20" i="26"/>
  <c r="AR11" i="4"/>
  <c r="AR11" i="5" s="1"/>
  <c r="CL16" i="22" s="1"/>
  <c r="GL17" i="26"/>
  <c r="HP24" i="26"/>
  <c r="GZ24" i="26"/>
  <c r="ES24" i="26"/>
  <c r="AG10" i="4"/>
  <c r="EJ16" i="26"/>
  <c r="AF46" i="4"/>
  <c r="EQ46" i="5" s="1"/>
  <c r="EQ58" i="5" s="1"/>
  <c r="ED54" i="26"/>
  <c r="AA46" i="4"/>
  <c r="AA46" i="5" s="1"/>
  <c r="AU41" i="22" s="1"/>
  <c r="DF54" i="26"/>
  <c r="V46" i="4"/>
  <c r="V46" i="5" s="1"/>
  <c r="AL41" i="22" s="1"/>
  <c r="CL54" i="26"/>
  <c r="AE47" i="4"/>
  <c r="AE47" i="5" s="1"/>
  <c r="BC42" i="22" s="1"/>
  <c r="DZ55" i="26"/>
  <c r="DY59" i="26"/>
  <c r="U15" i="4"/>
  <c r="U15" i="5" s="1"/>
  <c r="AJ20" i="22" s="1"/>
  <c r="CF21" i="26"/>
  <c r="Q15" i="4"/>
  <c r="Q15" i="5" s="1"/>
  <c r="AA20" i="22" s="1"/>
  <c r="BL21" i="26"/>
  <c r="AE49" i="4"/>
  <c r="AE54" i="5" s="1"/>
  <c r="BC46" i="22" s="1"/>
  <c r="DZ57" i="26"/>
  <c r="AD12" i="4"/>
  <c r="AD12" i="5" s="1"/>
  <c r="DS24" i="26"/>
  <c r="P12" i="4"/>
  <c r="JB24" i="26"/>
  <c r="JC43" i="26"/>
  <c r="IE18" i="26"/>
  <c r="DX24" i="26"/>
  <c r="HA21" i="26"/>
  <c r="GL21" i="26"/>
  <c r="ET21" i="26"/>
  <c r="EJ21" i="26"/>
  <c r="DZ21" i="26"/>
  <c r="DP21" i="26"/>
  <c r="CZ21" i="26"/>
  <c r="CP21" i="26"/>
  <c r="HA20" i="26"/>
  <c r="GL20" i="26"/>
  <c r="ET20" i="26"/>
  <c r="DZ17" i="26"/>
  <c r="DP17" i="26"/>
  <c r="CZ17" i="26"/>
  <c r="CP17" i="26"/>
  <c r="BV29" i="26"/>
  <c r="BL29" i="26"/>
  <c r="AT29" i="26"/>
  <c r="DZ33" i="26"/>
  <c r="CZ33" i="26"/>
  <c r="AT33" i="26"/>
  <c r="ET35" i="26"/>
  <c r="DZ35" i="26"/>
  <c r="AD35" i="26"/>
  <c r="GL38" i="26"/>
  <c r="DZ38" i="26"/>
  <c r="CF38" i="26"/>
  <c r="BL38" i="26"/>
  <c r="T38" i="26"/>
  <c r="J38" i="26"/>
  <c r="CP41" i="26"/>
  <c r="BL41" i="26"/>
  <c r="HK45" i="26"/>
  <c r="DT45" i="26"/>
  <c r="IE55" i="26"/>
  <c r="K162" i="11"/>
  <c r="L135" i="11"/>
  <c r="L136" i="11" s="1"/>
  <c r="G24" i="11"/>
  <c r="G38" i="11"/>
  <c r="AS29" i="27"/>
  <c r="BK368" i="5"/>
  <c r="BP368" i="5" s="1"/>
  <c r="BQ368" i="5" s="1"/>
  <c r="BH27" i="4"/>
  <c r="BP27" i="4" s="1"/>
  <c r="BH22" i="4"/>
  <c r="BP22" i="4" s="1"/>
  <c r="AJ39" i="27"/>
  <c r="AJ52" i="27" s="1"/>
  <c r="F33" i="24"/>
  <c r="F36" i="24" s="1"/>
  <c r="Y51" i="28"/>
  <c r="R17" i="28"/>
  <c r="R21" i="28"/>
  <c r="R30" i="28"/>
  <c r="R33" i="28"/>
  <c r="R36" i="28"/>
  <c r="I55" i="28"/>
  <c r="I56" i="28"/>
  <c r="BU24" i="4"/>
  <c r="BU24" i="5" s="1"/>
  <c r="H29" i="25" s="1"/>
  <c r="BS24" i="4"/>
  <c r="BU22" i="4"/>
  <c r="BU22" i="5" s="1"/>
  <c r="BR23" i="4"/>
  <c r="BR23" i="5" s="1"/>
  <c r="BR22" i="4"/>
  <c r="BR22" i="5" s="1"/>
  <c r="CT24" i="26"/>
  <c r="G194" i="11"/>
  <c r="G184" i="11"/>
  <c r="G90" i="11"/>
  <c r="G93" i="11"/>
  <c r="G96" i="11"/>
  <c r="G114" i="11"/>
  <c r="BL30" i="26"/>
  <c r="K118" i="11"/>
  <c r="E164" i="11"/>
  <c r="L162" i="11"/>
  <c r="L163" i="11" s="1"/>
  <c r="L112" i="11"/>
  <c r="L113" i="11" s="1"/>
  <c r="F120" i="11"/>
  <c r="D22" i="4" s="1"/>
  <c r="D22" i="5" s="1"/>
  <c r="H83" i="65" s="1"/>
  <c r="I83" i="65" s="1"/>
  <c r="D198" i="11"/>
  <c r="D49" i="26"/>
  <c r="P57" i="26"/>
  <c r="AT56" i="26"/>
  <c r="BT59" i="26"/>
  <c r="BL56" i="26"/>
  <c r="DN59" i="26"/>
  <c r="CN59" i="26"/>
  <c r="EN57" i="26"/>
  <c r="HO49" i="26"/>
  <c r="I49" i="4"/>
  <c r="CP19" i="26"/>
  <c r="EH49" i="26"/>
  <c r="HE49" i="26"/>
  <c r="EN41" i="26"/>
  <c r="GL46" i="26"/>
  <c r="EJ46" i="26"/>
  <c r="DZ46" i="26"/>
  <c r="CZ46" i="26"/>
  <c r="DT47" i="26"/>
  <c r="CV47" i="26"/>
  <c r="IE57" i="26"/>
  <c r="BR35" i="26"/>
  <c r="CP29" i="26"/>
  <c r="CN49" i="26"/>
  <c r="AH48" i="4"/>
  <c r="EN56" i="26"/>
  <c r="Z48" i="4"/>
  <c r="CZ56" i="26"/>
  <c r="AY67" i="4"/>
  <c r="HP69" i="26"/>
  <c r="AU67" i="4"/>
  <c r="GZ69" i="26"/>
  <c r="GY24" i="26"/>
  <c r="W10" i="4"/>
  <c r="W10" i="5" s="1"/>
  <c r="AN15" i="22" s="1"/>
  <c r="CP16" i="26"/>
  <c r="AY29" i="5"/>
  <c r="DA34" i="22" s="1"/>
  <c r="HA47" i="26"/>
  <c r="AR29" i="4"/>
  <c r="AR29" i="5" s="1"/>
  <c r="CL34" i="22" s="1"/>
  <c r="GL47" i="26"/>
  <c r="AI29" i="4"/>
  <c r="AI29" i="5" s="1"/>
  <c r="BN34" i="22" s="1"/>
  <c r="ET47" i="26"/>
  <c r="AG29" i="4"/>
  <c r="AG29" i="5" s="1"/>
  <c r="BJ34" i="22" s="1"/>
  <c r="EJ47" i="26"/>
  <c r="AV13" i="5"/>
  <c r="CW18" i="22" s="1"/>
  <c r="HG19" i="26"/>
  <c r="AY11" i="5"/>
  <c r="DA16" i="22" s="1"/>
  <c r="HA17" i="26"/>
  <c r="AI11" i="4"/>
  <c r="AI11" i="5" s="1"/>
  <c r="BN16" i="22" s="1"/>
  <c r="ET17" i="26"/>
  <c r="HJ49" i="26"/>
  <c r="DY49" i="26"/>
  <c r="AY10" i="5"/>
  <c r="DA15" i="22" s="1"/>
  <c r="HA16" i="26"/>
  <c r="AI10" i="4"/>
  <c r="AI10" i="5" s="1"/>
  <c r="BN15" i="22" s="1"/>
  <c r="ET16" i="26"/>
  <c r="AE10" i="4"/>
  <c r="AE10" i="5" s="1"/>
  <c r="BC15" i="22" s="1"/>
  <c r="DZ16" i="26"/>
  <c r="AC10" i="4"/>
  <c r="DP16" i="26"/>
  <c r="Z10" i="4"/>
  <c r="Z10" i="5" s="1"/>
  <c r="AR15" i="22" s="1"/>
  <c r="CZ16" i="26"/>
  <c r="AZ46" i="4"/>
  <c r="HX59" i="26"/>
  <c r="AX46" i="4"/>
  <c r="HK54" i="26"/>
  <c r="HJ59" i="26"/>
  <c r="HF59" i="26"/>
  <c r="AS46" i="4"/>
  <c r="GQ54" i="26"/>
  <c r="GP59" i="26"/>
  <c r="AJ46" i="4"/>
  <c r="EW59" i="26"/>
  <c r="AH46" i="4"/>
  <c r="EN54" i="26"/>
  <c r="EM59" i="26"/>
  <c r="AY47" i="5"/>
  <c r="HQ55" i="26"/>
  <c r="HA55" i="26"/>
  <c r="AR47" i="4"/>
  <c r="AR47" i="5" s="1"/>
  <c r="CL42" i="22" s="1"/>
  <c r="CL52" i="22" s="1"/>
  <c r="GL55" i="26"/>
  <c r="AI47" i="4"/>
  <c r="ET55" i="26"/>
  <c r="AG47" i="4"/>
  <c r="AG47" i="5" s="1"/>
  <c r="BJ42" i="22" s="1"/>
  <c r="BJ52" i="22" s="1"/>
  <c r="EJ55" i="26"/>
  <c r="AZ48" i="4"/>
  <c r="AZ50" i="5" s="1"/>
  <c r="DC45" i="22" s="1"/>
  <c r="HY56" i="26"/>
  <c r="AX48" i="4"/>
  <c r="AX50" i="5" s="1"/>
  <c r="CY45" i="22" s="1"/>
  <c r="HK56" i="26"/>
  <c r="AV50" i="5"/>
  <c r="CW45" i="22" s="1"/>
  <c r="HG56" i="26"/>
  <c r="AS48" i="4"/>
  <c r="AS50" i="5" s="1"/>
  <c r="CN45" i="22" s="1"/>
  <c r="GQ56" i="26"/>
  <c r="AT50" i="5" s="1"/>
  <c r="CP45" i="22" s="1"/>
  <c r="AJ48" i="4"/>
  <c r="AJ50" i="5" s="1"/>
  <c r="BP45" i="22" s="1"/>
  <c r="EX56" i="26"/>
  <c r="AE48" i="4"/>
  <c r="DZ56" i="26"/>
  <c r="AZ49" i="4"/>
  <c r="AZ54" i="5" s="1"/>
  <c r="DC46" i="22" s="1"/>
  <c r="HY57" i="26"/>
  <c r="AX49" i="4"/>
  <c r="AX54" i="5" s="1"/>
  <c r="CY46" i="22" s="1"/>
  <c r="HK57" i="26"/>
  <c r="AV54" i="5"/>
  <c r="CW46" i="22" s="1"/>
  <c r="HG57" i="26"/>
  <c r="AS49" i="4"/>
  <c r="AS54" i="5" s="1"/>
  <c r="CN46" i="22" s="1"/>
  <c r="GQ57" i="26"/>
  <c r="AT54" i="5" s="1"/>
  <c r="CP46" i="22" s="1"/>
  <c r="AJ49" i="4"/>
  <c r="AJ54" i="5" s="1"/>
  <c r="BP46" i="22" s="1"/>
  <c r="EX57" i="26"/>
  <c r="Y49" i="4"/>
  <c r="Y54" i="5" s="1"/>
  <c r="AP46" i="22" s="1"/>
  <c r="CV57" i="26"/>
  <c r="AV12" i="5"/>
  <c r="CW17" i="22" s="1"/>
  <c r="HF24" i="26"/>
  <c r="AJ12" i="4"/>
  <c r="AJ12" i="5" s="1"/>
  <c r="BP17" i="22" s="1"/>
  <c r="EW24" i="26"/>
  <c r="AF12" i="4"/>
  <c r="AF18" i="4" s="1"/>
  <c r="EC24" i="26"/>
  <c r="JC22" i="26"/>
  <c r="JC20" i="26"/>
  <c r="JC18" i="26"/>
  <c r="F20" i="12"/>
  <c r="F16" i="12"/>
  <c r="HY38" i="26"/>
  <c r="BA10" i="4"/>
  <c r="BA10" i="5" s="1"/>
  <c r="DO15" i="22" s="1"/>
  <c r="IE16" i="26"/>
  <c r="AA12" i="4"/>
  <c r="AA12" i="5" s="1"/>
  <c r="AU17" i="22" s="1"/>
  <c r="AU23" i="22" s="1"/>
  <c r="DE24" i="26"/>
  <c r="F19" i="12"/>
  <c r="F17" i="12"/>
  <c r="HK18" i="26"/>
  <c r="HG18" i="26"/>
  <c r="GQ18" i="26"/>
  <c r="AT12" i="5" s="1"/>
  <c r="CP17" i="22" s="1"/>
  <c r="EX18" i="26"/>
  <c r="ED18" i="26"/>
  <c r="CB18" i="26"/>
  <c r="Z18" i="26"/>
  <c r="P18" i="26"/>
  <c r="HY22" i="26"/>
  <c r="HK22" i="26"/>
  <c r="HG22" i="26"/>
  <c r="GQ22" i="26"/>
  <c r="AT16" i="5" s="1"/>
  <c r="CP21" i="22" s="1"/>
  <c r="EX22" i="26"/>
  <c r="EN22" i="26"/>
  <c r="ED22" i="26"/>
  <c r="DT22" i="26"/>
  <c r="DF22" i="26"/>
  <c r="CV22" i="26"/>
  <c r="CL22" i="26"/>
  <c r="CB22" i="26"/>
  <c r="BR22" i="26"/>
  <c r="Z22" i="26"/>
  <c r="P22" i="26"/>
  <c r="F22" i="26"/>
  <c r="HY19" i="26"/>
  <c r="HK19" i="26"/>
  <c r="GQ19" i="26"/>
  <c r="AT13" i="5" s="1"/>
  <c r="CP18" i="22" s="1"/>
  <c r="EX19" i="26"/>
  <c r="EN19" i="26"/>
  <c r="ED19" i="26"/>
  <c r="DT19" i="26"/>
  <c r="CV19" i="26"/>
  <c r="CL19" i="26"/>
  <c r="CB19" i="26"/>
  <c r="BR19" i="26"/>
  <c r="BD19" i="26"/>
  <c r="AJ19" i="26"/>
  <c r="L13" i="5" s="1"/>
  <c r="R18" i="22" s="1"/>
  <c r="Z19" i="26"/>
  <c r="P19" i="26"/>
  <c r="HK29" i="26"/>
  <c r="Z33" i="26"/>
  <c r="HK35" i="26"/>
  <c r="AJ38" i="26"/>
  <c r="P38" i="26"/>
  <c r="F38" i="26"/>
  <c r="HK41" i="26"/>
  <c r="F41" i="26"/>
  <c r="BD44" i="26"/>
  <c r="F44" i="26"/>
  <c r="DP45" i="26"/>
  <c r="BL45" i="26"/>
  <c r="HY46" i="26"/>
  <c r="HK46" i="26"/>
  <c r="HG46" i="26"/>
  <c r="GQ46" i="26"/>
  <c r="AT28" i="5" s="1"/>
  <c r="CP33" i="22" s="1"/>
  <c r="EX46" i="26"/>
  <c r="EN46" i="26"/>
  <c r="ED46" i="26"/>
  <c r="DT46" i="26"/>
  <c r="DF46" i="26"/>
  <c r="CV46" i="26"/>
  <c r="CL46" i="26"/>
  <c r="CB46" i="26"/>
  <c r="BR46" i="26"/>
  <c r="IE47" i="26"/>
  <c r="DZ47" i="26"/>
  <c r="DP47" i="26"/>
  <c r="CZ47" i="26"/>
  <c r="CP47" i="26"/>
  <c r="CF47" i="26"/>
  <c r="BV47" i="26"/>
  <c r="BL47" i="26"/>
  <c r="J47" i="26"/>
  <c r="DF56" i="26"/>
  <c r="F56" i="26"/>
  <c r="GO24" i="26"/>
  <c r="BZ24" i="26"/>
  <c r="BP24" i="26"/>
  <c r="HW49" i="26"/>
  <c r="GO49" i="26"/>
  <c r="GO51" i="26" s="1"/>
  <c r="EX29" i="26"/>
  <c r="EB49" i="26"/>
  <c r="DR49" i="26"/>
  <c r="DD49" i="26"/>
  <c r="CT49" i="26"/>
  <c r="CJ49" i="26"/>
  <c r="BZ49" i="26"/>
  <c r="BB49" i="26"/>
  <c r="N49" i="26"/>
  <c r="DP29" i="26"/>
  <c r="AD29" i="26"/>
  <c r="J29" i="26"/>
  <c r="GJ49" i="26"/>
  <c r="ER49" i="26"/>
  <c r="DP30" i="26"/>
  <c r="CX49" i="26"/>
  <c r="BT49" i="26"/>
  <c r="AB49" i="26"/>
  <c r="H49" i="26"/>
  <c r="GQ30" i="26"/>
  <c r="DS49" i="26"/>
  <c r="HP49" i="26"/>
  <c r="DF33" i="26"/>
  <c r="AD33" i="26"/>
  <c r="HF49" i="26"/>
  <c r="EJ35" i="26"/>
  <c r="AT35" i="26"/>
  <c r="EJ36" i="26"/>
  <c r="AT36" i="26"/>
  <c r="EN38" i="26"/>
  <c r="ET39" i="26"/>
  <c r="CF41" i="26"/>
  <c r="HA42" i="26"/>
  <c r="DZ42" i="26"/>
  <c r="T27" i="4"/>
  <c r="DX59" i="26"/>
  <c r="ED56" i="26"/>
  <c r="CL56" i="26"/>
  <c r="BD56" i="26"/>
  <c r="AJ56" i="26"/>
  <c r="BL44" i="26"/>
  <c r="F45" i="26"/>
  <c r="CL42" i="26"/>
  <c r="BL39" i="26"/>
  <c r="AT32" i="26"/>
  <c r="EC49" i="26"/>
  <c r="DR24" i="26"/>
  <c r="EM49" i="26"/>
  <c r="BD17" i="26"/>
  <c r="BB24" i="26"/>
  <c r="AJ17" i="26"/>
  <c r="L11" i="5" s="1"/>
  <c r="R16" i="22" s="1"/>
  <c r="AH24" i="26"/>
  <c r="X24" i="26"/>
  <c r="P17" i="26"/>
  <c r="N24" i="26"/>
  <c r="D24" i="26"/>
  <c r="EN29" i="26"/>
  <c r="EL49" i="26"/>
  <c r="BR29" i="26"/>
  <c r="BP49" i="26"/>
  <c r="HA30" i="26"/>
  <c r="GY49" i="26"/>
  <c r="DZ30" i="26"/>
  <c r="DX49" i="26"/>
  <c r="AT30" i="26"/>
  <c r="AR49" i="26"/>
  <c r="T30" i="26"/>
  <c r="R49" i="26"/>
  <c r="AC23" i="4"/>
  <c r="DP32" i="26"/>
  <c r="HQ54" i="26"/>
  <c r="HO59" i="26"/>
  <c r="HA54" i="26"/>
  <c r="GY59" i="26"/>
  <c r="GL54" i="26"/>
  <c r="GJ59" i="26"/>
  <c r="ET54" i="26"/>
  <c r="ER59" i="26"/>
  <c r="EJ54" i="26"/>
  <c r="EH59" i="26"/>
  <c r="W49" i="4"/>
  <c r="CP57" i="26"/>
  <c r="Q49" i="4"/>
  <c r="BL57" i="26"/>
  <c r="M49" i="4"/>
  <c r="AT57" i="26"/>
  <c r="AG48" i="4"/>
  <c r="EJ56" i="26"/>
  <c r="AD48" i="4"/>
  <c r="DT56" i="26"/>
  <c r="T48" i="4"/>
  <c r="CB56" i="26"/>
  <c r="G48" i="4"/>
  <c r="P56" i="26"/>
  <c r="HW59" i="26"/>
  <c r="HI59" i="26"/>
  <c r="HE59" i="26"/>
  <c r="GO59" i="26"/>
  <c r="EV59" i="26"/>
  <c r="EL59" i="26"/>
  <c r="EB59" i="26"/>
  <c r="DR59" i="26"/>
  <c r="DD59" i="26"/>
  <c r="CT59" i="26"/>
  <c r="CJ59" i="26"/>
  <c r="BZ59" i="26"/>
  <c r="BP59" i="26"/>
  <c r="BB59" i="26"/>
  <c r="AH59" i="26"/>
  <c r="Z55" i="26"/>
  <c r="X59" i="26"/>
  <c r="N59" i="26"/>
  <c r="AZ61" i="4"/>
  <c r="AZ187" i="4" s="1"/>
  <c r="HX69" i="26"/>
  <c r="AX61" i="4"/>
  <c r="HJ69" i="26"/>
  <c r="HF69" i="26"/>
  <c r="AF61" i="4"/>
  <c r="EC69" i="26"/>
  <c r="W61" i="4"/>
  <c r="CO69" i="26"/>
  <c r="HW24" i="26"/>
  <c r="HI24" i="26"/>
  <c r="HE24" i="26"/>
  <c r="EV24" i="26"/>
  <c r="EB24" i="26"/>
  <c r="DD24" i="26"/>
  <c r="CJ24" i="26"/>
  <c r="EL24" i="26"/>
  <c r="AX14" i="4"/>
  <c r="AX14" i="5" s="1"/>
  <c r="CY19" i="22" s="1"/>
  <c r="HK20" i="26"/>
  <c r="AS14" i="4"/>
  <c r="AS14" i="5" s="1"/>
  <c r="CN19" i="22" s="1"/>
  <c r="GQ20" i="26"/>
  <c r="AT14" i="5" s="1"/>
  <c r="CP19" i="22" s="1"/>
  <c r="AH14" i="4"/>
  <c r="AH14" i="5" s="1"/>
  <c r="BL19" i="22" s="1"/>
  <c r="EN20" i="26"/>
  <c r="HA19" i="26"/>
  <c r="AR13" i="4"/>
  <c r="AR13" i="5" s="1"/>
  <c r="CL18" i="22" s="1"/>
  <c r="GL19" i="26"/>
  <c r="AI13" i="4"/>
  <c r="AI13" i="5" s="1"/>
  <c r="BN18" i="22" s="1"/>
  <c r="ET19" i="26"/>
  <c r="AG13" i="4"/>
  <c r="AG13" i="5" s="1"/>
  <c r="BJ18" i="22" s="1"/>
  <c r="EJ19" i="26"/>
  <c r="AZ11" i="4"/>
  <c r="AZ11" i="5" s="1"/>
  <c r="DC16" i="22" s="1"/>
  <c r="HY17" i="26"/>
  <c r="AX11" i="4"/>
  <c r="AX11" i="5" s="1"/>
  <c r="CY16" i="22" s="1"/>
  <c r="HK17" i="26"/>
  <c r="AV11" i="5"/>
  <c r="CW16" i="22" s="1"/>
  <c r="HG17" i="26"/>
  <c r="AS11" i="4"/>
  <c r="AS11" i="5" s="1"/>
  <c r="CN16" i="22" s="1"/>
  <c r="GQ17" i="26"/>
  <c r="AJ11" i="4"/>
  <c r="AJ11" i="5" s="1"/>
  <c r="BP16" i="22" s="1"/>
  <c r="EX17" i="26"/>
  <c r="AH11" i="4"/>
  <c r="AH11" i="5" s="1"/>
  <c r="BL16" i="22" s="1"/>
  <c r="EN17" i="26"/>
  <c r="AZ10" i="4"/>
  <c r="AZ10" i="5" s="1"/>
  <c r="DC15" i="22" s="1"/>
  <c r="HY16" i="26"/>
  <c r="AX10" i="4"/>
  <c r="AX10" i="5" s="1"/>
  <c r="CY15" i="22" s="1"/>
  <c r="HK16" i="26"/>
  <c r="AV10" i="5"/>
  <c r="CW15" i="22" s="1"/>
  <c r="HG16" i="26"/>
  <c r="AS10" i="4"/>
  <c r="AS10" i="5" s="1"/>
  <c r="CN15" i="22" s="1"/>
  <c r="GQ16" i="26"/>
  <c r="AT10" i="5" s="1"/>
  <c r="CP15" i="22" s="1"/>
  <c r="AJ10" i="4"/>
  <c r="EX16" i="26"/>
  <c r="AH10" i="4"/>
  <c r="EN16" i="26"/>
  <c r="AX15" i="4"/>
  <c r="AX15" i="5" s="1"/>
  <c r="CY20" i="22" s="1"/>
  <c r="HK21" i="26"/>
  <c r="AS15" i="4"/>
  <c r="AS15" i="5" s="1"/>
  <c r="CN20" i="22" s="1"/>
  <c r="GQ21" i="26"/>
  <c r="AT15" i="5" s="1"/>
  <c r="CP20" i="22" s="1"/>
  <c r="AH15" i="4"/>
  <c r="AH15" i="5" s="1"/>
  <c r="BL20" i="22" s="1"/>
  <c r="EN21" i="26"/>
  <c r="AF15" i="5"/>
  <c r="BH20" i="22" s="1"/>
  <c r="EQ15" i="5"/>
  <c r="JC55" i="26"/>
  <c r="JC56" i="26"/>
  <c r="Z61" i="4"/>
  <c r="Z67" i="4" s="1"/>
  <c r="CY69" i="26"/>
  <c r="U61" i="4"/>
  <c r="U67" i="4" s="1"/>
  <c r="CE69" i="26"/>
  <c r="AF11" i="5"/>
  <c r="BH16" i="22" s="1"/>
  <c r="EQ11" i="5"/>
  <c r="X16" i="4"/>
  <c r="X16" i="5" s="1"/>
  <c r="E23" i="12"/>
  <c r="P15" i="5"/>
  <c r="F36" i="12"/>
  <c r="F21" i="12"/>
  <c r="GL18" i="26"/>
  <c r="ET18" i="26"/>
  <c r="CF18" i="26"/>
  <c r="BV18" i="26"/>
  <c r="BL18" i="26"/>
  <c r="IE22" i="26"/>
  <c r="HA22" i="26"/>
  <c r="GL22" i="26"/>
  <c r="ET22" i="26"/>
  <c r="EJ22" i="26"/>
  <c r="DZ19" i="26"/>
  <c r="DP19" i="26"/>
  <c r="HY30" i="26"/>
  <c r="HK30" i="26"/>
  <c r="HG30" i="26"/>
  <c r="EN30" i="26"/>
  <c r="ED30" i="26"/>
  <c r="DF30" i="26"/>
  <c r="CZ32" i="26"/>
  <c r="IE36" i="26"/>
  <c r="ET36" i="26"/>
  <c r="DZ36" i="26"/>
  <c r="AD36" i="26"/>
  <c r="IE39" i="26"/>
  <c r="GL39" i="26"/>
  <c r="DZ39" i="26"/>
  <c r="T39" i="26"/>
  <c r="J39" i="26"/>
  <c r="HK42" i="26"/>
  <c r="DP44" i="26"/>
  <c r="CU118" i="4"/>
  <c r="CU124" i="4"/>
  <c r="CH157" i="5"/>
  <c r="CH172" i="5" s="1"/>
  <c r="I29" i="28"/>
  <c r="E30" i="28"/>
  <c r="D24" i="28"/>
  <c r="BS22" i="4"/>
  <c r="BS22" i="5" s="1"/>
  <c r="D27" i="25" s="1"/>
  <c r="D49" i="28"/>
  <c r="E16" i="28"/>
  <c r="I16" i="28"/>
  <c r="I22" i="28"/>
  <c r="BY106" i="4"/>
  <c r="BY127" i="4"/>
  <c r="BY123" i="4"/>
  <c r="BU136" i="4"/>
  <c r="BU173" i="4" s="1"/>
  <c r="F181" i="11"/>
  <c r="G106" i="11"/>
  <c r="G109" i="11"/>
  <c r="GL29" i="26"/>
  <c r="ET29" i="26"/>
  <c r="T29" i="26"/>
  <c r="AJ22" i="4"/>
  <c r="AJ22" i="5" s="1"/>
  <c r="BP27" i="22" s="1"/>
  <c r="DT29" i="26"/>
  <c r="R22" i="4"/>
  <c r="K22" i="4"/>
  <c r="Z29" i="26"/>
  <c r="P29" i="26"/>
  <c r="EX30" i="26"/>
  <c r="DT30" i="26"/>
  <c r="BR30" i="26"/>
  <c r="AJ30" i="26"/>
  <c r="Z30" i="26"/>
  <c r="P30" i="26"/>
  <c r="F30" i="26"/>
  <c r="GK49" i="26"/>
  <c r="ES49" i="26"/>
  <c r="AD30" i="26"/>
  <c r="J30" i="26"/>
  <c r="AD32" i="26"/>
  <c r="BU49" i="26"/>
  <c r="BK49" i="26"/>
  <c r="DT33" i="26"/>
  <c r="CL33" i="26"/>
  <c r="AJ33" i="26"/>
  <c r="GL35" i="26"/>
  <c r="BL35" i="26"/>
  <c r="BD35" i="26"/>
  <c r="AJ35" i="26"/>
  <c r="GL36" i="26"/>
  <c r="BL36" i="26"/>
  <c r="BD36" i="26"/>
  <c r="AJ36" i="26"/>
  <c r="BV38" i="26"/>
  <c r="AD38" i="26"/>
  <c r="BR38" i="26"/>
  <c r="EJ39" i="26"/>
  <c r="AD39" i="26"/>
  <c r="CB39" i="26"/>
  <c r="BR39" i="26"/>
  <c r="DP41" i="26"/>
  <c r="CZ41" i="26"/>
  <c r="BV41" i="26"/>
  <c r="AJ26" i="4"/>
  <c r="AJ26" i="5" s="1"/>
  <c r="BP31" i="22" s="1"/>
  <c r="AH26" i="4"/>
  <c r="AF26" i="4"/>
  <c r="AD26" i="4"/>
  <c r="AA26" i="4"/>
  <c r="R26" i="4"/>
  <c r="M26" i="4"/>
  <c r="J26" i="4"/>
  <c r="H26" i="4"/>
  <c r="F26" i="4"/>
  <c r="HY42" i="26"/>
  <c r="HG42" i="26"/>
  <c r="GQ42" i="26"/>
  <c r="EX42" i="26"/>
  <c r="EN42" i="26"/>
  <c r="ED42" i="26"/>
  <c r="DT42" i="26"/>
  <c r="DF42" i="26"/>
  <c r="CV42" i="26"/>
  <c r="CB42" i="26"/>
  <c r="BR42" i="26"/>
  <c r="GL42" i="26"/>
  <c r="EJ42" i="26"/>
  <c r="AE26" i="4"/>
  <c r="AC26" i="4"/>
  <c r="Z26" i="4"/>
  <c r="S26" i="4"/>
  <c r="K26" i="4"/>
  <c r="G26" i="4"/>
  <c r="AR27" i="4"/>
  <c r="AI27" i="4"/>
  <c r="AI27" i="5" s="1"/>
  <c r="BN32" i="22" s="1"/>
  <c r="AG27" i="4"/>
  <c r="AE27" i="4"/>
  <c r="Z27" i="4"/>
  <c r="W27" i="4"/>
  <c r="U27" i="4"/>
  <c r="S27" i="4"/>
  <c r="M27" i="4"/>
  <c r="J27" i="4"/>
  <c r="H27" i="4"/>
  <c r="F27" i="4"/>
  <c r="HY45" i="26"/>
  <c r="AA27" i="4"/>
  <c r="Y27" i="4"/>
  <c r="V27" i="4"/>
  <c r="G27" i="4"/>
  <c r="L128" i="11"/>
  <c r="L129" i="11" s="1"/>
  <c r="L144" i="11"/>
  <c r="L145" i="11" s="1"/>
  <c r="L100" i="11"/>
  <c r="L101" i="11" s="1"/>
  <c r="JB49" i="26"/>
  <c r="JC46" i="26"/>
  <c r="JC37" i="26"/>
  <c r="JA59" i="26"/>
  <c r="JC57" i="26"/>
  <c r="AG26" i="4"/>
  <c r="AO73" i="5"/>
  <c r="AS22" i="4"/>
  <c r="GQ29" i="26"/>
  <c r="AZ26" i="4"/>
  <c r="HY41" i="26"/>
  <c r="HG41" i="26"/>
  <c r="AS26" i="4"/>
  <c r="GQ41" i="26"/>
  <c r="AI26" i="4"/>
  <c r="AI26" i="5" s="1"/>
  <c r="BN31" i="22" s="1"/>
  <c r="ET42" i="26"/>
  <c r="AZ27" i="4"/>
  <c r="HY44" i="26"/>
  <c r="AI69" i="26"/>
  <c r="BW38" i="22"/>
  <c r="BW55" i="22" s="1"/>
  <c r="BW65" i="22" s="1"/>
  <c r="AL216" i="5" s="1"/>
  <c r="AL218" i="5" s="1"/>
  <c r="E660" i="65"/>
  <c r="CH136" i="4"/>
  <c r="CH173" i="4" s="1"/>
  <c r="CO136" i="4"/>
  <c r="CO173" i="4" s="1"/>
  <c r="CU146" i="5"/>
  <c r="CJ130" i="4"/>
  <c r="CJ117" i="4"/>
  <c r="CU84" i="4"/>
  <c r="BY101" i="4"/>
  <c r="BY92" i="4"/>
  <c r="BF131" i="4"/>
  <c r="BG131" i="4" s="1"/>
  <c r="BF121" i="4"/>
  <c r="BG121" i="4" s="1"/>
  <c r="K97" i="11"/>
  <c r="K135" i="11"/>
  <c r="JA49" i="26"/>
  <c r="J14" i="20"/>
  <c r="Z136" i="4"/>
  <c r="Z173" i="4" s="1"/>
  <c r="F136" i="4"/>
  <c r="F173" i="4" s="1"/>
  <c r="Q88" i="5"/>
  <c r="AA17" i="19" s="1"/>
  <c r="U88" i="5"/>
  <c r="AJ17" i="19" s="1"/>
  <c r="W88" i="5"/>
  <c r="AN17" i="19" s="1"/>
  <c r="Z88" i="5"/>
  <c r="AR17" i="19" s="1"/>
  <c r="AC88" i="5"/>
  <c r="AY17" i="19" s="1"/>
  <c r="AE88" i="5"/>
  <c r="BC17" i="19" s="1"/>
  <c r="AG88" i="5"/>
  <c r="BJ17" i="19" s="1"/>
  <c r="AI88" i="5"/>
  <c r="BN17" i="19" s="1"/>
  <c r="J88" i="5"/>
  <c r="N17" i="19" s="1"/>
  <c r="U136" i="4"/>
  <c r="U173" i="4" s="1"/>
  <c r="H157" i="5"/>
  <c r="H172" i="5" s="1"/>
  <c r="J118" i="11"/>
  <c r="J119" i="11" s="1"/>
  <c r="J120" i="11" s="1"/>
  <c r="D174" i="11"/>
  <c r="F146" i="11"/>
  <c r="D24" i="4" s="1"/>
  <c r="D24" i="5" s="1"/>
  <c r="D30" i="10" s="1"/>
  <c r="HO24" i="26"/>
  <c r="GJ24" i="26"/>
  <c r="ER24" i="26"/>
  <c r="EH24" i="26"/>
  <c r="R27" i="4"/>
  <c r="K27" i="4"/>
  <c r="I27" i="4"/>
  <c r="AA61" i="4"/>
  <c r="AA67" i="4" s="1"/>
  <c r="DE69" i="26"/>
  <c r="Y61" i="4"/>
  <c r="Y67" i="4" s="1"/>
  <c r="CU69" i="26"/>
  <c r="V61" i="4"/>
  <c r="V67" i="4" s="1"/>
  <c r="CK69" i="26"/>
  <c r="T61" i="4"/>
  <c r="T67" i="4" s="1"/>
  <c r="CA69" i="26"/>
  <c r="O61" i="4"/>
  <c r="O67" i="4" s="1"/>
  <c r="BC69" i="26"/>
  <c r="I61" i="4"/>
  <c r="I67" i="4" s="1"/>
  <c r="Y69" i="26"/>
  <c r="DN24" i="26"/>
  <c r="CX24" i="26"/>
  <c r="CN24" i="26"/>
  <c r="HX49" i="26"/>
  <c r="GZ49" i="26"/>
  <c r="GP49" i="26"/>
  <c r="EW49" i="26"/>
  <c r="EI49" i="26"/>
  <c r="AJ32" i="26"/>
  <c r="AJ29" i="26"/>
  <c r="BR41" i="26"/>
  <c r="EX41" i="26"/>
  <c r="ED41" i="26"/>
  <c r="DT32" i="26"/>
  <c r="DF32" i="26"/>
  <c r="CL32" i="26"/>
  <c r="F33" i="12"/>
  <c r="O69" i="26"/>
  <c r="BQ69" i="26"/>
  <c r="F34" i="12"/>
  <c r="F15" i="12"/>
  <c r="E60" i="12"/>
  <c r="EQ13" i="5"/>
  <c r="DO24" i="26"/>
  <c r="HY29" i="26"/>
  <c r="HG29" i="26"/>
  <c r="ED29" i="26"/>
  <c r="CA49" i="26"/>
  <c r="O22" i="4"/>
  <c r="J22" i="4"/>
  <c r="H22" i="4"/>
  <c r="F22" i="4"/>
  <c r="GL30" i="26"/>
  <c r="ET30" i="26"/>
  <c r="HY32" i="26"/>
  <c r="HY33" i="26"/>
  <c r="HK33" i="26"/>
  <c r="HG33" i="26"/>
  <c r="HY35" i="26"/>
  <c r="GQ35" i="26"/>
  <c r="AT24" i="5" s="1"/>
  <c r="EX35" i="26"/>
  <c r="EN35" i="26"/>
  <c r="ED35" i="26"/>
  <c r="EN36" i="26"/>
  <c r="ED36" i="26"/>
  <c r="HK38" i="26"/>
  <c r="EX38" i="26"/>
  <c r="ED38" i="26"/>
  <c r="U26" i="4"/>
  <c r="O26" i="4"/>
  <c r="I26" i="4"/>
  <c r="DP42" i="26"/>
  <c r="CZ42" i="26"/>
  <c r="CF42" i="26"/>
  <c r="BV42" i="26"/>
  <c r="AS27" i="4"/>
  <c r="AJ27" i="4"/>
  <c r="AJ27" i="5" s="1"/>
  <c r="BP32" i="22" s="1"/>
  <c r="AH27" i="4"/>
  <c r="AF27" i="4"/>
  <c r="G97" i="11"/>
  <c r="K91" i="11"/>
  <c r="F198" i="11"/>
  <c r="G196" i="11"/>
  <c r="G100" i="11"/>
  <c r="G115" i="11"/>
  <c r="G128" i="11"/>
  <c r="G161" i="11"/>
  <c r="G171" i="11"/>
  <c r="AH16" i="28"/>
  <c r="AH17" i="28"/>
  <c r="E21" i="28"/>
  <c r="E19" i="28"/>
  <c r="D69" i="28"/>
  <c r="E54" i="28"/>
  <c r="E29" i="28"/>
  <c r="AI17" i="28"/>
  <c r="AI16" i="28"/>
  <c r="Y85" i="5"/>
  <c r="AS49" i="26"/>
  <c r="AJ25" i="4"/>
  <c r="AJ25" i="5" s="1"/>
  <c r="BP30" i="22" s="1"/>
  <c r="AA25" i="4"/>
  <c r="AJ136" i="4"/>
  <c r="AJ173" i="4" s="1"/>
  <c r="BF124" i="4"/>
  <c r="BG124" i="4" s="1"/>
  <c r="CJ105" i="4"/>
  <c r="E621" i="65"/>
  <c r="D146" i="11"/>
  <c r="AG24" i="4"/>
  <c r="AC24" i="4"/>
  <c r="W24" i="4"/>
  <c r="S24" i="4"/>
  <c r="K24" i="4"/>
  <c r="F24" i="4"/>
  <c r="D47" i="4"/>
  <c r="F69" i="11"/>
  <c r="D14" i="4" s="1"/>
  <c r="D14" i="5" s="1"/>
  <c r="BF282" i="5"/>
  <c r="BG282" i="5" s="1"/>
  <c r="BB331" i="5"/>
  <c r="DO34" i="22"/>
  <c r="G16" i="5"/>
  <c r="G21" i="22" s="1"/>
  <c r="F16" i="5"/>
  <c r="E21" i="22" s="1"/>
  <c r="EN194" i="5"/>
  <c r="H37" i="10"/>
  <c r="CJ87" i="4"/>
  <c r="F29" i="15"/>
  <c r="CJ55" i="5"/>
  <c r="EM271" i="5"/>
  <c r="EM63" i="5" s="1"/>
  <c r="BF254" i="5"/>
  <c r="BU271" i="5"/>
  <c r="CJ318" i="5"/>
  <c r="H24" i="35"/>
  <c r="U85" i="31"/>
  <c r="E30" i="27"/>
  <c r="R52" i="32"/>
  <c r="R50" i="32"/>
  <c r="N19" i="32"/>
  <c r="P83" i="34" s="1"/>
  <c r="Y157" i="5"/>
  <c r="Y172" i="5" s="1"/>
  <c r="BS85" i="5"/>
  <c r="CE132" i="5"/>
  <c r="H59" i="29" s="1"/>
  <c r="S23" i="4"/>
  <c r="Q23" i="4"/>
  <c r="CL30" i="26"/>
  <c r="CP30" i="26"/>
  <c r="O24" i="4"/>
  <c r="HG36" i="26"/>
  <c r="DP36" i="26"/>
  <c r="CZ36" i="26"/>
  <c r="CP36" i="26"/>
  <c r="CF36" i="26"/>
  <c r="BV36" i="26"/>
  <c r="DT36" i="26"/>
  <c r="CV36" i="26"/>
  <c r="CB36" i="26"/>
  <c r="AS25" i="4"/>
  <c r="AC25" i="4"/>
  <c r="Z25" i="4"/>
  <c r="W25" i="4"/>
  <c r="R25" i="4"/>
  <c r="M25" i="4"/>
  <c r="P57" i="32"/>
  <c r="R94" i="34" s="1"/>
  <c r="T94" i="34" s="1"/>
  <c r="N99" i="15" s="1"/>
  <c r="R51" i="32"/>
  <c r="N62" i="13" s="1"/>
  <c r="M176" i="41"/>
  <c r="CD32" i="5"/>
  <c r="F17" i="31" s="1"/>
  <c r="BT84" i="5"/>
  <c r="AA118" i="9"/>
  <c r="AA121" i="9" s="1"/>
  <c r="F29" i="25"/>
  <c r="GQ32" i="26"/>
  <c r="EX32" i="26"/>
  <c r="AH24" i="4"/>
  <c r="AF24" i="4"/>
  <c r="Q24" i="4"/>
  <c r="M24" i="4"/>
  <c r="I24" i="4"/>
  <c r="G24" i="4"/>
  <c r="AK63" i="3"/>
  <c r="BY38" i="22"/>
  <c r="BY55" i="22" s="1"/>
  <c r="BY65" i="22" s="1"/>
  <c r="CZ29" i="26"/>
  <c r="CF29" i="26"/>
  <c r="CV29" i="26"/>
  <c r="EN32" i="26"/>
  <c r="ED32" i="26"/>
  <c r="CP32" i="26"/>
  <c r="CF32" i="26"/>
  <c r="GQ33" i="26"/>
  <c r="EX33" i="26"/>
  <c r="EN33" i="26"/>
  <c r="ED33" i="26"/>
  <c r="DP33" i="26"/>
  <c r="CP33" i="26"/>
  <c r="CF33" i="26"/>
  <c r="CZ35" i="26"/>
  <c r="CF35" i="26"/>
  <c r="HG38" i="26"/>
  <c r="GQ38" i="26"/>
  <c r="DP38" i="26"/>
  <c r="CZ38" i="26"/>
  <c r="CP38" i="26"/>
  <c r="CL39" i="26"/>
  <c r="IC49" i="26"/>
  <c r="AR22" i="4"/>
  <c r="AI22" i="4"/>
  <c r="AI22" i="5" s="1"/>
  <c r="BN27" i="22" s="1"/>
  <c r="AD22" i="4"/>
  <c r="BQ49" i="26"/>
  <c r="AI49" i="26"/>
  <c r="I22" i="4"/>
  <c r="O49" i="26"/>
  <c r="EX39" i="26"/>
  <c r="ED39" i="26"/>
  <c r="AD25" i="4"/>
  <c r="Y25" i="4"/>
  <c r="J25" i="4"/>
  <c r="ET41" i="26"/>
  <c r="EJ41" i="26"/>
  <c r="DZ41" i="26"/>
  <c r="DT41" i="26"/>
  <c r="DF41" i="26"/>
  <c r="AJ28" i="5"/>
  <c r="BP33" i="22" s="1"/>
  <c r="I15" i="5"/>
  <c r="K20" i="22" s="1"/>
  <c r="AI28" i="5"/>
  <c r="BN33" i="22" s="1"/>
  <c r="AI271" i="5"/>
  <c r="AI63" i="5" s="1"/>
  <c r="AY331" i="5"/>
  <c r="CU258" i="5"/>
  <c r="CC32" i="5"/>
  <c r="BU26" i="5"/>
  <c r="H31" i="25" s="1"/>
  <c r="CR32" i="5"/>
  <c r="CR41" i="5" s="1"/>
  <c r="CR42" i="5" s="1"/>
  <c r="EF331" i="5"/>
  <c r="BK331" i="5"/>
  <c r="AR331" i="5"/>
  <c r="AR357" i="5" s="1"/>
  <c r="AA331" i="5"/>
  <c r="EN57" i="5"/>
  <c r="D42" i="39"/>
  <c r="H42" i="39" s="1"/>
  <c r="EN55" i="5"/>
  <c r="D40" i="39"/>
  <c r="H40" i="39" s="1"/>
  <c r="EN56" i="5"/>
  <c r="D41" i="39"/>
  <c r="H41" i="39" s="1"/>
  <c r="EN54" i="5"/>
  <c r="D39" i="39"/>
  <c r="F79" i="20"/>
  <c r="F81" i="20" s="1"/>
  <c r="F84" i="20" s="1"/>
  <c r="EN140" i="5"/>
  <c r="J62" i="24"/>
  <c r="BJ271" i="5"/>
  <c r="BJ63" i="5" s="1"/>
  <c r="BH271" i="5"/>
  <c r="EM18" i="5"/>
  <c r="EM43" i="5" s="1"/>
  <c r="EM61" i="5" s="1"/>
  <c r="CU292" i="5"/>
  <c r="BW331" i="5"/>
  <c r="H331" i="5"/>
  <c r="BC331" i="5"/>
  <c r="BJ331" i="5"/>
  <c r="BJ359" i="5" s="1"/>
  <c r="BJ361" i="5" s="1"/>
  <c r="BJ386" i="5" s="1"/>
  <c r="DP27" i="19"/>
  <c r="AA271" i="5"/>
  <c r="CJ258" i="5"/>
  <c r="E18" i="34"/>
  <c r="BP258" i="5"/>
  <c r="BY258" i="5"/>
  <c r="BF100" i="5"/>
  <c r="BG100" i="5" s="1"/>
  <c r="CW271" i="5"/>
  <c r="CW63" i="5" s="1"/>
  <c r="DW63" i="5" s="1"/>
  <c r="D24" i="52"/>
  <c r="G24" i="52" s="1"/>
  <c r="E658" i="65"/>
  <c r="CH32" i="5"/>
  <c r="L23" i="30" s="1"/>
  <c r="CE32" i="5"/>
  <c r="H23" i="30" s="1"/>
  <c r="CP271" i="5"/>
  <c r="CP63" i="5" s="1"/>
  <c r="CL271" i="5"/>
  <c r="CL63" i="5" s="1"/>
  <c r="D53" i="33" s="1"/>
  <c r="BI207" i="5"/>
  <c r="I34" i="8" s="1"/>
  <c r="B27" i="51"/>
  <c r="B35" i="51" s="1"/>
  <c r="E552" i="65"/>
  <c r="CU104" i="4"/>
  <c r="CU131" i="4"/>
  <c r="E635" i="65"/>
  <c r="CU145" i="5"/>
  <c r="CQ136" i="4"/>
  <c r="CQ173" i="4" s="1"/>
  <c r="CU83" i="4"/>
  <c r="CU154" i="4"/>
  <c r="CU171" i="4" s="1"/>
  <c r="CU73" i="4" s="1"/>
  <c r="CQ334" i="5"/>
  <c r="CL334" i="5"/>
  <c r="C106" i="34" s="1"/>
  <c r="CJ93" i="4"/>
  <c r="CJ120" i="4"/>
  <c r="CJ122" i="4"/>
  <c r="BI18" i="5"/>
  <c r="BI43" i="5" s="1"/>
  <c r="BI61" i="5" s="1"/>
  <c r="BI386" i="5"/>
  <c r="D22" i="9"/>
  <c r="E14" i="65"/>
  <c r="BI43" i="4"/>
  <c r="BI59" i="4" s="1"/>
  <c r="BI71" i="4" s="1"/>
  <c r="L106" i="11"/>
  <c r="L107" i="11" s="1"/>
  <c r="BU91" i="19"/>
  <c r="AK218" i="5"/>
  <c r="D23" i="52"/>
  <c r="E806" i="65"/>
  <c r="G807" i="65" s="1"/>
  <c r="BU73" i="4"/>
  <c r="BT73" i="4"/>
  <c r="DU30" i="22"/>
  <c r="DU36" i="22" s="1"/>
  <c r="D26" i="9"/>
  <c r="E17" i="65"/>
  <c r="D21" i="10"/>
  <c r="H57" i="65" s="1"/>
  <c r="E57" i="65"/>
  <c r="G57" i="65" s="1"/>
  <c r="D23" i="53"/>
  <c r="D20" i="53"/>
  <c r="G866" i="65"/>
  <c r="D32" i="53"/>
  <c r="E879" i="65"/>
  <c r="G927" i="65" s="1"/>
  <c r="BY89" i="5"/>
  <c r="BZ89" i="5" s="1"/>
  <c r="E49" i="26"/>
  <c r="BC13" i="5"/>
  <c r="D109" i="14"/>
  <c r="D110" i="14" s="1"/>
  <c r="D112" i="9"/>
  <c r="C7" i="8"/>
  <c r="AR271" i="5"/>
  <c r="AR63" i="5" s="1"/>
  <c r="D64" i="10"/>
  <c r="F204" i="64"/>
  <c r="F206" i="64" s="1"/>
  <c r="F208" i="11"/>
  <c r="F208" i="64"/>
  <c r="H26" i="39"/>
  <c r="AH26" i="39" s="1"/>
  <c r="D30" i="39"/>
  <c r="CK287" i="5"/>
  <c r="CJ293" i="5"/>
  <c r="F31" i="66"/>
  <c r="BY293" i="5"/>
  <c r="F16" i="30"/>
  <c r="F19" i="30" s="1"/>
  <c r="Y271" i="5"/>
  <c r="H36" i="39"/>
  <c r="AH36" i="39" s="1"/>
  <c r="AH37" i="39"/>
  <c r="I39" i="27"/>
  <c r="I52" i="27" s="1"/>
  <c r="M49" i="19"/>
  <c r="CG49" i="19" s="1"/>
  <c r="BT76" i="19"/>
  <c r="AT80" i="19"/>
  <c r="BT44" i="19"/>
  <c r="BT14" i="19"/>
  <c r="X25" i="19"/>
  <c r="CT25" i="19" s="1"/>
  <c r="AI17" i="19"/>
  <c r="DK17" i="19" s="1"/>
  <c r="AI15" i="19"/>
  <c r="DK15" i="19" s="1"/>
  <c r="X21" i="19"/>
  <c r="CT21" i="19" s="1"/>
  <c r="AT31" i="19"/>
  <c r="AI64" i="19"/>
  <c r="DK64" i="19" s="1"/>
  <c r="AI63" i="19"/>
  <c r="DK63" i="19" s="1"/>
  <c r="X78" i="19"/>
  <c r="CT78" i="19" s="1"/>
  <c r="AT49" i="19"/>
  <c r="M80" i="19"/>
  <c r="CG80" i="19" s="1"/>
  <c r="AI25" i="19"/>
  <c r="DK25" i="19" s="1"/>
  <c r="AT68" i="19"/>
  <c r="AT14" i="19"/>
  <c r="M15" i="19"/>
  <c r="CG15" i="19" s="1"/>
  <c r="AT21" i="19"/>
  <c r="AI31" i="19"/>
  <c r="DK31" i="19" s="1"/>
  <c r="BT31" i="19"/>
  <c r="BT15" i="19"/>
  <c r="BT27" i="19"/>
  <c r="AT27" i="19"/>
  <c r="AI49" i="19"/>
  <c r="DK49" i="19" s="1"/>
  <c r="AT53" i="19"/>
  <c r="M63" i="19"/>
  <c r="CG63" i="19" s="1"/>
  <c r="AT78" i="19"/>
  <c r="AT15" i="19"/>
  <c r="DO61" i="22"/>
  <c r="AT37" i="22"/>
  <c r="AT61" i="22"/>
  <c r="BT14" i="22"/>
  <c r="BT55" i="22"/>
  <c r="CT57" i="22"/>
  <c r="X63" i="22"/>
  <c r="CT63" i="22"/>
  <c r="BG57" i="22"/>
  <c r="X32" i="22"/>
  <c r="CT55" i="22"/>
  <c r="AT32" i="22"/>
  <c r="CT27" i="22"/>
  <c r="X27" i="22"/>
  <c r="X57" i="22"/>
  <c r="BT27" i="22"/>
  <c r="CT45" i="22"/>
  <c r="BT49" i="22"/>
  <c r="AI15" i="22"/>
  <c r="AT15" i="22"/>
  <c r="X50" i="22"/>
  <c r="AI50" i="22"/>
  <c r="CT47" i="22"/>
  <c r="CT14" i="22"/>
  <c r="M36" i="6"/>
  <c r="X73" i="4"/>
  <c r="J12" i="5"/>
  <c r="N17" i="22" s="1"/>
  <c r="X12" i="5"/>
  <c r="D73" i="4"/>
  <c r="G271" i="5"/>
  <c r="G63" i="5" s="1"/>
  <c r="W271" i="5"/>
  <c r="F66" i="10"/>
  <c r="F34" i="35"/>
  <c r="BC10" i="5"/>
  <c r="G59" i="70" s="1"/>
  <c r="F19" i="50"/>
  <c r="U22" i="31"/>
  <c r="U62" i="31" s="1"/>
  <c r="U67" i="31" s="1"/>
  <c r="U68" i="31" s="1"/>
  <c r="U70" i="31" s="1"/>
  <c r="CJ11" i="4"/>
  <c r="CJ32" i="4"/>
  <c r="CE56" i="4"/>
  <c r="CJ49" i="4"/>
  <c r="CJ46" i="4"/>
  <c r="L103" i="11"/>
  <c r="L94" i="11"/>
  <c r="L95" i="11" s="1"/>
  <c r="L47" i="5"/>
  <c r="L10" i="5"/>
  <c r="L25" i="5"/>
  <c r="W22" i="4"/>
  <c r="G22" i="4"/>
  <c r="Y49" i="26"/>
  <c r="AC49" i="26"/>
  <c r="I49" i="26"/>
  <c r="Y22" i="4"/>
  <c r="S49" i="26"/>
  <c r="L91" i="11"/>
  <c r="L92" i="11" s="1"/>
  <c r="G58" i="11"/>
  <c r="CF13" i="5"/>
  <c r="CF334" i="5"/>
  <c r="CF89" i="5" s="1"/>
  <c r="CN85" i="5"/>
  <c r="CN84" i="5" s="1"/>
  <c r="CF85" i="5"/>
  <c r="J15" i="29" s="1"/>
  <c r="K71" i="31" s="1"/>
  <c r="K74" i="31" s="1"/>
  <c r="G56" i="11"/>
  <c r="CJ98" i="5"/>
  <c r="C49" i="28"/>
  <c r="G54" i="11"/>
  <c r="CJ99" i="4"/>
  <c r="L172" i="11"/>
  <c r="L169" i="11"/>
  <c r="L170" i="11" s="1"/>
  <c r="L125" i="11"/>
  <c r="L138" i="11"/>
  <c r="L139" i="11" s="1"/>
  <c r="G52" i="11"/>
  <c r="DX173" i="4"/>
  <c r="CJ133" i="4"/>
  <c r="N58" i="25"/>
  <c r="H60" i="23" s="1"/>
  <c r="BY118" i="4"/>
  <c r="CJ125" i="4"/>
  <c r="CD136" i="4"/>
  <c r="CD173" i="4" s="1"/>
  <c r="CO112" i="4"/>
  <c r="CQ112" i="4"/>
  <c r="CU127" i="4"/>
  <c r="CU123" i="4"/>
  <c r="CU119" i="4"/>
  <c r="CU87" i="4"/>
  <c r="BY121" i="4"/>
  <c r="CU88" i="4"/>
  <c r="CJ34" i="4"/>
  <c r="CJ154" i="4"/>
  <c r="CJ171" i="4" s="1"/>
  <c r="BF94" i="4"/>
  <c r="BG94" i="4" s="1"/>
  <c r="BF100" i="4"/>
  <c r="BG100" i="4" s="1"/>
  <c r="Q136" i="4"/>
  <c r="Q173" i="4" s="1"/>
  <c r="J136" i="4"/>
  <c r="J173" i="4" s="1"/>
  <c r="BF133" i="4"/>
  <c r="BG133" i="4" s="1"/>
  <c r="CB112" i="4"/>
  <c r="AS33" i="27"/>
  <c r="BH49" i="4"/>
  <c r="D24" i="27"/>
  <c r="L33" i="24"/>
  <c r="L36" i="24" s="1"/>
  <c r="L15" i="24"/>
  <c r="L23" i="24" s="1"/>
  <c r="BL18" i="5"/>
  <c r="BL43" i="5" s="1"/>
  <c r="BL61" i="5" s="1"/>
  <c r="BL73" i="5" s="1"/>
  <c r="EL114" i="5"/>
  <c r="P60" i="24"/>
  <c r="F60" i="23" s="1"/>
  <c r="BP55" i="5"/>
  <c r="BQ55" i="5" s="1"/>
  <c r="R58" i="32"/>
  <c r="BP66" i="5"/>
  <c r="N60" i="32"/>
  <c r="EH99" i="5"/>
  <c r="EI100" i="5" s="1"/>
  <c r="DB114" i="5"/>
  <c r="H85" i="5"/>
  <c r="H114" i="5" s="1"/>
  <c r="F85" i="5"/>
  <c r="G88" i="5"/>
  <c r="G17" i="19" s="1"/>
  <c r="I88" i="5"/>
  <c r="K17" i="19" s="1"/>
  <c r="K88" i="5"/>
  <c r="P17" i="19" s="1"/>
  <c r="N16" i="33"/>
  <c r="CU141" i="5"/>
  <c r="BC18" i="4"/>
  <c r="BC19" i="4" s="1"/>
  <c r="CJ83" i="4"/>
  <c r="CJ16" i="4"/>
  <c r="CJ13" i="4"/>
  <c r="CB56" i="4"/>
  <c r="BY28" i="4"/>
  <c r="CU48" i="4"/>
  <c r="CU34" i="4"/>
  <c r="CU33" i="4"/>
  <c r="CU11" i="4"/>
  <c r="CJ106" i="4"/>
  <c r="AE112" i="4"/>
  <c r="BF93" i="4"/>
  <c r="BG93" i="4" s="1"/>
  <c r="BF101" i="4"/>
  <c r="BG101" i="4" s="1"/>
  <c r="AC136" i="4"/>
  <c r="AC173" i="4" s="1"/>
  <c r="W136" i="4"/>
  <c r="W173" i="4" s="1"/>
  <c r="S136" i="4"/>
  <c r="S173" i="4" s="1"/>
  <c r="M136" i="4"/>
  <c r="M173" i="4" s="1"/>
  <c r="H136" i="4"/>
  <c r="H173" i="4" s="1"/>
  <c r="AF136" i="4"/>
  <c r="AF173" i="4" s="1"/>
  <c r="BF122" i="4"/>
  <c r="BG122" i="4" s="1"/>
  <c r="CJ110" i="4"/>
  <c r="CJ97" i="4"/>
  <c r="CJ102" i="4"/>
  <c r="CJ101" i="4"/>
  <c r="CJ134" i="4"/>
  <c r="CJ132" i="4"/>
  <c r="CJ126" i="4"/>
  <c r="CF136" i="4"/>
  <c r="CG56" i="4"/>
  <c r="CC56" i="4"/>
  <c r="CU110" i="4"/>
  <c r="CU108" i="4"/>
  <c r="CU105" i="4"/>
  <c r="CU101" i="4"/>
  <c r="CU99" i="4"/>
  <c r="CU97" i="4"/>
  <c r="CU94" i="4"/>
  <c r="CU111" i="4"/>
  <c r="CU134" i="4"/>
  <c r="CU132" i="4"/>
  <c r="CU125" i="4"/>
  <c r="CU121" i="4"/>
  <c r="CU130" i="4"/>
  <c r="CR56" i="4"/>
  <c r="BF92" i="4"/>
  <c r="CP56" i="4"/>
  <c r="BP83" i="4"/>
  <c r="CL18" i="4"/>
  <c r="CO42" i="4"/>
  <c r="CL42" i="4"/>
  <c r="CD41" i="4"/>
  <c r="CF41" i="4"/>
  <c r="CF40" i="5" s="1"/>
  <c r="CQ154" i="5"/>
  <c r="CJ38" i="5"/>
  <c r="EF41" i="5"/>
  <c r="CZ84" i="5"/>
  <c r="CZ114" i="5"/>
  <c r="BF56" i="5"/>
  <c r="BG56" i="5" s="1"/>
  <c r="I157" i="5"/>
  <c r="I172" i="5" s="1"/>
  <c r="G157" i="5"/>
  <c r="G172" i="5" s="1"/>
  <c r="E157" i="5"/>
  <c r="E172" i="5" s="1"/>
  <c r="CJ121" i="4"/>
  <c r="CK121" i="4" s="1"/>
  <c r="P24" i="28"/>
  <c r="I20" i="28"/>
  <c r="BY26" i="4"/>
  <c r="AH136" i="4"/>
  <c r="AH173" i="4" s="1"/>
  <c r="AD136" i="4"/>
  <c r="AD173" i="4" s="1"/>
  <c r="AA136" i="4"/>
  <c r="AA173" i="4" s="1"/>
  <c r="V136" i="4"/>
  <c r="V173" i="4" s="1"/>
  <c r="P136" i="4"/>
  <c r="P173" i="4" s="1"/>
  <c r="I136" i="4"/>
  <c r="I173" i="4" s="1"/>
  <c r="G136" i="4"/>
  <c r="G173" i="4" s="1"/>
  <c r="BK114" i="5"/>
  <c r="BJ157" i="5"/>
  <c r="BJ172" i="5" s="1"/>
  <c r="M112" i="4"/>
  <c r="E112" i="4"/>
  <c r="S73" i="4"/>
  <c r="G66" i="11"/>
  <c r="CN42" i="4"/>
  <c r="CB18" i="4"/>
  <c r="CB19" i="4" s="1"/>
  <c r="CJ10" i="4"/>
  <c r="D69" i="11"/>
  <c r="CJ111" i="4"/>
  <c r="CJ104" i="4"/>
  <c r="CJ108" i="4"/>
  <c r="CJ128" i="4"/>
  <c r="CJ124" i="4"/>
  <c r="CJ119" i="4"/>
  <c r="H16" i="33"/>
  <c r="CE58" i="5"/>
  <c r="CJ48" i="4"/>
  <c r="CJ37" i="4"/>
  <c r="CJ33" i="4"/>
  <c r="CJ31" i="4"/>
  <c r="CJ12" i="4"/>
  <c r="CU49" i="4"/>
  <c r="CU32" i="4"/>
  <c r="CU37" i="4"/>
  <c r="CU16" i="4"/>
  <c r="CU12" i="4"/>
  <c r="CU10" i="4"/>
  <c r="CH56" i="4"/>
  <c r="CF56" i="4"/>
  <c r="CD56" i="4"/>
  <c r="CL56" i="4"/>
  <c r="CN56" i="4"/>
  <c r="CO56" i="4"/>
  <c r="CQ56" i="4"/>
  <c r="CR18" i="4"/>
  <c r="CR19" i="4" s="1"/>
  <c r="CN18" i="4"/>
  <c r="CN19" i="4" s="1"/>
  <c r="CR42" i="4"/>
  <c r="CJ47" i="4"/>
  <c r="CE41" i="4"/>
  <c r="CJ15" i="5"/>
  <c r="E583" i="65" s="1"/>
  <c r="AA59" i="28"/>
  <c r="R35" i="28"/>
  <c r="BC49" i="26"/>
  <c r="D120" i="11"/>
  <c r="D130" i="11"/>
  <c r="E34" i="27"/>
  <c r="AI136" i="4"/>
  <c r="AI173" i="4" s="1"/>
  <c r="AG136" i="4"/>
  <c r="AG173" i="4" s="1"/>
  <c r="E22" i="4"/>
  <c r="BQ292" i="5"/>
  <c r="CH271" i="5"/>
  <c r="JC31" i="26"/>
  <c r="JC54" i="26"/>
  <c r="IE33" i="26"/>
  <c r="CV33" i="26"/>
  <c r="CB33" i="26"/>
  <c r="BV30" i="26"/>
  <c r="CU93" i="4"/>
  <c r="BF84" i="4"/>
  <c r="BG84" i="4" s="1"/>
  <c r="BF98" i="4"/>
  <c r="BG98" i="4" s="1"/>
  <c r="BF99" i="4"/>
  <c r="BF111" i="4"/>
  <c r="BG111" i="4" s="1"/>
  <c r="BF128" i="4"/>
  <c r="BG128" i="4" s="1"/>
  <c r="BF126" i="4"/>
  <c r="BG126" i="4" s="1"/>
  <c r="AE136" i="4"/>
  <c r="AE173" i="4" s="1"/>
  <c r="BF106" i="4"/>
  <c r="BG106" i="4" s="1"/>
  <c r="BR112" i="4"/>
  <c r="BY125" i="4"/>
  <c r="BY120" i="4"/>
  <c r="BY132" i="4"/>
  <c r="BS136" i="4"/>
  <c r="CJ14" i="4"/>
  <c r="BF119" i="4"/>
  <c r="BG119" i="4" s="1"/>
  <c r="CJ98" i="4"/>
  <c r="CF112" i="4"/>
  <c r="CD112" i="4"/>
  <c r="CE112" i="4"/>
  <c r="CH112" i="4"/>
  <c r="CG112" i="4"/>
  <c r="CJ131" i="4"/>
  <c r="CJ123" i="4"/>
  <c r="CJ118" i="4"/>
  <c r="CL112" i="4"/>
  <c r="CU100" i="4"/>
  <c r="CU98" i="4"/>
  <c r="CU126" i="4"/>
  <c r="CU122" i="4"/>
  <c r="CU120" i="4"/>
  <c r="CU133" i="4"/>
  <c r="D112" i="4"/>
  <c r="CJ100" i="4"/>
  <c r="CJ94" i="4"/>
  <c r="CJ127" i="4"/>
  <c r="BY27" i="4"/>
  <c r="N102" i="29"/>
  <c r="J108" i="13" s="1"/>
  <c r="L108" i="13" s="1"/>
  <c r="O114" i="6" s="1"/>
  <c r="G114" i="6" s="1"/>
  <c r="I114" i="6" s="1"/>
  <c r="N60" i="29"/>
  <c r="J61" i="13" s="1"/>
  <c r="L61" i="13" s="1"/>
  <c r="O71" i="6" s="1"/>
  <c r="G71" i="6" s="1"/>
  <c r="N107" i="29"/>
  <c r="J113" i="13" s="1"/>
  <c r="L113" i="13" s="1"/>
  <c r="O126" i="6" s="1"/>
  <c r="G126" i="6" s="1"/>
  <c r="DP68" i="19"/>
  <c r="EF114" i="5"/>
  <c r="R65" i="32"/>
  <c r="N73" i="29"/>
  <c r="J75" i="13" s="1"/>
  <c r="T55" i="33"/>
  <c r="N59" i="14" s="1"/>
  <c r="T33" i="33"/>
  <c r="T70" i="33" s="1"/>
  <c r="T137" i="34"/>
  <c r="CU149" i="5"/>
  <c r="CJ314" i="5"/>
  <c r="CJ254" i="5"/>
  <c r="BP292" i="5"/>
  <c r="BP293" i="5" s="1"/>
  <c r="CD73" i="4"/>
  <c r="G168" i="11"/>
  <c r="E174" i="11"/>
  <c r="C59" i="28"/>
  <c r="E55" i="28"/>
  <c r="CJ56" i="5"/>
  <c r="E588" i="65" s="1"/>
  <c r="D41" i="52"/>
  <c r="CO89" i="5"/>
  <c r="I19" i="32" s="1"/>
  <c r="CO334" i="5"/>
  <c r="I106" i="34" s="1"/>
  <c r="CM89" i="5"/>
  <c r="E15" i="34" s="1"/>
  <c r="CM334" i="5"/>
  <c r="J14" i="18"/>
  <c r="G16" i="52"/>
  <c r="H72" i="29"/>
  <c r="CH14" i="19"/>
  <c r="CH37" i="19" s="1"/>
  <c r="AP114" i="5"/>
  <c r="AL75" i="4"/>
  <c r="AL177" i="4"/>
  <c r="AL178" i="4" s="1"/>
  <c r="H32" i="36"/>
  <c r="F34" i="36"/>
  <c r="H34" i="36" s="1"/>
  <c r="DO49" i="26"/>
  <c r="AC22" i="4"/>
  <c r="CF30" i="26"/>
  <c r="U22" i="4"/>
  <c r="HA35" i="26"/>
  <c r="BC41" i="4"/>
  <c r="HY39" i="26"/>
  <c r="AZ25" i="4"/>
  <c r="EN39" i="26"/>
  <c r="AH25" i="4"/>
  <c r="BV39" i="26"/>
  <c r="S25" i="4"/>
  <c r="L194" i="11"/>
  <c r="D45" i="33"/>
  <c r="CU46" i="4"/>
  <c r="E21" i="27"/>
  <c r="L141" i="11"/>
  <c r="P17" i="30"/>
  <c r="F19" i="15"/>
  <c r="G50" i="11"/>
  <c r="E62" i="11"/>
  <c r="D25" i="30"/>
  <c r="CB41" i="4"/>
  <c r="S61" i="4"/>
  <c r="S67" i="4" s="1"/>
  <c r="BU69" i="26"/>
  <c r="Q61" i="4"/>
  <c r="Q67" i="4" s="1"/>
  <c r="BK69" i="26"/>
  <c r="M61" i="4"/>
  <c r="M67" i="4" s="1"/>
  <c r="AS69" i="26"/>
  <c r="J61" i="4"/>
  <c r="J67" i="4" s="1"/>
  <c r="AC69" i="26"/>
  <c r="CJ88" i="4"/>
  <c r="CK88" i="4" s="1"/>
  <c r="BR334" i="5"/>
  <c r="BR88" i="5" s="1"/>
  <c r="N17" i="9" s="1"/>
  <c r="BY86" i="4"/>
  <c r="BZ86" i="4" s="1"/>
  <c r="H18" i="20"/>
  <c r="BP89" i="5"/>
  <c r="F334" i="5"/>
  <c r="F88" i="5" s="1"/>
  <c r="BF86" i="4"/>
  <c r="AR63" i="22"/>
  <c r="J68" i="10"/>
  <c r="AR59" i="22"/>
  <c r="AR61" i="22" s="1"/>
  <c r="J64" i="10"/>
  <c r="J66" i="10" s="1"/>
  <c r="K57" i="22"/>
  <c r="K61" i="22" s="1"/>
  <c r="G57" i="22"/>
  <c r="G61" i="22" s="1"/>
  <c r="DU41" i="22"/>
  <c r="DU52" i="22" s="1"/>
  <c r="BD58" i="5"/>
  <c r="DU15" i="22"/>
  <c r="DU23" i="22" s="1"/>
  <c r="BD18" i="5"/>
  <c r="N47" i="22"/>
  <c r="BF55" i="5"/>
  <c r="BG55" i="5" s="1"/>
  <c r="BR85" i="5"/>
  <c r="K15" i="19"/>
  <c r="G15" i="19"/>
  <c r="S16" i="37"/>
  <c r="S23" i="37" s="1"/>
  <c r="DL84" i="5"/>
  <c r="BA12" i="4"/>
  <c r="BA12" i="5" s="1"/>
  <c r="ID24" i="26"/>
  <c r="BA28" i="4"/>
  <c r="BA28" i="5" s="1"/>
  <c r="DO33" i="22" s="1"/>
  <c r="IE46" i="26"/>
  <c r="BA14" i="4"/>
  <c r="BA14" i="5" s="1"/>
  <c r="DO19" i="22" s="1"/>
  <c r="IE20" i="26"/>
  <c r="AF14" i="5"/>
  <c r="BH19" i="22" s="1"/>
  <c r="EQ14" i="5"/>
  <c r="AF16" i="5"/>
  <c r="BH21" i="22" s="1"/>
  <c r="EQ16" i="5"/>
  <c r="U10" i="4"/>
  <c r="CE24" i="26"/>
  <c r="BA46" i="4"/>
  <c r="BA46" i="5" s="1"/>
  <c r="DO41" i="22" s="1"/>
  <c r="ID59" i="26"/>
  <c r="AC46" i="4"/>
  <c r="AC46" i="5" s="1"/>
  <c r="AY41" i="22" s="1"/>
  <c r="DO59" i="26"/>
  <c r="BB58" i="5"/>
  <c r="AA47" i="4"/>
  <c r="DE59" i="26"/>
  <c r="Y47" i="4"/>
  <c r="CU59" i="26"/>
  <c r="V47" i="4"/>
  <c r="CK59" i="26"/>
  <c r="BA48" i="4"/>
  <c r="BA50" i="5" s="1"/>
  <c r="IE56" i="26"/>
  <c r="X50" i="5"/>
  <c r="F46" i="10" s="1"/>
  <c r="X56" i="4"/>
  <c r="AY17" i="22"/>
  <c r="Z12" i="4"/>
  <c r="CY24" i="26"/>
  <c r="W12" i="4"/>
  <c r="CO24" i="26"/>
  <c r="P29" i="5"/>
  <c r="P13" i="5"/>
  <c r="BT37" i="22"/>
  <c r="X37" i="22"/>
  <c r="EF58" i="5"/>
  <c r="D68" i="10"/>
  <c r="AI44" i="19"/>
  <c r="DK44" i="19" s="1"/>
  <c r="X61" i="22"/>
  <c r="BT61" i="22"/>
  <c r="AT14" i="22"/>
  <c r="M68" i="19"/>
  <c r="CG68" i="19" s="1"/>
  <c r="X34" i="22"/>
  <c r="AT34" i="22"/>
  <c r="BY25" i="4"/>
  <c r="AI34" i="22"/>
  <c r="AT56" i="19"/>
  <c r="AT46" i="19"/>
  <c r="X46" i="19"/>
  <c r="CT46" i="19" s="1"/>
  <c r="AI47" i="19"/>
  <c r="DK47" i="19" s="1"/>
  <c r="M47" i="19"/>
  <c r="CG47" i="19" s="1"/>
  <c r="P49" i="28"/>
  <c r="G49" i="28"/>
  <c r="H24" i="28"/>
  <c r="E33" i="27"/>
  <c r="M53" i="19"/>
  <c r="CG53" i="19" s="1"/>
  <c r="BT53" i="19"/>
  <c r="BT63" i="19"/>
  <c r="E46" i="11"/>
  <c r="C37" i="27"/>
  <c r="E31" i="27"/>
  <c r="P59" i="28"/>
  <c r="CR136" i="4"/>
  <c r="CR173" i="4" s="1"/>
  <c r="K73" i="4"/>
  <c r="H73" i="4"/>
  <c r="CU106" i="4"/>
  <c r="CB136" i="4"/>
  <c r="CB173" i="4" s="1"/>
  <c r="CE136" i="4"/>
  <c r="CE173" i="4" s="1"/>
  <c r="CG136" i="4"/>
  <c r="CG173" i="4" s="1"/>
  <c r="CU117" i="4"/>
  <c r="CU14" i="4"/>
  <c r="CJ84" i="4"/>
  <c r="J112" i="4"/>
  <c r="H112" i="4"/>
  <c r="F112" i="4"/>
  <c r="T136" i="4"/>
  <c r="T173" i="4" s="1"/>
  <c r="R136" i="4"/>
  <c r="R173" i="4" s="1"/>
  <c r="K136" i="4"/>
  <c r="K173" i="4" s="1"/>
  <c r="T112" i="4"/>
  <c r="X136" i="4"/>
  <c r="X173" i="4" s="1"/>
  <c r="BF117" i="4"/>
  <c r="BG117" i="4" s="1"/>
  <c r="BH26" i="4"/>
  <c r="BP26" i="4" s="1"/>
  <c r="BH23" i="4"/>
  <c r="BP23" i="4" s="1"/>
  <c r="CQ18" i="4"/>
  <c r="CQ19" i="4" s="1"/>
  <c r="CO18" i="4"/>
  <c r="CO19" i="4" s="1"/>
  <c r="JB59" i="26"/>
  <c r="JA24" i="26"/>
  <c r="E40" i="12"/>
  <c r="BR61" i="4"/>
  <c r="BT61" i="4"/>
  <c r="BT67" i="4" s="1"/>
  <c r="G186" i="11"/>
  <c r="E43" i="27"/>
  <c r="E17" i="27"/>
  <c r="CR334" i="5"/>
  <c r="CP334" i="5"/>
  <c r="N106" i="34" s="1"/>
  <c r="E42" i="27"/>
  <c r="CH41" i="4"/>
  <c r="R56" i="28"/>
  <c r="I54" i="28"/>
  <c r="D59" i="28"/>
  <c r="E17" i="28"/>
  <c r="ID49" i="26"/>
  <c r="AI51" i="3"/>
  <c r="G17" i="34"/>
  <c r="F37" i="12"/>
  <c r="F35" i="12"/>
  <c r="F18" i="12"/>
  <c r="F32" i="12"/>
  <c r="CC18" i="4"/>
  <c r="CC19" i="4" s="1"/>
  <c r="BF66" i="5"/>
  <c r="G103" i="11"/>
  <c r="G125" i="11"/>
  <c r="G162" i="11"/>
  <c r="I17" i="28"/>
  <c r="R18" i="28"/>
  <c r="I32" i="28"/>
  <c r="R29" i="28"/>
  <c r="G18" i="11"/>
  <c r="G16" i="11"/>
  <c r="DW88" i="4"/>
  <c r="EE88" i="4" s="1"/>
  <c r="U331" i="5"/>
  <c r="AU271" i="5"/>
  <c r="AG271" i="5"/>
  <c r="AG63" i="5" s="1"/>
  <c r="AD271" i="5"/>
  <c r="E271" i="5"/>
  <c r="H271" i="5"/>
  <c r="R271" i="5"/>
  <c r="R63" i="5" s="1"/>
  <c r="M271" i="5"/>
  <c r="T271" i="5"/>
  <c r="BD41" i="5"/>
  <c r="BF258" i="5"/>
  <c r="D271" i="5"/>
  <c r="D63" i="5" s="1"/>
  <c r="BF292" i="5"/>
  <c r="BF293" i="5" s="1"/>
  <c r="J331" i="5"/>
  <c r="E331" i="5"/>
  <c r="BF93" i="5"/>
  <c r="BG93" i="5" s="1"/>
  <c r="V271" i="5"/>
  <c r="BA271" i="5"/>
  <c r="J271" i="5"/>
  <c r="P271" i="5"/>
  <c r="P63" i="5" s="1"/>
  <c r="BB18" i="5"/>
  <c r="BB19" i="5" s="1"/>
  <c r="I74" i="70" s="1"/>
  <c r="C53" i="34"/>
  <c r="T53" i="34" s="1"/>
  <c r="N57" i="15" s="1"/>
  <c r="H62" i="24"/>
  <c r="T75" i="13"/>
  <c r="T113" i="29"/>
  <c r="L68" i="13"/>
  <c r="O76" i="6" s="1"/>
  <c r="G76" i="6" s="1"/>
  <c r="CU33" i="22"/>
  <c r="AR28" i="5"/>
  <c r="CL33" i="22" s="1"/>
  <c r="AV28" i="5"/>
  <c r="CW33" i="22" s="1"/>
  <c r="AS28" i="5"/>
  <c r="CN33" i="22" s="1"/>
  <c r="L26" i="15"/>
  <c r="BY370" i="5"/>
  <c r="BZ370" i="5" s="1"/>
  <c r="BY382" i="5"/>
  <c r="Z21" i="39"/>
  <c r="Z33" i="39" s="1"/>
  <c r="Z46" i="39" s="1"/>
  <c r="F58" i="15"/>
  <c r="D49" i="38"/>
  <c r="C115" i="38" s="1"/>
  <c r="F32" i="7"/>
  <c r="CK285" i="5"/>
  <c r="X331" i="5"/>
  <c r="CU314" i="5"/>
  <c r="F112" i="14"/>
  <c r="CC176" i="5"/>
  <c r="DT332" i="5"/>
  <c r="CH90" i="19"/>
  <c r="AP216" i="5"/>
  <c r="AP180" i="4"/>
  <c r="AP182" i="4" s="1"/>
  <c r="CG85" i="5"/>
  <c r="L16" i="29"/>
  <c r="M56" i="31" s="1"/>
  <c r="M60" i="31" s="1"/>
  <c r="CC85" i="5"/>
  <c r="H15" i="13" s="1"/>
  <c r="H73" i="15" s="1"/>
  <c r="CJ86" i="5"/>
  <c r="CJ83" i="5" s="1"/>
  <c r="DS84" i="5"/>
  <c r="AH39" i="10"/>
  <c r="AH60" i="10" s="1"/>
  <c r="P27" i="5"/>
  <c r="E24" i="4"/>
  <c r="E32" i="28"/>
  <c r="E35" i="28"/>
  <c r="E56" i="28"/>
  <c r="E18" i="28"/>
  <c r="E22" i="28"/>
  <c r="E33" i="28"/>
  <c r="E36" i="28"/>
  <c r="IE44" i="26"/>
  <c r="IE41" i="26"/>
  <c r="IE38" i="26"/>
  <c r="HK39" i="26"/>
  <c r="CF39" i="26"/>
  <c r="IE32" i="26"/>
  <c r="DZ32" i="26"/>
  <c r="CV32" i="26"/>
  <c r="CB32" i="26"/>
  <c r="IE29" i="26"/>
  <c r="HA29" i="26"/>
  <c r="EJ29" i="26"/>
  <c r="DZ29" i="26"/>
  <c r="V22" i="4"/>
  <c r="CL29" i="26"/>
  <c r="T22" i="4"/>
  <c r="CB29" i="26"/>
  <c r="Z22" i="4"/>
  <c r="CZ30" i="26"/>
  <c r="AD24" i="4"/>
  <c r="DT35" i="26"/>
  <c r="AA24" i="4"/>
  <c r="DF35" i="26"/>
  <c r="Y24" i="4"/>
  <c r="CV35" i="26"/>
  <c r="V24" i="4"/>
  <c r="CL35" i="26"/>
  <c r="T24" i="4"/>
  <c r="CB35" i="26"/>
  <c r="AI25" i="4"/>
  <c r="ET38" i="26"/>
  <c r="AG25" i="4"/>
  <c r="EJ38" i="26"/>
  <c r="T25" i="4"/>
  <c r="CB38" i="26"/>
  <c r="HA41" i="26"/>
  <c r="AR26" i="4"/>
  <c r="GL41" i="26"/>
  <c r="Y26" i="4"/>
  <c r="CV41" i="26"/>
  <c r="T26" i="4"/>
  <c r="CB41" i="26"/>
  <c r="IE54" i="26"/>
  <c r="IC59" i="26"/>
  <c r="IC24" i="26"/>
  <c r="AC61" i="4"/>
  <c r="AC67" i="4" s="1"/>
  <c r="DO69" i="26"/>
  <c r="BA61" i="4"/>
  <c r="ID69" i="26"/>
  <c r="E59" i="26"/>
  <c r="G10" i="4"/>
  <c r="O24" i="26"/>
  <c r="I10" i="4"/>
  <c r="Y24" i="26"/>
  <c r="K10" i="4"/>
  <c r="K10" i="5" s="1"/>
  <c r="AI24" i="26"/>
  <c r="Q10" i="4"/>
  <c r="BK24" i="26"/>
  <c r="DC17" i="22"/>
  <c r="F42" i="10"/>
  <c r="BA13" i="4"/>
  <c r="BA13" i="5" s="1"/>
  <c r="DO18" i="22" s="1"/>
  <c r="IE19" i="26"/>
  <c r="BA11" i="4"/>
  <c r="BA11" i="5" s="1"/>
  <c r="DO16" i="22" s="1"/>
  <c r="IE17" i="26"/>
  <c r="AJ16" i="22"/>
  <c r="S11" i="4"/>
  <c r="BU24" i="26"/>
  <c r="M11" i="4"/>
  <c r="AS24" i="26"/>
  <c r="J11" i="4"/>
  <c r="AC24" i="26"/>
  <c r="H11" i="4"/>
  <c r="S24" i="26"/>
  <c r="F11" i="4"/>
  <c r="I24" i="26"/>
  <c r="X11" i="5"/>
  <c r="DE49" i="26"/>
  <c r="DF29" i="26"/>
  <c r="AR10" i="5"/>
  <c r="AF10" i="5"/>
  <c r="EQ10" i="5"/>
  <c r="V10" i="4"/>
  <c r="CK24" i="26"/>
  <c r="T10" i="4"/>
  <c r="CA24" i="26"/>
  <c r="BN41" i="22"/>
  <c r="BA41" i="22"/>
  <c r="T46" i="4"/>
  <c r="CA59" i="26"/>
  <c r="R46" i="4"/>
  <c r="BQ59" i="26"/>
  <c r="K46" i="4"/>
  <c r="AI59" i="26"/>
  <c r="I46" i="4"/>
  <c r="Y59" i="26"/>
  <c r="G46" i="4"/>
  <c r="O59" i="26"/>
  <c r="BL42" i="22"/>
  <c r="AC47" i="5"/>
  <c r="Z47" i="4"/>
  <c r="CY59" i="26"/>
  <c r="W47" i="4"/>
  <c r="CO59" i="26"/>
  <c r="U47" i="4"/>
  <c r="CE59" i="26"/>
  <c r="S47" i="4"/>
  <c r="BU59" i="26"/>
  <c r="Q47" i="4"/>
  <c r="Q47" i="5" s="1"/>
  <c r="BK59" i="26"/>
  <c r="M47" i="4"/>
  <c r="AS59" i="26"/>
  <c r="J47" i="4"/>
  <c r="AC59" i="26"/>
  <c r="H47" i="4"/>
  <c r="S59" i="26"/>
  <c r="F47" i="4"/>
  <c r="I59" i="26"/>
  <c r="BA15" i="4"/>
  <c r="BA15" i="5" s="1"/>
  <c r="DO20" i="22" s="1"/>
  <c r="IE21" i="26"/>
  <c r="BN17" i="22"/>
  <c r="BJ17" i="22"/>
  <c r="BC17" i="22"/>
  <c r="Y12" i="4"/>
  <c r="CU24" i="26"/>
  <c r="R12" i="4"/>
  <c r="BQ24" i="26"/>
  <c r="P16" i="5"/>
  <c r="P14" i="5"/>
  <c r="BC24" i="26"/>
  <c r="E24" i="26"/>
  <c r="BC59" i="26"/>
  <c r="O25" i="4"/>
  <c r="O29" i="4"/>
  <c r="O29" i="5" s="1"/>
  <c r="O14" i="4"/>
  <c r="O14" i="5" s="1"/>
  <c r="Y19" i="22" s="1"/>
  <c r="O13" i="4"/>
  <c r="O13" i="5" s="1"/>
  <c r="Y18" i="22" s="1"/>
  <c r="O16" i="4"/>
  <c r="O16" i="5" s="1"/>
  <c r="Y21" i="22" s="1"/>
  <c r="O10" i="4"/>
  <c r="O10" i="5" s="1"/>
  <c r="Y15" i="22" s="1"/>
  <c r="O46" i="4"/>
  <c r="O46" i="5" s="1"/>
  <c r="O12" i="4"/>
  <c r="O12" i="5" s="1"/>
  <c r="Y17" i="22" s="1"/>
  <c r="O28" i="4"/>
  <c r="O28" i="5" s="1"/>
  <c r="Y33" i="22" s="1"/>
  <c r="O11" i="4"/>
  <c r="O11" i="5" s="1"/>
  <c r="Y16" i="22" s="1"/>
  <c r="O47" i="4"/>
  <c r="O47" i="5" s="1"/>
  <c r="Y42" i="22" s="1"/>
  <c r="O15" i="4"/>
  <c r="O15" i="5" s="1"/>
  <c r="Y20" i="22" s="1"/>
  <c r="Y27" i="37"/>
  <c r="BY105" i="4"/>
  <c r="BY134" i="4"/>
  <c r="BY130" i="4"/>
  <c r="BY128" i="4"/>
  <c r="BY126" i="4"/>
  <c r="BY124" i="4"/>
  <c r="BY122" i="4"/>
  <c r="BY119" i="4"/>
  <c r="DF173" i="4"/>
  <c r="DF175" i="4" s="1"/>
  <c r="DC61" i="22"/>
  <c r="CY61" i="22"/>
  <c r="CW61" i="22"/>
  <c r="CN61" i="22"/>
  <c r="BP61" i="22"/>
  <c r="BL61" i="22"/>
  <c r="BH61" i="22"/>
  <c r="AY61" i="22"/>
  <c r="AN61" i="22"/>
  <c r="AJ61" i="22"/>
  <c r="AE61" i="22"/>
  <c r="CK49" i="26"/>
  <c r="J15" i="20"/>
  <c r="J28" i="20"/>
  <c r="EN138" i="5"/>
  <c r="N32" i="29"/>
  <c r="J32" i="13" s="1"/>
  <c r="L32" i="13" s="1"/>
  <c r="O30" i="6" s="1"/>
  <c r="CJ100" i="5"/>
  <c r="E19" i="27"/>
  <c r="E48" i="27"/>
  <c r="C70" i="34"/>
  <c r="D18" i="9"/>
  <c r="R31" i="32"/>
  <c r="R18" i="32"/>
  <c r="E18" i="27"/>
  <c r="E22" i="27"/>
  <c r="E20" i="27"/>
  <c r="E35" i="27"/>
  <c r="E44" i="27"/>
  <c r="AJ31" i="19"/>
  <c r="BF103" i="5"/>
  <c r="BG103" i="5" s="1"/>
  <c r="J112" i="11"/>
  <c r="J113" i="11" s="1"/>
  <c r="R32" i="32"/>
  <c r="R35" i="32"/>
  <c r="N35" i="13" s="1"/>
  <c r="E32" i="27"/>
  <c r="AT37" i="19"/>
  <c r="M73" i="19"/>
  <c r="CG73" i="19" s="1"/>
  <c r="R67" i="13"/>
  <c r="M334" i="5"/>
  <c r="M157" i="5" s="1"/>
  <c r="CJ92" i="4"/>
  <c r="P334" i="5"/>
  <c r="BH88" i="5"/>
  <c r="BR189" i="5"/>
  <c r="N112" i="9" s="1"/>
  <c r="J12" i="8" s="1"/>
  <c r="CK107" i="5"/>
  <c r="CK106" i="5" s="1"/>
  <c r="AS11" i="3"/>
  <c r="T88" i="34"/>
  <c r="N93" i="15" s="1"/>
  <c r="T63" i="34"/>
  <c r="N67" i="15" s="1"/>
  <c r="O47" i="31"/>
  <c r="J49" i="15" s="1"/>
  <c r="L49" i="15" s="1"/>
  <c r="O112" i="31"/>
  <c r="J116" i="15" s="1"/>
  <c r="O114" i="31"/>
  <c r="J120" i="15" s="1"/>
  <c r="L120" i="15" s="1"/>
  <c r="T45" i="34"/>
  <c r="N49" i="15" s="1"/>
  <c r="T44" i="34"/>
  <c r="N48" i="15" s="1"/>
  <c r="O46" i="31"/>
  <c r="J48" i="15" s="1"/>
  <c r="L48" i="15" s="1"/>
  <c r="AE61" i="4"/>
  <c r="AE67" i="4" s="1"/>
  <c r="H17" i="35"/>
  <c r="CU232" i="5"/>
  <c r="AA61" i="22"/>
  <c r="T61" i="22"/>
  <c r="N61" i="22"/>
  <c r="E61" i="22"/>
  <c r="R80" i="32"/>
  <c r="F39" i="14"/>
  <c r="P39" i="30" s="1"/>
  <c r="AP34" i="22"/>
  <c r="CJ93" i="5"/>
  <c r="H75" i="13"/>
  <c r="R69" i="13" s="1"/>
  <c r="L38" i="29"/>
  <c r="M41" i="31" s="1"/>
  <c r="S331" i="5"/>
  <c r="S132" i="5"/>
  <c r="AE46" i="19" s="1"/>
  <c r="BJ5" i="3"/>
  <c r="AY15" i="19"/>
  <c r="R85" i="5"/>
  <c r="T15" i="19"/>
  <c r="D136" i="4"/>
  <c r="D173" i="4" s="1"/>
  <c r="W85" i="5"/>
  <c r="W84" i="5" s="1"/>
  <c r="S85" i="5"/>
  <c r="H59" i="28"/>
  <c r="BU13" i="4"/>
  <c r="BU13" i="5" s="1"/>
  <c r="H69" i="28"/>
  <c r="BT48" i="4"/>
  <c r="BT50" i="5" s="1"/>
  <c r="F45" i="25" s="1"/>
  <c r="BT47" i="4"/>
  <c r="BT47" i="5" s="1"/>
  <c r="F42" i="25" s="1"/>
  <c r="BU46" i="5"/>
  <c r="H41" i="25" s="1"/>
  <c r="BS46" i="4"/>
  <c r="BS46" i="5" s="1"/>
  <c r="BT15" i="4"/>
  <c r="BT15" i="5" s="1"/>
  <c r="BU11" i="4"/>
  <c r="BU11" i="5" s="1"/>
  <c r="H16" i="25" s="1"/>
  <c r="BS11" i="4"/>
  <c r="BS11" i="5" s="1"/>
  <c r="D16" i="25" s="1"/>
  <c r="BU16" i="4"/>
  <c r="BU16" i="5" s="1"/>
  <c r="H21" i="25" s="1"/>
  <c r="BS16" i="4"/>
  <c r="BS16" i="5" s="1"/>
  <c r="D21" i="25" s="1"/>
  <c r="BU12" i="4"/>
  <c r="BU12" i="5" s="1"/>
  <c r="H17" i="25" s="1"/>
  <c r="BS12" i="4"/>
  <c r="BS12" i="5" s="1"/>
  <c r="D17" i="25" s="1"/>
  <c r="BT10" i="4"/>
  <c r="BT10" i="5" s="1"/>
  <c r="F15" i="25" s="1"/>
  <c r="BR47" i="5"/>
  <c r="N43" i="10" s="1"/>
  <c r="BR15" i="5"/>
  <c r="BR16" i="4"/>
  <c r="BR16" i="5" s="1"/>
  <c r="N22" i="10" s="1"/>
  <c r="BR13" i="4"/>
  <c r="BR10" i="4"/>
  <c r="BR10" i="5" s="1"/>
  <c r="BU48" i="4"/>
  <c r="BU50" i="5" s="1"/>
  <c r="H45" i="25" s="1"/>
  <c r="BS48" i="4"/>
  <c r="BS50" i="5" s="1"/>
  <c r="D45" i="25" s="1"/>
  <c r="BU47" i="4"/>
  <c r="BU47" i="5" s="1"/>
  <c r="H42" i="25" s="1"/>
  <c r="BS47" i="4"/>
  <c r="BS47" i="5" s="1"/>
  <c r="BT46" i="4"/>
  <c r="BT46" i="5" s="1"/>
  <c r="BU15" i="4"/>
  <c r="BU15" i="5" s="1"/>
  <c r="H20" i="25" s="1"/>
  <c r="BS15" i="4"/>
  <c r="BS15" i="5" s="1"/>
  <c r="D20" i="25" s="1"/>
  <c r="BT11" i="4"/>
  <c r="BT11" i="5" s="1"/>
  <c r="F16" i="25" s="1"/>
  <c r="BT16" i="4"/>
  <c r="BT16" i="5" s="1"/>
  <c r="F21" i="25" s="1"/>
  <c r="BT12" i="4"/>
  <c r="BU10" i="4"/>
  <c r="BU10" i="5" s="1"/>
  <c r="H15" i="25" s="1"/>
  <c r="BS10" i="4"/>
  <c r="BS10" i="5" s="1"/>
  <c r="D15" i="25" s="1"/>
  <c r="BR48" i="4"/>
  <c r="BR50" i="5" s="1"/>
  <c r="BR46" i="4"/>
  <c r="BR46" i="5" s="1"/>
  <c r="N42" i="10" s="1"/>
  <c r="BR11" i="4"/>
  <c r="BR11" i="5" s="1"/>
  <c r="N17" i="10" s="1"/>
  <c r="BR14" i="4"/>
  <c r="BY14" i="4" s="1"/>
  <c r="BR12" i="4"/>
  <c r="BR12" i="5" s="1"/>
  <c r="BR54" i="5"/>
  <c r="BY27" i="5"/>
  <c r="BZ27" i="5" s="1"/>
  <c r="BY104" i="4"/>
  <c r="BY133" i="4"/>
  <c r="BY131" i="4"/>
  <c r="BY117" i="4"/>
  <c r="BY84" i="4"/>
  <c r="BZ84" i="4" s="1"/>
  <c r="Z73" i="4"/>
  <c r="BR136" i="4"/>
  <c r="BR173" i="4" s="1"/>
  <c r="BY37" i="19"/>
  <c r="R112" i="4"/>
  <c r="BP171" i="4"/>
  <c r="BP73" i="4" s="1"/>
  <c r="AU331" i="5"/>
  <c r="AU356" i="5" s="1"/>
  <c r="DA61" i="22"/>
  <c r="CU61" i="22"/>
  <c r="CL61" i="22"/>
  <c r="BN61" i="22"/>
  <c r="BJ61" i="22"/>
  <c r="BC61" i="22"/>
  <c r="BA61" i="22"/>
  <c r="AU61" i="22"/>
  <c r="AP61" i="22"/>
  <c r="AL61" i="22"/>
  <c r="AG61" i="22"/>
  <c r="AC61" i="22"/>
  <c r="Y61" i="22"/>
  <c r="P61" i="22"/>
  <c r="E61" i="4"/>
  <c r="E67" i="4" s="1"/>
  <c r="D32" i="33"/>
  <c r="DG173" i="4"/>
  <c r="DG175" i="4" s="1"/>
  <c r="DA173" i="4"/>
  <c r="DA175" i="4" s="1"/>
  <c r="J73" i="4"/>
  <c r="M73" i="4"/>
  <c r="I112" i="4"/>
  <c r="G112" i="4"/>
  <c r="U112" i="4"/>
  <c r="S112" i="4"/>
  <c r="Q112" i="4"/>
  <c r="K112" i="4"/>
  <c r="P11" i="5"/>
  <c r="K112" i="11"/>
  <c r="J117" i="11"/>
  <c r="K141" i="11"/>
  <c r="J138" i="11"/>
  <c r="J139" i="11" s="1"/>
  <c r="J172" i="11"/>
  <c r="E181" i="11"/>
  <c r="J103" i="11"/>
  <c r="K94" i="11"/>
  <c r="J144" i="11"/>
  <c r="J145" i="11" s="1"/>
  <c r="K172" i="11"/>
  <c r="J162" i="11"/>
  <c r="J163" i="11" s="1"/>
  <c r="R20" i="28"/>
  <c r="EE41" i="4"/>
  <c r="H41" i="14"/>
  <c r="Q85" i="5"/>
  <c r="Q84" i="5" s="1"/>
  <c r="N35" i="10"/>
  <c r="F77" i="13"/>
  <c r="T85" i="5"/>
  <c r="T84" i="5" s="1"/>
  <c r="AT85" i="19"/>
  <c r="X85" i="19"/>
  <c r="CT85" i="19" s="1"/>
  <c r="H28" i="31"/>
  <c r="CE12" i="5"/>
  <c r="H33" i="30" s="1"/>
  <c r="F28" i="31"/>
  <c r="CD12" i="5"/>
  <c r="F33" i="30" s="1"/>
  <c r="BH61" i="4"/>
  <c r="AR60" i="27"/>
  <c r="BQ335" i="5"/>
  <c r="E30" i="32"/>
  <c r="BH12" i="4"/>
  <c r="BH12" i="5" s="1"/>
  <c r="BH47" i="4"/>
  <c r="BH47" i="5" s="1"/>
  <c r="D42" i="24" s="1"/>
  <c r="BH46" i="4"/>
  <c r="BH46" i="5" s="1"/>
  <c r="D41" i="24" s="1"/>
  <c r="BH48" i="4"/>
  <c r="BH50" i="5" s="1"/>
  <c r="AS44" i="27"/>
  <c r="BH28" i="4"/>
  <c r="BH28" i="5" s="1"/>
  <c r="AS34" i="27"/>
  <c r="BH24" i="4"/>
  <c r="BP24" i="4" s="1"/>
  <c r="AS30" i="27"/>
  <c r="BH14" i="4"/>
  <c r="BH14" i="5" s="1"/>
  <c r="D19" i="24" s="1"/>
  <c r="AS20" i="27"/>
  <c r="BH11" i="4"/>
  <c r="BH11" i="5" s="1"/>
  <c r="D16" i="24" s="1"/>
  <c r="AS17" i="27"/>
  <c r="D37" i="33"/>
  <c r="C41" i="34" s="1"/>
  <c r="J75" i="29"/>
  <c r="K20" i="31" s="1"/>
  <c r="O20" i="31" s="1"/>
  <c r="J20" i="15" s="1"/>
  <c r="CL50" i="5"/>
  <c r="D36" i="33" s="1"/>
  <c r="F30" i="13"/>
  <c r="P16" i="32"/>
  <c r="R54" i="34" s="1"/>
  <c r="R58" i="34" s="1"/>
  <c r="CP85" i="5"/>
  <c r="CE85" i="5"/>
  <c r="BW85" i="5"/>
  <c r="L14" i="21" s="1"/>
  <c r="L37" i="21" s="1"/>
  <c r="BA35" i="3" s="1"/>
  <c r="BJ15" i="19"/>
  <c r="AE85" i="5"/>
  <c r="BA15" i="19"/>
  <c r="AA85" i="5"/>
  <c r="Y15" i="19"/>
  <c r="G85" i="5"/>
  <c r="C15" i="19"/>
  <c r="AY34" i="22"/>
  <c r="AN34" i="22"/>
  <c r="AP84" i="5"/>
  <c r="AS42" i="27"/>
  <c r="J169" i="11"/>
  <c r="J170" i="11" s="1"/>
  <c r="L16" i="32"/>
  <c r="N54" i="34" s="1"/>
  <c r="BH15" i="4"/>
  <c r="BH15" i="5" s="1"/>
  <c r="D20" i="24" s="1"/>
  <c r="D33" i="30"/>
  <c r="L7" i="28"/>
  <c r="U7" i="28" s="1"/>
  <c r="AG7" i="28" s="1"/>
  <c r="BH10" i="4"/>
  <c r="BH10" i="5" s="1"/>
  <c r="D15" i="24" s="1"/>
  <c r="BH16" i="4"/>
  <c r="BH16" i="5" s="1"/>
  <c r="D21" i="24" s="1"/>
  <c r="BH29" i="4"/>
  <c r="BH29" i="5" s="1"/>
  <c r="F24" i="33"/>
  <c r="BH13" i="4"/>
  <c r="BH13" i="5" s="1"/>
  <c r="D18" i="24" s="1"/>
  <c r="D24" i="33"/>
  <c r="F23" i="33"/>
  <c r="N23" i="33"/>
  <c r="T17" i="15"/>
  <c r="T15" i="15" s="1"/>
  <c r="CQ85" i="5"/>
  <c r="I16" i="32"/>
  <c r="CH85" i="5"/>
  <c r="DP14" i="19"/>
  <c r="BD84" i="5"/>
  <c r="AR15" i="19"/>
  <c r="P85" i="5"/>
  <c r="N15" i="19"/>
  <c r="N46" i="22"/>
  <c r="BC15" i="19"/>
  <c r="AU15" i="19"/>
  <c r="J346" i="5"/>
  <c r="J188" i="5" s="1"/>
  <c r="N75" i="19" s="1"/>
  <c r="E16" i="8"/>
  <c r="X33" i="39"/>
  <c r="X46" i="39" s="1"/>
  <c r="AD33" i="39"/>
  <c r="Z51" i="28"/>
  <c r="Z61" i="28" s="1"/>
  <c r="Z73" i="28" s="1"/>
  <c r="BQ382" i="5"/>
  <c r="C23" i="38"/>
  <c r="C89" i="38" s="1"/>
  <c r="N19" i="25"/>
  <c r="H19" i="23" s="1"/>
  <c r="BW341" i="5"/>
  <c r="BZ382" i="5"/>
  <c r="AI60" i="19"/>
  <c r="AT60" i="19" s="1"/>
  <c r="H15" i="33"/>
  <c r="N18" i="25"/>
  <c r="H18" i="23" s="1"/>
  <c r="CG32" i="5"/>
  <c r="F17" i="15" s="1"/>
  <c r="F30" i="39"/>
  <c r="F33" i="39" s="1"/>
  <c r="AH130" i="6"/>
  <c r="AH132" i="6" s="1"/>
  <c r="EN25" i="5"/>
  <c r="AL48" i="7"/>
  <c r="O65" i="31"/>
  <c r="J67" i="15" s="1"/>
  <c r="L67" i="15" s="1"/>
  <c r="BF318" i="5"/>
  <c r="S108" i="7"/>
  <c r="AA108" i="7" s="1"/>
  <c r="K44" i="7"/>
  <c r="N55" i="21"/>
  <c r="H64" i="18" s="1"/>
  <c r="N48" i="21"/>
  <c r="H58" i="18" s="1"/>
  <c r="N50" i="21"/>
  <c r="H59" i="18" s="1"/>
  <c r="N47" i="21"/>
  <c r="H57" i="18" s="1"/>
  <c r="N53" i="21"/>
  <c r="H60" i="18" s="1"/>
  <c r="N74" i="21"/>
  <c r="H80" i="18" s="1"/>
  <c r="X37" i="19"/>
  <c r="CT37" i="19" s="1"/>
  <c r="AR80" i="19"/>
  <c r="I63" i="22"/>
  <c r="Z341" i="5"/>
  <c r="Z346" i="5" s="1"/>
  <c r="Z188" i="5" s="1"/>
  <c r="AR22" i="19"/>
  <c r="AR21" i="19"/>
  <c r="AR18" i="19"/>
  <c r="I59" i="22"/>
  <c r="I61" i="22" s="1"/>
  <c r="AR76" i="19"/>
  <c r="AN177" i="4"/>
  <c r="AN178" i="4" s="1"/>
  <c r="CY17" i="22"/>
  <c r="AM59" i="3"/>
  <c r="CA38" i="22"/>
  <c r="CA55" i="22" s="1"/>
  <c r="CA65" i="22" s="1"/>
  <c r="AN19" i="5"/>
  <c r="AN43" i="5"/>
  <c r="AN61" i="5" s="1"/>
  <c r="AN73" i="5" s="1"/>
  <c r="E26" i="37"/>
  <c r="E30" i="37" s="1"/>
  <c r="R57" i="28"/>
  <c r="BC56" i="4"/>
  <c r="BC58" i="5"/>
  <c r="BB192" i="5"/>
  <c r="G115" i="9" s="1"/>
  <c r="AZ192" i="5"/>
  <c r="DC79" i="19" s="1"/>
  <c r="AX192" i="5"/>
  <c r="CY79" i="19" s="1"/>
  <c r="CW79" i="19"/>
  <c r="CU79" i="19"/>
  <c r="AR192" i="5"/>
  <c r="CL79" i="19" s="1"/>
  <c r="BA192" i="5"/>
  <c r="DL79" i="19" s="1"/>
  <c r="AY192" i="5"/>
  <c r="DA79" i="19" s="1"/>
  <c r="AS192" i="5"/>
  <c r="CN79" i="19" s="1"/>
  <c r="BT25" i="22"/>
  <c r="DN25" i="22"/>
  <c r="CT38" i="22"/>
  <c r="DN38" i="22"/>
  <c r="M13" i="19"/>
  <c r="X13" i="19" s="1"/>
  <c r="AI13" i="19" s="1"/>
  <c r="AT13" i="19" s="1"/>
  <c r="CG13" i="19"/>
  <c r="M32" i="22"/>
  <c r="CG32" i="22" s="1"/>
  <c r="DN32" i="22"/>
  <c r="M28" i="22"/>
  <c r="CG28" i="22" s="1"/>
  <c r="DN28" i="22"/>
  <c r="M29" i="22"/>
  <c r="CG29" i="22" s="1"/>
  <c r="DN29" i="22"/>
  <c r="AI19" i="22"/>
  <c r="DN19" i="22"/>
  <c r="M59" i="22"/>
  <c r="CG59" i="22" s="1"/>
  <c r="DN59" i="22"/>
  <c r="M57" i="22"/>
  <c r="CG57" i="22" s="1"/>
  <c r="DN57" i="22"/>
  <c r="M55" i="22"/>
  <c r="CG55" i="22" s="1"/>
  <c r="DN55" i="22"/>
  <c r="CT65" i="22"/>
  <c r="DN65" i="22"/>
  <c r="BG14" i="22"/>
  <c r="DN14" i="22"/>
  <c r="M26" i="22"/>
  <c r="CG26" i="22" s="1"/>
  <c r="DN26" i="22"/>
  <c r="M37" i="22"/>
  <c r="CG37" i="22" s="1"/>
  <c r="DN37" i="22"/>
  <c r="M40" i="22"/>
  <c r="CG40" i="22" s="1"/>
  <c r="DN40" i="22"/>
  <c r="BG61" i="22"/>
  <c r="DN61" i="22"/>
  <c r="BT36" i="22"/>
  <c r="DN36" i="22"/>
  <c r="M27" i="22"/>
  <c r="CG27" i="22" s="1"/>
  <c r="DN27" i="22"/>
  <c r="M63" i="22"/>
  <c r="CG63" i="22" s="1"/>
  <c r="DN63" i="22"/>
  <c r="CA37" i="19"/>
  <c r="CA89" i="19" s="1"/>
  <c r="M6" i="22"/>
  <c r="CT6" i="22"/>
  <c r="CG6" i="22"/>
  <c r="AO75" i="5"/>
  <c r="BY78" i="19"/>
  <c r="BY85" i="19" s="1"/>
  <c r="AM207" i="5"/>
  <c r="BC189" i="5"/>
  <c r="H112" i="9" s="1"/>
  <c r="BB191" i="5"/>
  <c r="AZ191" i="5"/>
  <c r="DC78" i="19" s="1"/>
  <c r="AX191" i="5"/>
  <c r="CY78" i="19" s="1"/>
  <c r="CW78" i="19"/>
  <c r="CU78" i="19"/>
  <c r="AR191" i="5"/>
  <c r="CL78" i="19" s="1"/>
  <c r="BA191" i="5"/>
  <c r="DL78" i="19" s="1"/>
  <c r="AY191" i="5"/>
  <c r="DA78" i="19" s="1"/>
  <c r="AS191" i="5"/>
  <c r="CN78" i="19" s="1"/>
  <c r="R15" i="33"/>
  <c r="CR18" i="5"/>
  <c r="CR19" i="5" s="1"/>
  <c r="M26" i="37"/>
  <c r="M30" i="37" s="1"/>
  <c r="CN18" i="5"/>
  <c r="CN19" i="5" s="1"/>
  <c r="JC28" i="26"/>
  <c r="JC40" i="26"/>
  <c r="JC34" i="26"/>
  <c r="CU49" i="26"/>
  <c r="BB88" i="5"/>
  <c r="G17" i="9" s="1"/>
  <c r="G39" i="9" s="1"/>
  <c r="Q92" i="3" s="1"/>
  <c r="D46" i="3" s="1"/>
  <c r="AY157" i="5"/>
  <c r="AY172" i="5" s="1"/>
  <c r="AY88" i="5"/>
  <c r="AS157" i="5"/>
  <c r="AS172" i="5" s="1"/>
  <c r="AS88" i="5"/>
  <c r="CC14" i="19"/>
  <c r="CC37" i="19" s="1"/>
  <c r="CC89" i="19" s="1"/>
  <c r="BC157" i="5"/>
  <c r="BC172" i="5" s="1"/>
  <c r="BC88" i="5"/>
  <c r="H17" i="9" s="1"/>
  <c r="H39" i="9" s="1"/>
  <c r="AZ88" i="5"/>
  <c r="AZ157" i="5"/>
  <c r="AZ172" i="5" s="1"/>
  <c r="AX88" i="5"/>
  <c r="AX157" i="5"/>
  <c r="AV157" i="5"/>
  <c r="AU157" i="5"/>
  <c r="AU172" i="5" s="1"/>
  <c r="AR88" i="5"/>
  <c r="AR157" i="5"/>
  <c r="BA157" i="5"/>
  <c r="BA172" i="5" s="1"/>
  <c r="BA88" i="5"/>
  <c r="DL17" i="19" s="1"/>
  <c r="DL37" i="19" s="1"/>
  <c r="E12" i="4"/>
  <c r="E12" i="5" s="1"/>
  <c r="E14" i="4"/>
  <c r="E16" i="4"/>
  <c r="E16" i="5" s="1"/>
  <c r="E47" i="4"/>
  <c r="E47" i="5" s="1"/>
  <c r="E49" i="4"/>
  <c r="E54" i="5" s="1"/>
  <c r="E29" i="4"/>
  <c r="E29" i="5" s="1"/>
  <c r="E28" i="4"/>
  <c r="E28" i="5" s="1"/>
  <c r="C33" i="22" s="1"/>
  <c r="E13" i="4"/>
  <c r="E13" i="5" s="1"/>
  <c r="E11" i="4"/>
  <c r="E10" i="4"/>
  <c r="E48" i="4"/>
  <c r="E50" i="5" s="1"/>
  <c r="C45" i="22" s="1"/>
  <c r="E15" i="4"/>
  <c r="E15" i="5" s="1"/>
  <c r="T15" i="22"/>
  <c r="BP34" i="22"/>
  <c r="AF29" i="5"/>
  <c r="EQ29" i="5"/>
  <c r="J29" i="5"/>
  <c r="N34" i="22" s="1"/>
  <c r="F29" i="5"/>
  <c r="E34" i="22" s="1"/>
  <c r="K29" i="5"/>
  <c r="P34" i="22" s="1"/>
  <c r="CY49" i="26"/>
  <c r="BA24" i="4"/>
  <c r="BA24" i="5" s="1"/>
  <c r="DO29" i="22" s="1"/>
  <c r="AS24" i="4"/>
  <c r="AS24" i="5" s="1"/>
  <c r="AE24" i="4"/>
  <c r="AE24" i="5" s="1"/>
  <c r="BC29" i="22" s="1"/>
  <c r="R24" i="4"/>
  <c r="G29" i="10"/>
  <c r="AZ188" i="5"/>
  <c r="DC75" i="19" s="1"/>
  <c r="AX188" i="5"/>
  <c r="CY75" i="19" s="1"/>
  <c r="CW75" i="19"/>
  <c r="CU75" i="19"/>
  <c r="AR188" i="5"/>
  <c r="CL75" i="19" s="1"/>
  <c r="AX22" i="4"/>
  <c r="AX22" i="5" s="1"/>
  <c r="CY27" i="22" s="1"/>
  <c r="AH22" i="4"/>
  <c r="AH22" i="5" s="1"/>
  <c r="AE22" i="4"/>
  <c r="AE22" i="5" s="1"/>
  <c r="BC27" i="22" s="1"/>
  <c r="AA22" i="4"/>
  <c r="S22" i="4"/>
  <c r="S22" i="5" s="1"/>
  <c r="AS73" i="4"/>
  <c r="AJ73" i="4"/>
  <c r="P112" i="4"/>
  <c r="AG112" i="4"/>
  <c r="AD112" i="4"/>
  <c r="AF112" i="4"/>
  <c r="AA112" i="4"/>
  <c r="BA27" i="4"/>
  <c r="BI69" i="5"/>
  <c r="BJ12" i="4"/>
  <c r="BJ12" i="5" s="1"/>
  <c r="H17" i="24" s="1"/>
  <c r="BJ15" i="4"/>
  <c r="BJ15" i="5" s="1"/>
  <c r="H20" i="24" s="1"/>
  <c r="BJ16" i="4"/>
  <c r="BJ16" i="5" s="1"/>
  <c r="BJ28" i="4"/>
  <c r="BJ28" i="5" s="1"/>
  <c r="BJ14" i="4"/>
  <c r="BJ14" i="5" s="1"/>
  <c r="H19" i="24" s="1"/>
  <c r="BJ47" i="4"/>
  <c r="BJ47" i="5" s="1"/>
  <c r="BJ25" i="4"/>
  <c r="BJ25" i="5" s="1"/>
  <c r="BP25" i="5" s="1"/>
  <c r="EE109" i="4"/>
  <c r="BK157" i="5"/>
  <c r="BK172" i="5" s="1"/>
  <c r="BH157" i="5"/>
  <c r="DZ136" i="4"/>
  <c r="CW43" i="4"/>
  <c r="DW41" i="4"/>
  <c r="BH112" i="4"/>
  <c r="BH175" i="4" s="1"/>
  <c r="CE18" i="4"/>
  <c r="CE19" i="4" s="1"/>
  <c r="BK41" i="4"/>
  <c r="BK42" i="4" s="1"/>
  <c r="AS43" i="27"/>
  <c r="AS31" i="27"/>
  <c r="Q59" i="28"/>
  <c r="C24" i="27"/>
  <c r="BA25" i="4"/>
  <c r="T23" i="4"/>
  <c r="CU10" i="5"/>
  <c r="CF18" i="4"/>
  <c r="BP104" i="4"/>
  <c r="BY88" i="4"/>
  <c r="BZ88" i="4" s="1"/>
  <c r="BP99" i="4"/>
  <c r="BP110" i="4"/>
  <c r="W26" i="37"/>
  <c r="W30" i="37" s="1"/>
  <c r="DZ112" i="4"/>
  <c r="DZ154" i="4" s="1"/>
  <c r="DZ171" i="4" s="1"/>
  <c r="N21" i="33"/>
  <c r="S26" i="37"/>
  <c r="S30" i="37" s="1"/>
  <c r="DX43" i="4"/>
  <c r="DX59" i="4" s="1"/>
  <c r="DX71" i="4" s="1"/>
  <c r="DX177" i="4" s="1"/>
  <c r="DZ43" i="4"/>
  <c r="DZ59" i="4" s="1"/>
  <c r="DZ71" i="4" s="1"/>
  <c r="EC43" i="4"/>
  <c r="EC59" i="4" s="1"/>
  <c r="DN177" i="4"/>
  <c r="DK177" i="4"/>
  <c r="DI177" i="4"/>
  <c r="BP132" i="4"/>
  <c r="R36" i="33"/>
  <c r="R40" i="33" s="1"/>
  <c r="BT112" i="4"/>
  <c r="BF130" i="4"/>
  <c r="BG130" i="4" s="1"/>
  <c r="AA49" i="28"/>
  <c r="AA24" i="28"/>
  <c r="F15" i="21"/>
  <c r="H15" i="21"/>
  <c r="D21" i="20"/>
  <c r="BP92" i="5"/>
  <c r="BJ84" i="5"/>
  <c r="H15" i="20"/>
  <c r="G60" i="4"/>
  <c r="G67" i="4"/>
  <c r="AX26" i="4"/>
  <c r="AX26" i="5" s="1"/>
  <c r="CY31" i="22" s="1"/>
  <c r="Q26" i="4"/>
  <c r="Q26" i="5" s="1"/>
  <c r="AA31" i="22" s="1"/>
  <c r="E26" i="4"/>
  <c r="E26" i="5" s="1"/>
  <c r="C31" i="22" s="1"/>
  <c r="BB25" i="5"/>
  <c r="G31" i="10" s="1"/>
  <c r="AR25" i="4"/>
  <c r="AR25" i="5" s="1"/>
  <c r="AE25" i="4"/>
  <c r="AE25" i="5" s="1"/>
  <c r="BC30" i="22" s="1"/>
  <c r="U25" i="4"/>
  <c r="Q25" i="4"/>
  <c r="Q25" i="5" s="1"/>
  <c r="AA30" i="22" s="1"/>
  <c r="H25" i="4"/>
  <c r="G25" i="4"/>
  <c r="E25" i="4"/>
  <c r="E25" i="5" s="1"/>
  <c r="BB24" i="5"/>
  <c r="G30" i="10" s="1"/>
  <c r="Z23" i="4"/>
  <c r="Y23" i="4"/>
  <c r="Y23" i="5" s="1"/>
  <c r="BA22" i="4"/>
  <c r="BA22" i="5" s="1"/>
  <c r="DO27" i="22" s="1"/>
  <c r="AZ22" i="4"/>
  <c r="AZ22" i="5" s="1"/>
  <c r="DC27" i="22" s="1"/>
  <c r="D23" i="12"/>
  <c r="D40" i="12"/>
  <c r="BA21" i="19"/>
  <c r="AI112" i="4"/>
  <c r="F25" i="30"/>
  <c r="F25" i="14"/>
  <c r="D23" i="33"/>
  <c r="CP54" i="5"/>
  <c r="N37" i="33" s="1"/>
  <c r="F41" i="30"/>
  <c r="L25" i="30"/>
  <c r="H24" i="14"/>
  <c r="H25" i="14"/>
  <c r="H25" i="30"/>
  <c r="F24" i="14"/>
  <c r="P24" i="30" s="1"/>
  <c r="CH33" i="5"/>
  <c r="CJ33" i="5" s="1"/>
  <c r="N24" i="33"/>
  <c r="L39" i="32"/>
  <c r="H16" i="13"/>
  <c r="H58" i="15" s="1"/>
  <c r="H62" i="15" s="1"/>
  <c r="CE176" i="5"/>
  <c r="CY14" i="19"/>
  <c r="CY15" i="19"/>
  <c r="CU15" i="19"/>
  <c r="AA15" i="19"/>
  <c r="X112" i="4"/>
  <c r="V112" i="4"/>
  <c r="EG43" i="4"/>
  <c r="EG59" i="4" s="1"/>
  <c r="EG71" i="4" s="1"/>
  <c r="BD73" i="4"/>
  <c r="D181" i="11"/>
  <c r="J135" i="11"/>
  <c r="J136" i="11" s="1"/>
  <c r="D20" i="11"/>
  <c r="D27" i="11"/>
  <c r="D15" i="9"/>
  <c r="T33" i="51"/>
  <c r="D14" i="9"/>
  <c r="F46" i="33"/>
  <c r="E30" i="34" s="1"/>
  <c r="P37" i="34"/>
  <c r="P56" i="4"/>
  <c r="F76" i="13"/>
  <c r="EN147" i="5"/>
  <c r="BW50" i="5"/>
  <c r="L45" i="25" s="1"/>
  <c r="BW46" i="5"/>
  <c r="L41" i="25" s="1"/>
  <c r="D103" i="29"/>
  <c r="AG15" i="19"/>
  <c r="AC15" i="19"/>
  <c r="BN15" i="5"/>
  <c r="D54" i="5"/>
  <c r="BW54" i="5"/>
  <c r="BW47" i="5"/>
  <c r="L42" i="25" s="1"/>
  <c r="Y21" i="19"/>
  <c r="BH85" i="5"/>
  <c r="BH84" i="5" s="1"/>
  <c r="U85" i="5"/>
  <c r="U84" i="5" s="1"/>
  <c r="AJ15" i="19"/>
  <c r="BF120" i="4"/>
  <c r="BG120" i="4" s="1"/>
  <c r="E136" i="4"/>
  <c r="E173" i="4" s="1"/>
  <c r="AS19" i="27"/>
  <c r="E27" i="11"/>
  <c r="D15" i="20"/>
  <c r="AE15" i="19"/>
  <c r="BB27" i="5"/>
  <c r="G33" i="10" s="1"/>
  <c r="AD27" i="4"/>
  <c r="AC27" i="4"/>
  <c r="AC27" i="5" s="1"/>
  <c r="E27" i="4"/>
  <c r="AX23" i="4"/>
  <c r="X23" i="4"/>
  <c r="X23" i="5" s="1"/>
  <c r="CU27" i="22"/>
  <c r="E120" i="11"/>
  <c r="J91" i="11"/>
  <c r="J92" i="11" s="1"/>
  <c r="K106" i="11"/>
  <c r="K107" i="11" s="1"/>
  <c r="E130" i="11"/>
  <c r="K128" i="11"/>
  <c r="J128" i="11"/>
  <c r="J129" i="11" s="1"/>
  <c r="E146" i="11"/>
  <c r="K138" i="11"/>
  <c r="D37" i="27"/>
  <c r="E28" i="27"/>
  <c r="R19" i="28"/>
  <c r="I19" i="28"/>
  <c r="Q49" i="28"/>
  <c r="H49" i="28"/>
  <c r="O50" i="31"/>
  <c r="J52" i="15" s="1"/>
  <c r="D46" i="11"/>
  <c r="BT26" i="22"/>
  <c r="H73" i="20"/>
  <c r="BQ364" i="5"/>
  <c r="M11" i="8"/>
  <c r="I90" i="34"/>
  <c r="CM154" i="5"/>
  <c r="E49" i="32"/>
  <c r="E90" i="34" s="1"/>
  <c r="R23" i="33"/>
  <c r="CU33" i="5"/>
  <c r="E690" i="65" s="1"/>
  <c r="D17" i="21"/>
  <c r="K21" i="19"/>
  <c r="CL85" i="5"/>
  <c r="CL84" i="5" s="1"/>
  <c r="CU14" i="5"/>
  <c r="N39" i="32"/>
  <c r="N42" i="32" s="1"/>
  <c r="C49" i="32"/>
  <c r="C90" i="34" s="1"/>
  <c r="CL154" i="5"/>
  <c r="N15" i="33"/>
  <c r="CU13" i="5"/>
  <c r="H38" i="13"/>
  <c r="CJ107" i="5"/>
  <c r="CU11" i="5"/>
  <c r="BF102" i="4"/>
  <c r="BG102" i="4" s="1"/>
  <c r="BF105" i="4"/>
  <c r="BG105" i="4" s="1"/>
  <c r="BF109" i="4"/>
  <c r="BG109" i="4" s="1"/>
  <c r="BF134" i="4"/>
  <c r="BG134" i="4" s="1"/>
  <c r="CN136" i="4"/>
  <c r="CN173" i="4" s="1"/>
  <c r="BP119" i="4"/>
  <c r="C16" i="32"/>
  <c r="C54" i="34" s="1"/>
  <c r="H16" i="29"/>
  <c r="AG157" i="5"/>
  <c r="AG172" i="5" s="1"/>
  <c r="AD157" i="5"/>
  <c r="AD172" i="5" s="1"/>
  <c r="BF104" i="4"/>
  <c r="BG104" i="4" s="1"/>
  <c r="BF108" i="4"/>
  <c r="BG108" i="4" s="1"/>
  <c r="BF125" i="4"/>
  <c r="BG125" i="4" s="1"/>
  <c r="DW120" i="4"/>
  <c r="EE120" i="4" s="1"/>
  <c r="BP123" i="4"/>
  <c r="BF92" i="5"/>
  <c r="BG92" i="5" s="1"/>
  <c r="BW157" i="5"/>
  <c r="L66" i="21" s="1"/>
  <c r="N16" i="32"/>
  <c r="P54" i="34" s="1"/>
  <c r="P58" i="34" s="1"/>
  <c r="AJ157" i="5"/>
  <c r="AJ172" i="5" s="1"/>
  <c r="AF157" i="5"/>
  <c r="AF172" i="5" s="1"/>
  <c r="AC157" i="5"/>
  <c r="AC172" i="5" s="1"/>
  <c r="W157" i="5"/>
  <c r="W172" i="5" s="1"/>
  <c r="BP382" i="5"/>
  <c r="BY192" i="5"/>
  <c r="BZ192" i="5" s="1"/>
  <c r="BP341" i="5"/>
  <c r="BQ341" i="5" s="1"/>
  <c r="BJ192" i="5"/>
  <c r="BB346" i="5"/>
  <c r="V346" i="5"/>
  <c r="V188" i="5" s="1"/>
  <c r="AL75" i="19" s="1"/>
  <c r="D376" i="5"/>
  <c r="D191" i="5" s="1"/>
  <c r="BC382" i="5"/>
  <c r="X361" i="5"/>
  <c r="X189" i="5" s="1"/>
  <c r="F112" i="9" s="1"/>
  <c r="BC346" i="5"/>
  <c r="BA346" i="5"/>
  <c r="AY346" i="5"/>
  <c r="AS346" i="5"/>
  <c r="T346" i="5"/>
  <c r="T188" i="5" s="1"/>
  <c r="AG75" i="19" s="1"/>
  <c r="R346" i="5"/>
  <c r="R188" i="5" s="1"/>
  <c r="AC75" i="19" s="1"/>
  <c r="P386" i="5"/>
  <c r="H346" i="5"/>
  <c r="H188" i="5" s="1"/>
  <c r="I75" i="19" s="1"/>
  <c r="F346" i="5"/>
  <c r="F188" i="5" s="1"/>
  <c r="E75" i="19" s="1"/>
  <c r="AT26" i="22"/>
  <c r="AI40" i="22"/>
  <c r="BP318" i="5"/>
  <c r="DC84" i="5"/>
  <c r="I16" i="37"/>
  <c r="I23" i="37" s="1"/>
  <c r="DC114" i="5"/>
  <c r="EN143" i="5"/>
  <c r="AI331" i="5"/>
  <c r="DW254" i="5"/>
  <c r="M16" i="37"/>
  <c r="DD84" i="5"/>
  <c r="DD114" i="5"/>
  <c r="DG114" i="5"/>
  <c r="DG211" i="5" s="1"/>
  <c r="DG84" i="5"/>
  <c r="DE114" i="5"/>
  <c r="DE84" i="5"/>
  <c r="DF84" i="5"/>
  <c r="DH84" i="5"/>
  <c r="DH114" i="5"/>
  <c r="AJ331" i="5"/>
  <c r="L37" i="14"/>
  <c r="BN346" i="5"/>
  <c r="BN188" i="5" s="1"/>
  <c r="J111" i="9" s="1"/>
  <c r="CP18" i="5"/>
  <c r="CK314" i="5"/>
  <c r="BZ258" i="5"/>
  <c r="AF331" i="5"/>
  <c r="AD331" i="5"/>
  <c r="BQ254" i="5"/>
  <c r="CK232" i="5"/>
  <c r="I394" i="5"/>
  <c r="BQ258" i="5"/>
  <c r="CK254" i="5"/>
  <c r="AH331" i="5"/>
  <c r="BG232" i="5"/>
  <c r="N105" i="29"/>
  <c r="J111" i="13" s="1"/>
  <c r="L111" i="13" s="1"/>
  <c r="O123" i="6" s="1"/>
  <c r="G123" i="6" s="1"/>
  <c r="J59" i="14"/>
  <c r="L59" i="14" s="1"/>
  <c r="J52" i="7" s="1"/>
  <c r="N104" i="29"/>
  <c r="J110" i="13" s="1"/>
  <c r="L110" i="13" s="1"/>
  <c r="O122" i="6" s="1"/>
  <c r="R82" i="32"/>
  <c r="N112" i="13" s="1"/>
  <c r="BP56" i="5"/>
  <c r="BQ56" i="5" s="1"/>
  <c r="N106" i="29"/>
  <c r="J112" i="13" s="1"/>
  <c r="L112" i="13" s="1"/>
  <c r="T47" i="34"/>
  <c r="N51" i="15" s="1"/>
  <c r="BY28" i="5"/>
  <c r="BZ28" i="5" s="1"/>
  <c r="EL154" i="5"/>
  <c r="CU71" i="5"/>
  <c r="P64" i="24"/>
  <c r="F64" i="23" s="1"/>
  <c r="R58" i="15"/>
  <c r="CM58" i="5"/>
  <c r="CU16" i="5"/>
  <c r="E672" i="65" s="1"/>
  <c r="CQ18" i="5"/>
  <c r="CQ19" i="5" s="1"/>
  <c r="T109" i="34"/>
  <c r="N116" i="15" s="1"/>
  <c r="T140" i="34"/>
  <c r="DA15" i="19"/>
  <c r="M20" i="22"/>
  <c r="CG20" i="22" s="1"/>
  <c r="BG20" i="22"/>
  <c r="M46" i="22"/>
  <c r="CG46" i="22" s="1"/>
  <c r="BG46" i="22"/>
  <c r="AT46" i="22"/>
  <c r="CT46" i="22"/>
  <c r="X45" i="22"/>
  <c r="BT45" i="22"/>
  <c r="M45" i="22"/>
  <c r="CG45" i="22" s="1"/>
  <c r="BG45" i="22"/>
  <c r="M21" i="22"/>
  <c r="CG21" i="22" s="1"/>
  <c r="BT21" i="22"/>
  <c r="AI21" i="22"/>
  <c r="M31" i="22"/>
  <c r="CG31" i="22" s="1"/>
  <c r="AI31" i="22"/>
  <c r="F15" i="33"/>
  <c r="X18" i="22"/>
  <c r="AI18" i="22"/>
  <c r="X16" i="22"/>
  <c r="BT16" i="22"/>
  <c r="M16" i="22"/>
  <c r="CG16" i="22" s="1"/>
  <c r="BG16" i="22"/>
  <c r="J16" i="33"/>
  <c r="I18" i="34"/>
  <c r="R32" i="15"/>
  <c r="CJ47" i="5"/>
  <c r="F50" i="30"/>
  <c r="CJ46" i="5"/>
  <c r="G25" i="7"/>
  <c r="G26" i="7" s="1"/>
  <c r="M52" i="22"/>
  <c r="CG52" i="22" s="1"/>
  <c r="AT52" i="22"/>
  <c r="G20" i="52"/>
  <c r="J19" i="18"/>
  <c r="X80" i="19"/>
  <c r="CT80" i="19" s="1"/>
  <c r="AI80" i="19"/>
  <c r="DK80" i="19" s="1"/>
  <c r="M76" i="19"/>
  <c r="CG76" i="19" s="1"/>
  <c r="AT76" i="19"/>
  <c r="M79" i="19"/>
  <c r="CG79" i="19" s="1"/>
  <c r="AT79" i="19"/>
  <c r="AT48" i="19"/>
  <c r="BT48" i="19"/>
  <c r="M48" i="19"/>
  <c r="CG48" i="19" s="1"/>
  <c r="M56" i="19"/>
  <c r="CG56" i="19" s="1"/>
  <c r="BT56" i="19"/>
  <c r="M59" i="19"/>
  <c r="CG59" i="19" s="1"/>
  <c r="BT59" i="19"/>
  <c r="X64" i="19"/>
  <c r="CT64" i="19" s="1"/>
  <c r="BT64" i="19"/>
  <c r="M64" i="19"/>
  <c r="CG64" i="19" s="1"/>
  <c r="J15" i="18"/>
  <c r="G17" i="52"/>
  <c r="J17" i="18"/>
  <c r="G19" i="52"/>
  <c r="M49" i="22"/>
  <c r="AT49" i="22"/>
  <c r="AI49" i="22"/>
  <c r="CT49" i="22"/>
  <c r="X47" i="22"/>
  <c r="BT47" i="22"/>
  <c r="M47" i="22"/>
  <c r="CG47" i="22" s="1"/>
  <c r="BG47" i="22"/>
  <c r="BG50" i="22"/>
  <c r="M50" i="22"/>
  <c r="AT50" i="22"/>
  <c r="H69" i="13"/>
  <c r="M34" i="22"/>
  <c r="BG34" i="22"/>
  <c r="D14" i="39"/>
  <c r="H14" i="39" s="1"/>
  <c r="AH14" i="39" s="1"/>
  <c r="X15" i="22"/>
  <c r="BT15" i="22"/>
  <c r="M15" i="22"/>
  <c r="CG15" i="22" s="1"/>
  <c r="BG15" i="22"/>
  <c r="X42" i="22"/>
  <c r="BT42" i="22"/>
  <c r="M42" i="22"/>
  <c r="BG42" i="22"/>
  <c r="H82" i="31"/>
  <c r="O82" i="31" s="1"/>
  <c r="J84" i="15" s="1"/>
  <c r="N26" i="30"/>
  <c r="J26" i="14" s="1"/>
  <c r="L26" i="14" s="1"/>
  <c r="L17" i="30"/>
  <c r="M19" i="31"/>
  <c r="H17" i="30"/>
  <c r="H19" i="31"/>
  <c r="F16" i="14"/>
  <c r="D62" i="25"/>
  <c r="BY71" i="5"/>
  <c r="BZ71" i="5" s="1"/>
  <c r="D56" i="25"/>
  <c r="N56" i="25" s="1"/>
  <c r="N64" i="10"/>
  <c r="N66" i="10" s="1"/>
  <c r="BY66" i="5"/>
  <c r="BZ66" i="5" s="1"/>
  <c r="N54" i="10"/>
  <c r="BY56" i="5"/>
  <c r="BZ56" i="5" s="1"/>
  <c r="F36" i="14"/>
  <c r="P36" i="30" s="1"/>
  <c r="F22" i="30"/>
  <c r="F18" i="31"/>
  <c r="H87" i="31"/>
  <c r="CH89" i="5"/>
  <c r="L19" i="29" s="1"/>
  <c r="M108" i="31"/>
  <c r="F38" i="29"/>
  <c r="F41" i="31" s="1"/>
  <c r="CD176" i="5"/>
  <c r="CD185" i="5" s="1"/>
  <c r="F38" i="13"/>
  <c r="F43" i="15" s="1"/>
  <c r="BR346" i="5"/>
  <c r="BY103" i="5"/>
  <c r="BZ103" i="5" s="1"/>
  <c r="N31" i="9"/>
  <c r="D21" i="21"/>
  <c r="BY92" i="5"/>
  <c r="BZ92" i="5" s="1"/>
  <c r="M33" i="19"/>
  <c r="BT33" i="19"/>
  <c r="AT33" i="19"/>
  <c r="X33" i="19"/>
  <c r="CT33" i="19" s="1"/>
  <c r="M24" i="19"/>
  <c r="CG24" i="19" s="1"/>
  <c r="AT24" i="19"/>
  <c r="M22" i="19"/>
  <c r="CG22" i="19" s="1"/>
  <c r="BT22" i="19"/>
  <c r="X19" i="19"/>
  <c r="CT19" i="19" s="1"/>
  <c r="BT19" i="19"/>
  <c r="AI19" i="19"/>
  <c r="DK19" i="19" s="1"/>
  <c r="M26" i="19"/>
  <c r="CG26" i="19" s="1"/>
  <c r="BT26" i="19"/>
  <c r="AT26" i="19"/>
  <c r="X26" i="19"/>
  <c r="CT26" i="19" s="1"/>
  <c r="DP26" i="19"/>
  <c r="BF98" i="5"/>
  <c r="BG98" i="5" s="1"/>
  <c r="CN21" i="19"/>
  <c r="AU21" i="19"/>
  <c r="AT17" i="19"/>
  <c r="M17" i="19"/>
  <c r="CG17" i="19" s="1"/>
  <c r="BP57" i="5"/>
  <c r="BQ57" i="5" s="1"/>
  <c r="H74" i="15"/>
  <c r="DT114" i="5"/>
  <c r="DT211" i="5" s="1"/>
  <c r="BP71" i="5"/>
  <c r="CO18" i="5"/>
  <c r="CO19" i="5" s="1"/>
  <c r="BY57" i="5"/>
  <c r="BZ57" i="5" s="1"/>
  <c r="BT19" i="22"/>
  <c r="CU15" i="5"/>
  <c r="E666" i="65" s="1"/>
  <c r="CO58" i="5"/>
  <c r="CQ58" i="5"/>
  <c r="CR58" i="5"/>
  <c r="CJ50" i="5"/>
  <c r="CC58" i="5"/>
  <c r="M44" i="19"/>
  <c r="CG44" i="19" s="1"/>
  <c r="BT25" i="19"/>
  <c r="X68" i="19"/>
  <c r="CT68" i="19" s="1"/>
  <c r="AT25" i="19"/>
  <c r="BC41" i="5"/>
  <c r="BT18" i="22"/>
  <c r="AI68" i="19"/>
  <c r="DK68" i="19" s="1"/>
  <c r="CM18" i="5"/>
  <c r="BT31" i="22"/>
  <c r="BF71" i="5"/>
  <c r="AT18" i="22"/>
  <c r="AT21" i="22"/>
  <c r="CL18" i="5"/>
  <c r="CT19" i="22"/>
  <c r="AT31" i="22"/>
  <c r="AT20" i="22"/>
  <c r="X20" i="22"/>
  <c r="X44" i="19"/>
  <c r="CT44" i="19" s="1"/>
  <c r="BT20" i="22"/>
  <c r="BF57" i="5"/>
  <c r="BG57" i="5" s="1"/>
  <c r="K30" i="37"/>
  <c r="AE30" i="37" s="1"/>
  <c r="K15" i="37"/>
  <c r="AE15" i="37" s="1"/>
  <c r="D15" i="21"/>
  <c r="BG18" i="22"/>
  <c r="BG31" i="22"/>
  <c r="AI16" i="22"/>
  <c r="AT16" i="22"/>
  <c r="AI45" i="22"/>
  <c r="AT45" i="22"/>
  <c r="BT46" i="22"/>
  <c r="AI46" i="22"/>
  <c r="X19" i="22"/>
  <c r="X21" i="22"/>
  <c r="K23" i="37"/>
  <c r="AE23" i="37" s="1"/>
  <c r="H32" i="33"/>
  <c r="H40" i="33" s="1"/>
  <c r="CD58" i="5"/>
  <c r="I40" i="34"/>
  <c r="I50" i="34" s="1"/>
  <c r="N23" i="29"/>
  <c r="J23" i="13" s="1"/>
  <c r="L23" i="13" s="1"/>
  <c r="O23" i="6" s="1"/>
  <c r="G23" i="6" s="1"/>
  <c r="N37" i="29"/>
  <c r="J37" i="13" s="1"/>
  <c r="L37" i="13" s="1"/>
  <c r="O36" i="6" s="1"/>
  <c r="G36" i="6" s="1"/>
  <c r="I36" i="6" s="1"/>
  <c r="N35" i="29"/>
  <c r="L33" i="13" s="1"/>
  <c r="O31" i="6" s="1"/>
  <c r="G31" i="6" s="1"/>
  <c r="T44" i="33"/>
  <c r="N49" i="14" s="1"/>
  <c r="X54" i="10" s="1"/>
  <c r="EN99" i="5"/>
  <c r="R63" i="13"/>
  <c r="R66" i="13" s="1"/>
  <c r="BS157" i="5"/>
  <c r="BS172" i="5" s="1"/>
  <c r="U157" i="5"/>
  <c r="U172" i="5" s="1"/>
  <c r="I30" i="37"/>
  <c r="Q30" i="37"/>
  <c r="BQ314" i="5"/>
  <c r="D33" i="66" s="1"/>
  <c r="P26" i="30"/>
  <c r="F84" i="15"/>
  <c r="D16" i="39"/>
  <c r="H16" i="39" s="1"/>
  <c r="E32" i="7" s="1"/>
  <c r="I37" i="34"/>
  <c r="AE331" i="5"/>
  <c r="D47" i="53"/>
  <c r="J51" i="23"/>
  <c r="J53" i="23" s="1"/>
  <c r="H45" i="53"/>
  <c r="BJ114" i="5"/>
  <c r="H53" i="18"/>
  <c r="H13" i="39"/>
  <c r="AH13" i="39" s="1"/>
  <c r="C61" i="22"/>
  <c r="AI14" i="22"/>
  <c r="AI26" i="22"/>
  <c r="BG26" i="22"/>
  <c r="X40" i="22"/>
  <c r="AT40" i="22"/>
  <c r="BT40" i="22"/>
  <c r="AI61" i="22"/>
  <c r="AI37" i="22"/>
  <c r="P207" i="5"/>
  <c r="EN199" i="5"/>
  <c r="BY200" i="5"/>
  <c r="BZ200" i="5" s="1"/>
  <c r="BF198" i="5"/>
  <c r="CU67" i="4"/>
  <c r="T34" i="33"/>
  <c r="T68" i="33" s="1"/>
  <c r="AH112" i="4"/>
  <c r="H29" i="35"/>
  <c r="D32" i="35"/>
  <c r="AJ112" i="4"/>
  <c r="BF123" i="4"/>
  <c r="BG123" i="4" s="1"/>
  <c r="BF132" i="4"/>
  <c r="BG132" i="4" s="1"/>
  <c r="BS112" i="4"/>
  <c r="BT136" i="4"/>
  <c r="BT173" i="4" s="1"/>
  <c r="CN112" i="4"/>
  <c r="CP112" i="4"/>
  <c r="CR112" i="4"/>
  <c r="CL136" i="4"/>
  <c r="CL173" i="4" s="1"/>
  <c r="CP136" i="4"/>
  <c r="CP173" i="4" s="1"/>
  <c r="CU92" i="4"/>
  <c r="BY87" i="4"/>
  <c r="BZ87" i="4" s="1"/>
  <c r="BP84" i="4"/>
  <c r="BP101" i="4"/>
  <c r="BP106" i="4"/>
  <c r="BP117" i="4"/>
  <c r="BP128" i="4"/>
  <c r="BP134" i="4"/>
  <c r="C40" i="12"/>
  <c r="D50" i="12"/>
  <c r="CD18" i="4"/>
  <c r="BQ318" i="5"/>
  <c r="BF118" i="4"/>
  <c r="BG118" i="4" s="1"/>
  <c r="BF127" i="4"/>
  <c r="BG127" i="4" s="1"/>
  <c r="Y112" i="4"/>
  <c r="Y136" i="4"/>
  <c r="Y173" i="4" s="1"/>
  <c r="BU112" i="4"/>
  <c r="BF87" i="4"/>
  <c r="BP94" i="4"/>
  <c r="BP102" i="4"/>
  <c r="BP108" i="4"/>
  <c r="BP125" i="4"/>
  <c r="BP130" i="4"/>
  <c r="C23" i="12"/>
  <c r="CG18" i="4"/>
  <c r="CG19" i="5" s="1"/>
  <c r="CH18" i="4"/>
  <c r="R16" i="33"/>
  <c r="R18" i="34"/>
  <c r="P15" i="33"/>
  <c r="R21" i="33"/>
  <c r="BU88" i="5"/>
  <c r="E198" i="11"/>
  <c r="C80" i="11"/>
  <c r="G112" i="11"/>
  <c r="G135" i="11"/>
  <c r="D164" i="11"/>
  <c r="J97" i="11"/>
  <c r="K100" i="11"/>
  <c r="J100" i="11"/>
  <c r="J101" i="11" s="1"/>
  <c r="J106" i="11"/>
  <c r="J107" i="11" s="1"/>
  <c r="J125" i="11"/>
  <c r="K125" i="11"/>
  <c r="J141" i="11"/>
  <c r="AS22" i="27"/>
  <c r="AS21" i="27"/>
  <c r="AS35" i="27"/>
  <c r="Q24" i="28"/>
  <c r="Y59" i="28"/>
  <c r="BZ232" i="5"/>
  <c r="P47" i="5"/>
  <c r="P58" i="5" s="1"/>
  <c r="L22" i="30"/>
  <c r="M18" i="31"/>
  <c r="CE89" i="5"/>
  <c r="CC88" i="5"/>
  <c r="H19" i="15" s="1"/>
  <c r="H150" i="15"/>
  <c r="L112" i="15"/>
  <c r="J31" i="20"/>
  <c r="P31" i="20" s="1"/>
  <c r="BP103" i="5"/>
  <c r="E276" i="65" s="1"/>
  <c r="K117" i="11"/>
  <c r="AS32" i="27"/>
  <c r="F59" i="38"/>
  <c r="D64" i="38"/>
  <c r="T25" i="34"/>
  <c r="N26" i="15" s="1"/>
  <c r="AI157" i="5"/>
  <c r="AI172" i="5" s="1"/>
  <c r="AE157" i="5"/>
  <c r="AE172" i="5" s="1"/>
  <c r="AA157" i="5"/>
  <c r="AA172" i="5" s="1"/>
  <c r="V157" i="5"/>
  <c r="V172" i="5" s="1"/>
  <c r="Q157" i="5"/>
  <c r="Q172" i="5" s="1"/>
  <c r="F130" i="11"/>
  <c r="BF88" i="4"/>
  <c r="CJ86" i="4"/>
  <c r="CK86" i="4" s="1"/>
  <c r="CE157" i="5"/>
  <c r="CE172" i="5" s="1"/>
  <c r="R36" i="32"/>
  <c r="R22" i="32"/>
  <c r="BU157" i="5"/>
  <c r="AH157" i="5"/>
  <c r="AH172" i="5" s="1"/>
  <c r="Z157" i="5"/>
  <c r="Z172" i="5" s="1"/>
  <c r="R157" i="5"/>
  <c r="R172" i="5" s="1"/>
  <c r="N66" i="13"/>
  <c r="N92" i="6" s="1"/>
  <c r="F27" i="11"/>
  <c r="G44" i="11"/>
  <c r="F62" i="11"/>
  <c r="D13" i="4" s="1"/>
  <c r="D13" i="5" s="1"/>
  <c r="C64" i="70" s="1"/>
  <c r="BA26" i="4"/>
  <c r="AG17" i="37"/>
  <c r="AG49" i="37" s="1"/>
  <c r="Q27" i="4"/>
  <c r="W26" i="4"/>
  <c r="W26" i="5" s="1"/>
  <c r="I25" i="4"/>
  <c r="I25" i="5" s="1"/>
  <c r="AZ24" i="4"/>
  <c r="AI24" i="4"/>
  <c r="AI24" i="5" s="1"/>
  <c r="BA23" i="4"/>
  <c r="BA23" i="5" s="1"/>
  <c r="AE23" i="4"/>
  <c r="I23" i="4"/>
  <c r="AG22" i="4"/>
  <c r="M22" i="4"/>
  <c r="M22" i="5" s="1"/>
  <c r="E39" i="6"/>
  <c r="D58" i="18"/>
  <c r="R37" i="34"/>
  <c r="R89" i="34"/>
  <c r="N30" i="25"/>
  <c r="BY25" i="5"/>
  <c r="BZ25" i="5" s="1"/>
  <c r="P89" i="34"/>
  <c r="P28" i="5"/>
  <c r="C49" i="19"/>
  <c r="CU135" i="5"/>
  <c r="BK10" i="5"/>
  <c r="BK18" i="4"/>
  <c r="D42" i="10"/>
  <c r="H68" i="65" s="1"/>
  <c r="BJ50" i="5"/>
  <c r="H45" i="24" s="1"/>
  <c r="F36" i="33"/>
  <c r="BJ24" i="5"/>
  <c r="H24" i="33"/>
  <c r="CU34" i="5"/>
  <c r="CF58" i="5"/>
  <c r="F50" i="14"/>
  <c r="CJ54" i="5"/>
  <c r="H24" i="30"/>
  <c r="CH18" i="5"/>
  <c r="L16" i="30"/>
  <c r="H23" i="33"/>
  <c r="J22" i="30"/>
  <c r="D21" i="33"/>
  <c r="J21" i="33"/>
  <c r="I17" i="34"/>
  <c r="L39" i="30"/>
  <c r="L45" i="30" s="1"/>
  <c r="CH58" i="5"/>
  <c r="C19" i="32"/>
  <c r="P39" i="32"/>
  <c r="P42" i="32" s="1"/>
  <c r="CO154" i="5"/>
  <c r="I63" i="32"/>
  <c r="BJ10" i="5"/>
  <c r="BN10" i="5"/>
  <c r="BK46" i="5"/>
  <c r="BK56" i="4"/>
  <c r="BK58" i="5" s="1"/>
  <c r="BN46" i="5"/>
  <c r="J42" i="10" s="1"/>
  <c r="BN58" i="5"/>
  <c r="N45" i="33"/>
  <c r="N29" i="34" s="1"/>
  <c r="H45" i="33"/>
  <c r="G29" i="34" s="1"/>
  <c r="G37" i="34" s="1"/>
  <c r="CN58" i="5"/>
  <c r="BK29" i="5"/>
  <c r="BK41" i="5" s="1"/>
  <c r="J33" i="24" s="1"/>
  <c r="J36" i="24" s="1"/>
  <c r="D16" i="33"/>
  <c r="C18" i="34"/>
  <c r="BN14" i="5"/>
  <c r="J20" i="10" s="1"/>
  <c r="BJ13" i="5"/>
  <c r="BJ11" i="5"/>
  <c r="P18" i="34"/>
  <c r="P16" i="33"/>
  <c r="N32" i="33"/>
  <c r="J32" i="33"/>
  <c r="J40" i="33" s="1"/>
  <c r="CU12" i="5"/>
  <c r="CJ16" i="5"/>
  <c r="E589" i="65" s="1"/>
  <c r="J35" i="30"/>
  <c r="J45" i="30" s="1"/>
  <c r="H16" i="30"/>
  <c r="BW10" i="5"/>
  <c r="L15" i="25" s="1"/>
  <c r="L23" i="25" s="1"/>
  <c r="C39" i="32"/>
  <c r="C40" i="34" s="1"/>
  <c r="CU107" i="5"/>
  <c r="F22" i="14"/>
  <c r="H18" i="31"/>
  <c r="H22" i="30"/>
  <c r="P21" i="33"/>
  <c r="P17" i="34"/>
  <c r="F21" i="33"/>
  <c r="E17" i="34"/>
  <c r="AC112" i="4"/>
  <c r="Z112" i="4"/>
  <c r="W112" i="4"/>
  <c r="CU37" i="5"/>
  <c r="E694" i="65" s="1"/>
  <c r="J15" i="9"/>
  <c r="AN15" i="19"/>
  <c r="K103" i="11"/>
  <c r="K144" i="11"/>
  <c r="K169" i="11"/>
  <c r="K8" i="37"/>
  <c r="AE8" i="37" s="1"/>
  <c r="BT88" i="5"/>
  <c r="AI85" i="5"/>
  <c r="AI84" i="5" s="1"/>
  <c r="BN15" i="19"/>
  <c r="X85" i="5"/>
  <c r="X84" i="5" s="1"/>
  <c r="F15" i="9"/>
  <c r="K84" i="5"/>
  <c r="P15" i="19"/>
  <c r="D12" i="5" l="1"/>
  <c r="C79" i="70" s="1"/>
  <c r="C80" i="70" s="1"/>
  <c r="IH59" i="26"/>
  <c r="X27" i="34"/>
  <c r="L84" i="32"/>
  <c r="H41" i="13"/>
  <c r="J66" i="13"/>
  <c r="L66" i="13" s="1"/>
  <c r="O92" i="6" s="1"/>
  <c r="G92" i="6" s="1"/>
  <c r="J65" i="13"/>
  <c r="L65" i="13" s="1"/>
  <c r="L42" i="32"/>
  <c r="F85" i="13"/>
  <c r="L79" i="32"/>
  <c r="E40" i="34"/>
  <c r="F74" i="15"/>
  <c r="F41" i="13"/>
  <c r="C42" i="32"/>
  <c r="I70" i="32"/>
  <c r="R30" i="32"/>
  <c r="E42" i="32"/>
  <c r="T62" i="13"/>
  <c r="H85" i="13"/>
  <c r="L64" i="13"/>
  <c r="O91" i="6" s="1"/>
  <c r="G91" i="6" s="1"/>
  <c r="N37" i="13"/>
  <c r="N36" i="6" s="1"/>
  <c r="N23" i="13"/>
  <c r="W22" i="9" s="1"/>
  <c r="N25" i="13"/>
  <c r="N25" i="6" s="1"/>
  <c r="N113" i="13"/>
  <c r="N126" i="6" s="1"/>
  <c r="N111" i="13"/>
  <c r="N123" i="6" s="1"/>
  <c r="N61" i="13"/>
  <c r="W63" i="9" s="1"/>
  <c r="N20" i="13"/>
  <c r="N20" i="6" s="1"/>
  <c r="N67" i="13"/>
  <c r="W72" i="9" s="1"/>
  <c r="N63" i="13"/>
  <c r="CM185" i="5"/>
  <c r="N32" i="13"/>
  <c r="N30" i="6" s="1"/>
  <c r="R30" i="6" s="1"/>
  <c r="N91" i="6"/>
  <c r="N18" i="13"/>
  <c r="W17" i="9" s="1"/>
  <c r="N108" i="13"/>
  <c r="N114" i="6" s="1"/>
  <c r="R114" i="6" s="1"/>
  <c r="N77" i="13"/>
  <c r="N87" i="6" s="1"/>
  <c r="N22" i="13"/>
  <c r="N22" i="6" s="1"/>
  <c r="N31" i="13"/>
  <c r="N29" i="6" s="1"/>
  <c r="N110" i="13"/>
  <c r="H31" i="8" s="1"/>
  <c r="H44" i="8" s="1"/>
  <c r="E122" i="6" s="1"/>
  <c r="N76" i="13"/>
  <c r="W83" i="9" s="1"/>
  <c r="AG83" i="9" s="1"/>
  <c r="O74" i="6"/>
  <c r="G74" i="6" s="1"/>
  <c r="N69" i="13"/>
  <c r="W77" i="9" s="1"/>
  <c r="CJ71" i="19"/>
  <c r="AR172" i="5"/>
  <c r="M88" i="5"/>
  <c r="BF135" i="5"/>
  <c r="BG99" i="4"/>
  <c r="BF81" i="4"/>
  <c r="CN71" i="19"/>
  <c r="AV172" i="5"/>
  <c r="CP71" i="19"/>
  <c r="AX172" i="5"/>
  <c r="BY87" i="19"/>
  <c r="BY89" i="19" s="1"/>
  <c r="AI55" i="3"/>
  <c r="BW87" i="19"/>
  <c r="BW89" i="19" s="1"/>
  <c r="D90" i="9"/>
  <c r="I15" i="34"/>
  <c r="J22" i="33"/>
  <c r="I16" i="34"/>
  <c r="E15" i="32"/>
  <c r="K33" i="22"/>
  <c r="EC33" i="22" s="1"/>
  <c r="S88" i="5"/>
  <c r="S114" i="5" s="1"/>
  <c r="M172" i="5"/>
  <c r="X88" i="5"/>
  <c r="X332" i="5" s="1"/>
  <c r="BH27" i="22"/>
  <c r="AR18" i="22"/>
  <c r="E25" i="7"/>
  <c r="H19" i="14"/>
  <c r="BN19" i="3" s="1"/>
  <c r="I54" i="34"/>
  <c r="I58" i="34" s="1"/>
  <c r="E19" i="32"/>
  <c r="J108" i="29"/>
  <c r="H57" i="10"/>
  <c r="F51" i="10"/>
  <c r="F57" i="10" s="1"/>
  <c r="L51" i="25"/>
  <c r="CG157" i="5"/>
  <c r="CG172" i="5" s="1"/>
  <c r="L38" i="25"/>
  <c r="BG88" i="4"/>
  <c r="CA88" i="4" s="1"/>
  <c r="EO88" i="4"/>
  <c r="BG87" i="4"/>
  <c r="CA87" i="4" s="1"/>
  <c r="EO87" i="4"/>
  <c r="DZ182" i="4"/>
  <c r="DZ73" i="4"/>
  <c r="DZ75" i="4" s="1"/>
  <c r="T71" i="19"/>
  <c r="T17" i="19"/>
  <c r="BG86" i="4"/>
  <c r="CA86" i="4" s="1"/>
  <c r="EO86" i="4"/>
  <c r="EP86" i="4" s="1"/>
  <c r="BG92" i="4"/>
  <c r="EO92" i="4"/>
  <c r="CC207" i="5"/>
  <c r="BH67" i="4"/>
  <c r="BH187" i="4"/>
  <c r="AX67" i="4"/>
  <c r="AX187" i="4"/>
  <c r="BA67" i="4"/>
  <c r="BA187" i="4"/>
  <c r="DU15" i="5"/>
  <c r="G57" i="10"/>
  <c r="D51" i="10"/>
  <c r="D50" i="10"/>
  <c r="H50" i="23"/>
  <c r="H48" i="23"/>
  <c r="L48" i="23" s="1"/>
  <c r="R49" i="10"/>
  <c r="T49" i="10" s="1"/>
  <c r="AL49" i="10" s="1"/>
  <c r="H49" i="23"/>
  <c r="H47" i="23"/>
  <c r="R26" i="14"/>
  <c r="G24" i="10"/>
  <c r="Q100" i="3" s="1"/>
  <c r="H46" i="3" s="1"/>
  <c r="N177" i="41"/>
  <c r="I71" i="70"/>
  <c r="I75" i="70" s="1"/>
  <c r="BG318" i="5"/>
  <c r="F113" i="15"/>
  <c r="DW56" i="4"/>
  <c r="CA289" i="5"/>
  <c r="CA316" i="5"/>
  <c r="II49" i="26"/>
  <c r="CD157" i="5"/>
  <c r="CD172" i="5" s="1"/>
  <c r="II59" i="26"/>
  <c r="JF63" i="26"/>
  <c r="JG63" i="26" s="1"/>
  <c r="G22" i="50"/>
  <c r="C7" i="67"/>
  <c r="B32" i="66"/>
  <c r="BG198" i="5"/>
  <c r="CA198" i="5" s="1"/>
  <c r="BG141" i="5"/>
  <c r="CA141" i="5" s="1"/>
  <c r="BG149" i="5"/>
  <c r="CA149" i="5" s="1"/>
  <c r="DW84" i="5"/>
  <c r="DX85" i="5"/>
  <c r="DX84" i="5" s="1"/>
  <c r="G93" i="9"/>
  <c r="G108" i="9" s="1"/>
  <c r="M23" i="37"/>
  <c r="M42" i="37" s="1"/>
  <c r="AP63" i="28"/>
  <c r="AN75" i="28"/>
  <c r="IJ16" i="26"/>
  <c r="JF16" i="26" s="1"/>
  <c r="BF16" i="5"/>
  <c r="BG16" i="5" s="1"/>
  <c r="S39" i="37"/>
  <c r="M39" i="37"/>
  <c r="W39" i="37"/>
  <c r="E39" i="37"/>
  <c r="Q39" i="37"/>
  <c r="L69" i="13"/>
  <c r="O80" i="6" s="1"/>
  <c r="F61" i="30"/>
  <c r="F95" i="15"/>
  <c r="DZ173" i="4"/>
  <c r="DZ175" i="4" s="1"/>
  <c r="EE154" i="4"/>
  <c r="EE171" i="4" s="1"/>
  <c r="EE182" i="4" s="1"/>
  <c r="H34" i="15"/>
  <c r="L34" i="15" s="1"/>
  <c r="EO120" i="4"/>
  <c r="CA83" i="4"/>
  <c r="CA84" i="4"/>
  <c r="BF171" i="4"/>
  <c r="BF73" i="4" s="1"/>
  <c r="BG73" i="4" s="1"/>
  <c r="IH24" i="26"/>
  <c r="IH49" i="26"/>
  <c r="EC71" i="4"/>
  <c r="EC75" i="4" s="1"/>
  <c r="CD89" i="5"/>
  <c r="P30" i="22"/>
  <c r="P36" i="22" s="1"/>
  <c r="EG178" i="4"/>
  <c r="EG73" i="4"/>
  <c r="EG75" i="4" s="1"/>
  <c r="EG173" i="4"/>
  <c r="EG175" i="4" s="1"/>
  <c r="AI23" i="37"/>
  <c r="AI49" i="37"/>
  <c r="G37" i="37"/>
  <c r="G39" i="37" s="1"/>
  <c r="DU16" i="5"/>
  <c r="DR16" i="5" s="1"/>
  <c r="F16" i="36"/>
  <c r="F27" i="16"/>
  <c r="BY85" i="5"/>
  <c r="BZ85" i="5" s="1"/>
  <c r="DL75" i="5"/>
  <c r="Y19" i="37"/>
  <c r="Y23" i="37" s="1"/>
  <c r="DS114" i="5"/>
  <c r="DR332" i="5"/>
  <c r="DN75" i="5"/>
  <c r="DS332" i="5"/>
  <c r="DR114" i="5"/>
  <c r="D56" i="4"/>
  <c r="DF114" i="5"/>
  <c r="G146" i="11"/>
  <c r="DJ75" i="5"/>
  <c r="DM209" i="5"/>
  <c r="DM211" i="5" s="1"/>
  <c r="G27" i="11"/>
  <c r="K27" i="11" s="1"/>
  <c r="D22" i="10"/>
  <c r="H63" i="65" s="1"/>
  <c r="P19" i="24"/>
  <c r="F19" i="23" s="1"/>
  <c r="P20" i="24"/>
  <c r="F20" i="23" s="1"/>
  <c r="CY75" i="5"/>
  <c r="AJ55" i="28"/>
  <c r="DH75" i="5"/>
  <c r="DH77" i="5" s="1"/>
  <c r="G21" i="34"/>
  <c r="BS173" i="4"/>
  <c r="BS175" i="4" s="1"/>
  <c r="F40" i="33"/>
  <c r="DA75" i="5"/>
  <c r="DA77" i="5" s="1"/>
  <c r="CZ75" i="5"/>
  <c r="CZ77" i="5" s="1"/>
  <c r="G42" i="37"/>
  <c r="DA218" i="5"/>
  <c r="DA209" i="5"/>
  <c r="DA211" i="5" s="1"/>
  <c r="DD75" i="5"/>
  <c r="DN209" i="5"/>
  <c r="DN211" i="5" s="1"/>
  <c r="DB75" i="5"/>
  <c r="DB209" i="5"/>
  <c r="DB211" i="5" s="1"/>
  <c r="DI75" i="5"/>
  <c r="DI77" i="5" s="1"/>
  <c r="CX75" i="5"/>
  <c r="CX77" i="5" s="1"/>
  <c r="DK75" i="5"/>
  <c r="DK77" i="5" s="1"/>
  <c r="DI209" i="5"/>
  <c r="DI211" i="5" s="1"/>
  <c r="DJ209" i="5"/>
  <c r="DJ211" i="5" s="1"/>
  <c r="CL185" i="5"/>
  <c r="E63" i="65"/>
  <c r="G63" i="65" s="1"/>
  <c r="F39" i="16"/>
  <c r="DF292" i="5"/>
  <c r="DF331" i="5" s="1"/>
  <c r="DF185" i="5" s="1"/>
  <c r="DF207" i="5" s="1"/>
  <c r="DF157" i="5"/>
  <c r="DF172" i="5" s="1"/>
  <c r="E14" i="80"/>
  <c r="E22" i="80" s="1"/>
  <c r="E30" i="80" s="1"/>
  <c r="E38" i="80" s="1"/>
  <c r="CY180" i="4" s="1"/>
  <c r="CY182" i="4" s="1"/>
  <c r="CY18" i="5"/>
  <c r="CY43" i="5" s="1"/>
  <c r="CY61" i="5" s="1"/>
  <c r="CY73" i="5" s="1"/>
  <c r="CY213" i="5" s="1"/>
  <c r="I35" i="37"/>
  <c r="I37" i="37" s="1"/>
  <c r="I39" i="37" s="1"/>
  <c r="DC75" i="5"/>
  <c r="O35" i="37"/>
  <c r="O37" i="37" s="1"/>
  <c r="O39" i="37" s="1"/>
  <c r="DE75" i="5"/>
  <c r="EK336" i="5"/>
  <c r="CW88" i="5"/>
  <c r="DW88" i="5" s="1"/>
  <c r="CW10" i="5"/>
  <c r="CX172" i="5"/>
  <c r="CX209" i="5" s="1"/>
  <c r="CX211" i="5" s="1"/>
  <c r="G14" i="80"/>
  <c r="G22" i="80" s="1"/>
  <c r="G30" i="80" s="1"/>
  <c r="G38" i="80" s="1"/>
  <c r="DB180" i="4" s="1"/>
  <c r="DB182" i="4" s="1"/>
  <c r="DB18" i="5"/>
  <c r="DB43" i="5" s="1"/>
  <c r="DB61" i="5" s="1"/>
  <c r="DB73" i="5" s="1"/>
  <c r="DS292" i="5"/>
  <c r="DS331" i="5" s="1"/>
  <c r="DS185" i="5" s="1"/>
  <c r="DS207" i="5" s="1"/>
  <c r="DS157" i="5"/>
  <c r="DS172" i="5" s="1"/>
  <c r="W14" i="80"/>
  <c r="W22" i="80" s="1"/>
  <c r="W30" i="80" s="1"/>
  <c r="W38" i="80" s="1"/>
  <c r="DN180" i="4" s="1"/>
  <c r="DN182" i="4" s="1"/>
  <c r="DN18" i="5"/>
  <c r="DN43" i="5" s="1"/>
  <c r="DN61" i="5" s="1"/>
  <c r="DN73" i="5" s="1"/>
  <c r="DN213" i="5" s="1"/>
  <c r="DE209" i="5"/>
  <c r="DE211" i="5" s="1"/>
  <c r="DO292" i="5"/>
  <c r="DO331" i="5" s="1"/>
  <c r="DO185" i="5" s="1"/>
  <c r="DO207" i="5" s="1"/>
  <c r="DO10" i="5"/>
  <c r="DO18" i="5" s="1"/>
  <c r="DO43" i="5" s="1"/>
  <c r="DO61" i="5" s="1"/>
  <c r="DO73" i="5" s="1"/>
  <c r="DO213" i="5" s="1"/>
  <c r="DO157" i="5"/>
  <c r="DO172" i="5" s="1"/>
  <c r="DQ292" i="5"/>
  <c r="DQ331" i="5" s="1"/>
  <c r="DQ185" i="5" s="1"/>
  <c r="DQ157" i="5"/>
  <c r="DQ172" i="5" s="1"/>
  <c r="DL209" i="5"/>
  <c r="DL211" i="5" s="1"/>
  <c r="DC209" i="5"/>
  <c r="DC211" i="5" s="1"/>
  <c r="DM77" i="5"/>
  <c r="DD209" i="5"/>
  <c r="DD211" i="5" s="1"/>
  <c r="Q14" i="80"/>
  <c r="Q22" i="80" s="1"/>
  <c r="Q30" i="80" s="1"/>
  <c r="Q38" i="80" s="1"/>
  <c r="DJ180" i="4" s="1"/>
  <c r="DJ182" i="4" s="1"/>
  <c r="DJ18" i="5"/>
  <c r="DJ43" i="5" s="1"/>
  <c r="DJ61" i="5" s="1"/>
  <c r="DJ73" i="5" s="1"/>
  <c r="DK209" i="5"/>
  <c r="DK211" i="5" s="1"/>
  <c r="DH209" i="5"/>
  <c r="DH211" i="5" s="1"/>
  <c r="S14" i="80"/>
  <c r="S22" i="80" s="1"/>
  <c r="S30" i="80" s="1"/>
  <c r="S38" i="80" s="1"/>
  <c r="DL180" i="4" s="1"/>
  <c r="DL182" i="4" s="1"/>
  <c r="DL18" i="5"/>
  <c r="DL43" i="5" s="1"/>
  <c r="DL61" i="5" s="1"/>
  <c r="DL73" i="5" s="1"/>
  <c r="DR292" i="5"/>
  <c r="DR331" i="5" s="1"/>
  <c r="DR157" i="5"/>
  <c r="DR172" i="5" s="1"/>
  <c r="CY209" i="5"/>
  <c r="CY211" i="5" s="1"/>
  <c r="I14" i="80"/>
  <c r="I22" i="80" s="1"/>
  <c r="I30" i="80" s="1"/>
  <c r="I38" i="80" s="1"/>
  <c r="DC180" i="4" s="1"/>
  <c r="DC182" i="4" s="1"/>
  <c r="DC18" i="5"/>
  <c r="DC43" i="5" s="1"/>
  <c r="DC61" i="5" s="1"/>
  <c r="DC73" i="5" s="1"/>
  <c r="DC213" i="5" s="1"/>
  <c r="DC214" i="5" s="1"/>
  <c r="CZ209" i="5"/>
  <c r="CZ211" i="5" s="1"/>
  <c r="M14" i="80"/>
  <c r="M22" i="80" s="1"/>
  <c r="M30" i="80" s="1"/>
  <c r="M38" i="80" s="1"/>
  <c r="DD180" i="4" s="1"/>
  <c r="DD182" i="4" s="1"/>
  <c r="DD18" i="5"/>
  <c r="DD43" i="5" s="1"/>
  <c r="DD61" i="5" s="1"/>
  <c r="DD73" i="5" s="1"/>
  <c r="O14" i="80"/>
  <c r="O22" i="80" s="1"/>
  <c r="O30" i="80" s="1"/>
  <c r="O38" i="80" s="1"/>
  <c r="DE180" i="4" s="1"/>
  <c r="DE182" i="4" s="1"/>
  <c r="DE18" i="5"/>
  <c r="DE43" i="5" s="1"/>
  <c r="DE61" i="5" s="1"/>
  <c r="DE73" i="5" s="1"/>
  <c r="C36" i="80"/>
  <c r="DW288" i="5"/>
  <c r="DW292" i="5" s="1"/>
  <c r="N68" i="29"/>
  <c r="J70" i="13" s="1"/>
  <c r="L70" i="13" s="1"/>
  <c r="O77" i="6" s="1"/>
  <c r="G77" i="6" s="1"/>
  <c r="O72" i="31"/>
  <c r="Q42" i="37"/>
  <c r="W42" i="37"/>
  <c r="N36" i="30"/>
  <c r="J36" i="14" s="1"/>
  <c r="L36" i="14" s="1"/>
  <c r="S42" i="37"/>
  <c r="E42" i="37"/>
  <c r="DW43" i="4"/>
  <c r="CY75" i="4"/>
  <c r="CJ37" i="5"/>
  <c r="E611" i="65" s="1"/>
  <c r="CW59" i="4"/>
  <c r="CW71" i="4" s="1"/>
  <c r="CW177" i="4" s="1"/>
  <c r="CW178" i="4" s="1"/>
  <c r="AI69" i="28"/>
  <c r="AP69" i="28" s="1"/>
  <c r="DW182" i="4"/>
  <c r="BZ254" i="5"/>
  <c r="BZ271" i="5" s="1"/>
  <c r="E415" i="65"/>
  <c r="D45" i="30"/>
  <c r="N61" i="29"/>
  <c r="J62" i="13" s="1"/>
  <c r="L62" i="13" s="1"/>
  <c r="O63" i="6" s="1"/>
  <c r="DZ21" i="19"/>
  <c r="H45" i="30"/>
  <c r="BZ314" i="5"/>
  <c r="F33" i="66" s="1"/>
  <c r="G441" i="65"/>
  <c r="DZ26" i="19"/>
  <c r="DZ19" i="19"/>
  <c r="DZ22" i="19"/>
  <c r="DZ23" i="19"/>
  <c r="DZ18" i="19"/>
  <c r="CG33" i="19"/>
  <c r="DZ33" i="19" s="1"/>
  <c r="CG31" i="19"/>
  <c r="DZ31" i="19" s="1"/>
  <c r="CG32" i="19"/>
  <c r="DZ32" i="19" s="1"/>
  <c r="CG27" i="19"/>
  <c r="DZ27" i="19" s="1"/>
  <c r="R27" i="9" s="1"/>
  <c r="T27" i="9" s="1"/>
  <c r="AJ19" i="28"/>
  <c r="D74" i="11"/>
  <c r="J74" i="11" s="1"/>
  <c r="D52" i="31"/>
  <c r="D28" i="10"/>
  <c r="F45" i="30"/>
  <c r="D40" i="33"/>
  <c r="F45" i="14"/>
  <c r="P45" i="30" s="1"/>
  <c r="N27" i="34"/>
  <c r="N40" i="33"/>
  <c r="BY54" i="5"/>
  <c r="BZ54" i="5" s="1"/>
  <c r="N46" i="10"/>
  <c r="BY50" i="5"/>
  <c r="BZ50" i="5" s="1"/>
  <c r="C16" i="34"/>
  <c r="C21" i="34" s="1"/>
  <c r="CL41" i="5"/>
  <c r="CL42" i="5" s="1"/>
  <c r="D112" i="14"/>
  <c r="D113" i="14" s="1"/>
  <c r="D38" i="31"/>
  <c r="D87" i="31"/>
  <c r="O87" i="31" s="1"/>
  <c r="J91" i="15" s="1"/>
  <c r="D26" i="29"/>
  <c r="D42" i="29" s="1"/>
  <c r="N22" i="30"/>
  <c r="R72" i="9"/>
  <c r="T72" i="9" s="1"/>
  <c r="D79" i="29"/>
  <c r="D90" i="31"/>
  <c r="O90" i="31" s="1"/>
  <c r="J94" i="15" s="1"/>
  <c r="L94" i="15" s="1"/>
  <c r="D23" i="30"/>
  <c r="D28" i="30" s="1"/>
  <c r="D30" i="30" s="1"/>
  <c r="D17" i="31"/>
  <c r="D22" i="31" s="1"/>
  <c r="D91" i="31"/>
  <c r="D69" i="29"/>
  <c r="AJ57" i="28"/>
  <c r="C42" i="22"/>
  <c r="BY73" i="4"/>
  <c r="HJ51" i="26"/>
  <c r="HJ61" i="26" s="1"/>
  <c r="HJ73" i="26" s="1"/>
  <c r="AJ21" i="28"/>
  <c r="P41" i="5"/>
  <c r="BF89" i="5"/>
  <c r="BG89" i="5" s="1"/>
  <c r="D10" i="4"/>
  <c r="D10" i="5" s="1"/>
  <c r="J21" i="50"/>
  <c r="EL51" i="26"/>
  <c r="EL61" i="26" s="1"/>
  <c r="BN71" i="4"/>
  <c r="BN75" i="4" s="1"/>
  <c r="DO51" i="26"/>
  <c r="DO61" i="26" s="1"/>
  <c r="DO73" i="26" s="1"/>
  <c r="AY18" i="4"/>
  <c r="AY19" i="4" s="1"/>
  <c r="AY58" i="5"/>
  <c r="AT41" i="5"/>
  <c r="CP29" i="22"/>
  <c r="CP36" i="22" s="1"/>
  <c r="AT56" i="4"/>
  <c r="AT46" i="5"/>
  <c r="AT18" i="4"/>
  <c r="AT11" i="5"/>
  <c r="AU10" i="5"/>
  <c r="CU15" i="22" s="1"/>
  <c r="CU34" i="22"/>
  <c r="AU11" i="5"/>
  <c r="CU16" i="22" s="1"/>
  <c r="D130" i="13"/>
  <c r="D133" i="13" s="1"/>
  <c r="D134" i="13" s="1"/>
  <c r="AH49" i="28"/>
  <c r="J93" i="9"/>
  <c r="J108" i="9" s="1"/>
  <c r="P23" i="20"/>
  <c r="F23" i="18" s="1"/>
  <c r="C95" i="38"/>
  <c r="P15" i="20"/>
  <c r="F15" i="18" s="1"/>
  <c r="BP10" i="5"/>
  <c r="P22" i="20"/>
  <c r="F22" i="18" s="1"/>
  <c r="P18" i="20"/>
  <c r="F18" i="18" s="1"/>
  <c r="P28" i="20"/>
  <c r="F28" i="18" s="1"/>
  <c r="J14" i="66"/>
  <c r="J16" i="66" s="1"/>
  <c r="AR39" i="27"/>
  <c r="AR52" i="27" s="1"/>
  <c r="AR64" i="27" s="1"/>
  <c r="D25" i="66" s="1"/>
  <c r="P21" i="20"/>
  <c r="F19" i="18" s="1"/>
  <c r="E159" i="65"/>
  <c r="H27" i="25"/>
  <c r="F23" i="38"/>
  <c r="CA284" i="5"/>
  <c r="P14" i="66"/>
  <c r="P16" i="66" s="1"/>
  <c r="H60" i="13"/>
  <c r="BA43" i="3"/>
  <c r="AU23" i="3"/>
  <c r="AW23" i="3"/>
  <c r="U104" i="3"/>
  <c r="AA43" i="3"/>
  <c r="AK51" i="3"/>
  <c r="U100" i="3"/>
  <c r="S71" i="3"/>
  <c r="U96" i="3"/>
  <c r="AW19" i="3"/>
  <c r="S104" i="3"/>
  <c r="J47" i="3" s="1"/>
  <c r="AI39" i="3"/>
  <c r="S92" i="3"/>
  <c r="D47" i="3" s="1"/>
  <c r="P25" i="30"/>
  <c r="T20" i="15"/>
  <c r="H38" i="31"/>
  <c r="F23" i="30"/>
  <c r="N51" i="30"/>
  <c r="J51" i="14" s="1"/>
  <c r="L51" i="14" s="1"/>
  <c r="J16" i="30"/>
  <c r="J19" i="30" s="1"/>
  <c r="F35" i="51"/>
  <c r="D34" i="35"/>
  <c r="AO177" i="4"/>
  <c r="AO178" i="4" s="1"/>
  <c r="EN133" i="5"/>
  <c r="W16" i="39"/>
  <c r="Y16" i="39" s="1"/>
  <c r="W18" i="39"/>
  <c r="Y18" i="39" s="1"/>
  <c r="CJ31" i="5"/>
  <c r="CK31" i="5" s="1"/>
  <c r="EN105" i="5"/>
  <c r="EN65" i="5"/>
  <c r="BN41" i="5"/>
  <c r="J34" i="10" s="1"/>
  <c r="J37" i="10" s="1"/>
  <c r="BF86" i="5"/>
  <c r="BG86" i="5" s="1"/>
  <c r="BH14" i="19"/>
  <c r="BH37" i="19" s="1"/>
  <c r="AJ56" i="28"/>
  <c r="E42" i="12"/>
  <c r="E52" i="12" s="1"/>
  <c r="E64" i="12" s="1"/>
  <c r="D4" i="66" s="1"/>
  <c r="D14" i="66" s="1"/>
  <c r="D16" i="66" s="1"/>
  <c r="II69" i="26"/>
  <c r="O28" i="31"/>
  <c r="J29" i="15" s="1"/>
  <c r="L29" i="15" s="1"/>
  <c r="EV51" i="26"/>
  <c r="EV61" i="26" s="1"/>
  <c r="EB51" i="26"/>
  <c r="EB61" i="26" s="1"/>
  <c r="I39" i="6"/>
  <c r="G181" i="11"/>
  <c r="C51" i="28"/>
  <c r="C61" i="28" s="1"/>
  <c r="BU63" i="5"/>
  <c r="BU69" i="5" s="1"/>
  <c r="JE30" i="26"/>
  <c r="JE45" i="26"/>
  <c r="JE56" i="26"/>
  <c r="JE44" i="26"/>
  <c r="JE41" i="26"/>
  <c r="JE38" i="26"/>
  <c r="JE29" i="26"/>
  <c r="JE20" i="26"/>
  <c r="JE16" i="26"/>
  <c r="JE33" i="26"/>
  <c r="JE39" i="26"/>
  <c r="JE35" i="26"/>
  <c r="JE32" i="26"/>
  <c r="JE42" i="26"/>
  <c r="JE55" i="26"/>
  <c r="JE21" i="26"/>
  <c r="JE22" i="26"/>
  <c r="JE17" i="26"/>
  <c r="JE54" i="26"/>
  <c r="JE36" i="26"/>
  <c r="JE19" i="26"/>
  <c r="JE57" i="26"/>
  <c r="JE18" i="26"/>
  <c r="G174" i="11"/>
  <c r="DZ177" i="4"/>
  <c r="DJ177" i="4"/>
  <c r="H23" i="25"/>
  <c r="H51" i="25"/>
  <c r="HA59" i="26"/>
  <c r="BD59" i="26"/>
  <c r="E357" i="5"/>
  <c r="I410" i="5" s="1"/>
  <c r="DE177" i="4"/>
  <c r="DE178" i="4" s="1"/>
  <c r="DH177" i="4"/>
  <c r="DH178" i="4" s="1"/>
  <c r="CG42" i="4"/>
  <c r="CN43" i="4"/>
  <c r="CN59" i="4" s="1"/>
  <c r="CN71" i="4" s="1"/>
  <c r="CN177" i="4" s="1"/>
  <c r="CN178" i="4" s="1"/>
  <c r="CJ34" i="5"/>
  <c r="CK34" i="5" s="1"/>
  <c r="DQ177" i="4"/>
  <c r="H33" i="14"/>
  <c r="H45" i="14" s="1"/>
  <c r="F14" i="38"/>
  <c r="AJ36" i="28"/>
  <c r="H51" i="28"/>
  <c r="H61" i="28" s="1"/>
  <c r="H73" i="28" s="1"/>
  <c r="BY22" i="4"/>
  <c r="G164" i="11"/>
  <c r="I24" i="28"/>
  <c r="DT59" i="26"/>
  <c r="F21" i="10"/>
  <c r="CR154" i="5"/>
  <c r="CJ73" i="4"/>
  <c r="CF173" i="4"/>
  <c r="CF175" i="4" s="1"/>
  <c r="AJ54" i="28"/>
  <c r="E24" i="28"/>
  <c r="R59" i="28"/>
  <c r="I59" i="28"/>
  <c r="G51" i="28"/>
  <c r="G61" i="28" s="1"/>
  <c r="Y51" i="26"/>
  <c r="Y61" i="26" s="1"/>
  <c r="Y73" i="26" s="1"/>
  <c r="CO51" i="26"/>
  <c r="CO61" i="26" s="1"/>
  <c r="CO73" i="26" s="1"/>
  <c r="CL175" i="4"/>
  <c r="P175" i="4"/>
  <c r="G198" i="11"/>
  <c r="CQ43" i="4"/>
  <c r="CQ59" i="4" s="1"/>
  <c r="CQ71" i="4" s="1"/>
  <c r="CQ75" i="4" s="1"/>
  <c r="CU41" i="4"/>
  <c r="CL19" i="4"/>
  <c r="CL43" i="4"/>
  <c r="CL59" i="4" s="1"/>
  <c r="CL71" i="4" s="1"/>
  <c r="CL177" i="4" s="1"/>
  <c r="CL178" i="4" s="1"/>
  <c r="CG175" i="4"/>
  <c r="BP29" i="4"/>
  <c r="X175" i="4"/>
  <c r="BP15" i="19"/>
  <c r="G46" i="11"/>
  <c r="K46" i="11" s="1"/>
  <c r="G69" i="11"/>
  <c r="CA285" i="5"/>
  <c r="B29" i="66"/>
  <c r="E488" i="65"/>
  <c r="H19" i="10"/>
  <c r="G64" i="70"/>
  <c r="G71" i="70" s="1"/>
  <c r="F22" i="10"/>
  <c r="E67" i="70"/>
  <c r="F18" i="10"/>
  <c r="E79" i="70"/>
  <c r="E80" i="70" s="1"/>
  <c r="F17" i="10"/>
  <c r="E60" i="70"/>
  <c r="R49" i="28"/>
  <c r="BR14" i="5"/>
  <c r="N20" i="10" s="1"/>
  <c r="BP48" i="4"/>
  <c r="HE51" i="26"/>
  <c r="HE61" i="26" s="1"/>
  <c r="R90" i="6"/>
  <c r="D20" i="10"/>
  <c r="H55" i="65" s="1"/>
  <c r="C65" i="70"/>
  <c r="C11" i="70"/>
  <c r="BC372" i="5"/>
  <c r="G36" i="70" s="1"/>
  <c r="G38" i="70" s="1"/>
  <c r="G47" i="70" s="1"/>
  <c r="E50" i="34"/>
  <c r="L102" i="15"/>
  <c r="L93" i="15"/>
  <c r="R16" i="15"/>
  <c r="O29" i="6"/>
  <c r="H52" i="39"/>
  <c r="M52" i="7"/>
  <c r="M54" i="7" s="1"/>
  <c r="CA286" i="5"/>
  <c r="CA57" i="5"/>
  <c r="CA55" i="5"/>
  <c r="CA100" i="5"/>
  <c r="J103" i="29"/>
  <c r="BG293" i="5"/>
  <c r="BG292" i="5"/>
  <c r="O61" i="26"/>
  <c r="O73" i="26" s="1"/>
  <c r="H63" i="5"/>
  <c r="H69" i="5" s="1"/>
  <c r="EX24" i="26"/>
  <c r="HP51" i="26"/>
  <c r="HP61" i="26" s="1"/>
  <c r="HP73" i="26" s="1"/>
  <c r="CD51" i="26"/>
  <c r="CD61" i="26" s="1"/>
  <c r="Z59" i="26"/>
  <c r="J24" i="26"/>
  <c r="DP59" i="26"/>
  <c r="AL77" i="5"/>
  <c r="BK51" i="26"/>
  <c r="BK61" i="26" s="1"/>
  <c r="BK73" i="26" s="1"/>
  <c r="AL387" i="5"/>
  <c r="AE18" i="4"/>
  <c r="AE19" i="4" s="1"/>
  <c r="CF24" i="26"/>
  <c r="ET59" i="26"/>
  <c r="GL59" i="26"/>
  <c r="X51" i="26"/>
  <c r="X61" i="26" s="1"/>
  <c r="BD24" i="26"/>
  <c r="BP51" i="26"/>
  <c r="BP61" i="26" s="1"/>
  <c r="D51" i="26"/>
  <c r="R51" i="26"/>
  <c r="R61" i="26" s="1"/>
  <c r="AT59" i="26"/>
  <c r="EX59" i="26"/>
  <c r="J59" i="26"/>
  <c r="AB51" i="26"/>
  <c r="AB61" i="26" s="1"/>
  <c r="HY59" i="26"/>
  <c r="AD59" i="26"/>
  <c r="CF59" i="26"/>
  <c r="CB24" i="26"/>
  <c r="GQ59" i="26"/>
  <c r="HG59" i="26"/>
  <c r="CC90" i="19"/>
  <c r="CC91" i="19" s="1"/>
  <c r="AO180" i="4"/>
  <c r="AO182" i="4" s="1"/>
  <c r="EW51" i="26"/>
  <c r="EW61" i="26" s="1"/>
  <c r="EW73" i="26" s="1"/>
  <c r="GZ51" i="26"/>
  <c r="GZ61" i="26" s="1"/>
  <c r="GZ73" i="26" s="1"/>
  <c r="GK51" i="26"/>
  <c r="GK61" i="26" s="1"/>
  <c r="GK73" i="26" s="1"/>
  <c r="CB59" i="26"/>
  <c r="EM51" i="26"/>
  <c r="EM61" i="26" s="1"/>
  <c r="EM73" i="26" s="1"/>
  <c r="F59" i="26"/>
  <c r="DY51" i="26"/>
  <c r="DY61" i="26" s="1"/>
  <c r="DY73" i="26" s="1"/>
  <c r="BJ51" i="26"/>
  <c r="BJ61" i="26" s="1"/>
  <c r="T59" i="26"/>
  <c r="T61" i="26" s="1"/>
  <c r="CV59" i="26"/>
  <c r="AJ59" i="26"/>
  <c r="CP59" i="26"/>
  <c r="CV24" i="26"/>
  <c r="N36" i="22"/>
  <c r="DE51" i="26"/>
  <c r="DE61" i="26" s="1"/>
  <c r="DE73" i="26" s="1"/>
  <c r="V63" i="5"/>
  <c r="V69" i="5" s="1"/>
  <c r="T63" i="5"/>
  <c r="T69" i="5" s="1"/>
  <c r="CE51" i="26"/>
  <c r="CE61" i="26" s="1"/>
  <c r="CE73" i="26" s="1"/>
  <c r="AA63" i="5"/>
  <c r="AA69" i="5" s="1"/>
  <c r="GP51" i="26"/>
  <c r="GP61" i="26" s="1"/>
  <c r="GP73" i="26" s="1"/>
  <c r="ER51" i="26"/>
  <c r="ER61" i="26" s="1"/>
  <c r="HO51" i="26"/>
  <c r="HO61" i="26" s="1"/>
  <c r="JB51" i="26"/>
  <c r="JB61" i="26" s="1"/>
  <c r="JB73" i="26" s="1"/>
  <c r="BL59" i="26"/>
  <c r="EC51" i="26"/>
  <c r="EC61" i="26" s="1"/>
  <c r="EC73" i="26" s="1"/>
  <c r="HF51" i="26"/>
  <c r="HF61" i="26" s="1"/>
  <c r="HF73" i="26" s="1"/>
  <c r="DS51" i="26"/>
  <c r="DS61" i="26" s="1"/>
  <c r="DS73" i="26" s="1"/>
  <c r="H51" i="26"/>
  <c r="H61" i="26" s="1"/>
  <c r="BT51" i="26"/>
  <c r="BT61" i="26" s="1"/>
  <c r="CT51" i="26"/>
  <c r="CT61" i="26" s="1"/>
  <c r="AD56" i="4"/>
  <c r="AD50" i="5"/>
  <c r="AA27" i="22"/>
  <c r="X48" i="39"/>
  <c r="X52" i="39" s="1"/>
  <c r="CA92" i="5"/>
  <c r="G90" i="34"/>
  <c r="N46" i="25"/>
  <c r="H46" i="23" s="1"/>
  <c r="T30" i="34"/>
  <c r="N32" i="15" s="1"/>
  <c r="CA103" i="5"/>
  <c r="CA56" i="5"/>
  <c r="EE43" i="4"/>
  <c r="EE59" i="4" s="1"/>
  <c r="EE71" i="4" s="1"/>
  <c r="EE177" i="4" s="1"/>
  <c r="BA39" i="3"/>
  <c r="CU132" i="5"/>
  <c r="E406" i="65"/>
  <c r="BG258" i="5"/>
  <c r="BG271" i="5" s="1"/>
  <c r="CA256" i="5"/>
  <c r="EN337" i="5"/>
  <c r="F26" i="36"/>
  <c r="C16" i="37"/>
  <c r="EQ84" i="5"/>
  <c r="CJ82" i="4"/>
  <c r="D51" i="28"/>
  <c r="D61" i="28" s="1"/>
  <c r="D73" i="28" s="1"/>
  <c r="BP14" i="19"/>
  <c r="AJ84" i="5"/>
  <c r="F60" i="38"/>
  <c r="P51" i="28"/>
  <c r="P61" i="28" s="1"/>
  <c r="BY49" i="4"/>
  <c r="N51" i="10"/>
  <c r="N21" i="10"/>
  <c r="AD24" i="26"/>
  <c r="AT24" i="26"/>
  <c r="N61" i="26"/>
  <c r="BV59" i="26"/>
  <c r="BR59" i="26"/>
  <c r="F24" i="26"/>
  <c r="AI51" i="26"/>
  <c r="AI61" i="26" s="1"/>
  <c r="AI73" i="26" s="1"/>
  <c r="JC59" i="26"/>
  <c r="DF24" i="26"/>
  <c r="E36" i="22"/>
  <c r="IJ22" i="26"/>
  <c r="JF22" i="26" s="1"/>
  <c r="HQ59" i="26"/>
  <c r="DX51" i="26"/>
  <c r="DX61" i="26" s="1"/>
  <c r="CL59" i="26"/>
  <c r="AJ24" i="26"/>
  <c r="GJ51" i="26"/>
  <c r="GJ61" i="26" s="1"/>
  <c r="F63" i="5"/>
  <c r="F69" i="5" s="1"/>
  <c r="P18" i="4"/>
  <c r="P19" i="4" s="1"/>
  <c r="P12" i="5"/>
  <c r="P18" i="5" s="1"/>
  <c r="AS18" i="4"/>
  <c r="AS19" i="4" s="1"/>
  <c r="ES51" i="26"/>
  <c r="ES61" i="26" s="1"/>
  <c r="ES73" i="26" s="1"/>
  <c r="DP24" i="26"/>
  <c r="AD63" i="5"/>
  <c r="AD69" i="5" s="1"/>
  <c r="P59" i="26"/>
  <c r="DT24" i="26"/>
  <c r="Z24" i="26"/>
  <c r="P49" i="26"/>
  <c r="EN24" i="26"/>
  <c r="HK24" i="26"/>
  <c r="ED59" i="26"/>
  <c r="BR24" i="26"/>
  <c r="ED24" i="26"/>
  <c r="CZ24" i="26"/>
  <c r="CP24" i="26"/>
  <c r="T24" i="26"/>
  <c r="CU51" i="26"/>
  <c r="CU61" i="26" s="1"/>
  <c r="CU73" i="26" s="1"/>
  <c r="EJ49" i="26"/>
  <c r="HW51" i="26"/>
  <c r="HW61" i="26" s="1"/>
  <c r="HG24" i="26"/>
  <c r="HQ24" i="26"/>
  <c r="EH51" i="26"/>
  <c r="EH61" i="26" s="1"/>
  <c r="DZ59" i="26"/>
  <c r="DF59" i="26"/>
  <c r="BL24" i="26"/>
  <c r="HX51" i="26"/>
  <c r="HX61" i="26" s="1"/>
  <c r="HX73" i="26" s="1"/>
  <c r="CZ59" i="26"/>
  <c r="AD49" i="26"/>
  <c r="AT49" i="26"/>
  <c r="F49" i="26"/>
  <c r="EJ24" i="26"/>
  <c r="BV24" i="26"/>
  <c r="EJ59" i="26"/>
  <c r="AR51" i="26"/>
  <c r="AR61" i="26" s="1"/>
  <c r="P24" i="26"/>
  <c r="DR51" i="26"/>
  <c r="DR61" i="26" s="1"/>
  <c r="GQ49" i="26"/>
  <c r="EX49" i="26"/>
  <c r="EI51" i="26"/>
  <c r="EI61" i="26" s="1"/>
  <c r="EI73" i="26" s="1"/>
  <c r="DZ49" i="26"/>
  <c r="HK49" i="26"/>
  <c r="AU63" i="5"/>
  <c r="AU69" i="5" s="1"/>
  <c r="EQ12" i="5"/>
  <c r="EQ18" i="5" s="1"/>
  <c r="ET49" i="26"/>
  <c r="DT49" i="26"/>
  <c r="CZ49" i="26"/>
  <c r="Y63" i="5"/>
  <c r="Y69" i="5" s="1"/>
  <c r="AC51" i="26"/>
  <c r="AC61" i="26" s="1"/>
  <c r="AC73" i="26" s="1"/>
  <c r="AD18" i="4"/>
  <c r="AD19" i="4" s="1"/>
  <c r="GL24" i="26"/>
  <c r="CL24" i="26"/>
  <c r="CJ51" i="26"/>
  <c r="CJ61" i="26" s="1"/>
  <c r="T49" i="26"/>
  <c r="BR49" i="26"/>
  <c r="CX51" i="26"/>
  <c r="CX61" i="26" s="1"/>
  <c r="J49" i="26"/>
  <c r="BB51" i="26"/>
  <c r="BB61" i="26" s="1"/>
  <c r="GO61" i="26"/>
  <c r="P53" i="33"/>
  <c r="P66" i="33" s="1"/>
  <c r="R69" i="5"/>
  <c r="AG69" i="5"/>
  <c r="DU57" i="22"/>
  <c r="DU61" i="22" s="1"/>
  <c r="CO69" i="5"/>
  <c r="DK213" i="5"/>
  <c r="DH213" i="5"/>
  <c r="DH214" i="5" s="1"/>
  <c r="K69" i="5"/>
  <c r="X69" i="5"/>
  <c r="AN77" i="5"/>
  <c r="N53" i="33"/>
  <c r="N66" i="33" s="1"/>
  <c r="BJ69" i="5"/>
  <c r="AI69" i="5"/>
  <c r="AO213" i="5"/>
  <c r="AO214" i="5" s="1"/>
  <c r="BC69" i="5"/>
  <c r="CX213" i="5"/>
  <c r="AH69" i="5"/>
  <c r="EN118" i="5"/>
  <c r="CJ128" i="5"/>
  <c r="AG34" i="9"/>
  <c r="E38" i="6" s="1"/>
  <c r="N38" i="6"/>
  <c r="O38" i="6"/>
  <c r="G38" i="6" s="1"/>
  <c r="F62" i="15"/>
  <c r="CG61" i="19"/>
  <c r="CT61" i="19" s="1"/>
  <c r="DK61" i="19" s="1"/>
  <c r="E594" i="65"/>
  <c r="CK46" i="5"/>
  <c r="CA93" i="5"/>
  <c r="CJ132" i="5"/>
  <c r="CJ154" i="5" s="1"/>
  <c r="CA94" i="5"/>
  <c r="E147" i="65"/>
  <c r="J57" i="10"/>
  <c r="CA98" i="5"/>
  <c r="E148" i="65"/>
  <c r="E607" i="65"/>
  <c r="CK33" i="5"/>
  <c r="I57" i="65"/>
  <c r="G298" i="65"/>
  <c r="I68" i="65"/>
  <c r="CA51" i="26"/>
  <c r="CA61" i="26" s="1"/>
  <c r="CA73" i="26" s="1"/>
  <c r="JA51" i="26"/>
  <c r="JA61" i="26" s="1"/>
  <c r="CN51" i="26"/>
  <c r="CN61" i="26" s="1"/>
  <c r="DN51" i="26"/>
  <c r="DN61" i="26" s="1"/>
  <c r="HI51" i="26"/>
  <c r="HI61" i="26" s="1"/>
  <c r="AH51" i="26"/>
  <c r="AH61" i="26" s="1"/>
  <c r="E51" i="26"/>
  <c r="E61" i="26" s="1"/>
  <c r="E73" i="26" s="1"/>
  <c r="S51" i="26"/>
  <c r="S61" i="26" s="1"/>
  <c r="S73" i="26" s="1"/>
  <c r="AJ49" i="26"/>
  <c r="DD51" i="26"/>
  <c r="DD61" i="26" s="1"/>
  <c r="BG13" i="19"/>
  <c r="BT13" i="19" s="1"/>
  <c r="BG60" i="19"/>
  <c r="BT60" i="19" s="1"/>
  <c r="CG60" i="19" s="1"/>
  <c r="CT60" i="19" s="1"/>
  <c r="DK60" i="19" s="1"/>
  <c r="DZ60" i="19" s="1"/>
  <c r="D62" i="18" s="1"/>
  <c r="F15" i="13"/>
  <c r="CG84" i="5"/>
  <c r="BR364" i="5"/>
  <c r="N30" i="10"/>
  <c r="Y61" i="28"/>
  <c r="Q51" i="28"/>
  <c r="Q61" i="28" s="1"/>
  <c r="Q73" i="28" s="1"/>
  <c r="N28" i="10"/>
  <c r="BA354" i="5"/>
  <c r="BA361" i="5" s="1"/>
  <c r="AD18" i="5"/>
  <c r="Q364" i="5"/>
  <c r="Q376" i="5" s="1"/>
  <c r="L97" i="15"/>
  <c r="F51" i="15"/>
  <c r="F54" i="15" s="1"/>
  <c r="BH172" i="5"/>
  <c r="BP173" i="5" s="1"/>
  <c r="BP157" i="5"/>
  <c r="BI75" i="5"/>
  <c r="N21" i="21"/>
  <c r="H19" i="18" s="1"/>
  <c r="P22" i="33"/>
  <c r="P27" i="33" s="1"/>
  <c r="N23" i="21"/>
  <c r="H23" i="18" s="1"/>
  <c r="J40" i="29"/>
  <c r="K41" i="31"/>
  <c r="K52" i="31" s="1"/>
  <c r="AF57" i="10"/>
  <c r="AJ70" i="10"/>
  <c r="AM213" i="5"/>
  <c r="AM214" i="5" s="1"/>
  <c r="AM387" i="5"/>
  <c r="Q63" i="5"/>
  <c r="DX75" i="4"/>
  <c r="V41" i="4"/>
  <c r="V42" i="4" s="1"/>
  <c r="AF63" i="5"/>
  <c r="S63" i="5"/>
  <c r="M927" i="65"/>
  <c r="BN69" i="5"/>
  <c r="R64" i="32"/>
  <c r="H69" i="30"/>
  <c r="R16" i="34"/>
  <c r="R21" i="34" s="1"/>
  <c r="U346" i="5"/>
  <c r="U188" i="5" s="1"/>
  <c r="AJ75" i="19" s="1"/>
  <c r="F16" i="8"/>
  <c r="Q16" i="8" s="1"/>
  <c r="BR63" i="5"/>
  <c r="AS350" i="5"/>
  <c r="BF350" i="5" s="1"/>
  <c r="BG350" i="5" s="1"/>
  <c r="CK292" i="5"/>
  <c r="CK331" i="5" s="1"/>
  <c r="AJ69" i="5"/>
  <c r="EM69" i="5"/>
  <c r="EM73" i="5" s="1"/>
  <c r="N33" i="30"/>
  <c r="E37" i="34"/>
  <c r="H17" i="31"/>
  <c r="CJ334" i="5"/>
  <c r="CK334" i="5" s="1"/>
  <c r="CE69" i="5"/>
  <c r="G46" i="19"/>
  <c r="G68" i="19" s="1"/>
  <c r="T154" i="5"/>
  <c r="H109" i="14"/>
  <c r="H110" i="14" s="1"/>
  <c r="H113" i="14" s="1"/>
  <c r="V41" i="5"/>
  <c r="CG154" i="5"/>
  <c r="D22" i="33"/>
  <c r="D27" i="33" s="1"/>
  <c r="AG58" i="5"/>
  <c r="DY213" i="5"/>
  <c r="CF41" i="5"/>
  <c r="F22" i="33"/>
  <c r="F27" i="33" s="1"/>
  <c r="F77" i="33" s="1"/>
  <c r="DI213" i="5"/>
  <c r="BW69" i="5"/>
  <c r="Y46" i="19"/>
  <c r="Y68" i="19" s="1"/>
  <c r="T87" i="34"/>
  <c r="N91" i="15" s="1"/>
  <c r="CM41" i="5"/>
  <c r="CM42" i="5" s="1"/>
  <c r="J23" i="30"/>
  <c r="J28" i="30" s="1"/>
  <c r="E696" i="65"/>
  <c r="BY271" i="5"/>
  <c r="BP331" i="5"/>
  <c r="EF63" i="5"/>
  <c r="CU94" i="5"/>
  <c r="E623" i="65" s="1"/>
  <c r="BP64" i="5"/>
  <c r="E80" i="34"/>
  <c r="T80" i="34" s="1"/>
  <c r="N84" i="15" s="1"/>
  <c r="CU50" i="5"/>
  <c r="CJ271" i="5"/>
  <c r="AL180" i="4"/>
  <c r="AL182" i="4" s="1"/>
  <c r="E26" i="65"/>
  <c r="BA17" i="22"/>
  <c r="BA23" i="22" s="1"/>
  <c r="DA42" i="22"/>
  <c r="DA52" i="22" s="1"/>
  <c r="CO41" i="5"/>
  <c r="CO43" i="5" s="1"/>
  <c r="CO61" i="5" s="1"/>
  <c r="BD69" i="5"/>
  <c r="AP71" i="19"/>
  <c r="AE35" i="3" s="1"/>
  <c r="BW90" i="19"/>
  <c r="BW91" i="19" s="1"/>
  <c r="EL213" i="5"/>
  <c r="EL214" i="5" s="1"/>
  <c r="CU271" i="5"/>
  <c r="G369" i="5"/>
  <c r="G376" i="5" s="1"/>
  <c r="G191" i="5" s="1"/>
  <c r="BY341" i="5"/>
  <c r="BZ341" i="5" s="1"/>
  <c r="R57" i="32"/>
  <c r="BU350" i="5"/>
  <c r="BU361" i="5" s="1"/>
  <c r="BU386" i="5" s="1"/>
  <c r="BS350" i="5"/>
  <c r="AA18" i="5"/>
  <c r="AA19" i="5" s="1"/>
  <c r="DC23" i="22"/>
  <c r="BF271" i="5"/>
  <c r="BY132" i="5"/>
  <c r="BZ132" i="5" s="1"/>
  <c r="BW346" i="5"/>
  <c r="BW350" i="5" s="1"/>
  <c r="E407" i="65"/>
  <c r="AF114" i="5"/>
  <c r="L76" i="13"/>
  <c r="O84" i="6" s="1"/>
  <c r="G84" i="6" s="1"/>
  <c r="BP376" i="5"/>
  <c r="AF84" i="5"/>
  <c r="R59" i="32"/>
  <c r="N64" i="6"/>
  <c r="R24" i="32"/>
  <c r="O370" i="5"/>
  <c r="O376" i="5" s="1"/>
  <c r="J154" i="5"/>
  <c r="BU175" i="4"/>
  <c r="CO185" i="5"/>
  <c r="CO207" i="5" s="1"/>
  <c r="CO75" i="5" s="1"/>
  <c r="CF157" i="5"/>
  <c r="CF172" i="5" s="1"/>
  <c r="CH335" i="5"/>
  <c r="DQ173" i="4"/>
  <c r="DQ175" i="4" s="1"/>
  <c r="CW173" i="4"/>
  <c r="CW175" i="4" s="1"/>
  <c r="CB175" i="4"/>
  <c r="BY115" i="4"/>
  <c r="CC19" i="5"/>
  <c r="N72" i="32"/>
  <c r="DZ53" i="19"/>
  <c r="F79" i="29"/>
  <c r="DZ62" i="19"/>
  <c r="D64" i="18" s="1"/>
  <c r="L64" i="18" s="1"/>
  <c r="N76" i="29"/>
  <c r="J78" i="13" s="1"/>
  <c r="L78" i="13" s="1"/>
  <c r="O88" i="6" s="1"/>
  <c r="G88" i="6" s="1"/>
  <c r="O105" i="31"/>
  <c r="L110" i="15" s="1"/>
  <c r="J68" i="18"/>
  <c r="AF175" i="4"/>
  <c r="I89" i="34"/>
  <c r="T89" i="34" s="1"/>
  <c r="N94" i="15" s="1"/>
  <c r="R67" i="32"/>
  <c r="I60" i="32"/>
  <c r="BI209" i="5"/>
  <c r="BI211" i="5" s="1"/>
  <c r="AL209" i="5"/>
  <c r="AL211" i="5" s="1"/>
  <c r="AO209" i="5"/>
  <c r="AO211" i="5" s="1"/>
  <c r="AC175" i="4"/>
  <c r="R154" i="5"/>
  <c r="AL71" i="19"/>
  <c r="BC71" i="19"/>
  <c r="AN71" i="19"/>
  <c r="AN68" i="19" s="1"/>
  <c r="AR154" i="5"/>
  <c r="AZ154" i="5"/>
  <c r="AY154" i="5"/>
  <c r="D172" i="5"/>
  <c r="G71" i="19"/>
  <c r="I71" i="19"/>
  <c r="CJ136" i="4"/>
  <c r="CJ173" i="4" s="1"/>
  <c r="AG71" i="19"/>
  <c r="W35" i="3" s="1"/>
  <c r="N71" i="19"/>
  <c r="AM209" i="5"/>
  <c r="AM211" i="5" s="1"/>
  <c r="EB209" i="5"/>
  <c r="EB211" i="5" s="1"/>
  <c r="EB75" i="5"/>
  <c r="EB77" i="5" s="1"/>
  <c r="BD75" i="4"/>
  <c r="BU154" i="5"/>
  <c r="BU172" i="5"/>
  <c r="AU71" i="19"/>
  <c r="AI154" i="5"/>
  <c r="BY112" i="4"/>
  <c r="BW172" i="5"/>
  <c r="DL71" i="19"/>
  <c r="AM75" i="3" s="1"/>
  <c r="AU154" i="5"/>
  <c r="S175" i="4"/>
  <c r="D32" i="52"/>
  <c r="C71" i="19"/>
  <c r="CH154" i="5"/>
  <c r="P71" i="19"/>
  <c r="F66" i="21"/>
  <c r="BT172" i="5"/>
  <c r="G20" i="11"/>
  <c r="K20" i="11" s="1"/>
  <c r="CR69" i="5"/>
  <c r="BT12" i="5"/>
  <c r="F17" i="25" s="1"/>
  <c r="N17" i="25" s="1"/>
  <c r="H17" i="23" s="1"/>
  <c r="BY12" i="4"/>
  <c r="BR13" i="5"/>
  <c r="N19" i="10" s="1"/>
  <c r="BY13" i="4"/>
  <c r="K41" i="4"/>
  <c r="K42" i="4" s="1"/>
  <c r="W67" i="4"/>
  <c r="W63" i="5"/>
  <c r="AF67" i="4"/>
  <c r="EQ63" i="5"/>
  <c r="AZ67" i="4"/>
  <c r="AZ63" i="5"/>
  <c r="BY23" i="4"/>
  <c r="BR41" i="4"/>
  <c r="BR42" i="4" s="1"/>
  <c r="BS24" i="5"/>
  <c r="D29" i="25" s="1"/>
  <c r="N29" i="25" s="1"/>
  <c r="H29" i="23" s="1"/>
  <c r="BY24" i="4"/>
  <c r="AS23" i="3"/>
  <c r="F38" i="24"/>
  <c r="F56" i="24" s="1"/>
  <c r="F66" i="24" s="1"/>
  <c r="AG10" i="5"/>
  <c r="BJ15" i="22" s="1"/>
  <c r="BJ23" i="22" s="1"/>
  <c r="AG18" i="4"/>
  <c r="AG19" i="4" s="1"/>
  <c r="BS69" i="5"/>
  <c r="EM207" i="5"/>
  <c r="EM218" i="5" s="1"/>
  <c r="EM75" i="5"/>
  <c r="EN200" i="5"/>
  <c r="F53" i="33"/>
  <c r="F66" i="33" s="1"/>
  <c r="CJ94" i="5"/>
  <c r="E540" i="65" s="1"/>
  <c r="I46" i="19"/>
  <c r="I68" i="19" s="1"/>
  <c r="H154" i="5"/>
  <c r="X64" i="5"/>
  <c r="AH114" i="5"/>
  <c r="AH84" i="5"/>
  <c r="BP17" i="19"/>
  <c r="AJ114" i="5"/>
  <c r="N28" i="25"/>
  <c r="H28" i="23" s="1"/>
  <c r="K154" i="5"/>
  <c r="BY16" i="4"/>
  <c r="T41" i="4"/>
  <c r="T42" i="4" s="1"/>
  <c r="AG27" i="37"/>
  <c r="AG30" i="37" s="1"/>
  <c r="DS173" i="4"/>
  <c r="DS175" i="4" s="1"/>
  <c r="AS69" i="5"/>
  <c r="CE40" i="5"/>
  <c r="CE42" i="4"/>
  <c r="CP42" i="4"/>
  <c r="CU42" i="4" s="1"/>
  <c r="CP43" i="4"/>
  <c r="CP59" i="4" s="1"/>
  <c r="CP71" i="4" s="1"/>
  <c r="F84" i="5"/>
  <c r="E14" i="19"/>
  <c r="D44" i="39"/>
  <c r="N31" i="25"/>
  <c r="H31" i="23" s="1"/>
  <c r="BY26" i="5"/>
  <c r="BZ26" i="5" s="1"/>
  <c r="J41" i="4"/>
  <c r="J42" i="4" s="1"/>
  <c r="F41" i="4"/>
  <c r="F42" i="4" s="1"/>
  <c r="O19" i="31"/>
  <c r="J19" i="15" s="1"/>
  <c r="L19" i="15" s="1"/>
  <c r="AD175" i="4"/>
  <c r="EQ27" i="5"/>
  <c r="EQ41" i="5" s="1"/>
  <c r="AV154" i="5"/>
  <c r="AX154" i="5"/>
  <c r="AS154" i="5"/>
  <c r="BR175" i="4"/>
  <c r="BC23" i="22"/>
  <c r="CQ175" i="4"/>
  <c r="AF19" i="4"/>
  <c r="P68" i="19"/>
  <c r="AO28" i="37"/>
  <c r="CN23" i="22"/>
  <c r="L25" i="13"/>
  <c r="O25" i="6" s="1"/>
  <c r="G25" i="6" s="1"/>
  <c r="I25" i="6" s="1"/>
  <c r="F41" i="21"/>
  <c r="F63" i="21" s="1"/>
  <c r="BT154" i="5"/>
  <c r="CQ41" i="5"/>
  <c r="CQ43" i="5" s="1"/>
  <c r="CQ61" i="5" s="1"/>
  <c r="BY334" i="5"/>
  <c r="BZ334" i="5" s="1"/>
  <c r="BW41" i="5"/>
  <c r="BF334" i="5"/>
  <c r="BG334" i="5" s="1"/>
  <c r="CG18" i="5"/>
  <c r="BT41" i="5"/>
  <c r="AY351" i="5"/>
  <c r="AY361" i="5" s="1"/>
  <c r="BB351" i="5"/>
  <c r="I28" i="70" s="1"/>
  <c r="I38" i="70" s="1"/>
  <c r="I47" i="70" s="1"/>
  <c r="BQ376" i="5"/>
  <c r="AO77" i="5"/>
  <c r="CF84" i="5"/>
  <c r="BZ293" i="5"/>
  <c r="CM69" i="5"/>
  <c r="BK376" i="5"/>
  <c r="BK191" i="5" s="1"/>
  <c r="J73" i="20" s="1"/>
  <c r="G41" i="52"/>
  <c r="AO387" i="5"/>
  <c r="L62" i="29"/>
  <c r="L69" i="29" s="1"/>
  <c r="L81" i="29" s="1"/>
  <c r="BN154" i="5"/>
  <c r="H93" i="65"/>
  <c r="I93" i="65" s="1"/>
  <c r="BP271" i="5"/>
  <c r="N17" i="30"/>
  <c r="DQ114" i="5"/>
  <c r="BF341" i="5"/>
  <c r="BG341" i="5" s="1"/>
  <c r="F62" i="23"/>
  <c r="EN100" i="5"/>
  <c r="CE41" i="5"/>
  <c r="R18" i="33"/>
  <c r="BQ331" i="5"/>
  <c r="CU272" i="5"/>
  <c r="H23" i="14"/>
  <c r="P60" i="32"/>
  <c r="P72" i="32" s="1"/>
  <c r="N60" i="25"/>
  <c r="W27" i="9"/>
  <c r="CU331" i="5"/>
  <c r="I14" i="19"/>
  <c r="I37" i="19" s="1"/>
  <c r="BY331" i="5"/>
  <c r="EN58" i="5"/>
  <c r="BL37" i="19"/>
  <c r="AE18" i="5"/>
  <c r="AI18" i="5"/>
  <c r="AI19" i="5" s="1"/>
  <c r="CK272" i="5"/>
  <c r="E55" i="65"/>
  <c r="CW23" i="22"/>
  <c r="V371" i="5"/>
  <c r="W371" i="5"/>
  <c r="W376" i="5" s="1"/>
  <c r="E541" i="65"/>
  <c r="DY114" i="5"/>
  <c r="EN113" i="5"/>
  <c r="AO21" i="37"/>
  <c r="AT21" i="37" s="1"/>
  <c r="F40" i="17"/>
  <c r="N22" i="33"/>
  <c r="N27" i="33" s="1"/>
  <c r="CC43" i="4"/>
  <c r="CC59" i="4" s="1"/>
  <c r="CC71" i="4" s="1"/>
  <c r="CC75" i="4" s="1"/>
  <c r="CD41" i="5"/>
  <c r="CP41" i="5"/>
  <c r="CP42" i="5" s="1"/>
  <c r="CL69" i="5"/>
  <c r="CH175" i="4"/>
  <c r="BR157" i="5"/>
  <c r="BR172" i="5" s="1"/>
  <c r="EN59" i="26"/>
  <c r="AF46" i="5"/>
  <c r="AF56" i="4"/>
  <c r="Z175" i="4"/>
  <c r="CW71" i="19"/>
  <c r="CW68" i="19" s="1"/>
  <c r="DC71" i="19"/>
  <c r="AJ175" i="4"/>
  <c r="E175" i="4"/>
  <c r="V175" i="4"/>
  <c r="H84" i="5"/>
  <c r="G15" i="32"/>
  <c r="G69" i="34" s="1"/>
  <c r="G72" i="34" s="1"/>
  <c r="CU89" i="5"/>
  <c r="E629" i="65"/>
  <c r="EN335" i="5"/>
  <c r="K108" i="31"/>
  <c r="O108" i="31" s="1"/>
  <c r="CO175" i="4"/>
  <c r="M175" i="4"/>
  <c r="U175" i="4"/>
  <c r="J175" i="4"/>
  <c r="BP11" i="4"/>
  <c r="BP14" i="4"/>
  <c r="BP12" i="4"/>
  <c r="E37" i="27"/>
  <c r="BD49" i="26"/>
  <c r="Z49" i="26"/>
  <c r="BL49" i="26"/>
  <c r="HY24" i="26"/>
  <c r="JC24" i="26"/>
  <c r="HK59" i="26"/>
  <c r="DZ24" i="26"/>
  <c r="ET24" i="26"/>
  <c r="HA24" i="26"/>
  <c r="GY51" i="26"/>
  <c r="GY61" i="26" s="1"/>
  <c r="IJ47" i="26"/>
  <c r="IJ29" i="26"/>
  <c r="JF29" i="26" s="1"/>
  <c r="HY49" i="26"/>
  <c r="CV49" i="26"/>
  <c r="CL49" i="26"/>
  <c r="AE50" i="5"/>
  <c r="AE56" i="4"/>
  <c r="AI47" i="5"/>
  <c r="AI56" i="4"/>
  <c r="AU47" i="5"/>
  <c r="AS46" i="5"/>
  <c r="AS56" i="4"/>
  <c r="AV46" i="5"/>
  <c r="U63" i="5"/>
  <c r="BF10" i="4"/>
  <c r="BG10" i="4" s="1"/>
  <c r="AR58" i="5"/>
  <c r="BN23" i="22"/>
  <c r="AR18" i="4"/>
  <c r="AR19" i="4" s="1"/>
  <c r="AV18" i="5"/>
  <c r="AF12" i="5"/>
  <c r="BH17" i="22" s="1"/>
  <c r="AR56" i="4"/>
  <c r="AA18" i="4"/>
  <c r="AA19" i="4" s="1"/>
  <c r="AI18" i="4"/>
  <c r="AI19" i="4" s="1"/>
  <c r="AZ18" i="4"/>
  <c r="AZ19" i="4" s="1"/>
  <c r="AY56" i="4"/>
  <c r="AG56" i="4"/>
  <c r="AH46" i="5"/>
  <c r="AH56" i="4"/>
  <c r="AJ46" i="5"/>
  <c r="AJ56" i="4"/>
  <c r="AX46" i="5"/>
  <c r="AX56" i="4"/>
  <c r="AZ46" i="5"/>
  <c r="AZ56" i="4"/>
  <c r="AC10" i="5"/>
  <c r="AC18" i="4"/>
  <c r="AC19" i="4" s="1"/>
  <c r="AY63" i="5"/>
  <c r="HA49" i="26"/>
  <c r="HQ49" i="26"/>
  <c r="I51" i="26"/>
  <c r="I61" i="26" s="1"/>
  <c r="I73" i="26" s="1"/>
  <c r="HG49" i="26"/>
  <c r="AF41" i="4"/>
  <c r="AF43" i="4" s="1"/>
  <c r="GL49" i="26"/>
  <c r="ED49" i="26"/>
  <c r="F23" i="12"/>
  <c r="BU51" i="26"/>
  <c r="BU61" i="26" s="1"/>
  <c r="BU73" i="26" s="1"/>
  <c r="AJ41" i="4"/>
  <c r="AJ42" i="4" s="1"/>
  <c r="EN49" i="26"/>
  <c r="AS18" i="5"/>
  <c r="BZ51" i="26"/>
  <c r="BZ61" i="26" s="1"/>
  <c r="GQ24" i="26"/>
  <c r="JC49" i="26"/>
  <c r="BA56" i="4"/>
  <c r="P69" i="5"/>
  <c r="AH41" i="4"/>
  <c r="AH42" i="4" s="1"/>
  <c r="CY23" i="22"/>
  <c r="BQ51" i="26"/>
  <c r="BQ61" i="26" s="1"/>
  <c r="BQ73" i="26" s="1"/>
  <c r="AC56" i="4"/>
  <c r="X18" i="4"/>
  <c r="X19" i="4" s="1"/>
  <c r="AS51" i="26"/>
  <c r="AS61" i="26" s="1"/>
  <c r="AS73" i="26" s="1"/>
  <c r="AZ18" i="5"/>
  <c r="IC51" i="26"/>
  <c r="IC61" i="26" s="1"/>
  <c r="CF49" i="26"/>
  <c r="AX18" i="4"/>
  <c r="AX19" i="4" s="1"/>
  <c r="AX18" i="5"/>
  <c r="AX63" i="5"/>
  <c r="AH10" i="5"/>
  <c r="AH18" i="4"/>
  <c r="AH19" i="4" s="1"/>
  <c r="AJ10" i="5"/>
  <c r="AJ18" i="4"/>
  <c r="AJ19" i="4" s="1"/>
  <c r="AU13" i="5"/>
  <c r="AY13" i="5"/>
  <c r="AV63" i="5"/>
  <c r="Z63" i="5"/>
  <c r="CP58" i="5"/>
  <c r="CL58" i="5"/>
  <c r="CJ56" i="4"/>
  <c r="CJ13" i="5"/>
  <c r="E577" i="65" s="1"/>
  <c r="CF18" i="5"/>
  <c r="R22" i="33"/>
  <c r="R27" i="33" s="1"/>
  <c r="E677" i="65"/>
  <c r="G686" i="65" s="1"/>
  <c r="CC41" i="5"/>
  <c r="CC43" i="5" s="1"/>
  <c r="CC61" i="5" s="1"/>
  <c r="CC175" i="4"/>
  <c r="N63" i="6"/>
  <c r="W65" i="9"/>
  <c r="CR175" i="4"/>
  <c r="CN114" i="5"/>
  <c r="CD175" i="4"/>
  <c r="BR56" i="4"/>
  <c r="E49" i="28"/>
  <c r="BS56" i="4"/>
  <c r="BY46" i="4"/>
  <c r="BY48" i="4"/>
  <c r="E59" i="28"/>
  <c r="AI24" i="28"/>
  <c r="BP28" i="4"/>
  <c r="BP46" i="4"/>
  <c r="D39" i="27"/>
  <c r="C39" i="27"/>
  <c r="C52" i="27" s="1"/>
  <c r="W175" i="4"/>
  <c r="DP49" i="26"/>
  <c r="CP49" i="26"/>
  <c r="I63" i="5"/>
  <c r="AI175" i="4"/>
  <c r="O63" i="5"/>
  <c r="D47" i="5"/>
  <c r="E50" i="27"/>
  <c r="CU18" i="5"/>
  <c r="E548" i="65"/>
  <c r="H91" i="31"/>
  <c r="N59" i="29"/>
  <c r="J60" i="13" s="1"/>
  <c r="DC177" i="4"/>
  <c r="DC178" i="4" s="1"/>
  <c r="DG177" i="4"/>
  <c r="DG178" i="4" s="1"/>
  <c r="DL177" i="4"/>
  <c r="BP188" i="5"/>
  <c r="BQ188" i="5" s="1"/>
  <c r="W113" i="7"/>
  <c r="BP15" i="4"/>
  <c r="BS18" i="4"/>
  <c r="BS19" i="4" s="1"/>
  <c r="CH63" i="5"/>
  <c r="K369" i="5"/>
  <c r="K376" i="5" s="1"/>
  <c r="K386" i="5" s="1"/>
  <c r="CG41" i="5"/>
  <c r="H103" i="65"/>
  <c r="D32" i="10"/>
  <c r="D66" i="10"/>
  <c r="H16" i="10"/>
  <c r="BC18" i="5"/>
  <c r="BC19" i="5" s="1"/>
  <c r="G74" i="70" s="1"/>
  <c r="AM216" i="5"/>
  <c r="AM218" i="5" s="1"/>
  <c r="AM180" i="4"/>
  <c r="AM182" i="4" s="1"/>
  <c r="BY90" i="19"/>
  <c r="BY91" i="19" s="1"/>
  <c r="BP36" i="22"/>
  <c r="AI25" i="5"/>
  <c r="BN30" i="22" s="1"/>
  <c r="K95" i="31"/>
  <c r="O95" i="31" s="1"/>
  <c r="J100" i="15" s="1"/>
  <c r="H56" i="31"/>
  <c r="H60" i="31" s="1"/>
  <c r="L75" i="13"/>
  <c r="O86" i="6" s="1"/>
  <c r="G86" i="6" s="1"/>
  <c r="R68" i="13"/>
  <c r="D114" i="9"/>
  <c r="AH16" i="39"/>
  <c r="N35" i="14"/>
  <c r="X22" i="10" s="1"/>
  <c r="CJ331" i="5"/>
  <c r="D69" i="5"/>
  <c r="J57" i="30"/>
  <c r="J61" i="30" s="1"/>
  <c r="CF69" i="5"/>
  <c r="CE18" i="5"/>
  <c r="P62" i="24"/>
  <c r="CD18" i="5"/>
  <c r="CJ32" i="5"/>
  <c r="BZ292" i="5"/>
  <c r="BK69" i="5"/>
  <c r="CJ272" i="5"/>
  <c r="J27" i="18"/>
  <c r="BC154" i="5"/>
  <c r="H93" i="9"/>
  <c r="H108" i="9" s="1"/>
  <c r="S96" i="3" s="1"/>
  <c r="IJ56" i="26"/>
  <c r="JF56" i="26" s="1"/>
  <c r="CG19" i="4"/>
  <c r="BI75" i="4"/>
  <c r="BI177" i="4"/>
  <c r="BI178" i="4" s="1"/>
  <c r="BI73" i="5"/>
  <c r="E24" i="27"/>
  <c r="J63" i="5"/>
  <c r="D175" i="4"/>
  <c r="CQ69" i="5"/>
  <c r="Y154" i="5"/>
  <c r="G62" i="11"/>
  <c r="K62" i="11" s="1"/>
  <c r="BP49" i="4"/>
  <c r="BH63" i="5"/>
  <c r="BP61" i="4"/>
  <c r="BP67" i="4" s="1"/>
  <c r="D19" i="10"/>
  <c r="H54" i="65" s="1"/>
  <c r="I54" i="65" s="1"/>
  <c r="EN146" i="5"/>
  <c r="EN93" i="5"/>
  <c r="E538" i="65"/>
  <c r="EF344" i="5"/>
  <c r="EF43" i="5"/>
  <c r="EF61" i="5" s="1"/>
  <c r="D18" i="10"/>
  <c r="F35" i="10"/>
  <c r="J30" i="23"/>
  <c r="H32" i="53"/>
  <c r="D38" i="53"/>
  <c r="H38" i="53" s="1"/>
  <c r="D25" i="53"/>
  <c r="H20" i="53"/>
  <c r="J18" i="23"/>
  <c r="J21" i="23"/>
  <c r="H23" i="53"/>
  <c r="G23" i="52"/>
  <c r="J26" i="18"/>
  <c r="II24" i="26"/>
  <c r="EN107" i="5"/>
  <c r="E625" i="65"/>
  <c r="EN141" i="5"/>
  <c r="E546" i="65"/>
  <c r="CK47" i="5"/>
  <c r="E613" i="65"/>
  <c r="F34" i="25"/>
  <c r="F36" i="25" s="1"/>
  <c r="E21" i="65"/>
  <c r="F109" i="14"/>
  <c r="F110" i="14" s="1"/>
  <c r="N74" i="6"/>
  <c r="W70" i="9"/>
  <c r="F57" i="18"/>
  <c r="F59" i="18"/>
  <c r="F369" i="5"/>
  <c r="F376" i="5" s="1"/>
  <c r="E79" i="32"/>
  <c r="P157" i="5"/>
  <c r="P172" i="5" s="1"/>
  <c r="P88" i="5"/>
  <c r="P114" i="5" s="1"/>
  <c r="F210" i="64"/>
  <c r="G64" i="5"/>
  <c r="G69" i="5"/>
  <c r="R367" i="5"/>
  <c r="R376" i="5" s="1"/>
  <c r="R191" i="5" s="1"/>
  <c r="X366" i="5"/>
  <c r="J368" i="5"/>
  <c r="CC84" i="5"/>
  <c r="AH44" i="39"/>
  <c r="F20" i="25"/>
  <c r="Q13" i="6"/>
  <c r="T46" i="33"/>
  <c r="F69" i="30"/>
  <c r="L41" i="5"/>
  <c r="R30" i="22"/>
  <c r="R36" i="22" s="1"/>
  <c r="L18" i="5"/>
  <c r="L19" i="5" s="1"/>
  <c r="R15" i="22"/>
  <c r="R23" i="22" s="1"/>
  <c r="L58" i="5"/>
  <c r="R42" i="22"/>
  <c r="R52" i="22" s="1"/>
  <c r="J16" i="29"/>
  <c r="K56" i="31" s="1"/>
  <c r="G16" i="32"/>
  <c r="G54" i="34" s="1"/>
  <c r="CJ58" i="5"/>
  <c r="I175" i="4"/>
  <c r="F175" i="4"/>
  <c r="AG175" i="4"/>
  <c r="BY136" i="4"/>
  <c r="BY173" i="4" s="1"/>
  <c r="H175" i="4"/>
  <c r="BL213" i="5"/>
  <c r="BL214" i="5" s="1"/>
  <c r="BL387" i="5"/>
  <c r="BL77" i="5"/>
  <c r="L38" i="24"/>
  <c r="L56" i="24" s="1"/>
  <c r="L66" i="24" s="1"/>
  <c r="BL180" i="4" s="1"/>
  <c r="EC63" i="22"/>
  <c r="D64" i="23" s="1"/>
  <c r="K71" i="19"/>
  <c r="K68" i="19" s="1"/>
  <c r="I154" i="5"/>
  <c r="BB69" i="5"/>
  <c r="CD40" i="5"/>
  <c r="CD42" i="4"/>
  <c r="BT18" i="4"/>
  <c r="BT19" i="4" s="1"/>
  <c r="BT56" i="4"/>
  <c r="BW58" i="5"/>
  <c r="BU56" i="4"/>
  <c r="L19" i="30"/>
  <c r="BH18" i="4"/>
  <c r="AG23" i="37"/>
  <c r="CN175" i="4"/>
  <c r="AR69" i="5"/>
  <c r="L30" i="13"/>
  <c r="O28" i="6" s="1"/>
  <c r="H14" i="20"/>
  <c r="H42" i="20" s="1"/>
  <c r="R53" i="33"/>
  <c r="CL19" i="5"/>
  <c r="CU54" i="5"/>
  <c r="E695" i="65" s="1"/>
  <c r="CP19" i="5"/>
  <c r="AJ41" i="5"/>
  <c r="N15" i="9"/>
  <c r="BA63" i="5"/>
  <c r="BF61" i="4"/>
  <c r="BG61" i="4" s="1"/>
  <c r="BR18" i="4"/>
  <c r="BR19" i="4" s="1"/>
  <c r="E154" i="5"/>
  <c r="BY11" i="4"/>
  <c r="BP16" i="4"/>
  <c r="BP10" i="4"/>
  <c r="BF48" i="4"/>
  <c r="BG48" i="4" s="1"/>
  <c r="J53" i="33"/>
  <c r="AA175" i="4"/>
  <c r="M63" i="5"/>
  <c r="EH103" i="5"/>
  <c r="Q175" i="4"/>
  <c r="BT41" i="4"/>
  <c r="BT42" i="4" s="1"/>
  <c r="X58" i="5"/>
  <c r="DU38" i="22"/>
  <c r="DU55" i="22" s="1"/>
  <c r="CU18" i="4"/>
  <c r="CU136" i="4"/>
  <c r="CU173" i="4" s="1"/>
  <c r="CE175" i="4"/>
  <c r="CU56" i="4"/>
  <c r="AE175" i="4"/>
  <c r="CF42" i="4"/>
  <c r="AJ18" i="28"/>
  <c r="F157" i="5"/>
  <c r="F172" i="5" s="1"/>
  <c r="H65" i="20"/>
  <c r="BJ154" i="5"/>
  <c r="CJ41" i="4"/>
  <c r="CJ18" i="4"/>
  <c r="CB49" i="26"/>
  <c r="BV49" i="26"/>
  <c r="IJ42" i="26"/>
  <c r="JF42" i="26" s="1"/>
  <c r="BC51" i="26"/>
  <c r="BC61" i="26" s="1"/>
  <c r="BC73" i="26" s="1"/>
  <c r="IE59" i="26"/>
  <c r="CG43" i="4"/>
  <c r="CG59" i="4" s="1"/>
  <c r="CU31" i="5"/>
  <c r="E688" i="65" s="1"/>
  <c r="CN41" i="5"/>
  <c r="CN43" i="5" s="1"/>
  <c r="CN61" i="5" s="1"/>
  <c r="H21" i="33"/>
  <c r="T21" i="33" s="1"/>
  <c r="H22" i="33"/>
  <c r="CR43" i="4"/>
  <c r="CR59" i="4" s="1"/>
  <c r="CR71" i="4" s="1"/>
  <c r="CR177" i="4" s="1"/>
  <c r="CR178" i="4" s="1"/>
  <c r="AA51" i="28"/>
  <c r="AA61" i="28" s="1"/>
  <c r="AJ22" i="28"/>
  <c r="AI49" i="28"/>
  <c r="AJ35" i="28"/>
  <c r="AJ20" i="28"/>
  <c r="BF29" i="4"/>
  <c r="BG29" i="4" s="1"/>
  <c r="F41" i="5"/>
  <c r="BF49" i="4"/>
  <c r="BG49" i="4" s="1"/>
  <c r="J41" i="5"/>
  <c r="AC63" i="5"/>
  <c r="F40" i="12"/>
  <c r="CE19" i="5"/>
  <c r="IE49" i="26"/>
  <c r="DF49" i="26"/>
  <c r="IJ17" i="26"/>
  <c r="JF17" i="26" s="1"/>
  <c r="IJ46" i="26"/>
  <c r="IE24" i="26"/>
  <c r="T175" i="4"/>
  <c r="K175" i="4"/>
  <c r="CJ12" i="5"/>
  <c r="BH41" i="4"/>
  <c r="BH42" i="4" s="1"/>
  <c r="R175" i="4"/>
  <c r="G175" i="4"/>
  <c r="BD43" i="5"/>
  <c r="DZ63" i="19"/>
  <c r="D65" i="18" s="1"/>
  <c r="L65" i="18" s="1"/>
  <c r="L84" i="15"/>
  <c r="BY16" i="5"/>
  <c r="BZ16" i="5" s="1"/>
  <c r="N21" i="25"/>
  <c r="H21" i="23" s="1"/>
  <c r="N18" i="10"/>
  <c r="H441" i="65" s="1"/>
  <c r="N16" i="10"/>
  <c r="CH40" i="5"/>
  <c r="CH42" i="4"/>
  <c r="CC40" i="5"/>
  <c r="CB42" i="4"/>
  <c r="E106" i="34"/>
  <c r="T106" i="34" s="1"/>
  <c r="N113" i="15" s="1"/>
  <c r="CU334" i="5"/>
  <c r="BR67" i="4"/>
  <c r="BY61" i="4"/>
  <c r="BY67" i="4" s="1"/>
  <c r="W28" i="39"/>
  <c r="Y28" i="39" s="1"/>
  <c r="EN29" i="5"/>
  <c r="W12" i="5"/>
  <c r="W18" i="4"/>
  <c r="W19" i="4" s="1"/>
  <c r="Z12" i="5"/>
  <c r="Z18" i="4"/>
  <c r="Z19" i="4" s="1"/>
  <c r="V47" i="5"/>
  <c r="V56" i="4"/>
  <c r="Y47" i="5"/>
  <c r="Y56" i="4"/>
  <c r="AA47" i="5"/>
  <c r="AA56" i="4"/>
  <c r="U10" i="5"/>
  <c r="U18" i="4"/>
  <c r="U19" i="4" s="1"/>
  <c r="V85" i="5"/>
  <c r="AL15" i="19"/>
  <c r="E17" i="19"/>
  <c r="F114" i="5"/>
  <c r="H22" i="14"/>
  <c r="N72" i="29"/>
  <c r="J74" i="13" s="1"/>
  <c r="H79" i="29"/>
  <c r="I49" i="28"/>
  <c r="P18" i="33"/>
  <c r="BP13" i="4"/>
  <c r="BH56" i="4"/>
  <c r="BH58" i="5" s="1"/>
  <c r="M154" i="5"/>
  <c r="CL68" i="19"/>
  <c r="CD69" i="5"/>
  <c r="BU18" i="4"/>
  <c r="BU19" i="4" s="1"/>
  <c r="BY47" i="4"/>
  <c r="CU32" i="5"/>
  <c r="BF28" i="4"/>
  <c r="BG28" i="4" s="1"/>
  <c r="I28" i="6"/>
  <c r="BA18" i="4"/>
  <c r="BA19" i="4" s="1"/>
  <c r="BF47" i="4"/>
  <c r="BT175" i="4"/>
  <c r="AH175" i="4"/>
  <c r="EC59" i="22"/>
  <c r="R64" i="10" s="1"/>
  <c r="T64" i="10" s="1"/>
  <c r="AL64" i="10" s="1"/>
  <c r="I52" i="7" s="1"/>
  <c r="S113" i="7" s="1"/>
  <c r="L60" i="18"/>
  <c r="N15" i="21"/>
  <c r="H15" i="18" s="1"/>
  <c r="L49" i="14"/>
  <c r="CP69" i="5"/>
  <c r="DP37" i="19"/>
  <c r="EN92" i="5"/>
  <c r="X154" i="5"/>
  <c r="L52" i="15"/>
  <c r="W154" i="5"/>
  <c r="X18" i="5"/>
  <c r="X19" i="5" s="1"/>
  <c r="E74" i="70" s="1"/>
  <c r="T114" i="5"/>
  <c r="F16" i="29"/>
  <c r="F56" i="31" s="1"/>
  <c r="F60" i="31" s="1"/>
  <c r="C58" i="34"/>
  <c r="R24" i="28"/>
  <c r="E74" i="11"/>
  <c r="K74" i="11" s="1"/>
  <c r="BY10" i="4"/>
  <c r="BY15" i="4"/>
  <c r="AG14" i="19"/>
  <c r="AG37" i="19" s="1"/>
  <c r="D42" i="12"/>
  <c r="D52" i="12" s="1"/>
  <c r="CY51" i="26"/>
  <c r="CY61" i="26" s="1"/>
  <c r="CY73" i="26" s="1"/>
  <c r="BS18" i="5"/>
  <c r="CD85" i="5"/>
  <c r="CJ85" i="5" s="1"/>
  <c r="E16" i="32"/>
  <c r="E54" i="34" s="1"/>
  <c r="E58" i="34" s="1"/>
  <c r="AP15" i="19"/>
  <c r="CO43" i="4"/>
  <c r="CO59" i="4" s="1"/>
  <c r="CO71" i="4" s="1"/>
  <c r="CU86" i="5"/>
  <c r="ID51" i="26"/>
  <c r="ID61" i="26" s="1"/>
  <c r="ID73" i="26" s="1"/>
  <c r="CB43" i="4"/>
  <c r="CB59" i="4" s="1"/>
  <c r="CB71" i="4" s="1"/>
  <c r="BT63" i="5"/>
  <c r="DZ47" i="19"/>
  <c r="BF331" i="5"/>
  <c r="T68" i="19"/>
  <c r="BA18" i="5"/>
  <c r="BA19" i="5" s="1"/>
  <c r="S364" i="5"/>
  <c r="S376" i="5" s="1"/>
  <c r="D93" i="9"/>
  <c r="D108" i="9" s="1"/>
  <c r="AV23" i="5"/>
  <c r="CW28" i="22" s="1"/>
  <c r="AJ17" i="28"/>
  <c r="H76" i="15"/>
  <c r="T74" i="13"/>
  <c r="C42" i="12"/>
  <c r="C52" i="12" s="1"/>
  <c r="D188" i="11"/>
  <c r="AD39" i="10"/>
  <c r="AD60" i="10" s="1"/>
  <c r="BC68" i="19"/>
  <c r="N58" i="34"/>
  <c r="C27" i="37"/>
  <c r="C30" i="37" s="1"/>
  <c r="AH15" i="6"/>
  <c r="D21" i="39"/>
  <c r="D33" i="39" s="1"/>
  <c r="AH15" i="39"/>
  <c r="F34" i="7"/>
  <c r="EN20" i="5"/>
  <c r="D108" i="29"/>
  <c r="D110" i="29" s="1"/>
  <c r="M365" i="5"/>
  <c r="BF365" i="5" s="1"/>
  <c r="CK51" i="26"/>
  <c r="CK61" i="26" s="1"/>
  <c r="CK73" i="26" s="1"/>
  <c r="P41" i="4"/>
  <c r="P42" i="4" s="1"/>
  <c r="DW41" i="5"/>
  <c r="BS114" i="5"/>
  <c r="BS84" i="5"/>
  <c r="BU18" i="5"/>
  <c r="AJ29" i="28"/>
  <c r="AJ30" i="28"/>
  <c r="AJ32" i="28"/>
  <c r="W15" i="39"/>
  <c r="Y15" i="39" s="1"/>
  <c r="EN12" i="5"/>
  <c r="W17" i="39"/>
  <c r="Y17" i="39" s="1"/>
  <c r="EN14" i="5"/>
  <c r="W19" i="39"/>
  <c r="Y19" i="39" s="1"/>
  <c r="R12" i="5"/>
  <c r="R18" i="4"/>
  <c r="R19" i="4" s="1"/>
  <c r="Y12" i="5"/>
  <c r="Y18" i="4"/>
  <c r="Y19" i="4" s="1"/>
  <c r="F47" i="5"/>
  <c r="F56" i="4"/>
  <c r="H47" i="5"/>
  <c r="H56" i="4"/>
  <c r="J47" i="5"/>
  <c r="J56" i="4"/>
  <c r="M47" i="5"/>
  <c r="M56" i="4"/>
  <c r="Q56" i="4"/>
  <c r="S47" i="5"/>
  <c r="S56" i="4"/>
  <c r="U47" i="5"/>
  <c r="U56" i="4"/>
  <c r="W47" i="5"/>
  <c r="W56" i="4"/>
  <c r="Z47" i="5"/>
  <c r="Z56" i="4"/>
  <c r="AY42" i="22"/>
  <c r="AY52" i="22" s="1"/>
  <c r="AC58" i="5"/>
  <c r="G46" i="5"/>
  <c r="G56" i="4"/>
  <c r="I46" i="5"/>
  <c r="I56" i="4"/>
  <c r="K46" i="5"/>
  <c r="K56" i="4"/>
  <c r="R46" i="5"/>
  <c r="R56" i="4"/>
  <c r="T46" i="5"/>
  <c r="T56" i="4"/>
  <c r="T10" i="5"/>
  <c r="T18" i="4"/>
  <c r="T19" i="4" s="1"/>
  <c r="V10" i="5"/>
  <c r="V18" i="4"/>
  <c r="BH15" i="22"/>
  <c r="CL15" i="22"/>
  <c r="CL23" i="22" s="1"/>
  <c r="AR18" i="5"/>
  <c r="AR19" i="5" s="1"/>
  <c r="F11" i="5"/>
  <c r="F18" i="4"/>
  <c r="F19" i="4" s="1"/>
  <c r="H11" i="5"/>
  <c r="H18" i="4"/>
  <c r="H19" i="4" s="1"/>
  <c r="J11" i="5"/>
  <c r="J18" i="4"/>
  <c r="J19" i="4" s="1"/>
  <c r="M11" i="5"/>
  <c r="M18" i="4"/>
  <c r="M19" i="4" s="1"/>
  <c r="S11" i="5"/>
  <c r="S18" i="4"/>
  <c r="S19" i="4" s="1"/>
  <c r="Q10" i="5"/>
  <c r="Q18" i="4"/>
  <c r="Q19" i="4" s="1"/>
  <c r="K18" i="4"/>
  <c r="K19" i="4" s="1"/>
  <c r="I10" i="5"/>
  <c r="I18" i="4"/>
  <c r="I19" i="4" s="1"/>
  <c r="G10" i="5"/>
  <c r="G18" i="4"/>
  <c r="G19" i="4" s="1"/>
  <c r="Y41" i="22"/>
  <c r="Y52" i="22" s="1"/>
  <c r="O58" i="5"/>
  <c r="Y23" i="22"/>
  <c r="O18" i="5"/>
  <c r="O19" i="5" s="1"/>
  <c r="O41" i="4"/>
  <c r="O42" i="4" s="1"/>
  <c r="O56" i="4"/>
  <c r="O18" i="4"/>
  <c r="EC47" i="22"/>
  <c r="CX177" i="4"/>
  <c r="CX75" i="4"/>
  <c r="AC71" i="19"/>
  <c r="D28" i="18"/>
  <c r="AL68" i="19"/>
  <c r="L45" i="15"/>
  <c r="L42" i="14"/>
  <c r="T29" i="9"/>
  <c r="AG29" i="9" s="1"/>
  <c r="T30" i="9"/>
  <c r="AG30" i="9" s="1"/>
  <c r="N33" i="6"/>
  <c r="D17" i="20"/>
  <c r="BP88" i="5"/>
  <c r="BQ88" i="5" s="1"/>
  <c r="E63" i="5"/>
  <c r="N18" i="33"/>
  <c r="H18" i="33"/>
  <c r="AL56" i="7"/>
  <c r="AL59" i="7" s="1"/>
  <c r="C220" i="7"/>
  <c r="AE63" i="5"/>
  <c r="BN71" i="19"/>
  <c r="BN68" i="19" s="1"/>
  <c r="AA154" i="5"/>
  <c r="H66" i="21"/>
  <c r="DZ48" i="19"/>
  <c r="R64" i="9" s="1"/>
  <c r="T64" i="9" s="1"/>
  <c r="AG64" i="9" s="1"/>
  <c r="EN103" i="5"/>
  <c r="F18" i="33"/>
  <c r="F75" i="33" s="1"/>
  <c r="AH134" i="6"/>
  <c r="S84" i="5"/>
  <c r="AE14" i="19"/>
  <c r="M52" i="31"/>
  <c r="L40" i="29"/>
  <c r="R43" i="15"/>
  <c r="G79" i="32"/>
  <c r="C79" i="32"/>
  <c r="R84" i="5"/>
  <c r="AC14" i="19"/>
  <c r="AC37" i="19" s="1"/>
  <c r="R114" i="5"/>
  <c r="M85" i="5"/>
  <c r="AC85" i="5"/>
  <c r="BY29" i="4"/>
  <c r="BS41" i="4"/>
  <c r="BS42" i="4" s="1"/>
  <c r="BY29" i="5"/>
  <c r="BZ29" i="5" s="1"/>
  <c r="BU41" i="4"/>
  <c r="BU42" i="4" s="1"/>
  <c r="AS41" i="4"/>
  <c r="W14" i="39"/>
  <c r="F24" i="30"/>
  <c r="CQ84" i="5"/>
  <c r="CQ114" i="5"/>
  <c r="N15" i="32"/>
  <c r="N26" i="32" s="1"/>
  <c r="BW84" i="5"/>
  <c r="BW114" i="5"/>
  <c r="CP84" i="5"/>
  <c r="L15" i="32"/>
  <c r="CP114" i="5"/>
  <c r="CH84" i="5"/>
  <c r="L15" i="29"/>
  <c r="M71" i="31" s="1"/>
  <c r="M74" i="31" s="1"/>
  <c r="CH114" i="5"/>
  <c r="G14" i="19"/>
  <c r="G37" i="19" s="1"/>
  <c r="G84" i="5"/>
  <c r="G114" i="5"/>
  <c r="AU14" i="19"/>
  <c r="AU37" i="19" s="1"/>
  <c r="AA84" i="5"/>
  <c r="AA114" i="5"/>
  <c r="AE84" i="5"/>
  <c r="AE114" i="5"/>
  <c r="BC14" i="19"/>
  <c r="BC37" i="19" s="1"/>
  <c r="BR84" i="5"/>
  <c r="BR114" i="5"/>
  <c r="N14" i="9"/>
  <c r="H15" i="29"/>
  <c r="H71" i="31" s="1"/>
  <c r="H74" i="31" s="1"/>
  <c r="CE84" i="5"/>
  <c r="J79" i="29"/>
  <c r="N75" i="29"/>
  <c r="J77" i="13" s="1"/>
  <c r="L77" i="13" s="1"/>
  <c r="C30" i="22"/>
  <c r="H14" i="21"/>
  <c r="BU84" i="5"/>
  <c r="E70" i="34"/>
  <c r="T70" i="34" s="1"/>
  <c r="N45" i="25"/>
  <c r="H45" i="23" s="1"/>
  <c r="N20" i="22"/>
  <c r="J85" i="5"/>
  <c r="D14" i="21"/>
  <c r="D37" i="21" s="1"/>
  <c r="CO85" i="5"/>
  <c r="I85" i="5"/>
  <c r="O85" i="5"/>
  <c r="AD85" i="5"/>
  <c r="AG85" i="5"/>
  <c r="CR85" i="5"/>
  <c r="C34" i="22"/>
  <c r="P84" i="5"/>
  <c r="Z84" i="5"/>
  <c r="AR14" i="19"/>
  <c r="AR37" i="19" s="1"/>
  <c r="Z114" i="5"/>
  <c r="H30" i="23"/>
  <c r="N75" i="6"/>
  <c r="H25" i="39"/>
  <c r="H30" i="39" s="1"/>
  <c r="AZ361" i="5"/>
  <c r="AZ189" i="5" s="1"/>
  <c r="AZ207" i="5" s="1"/>
  <c r="DC68" i="19"/>
  <c r="N16" i="25"/>
  <c r="H16" i="23" s="1"/>
  <c r="H369" i="5"/>
  <c r="H376" i="5" s="1"/>
  <c r="H386" i="5" s="1"/>
  <c r="F20" i="15"/>
  <c r="L20" i="15" s="1"/>
  <c r="F100" i="15"/>
  <c r="BY10" i="5"/>
  <c r="BZ10" i="5" s="1"/>
  <c r="N62" i="25"/>
  <c r="H64" i="23" s="1"/>
  <c r="C64" i="38"/>
  <c r="F23" i="14"/>
  <c r="P23" i="30" s="1"/>
  <c r="DZ64" i="19"/>
  <c r="DZ56" i="19"/>
  <c r="R73" i="9" s="1"/>
  <c r="DZ59" i="19"/>
  <c r="D61" i="18" s="1"/>
  <c r="L61" i="18" s="1"/>
  <c r="F32" i="38"/>
  <c r="D34" i="38"/>
  <c r="D93" i="38" s="1"/>
  <c r="F93" i="38" s="1"/>
  <c r="EN149" i="5"/>
  <c r="H103" i="29"/>
  <c r="H109" i="13"/>
  <c r="L58" i="18"/>
  <c r="X6" i="22"/>
  <c r="AI6" i="22" s="1"/>
  <c r="AT6" i="22" s="1"/>
  <c r="BG6" i="22" s="1"/>
  <c r="BT6" i="22" s="1"/>
  <c r="DN6" i="22"/>
  <c r="AR75" i="19"/>
  <c r="AN387" i="5"/>
  <c r="AN213" i="5"/>
  <c r="AN214" i="5" s="1"/>
  <c r="AN180" i="4"/>
  <c r="AN182" i="4" s="1"/>
  <c r="CA90" i="19"/>
  <c r="CA91" i="19" s="1"/>
  <c r="AN216" i="5"/>
  <c r="AN218" i="5" s="1"/>
  <c r="T23" i="5"/>
  <c r="AG28" i="22" s="1"/>
  <c r="AG36" i="22" s="1"/>
  <c r="Q71" i="3"/>
  <c r="AM51" i="3"/>
  <c r="D23" i="25"/>
  <c r="BC192" i="5"/>
  <c r="H115" i="9" s="1"/>
  <c r="CT13" i="19"/>
  <c r="DK13" i="19" s="1"/>
  <c r="AM75" i="5"/>
  <c r="AM77" i="5" s="1"/>
  <c r="IJ45" i="26"/>
  <c r="JF45" i="26" s="1"/>
  <c r="IJ39" i="26"/>
  <c r="JF39" i="26" s="1"/>
  <c r="IJ30" i="26"/>
  <c r="JF30" i="26" s="1"/>
  <c r="CE43" i="4"/>
  <c r="CE59" i="4" s="1"/>
  <c r="CE71" i="4" s="1"/>
  <c r="BA154" i="5"/>
  <c r="CL17" i="19"/>
  <c r="AR114" i="5"/>
  <c r="CW17" i="19"/>
  <c r="CW37" i="19" s="1"/>
  <c r="CY17" i="19"/>
  <c r="CY37" i="19" s="1"/>
  <c r="AX114" i="5"/>
  <c r="AZ114" i="5"/>
  <c r="DC17" i="19"/>
  <c r="DC37" i="19" s="1"/>
  <c r="BB114" i="5"/>
  <c r="BA114" i="5"/>
  <c r="AM71" i="3"/>
  <c r="CU17" i="19"/>
  <c r="BC114" i="5"/>
  <c r="AS114" i="5"/>
  <c r="CN17" i="19"/>
  <c r="CN37" i="19" s="1"/>
  <c r="AY114" i="5"/>
  <c r="DA17" i="19"/>
  <c r="BB154" i="5"/>
  <c r="IJ21" i="26"/>
  <c r="JF21" i="26" s="1"/>
  <c r="C46" i="22"/>
  <c r="EC46" i="22" s="1"/>
  <c r="T45" i="10" s="1"/>
  <c r="AL45" i="10" s="1"/>
  <c r="BF54" i="5"/>
  <c r="BG54" i="5" s="1"/>
  <c r="BF16" i="4"/>
  <c r="BG16" i="4" s="1"/>
  <c r="E14" i="5"/>
  <c r="BF14" i="4"/>
  <c r="BG14" i="4" s="1"/>
  <c r="BF12" i="4"/>
  <c r="BG12" i="4" s="1"/>
  <c r="BF15" i="4"/>
  <c r="BG15" i="4" s="1"/>
  <c r="E10" i="5"/>
  <c r="E18" i="4"/>
  <c r="E19" i="4" s="1"/>
  <c r="E11" i="5"/>
  <c r="BF11" i="4"/>
  <c r="BG11" i="4" s="1"/>
  <c r="BF13" i="4"/>
  <c r="BG13" i="4" s="1"/>
  <c r="E46" i="5"/>
  <c r="BF46" i="4"/>
  <c r="BG46" i="4" s="1"/>
  <c r="E56" i="4"/>
  <c r="IJ44" i="26"/>
  <c r="JF44" i="26" s="1"/>
  <c r="IJ41" i="26"/>
  <c r="JF41" i="26" s="1"/>
  <c r="IJ38" i="26"/>
  <c r="JF38" i="26" s="1"/>
  <c r="IJ35" i="26"/>
  <c r="JF35" i="26" s="1"/>
  <c r="IJ32" i="26"/>
  <c r="JF32" i="26" s="1"/>
  <c r="IJ57" i="26"/>
  <c r="JF57" i="26" s="1"/>
  <c r="IJ55" i="26"/>
  <c r="JF55" i="26" s="1"/>
  <c r="IJ20" i="26"/>
  <c r="JF20" i="26" s="1"/>
  <c r="IJ18" i="26"/>
  <c r="JF18" i="26" s="1"/>
  <c r="BH34" i="22"/>
  <c r="AF41" i="5"/>
  <c r="Y34" i="22"/>
  <c r="Y36" i="22" s="1"/>
  <c r="O41" i="5"/>
  <c r="BC42" i="4"/>
  <c r="BC43" i="4"/>
  <c r="BC59" i="4" s="1"/>
  <c r="BC71" i="4" s="1"/>
  <c r="S41" i="4"/>
  <c r="R24" i="5"/>
  <c r="R41" i="4"/>
  <c r="AS188" i="5"/>
  <c r="CN75" i="19" s="1"/>
  <c r="BA188" i="5"/>
  <c r="DL75" i="19" s="1"/>
  <c r="AY188" i="5"/>
  <c r="DA75" i="19" s="1"/>
  <c r="BC188" i="5"/>
  <c r="H111" i="9" s="1"/>
  <c r="BB188" i="5"/>
  <c r="G111" i="9" s="1"/>
  <c r="BJ18" i="4"/>
  <c r="BJ19" i="4" s="1"/>
  <c r="AA22" i="5"/>
  <c r="AA41" i="4"/>
  <c r="AE154" i="5"/>
  <c r="V154" i="5"/>
  <c r="CU14" i="19"/>
  <c r="BF132" i="5"/>
  <c r="AE27" i="22"/>
  <c r="AE36" i="22" s="1"/>
  <c r="S41" i="5"/>
  <c r="BJ41" i="4"/>
  <c r="H21" i="24"/>
  <c r="BP16" i="5"/>
  <c r="E325" i="65" s="1"/>
  <c r="G325" i="65" s="1"/>
  <c r="H42" i="24"/>
  <c r="P42" i="24" s="1"/>
  <c r="BP47" i="5"/>
  <c r="BQ47" i="5" s="1"/>
  <c r="BJ41" i="5"/>
  <c r="H33" i="24" s="1"/>
  <c r="H36" i="24" s="1"/>
  <c r="BP47" i="4"/>
  <c r="BP28" i="5"/>
  <c r="BP54" i="5"/>
  <c r="BQ54" i="5" s="1"/>
  <c r="BJ56" i="4"/>
  <c r="BJ58" i="5" s="1"/>
  <c r="BP25" i="4"/>
  <c r="J65" i="20"/>
  <c r="BK154" i="5"/>
  <c r="D65" i="20"/>
  <c r="CF43" i="4"/>
  <c r="CF59" i="4" s="1"/>
  <c r="CF71" i="4" s="1"/>
  <c r="CF75" i="4" s="1"/>
  <c r="CF19" i="5"/>
  <c r="CF19" i="4"/>
  <c r="Y30" i="37"/>
  <c r="EN176" i="5"/>
  <c r="N25" i="30"/>
  <c r="J25" i="14" s="1"/>
  <c r="H38" i="29"/>
  <c r="H41" i="31" s="1"/>
  <c r="Z23" i="5"/>
  <c r="Z41" i="4"/>
  <c r="G25" i="5"/>
  <c r="G41" i="4"/>
  <c r="AR41" i="4"/>
  <c r="Y41" i="4"/>
  <c r="H25" i="5"/>
  <c r="H41" i="4"/>
  <c r="U25" i="5"/>
  <c r="U41" i="4"/>
  <c r="T37" i="33"/>
  <c r="N41" i="14" s="1"/>
  <c r="X51" i="10" s="1"/>
  <c r="N41" i="34"/>
  <c r="M17" i="31"/>
  <c r="CH41" i="5"/>
  <c r="CH43" i="5" s="1"/>
  <c r="CH61" i="5" s="1"/>
  <c r="F42" i="31"/>
  <c r="O42" i="31" s="1"/>
  <c r="J44" i="15" s="1"/>
  <c r="N41" i="30"/>
  <c r="L24" i="30"/>
  <c r="T24" i="33"/>
  <c r="N25" i="14" s="1"/>
  <c r="G39" i="32"/>
  <c r="AV22" i="5"/>
  <c r="AY26" i="5"/>
  <c r="AC41" i="4"/>
  <c r="BR154" i="5"/>
  <c r="AH59" i="28"/>
  <c r="BL27" i="22"/>
  <c r="BL36" i="22" s="1"/>
  <c r="AH41" i="5"/>
  <c r="CN29" i="22"/>
  <c r="CN36" i="22" s="1"/>
  <c r="AS41" i="5"/>
  <c r="U114" i="5"/>
  <c r="AJ14" i="19"/>
  <c r="AJ37" i="19" s="1"/>
  <c r="D14" i="20"/>
  <c r="BH114" i="5"/>
  <c r="X41" i="4"/>
  <c r="E188" i="11"/>
  <c r="K188" i="11" s="1"/>
  <c r="G120" i="11"/>
  <c r="F29" i="10"/>
  <c r="X41" i="5"/>
  <c r="AX23" i="5"/>
  <c r="AX41" i="4"/>
  <c r="E27" i="5"/>
  <c r="E41" i="4"/>
  <c r="AD27" i="5"/>
  <c r="AD41" i="4"/>
  <c r="J21" i="10"/>
  <c r="BP15" i="5"/>
  <c r="E319" i="65" s="1"/>
  <c r="G324" i="65" s="1"/>
  <c r="D8" i="8"/>
  <c r="BP192" i="5"/>
  <c r="BQ192" i="5" s="1"/>
  <c r="H74" i="20"/>
  <c r="AY71" i="19"/>
  <c r="AY68" i="19" s="1"/>
  <c r="AC154" i="5"/>
  <c r="BP71" i="19"/>
  <c r="BP68" i="19" s="1"/>
  <c r="AJ154" i="5"/>
  <c r="BW154" i="5"/>
  <c r="CF154" i="5"/>
  <c r="BJ71" i="19"/>
  <c r="BJ68" i="19" s="1"/>
  <c r="AG154" i="5"/>
  <c r="CF114" i="5"/>
  <c r="J19" i="29"/>
  <c r="P40" i="34"/>
  <c r="P50" i="34" s="1"/>
  <c r="E60" i="32"/>
  <c r="BP346" i="5"/>
  <c r="BH71" i="19"/>
  <c r="BH68" i="19" s="1"/>
  <c r="AF154" i="5"/>
  <c r="BA71" i="19"/>
  <c r="BA68" i="19" s="1"/>
  <c r="AD154" i="5"/>
  <c r="CN68" i="19"/>
  <c r="CD154" i="5"/>
  <c r="C60" i="32"/>
  <c r="C72" i="32" s="1"/>
  <c r="N79" i="32"/>
  <c r="CQ185" i="5"/>
  <c r="CL114" i="5"/>
  <c r="C15" i="32"/>
  <c r="C26" i="32" s="1"/>
  <c r="E83" i="34"/>
  <c r="BP112" i="4"/>
  <c r="BN359" i="5"/>
  <c r="BR188" i="5"/>
  <c r="N111" i="9" s="1"/>
  <c r="BJ189" i="5"/>
  <c r="BF356" i="5"/>
  <c r="BG356" i="5" s="1"/>
  <c r="I376" i="5"/>
  <c r="AR361" i="5"/>
  <c r="AR189" i="5" s="1"/>
  <c r="AR207" i="5" s="1"/>
  <c r="AV361" i="5"/>
  <c r="AU361" i="5"/>
  <c r="AX361" i="5"/>
  <c r="AX189" i="5" s="1"/>
  <c r="AE355" i="5"/>
  <c r="AJ354" i="5"/>
  <c r="AJ361" i="5" s="1"/>
  <c r="N36" i="14"/>
  <c r="X34" i="10" s="1"/>
  <c r="DO17" i="22"/>
  <c r="DO23" i="22" s="1"/>
  <c r="AU68" i="19"/>
  <c r="DZ80" i="19"/>
  <c r="D81" i="18" s="1"/>
  <c r="H21" i="39"/>
  <c r="BF200" i="5"/>
  <c r="P110" i="13"/>
  <c r="O18" i="31"/>
  <c r="J18" i="15" s="1"/>
  <c r="Q114" i="5"/>
  <c r="AA14" i="19"/>
  <c r="R77" i="9"/>
  <c r="T77" i="9" s="1"/>
  <c r="EQ85" i="5"/>
  <c r="BP29" i="5"/>
  <c r="BQ271" i="5"/>
  <c r="CK271" i="5"/>
  <c r="N21" i="34"/>
  <c r="J27" i="33"/>
  <c r="EI71" i="5"/>
  <c r="S154" i="5"/>
  <c r="J35" i="13"/>
  <c r="F55" i="18"/>
  <c r="CM19" i="5"/>
  <c r="L108" i="29"/>
  <c r="L110" i="29" s="1"/>
  <c r="CH207" i="5"/>
  <c r="BY343" i="5"/>
  <c r="BZ343" i="5" s="1"/>
  <c r="F109" i="13"/>
  <c r="CG207" i="5"/>
  <c r="F40" i="29"/>
  <c r="L103" i="15"/>
  <c r="R61" i="13"/>
  <c r="D60" i="25"/>
  <c r="P16" i="30"/>
  <c r="F19" i="14"/>
  <c r="BL19" i="3" s="1"/>
  <c r="CG42" i="22"/>
  <c r="CG34" i="22"/>
  <c r="CG50" i="22"/>
  <c r="EC50" i="22" s="1"/>
  <c r="F30" i="31"/>
  <c r="N50" i="30"/>
  <c r="J50" i="14" s="1"/>
  <c r="L50" i="14" s="1"/>
  <c r="DA14" i="19"/>
  <c r="AJ71" i="19"/>
  <c r="AJ68" i="19" s="1"/>
  <c r="U154" i="5"/>
  <c r="D66" i="21"/>
  <c r="BS154" i="5"/>
  <c r="F14" i="21"/>
  <c r="EN98" i="5"/>
  <c r="F103" i="29"/>
  <c r="CJ176" i="5"/>
  <c r="E555" i="65" s="1"/>
  <c r="CG49" i="22"/>
  <c r="EC49" i="22" s="1"/>
  <c r="CR43" i="5"/>
  <c r="CR61" i="5" s="1"/>
  <c r="BP19" i="3"/>
  <c r="DG213" i="5"/>
  <c r="DG214" i="5" s="1"/>
  <c r="H18" i="18"/>
  <c r="M85" i="31"/>
  <c r="H47" i="53"/>
  <c r="BF22" i="4"/>
  <c r="BG22" i="4" s="1"/>
  <c r="M41" i="4"/>
  <c r="I23" i="5"/>
  <c r="I41" i="4"/>
  <c r="BF23" i="4"/>
  <c r="BG23" i="4" s="1"/>
  <c r="BA41" i="4"/>
  <c r="BA42" i="4" s="1"/>
  <c r="AZ24" i="5"/>
  <c r="AZ41" i="4"/>
  <c r="Q27" i="5"/>
  <c r="BF27" i="4"/>
  <c r="BG27" i="4" s="1"/>
  <c r="Q41" i="4"/>
  <c r="Q42" i="4" s="1"/>
  <c r="DR173" i="4"/>
  <c r="DR175" i="4" s="1"/>
  <c r="DW119" i="4"/>
  <c r="AR71" i="19"/>
  <c r="AR68" i="19" s="1"/>
  <c r="Z154" i="5"/>
  <c r="AH154" i="5"/>
  <c r="BL71" i="19"/>
  <c r="BL68" i="19" s="1"/>
  <c r="CY71" i="19"/>
  <c r="CY68" i="19" s="1"/>
  <c r="I30" i="6"/>
  <c r="R34" i="6"/>
  <c r="H62" i="29"/>
  <c r="H16" i="31" s="1"/>
  <c r="CE154" i="5"/>
  <c r="IJ19" i="26"/>
  <c r="JF19" i="26" s="1"/>
  <c r="T17" i="51"/>
  <c r="H53" i="33"/>
  <c r="H66" i="33" s="1"/>
  <c r="CU63" i="5"/>
  <c r="CN69" i="5"/>
  <c r="AA71" i="19"/>
  <c r="AA68" i="19" s="1"/>
  <c r="Q154" i="5"/>
  <c r="IJ33" i="26"/>
  <c r="JF33" i="26" s="1"/>
  <c r="BP196" i="5"/>
  <c r="CJ88" i="5"/>
  <c r="E536" i="65" s="1"/>
  <c r="H18" i="13"/>
  <c r="H87" i="15" s="1"/>
  <c r="CC114" i="5"/>
  <c r="H19" i="29"/>
  <c r="H85" i="31" s="1"/>
  <c r="CE114" i="5"/>
  <c r="AJ16" i="28"/>
  <c r="AH24" i="28"/>
  <c r="AS28" i="27"/>
  <c r="AS37" i="27" s="1"/>
  <c r="AQ37" i="27"/>
  <c r="BU114" i="5"/>
  <c r="H17" i="21"/>
  <c r="Q128" i="6"/>
  <c r="H32" i="35"/>
  <c r="J36" i="36" s="1"/>
  <c r="D38" i="16"/>
  <c r="D45" i="16" s="1"/>
  <c r="G46" i="52"/>
  <c r="P218" i="5"/>
  <c r="P75" i="5"/>
  <c r="T15" i="33"/>
  <c r="N16" i="14" s="1"/>
  <c r="Y175" i="4"/>
  <c r="BF136" i="4"/>
  <c r="BG136" i="4" s="1"/>
  <c r="BG173" i="4" s="1"/>
  <c r="CP175" i="4"/>
  <c r="CJ112" i="4"/>
  <c r="AG22" i="5"/>
  <c r="AG41" i="4"/>
  <c r="BB22" i="5"/>
  <c r="G28" i="10" s="1"/>
  <c r="G37" i="10" s="1"/>
  <c r="BB41" i="4"/>
  <c r="AE23" i="5"/>
  <c r="AE41" i="4"/>
  <c r="AI41" i="4"/>
  <c r="BF24" i="4"/>
  <c r="BG24" i="4" s="1"/>
  <c r="BF25" i="4"/>
  <c r="BG25" i="4" s="1"/>
  <c r="W41" i="4"/>
  <c r="AI27" i="37"/>
  <c r="DT175" i="4"/>
  <c r="D11" i="4"/>
  <c r="F74" i="11"/>
  <c r="F212" i="11" s="1"/>
  <c r="CU71" i="19"/>
  <c r="CU68" i="19" s="1"/>
  <c r="H63" i="13"/>
  <c r="H16" i="15" s="1"/>
  <c r="DO45" i="22"/>
  <c r="BA58" i="5"/>
  <c r="D23" i="4"/>
  <c r="D41" i="4" s="1"/>
  <c r="D42" i="4" s="1"/>
  <c r="F188" i="11"/>
  <c r="F213" i="11" s="1"/>
  <c r="G130" i="11"/>
  <c r="DA71" i="19"/>
  <c r="DA68" i="19" s="1"/>
  <c r="IJ54" i="26"/>
  <c r="JF54" i="26" s="1"/>
  <c r="F31" i="18"/>
  <c r="U78" i="31"/>
  <c r="U101" i="31" s="1"/>
  <c r="U103" i="31" s="1"/>
  <c r="U104" i="31" s="1"/>
  <c r="CH43" i="4"/>
  <c r="CH59" i="4" s="1"/>
  <c r="CH71" i="4" s="1"/>
  <c r="CH19" i="5"/>
  <c r="CH19" i="4"/>
  <c r="BF112" i="4"/>
  <c r="BG112" i="4" s="1"/>
  <c r="CD43" i="4"/>
  <c r="CD59" i="4" s="1"/>
  <c r="CD71" i="4" s="1"/>
  <c r="CD19" i="5"/>
  <c r="CD19" i="4"/>
  <c r="G122" i="6"/>
  <c r="EL209" i="5"/>
  <c r="EL211" i="5" s="1"/>
  <c r="EL218" i="5"/>
  <c r="EL75" i="5"/>
  <c r="EL77" i="5" s="1"/>
  <c r="IJ36" i="26"/>
  <c r="JF36" i="26" s="1"/>
  <c r="BP136" i="4"/>
  <c r="BP173" i="4" s="1"/>
  <c r="CU112" i="4"/>
  <c r="BF26" i="4"/>
  <c r="BG26" i="4" s="1"/>
  <c r="J42" i="20"/>
  <c r="W85" i="7"/>
  <c r="E34" i="7"/>
  <c r="BT114" i="5"/>
  <c r="F17" i="21"/>
  <c r="BY88" i="5"/>
  <c r="BZ88" i="5" s="1"/>
  <c r="F19" i="13"/>
  <c r="F87" i="15" s="1"/>
  <c r="CG114" i="5"/>
  <c r="AI59" i="28"/>
  <c r="H28" i="30"/>
  <c r="P22" i="30"/>
  <c r="EN148" i="5"/>
  <c r="F41" i="25"/>
  <c r="BT58" i="5"/>
  <c r="H19" i="30"/>
  <c r="K55" i="31"/>
  <c r="N35" i="30"/>
  <c r="C29" i="34"/>
  <c r="T45" i="33"/>
  <c r="J41" i="24"/>
  <c r="P41" i="24" s="1"/>
  <c r="BP46" i="5"/>
  <c r="BQ46" i="5" s="1"/>
  <c r="J16" i="10"/>
  <c r="BN18" i="5"/>
  <c r="H15" i="24"/>
  <c r="BJ18" i="5"/>
  <c r="R40" i="34"/>
  <c r="R50" i="34" s="1"/>
  <c r="R19" i="32"/>
  <c r="N19" i="13" s="1"/>
  <c r="C83" i="34"/>
  <c r="T23" i="33"/>
  <c r="N24" i="14" s="1"/>
  <c r="D41" i="25"/>
  <c r="BS58" i="5"/>
  <c r="BY46" i="5"/>
  <c r="BZ46" i="5" s="1"/>
  <c r="BU58" i="5"/>
  <c r="P50" i="30"/>
  <c r="F31" i="15"/>
  <c r="K31" i="31"/>
  <c r="J15" i="24"/>
  <c r="J23" i="24" s="1"/>
  <c r="BK18" i="5"/>
  <c r="BK43" i="5" s="1"/>
  <c r="BK61" i="5" s="1"/>
  <c r="D17" i="24"/>
  <c r="P17" i="24" s="1"/>
  <c r="BP12" i="5"/>
  <c r="BH18" i="5"/>
  <c r="L60" i="32"/>
  <c r="L72" i="32" s="1"/>
  <c r="N68" i="19"/>
  <c r="AC68" i="19"/>
  <c r="BF28" i="5"/>
  <c r="D31" i="10"/>
  <c r="T18" i="34"/>
  <c r="N19" i="15" s="1"/>
  <c r="T17" i="34"/>
  <c r="N18" i="15" s="1"/>
  <c r="BY11" i="5"/>
  <c r="BZ11" i="5" s="1"/>
  <c r="BP14" i="5"/>
  <c r="P14" i="19"/>
  <c r="P37" i="19" s="1"/>
  <c r="K114" i="5"/>
  <c r="F14" i="9"/>
  <c r="AI114" i="5"/>
  <c r="BN14" i="19"/>
  <c r="BN37" i="19" s="1"/>
  <c r="AJ33" i="28"/>
  <c r="AS48" i="27"/>
  <c r="AS50" i="27" s="1"/>
  <c r="AS18" i="27"/>
  <c r="AQ24" i="27"/>
  <c r="AN14" i="19"/>
  <c r="AN37" i="19" s="1"/>
  <c r="W114" i="5"/>
  <c r="J14" i="9"/>
  <c r="J39" i="9" s="1"/>
  <c r="BP85" i="5"/>
  <c r="BQ85" i="5" s="1"/>
  <c r="BN114" i="5"/>
  <c r="BW18" i="5"/>
  <c r="J18" i="33"/>
  <c r="T32" i="33"/>
  <c r="H16" i="24"/>
  <c r="P16" i="24" s="1"/>
  <c r="BP11" i="5"/>
  <c r="H18" i="24"/>
  <c r="P18" i="24" s="1"/>
  <c r="BP13" i="5"/>
  <c r="T16" i="33"/>
  <c r="N17" i="14" s="1"/>
  <c r="N112" i="14" s="1"/>
  <c r="D18" i="33"/>
  <c r="D45" i="24"/>
  <c r="P45" i="24" s="1"/>
  <c r="BP50" i="5"/>
  <c r="BQ50" i="5" s="1"/>
  <c r="R63" i="32"/>
  <c r="P79" i="32"/>
  <c r="CR185" i="5"/>
  <c r="CR207" i="5" s="1"/>
  <c r="CU176" i="5"/>
  <c r="E638" i="65" s="1"/>
  <c r="N39" i="30"/>
  <c r="J39" i="14" s="1"/>
  <c r="L39" i="14" s="1"/>
  <c r="D42" i="25"/>
  <c r="N42" i="25" s="1"/>
  <c r="BY47" i="5"/>
  <c r="BZ47" i="5" s="1"/>
  <c r="EN145" i="5"/>
  <c r="T36" i="33"/>
  <c r="BK19" i="4"/>
  <c r="BK43" i="4"/>
  <c r="BK59" i="4" s="1"/>
  <c r="BK71" i="4" s="1"/>
  <c r="BK177" i="4" s="1"/>
  <c r="BK178" i="4" s="1"/>
  <c r="DZ49" i="19"/>
  <c r="C68" i="19"/>
  <c r="I83" i="34"/>
  <c r="M81" i="6"/>
  <c r="R81" i="6" s="1"/>
  <c r="M26" i="6"/>
  <c r="H24" i="65" l="1"/>
  <c r="H48" i="65"/>
  <c r="I48" i="65" s="1"/>
  <c r="T18" i="10"/>
  <c r="Q96" i="3"/>
  <c r="T27" i="34"/>
  <c r="N29" i="15" s="1"/>
  <c r="N37" i="34"/>
  <c r="CU154" i="5"/>
  <c r="R17" i="15"/>
  <c r="R15" i="15" s="1"/>
  <c r="F19" i="29"/>
  <c r="F85" i="31" s="1"/>
  <c r="N30" i="13"/>
  <c r="G50" i="34"/>
  <c r="G42" i="32"/>
  <c r="W19" i="9"/>
  <c r="W93" i="9"/>
  <c r="W108" i="9" s="1"/>
  <c r="W86" i="9"/>
  <c r="AG86" i="9" s="1"/>
  <c r="E90" i="6" s="1"/>
  <c r="I90" i="6" s="1"/>
  <c r="T90" i="6" s="1"/>
  <c r="V90" i="6" s="1"/>
  <c r="N74" i="13"/>
  <c r="W81" i="9" s="1"/>
  <c r="AG81" i="9" s="1"/>
  <c r="R70" i="32"/>
  <c r="N23" i="6"/>
  <c r="W115" i="9"/>
  <c r="L31" i="8"/>
  <c r="L74" i="13"/>
  <c r="J85" i="13"/>
  <c r="N122" i="6"/>
  <c r="R122" i="6" s="1"/>
  <c r="P111" i="13"/>
  <c r="E72" i="32"/>
  <c r="N80" i="6"/>
  <c r="N71" i="6"/>
  <c r="N18" i="6"/>
  <c r="N84" i="6"/>
  <c r="AG72" i="9"/>
  <c r="W21" i="9"/>
  <c r="I122" i="6"/>
  <c r="N24" i="13"/>
  <c r="W23" i="9" s="1"/>
  <c r="R92" i="6"/>
  <c r="BH36" i="22"/>
  <c r="E71" i="70"/>
  <c r="AA75" i="3"/>
  <c r="CP87" i="19"/>
  <c r="CP89" i="19" s="1"/>
  <c r="U75" i="3"/>
  <c r="CJ87" i="19"/>
  <c r="CJ89" i="19" s="1"/>
  <c r="K52" i="7"/>
  <c r="N75" i="13"/>
  <c r="N86" i="6" s="1"/>
  <c r="N70" i="13"/>
  <c r="W74" i="9" s="1"/>
  <c r="AG74" i="9" s="1"/>
  <c r="N78" i="13"/>
  <c r="N68" i="13"/>
  <c r="W73" i="9" s="1"/>
  <c r="BG132" i="5"/>
  <c r="BF154" i="5"/>
  <c r="BG47" i="4"/>
  <c r="BG56" i="4" s="1"/>
  <c r="EI47" i="4"/>
  <c r="BF13" i="5"/>
  <c r="BF22" i="5"/>
  <c r="H214" i="65" s="1"/>
  <c r="L54" i="25"/>
  <c r="L64" i="25" s="1"/>
  <c r="L86" i="21" s="1"/>
  <c r="F63" i="13"/>
  <c r="F16" i="15" s="1"/>
  <c r="F22" i="15" s="1"/>
  <c r="AE17" i="19"/>
  <c r="AE37" i="19" s="1"/>
  <c r="U31" i="3" s="1"/>
  <c r="BG331" i="5"/>
  <c r="T16" i="51"/>
  <c r="II51" i="26"/>
  <c r="II61" i="26" s="1"/>
  <c r="II73" i="26" s="1"/>
  <c r="BF23" i="5"/>
  <c r="R51" i="10"/>
  <c r="T51" i="10" s="1"/>
  <c r="AL51" i="10" s="1"/>
  <c r="D46" i="23"/>
  <c r="L46" i="23" s="1"/>
  <c r="R47" i="10"/>
  <c r="T47" i="10" s="1"/>
  <c r="AL47" i="10" s="1"/>
  <c r="D47" i="23"/>
  <c r="L47" i="23" s="1"/>
  <c r="R48" i="10"/>
  <c r="T48" i="10" s="1"/>
  <c r="AL48" i="10" s="1"/>
  <c r="CJ89" i="5"/>
  <c r="CK89" i="5" s="1"/>
  <c r="CK332" i="5" s="1"/>
  <c r="DW59" i="4"/>
  <c r="DW71" i="4" s="1"/>
  <c r="DW75" i="4" s="1"/>
  <c r="BG28" i="5"/>
  <c r="CA28" i="5" s="1"/>
  <c r="Q25" i="70"/>
  <c r="Q47" i="70" s="1"/>
  <c r="EC177" i="4"/>
  <c r="EE73" i="4"/>
  <c r="EE75" i="4" s="1"/>
  <c r="F62" i="29"/>
  <c r="F16" i="31" s="1"/>
  <c r="F17" i="36"/>
  <c r="F22" i="17" s="1"/>
  <c r="F21" i="17"/>
  <c r="F43" i="16"/>
  <c r="F45" i="16" s="1"/>
  <c r="II75" i="26"/>
  <c r="BG200" i="5"/>
  <c r="CA200" i="5" s="1"/>
  <c r="BF173" i="4"/>
  <c r="BF175" i="4" s="1"/>
  <c r="E153" i="65"/>
  <c r="BG135" i="5"/>
  <c r="CA135" i="5" s="1"/>
  <c r="BG365" i="5"/>
  <c r="CA365" i="5" s="1"/>
  <c r="S29" i="70" s="1"/>
  <c r="U29" i="70" s="1"/>
  <c r="Q104" i="3"/>
  <c r="J46" i="3" s="1"/>
  <c r="G39" i="10"/>
  <c r="G60" i="10" s="1"/>
  <c r="G70" i="10" s="1"/>
  <c r="BB216" i="5" s="1"/>
  <c r="F46" i="3"/>
  <c r="J42" i="18"/>
  <c r="H807" i="65" s="1"/>
  <c r="I807" i="65" s="1"/>
  <c r="L60" i="13"/>
  <c r="O61" i="6" s="1"/>
  <c r="G61" i="6" s="1"/>
  <c r="F73" i="15"/>
  <c r="F76" i="15" s="1"/>
  <c r="EE178" i="4"/>
  <c r="DY185" i="5"/>
  <c r="DY207" i="5" s="1"/>
  <c r="DY75" i="5" s="1"/>
  <c r="DY77" i="5" s="1"/>
  <c r="F85" i="20"/>
  <c r="BI180" i="4"/>
  <c r="BI182" i="4" s="1"/>
  <c r="N51" i="14"/>
  <c r="X43" i="10" s="1"/>
  <c r="CW332" i="5"/>
  <c r="DW332" i="5" s="1"/>
  <c r="DW335" i="5" s="1"/>
  <c r="G75" i="70"/>
  <c r="AI75" i="3"/>
  <c r="BF67" i="4"/>
  <c r="BG67" i="4" s="1"/>
  <c r="I42" i="37"/>
  <c r="K41" i="5"/>
  <c r="BZ331" i="5"/>
  <c r="DL77" i="5"/>
  <c r="IH51" i="26"/>
  <c r="IH61" i="26" s="1"/>
  <c r="X114" i="5"/>
  <c r="AO18" i="80"/>
  <c r="DW16" i="5"/>
  <c r="EN16" i="5" s="1"/>
  <c r="DR185" i="5"/>
  <c r="DR207" i="5" s="1"/>
  <c r="AA35" i="37" s="1"/>
  <c r="I43" i="37"/>
  <c r="I44" i="37" s="1"/>
  <c r="DC216" i="5"/>
  <c r="DC218" i="5" s="1"/>
  <c r="W43" i="37"/>
  <c r="W44" i="37" s="1"/>
  <c r="DN216" i="5"/>
  <c r="DN218" i="5" s="1"/>
  <c r="O43" i="37"/>
  <c r="O44" i="37" s="1"/>
  <c r="DE216" i="5"/>
  <c r="DE218" i="5" s="1"/>
  <c r="G43" i="37"/>
  <c r="G44" i="37" s="1"/>
  <c r="DB216" i="5"/>
  <c r="DB218" i="5" s="1"/>
  <c r="S43" i="37"/>
  <c r="S44" i="37" s="1"/>
  <c r="DL216" i="5"/>
  <c r="DL218" i="5" s="1"/>
  <c r="M43" i="37"/>
  <c r="M44" i="37" s="1"/>
  <c r="DD216" i="5"/>
  <c r="DD218" i="5" s="1"/>
  <c r="Q43" i="37"/>
  <c r="Q44" i="37" s="1"/>
  <c r="DJ216" i="5"/>
  <c r="DJ218" i="5" s="1"/>
  <c r="E43" i="37"/>
  <c r="E44" i="37" s="1"/>
  <c r="CY216" i="5"/>
  <c r="CY218" i="5" s="1"/>
  <c r="BH19" i="4"/>
  <c r="BP19" i="4" s="1"/>
  <c r="BH43" i="4"/>
  <c r="BH59" i="4" s="1"/>
  <c r="BH71" i="4" s="1"/>
  <c r="BH75" i="4" s="1"/>
  <c r="DB77" i="5"/>
  <c r="I63" i="65"/>
  <c r="DD77" i="5"/>
  <c r="DJ77" i="5"/>
  <c r="DJ213" i="5"/>
  <c r="J23" i="23"/>
  <c r="J36" i="23"/>
  <c r="DB213" i="5"/>
  <c r="BQ58" i="5"/>
  <c r="P15" i="24"/>
  <c r="P21" i="24"/>
  <c r="F21" i="23" s="1"/>
  <c r="H325" i="65" s="1"/>
  <c r="I325" i="65" s="1"/>
  <c r="F93" i="9"/>
  <c r="DO214" i="5"/>
  <c r="DN77" i="5"/>
  <c r="O42" i="37"/>
  <c r="H16" i="36"/>
  <c r="H38" i="17"/>
  <c r="DS209" i="5"/>
  <c r="DS211" i="5" s="1"/>
  <c r="CH209" i="5"/>
  <c r="CH211" i="5" s="1"/>
  <c r="E716" i="65"/>
  <c r="DL213" i="5"/>
  <c r="CY77" i="5"/>
  <c r="DE77" i="5"/>
  <c r="DF218" i="5"/>
  <c r="DF75" i="5"/>
  <c r="DO75" i="5"/>
  <c r="DO77" i="5" s="1"/>
  <c r="DO218" i="5"/>
  <c r="DW10" i="5"/>
  <c r="EN10" i="5" s="1"/>
  <c r="CW157" i="5"/>
  <c r="CW292" i="5"/>
  <c r="CW331" i="5" s="1"/>
  <c r="CW185" i="5" s="1"/>
  <c r="DQ18" i="5"/>
  <c r="DQ43" i="5" s="1"/>
  <c r="DQ61" i="5" s="1"/>
  <c r="DQ73" i="5" s="1"/>
  <c r="DQ213" i="5" s="1"/>
  <c r="AG14" i="80"/>
  <c r="DS18" i="5"/>
  <c r="DS43" i="5" s="1"/>
  <c r="DS61" i="5" s="1"/>
  <c r="DS73" i="5" s="1"/>
  <c r="DC77" i="5"/>
  <c r="DF209" i="5"/>
  <c r="DF211" i="5" s="1"/>
  <c r="DO209" i="5"/>
  <c r="DO211" i="5" s="1"/>
  <c r="AG35" i="37"/>
  <c r="AG37" i="37" s="1"/>
  <c r="AG39" i="37" s="1"/>
  <c r="DS75" i="5"/>
  <c r="DF18" i="5"/>
  <c r="DF43" i="5" s="1"/>
  <c r="DF61" i="5" s="1"/>
  <c r="DF73" i="5" s="1"/>
  <c r="CW75" i="4"/>
  <c r="O91" i="31"/>
  <c r="J95" i="15" s="1"/>
  <c r="L95" i="15" s="1"/>
  <c r="N57" i="10"/>
  <c r="AE71" i="19"/>
  <c r="AE68" i="19" s="1"/>
  <c r="U35" i="3" s="1"/>
  <c r="D48" i="30"/>
  <c r="D53" i="30" s="1"/>
  <c r="F17" i="9"/>
  <c r="F39" i="9" s="1"/>
  <c r="E37" i="19"/>
  <c r="AA83" i="3"/>
  <c r="D52" i="27"/>
  <c r="D64" i="27" s="1"/>
  <c r="D63" i="31"/>
  <c r="D67" i="31" s="1"/>
  <c r="D68" i="31" s="1"/>
  <c r="D70" i="31" s="1"/>
  <c r="W90" i="7"/>
  <c r="J17" i="14"/>
  <c r="L17" i="14" s="1"/>
  <c r="AI75" i="28"/>
  <c r="T40" i="33"/>
  <c r="J33" i="14"/>
  <c r="F23" i="7" s="1"/>
  <c r="N45" i="30"/>
  <c r="F25" i="7"/>
  <c r="E193" i="7" s="1"/>
  <c r="D78" i="31"/>
  <c r="CA343" i="5"/>
  <c r="D57" i="30"/>
  <c r="D69" i="30" s="1"/>
  <c r="CA86" i="5"/>
  <c r="D98" i="31"/>
  <c r="D81" i="29"/>
  <c r="D113" i="29" s="1"/>
  <c r="D116" i="29" s="1"/>
  <c r="J41" i="14"/>
  <c r="L41" i="14" s="1"/>
  <c r="J40" i="14"/>
  <c r="L40" i="14" s="1"/>
  <c r="BF47" i="5"/>
  <c r="HK51" i="26"/>
  <c r="HK61" i="26" s="1"/>
  <c r="BN177" i="4"/>
  <c r="BN178" i="4" s="1"/>
  <c r="L74" i="11"/>
  <c r="JG19" i="26"/>
  <c r="JG16" i="26"/>
  <c r="P43" i="5"/>
  <c r="P61" i="5" s="1"/>
  <c r="P73" i="5" s="1"/>
  <c r="E144" i="65"/>
  <c r="BF10" i="5"/>
  <c r="BG10" i="5" s="1"/>
  <c r="E51" i="28"/>
  <c r="E61" i="28" s="1"/>
  <c r="L4" i="66"/>
  <c r="AR68" i="27"/>
  <c r="BA15" i="3"/>
  <c r="F48" i="3" s="1"/>
  <c r="D16" i="10"/>
  <c r="H36" i="65" s="1"/>
  <c r="I36" i="65" s="1"/>
  <c r="C59" i="70"/>
  <c r="CG209" i="5"/>
  <c r="CG211" i="5" s="1"/>
  <c r="D66" i="33"/>
  <c r="T53" i="33"/>
  <c r="N57" i="14" s="1"/>
  <c r="X62" i="10" s="1"/>
  <c r="X66" i="10" s="1"/>
  <c r="AY43" i="4"/>
  <c r="AY59" i="4" s="1"/>
  <c r="AY71" i="4" s="1"/>
  <c r="AY177" i="4" s="1"/>
  <c r="AY178" i="4" s="1"/>
  <c r="AT41" i="4"/>
  <c r="AT42" i="4" s="1"/>
  <c r="CP41" i="22"/>
  <c r="CP52" i="22" s="1"/>
  <c r="AT58" i="5"/>
  <c r="AT18" i="5"/>
  <c r="CP16" i="22"/>
  <c r="CP23" i="22" s="1"/>
  <c r="AA79" i="3" s="1"/>
  <c r="AT19" i="4"/>
  <c r="BC20" i="4" s="1"/>
  <c r="AU189" i="5"/>
  <c r="AU207" i="5" s="1"/>
  <c r="AV189" i="5"/>
  <c r="AV207" i="5" s="1"/>
  <c r="P74" i="20"/>
  <c r="F80" i="18" s="1"/>
  <c r="JG54" i="26"/>
  <c r="E12" i="65"/>
  <c r="G18" i="65" s="1"/>
  <c r="D332" i="5"/>
  <c r="BF12" i="5"/>
  <c r="BG12" i="5" s="1"/>
  <c r="L28" i="18"/>
  <c r="BF9" i="4"/>
  <c r="P14" i="20"/>
  <c r="P65" i="20"/>
  <c r="P73" i="20"/>
  <c r="F79" i="18" s="1"/>
  <c r="P17" i="20"/>
  <c r="F17" i="18" s="1"/>
  <c r="E273" i="65"/>
  <c r="BP84" i="5"/>
  <c r="N27" i="25"/>
  <c r="H36" i="25"/>
  <c r="AX207" i="5"/>
  <c r="AX209" i="5" s="1"/>
  <c r="AX211" i="5" s="1"/>
  <c r="CY76" i="19"/>
  <c r="CY85" i="19" s="1"/>
  <c r="CY87" i="19" s="1"/>
  <c r="CY89" i="19" s="1"/>
  <c r="AE77" i="9"/>
  <c r="M29" i="6"/>
  <c r="R29" i="6" s="1"/>
  <c r="CC209" i="5"/>
  <c r="CC211" i="5" s="1"/>
  <c r="EI34" i="5"/>
  <c r="EN34" i="5" s="1"/>
  <c r="G27" i="6"/>
  <c r="BT19" i="3"/>
  <c r="AA51" i="3"/>
  <c r="BR23" i="3"/>
  <c r="AC75" i="3"/>
  <c r="Y55" i="3"/>
  <c r="Y35" i="3"/>
  <c r="Y75" i="3"/>
  <c r="Q55" i="3"/>
  <c r="U55" i="3"/>
  <c r="W55" i="3"/>
  <c r="AC55" i="3"/>
  <c r="AM35" i="3"/>
  <c r="AK71" i="3"/>
  <c r="AE71" i="3"/>
  <c r="AS43" i="3"/>
  <c r="AS35" i="3"/>
  <c r="S51" i="3"/>
  <c r="W11" i="3"/>
  <c r="S31" i="3"/>
  <c r="W79" i="3"/>
  <c r="U92" i="3"/>
  <c r="W75" i="3"/>
  <c r="AA59" i="3"/>
  <c r="Y51" i="3"/>
  <c r="Y11" i="3"/>
  <c r="Y79" i="3"/>
  <c r="S59" i="3"/>
  <c r="W59" i="3"/>
  <c r="AC35" i="3"/>
  <c r="Q59" i="3"/>
  <c r="H55" i="3"/>
  <c r="U51" i="3"/>
  <c r="BA23" i="3"/>
  <c r="J48" i="3" s="1"/>
  <c r="N16" i="30"/>
  <c r="J16" i="14" s="1"/>
  <c r="E23" i="7" s="1"/>
  <c r="Q35" i="3"/>
  <c r="AG75" i="3"/>
  <c r="AG35" i="3"/>
  <c r="F82" i="14"/>
  <c r="Y31" i="3"/>
  <c r="Y71" i="3"/>
  <c r="AG71" i="3"/>
  <c r="AG31" i="3"/>
  <c r="AI31" i="3"/>
  <c r="AA55" i="3"/>
  <c r="W31" i="3"/>
  <c r="BV19" i="3"/>
  <c r="AA15" i="3"/>
  <c r="AG19" i="3"/>
  <c r="AG23" i="3"/>
  <c r="AU48" i="3"/>
  <c r="AC63" i="3"/>
  <c r="AG79" i="3"/>
  <c r="AE75" i="3"/>
  <c r="AE79" i="3"/>
  <c r="BV15" i="3"/>
  <c r="AK79" i="3"/>
  <c r="BT23" i="3"/>
  <c r="AM15" i="3"/>
  <c r="U23" i="3"/>
  <c r="AE23" i="3"/>
  <c r="AC23" i="3"/>
  <c r="BA48" i="3"/>
  <c r="AW43" i="3"/>
  <c r="F28" i="14"/>
  <c r="D57" i="33"/>
  <c r="F28" i="30"/>
  <c r="K16" i="31"/>
  <c r="K22" i="31" s="1"/>
  <c r="E605" i="65"/>
  <c r="EE119" i="4"/>
  <c r="DW69" i="5"/>
  <c r="EN66" i="5"/>
  <c r="BN43" i="5"/>
  <c r="BN61" i="5" s="1"/>
  <c r="BN73" i="5" s="1"/>
  <c r="BF85" i="5"/>
  <c r="E142" i="65" s="1"/>
  <c r="AJ59" i="28"/>
  <c r="JG55" i="26"/>
  <c r="JG56" i="26"/>
  <c r="JG18" i="26"/>
  <c r="JG39" i="26"/>
  <c r="JG29" i="26"/>
  <c r="JG44" i="26"/>
  <c r="JG32" i="26"/>
  <c r="JG30" i="26"/>
  <c r="JG41" i="26"/>
  <c r="H37" i="21"/>
  <c r="JG22" i="26"/>
  <c r="JG38" i="26"/>
  <c r="JG45" i="26"/>
  <c r="JG17" i="26"/>
  <c r="JG36" i="26"/>
  <c r="JG33" i="26"/>
  <c r="JG20" i="26"/>
  <c r="JG57" i="26"/>
  <c r="JG35" i="26"/>
  <c r="JG21" i="26"/>
  <c r="JG42" i="26"/>
  <c r="F42" i="12"/>
  <c r="F52" i="12" s="1"/>
  <c r="D61" i="26"/>
  <c r="BF357" i="5"/>
  <c r="BS361" i="5"/>
  <c r="BS386" i="5" s="1"/>
  <c r="EN51" i="26"/>
  <c r="EN61" i="26" s="1"/>
  <c r="ED51" i="26"/>
  <c r="ED61" i="26" s="1"/>
  <c r="CV51" i="26"/>
  <c r="CV61" i="26" s="1"/>
  <c r="CA341" i="5"/>
  <c r="S9" i="70" s="1"/>
  <c r="U9" i="70" s="1"/>
  <c r="BY175" i="4"/>
  <c r="CA89" i="5"/>
  <c r="CR209" i="5"/>
  <c r="CN75" i="4"/>
  <c r="CU19" i="4"/>
  <c r="CU175" i="4"/>
  <c r="EN135" i="5"/>
  <c r="EO92" i="5" s="1"/>
  <c r="I51" i="28"/>
  <c r="I61" i="28" s="1"/>
  <c r="R51" i="28"/>
  <c r="R61" i="28" s="1"/>
  <c r="BY41" i="4"/>
  <c r="BY14" i="5"/>
  <c r="BZ14" i="5" s="1"/>
  <c r="CB51" i="26"/>
  <c r="CB61" i="26" s="1"/>
  <c r="BT43" i="4"/>
  <c r="BT59" i="4" s="1"/>
  <c r="BT71" i="4" s="1"/>
  <c r="BT75" i="4" s="1"/>
  <c r="CF51" i="26"/>
  <c r="CF61" i="26" s="1"/>
  <c r="BD51" i="26"/>
  <c r="BD61" i="26" s="1"/>
  <c r="J61" i="26"/>
  <c r="EX51" i="26"/>
  <c r="EX61" i="26" s="1"/>
  <c r="EI46" i="4"/>
  <c r="CQ177" i="4"/>
  <c r="CQ178" i="4" s="1"/>
  <c r="G33" i="6"/>
  <c r="BF372" i="5"/>
  <c r="BP37" i="19"/>
  <c r="B15" i="3"/>
  <c r="G24" i="65"/>
  <c r="K28" i="65" s="1"/>
  <c r="F113" i="14"/>
  <c r="H24" i="10"/>
  <c r="AD61" i="26"/>
  <c r="IJ59" i="26"/>
  <c r="F24" i="10"/>
  <c r="E75" i="70"/>
  <c r="BP41" i="4"/>
  <c r="D190" i="11"/>
  <c r="D200" i="11" s="1"/>
  <c r="N33" i="14"/>
  <c r="X18" i="10"/>
  <c r="X24" i="10" s="1"/>
  <c r="R38" i="6"/>
  <c r="H71" i="13"/>
  <c r="H87" i="13" s="1"/>
  <c r="F42" i="23"/>
  <c r="BR376" i="5"/>
  <c r="BR386" i="5" s="1"/>
  <c r="M28" i="70"/>
  <c r="R49" i="32"/>
  <c r="R60" i="32" s="1"/>
  <c r="BN361" i="5"/>
  <c r="BN189" i="5" s="1"/>
  <c r="J112" i="9" s="1"/>
  <c r="J121" i="9" s="1"/>
  <c r="J123" i="9" s="1"/>
  <c r="K24" i="70"/>
  <c r="K25" i="70" s="1"/>
  <c r="K47" i="70" s="1"/>
  <c r="X376" i="5"/>
  <c r="X191" i="5" s="1"/>
  <c r="X207" i="5" s="1"/>
  <c r="X209" i="5" s="1"/>
  <c r="E30" i="70"/>
  <c r="F49" i="38"/>
  <c r="AS24" i="27"/>
  <c r="D95" i="38"/>
  <c r="D97" i="38" s="1"/>
  <c r="J110" i="29"/>
  <c r="AJ51" i="26"/>
  <c r="AJ61" i="26" s="1"/>
  <c r="DZ51" i="26"/>
  <c r="DZ61" i="26" s="1"/>
  <c r="P61" i="26"/>
  <c r="AS43" i="4"/>
  <c r="AS59" i="4" s="1"/>
  <c r="AS71" i="4" s="1"/>
  <c r="AS177" i="4" s="1"/>
  <c r="AS178" i="4" s="1"/>
  <c r="GL51" i="26"/>
  <c r="GL61" i="26" s="1"/>
  <c r="BF50" i="5"/>
  <c r="BG50" i="5" s="1"/>
  <c r="DF51" i="26"/>
  <c r="DF61" i="26" s="1"/>
  <c r="BV51" i="26"/>
  <c r="BV61" i="26" s="1"/>
  <c r="HG51" i="26"/>
  <c r="HG61" i="26" s="1"/>
  <c r="BA45" i="22"/>
  <c r="BA52" i="22" s="1"/>
  <c r="AD58" i="5"/>
  <c r="F43" i="4"/>
  <c r="F59" i="4" s="1"/>
  <c r="F71" i="4" s="1"/>
  <c r="AD19" i="5"/>
  <c r="G60" i="32"/>
  <c r="H324" i="65"/>
  <c r="I324" i="65" s="1"/>
  <c r="BY84" i="5"/>
  <c r="E328" i="65"/>
  <c r="H432" i="65"/>
  <c r="I432" i="65" s="1"/>
  <c r="E330" i="65"/>
  <c r="G330" i="65" s="1"/>
  <c r="E459" i="65"/>
  <c r="BZ332" i="5"/>
  <c r="E274" i="65"/>
  <c r="BQ332" i="5"/>
  <c r="P83" i="6"/>
  <c r="AT28" i="37"/>
  <c r="P57" i="33"/>
  <c r="E414" i="65"/>
  <c r="G417" i="65" s="1"/>
  <c r="AA113" i="7"/>
  <c r="DU65" i="22"/>
  <c r="DP90" i="19" s="1"/>
  <c r="CJ84" i="5"/>
  <c r="CJ82" i="5"/>
  <c r="G32" i="52"/>
  <c r="J17" i="52"/>
  <c r="J18" i="52" s="1"/>
  <c r="F51" i="26"/>
  <c r="F61" i="26" s="1"/>
  <c r="G74" i="11"/>
  <c r="N57" i="33"/>
  <c r="CO73" i="5"/>
  <c r="CO216" i="5" s="1"/>
  <c r="CO218" i="5" s="1"/>
  <c r="CP51" i="26"/>
  <c r="CP61" i="26" s="1"/>
  <c r="DP51" i="26"/>
  <c r="DP61" i="26" s="1"/>
  <c r="CL51" i="26"/>
  <c r="CL61" i="26" s="1"/>
  <c r="AT61" i="26"/>
  <c r="CZ51" i="26"/>
  <c r="CZ61" i="26" s="1"/>
  <c r="BL51" i="26"/>
  <c r="BL61" i="26" s="1"/>
  <c r="T52" i="10"/>
  <c r="AL52" i="10" s="1"/>
  <c r="D23" i="18"/>
  <c r="L23" i="18" s="1"/>
  <c r="R23" i="9"/>
  <c r="T23" i="9" s="1"/>
  <c r="D20" i="18"/>
  <c r="L20" i="18" s="1"/>
  <c r="R19" i="9"/>
  <c r="AC19" i="9" s="1"/>
  <c r="R70" i="9"/>
  <c r="T70" i="9" s="1"/>
  <c r="D18" i="18"/>
  <c r="L18" i="18" s="1"/>
  <c r="R18" i="9"/>
  <c r="T18" i="9" s="1"/>
  <c r="R63" i="9"/>
  <c r="T63" i="9" s="1"/>
  <c r="AG63" i="9" s="1"/>
  <c r="R22" i="9"/>
  <c r="T22" i="9" s="1"/>
  <c r="AG22" i="9" s="1"/>
  <c r="HQ51" i="26"/>
  <c r="HQ61" i="26" s="1"/>
  <c r="Z51" i="26"/>
  <c r="Z61" i="26" s="1"/>
  <c r="DT51" i="26"/>
  <c r="DT61" i="26" s="1"/>
  <c r="EJ51" i="26"/>
  <c r="EJ61" i="26" s="1"/>
  <c r="BR51" i="26"/>
  <c r="BR61" i="26" s="1"/>
  <c r="AF42" i="4"/>
  <c r="GQ51" i="26"/>
  <c r="GQ61" i="26" s="1"/>
  <c r="JC51" i="26"/>
  <c r="JC61" i="26" s="1"/>
  <c r="ET51" i="26"/>
  <c r="ET61" i="26" s="1"/>
  <c r="HY51" i="26"/>
  <c r="HY61" i="26" s="1"/>
  <c r="IE51" i="26"/>
  <c r="IE61" i="26" s="1"/>
  <c r="K43" i="4"/>
  <c r="K59" i="4" s="1"/>
  <c r="K71" i="4" s="1"/>
  <c r="K75" i="4" s="1"/>
  <c r="P43" i="4"/>
  <c r="P59" i="4" s="1"/>
  <c r="P71" i="4" s="1"/>
  <c r="P75" i="4" s="1"/>
  <c r="HA51" i="26"/>
  <c r="HA61" i="26" s="1"/>
  <c r="I38" i="6"/>
  <c r="D31" i="18"/>
  <c r="L31" i="18" s="1"/>
  <c r="R31" i="9"/>
  <c r="T31" i="9" s="1"/>
  <c r="M33" i="6" s="1"/>
  <c r="BA69" i="5"/>
  <c r="BI213" i="5"/>
  <c r="BI214" i="5" s="1"/>
  <c r="U69" i="5"/>
  <c r="AZ69" i="5"/>
  <c r="EQ69" i="5"/>
  <c r="S69" i="5"/>
  <c r="J64" i="5"/>
  <c r="E545" i="65"/>
  <c r="G548" i="65" s="1"/>
  <c r="EF69" i="5"/>
  <c r="EF73" i="5" s="1"/>
  <c r="AF69" i="5"/>
  <c r="Q69" i="5"/>
  <c r="N17" i="21"/>
  <c r="P68" i="31"/>
  <c r="CL43" i="5"/>
  <c r="CL61" i="5" s="1"/>
  <c r="CL73" i="5" s="1"/>
  <c r="DZ61" i="19"/>
  <c r="D63" i="18" s="1"/>
  <c r="L63" i="18" s="1"/>
  <c r="CJ173" i="5"/>
  <c r="C17" i="22"/>
  <c r="E606" i="65"/>
  <c r="CK32" i="5"/>
  <c r="E152" i="65"/>
  <c r="G77" i="65"/>
  <c r="M138" i="65" s="1"/>
  <c r="G55" i="65"/>
  <c r="I55" i="65" s="1"/>
  <c r="X50" i="10"/>
  <c r="AL50" i="10" s="1"/>
  <c r="BR41" i="5"/>
  <c r="BY22" i="5"/>
  <c r="BZ22" i="5" s="1"/>
  <c r="BR43" i="4"/>
  <c r="BR59" i="4" s="1"/>
  <c r="BR71" i="4" s="1"/>
  <c r="BR177" i="4" s="1"/>
  <c r="BR178" i="4" s="1"/>
  <c r="AI51" i="28"/>
  <c r="AI61" i="28" s="1"/>
  <c r="AI73" i="28" s="1"/>
  <c r="F25" i="66" s="1"/>
  <c r="R21" i="9"/>
  <c r="T21" i="9" s="1"/>
  <c r="BB361" i="5"/>
  <c r="BB189" i="5" s="1"/>
  <c r="I438" i="5"/>
  <c r="O44" i="6"/>
  <c r="N109" i="14"/>
  <c r="N110" i="14" s="1"/>
  <c r="N113" i="14" s="1"/>
  <c r="AD16" i="14"/>
  <c r="AH139" i="6"/>
  <c r="AH140" i="6" s="1"/>
  <c r="ER86" i="4"/>
  <c r="EQ334" i="5" s="1"/>
  <c r="EQ157" i="5" s="1"/>
  <c r="EQ154" i="5" s="1"/>
  <c r="EQ209" i="5" s="1"/>
  <c r="AS361" i="5"/>
  <c r="AS189" i="5" s="1"/>
  <c r="CN76" i="19" s="1"/>
  <c r="CN85" i="19" s="1"/>
  <c r="BR69" i="5"/>
  <c r="W15" i="3"/>
  <c r="U369" i="5"/>
  <c r="U376" i="5" s="1"/>
  <c r="U191" i="5" s="1"/>
  <c r="W69" i="5"/>
  <c r="CC69" i="5"/>
  <c r="CC73" i="5" s="1"/>
  <c r="CC213" i="5" s="1"/>
  <c r="CD207" i="5"/>
  <c r="N23" i="30"/>
  <c r="J23" i="14" s="1"/>
  <c r="L23" i="14" s="1"/>
  <c r="H28" i="14"/>
  <c r="BR18" i="5"/>
  <c r="CF207" i="5"/>
  <c r="CM43" i="5"/>
  <c r="CM61" i="5" s="1"/>
  <c r="CM73" i="5" s="1"/>
  <c r="BW188" i="5"/>
  <c r="L70" i="21" s="1"/>
  <c r="D52" i="53"/>
  <c r="H52" i="53" s="1"/>
  <c r="H56" i="53" s="1"/>
  <c r="J62" i="29"/>
  <c r="J69" i="29" s="1"/>
  <c r="J81" i="29" s="1"/>
  <c r="CF43" i="5"/>
  <c r="CF61" i="5" s="1"/>
  <c r="CF73" i="5" s="1"/>
  <c r="DE213" i="5"/>
  <c r="DE214" i="5" s="1"/>
  <c r="W48" i="39"/>
  <c r="Y48" i="39" s="1"/>
  <c r="Y52" i="39" s="1"/>
  <c r="EM213" i="5"/>
  <c r="G631" i="65"/>
  <c r="K638" i="65" s="1"/>
  <c r="BK73" i="5"/>
  <c r="CW69" i="5"/>
  <c r="BY157" i="5"/>
  <c r="BZ157" i="5" s="1"/>
  <c r="G386" i="5"/>
  <c r="BD73" i="5"/>
  <c r="BU189" i="5"/>
  <c r="H71" i="21" s="1"/>
  <c r="H80" i="21" s="1"/>
  <c r="BY13" i="5"/>
  <c r="BZ13" i="5" s="1"/>
  <c r="BY12" i="5"/>
  <c r="BZ12" i="5" s="1"/>
  <c r="CP43" i="5"/>
  <c r="CP61" i="5" s="1"/>
  <c r="CP73" i="5" s="1"/>
  <c r="F108" i="29"/>
  <c r="F110" i="29" s="1"/>
  <c r="BP172" i="5"/>
  <c r="BQ157" i="5"/>
  <c r="BJ43" i="4"/>
  <c r="BJ59" i="4" s="1"/>
  <c r="BJ71" i="4" s="1"/>
  <c r="BJ75" i="4" s="1"/>
  <c r="EN94" i="5"/>
  <c r="H57" i="14"/>
  <c r="H69" i="14" s="1"/>
  <c r="CU273" i="5"/>
  <c r="CC177" i="4"/>
  <c r="CC178" i="4" s="1"/>
  <c r="EM77" i="5"/>
  <c r="BI216" i="5"/>
  <c r="BI218" i="5" s="1"/>
  <c r="CE43" i="5"/>
  <c r="CE61" i="5" s="1"/>
  <c r="CE73" i="5" s="1"/>
  <c r="CO42" i="5"/>
  <c r="EN334" i="5"/>
  <c r="EK334" i="5" s="1"/>
  <c r="K191" i="5"/>
  <c r="K207" i="5" s="1"/>
  <c r="EQ43" i="5"/>
  <c r="EQ61" i="5" s="1"/>
  <c r="AH21" i="39"/>
  <c r="CG43" i="5"/>
  <c r="CG61" i="5" s="1"/>
  <c r="BK359" i="5"/>
  <c r="BK361" i="5" s="1"/>
  <c r="D57" i="18"/>
  <c r="L57" i="18" s="1"/>
  <c r="F37" i="10"/>
  <c r="O17" i="31"/>
  <c r="J17" i="15" s="1"/>
  <c r="D60" i="23"/>
  <c r="L60" i="23" s="1"/>
  <c r="R68" i="10"/>
  <c r="T68" i="10" s="1"/>
  <c r="AL68" i="10" s="1"/>
  <c r="R39" i="32"/>
  <c r="R42" i="32" s="1"/>
  <c r="P21" i="34"/>
  <c r="P61" i="34" s="1"/>
  <c r="P65" i="34" s="1"/>
  <c r="P66" i="34" s="1"/>
  <c r="P68" i="34" s="1"/>
  <c r="T16" i="34"/>
  <c r="N17" i="15" s="1"/>
  <c r="BW43" i="5"/>
  <c r="BW61" i="5" s="1"/>
  <c r="BW73" i="5" s="1"/>
  <c r="CQ42" i="5"/>
  <c r="AY189" i="5"/>
  <c r="DA76" i="19" s="1"/>
  <c r="DA85" i="19" s="1"/>
  <c r="DA87" i="19" s="1"/>
  <c r="F86" i="20"/>
  <c r="I84" i="32"/>
  <c r="I86" i="32" s="1"/>
  <c r="AX19" i="5"/>
  <c r="CQ73" i="5"/>
  <c r="BT18" i="5"/>
  <c r="BT43" i="5" s="1"/>
  <c r="BT61" i="5" s="1"/>
  <c r="CJ157" i="5"/>
  <c r="CJ172" i="5" s="1"/>
  <c r="CR73" i="5"/>
  <c r="S17" i="15"/>
  <c r="S15" i="15" s="1"/>
  <c r="U15" i="15" s="1"/>
  <c r="L113" i="29"/>
  <c r="CU58" i="5"/>
  <c r="AS43" i="5"/>
  <c r="EM209" i="5"/>
  <c r="EM211" i="5" s="1"/>
  <c r="BR58" i="5"/>
  <c r="CJ185" i="5"/>
  <c r="AI15" i="3"/>
  <c r="F57" i="33"/>
  <c r="CD43" i="5"/>
  <c r="CD61" i="5" s="1"/>
  <c r="CD73" i="5" s="1"/>
  <c r="BY24" i="5"/>
  <c r="BZ24" i="5" s="1"/>
  <c r="BY173" i="5"/>
  <c r="BZ173" i="5" s="1"/>
  <c r="AG18" i="5"/>
  <c r="AG19" i="5" s="1"/>
  <c r="L74" i="15"/>
  <c r="BW361" i="5"/>
  <c r="BW189" i="5" s="1"/>
  <c r="L71" i="21" s="1"/>
  <c r="T22" i="33"/>
  <c r="N23" i="14" s="1"/>
  <c r="N93" i="9"/>
  <c r="N108" i="9" s="1"/>
  <c r="AU39" i="3"/>
  <c r="DZ46" i="19"/>
  <c r="D27" i="18"/>
  <c r="L27" i="18" s="1"/>
  <c r="BP191" i="5"/>
  <c r="E289" i="65" s="1"/>
  <c r="AE15" i="3"/>
  <c r="CO209" i="5"/>
  <c r="S15" i="3"/>
  <c r="I72" i="32"/>
  <c r="AI35" i="3"/>
  <c r="CD84" i="5"/>
  <c r="AA35" i="3"/>
  <c r="S55" i="3"/>
  <c r="BF371" i="5"/>
  <c r="BF351" i="5"/>
  <c r="N41" i="21"/>
  <c r="H52" i="18" s="1"/>
  <c r="Y15" i="3"/>
  <c r="CJ175" i="4"/>
  <c r="V376" i="5"/>
  <c r="V386" i="5" s="1"/>
  <c r="BY364" i="5"/>
  <c r="BZ364" i="5" s="1"/>
  <c r="BF88" i="5"/>
  <c r="BG88" i="5" s="1"/>
  <c r="AZ209" i="5"/>
  <c r="AZ211" i="5" s="1"/>
  <c r="AR209" i="5"/>
  <c r="AR211" i="5" s="1"/>
  <c r="BY154" i="5"/>
  <c r="BZ154" i="5" s="1"/>
  <c r="P154" i="5"/>
  <c r="S35" i="3"/>
  <c r="AC15" i="3"/>
  <c r="L91" i="15"/>
  <c r="L24" i="13"/>
  <c r="O24" i="6" s="1"/>
  <c r="G24" i="6" s="1"/>
  <c r="T15" i="34"/>
  <c r="N16" i="15" s="1"/>
  <c r="P36" i="6"/>
  <c r="R36" i="6" s="1"/>
  <c r="H32" i="16"/>
  <c r="T43" i="4"/>
  <c r="T59" i="4" s="1"/>
  <c r="T71" i="4" s="1"/>
  <c r="T177" i="4" s="1"/>
  <c r="T178" i="4" s="1"/>
  <c r="L64" i="23"/>
  <c r="C19" i="37"/>
  <c r="BY56" i="4"/>
  <c r="N29" i="10"/>
  <c r="N37" i="10" s="1"/>
  <c r="BY23" i="5"/>
  <c r="BZ23" i="5" s="1"/>
  <c r="W31" i="9"/>
  <c r="N103" i="29"/>
  <c r="J109" i="13" s="1"/>
  <c r="L109" i="13" s="1"/>
  <c r="O115" i="6" s="1"/>
  <c r="G115" i="6" s="1"/>
  <c r="P69" i="34"/>
  <c r="P72" i="34" s="1"/>
  <c r="DA37" i="19"/>
  <c r="BI77" i="5"/>
  <c r="AK75" i="3"/>
  <c r="AF18" i="5"/>
  <c r="AF19" i="5" s="1"/>
  <c r="CU19" i="5"/>
  <c r="R29" i="33"/>
  <c r="R76" i="34" s="1"/>
  <c r="R99" i="34" s="1"/>
  <c r="H25" i="16"/>
  <c r="G26" i="32"/>
  <c r="CD114" i="5"/>
  <c r="F15" i="29"/>
  <c r="N15" i="29" s="1"/>
  <c r="BY18" i="4"/>
  <c r="AH43" i="4"/>
  <c r="AH59" i="4" s="1"/>
  <c r="AH71" i="4" s="1"/>
  <c r="AH177" i="4" s="1"/>
  <c r="AH178" i="4" s="1"/>
  <c r="BH23" i="22"/>
  <c r="AF59" i="4"/>
  <c r="AF71" i="4" s="1"/>
  <c r="AF177" i="4" s="1"/>
  <c r="AF178" i="4" s="1"/>
  <c r="BH41" i="22"/>
  <c r="BH52" i="22" s="1"/>
  <c r="AF58" i="5"/>
  <c r="DZ15" i="19"/>
  <c r="CW154" i="5"/>
  <c r="BF157" i="5"/>
  <c r="D43" i="10"/>
  <c r="D57" i="10" s="1"/>
  <c r="E39" i="27"/>
  <c r="E52" i="27" s="1"/>
  <c r="BP56" i="4"/>
  <c r="BI387" i="5"/>
  <c r="AY69" i="5"/>
  <c r="AY15" i="22"/>
  <c r="AY23" i="22" s="1"/>
  <c r="AC18" i="5"/>
  <c r="AC19" i="5" s="1"/>
  <c r="DC41" i="22"/>
  <c r="DC52" i="22" s="1"/>
  <c r="AZ58" i="5"/>
  <c r="CY41" i="22"/>
  <c r="CY52" i="22" s="1"/>
  <c r="AX58" i="5"/>
  <c r="BP41" i="22"/>
  <c r="BP52" i="22" s="1"/>
  <c r="AJ58" i="5"/>
  <c r="BL41" i="22"/>
  <c r="BL52" i="22" s="1"/>
  <c r="AH58" i="5"/>
  <c r="CW41" i="22"/>
  <c r="CW52" i="22" s="1"/>
  <c r="AV58" i="5"/>
  <c r="AS58" i="5"/>
  <c r="CN41" i="22"/>
  <c r="CN52" i="22" s="1"/>
  <c r="CU42" i="22"/>
  <c r="CU52" i="22" s="1"/>
  <c r="AU58" i="5"/>
  <c r="BN42" i="22"/>
  <c r="BN52" i="22" s="1"/>
  <c r="AI58" i="5"/>
  <c r="BC45" i="22"/>
  <c r="BC52" i="22" s="1"/>
  <c r="AE58" i="5"/>
  <c r="AE19" i="5"/>
  <c r="AJ43" i="4"/>
  <c r="AJ59" i="4" s="1"/>
  <c r="AJ71" i="4" s="1"/>
  <c r="AJ177" i="4" s="1"/>
  <c r="AJ178" i="4" s="1"/>
  <c r="AZ19" i="5"/>
  <c r="AS19" i="5"/>
  <c r="AV19" i="5"/>
  <c r="AX69" i="5"/>
  <c r="AV69" i="5"/>
  <c r="DA18" i="22"/>
  <c r="DA23" i="22" s="1"/>
  <c r="AY18" i="5"/>
  <c r="AY19" i="5" s="1"/>
  <c r="CU18" i="22"/>
  <c r="CU23" i="22" s="1"/>
  <c r="AU18" i="5"/>
  <c r="AU19" i="5" s="1"/>
  <c r="BP15" i="22"/>
  <c r="BP23" i="22" s="1"/>
  <c r="AJ18" i="5"/>
  <c r="AJ19" i="5" s="1"/>
  <c r="BL15" i="22"/>
  <c r="BL23" i="22" s="1"/>
  <c r="AH18" i="5"/>
  <c r="AH19" i="5" s="1"/>
  <c r="Z69" i="5"/>
  <c r="CL75" i="4"/>
  <c r="CF177" i="4"/>
  <c r="CF178" i="4" s="1"/>
  <c r="CJ42" i="4"/>
  <c r="O56" i="31"/>
  <c r="J58" i="15" s="1"/>
  <c r="L58" i="15" s="1"/>
  <c r="R71" i="13"/>
  <c r="R72" i="13" s="1"/>
  <c r="L100" i="15"/>
  <c r="AJ49" i="28"/>
  <c r="AJ24" i="28"/>
  <c r="J188" i="11"/>
  <c r="D58" i="5"/>
  <c r="J24" i="10"/>
  <c r="S43" i="4"/>
  <c r="S59" i="4" s="1"/>
  <c r="S71" i="4" s="1"/>
  <c r="S75" i="4" s="1"/>
  <c r="J43" i="4"/>
  <c r="J59" i="4" s="1"/>
  <c r="J71" i="4" s="1"/>
  <c r="J177" i="4" s="1"/>
  <c r="J178" i="4" s="1"/>
  <c r="I69" i="5"/>
  <c r="N24" i="10"/>
  <c r="N39" i="9"/>
  <c r="H411" i="65" s="1"/>
  <c r="CW114" i="5"/>
  <c r="H191" i="5"/>
  <c r="H207" i="5" s="1"/>
  <c r="EO103" i="5"/>
  <c r="O69" i="5"/>
  <c r="AS42" i="4"/>
  <c r="D17" i="9"/>
  <c r="D39" i="9" s="1"/>
  <c r="E573" i="65"/>
  <c r="G603" i="65" s="1"/>
  <c r="E285" i="65"/>
  <c r="I27" i="8"/>
  <c r="M27" i="8" s="1"/>
  <c r="AQ39" i="27"/>
  <c r="AQ52" i="27" s="1"/>
  <c r="N16" i="29"/>
  <c r="J16" i="13" s="1"/>
  <c r="L16" i="13" s="1"/>
  <c r="BP18" i="4"/>
  <c r="BH69" i="5"/>
  <c r="BP63" i="5"/>
  <c r="G58" i="34"/>
  <c r="CH69" i="5"/>
  <c r="CH73" i="5" s="1"/>
  <c r="L57" i="30"/>
  <c r="L61" i="30" s="1"/>
  <c r="T90" i="34"/>
  <c r="N95" i="15" s="1"/>
  <c r="AH51" i="28"/>
  <c r="AH61" i="28" s="1"/>
  <c r="G188" i="11"/>
  <c r="F47" i="3"/>
  <c r="CA356" i="5"/>
  <c r="S21" i="70" s="1"/>
  <c r="U21" i="70" s="1"/>
  <c r="D22" i="18"/>
  <c r="L22" i="18" s="1"/>
  <c r="J69" i="30"/>
  <c r="CN42" i="5"/>
  <c r="CJ41" i="5"/>
  <c r="CJ18" i="5"/>
  <c r="M376" i="5"/>
  <c r="M191" i="5" s="1"/>
  <c r="N29" i="33"/>
  <c r="BC43" i="5"/>
  <c r="BC61" i="5" s="1"/>
  <c r="BC73" i="5" s="1"/>
  <c r="D54" i="18"/>
  <c r="L54" i="18" s="1"/>
  <c r="H25" i="53"/>
  <c r="CU43" i="4"/>
  <c r="CU59" i="4" s="1"/>
  <c r="CU71" i="4" s="1"/>
  <c r="J69" i="5"/>
  <c r="D114" i="5"/>
  <c r="L25" i="14"/>
  <c r="P29" i="33"/>
  <c r="P76" i="34" s="1"/>
  <c r="P99" i="34" s="1"/>
  <c r="H63" i="21"/>
  <c r="J62" i="20"/>
  <c r="H62" i="20"/>
  <c r="BY15" i="5"/>
  <c r="BZ15" i="5" s="1"/>
  <c r="DC76" i="19"/>
  <c r="DC85" i="19" s="1"/>
  <c r="DC87" i="19" s="1"/>
  <c r="DC89" i="19" s="1"/>
  <c r="E404" i="65"/>
  <c r="G411" i="65" s="1"/>
  <c r="E535" i="65"/>
  <c r="I402" i="5"/>
  <c r="EF346" i="5"/>
  <c r="EF188" i="5" s="1"/>
  <c r="BY114" i="5"/>
  <c r="BZ114" i="5" s="1"/>
  <c r="E461" i="65"/>
  <c r="H429" i="65"/>
  <c r="I429" i="65" s="1"/>
  <c r="CU41" i="5"/>
  <c r="E689" i="65"/>
  <c r="G697" i="65" s="1"/>
  <c r="M697" i="65" s="1"/>
  <c r="E456" i="65"/>
  <c r="N927" i="65"/>
  <c r="O927" i="65" s="1"/>
  <c r="D40" i="53"/>
  <c r="E12" i="8"/>
  <c r="D59" i="18"/>
  <c r="L59" i="18" s="1"/>
  <c r="T73" i="9"/>
  <c r="M91" i="6"/>
  <c r="R91" i="6" s="1"/>
  <c r="CU85" i="5"/>
  <c r="CU114" i="5" s="1"/>
  <c r="N79" i="29"/>
  <c r="J29" i="33"/>
  <c r="D19" i="18"/>
  <c r="L19" i="18" s="1"/>
  <c r="D42" i="20"/>
  <c r="R16" i="32"/>
  <c r="N16" i="13" s="1"/>
  <c r="H27" i="33"/>
  <c r="H29" i="33" s="1"/>
  <c r="CN73" i="5"/>
  <c r="AM23" i="3"/>
  <c r="C34" i="38"/>
  <c r="H22" i="31"/>
  <c r="H116" i="15"/>
  <c r="L116" i="15" s="1"/>
  <c r="J113" i="15"/>
  <c r="L113" i="15" s="1"/>
  <c r="N20" i="25"/>
  <c r="H20" i="23" s="1"/>
  <c r="F23" i="25"/>
  <c r="E31" i="6"/>
  <c r="I31" i="6" s="1"/>
  <c r="M31" i="6"/>
  <c r="R31" i="6" s="1"/>
  <c r="E32" i="6"/>
  <c r="I32" i="6" s="1"/>
  <c r="M32" i="6"/>
  <c r="R32" i="6" s="1"/>
  <c r="J57" i="33"/>
  <c r="J66" i="33"/>
  <c r="R57" i="33"/>
  <c r="R66" i="33"/>
  <c r="BL182" i="4"/>
  <c r="BL216" i="5"/>
  <c r="BL218" i="5" s="1"/>
  <c r="BP175" i="4"/>
  <c r="R38" i="22"/>
  <c r="R55" i="22" s="1"/>
  <c r="R65" i="22" s="1"/>
  <c r="L180" i="4" s="1"/>
  <c r="L182" i="4" s="1"/>
  <c r="L177" i="4"/>
  <c r="L178" i="4" s="1"/>
  <c r="L43" i="5"/>
  <c r="L61" i="5" s="1"/>
  <c r="L73" i="5" s="1"/>
  <c r="CR75" i="4"/>
  <c r="L85" i="20"/>
  <c r="L86" i="20"/>
  <c r="M69" i="5"/>
  <c r="CP177" i="4"/>
  <c r="CP178" i="4" s="1"/>
  <c r="CP75" i="4"/>
  <c r="E71" i="19"/>
  <c r="E68" i="19" s="1"/>
  <c r="F154" i="5"/>
  <c r="CJ43" i="4"/>
  <c r="CJ59" i="4" s="1"/>
  <c r="BF56" i="4"/>
  <c r="AC69" i="5"/>
  <c r="BU43" i="4"/>
  <c r="BU59" i="4" s="1"/>
  <c r="BU71" i="4" s="1"/>
  <c r="BU75" i="4" s="1"/>
  <c r="F79" i="33"/>
  <c r="F85" i="33" s="1"/>
  <c r="R61" i="34"/>
  <c r="R65" i="34" s="1"/>
  <c r="J30" i="30"/>
  <c r="L18" i="15"/>
  <c r="D53" i="18"/>
  <c r="L53" i="18" s="1"/>
  <c r="BT69" i="5"/>
  <c r="V114" i="5"/>
  <c r="AL14" i="19"/>
  <c r="AL37" i="19" s="1"/>
  <c r="V84" i="5"/>
  <c r="AJ15" i="22"/>
  <c r="AJ23" i="22" s="1"/>
  <c r="U18" i="5"/>
  <c r="U19" i="5" s="1"/>
  <c r="AU42" i="22"/>
  <c r="AU52" i="22" s="1"/>
  <c r="AA58" i="5"/>
  <c r="AP42" i="22"/>
  <c r="AP52" i="22" s="1"/>
  <c r="Y58" i="5"/>
  <c r="AL42" i="22"/>
  <c r="AL52" i="22" s="1"/>
  <c r="V58" i="5"/>
  <c r="AR17" i="22"/>
  <c r="AR23" i="22" s="1"/>
  <c r="Z18" i="5"/>
  <c r="Z19" i="5" s="1"/>
  <c r="AN17" i="22"/>
  <c r="AN23" i="22" s="1"/>
  <c r="W18" i="5"/>
  <c r="W19" i="5" s="1"/>
  <c r="CB177" i="4"/>
  <c r="CB178" i="4" s="1"/>
  <c r="CB75" i="4"/>
  <c r="CO177" i="4"/>
  <c r="CO178" i="4" s="1"/>
  <c r="CO75" i="4"/>
  <c r="M75" i="6"/>
  <c r="R75" i="6" s="1"/>
  <c r="F29" i="33"/>
  <c r="E76" i="34" s="1"/>
  <c r="E99" i="34" s="1"/>
  <c r="BJ43" i="5"/>
  <c r="BJ61" i="5" s="1"/>
  <c r="BJ73" i="5" s="1"/>
  <c r="IJ49" i="26"/>
  <c r="BY63" i="5"/>
  <c r="IJ24" i="26"/>
  <c r="L26" i="29"/>
  <c r="L42" i="29" s="1"/>
  <c r="N38" i="29"/>
  <c r="P103" i="29" s="1"/>
  <c r="AZ386" i="5"/>
  <c r="X43" i="5"/>
  <c r="X61" i="5" s="1"/>
  <c r="X73" i="5" s="1"/>
  <c r="N24" i="30"/>
  <c r="J24" i="14" s="1"/>
  <c r="L24" i="14" s="1"/>
  <c r="BS43" i="4"/>
  <c r="BS59" i="4" s="1"/>
  <c r="BS71" i="4" s="1"/>
  <c r="BS177" i="4" s="1"/>
  <c r="BS178" i="4" s="1"/>
  <c r="O43" i="5"/>
  <c r="O61" i="5" s="1"/>
  <c r="S386" i="5"/>
  <c r="S191" i="5"/>
  <c r="E190" i="11"/>
  <c r="E200" i="11" s="1"/>
  <c r="T41" i="5"/>
  <c r="CU37" i="19"/>
  <c r="AM19" i="3"/>
  <c r="F85" i="38"/>
  <c r="F130" i="13"/>
  <c r="F133" i="13" s="1"/>
  <c r="F134" i="13" s="1"/>
  <c r="Y38" i="22"/>
  <c r="Y55" i="22" s="1"/>
  <c r="Y65" i="22" s="1"/>
  <c r="O180" i="4" s="1"/>
  <c r="O182" i="4" s="1"/>
  <c r="W26" i="39"/>
  <c r="CW41" i="5"/>
  <c r="V19" i="4"/>
  <c r="V43" i="4"/>
  <c r="V59" i="4" s="1"/>
  <c r="V71" i="4" s="1"/>
  <c r="G15" i="22"/>
  <c r="G23" i="22" s="1"/>
  <c r="G18" i="5"/>
  <c r="G19" i="5" s="1"/>
  <c r="K15" i="22"/>
  <c r="K23" i="22" s="1"/>
  <c r="I18" i="5"/>
  <c r="I19" i="5" s="1"/>
  <c r="P15" i="22"/>
  <c r="P23" i="22" s="1"/>
  <c r="K18" i="5"/>
  <c r="AA15" i="22"/>
  <c r="AA23" i="22" s="1"/>
  <c r="Q18" i="5"/>
  <c r="Q19" i="5" s="1"/>
  <c r="AE16" i="22"/>
  <c r="AE23" i="22" s="1"/>
  <c r="S18" i="5"/>
  <c r="S19" i="5" s="1"/>
  <c r="T16" i="22"/>
  <c r="T23" i="22" s="1"/>
  <c r="M18" i="5"/>
  <c r="M19" i="5" s="1"/>
  <c r="N16" i="22"/>
  <c r="N23" i="22" s="1"/>
  <c r="J18" i="5"/>
  <c r="I16" i="22"/>
  <c r="I23" i="22" s="1"/>
  <c r="H18" i="5"/>
  <c r="H19" i="5" s="1"/>
  <c r="E16" i="22"/>
  <c r="E23" i="22" s="1"/>
  <c r="F18" i="5"/>
  <c r="AL15" i="22"/>
  <c r="AL23" i="22" s="1"/>
  <c r="V18" i="5"/>
  <c r="AG15" i="22"/>
  <c r="AG23" i="22" s="1"/>
  <c r="T18" i="5"/>
  <c r="T19" i="5" s="1"/>
  <c r="AG41" i="22"/>
  <c r="AG52" i="22" s="1"/>
  <c r="T58" i="5"/>
  <c r="AC41" i="22"/>
  <c r="AC52" i="22" s="1"/>
  <c r="R58" i="5"/>
  <c r="P41" i="22"/>
  <c r="P52" i="22" s="1"/>
  <c r="K58" i="5"/>
  <c r="K41" i="22"/>
  <c r="K52" i="22" s="1"/>
  <c r="I58" i="5"/>
  <c r="G41" i="22"/>
  <c r="G52" i="22" s="1"/>
  <c r="G58" i="5"/>
  <c r="AR42" i="22"/>
  <c r="AR52" i="22" s="1"/>
  <c r="Z58" i="5"/>
  <c r="AN42" i="22"/>
  <c r="AN52" i="22" s="1"/>
  <c r="W58" i="5"/>
  <c r="AJ42" i="22"/>
  <c r="AJ52" i="22" s="1"/>
  <c r="U58" i="5"/>
  <c r="AE42" i="22"/>
  <c r="AE52" i="22" s="1"/>
  <c r="S58" i="5"/>
  <c r="AA42" i="22"/>
  <c r="AA52" i="22" s="1"/>
  <c r="Q58" i="5"/>
  <c r="T42" i="22"/>
  <c r="T52" i="22" s="1"/>
  <c r="M58" i="5"/>
  <c r="N42" i="22"/>
  <c r="N52" i="22" s="1"/>
  <c r="J58" i="5"/>
  <c r="I42" i="22"/>
  <c r="I52" i="22" s="1"/>
  <c r="H58" i="5"/>
  <c r="E42" i="22"/>
  <c r="E52" i="22" s="1"/>
  <c r="F58" i="5"/>
  <c r="AP17" i="22"/>
  <c r="AP23" i="22" s="1"/>
  <c r="Y18" i="5"/>
  <c r="Y19" i="5" s="1"/>
  <c r="AC17" i="22"/>
  <c r="R18" i="5"/>
  <c r="R19" i="5" s="1"/>
  <c r="O19" i="4"/>
  <c r="O43" i="4"/>
  <c r="O59" i="4" s="1"/>
  <c r="O71" i="4" s="1"/>
  <c r="BG41" i="4"/>
  <c r="H44" i="15"/>
  <c r="L44" i="15" s="1"/>
  <c r="E69" i="5"/>
  <c r="BP332" i="5"/>
  <c r="N44" i="32"/>
  <c r="AU11" i="3"/>
  <c r="W88" i="7"/>
  <c r="AE69" i="5"/>
  <c r="D26" i="18"/>
  <c r="L26" i="18" s="1"/>
  <c r="R26" i="9"/>
  <c r="T26" i="9" s="1"/>
  <c r="AE27" i="9" s="1"/>
  <c r="EN71" i="5"/>
  <c r="D46" i="39"/>
  <c r="D54" i="39" s="1"/>
  <c r="G26" i="6"/>
  <c r="I26" i="6" s="1"/>
  <c r="C84" i="32"/>
  <c r="C86" i="32" s="1"/>
  <c r="C88" i="32" s="1"/>
  <c r="CL207" i="5"/>
  <c r="AC84" i="5"/>
  <c r="AY14" i="19"/>
  <c r="AY37" i="19" s="1"/>
  <c r="AC114" i="5"/>
  <c r="M84" i="5"/>
  <c r="T14" i="19"/>
  <c r="T37" i="19" s="1"/>
  <c r="M114" i="5"/>
  <c r="D34" i="25"/>
  <c r="BS41" i="5"/>
  <c r="BS43" i="5" s="1"/>
  <c r="BS61" i="5" s="1"/>
  <c r="BS73" i="5" s="1"/>
  <c r="BY42" i="4"/>
  <c r="BU41" i="5"/>
  <c r="BU43" i="5" s="1"/>
  <c r="BU61" i="5" s="1"/>
  <c r="BU73" i="5" s="1"/>
  <c r="Y14" i="39"/>
  <c r="CR84" i="5"/>
  <c r="P15" i="32"/>
  <c r="CR114" i="5"/>
  <c r="BJ14" i="19"/>
  <c r="BJ37" i="19" s="1"/>
  <c r="AG84" i="5"/>
  <c r="AG114" i="5"/>
  <c r="AP14" i="19"/>
  <c r="AP37" i="19" s="1"/>
  <c r="Y84" i="5"/>
  <c r="Y114" i="5"/>
  <c r="I84" i="5"/>
  <c r="K14" i="19"/>
  <c r="K37" i="19" s="1"/>
  <c r="AA11" i="3" s="1"/>
  <c r="I114" i="5"/>
  <c r="CO84" i="5"/>
  <c r="CO114" i="5"/>
  <c r="I15" i="32"/>
  <c r="BP114" i="5"/>
  <c r="BA14" i="19"/>
  <c r="BA37" i="19" s="1"/>
  <c r="AD84" i="5"/>
  <c r="AD114" i="5"/>
  <c r="O84" i="5"/>
  <c r="Y14" i="19"/>
  <c r="Y37" i="19" s="1"/>
  <c r="O114" i="5"/>
  <c r="E84" i="5"/>
  <c r="C14" i="19"/>
  <c r="E114" i="5"/>
  <c r="CM84" i="5"/>
  <c r="CM114" i="5"/>
  <c r="J84" i="5"/>
  <c r="N14" i="19"/>
  <c r="N37" i="19" s="1"/>
  <c r="J114" i="5"/>
  <c r="W26" i="9"/>
  <c r="N28" i="6"/>
  <c r="S30" i="13"/>
  <c r="N74" i="15"/>
  <c r="N69" i="34"/>
  <c r="N72" i="34" s="1"/>
  <c r="L26" i="32"/>
  <c r="L44" i="32" s="1"/>
  <c r="EC34" i="22"/>
  <c r="D34" i="23" s="1"/>
  <c r="H40" i="29"/>
  <c r="AH25" i="39"/>
  <c r="AH30" i="39" s="1"/>
  <c r="C32" i="7"/>
  <c r="I435" i="5"/>
  <c r="D66" i="18"/>
  <c r="L66" i="18" s="1"/>
  <c r="N15" i="25"/>
  <c r="F31" i="38"/>
  <c r="H14" i="38" s="1"/>
  <c r="F51" i="25"/>
  <c r="N41" i="25"/>
  <c r="N14" i="21"/>
  <c r="H14" i="18" s="1"/>
  <c r="D63" i="21"/>
  <c r="N66" i="21"/>
  <c r="AA37" i="19"/>
  <c r="S42" i="4"/>
  <c r="BF63" i="5"/>
  <c r="BG63" i="5" s="1"/>
  <c r="CE177" i="4"/>
  <c r="CE178" i="4" s="1"/>
  <c r="CE75" i="4"/>
  <c r="CL37" i="19"/>
  <c r="BJ42" i="4"/>
  <c r="BP42" i="4" s="1"/>
  <c r="C18" i="22"/>
  <c r="BG13" i="5"/>
  <c r="C15" i="22"/>
  <c r="E18" i="5"/>
  <c r="E19" i="5" s="1"/>
  <c r="C20" i="22"/>
  <c r="BF15" i="5"/>
  <c r="BG15" i="5" s="1"/>
  <c r="C19" i="22"/>
  <c r="EC19" i="22" s="1"/>
  <c r="BF14" i="5"/>
  <c r="BG14" i="5" s="1"/>
  <c r="C21" i="22"/>
  <c r="EC21" i="22" s="1"/>
  <c r="C41" i="22"/>
  <c r="E58" i="5"/>
  <c r="BF46" i="5"/>
  <c r="BG46" i="5" s="1"/>
  <c r="CA46" i="5" s="1"/>
  <c r="C16" i="22"/>
  <c r="BF11" i="5"/>
  <c r="BG11" i="5" s="1"/>
  <c r="BG18" i="4"/>
  <c r="BF18" i="4"/>
  <c r="BC177" i="4"/>
  <c r="BC178" i="4" s="1"/>
  <c r="BC75" i="4"/>
  <c r="U63" i="3"/>
  <c r="AC29" i="22"/>
  <c r="AC36" i="22" s="1"/>
  <c r="R41" i="5"/>
  <c r="R42" i="4"/>
  <c r="R43" i="4"/>
  <c r="R59" i="4" s="1"/>
  <c r="R71" i="4" s="1"/>
  <c r="BF41" i="4"/>
  <c r="BA189" i="5"/>
  <c r="DL76" i="19" s="1"/>
  <c r="DL85" i="19" s="1"/>
  <c r="DL87" i="19" s="1"/>
  <c r="DL89" i="19" s="1"/>
  <c r="AU27" i="22"/>
  <c r="AU36" i="22" s="1"/>
  <c r="AA41" i="5"/>
  <c r="AA43" i="5" s="1"/>
  <c r="AA42" i="4"/>
  <c r="AA43" i="4"/>
  <c r="AA59" i="4" s="1"/>
  <c r="AA71" i="4" s="1"/>
  <c r="U43" i="3"/>
  <c r="H53" i="24"/>
  <c r="CJ19" i="4"/>
  <c r="BC376" i="5"/>
  <c r="BC386" i="5" s="1"/>
  <c r="AJ30" i="22"/>
  <c r="AJ36" i="22" s="1"/>
  <c r="U41" i="5"/>
  <c r="I30" i="22"/>
  <c r="I36" i="22" s="1"/>
  <c r="H41" i="5"/>
  <c r="AP28" i="22"/>
  <c r="AP36" i="22" s="1"/>
  <c r="Y41" i="5"/>
  <c r="W43" i="3"/>
  <c r="AR42" i="4"/>
  <c r="AR43" i="4"/>
  <c r="AR59" i="4" s="1"/>
  <c r="AR71" i="4" s="1"/>
  <c r="AR177" i="4" s="1"/>
  <c r="AR178" i="4" s="1"/>
  <c r="G30" i="22"/>
  <c r="G36" i="22" s="1"/>
  <c r="G41" i="5"/>
  <c r="AR28" i="22"/>
  <c r="AR36" i="22" s="1"/>
  <c r="Z41" i="5"/>
  <c r="U42" i="4"/>
  <c r="U43" i="4"/>
  <c r="U59" i="4" s="1"/>
  <c r="U71" i="4" s="1"/>
  <c r="H42" i="4"/>
  <c r="H43" i="4"/>
  <c r="H59" i="4" s="1"/>
  <c r="H71" i="4" s="1"/>
  <c r="Y42" i="4"/>
  <c r="Y43" i="4"/>
  <c r="Y59" i="4" s="1"/>
  <c r="Y71" i="4" s="1"/>
  <c r="CL30" i="22"/>
  <c r="CL36" i="22" s="1"/>
  <c r="AR41" i="5"/>
  <c r="AR43" i="5" s="1"/>
  <c r="AR61" i="5" s="1"/>
  <c r="AR73" i="5" s="1"/>
  <c r="G42" i="4"/>
  <c r="G43" i="4"/>
  <c r="G59" i="4" s="1"/>
  <c r="G71" i="4" s="1"/>
  <c r="Z42" i="4"/>
  <c r="Z43" i="4"/>
  <c r="Z59" i="4" s="1"/>
  <c r="Z71" i="4" s="1"/>
  <c r="L28" i="30"/>
  <c r="T41" i="34"/>
  <c r="N44" i="15" s="1"/>
  <c r="N50" i="34"/>
  <c r="N61" i="34" s="1"/>
  <c r="CE207" i="5"/>
  <c r="H108" i="29"/>
  <c r="CN207" i="5"/>
  <c r="CN209" i="5" s="1"/>
  <c r="G84" i="32"/>
  <c r="G86" i="32" s="1"/>
  <c r="AD42" i="4"/>
  <c r="AD43" i="4"/>
  <c r="AD59" i="4" s="1"/>
  <c r="AD71" i="4" s="1"/>
  <c r="AD75" i="4" s="1"/>
  <c r="E43" i="4"/>
  <c r="E59" i="4" s="1"/>
  <c r="E71" i="4" s="1"/>
  <c r="E42" i="4"/>
  <c r="AX43" i="4"/>
  <c r="AX59" i="4" s="1"/>
  <c r="AX71" i="4" s="1"/>
  <c r="AX177" i="4" s="1"/>
  <c r="AX178" i="4" s="1"/>
  <c r="AX42" i="4"/>
  <c r="AU71" i="4"/>
  <c r="AU177" i="4" s="1"/>
  <c r="AU178" i="4" s="1"/>
  <c r="X42" i="4"/>
  <c r="X43" i="4"/>
  <c r="X59" i="4" s="1"/>
  <c r="X71" i="4" s="1"/>
  <c r="CN38" i="22"/>
  <c r="Y83" i="3"/>
  <c r="Y63" i="3"/>
  <c r="AY32" i="22"/>
  <c r="AY36" i="22" s="1"/>
  <c r="AC41" i="5"/>
  <c r="DA31" i="22"/>
  <c r="DA36" i="22" s="1"/>
  <c r="AY41" i="5"/>
  <c r="CW27" i="22"/>
  <c r="CW36" i="22" s="1"/>
  <c r="AV41" i="5"/>
  <c r="AV43" i="5" s="1"/>
  <c r="BA32" i="22"/>
  <c r="BA36" i="22" s="1"/>
  <c r="AD41" i="5"/>
  <c r="AD43" i="5" s="1"/>
  <c r="C32" i="22"/>
  <c r="C36" i="22" s="1"/>
  <c r="E41" i="5"/>
  <c r="CY28" i="22"/>
  <c r="CY36" i="22" s="1"/>
  <c r="AX41" i="5"/>
  <c r="AX43" i="5" s="1"/>
  <c r="CU36" i="22"/>
  <c r="AU41" i="5"/>
  <c r="AC42" i="4"/>
  <c r="AC43" i="4"/>
  <c r="AC59" i="4" s="1"/>
  <c r="AC71" i="4" s="1"/>
  <c r="F64" i="38"/>
  <c r="G207" i="5"/>
  <c r="G78" i="19"/>
  <c r="G85" i="19" s="1"/>
  <c r="BJ207" i="5"/>
  <c r="BJ209" i="5" s="1"/>
  <c r="H71" i="20"/>
  <c r="R207" i="5"/>
  <c r="AC78" i="19"/>
  <c r="AC85" i="19" s="1"/>
  <c r="AC87" i="19" s="1"/>
  <c r="AC89" i="19" s="1"/>
  <c r="BQ346" i="5"/>
  <c r="CC75" i="5"/>
  <c r="H114" i="13"/>
  <c r="H116" i="13" s="1"/>
  <c r="C69" i="34"/>
  <c r="N84" i="32"/>
  <c r="N86" i="32" s="1"/>
  <c r="N88" i="32" s="1"/>
  <c r="CQ207" i="5"/>
  <c r="CQ209" i="5" s="1"/>
  <c r="BA43" i="4"/>
  <c r="BA59" i="4" s="1"/>
  <c r="BA71" i="4" s="1"/>
  <c r="BA177" i="4" s="1"/>
  <c r="BA178" i="4" s="1"/>
  <c r="BY346" i="5"/>
  <c r="K85" i="31"/>
  <c r="J26" i="29"/>
  <c r="J42" i="29" s="1"/>
  <c r="C44" i="32"/>
  <c r="AJ386" i="5"/>
  <c r="AJ189" i="5"/>
  <c r="BP76" i="19" s="1"/>
  <c r="BP85" i="19" s="1"/>
  <c r="Q386" i="5"/>
  <c r="Q191" i="5"/>
  <c r="AX386" i="5"/>
  <c r="AU386" i="5"/>
  <c r="AV386" i="5"/>
  <c r="AR386" i="5"/>
  <c r="CL76" i="19"/>
  <c r="CL85" i="19" s="1"/>
  <c r="CL87" i="19" s="1"/>
  <c r="W386" i="5"/>
  <c r="W191" i="5"/>
  <c r="I386" i="5"/>
  <c r="I191" i="5"/>
  <c r="F386" i="5"/>
  <c r="F191" i="5"/>
  <c r="O386" i="5"/>
  <c r="O191" i="5"/>
  <c r="E361" i="5"/>
  <c r="J376" i="5"/>
  <c r="BF368" i="5"/>
  <c r="AE361" i="5"/>
  <c r="BA386" i="5"/>
  <c r="R386" i="5"/>
  <c r="E84" i="32"/>
  <c r="E86" i="32" s="1"/>
  <c r="CM207" i="5"/>
  <c r="CM209" i="5" s="1"/>
  <c r="D49" i="23"/>
  <c r="L49" i="23" s="1"/>
  <c r="D51" i="23"/>
  <c r="L51" i="23" s="1"/>
  <c r="R55" i="10"/>
  <c r="T55" i="10" s="1"/>
  <c r="AL55" i="10" s="1"/>
  <c r="M80" i="6"/>
  <c r="R80" i="6" s="1"/>
  <c r="T80" i="6" s="1"/>
  <c r="Z80" i="6" s="1"/>
  <c r="T54" i="10"/>
  <c r="AL54" i="10" s="1"/>
  <c r="D50" i="23"/>
  <c r="L50" i="23" s="1"/>
  <c r="F38" i="31"/>
  <c r="O30" i="31"/>
  <c r="J31" i="15" s="1"/>
  <c r="L31" i="15" s="1"/>
  <c r="H54" i="3"/>
  <c r="P19" i="30"/>
  <c r="F52" i="31"/>
  <c r="O41" i="31"/>
  <c r="J43" i="15" s="1"/>
  <c r="CH75" i="5"/>
  <c r="M86" i="6"/>
  <c r="H58" i="23"/>
  <c r="H62" i="23" s="1"/>
  <c r="CG75" i="5"/>
  <c r="F114" i="13"/>
  <c r="F116" i="13" s="1"/>
  <c r="L35" i="13"/>
  <c r="O33" i="6" s="1"/>
  <c r="L86" i="32"/>
  <c r="L88" i="32" s="1"/>
  <c r="AD46" i="39"/>
  <c r="AD59" i="39" s="1"/>
  <c r="AD96" i="39" s="1"/>
  <c r="AL60" i="7" s="1"/>
  <c r="AL61" i="7" s="1"/>
  <c r="CP207" i="5"/>
  <c r="CP209" i="5" s="1"/>
  <c r="CD177" i="4"/>
  <c r="CD178" i="4" s="1"/>
  <c r="CD75" i="4"/>
  <c r="L188" i="11"/>
  <c r="DO52" i="22"/>
  <c r="F190" i="11"/>
  <c r="AI30" i="37"/>
  <c r="W42" i="4"/>
  <c r="W43" i="4"/>
  <c r="W59" i="4" s="1"/>
  <c r="W71" i="4" s="1"/>
  <c r="K30" i="22"/>
  <c r="BF25" i="5"/>
  <c r="BG25" i="5" s="1"/>
  <c r="AI42" i="4"/>
  <c r="AI43" i="4"/>
  <c r="AI59" i="4" s="1"/>
  <c r="AI71" i="4" s="1"/>
  <c r="AE42" i="4"/>
  <c r="AE43" i="4"/>
  <c r="AE59" i="4" s="1"/>
  <c r="AE71" i="4" s="1"/>
  <c r="BB42" i="4"/>
  <c r="BB43" i="4"/>
  <c r="BB59" i="4" s="1"/>
  <c r="BB71" i="4" s="1"/>
  <c r="BB177" i="4" s="1"/>
  <c r="BB178" i="4" s="1"/>
  <c r="AG42" i="4"/>
  <c r="AG43" i="4"/>
  <c r="AG59" i="4" s="1"/>
  <c r="AG71" i="4" s="1"/>
  <c r="H34" i="35"/>
  <c r="H26" i="29"/>
  <c r="H26" i="13"/>
  <c r="H43" i="13" s="1"/>
  <c r="L18" i="13"/>
  <c r="O18" i="6" s="1"/>
  <c r="G18" i="6" s="1"/>
  <c r="CU69" i="5"/>
  <c r="AA27" i="37"/>
  <c r="AO27" i="37" s="1"/>
  <c r="AT27" i="37" s="1"/>
  <c r="AZ42" i="4"/>
  <c r="AZ43" i="4"/>
  <c r="AZ59" i="4" s="1"/>
  <c r="AZ71" i="4" s="1"/>
  <c r="AZ177" i="4" s="1"/>
  <c r="AZ178" i="4" s="1"/>
  <c r="K28" i="22"/>
  <c r="I41" i="5"/>
  <c r="CH177" i="4"/>
  <c r="CH178" i="4" s="1"/>
  <c r="CH75" i="4"/>
  <c r="D23" i="5"/>
  <c r="H88" i="65" s="1"/>
  <c r="I88" i="65" s="1"/>
  <c r="D11" i="5"/>
  <c r="D18" i="4"/>
  <c r="AN31" i="22"/>
  <c r="BF26" i="5"/>
  <c r="W41" i="5"/>
  <c r="BN29" i="22"/>
  <c r="AI41" i="5"/>
  <c r="AI43" i="5" s="1"/>
  <c r="BF24" i="5"/>
  <c r="BC28" i="22"/>
  <c r="BC36" i="22" s="1"/>
  <c r="AE41" i="5"/>
  <c r="AE43" i="5" s="1"/>
  <c r="BB41" i="5"/>
  <c r="BB43" i="5" s="1"/>
  <c r="BB61" i="5" s="1"/>
  <c r="BB73" i="5" s="1"/>
  <c r="BJ27" i="22"/>
  <c r="BJ36" i="22" s="1"/>
  <c r="AG41" i="5"/>
  <c r="R128" i="6"/>
  <c r="Q132" i="6"/>
  <c r="Q134" i="6" s="1"/>
  <c r="Q138" i="6" s="1"/>
  <c r="L28" i="15"/>
  <c r="H40" i="15"/>
  <c r="BP193" i="5"/>
  <c r="H57" i="33"/>
  <c r="Q19" i="51"/>
  <c r="M16" i="31"/>
  <c r="M22" i="31" s="1"/>
  <c r="M63" i="31" s="1"/>
  <c r="M67" i="31" s="1"/>
  <c r="M68" i="31" s="1"/>
  <c r="M70" i="31" s="1"/>
  <c r="H69" i="29"/>
  <c r="H81" i="29" s="1"/>
  <c r="Q43" i="4"/>
  <c r="Q59" i="4" s="1"/>
  <c r="Q71" i="4" s="1"/>
  <c r="AA32" i="22"/>
  <c r="BF27" i="5"/>
  <c r="BG27" i="5" s="1"/>
  <c r="Q41" i="5"/>
  <c r="DC29" i="22"/>
  <c r="DC36" i="22" s="1"/>
  <c r="AZ41" i="5"/>
  <c r="AZ43" i="5" s="1"/>
  <c r="DO28" i="22"/>
  <c r="DO36" i="22" s="1"/>
  <c r="BA41" i="5"/>
  <c r="BA43" i="5" s="1"/>
  <c r="BA61" i="5" s="1"/>
  <c r="I42" i="4"/>
  <c r="I43" i="4"/>
  <c r="I59" i="4" s="1"/>
  <c r="I71" i="4" s="1"/>
  <c r="M42" i="4"/>
  <c r="M43" i="4"/>
  <c r="M59" i="4" s="1"/>
  <c r="M71" i="4" s="1"/>
  <c r="T27" i="22"/>
  <c r="M41" i="5"/>
  <c r="M85" i="6"/>
  <c r="R85" i="6" s="1"/>
  <c r="E85" i="6"/>
  <c r="I85" i="6" s="1"/>
  <c r="BK75" i="4"/>
  <c r="N39" i="14"/>
  <c r="R79" i="32"/>
  <c r="N109" i="13" s="1"/>
  <c r="D53" i="24"/>
  <c r="T18" i="33"/>
  <c r="O87" i="6"/>
  <c r="C50" i="34"/>
  <c r="BA11" i="3"/>
  <c r="AC31" i="3"/>
  <c r="M82" i="6"/>
  <c r="R82" i="6" s="1"/>
  <c r="T82" i="6" s="1"/>
  <c r="E82" i="6"/>
  <c r="F17" i="23"/>
  <c r="H310" i="65" s="1"/>
  <c r="I310" i="65" s="1"/>
  <c r="D23" i="24"/>
  <c r="AU19" i="3"/>
  <c r="J38" i="24"/>
  <c r="O31" i="31"/>
  <c r="K38" i="31"/>
  <c r="D51" i="25"/>
  <c r="H23" i="24"/>
  <c r="J53" i="24"/>
  <c r="N50" i="14"/>
  <c r="X42" i="10" s="1"/>
  <c r="T71" i="33"/>
  <c r="J35" i="14"/>
  <c r="K60" i="31"/>
  <c r="O55" i="31"/>
  <c r="J57" i="15" s="1"/>
  <c r="BR19" i="3"/>
  <c r="H30" i="30"/>
  <c r="H48" i="30" s="1"/>
  <c r="J22" i="14"/>
  <c r="F37" i="21"/>
  <c r="D29" i="33"/>
  <c r="T83" i="34"/>
  <c r="N87" i="15" s="1"/>
  <c r="BP18" i="5"/>
  <c r="BY19" i="4"/>
  <c r="R65" i="9"/>
  <c r="T65" i="9" s="1"/>
  <c r="AE65" i="9" s="1"/>
  <c r="D55" i="18"/>
  <c r="L55" i="18" s="1"/>
  <c r="H42" i="23"/>
  <c r="N22" i="14"/>
  <c r="CR75" i="5"/>
  <c r="P84" i="32"/>
  <c r="CU185" i="5"/>
  <c r="F18" i="23"/>
  <c r="F16" i="23"/>
  <c r="H301" i="65" s="1"/>
  <c r="I301" i="65" s="1"/>
  <c r="R51" i="15"/>
  <c r="L51" i="15"/>
  <c r="D33" i="23"/>
  <c r="N19" i="29"/>
  <c r="AM79" i="3"/>
  <c r="F40" i="15"/>
  <c r="N130" i="13"/>
  <c r="N133" i="13" s="1"/>
  <c r="N134" i="13" s="1"/>
  <c r="Y16" i="15"/>
  <c r="W15" i="34"/>
  <c r="M62" i="6"/>
  <c r="BP58" i="5"/>
  <c r="C37" i="34"/>
  <c r="T29" i="34"/>
  <c r="F26" i="13"/>
  <c r="F43" i="13" s="1"/>
  <c r="BY332" i="5"/>
  <c r="J45" i="7"/>
  <c r="W109" i="7" s="1"/>
  <c r="AE90" i="9" l="1"/>
  <c r="F108" i="9"/>
  <c r="Q15" i="3" s="1"/>
  <c r="N23" i="25"/>
  <c r="T40" i="34"/>
  <c r="F22" i="31"/>
  <c r="M77" i="6"/>
  <c r="R77" i="6" s="1"/>
  <c r="E88" i="32"/>
  <c r="R72" i="32"/>
  <c r="O83" i="6"/>
  <c r="G83" i="6" s="1"/>
  <c r="L85" i="13"/>
  <c r="N85" i="13"/>
  <c r="F71" i="13"/>
  <c r="F87" i="13" s="1"/>
  <c r="F119" i="13" s="1"/>
  <c r="F122" i="13" s="1"/>
  <c r="G72" i="32"/>
  <c r="G88" i="32" s="1"/>
  <c r="N76" i="6"/>
  <c r="N24" i="6"/>
  <c r="AG77" i="9"/>
  <c r="W82" i="9"/>
  <c r="AG82" i="9" s="1"/>
  <c r="E86" i="6" s="1"/>
  <c r="I86" i="6" s="1"/>
  <c r="T77" i="13"/>
  <c r="R62" i="13"/>
  <c r="R86" i="6"/>
  <c r="BG154" i="5"/>
  <c r="DZ71" i="19"/>
  <c r="N38" i="13"/>
  <c r="N41" i="13" s="1"/>
  <c r="W84" i="9"/>
  <c r="AG73" i="9"/>
  <c r="E76" i="6" s="1"/>
  <c r="I76" i="6" s="1"/>
  <c r="N60" i="13"/>
  <c r="N71" i="13" s="1"/>
  <c r="D52" i="18"/>
  <c r="DZ68" i="19"/>
  <c r="G155" i="65"/>
  <c r="K159" i="65" s="1"/>
  <c r="BF172" i="5"/>
  <c r="BG47" i="5"/>
  <c r="EI47" i="5"/>
  <c r="BG24" i="5"/>
  <c r="CA24" i="5" s="1"/>
  <c r="I224" i="65"/>
  <c r="BG23" i="5"/>
  <c r="CA23" i="5" s="1"/>
  <c r="I219" i="65"/>
  <c r="H417" i="65"/>
  <c r="G20" i="7"/>
  <c r="AG65" i="9"/>
  <c r="BY69" i="5"/>
  <c r="BZ69" i="5" s="1"/>
  <c r="BZ63" i="5"/>
  <c r="C90" i="32"/>
  <c r="X211" i="5"/>
  <c r="I88" i="32"/>
  <c r="CL89" i="19"/>
  <c r="DA89" i="19"/>
  <c r="DZ17" i="19"/>
  <c r="D17" i="18" s="1"/>
  <c r="L80" i="21"/>
  <c r="L87" i="21" s="1"/>
  <c r="DX18" i="4"/>
  <c r="II76" i="26"/>
  <c r="EN89" i="5"/>
  <c r="CJ332" i="5"/>
  <c r="EC18" i="22"/>
  <c r="E537" i="65"/>
  <c r="L17" i="15"/>
  <c r="F65" i="15"/>
  <c r="F69" i="15" s="1"/>
  <c r="F70" i="15" s="1"/>
  <c r="DW177" i="4"/>
  <c r="DW178" i="4" s="1"/>
  <c r="F34" i="66"/>
  <c r="F36" i="66" s="1"/>
  <c r="BG26" i="5"/>
  <c r="CA26" i="5" s="1"/>
  <c r="EC20" i="22"/>
  <c r="D20" i="23" s="1"/>
  <c r="L20" i="23" s="1"/>
  <c r="BG29" i="5"/>
  <c r="CA29" i="5" s="1"/>
  <c r="H22" i="15"/>
  <c r="F69" i="29"/>
  <c r="F81" i="29" s="1"/>
  <c r="BP15" i="3" s="1"/>
  <c r="E785" i="65"/>
  <c r="M25" i="16"/>
  <c r="H40" i="17"/>
  <c r="K38" i="17"/>
  <c r="K40" i="17" s="1"/>
  <c r="CL209" i="5"/>
  <c r="CL211" i="5" s="1"/>
  <c r="AP73" i="28"/>
  <c r="C23" i="37"/>
  <c r="AO19" i="37"/>
  <c r="G184" i="9"/>
  <c r="BB180" i="4"/>
  <c r="H229" i="65"/>
  <c r="I229" i="65" s="1"/>
  <c r="CA25" i="5"/>
  <c r="BG368" i="5"/>
  <c r="CA368" i="5" s="1"/>
  <c r="S32" i="70" s="1"/>
  <c r="U32" i="70" s="1"/>
  <c r="E478" i="65"/>
  <c r="BG372" i="5"/>
  <c r="CA372" i="5" s="1"/>
  <c r="S36" i="70" s="1"/>
  <c r="U36" i="70" s="1"/>
  <c r="BG357" i="5"/>
  <c r="CA357" i="5" s="1"/>
  <c r="S22" i="70" s="1"/>
  <c r="U22" i="70" s="1"/>
  <c r="H239" i="65"/>
  <c r="I239" i="65" s="1"/>
  <c r="CA27" i="5"/>
  <c r="BF84" i="5"/>
  <c r="BF83" i="5" s="1"/>
  <c r="BG85" i="5"/>
  <c r="CA85" i="5" s="1"/>
  <c r="H179" i="65"/>
  <c r="I179" i="65" s="1"/>
  <c r="CA12" i="5"/>
  <c r="EI46" i="5"/>
  <c r="BG157" i="5"/>
  <c r="BG351" i="5"/>
  <c r="CA351" i="5" s="1"/>
  <c r="S16" i="70" s="1"/>
  <c r="U16" i="70" s="1"/>
  <c r="I214" i="65"/>
  <c r="BG22" i="5"/>
  <c r="BG371" i="5"/>
  <c r="CA371" i="5" s="1"/>
  <c r="S35" i="70" s="1"/>
  <c r="U35" i="70" s="1"/>
  <c r="D19" i="4"/>
  <c r="BB207" i="5"/>
  <c r="BB209" i="5" s="1"/>
  <c r="BB211" i="5" s="1"/>
  <c r="G114" i="9"/>
  <c r="BQ193" i="5"/>
  <c r="E290" i="65"/>
  <c r="AI42" i="37"/>
  <c r="AI39" i="37"/>
  <c r="N57" i="30"/>
  <c r="N61" i="30" s="1"/>
  <c r="DY218" i="5"/>
  <c r="DY209" i="5"/>
  <c r="DY211" i="5" s="1"/>
  <c r="AK35" i="37"/>
  <c r="CU177" i="4"/>
  <c r="CU178" i="4" s="1"/>
  <c r="CU180" i="4"/>
  <c r="CU182" i="4" s="1"/>
  <c r="BW180" i="4"/>
  <c r="BW182" i="4" s="1"/>
  <c r="AI71" i="3"/>
  <c r="AI79" i="3"/>
  <c r="AI83" i="3"/>
  <c r="DR209" i="5"/>
  <c r="DR211" i="5" s="1"/>
  <c r="AA37" i="37"/>
  <c r="F45" i="3"/>
  <c r="DR75" i="5"/>
  <c r="AA19" i="80"/>
  <c r="CW172" i="5"/>
  <c r="DW157" i="5"/>
  <c r="EN157" i="5" s="1"/>
  <c r="CW207" i="5"/>
  <c r="C35" i="37" s="1"/>
  <c r="DW185" i="5"/>
  <c r="DW207" i="5" s="1"/>
  <c r="DW218" i="5" s="1"/>
  <c r="EJ46" i="4"/>
  <c r="EK47" i="4"/>
  <c r="J38" i="23"/>
  <c r="J56" i="23" s="1"/>
  <c r="BZ346" i="5"/>
  <c r="H927" i="65"/>
  <c r="I927" i="65" s="1"/>
  <c r="R22" i="10"/>
  <c r="H339" i="65"/>
  <c r="BQ18" i="5"/>
  <c r="DQ207" i="5"/>
  <c r="DS77" i="5"/>
  <c r="AG22" i="80"/>
  <c r="AG30" i="80" s="1"/>
  <c r="AG38" i="80" s="1"/>
  <c r="DS180" i="4" s="1"/>
  <c r="DS182" i="4" s="1"/>
  <c r="Y22" i="80"/>
  <c r="F18" i="36"/>
  <c r="H18" i="36" s="1"/>
  <c r="H17" i="36"/>
  <c r="F23" i="17" s="1"/>
  <c r="C14" i="80"/>
  <c r="AO14" i="80" s="1"/>
  <c r="W13" i="39"/>
  <c r="CW18" i="5"/>
  <c r="CW43" i="5" s="1"/>
  <c r="CW61" i="5" s="1"/>
  <c r="DF77" i="5"/>
  <c r="AG42" i="37"/>
  <c r="J112" i="14"/>
  <c r="N65" i="34"/>
  <c r="V236" i="65"/>
  <c r="CU76" i="19"/>
  <c r="CU85" i="19" s="1"/>
  <c r="CU87" i="19" s="1"/>
  <c r="CU89" i="19" s="1"/>
  <c r="L33" i="14"/>
  <c r="DZ14" i="19"/>
  <c r="H27" i="23"/>
  <c r="AR66" i="27"/>
  <c r="AR67" i="27" s="1"/>
  <c r="AR69" i="27"/>
  <c r="AR70" i="27" s="1"/>
  <c r="E77" i="6"/>
  <c r="I77" i="6" s="1"/>
  <c r="CA10" i="5"/>
  <c r="H167" i="65"/>
  <c r="I167" i="65" s="1"/>
  <c r="J43" i="7"/>
  <c r="L14" i="66"/>
  <c r="L16" i="66" s="1"/>
  <c r="F26" i="7"/>
  <c r="W84" i="7" s="1"/>
  <c r="AA84" i="7" s="1"/>
  <c r="D124" i="14"/>
  <c r="F124" i="14"/>
  <c r="N45" i="14"/>
  <c r="J45" i="14"/>
  <c r="N76" i="34"/>
  <c r="N43" i="33"/>
  <c r="N49" i="33" s="1"/>
  <c r="K78" i="31"/>
  <c r="K101" i="31" s="1"/>
  <c r="K102" i="31" s="1"/>
  <c r="J48" i="30"/>
  <c r="J53" i="30" s="1"/>
  <c r="CW76" i="19"/>
  <c r="CW85" i="19" s="1"/>
  <c r="CW87" i="19" s="1"/>
  <c r="CW89" i="19" s="1"/>
  <c r="D101" i="31"/>
  <c r="D102" i="31" s="1"/>
  <c r="F71" i="31"/>
  <c r="F74" i="31" s="1"/>
  <c r="J15" i="13"/>
  <c r="CA173" i="5"/>
  <c r="E483" i="65"/>
  <c r="D61" i="30"/>
  <c r="D65" i="30" s="1"/>
  <c r="O16" i="31"/>
  <c r="J16" i="15" s="1"/>
  <c r="N19" i="30"/>
  <c r="T66" i="33"/>
  <c r="H38" i="25"/>
  <c r="H54" i="25" s="1"/>
  <c r="H64" i="25" s="1"/>
  <c r="BU180" i="4" s="1"/>
  <c r="BF19" i="4"/>
  <c r="CP38" i="22"/>
  <c r="CP55" i="22" s="1"/>
  <c r="CP65" i="22" s="1"/>
  <c r="AT216" i="5" s="1"/>
  <c r="AT218" i="5" s="1"/>
  <c r="Q27" i="51"/>
  <c r="Q35" i="51" s="1"/>
  <c r="Q39" i="51" s="1"/>
  <c r="G280" i="65"/>
  <c r="AT43" i="4"/>
  <c r="AT59" i="4" s="1"/>
  <c r="AT71" i="4" s="1"/>
  <c r="AT75" i="4" s="1"/>
  <c r="EC15" i="22"/>
  <c r="R16" i="10" s="1"/>
  <c r="AT43" i="5"/>
  <c r="AT61" i="5" s="1"/>
  <c r="AT73" i="5" s="1"/>
  <c r="AT19" i="5"/>
  <c r="BC20" i="5" s="1"/>
  <c r="AV209" i="5"/>
  <c r="AV211" i="5" s="1"/>
  <c r="AV75" i="5"/>
  <c r="AU209" i="5"/>
  <c r="AU211" i="5" s="1"/>
  <c r="AU75" i="5"/>
  <c r="H185" i="65"/>
  <c r="I185" i="65" s="1"/>
  <c r="F63" i="31"/>
  <c r="F67" i="31" s="1"/>
  <c r="F68" i="31" s="1"/>
  <c r="F70" i="31" s="1"/>
  <c r="M22" i="6"/>
  <c r="R22" i="6" s="1"/>
  <c r="T22" i="6" s="1"/>
  <c r="Z22" i="6" s="1"/>
  <c r="M74" i="6"/>
  <c r="R74" i="6" s="1"/>
  <c r="AG70" i="9"/>
  <c r="E74" i="6" s="1"/>
  <c r="I74" i="6" s="1"/>
  <c r="S85" i="7"/>
  <c r="AA85" i="7" s="1"/>
  <c r="C163" i="7"/>
  <c r="G28" i="7"/>
  <c r="AG23" i="9"/>
  <c r="E24" i="6" s="1"/>
  <c r="I24" i="6" s="1"/>
  <c r="CE75" i="5"/>
  <c r="CE77" i="5" s="1"/>
  <c r="CE209" i="5"/>
  <c r="CE211" i="5" s="1"/>
  <c r="CF75" i="5"/>
  <c r="CF77" i="5" s="1"/>
  <c r="CF209" i="5"/>
  <c r="CF211" i="5" s="1"/>
  <c r="CD75" i="5"/>
  <c r="CD77" i="5" s="1"/>
  <c r="CD209" i="5"/>
  <c r="CD211" i="5" s="1"/>
  <c r="G614" i="65"/>
  <c r="M614" i="65" s="1"/>
  <c r="F30" i="30"/>
  <c r="G339" i="65"/>
  <c r="AM11" i="3"/>
  <c r="Q51" i="3"/>
  <c r="F11" i="3"/>
  <c r="W51" i="3"/>
  <c r="AI11" i="3"/>
  <c r="AC71" i="3"/>
  <c r="AQ11" i="3"/>
  <c r="BC11" i="3" s="1"/>
  <c r="AU15" i="3"/>
  <c r="Y59" i="3"/>
  <c r="AC79" i="3"/>
  <c r="AM39" i="3"/>
  <c r="U59" i="3"/>
  <c r="U11" i="3"/>
  <c r="Q19" i="3"/>
  <c r="H39" i="10"/>
  <c r="H60" i="10" s="1"/>
  <c r="H70" i="10" s="1"/>
  <c r="AC51" i="3"/>
  <c r="AW35" i="3"/>
  <c r="AM83" i="3"/>
  <c r="W71" i="3"/>
  <c r="Q31" i="3"/>
  <c r="AS39" i="3"/>
  <c r="AC11" i="3"/>
  <c r="AE31" i="3"/>
  <c r="AM31" i="3"/>
  <c r="AE39" i="3"/>
  <c r="W39" i="3"/>
  <c r="U39" i="3"/>
  <c r="BP23" i="3"/>
  <c r="AC39" i="3"/>
  <c r="AG39" i="3"/>
  <c r="Y39" i="3"/>
  <c r="AA31" i="3"/>
  <c r="U15" i="3"/>
  <c r="F38" i="25"/>
  <c r="F54" i="25" s="1"/>
  <c r="F64" i="25" s="1"/>
  <c r="B11" i="3"/>
  <c r="J39" i="10"/>
  <c r="J60" i="10" s="1"/>
  <c r="J70" i="10" s="1"/>
  <c r="BT15" i="3"/>
  <c r="W103" i="7"/>
  <c r="BN15" i="3"/>
  <c r="F55" i="3" s="1"/>
  <c r="O11" i="3"/>
  <c r="Q11" i="3"/>
  <c r="AQ35" i="3"/>
  <c r="D49" i="3" s="1"/>
  <c r="BN11" i="3"/>
  <c r="D55" i="3" s="1"/>
  <c r="BL11" i="3"/>
  <c r="BS189" i="5"/>
  <c r="BS207" i="5" s="1"/>
  <c r="BS209" i="5" s="1"/>
  <c r="BS211" i="5" s="1"/>
  <c r="JE51" i="26"/>
  <c r="T75" i="4"/>
  <c r="S177" i="4"/>
  <c r="S178" i="4" s="1"/>
  <c r="CR211" i="5"/>
  <c r="BN386" i="5"/>
  <c r="BN387" i="5" s="1"/>
  <c r="BY43" i="4"/>
  <c r="BY59" i="4" s="1"/>
  <c r="BY71" i="4" s="1"/>
  <c r="BY75" i="4" s="1"/>
  <c r="D84" i="14"/>
  <c r="BR191" i="5"/>
  <c r="N114" i="9" s="1"/>
  <c r="F114" i="9"/>
  <c r="F121" i="9" s="1"/>
  <c r="F123" i="9" s="1"/>
  <c r="S100" i="3"/>
  <c r="H47" i="3" s="1"/>
  <c r="AE31" i="9"/>
  <c r="X386" i="5"/>
  <c r="X387" i="5" s="1"/>
  <c r="CO77" i="5"/>
  <c r="H11" i="3"/>
  <c r="BE35" i="3" s="1"/>
  <c r="F30" i="14"/>
  <c r="F47" i="14" s="1"/>
  <c r="F84" i="14"/>
  <c r="C60" i="70"/>
  <c r="C71" i="70" s="1"/>
  <c r="D18" i="5"/>
  <c r="F39" i="10"/>
  <c r="F60" i="10" s="1"/>
  <c r="F70" i="10" s="1"/>
  <c r="F184" i="9" s="1"/>
  <c r="X28" i="10"/>
  <c r="AR164" i="6"/>
  <c r="AJ51" i="28"/>
  <c r="AJ61" i="28" s="1"/>
  <c r="BP43" i="4"/>
  <c r="BP59" i="4" s="1"/>
  <c r="BP71" i="4" s="1"/>
  <c r="BP75" i="4" s="1"/>
  <c r="AS39" i="27"/>
  <c r="AS52" i="27" s="1"/>
  <c r="AE26" i="9"/>
  <c r="AG26" i="9" s="1"/>
  <c r="M23" i="6"/>
  <c r="E23" i="6"/>
  <c r="I23" i="6" s="1"/>
  <c r="P53" i="24"/>
  <c r="CA334" i="5"/>
  <c r="E38" i="70"/>
  <c r="E47" i="70" s="1"/>
  <c r="M38" i="70"/>
  <c r="M47" i="70" s="1"/>
  <c r="O15" i="6"/>
  <c r="G15" i="6" s="1"/>
  <c r="S17" i="13"/>
  <c r="AF75" i="4"/>
  <c r="BD180" i="4"/>
  <c r="BD182" i="4" s="1"/>
  <c r="V82" i="6"/>
  <c r="Z82" i="6" s="1"/>
  <c r="CA50" i="5"/>
  <c r="CO213" i="5"/>
  <c r="CO214" i="5" s="1"/>
  <c r="CA132" i="5"/>
  <c r="AH75" i="4"/>
  <c r="BA73" i="5"/>
  <c r="BA387" i="5" s="1"/>
  <c r="K177" i="4"/>
  <c r="K178" i="4" s="1"/>
  <c r="EI50" i="5"/>
  <c r="EN50" i="5" s="1"/>
  <c r="AS75" i="4"/>
  <c r="F75" i="4"/>
  <c r="F177" i="4"/>
  <c r="F178" i="4" s="1"/>
  <c r="AJ75" i="4"/>
  <c r="AD61" i="5"/>
  <c r="AD73" i="5" s="1"/>
  <c r="BD216" i="5"/>
  <c r="BW216" i="5"/>
  <c r="BF173" i="5"/>
  <c r="EN173" i="5" s="1"/>
  <c r="BY172" i="5"/>
  <c r="BZ172" i="5" s="1"/>
  <c r="E450" i="65"/>
  <c r="E460" i="65"/>
  <c r="CA54" i="5"/>
  <c r="CA47" i="5"/>
  <c r="H15" i="23"/>
  <c r="H23" i="23" s="1"/>
  <c r="D59" i="39"/>
  <c r="D34" i="66"/>
  <c r="D36" i="66" s="1"/>
  <c r="EQ73" i="5"/>
  <c r="EQ213" i="5" s="1"/>
  <c r="EQ214" i="5" s="1"/>
  <c r="D15" i="18"/>
  <c r="L15" i="18" s="1"/>
  <c r="R15" i="9"/>
  <c r="I441" i="65"/>
  <c r="H31" i="16"/>
  <c r="P177" i="4"/>
  <c r="P178" i="4" s="1"/>
  <c r="EN27" i="5"/>
  <c r="AR213" i="5"/>
  <c r="AR214" i="5" s="1"/>
  <c r="BS387" i="5"/>
  <c r="X213" i="5"/>
  <c r="X214" i="5" s="1"/>
  <c r="BJ387" i="5"/>
  <c r="EF213" i="5"/>
  <c r="BC213" i="5"/>
  <c r="CQ213" i="5"/>
  <c r="CQ214" i="5" s="1"/>
  <c r="CP213" i="5"/>
  <c r="CP214" i="5" s="1"/>
  <c r="EN63" i="5"/>
  <c r="CL213" i="5"/>
  <c r="CL214" i="5" s="1"/>
  <c r="BW213" i="5"/>
  <c r="BK213" i="5"/>
  <c r="CC214" i="5"/>
  <c r="EN46" i="5"/>
  <c r="V233" i="65"/>
  <c r="AQ43" i="3"/>
  <c r="AQ48" i="3"/>
  <c r="J49" i="3" s="1"/>
  <c r="H866" i="65"/>
  <c r="I866" i="65" s="1"/>
  <c r="CA88" i="5"/>
  <c r="E143" i="65"/>
  <c r="F44" i="3"/>
  <c r="I24" i="65"/>
  <c r="H18" i="65"/>
  <c r="I18" i="65" s="1"/>
  <c r="H30" i="14"/>
  <c r="BR43" i="5"/>
  <c r="BR61" i="5" s="1"/>
  <c r="BR73" i="5" s="1"/>
  <c r="W52" i="39"/>
  <c r="AI76" i="28"/>
  <c r="N62" i="29"/>
  <c r="J63" i="13" s="1"/>
  <c r="EN336" i="5"/>
  <c r="EN338" i="5" s="1"/>
  <c r="BB386" i="5"/>
  <c r="BB387" i="5" s="1"/>
  <c r="AE21" i="9"/>
  <c r="AG21" i="9" s="1"/>
  <c r="BN213" i="5"/>
  <c r="BR75" i="4"/>
  <c r="BF369" i="5"/>
  <c r="CR213" i="5"/>
  <c r="CR214" i="5" s="1"/>
  <c r="AS386" i="5"/>
  <c r="M24" i="6"/>
  <c r="R24" i="6" s="1"/>
  <c r="T24" i="6" s="1"/>
  <c r="Z24" i="6" s="1"/>
  <c r="U386" i="5"/>
  <c r="CO211" i="5"/>
  <c r="D56" i="53"/>
  <c r="EN69" i="5"/>
  <c r="BN23" i="3"/>
  <c r="J55" i="3" s="1"/>
  <c r="C25" i="7"/>
  <c r="J25" i="7" s="1"/>
  <c r="K25" i="7" s="1"/>
  <c r="H119" i="13"/>
  <c r="H122" i="13" s="1"/>
  <c r="Q23" i="3"/>
  <c r="J45" i="3" s="1"/>
  <c r="H82" i="21"/>
  <c r="H85" i="21" s="1"/>
  <c r="J58" i="23"/>
  <c r="J62" i="23" s="1"/>
  <c r="P78" i="19"/>
  <c r="P85" i="19" s="1"/>
  <c r="P87" i="19" s="1"/>
  <c r="P89" i="19" s="1"/>
  <c r="AH33" i="39"/>
  <c r="AH46" i="39" s="1"/>
  <c r="AH54" i="39" s="1"/>
  <c r="BD213" i="5"/>
  <c r="BF9" i="5"/>
  <c r="AY386" i="5"/>
  <c r="EN88" i="5"/>
  <c r="H61" i="14"/>
  <c r="BU207" i="5"/>
  <c r="BU75" i="5" s="1"/>
  <c r="BU77" i="5" s="1"/>
  <c r="EN47" i="5"/>
  <c r="CE213" i="5"/>
  <c r="CE214" i="5" s="1"/>
  <c r="AY207" i="5"/>
  <c r="AY75" i="5" s="1"/>
  <c r="BH177" i="4"/>
  <c r="BH178" i="4" s="1"/>
  <c r="L116" i="29"/>
  <c r="BY58" i="5"/>
  <c r="BZ58" i="5" s="1"/>
  <c r="AZ61" i="5"/>
  <c r="AZ73" i="5" s="1"/>
  <c r="BF332" i="5"/>
  <c r="BG332" i="5" s="1"/>
  <c r="BQ191" i="5"/>
  <c r="T19" i="9"/>
  <c r="BK386" i="5"/>
  <c r="BK387" i="5" s="1"/>
  <c r="BK189" i="5"/>
  <c r="EC45" i="22"/>
  <c r="T44" i="10" s="1"/>
  <c r="AL44" i="10" s="1"/>
  <c r="CN55" i="22"/>
  <c r="CN65" i="22" s="1"/>
  <c r="AS216" i="5" s="1"/>
  <c r="T27" i="33"/>
  <c r="BY41" i="5"/>
  <c r="X17" i="15"/>
  <c r="Y17" i="15" s="1"/>
  <c r="T21" i="34"/>
  <c r="Q43" i="5"/>
  <c r="Q61" i="5" s="1"/>
  <c r="Q73" i="5" s="1"/>
  <c r="AG43" i="5"/>
  <c r="AG61" i="5" s="1"/>
  <c r="AG73" i="5" s="1"/>
  <c r="AQ39" i="3"/>
  <c r="F49" i="3" s="1"/>
  <c r="CN213" i="5"/>
  <c r="CN214" i="5" s="1"/>
  <c r="V17" i="15"/>
  <c r="W17" i="15" s="1"/>
  <c r="BL23" i="3"/>
  <c r="J54" i="3" s="1"/>
  <c r="CD213" i="5"/>
  <c r="CD214" i="5" s="1"/>
  <c r="CF213" i="5"/>
  <c r="CF214" i="5" s="1"/>
  <c r="AS61" i="5"/>
  <c r="AS73" i="5" s="1"/>
  <c r="CR77" i="5"/>
  <c r="W16" i="34"/>
  <c r="X16" i="34" s="1"/>
  <c r="N28" i="14"/>
  <c r="H697" i="65" s="1"/>
  <c r="I697" i="65" s="1"/>
  <c r="BW207" i="5"/>
  <c r="BW209" i="5" s="1"/>
  <c r="BW211" i="5" s="1"/>
  <c r="BW386" i="5"/>
  <c r="BW387" i="5" s="1"/>
  <c r="P28" i="30"/>
  <c r="CC77" i="5"/>
  <c r="BA207" i="5"/>
  <c r="BA209" i="5" s="1"/>
  <c r="BA211" i="5" s="1"/>
  <c r="X15" i="34"/>
  <c r="V191" i="5"/>
  <c r="V207" i="5" s="1"/>
  <c r="R66" i="34"/>
  <c r="R67" i="34" s="1"/>
  <c r="J38" i="13"/>
  <c r="J113" i="29"/>
  <c r="J116" i="29" s="1"/>
  <c r="BC387" i="5"/>
  <c r="BV11" i="3"/>
  <c r="G209" i="5"/>
  <c r="G211" i="5" s="1"/>
  <c r="R209" i="5"/>
  <c r="R211" i="5" s="1"/>
  <c r="K209" i="5"/>
  <c r="K211" i="5" s="1"/>
  <c r="H209" i="5"/>
  <c r="H211" i="5" s="1"/>
  <c r="P209" i="5"/>
  <c r="P211" i="5" s="1"/>
  <c r="I78" i="19"/>
  <c r="I85" i="19" s="1"/>
  <c r="I87" i="19" s="1"/>
  <c r="I89" i="19" s="1"/>
  <c r="AU43" i="5"/>
  <c r="AU61" i="5" s="1"/>
  <c r="AU73" i="5" s="1"/>
  <c r="AY43" i="5"/>
  <c r="AY61" i="5" s="1"/>
  <c r="AY73" i="5" s="1"/>
  <c r="J75" i="4"/>
  <c r="BH38" i="22"/>
  <c r="BH55" i="22" s="1"/>
  <c r="BH65" i="22" s="1"/>
  <c r="BH90" i="19" s="1"/>
  <c r="N39" i="10"/>
  <c r="N60" i="10" s="1"/>
  <c r="N70" i="10" s="1"/>
  <c r="N184" i="9" s="1"/>
  <c r="R101" i="34"/>
  <c r="R100" i="34"/>
  <c r="F26" i="29"/>
  <c r="F42" i="29" s="1"/>
  <c r="AU43" i="3"/>
  <c r="BA19" i="3"/>
  <c r="H48" i="3" s="1"/>
  <c r="P213" i="5"/>
  <c r="P214" i="5" s="1"/>
  <c r="AE61" i="5"/>
  <c r="AE73" i="5" s="1"/>
  <c r="N40" i="29"/>
  <c r="G44" i="32"/>
  <c r="R15" i="32"/>
  <c r="AF43" i="5"/>
  <c r="AF61" i="5" s="1"/>
  <c r="AF73" i="5" s="1"/>
  <c r="P77" i="5"/>
  <c r="AI61" i="5"/>
  <c r="AI73" i="5" s="1"/>
  <c r="AX61" i="5"/>
  <c r="AX73" i="5" s="1"/>
  <c r="AV61" i="5"/>
  <c r="AV73" i="5" s="1"/>
  <c r="AC43" i="5"/>
  <c r="AC61" i="5" s="1"/>
  <c r="AC73" i="5" s="1"/>
  <c r="BL38" i="22"/>
  <c r="BL55" i="22" s="1"/>
  <c r="BL65" i="22" s="1"/>
  <c r="AH180" i="4" s="1"/>
  <c r="AH182" i="4" s="1"/>
  <c r="M386" i="5"/>
  <c r="W43" i="5"/>
  <c r="W61" i="5" s="1"/>
  <c r="W73" i="5" s="1"/>
  <c r="Z43" i="5"/>
  <c r="Z61" i="5" s="1"/>
  <c r="Z73" i="5" s="1"/>
  <c r="AH43" i="5"/>
  <c r="AH61" i="5" s="1"/>
  <c r="AH73" i="5" s="1"/>
  <c r="AC59" i="3"/>
  <c r="BP38" i="22"/>
  <c r="BP55" i="22" s="1"/>
  <c r="BP65" i="22" s="1"/>
  <c r="AJ43" i="5"/>
  <c r="AJ61" i="5" s="1"/>
  <c r="AJ73" i="5" s="1"/>
  <c r="I76" i="34"/>
  <c r="I99" i="34" s="1"/>
  <c r="X31" i="10"/>
  <c r="T54" i="34"/>
  <c r="BS213" i="5"/>
  <c r="BY18" i="5"/>
  <c r="BZ18" i="5" s="1"/>
  <c r="G43" i="5"/>
  <c r="G61" i="5" s="1"/>
  <c r="G73" i="5" s="1"/>
  <c r="R43" i="5"/>
  <c r="R61" i="5" s="1"/>
  <c r="R73" i="5" s="1"/>
  <c r="AH14" i="6"/>
  <c r="AH42" i="6" s="1"/>
  <c r="AH138" i="6" s="1"/>
  <c r="O73" i="5"/>
  <c r="BP19" i="5"/>
  <c r="H234" i="65"/>
  <c r="I234" i="65" s="1"/>
  <c r="G61" i="34"/>
  <c r="G65" i="34" s="1"/>
  <c r="G66" i="34" s="1"/>
  <c r="CA11" i="5"/>
  <c r="H170" i="65"/>
  <c r="I170" i="65" s="1"/>
  <c r="CA14" i="5"/>
  <c r="H186" i="65"/>
  <c r="CA13" i="5"/>
  <c r="CU42" i="5"/>
  <c r="CJ19" i="5"/>
  <c r="CJ42" i="5"/>
  <c r="Q27" i="8"/>
  <c r="CK154" i="5"/>
  <c r="H192" i="65"/>
  <c r="I192" i="65" s="1"/>
  <c r="CA16" i="5"/>
  <c r="H194" i="65"/>
  <c r="I194" i="65" s="1"/>
  <c r="CH213" i="5"/>
  <c r="CH214" i="5" s="1"/>
  <c r="BP69" i="5"/>
  <c r="CH77" i="5"/>
  <c r="L69" i="30"/>
  <c r="H199" i="65"/>
  <c r="I199" i="65" s="1"/>
  <c r="EI13" i="5"/>
  <c r="EN13" i="5" s="1"/>
  <c r="AW39" i="3"/>
  <c r="CU43" i="5"/>
  <c r="CU61" i="5" s="1"/>
  <c r="N697" i="65" s="1"/>
  <c r="O697" i="65" s="1"/>
  <c r="CJ43" i="5"/>
  <c r="CJ61" i="5" s="1"/>
  <c r="N614" i="65" s="1"/>
  <c r="H71" i="18"/>
  <c r="O15" i="3"/>
  <c r="CU207" i="5"/>
  <c r="E637" i="65"/>
  <c r="G638" i="65" s="1"/>
  <c r="BH24" i="5"/>
  <c r="D29" i="24" s="1"/>
  <c r="P29" i="24" s="1"/>
  <c r="G87" i="19"/>
  <c r="G89" i="19" s="1"/>
  <c r="CU84" i="5"/>
  <c r="E815" i="65"/>
  <c r="G817" i="65" s="1"/>
  <c r="K817" i="65" s="1"/>
  <c r="D45" i="52"/>
  <c r="EF207" i="5"/>
  <c r="H35" i="66" s="1"/>
  <c r="H36" i="66" s="1"/>
  <c r="CN87" i="19"/>
  <c r="CN89" i="19" s="1"/>
  <c r="CJ207" i="5"/>
  <c r="CK207" i="5" s="1"/>
  <c r="E554" i="65"/>
  <c r="G555" i="65" s="1"/>
  <c r="H40" i="53"/>
  <c r="H50" i="53" s="1"/>
  <c r="H60" i="53" s="1"/>
  <c r="D50" i="53"/>
  <c r="BP87" i="19"/>
  <c r="BP89" i="19" s="1"/>
  <c r="BH314" i="5"/>
  <c r="F89" i="38"/>
  <c r="H68" i="18"/>
  <c r="N15" i="6"/>
  <c r="W15" i="9"/>
  <c r="M76" i="6"/>
  <c r="G76" i="34"/>
  <c r="G99" i="34" s="1"/>
  <c r="G101" i="34" s="1"/>
  <c r="AD54" i="39"/>
  <c r="N63" i="21"/>
  <c r="H42" i="29"/>
  <c r="C37" i="19"/>
  <c r="BF114" i="5"/>
  <c r="BC191" i="5"/>
  <c r="R26" i="6"/>
  <c r="L213" i="5"/>
  <c r="L214" i="5" s="1"/>
  <c r="L387" i="5"/>
  <c r="L77" i="5"/>
  <c r="R90" i="19"/>
  <c r="R91" i="19" s="1"/>
  <c r="L216" i="5"/>
  <c r="L218" i="5" s="1"/>
  <c r="IJ61" i="26"/>
  <c r="K63" i="31"/>
  <c r="K67" i="31" s="1"/>
  <c r="CU75" i="4"/>
  <c r="EQ88" i="5"/>
  <c r="EQ114" i="5" s="1"/>
  <c r="EQ211" i="5" s="1"/>
  <c r="BS75" i="4"/>
  <c r="E71" i="6"/>
  <c r="I71" i="6" s="1"/>
  <c r="M71" i="6"/>
  <c r="R71" i="6" s="1"/>
  <c r="Y90" i="19"/>
  <c r="P67" i="34"/>
  <c r="BJ213" i="5"/>
  <c r="BJ214" i="5" s="1"/>
  <c r="R84" i="32"/>
  <c r="N114" i="13" s="1"/>
  <c r="N116" i="13" s="1"/>
  <c r="O216" i="5"/>
  <c r="N28" i="30"/>
  <c r="R17" i="31"/>
  <c r="S17" i="31" s="1"/>
  <c r="I43" i="5"/>
  <c r="I61" i="5" s="1"/>
  <c r="I73" i="5" s="1"/>
  <c r="BT73" i="5"/>
  <c r="Y43" i="5"/>
  <c r="Y61" i="5" s="1"/>
  <c r="Y73" i="5" s="1"/>
  <c r="U43" i="5"/>
  <c r="U61" i="5" s="1"/>
  <c r="U73" i="5" s="1"/>
  <c r="AA61" i="5"/>
  <c r="AA73" i="5" s="1"/>
  <c r="S43" i="5"/>
  <c r="S61" i="5" s="1"/>
  <c r="S73" i="5" s="1"/>
  <c r="AJ78" i="19"/>
  <c r="AJ85" i="19" s="1"/>
  <c r="U207" i="5"/>
  <c r="U209" i="5" s="1"/>
  <c r="U211" i="5" s="1"/>
  <c r="M43" i="5"/>
  <c r="M61" i="5" s="1"/>
  <c r="M73" i="5" s="1"/>
  <c r="H43" i="5"/>
  <c r="H61" i="5" s="1"/>
  <c r="H73" i="5" s="1"/>
  <c r="AE78" i="19"/>
  <c r="AE85" i="19" s="1"/>
  <c r="S207" i="5"/>
  <c r="S209" i="5" s="1"/>
  <c r="S211" i="5" s="1"/>
  <c r="H54" i="15"/>
  <c r="Y19" i="3"/>
  <c r="AI19" i="3"/>
  <c r="Q39" i="3"/>
  <c r="AA19" i="3"/>
  <c r="W19" i="3"/>
  <c r="R25" i="6"/>
  <c r="J109" i="14"/>
  <c r="J110" i="14" s="1"/>
  <c r="EN41" i="5"/>
  <c r="Y26" i="39"/>
  <c r="Y30" i="39" s="1"/>
  <c r="W30" i="39"/>
  <c r="T43" i="5"/>
  <c r="T61" i="5" s="1"/>
  <c r="T73" i="5" s="1"/>
  <c r="AC19" i="3"/>
  <c r="N38" i="22"/>
  <c r="N55" i="22" s="1"/>
  <c r="N65" i="22" s="1"/>
  <c r="J180" i="4" s="1"/>
  <c r="J182" i="4" s="1"/>
  <c r="AC23" i="22"/>
  <c r="EC17" i="22"/>
  <c r="R18" i="10" s="1"/>
  <c r="AA39" i="3"/>
  <c r="AL38" i="22"/>
  <c r="AL55" i="22" s="1"/>
  <c r="AL65" i="22" s="1"/>
  <c r="U19" i="3"/>
  <c r="E38" i="22"/>
  <c r="E55" i="22" s="1"/>
  <c r="E65" i="22" s="1"/>
  <c r="AE19" i="3"/>
  <c r="P38" i="22"/>
  <c r="P55" i="22" s="1"/>
  <c r="P65" i="22" s="1"/>
  <c r="V75" i="4"/>
  <c r="V177" i="4"/>
  <c r="V178" i="4" s="1"/>
  <c r="V19" i="5"/>
  <c r="W20" i="5" s="1"/>
  <c r="V43" i="5"/>
  <c r="V61" i="5" s="1"/>
  <c r="V73" i="5" s="1"/>
  <c r="F19" i="5"/>
  <c r="F43" i="5"/>
  <c r="F61" i="5" s="1"/>
  <c r="F73" i="5" s="1"/>
  <c r="J43" i="5"/>
  <c r="J61" i="5" s="1"/>
  <c r="J73" i="5" s="1"/>
  <c r="J19" i="5"/>
  <c r="K19" i="5"/>
  <c r="K43" i="5"/>
  <c r="K61" i="5" s="1"/>
  <c r="K73" i="5" s="1"/>
  <c r="AG38" i="22"/>
  <c r="AG55" i="22" s="1"/>
  <c r="AG65" i="22" s="1"/>
  <c r="AG90" i="19" s="1"/>
  <c r="AE38" i="22"/>
  <c r="AE55" i="22" s="1"/>
  <c r="AE65" i="22" s="1"/>
  <c r="S216" i="5" s="1"/>
  <c r="EC16" i="22"/>
  <c r="O75" i="4"/>
  <c r="O177" i="4"/>
  <c r="O178" i="4" s="1"/>
  <c r="EI11" i="5"/>
  <c r="EN11" i="5" s="1"/>
  <c r="D21" i="23"/>
  <c r="L21" i="23" s="1"/>
  <c r="E43" i="5"/>
  <c r="E61" i="5" s="1"/>
  <c r="E73" i="5" s="1"/>
  <c r="EC42" i="22"/>
  <c r="I29" i="6"/>
  <c r="H52" i="31"/>
  <c r="H63" i="31" s="1"/>
  <c r="H67" i="31" s="1"/>
  <c r="H68" i="31" s="1"/>
  <c r="H70" i="31" s="1"/>
  <c r="N19" i="14"/>
  <c r="H686" i="65" s="1"/>
  <c r="I686" i="65" s="1"/>
  <c r="D82" i="14"/>
  <c r="M28" i="6"/>
  <c r="R28" i="6" s="1"/>
  <c r="Z16" i="15"/>
  <c r="CL75" i="5"/>
  <c r="CL77" i="5" s="1"/>
  <c r="BU387" i="5"/>
  <c r="BU213" i="5"/>
  <c r="AW48" i="3"/>
  <c r="N34" i="25"/>
  <c r="R35" i="10" s="1"/>
  <c r="T35" i="10" s="1"/>
  <c r="D36" i="25"/>
  <c r="G75" i="5"/>
  <c r="K75" i="5"/>
  <c r="E69" i="34"/>
  <c r="E72" i="34" s="1"/>
  <c r="E26" i="32"/>
  <c r="E44" i="32" s="1"/>
  <c r="E90" i="32" s="1"/>
  <c r="I69" i="34"/>
  <c r="I72" i="34" s="1"/>
  <c r="I26" i="32"/>
  <c r="I44" i="32" s="1"/>
  <c r="DO38" i="22"/>
  <c r="DO55" i="22" s="1"/>
  <c r="DO65" i="22" s="1"/>
  <c r="BA75" i="4"/>
  <c r="AR387" i="5"/>
  <c r="AS207" i="5"/>
  <c r="AS75" i="5" s="1"/>
  <c r="R69" i="34"/>
  <c r="R72" i="34" s="1"/>
  <c r="P26" i="32"/>
  <c r="P44" i="32" s="1"/>
  <c r="H33" i="39"/>
  <c r="H75" i="5"/>
  <c r="R75" i="5"/>
  <c r="M84" i="6"/>
  <c r="R84" i="6" s="1"/>
  <c r="T84" i="6" s="1"/>
  <c r="Z84" i="6" s="1"/>
  <c r="E84" i="6"/>
  <c r="I84" i="6" s="1"/>
  <c r="M87" i="6"/>
  <c r="R87" i="6" s="1"/>
  <c r="N70" i="21"/>
  <c r="H76" i="18" s="1"/>
  <c r="D68" i="18"/>
  <c r="F34" i="38"/>
  <c r="EC57" i="22"/>
  <c r="EJ57" i="22"/>
  <c r="BF69" i="5"/>
  <c r="F14" i="18"/>
  <c r="P42" i="20"/>
  <c r="EE21" i="22"/>
  <c r="BF43" i="4"/>
  <c r="BF59" i="4" s="1"/>
  <c r="BG59" i="4" s="1"/>
  <c r="BF18" i="5"/>
  <c r="BF19" i="5" s="1"/>
  <c r="C23" i="22"/>
  <c r="C52" i="22"/>
  <c r="EC41" i="22"/>
  <c r="D41" i="23" s="1"/>
  <c r="D19" i="23"/>
  <c r="L19" i="23" s="1"/>
  <c r="EE19" i="22"/>
  <c r="R20" i="10"/>
  <c r="S43" i="3"/>
  <c r="R177" i="4"/>
  <c r="R178" i="4" s="1"/>
  <c r="R75" i="4"/>
  <c r="BB213" i="5"/>
  <c r="AI43" i="3"/>
  <c r="AU38" i="22"/>
  <c r="AU55" i="22" s="1"/>
  <c r="AU65" i="22" s="1"/>
  <c r="AA75" i="4"/>
  <c r="AA177" i="4"/>
  <c r="AA178" i="4" s="1"/>
  <c r="AJ207" i="5"/>
  <c r="BJ177" i="4"/>
  <c r="BJ178" i="4" s="1"/>
  <c r="F71" i="18"/>
  <c r="Z177" i="4"/>
  <c r="Z178" i="4" s="1"/>
  <c r="Z75" i="4"/>
  <c r="G177" i="4"/>
  <c r="G178" i="4" s="1"/>
  <c r="G75" i="4"/>
  <c r="Y177" i="4"/>
  <c r="Y178" i="4" s="1"/>
  <c r="Y75" i="4"/>
  <c r="H177" i="4"/>
  <c r="H178" i="4" s="1"/>
  <c r="H75" i="4"/>
  <c r="U75" i="4"/>
  <c r="U177" i="4"/>
  <c r="U178" i="4" s="1"/>
  <c r="AG43" i="3"/>
  <c r="AR38" i="22"/>
  <c r="AR55" i="22" s="1"/>
  <c r="AR65" i="22" s="1"/>
  <c r="W23" i="3"/>
  <c r="G38" i="22"/>
  <c r="G55" i="22" s="1"/>
  <c r="G65" i="22" s="1"/>
  <c r="AE43" i="3"/>
  <c r="AP38" i="22"/>
  <c r="AP55" i="22" s="1"/>
  <c r="AP65" i="22" s="1"/>
  <c r="I38" i="22"/>
  <c r="I55" i="22" s="1"/>
  <c r="I65" i="22" s="1"/>
  <c r="Y23" i="3"/>
  <c r="AJ38" i="22"/>
  <c r="AJ55" i="22" s="1"/>
  <c r="AJ65" i="22" s="1"/>
  <c r="Y43" i="3"/>
  <c r="W83" i="3"/>
  <c r="CL38" i="22"/>
  <c r="CL55" i="22" s="1"/>
  <c r="CL65" i="22" s="1"/>
  <c r="AR75" i="4"/>
  <c r="BV23" i="3"/>
  <c r="L30" i="30"/>
  <c r="L48" i="30" s="1"/>
  <c r="CN75" i="5"/>
  <c r="CN77" i="5" s="1"/>
  <c r="CN211" i="5"/>
  <c r="H110" i="29"/>
  <c r="H113" i="29" s="1"/>
  <c r="N108" i="29"/>
  <c r="AC75" i="4"/>
  <c r="AC177" i="4"/>
  <c r="AC178" i="4" s="1"/>
  <c r="CW38" i="22"/>
  <c r="CW55" i="22" s="1"/>
  <c r="CW65" i="22" s="1"/>
  <c r="AV216" i="5" s="1"/>
  <c r="AV218" i="5" s="1"/>
  <c r="AE83" i="3"/>
  <c r="DA38" i="22"/>
  <c r="DA55" i="22" s="1"/>
  <c r="DA65" i="22" s="1"/>
  <c r="AM43" i="3"/>
  <c r="AY38" i="22"/>
  <c r="AY55" i="22" s="1"/>
  <c r="AY65" i="22" s="1"/>
  <c r="AX75" i="4"/>
  <c r="E177" i="4"/>
  <c r="E178" i="4" s="1"/>
  <c r="E75" i="4"/>
  <c r="AY75" i="4"/>
  <c r="AC83" i="3"/>
  <c r="CU38" i="22"/>
  <c r="CU55" i="22" s="1"/>
  <c r="CU65" i="22" s="1"/>
  <c r="AU216" i="5" s="1"/>
  <c r="AG83" i="3"/>
  <c r="CY38" i="22"/>
  <c r="CY55" i="22" s="1"/>
  <c r="S23" i="3"/>
  <c r="BA38" i="22"/>
  <c r="BA55" i="22" s="1"/>
  <c r="BA65" i="22" s="1"/>
  <c r="Q63" i="3"/>
  <c r="X75" i="4"/>
  <c r="X177" i="4"/>
  <c r="X178" i="4" s="1"/>
  <c r="AU75" i="4"/>
  <c r="O207" i="5"/>
  <c r="Y78" i="19"/>
  <c r="Y85" i="19" s="1"/>
  <c r="M207" i="5"/>
  <c r="T78" i="19"/>
  <c r="T85" i="19" s="1"/>
  <c r="F207" i="5"/>
  <c r="F209" i="5" s="1"/>
  <c r="F211" i="5" s="1"/>
  <c r="E78" i="19"/>
  <c r="I207" i="5"/>
  <c r="I209" i="5" s="1"/>
  <c r="I211" i="5" s="1"/>
  <c r="K78" i="19"/>
  <c r="K85" i="19" s="1"/>
  <c r="W207" i="5"/>
  <c r="AN78" i="19"/>
  <c r="AN85" i="19" s="1"/>
  <c r="Q207" i="5"/>
  <c r="Q209" i="5" s="1"/>
  <c r="Q211" i="5" s="1"/>
  <c r="AA78" i="19"/>
  <c r="AA85" i="19" s="1"/>
  <c r="BJ211" i="5"/>
  <c r="BJ75" i="5"/>
  <c r="BJ77" i="5" s="1"/>
  <c r="I11" i="8"/>
  <c r="Q11" i="8" s="1"/>
  <c r="H79" i="20"/>
  <c r="X75" i="5"/>
  <c r="X77" i="5" s="1"/>
  <c r="BF42" i="4"/>
  <c r="BT11" i="3"/>
  <c r="CQ75" i="5"/>
  <c r="CQ77" i="5" s="1"/>
  <c r="CQ211" i="5"/>
  <c r="C72" i="34"/>
  <c r="BN207" i="5"/>
  <c r="J386" i="5"/>
  <c r="J191" i="5"/>
  <c r="E386" i="5"/>
  <c r="E189" i="5"/>
  <c r="C76" i="19" s="1"/>
  <c r="AE386" i="5"/>
  <c r="AE189" i="5"/>
  <c r="AR75" i="5"/>
  <c r="AR77" i="5" s="1"/>
  <c r="AX75" i="5"/>
  <c r="CM75" i="5"/>
  <c r="CM77" i="5" s="1"/>
  <c r="CM211" i="5"/>
  <c r="AZ75" i="5"/>
  <c r="R16" i="31"/>
  <c r="BF41" i="5"/>
  <c r="O52" i="31"/>
  <c r="R33" i="6"/>
  <c r="BY188" i="5"/>
  <c r="BZ188" i="5" s="1"/>
  <c r="CP75" i="5"/>
  <c r="CP77" i="5" s="1"/>
  <c r="CP211" i="5"/>
  <c r="M75" i="4"/>
  <c r="M177" i="4"/>
  <c r="M178" i="4" s="1"/>
  <c r="I177" i="4"/>
  <c r="I178" i="4" s="1"/>
  <c r="I75" i="4"/>
  <c r="AA36" i="22"/>
  <c r="EC32" i="22"/>
  <c r="R33" i="10" s="1"/>
  <c r="Q177" i="4"/>
  <c r="Q178" i="4" s="1"/>
  <c r="Q75" i="4"/>
  <c r="BN36" i="22"/>
  <c r="EC29" i="22"/>
  <c r="D29" i="23" s="1"/>
  <c r="D43" i="4"/>
  <c r="D59" i="4" s="1"/>
  <c r="D71" i="4" s="1"/>
  <c r="D75" i="4" s="1"/>
  <c r="AZ75" i="4"/>
  <c r="AA30" i="37"/>
  <c r="F200" i="11"/>
  <c r="F210" i="11" s="1"/>
  <c r="B4" i="66" s="1"/>
  <c r="B14" i="66" s="1"/>
  <c r="B16" i="66" s="1"/>
  <c r="G190" i="11"/>
  <c r="G200" i="11" s="1"/>
  <c r="EC30" i="22"/>
  <c r="R31" i="10" s="1"/>
  <c r="T36" i="22"/>
  <c r="EC27" i="22"/>
  <c r="R28" i="10" s="1"/>
  <c r="DC38" i="22"/>
  <c r="DC55" i="22" s="1"/>
  <c r="DC65" i="22" s="1"/>
  <c r="AK83" i="3"/>
  <c r="BR15" i="3"/>
  <c r="T19" i="51"/>
  <c r="T27" i="51" s="1"/>
  <c r="T35" i="51" s="1"/>
  <c r="P13" i="50" s="1"/>
  <c r="F14" i="36"/>
  <c r="T57" i="33"/>
  <c r="N69" i="14"/>
  <c r="W63" i="3"/>
  <c r="BJ38" i="22"/>
  <c r="BJ55" i="22" s="1"/>
  <c r="BJ65" i="22" s="1"/>
  <c r="BC38" i="22"/>
  <c r="S63" i="3"/>
  <c r="AN36" i="22"/>
  <c r="EC31" i="22"/>
  <c r="R32" i="10" s="1"/>
  <c r="D17" i="10"/>
  <c r="D29" i="10"/>
  <c r="D37" i="10" s="1"/>
  <c r="H138" i="65" s="1"/>
  <c r="I138" i="65" s="1"/>
  <c r="D41" i="5"/>
  <c r="K36" i="22"/>
  <c r="EC28" i="22"/>
  <c r="R29" i="10" s="1"/>
  <c r="EN134" i="5"/>
  <c r="AG177" i="4"/>
  <c r="AG178" i="4" s="1"/>
  <c r="AG75" i="4"/>
  <c r="BB75" i="4"/>
  <c r="AE177" i="4"/>
  <c r="AE178" i="4" s="1"/>
  <c r="AE75" i="4"/>
  <c r="AI177" i="4"/>
  <c r="AI178" i="4" s="1"/>
  <c r="AI75" i="4"/>
  <c r="W177" i="4"/>
  <c r="W178" i="4" s="1"/>
  <c r="W75" i="4"/>
  <c r="N31" i="15"/>
  <c r="N40" i="15" s="1"/>
  <c r="T37" i="34"/>
  <c r="E62" i="6"/>
  <c r="N19" i="6"/>
  <c r="T19" i="13"/>
  <c r="W18" i="9"/>
  <c r="O85" i="31"/>
  <c r="J19" i="13"/>
  <c r="J130" i="13" s="1"/>
  <c r="J133" i="13" s="1"/>
  <c r="J134" i="13" s="1"/>
  <c r="M63" i="6"/>
  <c r="R63" i="6" s="1"/>
  <c r="T63" i="6" s="1"/>
  <c r="Z63" i="6" s="1"/>
  <c r="C76" i="34"/>
  <c r="X30" i="10"/>
  <c r="H17" i="18"/>
  <c r="H42" i="18" s="1"/>
  <c r="N37" i="21"/>
  <c r="J28" i="14"/>
  <c r="C23" i="7" s="1"/>
  <c r="L22" i="14"/>
  <c r="L28" i="14" s="1"/>
  <c r="H53" i="30"/>
  <c r="H65" i="30" s="1"/>
  <c r="CE180" i="4" s="1"/>
  <c r="H78" i="31"/>
  <c r="O60" i="31"/>
  <c r="F15" i="23"/>
  <c r="P23" i="24"/>
  <c r="H41" i="23"/>
  <c r="H53" i="23" s="1"/>
  <c r="N51" i="25"/>
  <c r="J32" i="15"/>
  <c r="O38" i="31"/>
  <c r="D48" i="3"/>
  <c r="N43" i="15"/>
  <c r="N54" i="15" s="1"/>
  <c r="T50" i="34"/>
  <c r="U33" i="33"/>
  <c r="N22" i="15"/>
  <c r="J19" i="14"/>
  <c r="L16" i="14"/>
  <c r="L19" i="14" s="1"/>
  <c r="P100" i="34"/>
  <c r="P101" i="34"/>
  <c r="AE11" i="3"/>
  <c r="N83" i="6"/>
  <c r="P74" i="13"/>
  <c r="S23" i="24"/>
  <c r="AU35" i="3"/>
  <c r="L35" i="14"/>
  <c r="F41" i="23"/>
  <c r="H38" i="24"/>
  <c r="H56" i="24" s="1"/>
  <c r="H66" i="24" s="1"/>
  <c r="BJ180" i="4" s="1"/>
  <c r="AQ19" i="3"/>
  <c r="I82" i="6"/>
  <c r="G87" i="6"/>
  <c r="I87" i="6" s="1"/>
  <c r="F45" i="23"/>
  <c r="X46" i="10"/>
  <c r="X57" i="10" s="1"/>
  <c r="J56" i="24"/>
  <c r="J66" i="24" s="1"/>
  <c r="P86" i="32"/>
  <c r="P88" i="32" s="1"/>
  <c r="D19" i="5" l="1"/>
  <c r="C74" i="70" s="1"/>
  <c r="H77" i="65"/>
  <c r="G121" i="9"/>
  <c r="G123" i="9" s="1"/>
  <c r="M9" i="8"/>
  <c r="N99" i="34"/>
  <c r="N101" i="34" s="1"/>
  <c r="I62" i="6"/>
  <c r="AG84" i="9"/>
  <c r="M88" i="6" s="1"/>
  <c r="R88" i="6" s="1"/>
  <c r="T88" i="6" s="1"/>
  <c r="Z88" i="6" s="1"/>
  <c r="BL15" i="3"/>
  <c r="F54" i="3" s="1"/>
  <c r="L38" i="13"/>
  <c r="L41" i="13" s="1"/>
  <c r="J41" i="13"/>
  <c r="W39" i="13" s="1"/>
  <c r="R76" i="6"/>
  <c r="AG18" i="9"/>
  <c r="E19" i="6" s="1"/>
  <c r="R86" i="32"/>
  <c r="R88" i="32" s="1"/>
  <c r="W33" i="9"/>
  <c r="AG33" i="9" s="1"/>
  <c r="AI35" i="9" s="1"/>
  <c r="G90" i="32"/>
  <c r="N61" i="6"/>
  <c r="N94" i="6" s="1"/>
  <c r="Q41" i="8"/>
  <c r="E92" i="6"/>
  <c r="I92" i="6" s="1"/>
  <c r="I90" i="32"/>
  <c r="N87" i="13"/>
  <c r="N119" i="13" s="1"/>
  <c r="N15" i="13"/>
  <c r="N26" i="13" s="1"/>
  <c r="N43" i="13" s="1"/>
  <c r="N37" i="6"/>
  <c r="N185" i="9"/>
  <c r="R17" i="9"/>
  <c r="T17" i="9" s="1"/>
  <c r="M18" i="6" s="1"/>
  <c r="H470" i="65"/>
  <c r="G470" i="65"/>
  <c r="I269" i="65"/>
  <c r="N66" i="34"/>
  <c r="BN180" i="4"/>
  <c r="BN182" i="4" s="1"/>
  <c r="J184" i="9"/>
  <c r="J185" i="9" s="1"/>
  <c r="L82" i="21"/>
  <c r="L85" i="21" s="1"/>
  <c r="T33" i="6"/>
  <c r="Z33" i="6" s="1"/>
  <c r="T21" i="6"/>
  <c r="Z21" i="6" s="1"/>
  <c r="H65" i="15"/>
  <c r="EE20" i="22"/>
  <c r="R21" i="10"/>
  <c r="T21" i="10" s="1"/>
  <c r="AL21" i="10" s="1"/>
  <c r="C42" i="37"/>
  <c r="BB75" i="5"/>
  <c r="BB77" i="5" s="1"/>
  <c r="BB214" i="5"/>
  <c r="F113" i="29"/>
  <c r="P113" i="29" s="1"/>
  <c r="J87" i="15"/>
  <c r="L87" i="15" s="1"/>
  <c r="C9" i="8"/>
  <c r="T22" i="10"/>
  <c r="AL22" i="10" s="1"/>
  <c r="I41" i="7" s="1"/>
  <c r="DR15" i="5"/>
  <c r="DR18" i="5" s="1"/>
  <c r="DR43" i="5" s="1"/>
  <c r="DR61" i="5" s="1"/>
  <c r="DR73" i="5" s="1"/>
  <c r="DR77" i="5" s="1"/>
  <c r="F16" i="17"/>
  <c r="G531" i="65"/>
  <c r="B25" i="66"/>
  <c r="B34" i="66" s="1"/>
  <c r="CA22" i="5"/>
  <c r="BG369" i="5"/>
  <c r="CA369" i="5" s="1"/>
  <c r="S33" i="70" s="1"/>
  <c r="U33" i="70" s="1"/>
  <c r="DQ75" i="5"/>
  <c r="DQ77" i="5" s="1"/>
  <c r="Y35" i="37"/>
  <c r="H45" i="3"/>
  <c r="G185" i="9"/>
  <c r="AA42" i="37"/>
  <c r="AA39" i="37"/>
  <c r="D117" i="29"/>
  <c r="D118" i="29" s="1"/>
  <c r="CB180" i="4"/>
  <c r="CB182" i="4" s="1"/>
  <c r="J73" i="15"/>
  <c r="J76" i="15" s="1"/>
  <c r="L15" i="13"/>
  <c r="O14" i="6" s="1"/>
  <c r="O13" i="6" s="1"/>
  <c r="F42" i="18"/>
  <c r="H280" i="65" s="1"/>
  <c r="I280" i="65" s="1"/>
  <c r="AK42" i="37"/>
  <c r="AK37" i="37"/>
  <c r="M31" i="8"/>
  <c r="BT180" i="4"/>
  <c r="BT182" i="4" s="1"/>
  <c r="BR180" i="4"/>
  <c r="BR182" i="4" s="1"/>
  <c r="BK180" i="4"/>
  <c r="BK182" i="4" s="1"/>
  <c r="CW209" i="5"/>
  <c r="CW211" i="5" s="1"/>
  <c r="AO19" i="80"/>
  <c r="H22" i="17" s="1"/>
  <c r="K22" i="17" s="1"/>
  <c r="P68" i="24"/>
  <c r="AA20" i="80"/>
  <c r="H21" i="17"/>
  <c r="K21" i="17" s="1"/>
  <c r="DU216" i="5"/>
  <c r="DU218" i="5" s="1"/>
  <c r="C37" i="37"/>
  <c r="C39" i="37" s="1"/>
  <c r="CW75" i="5"/>
  <c r="EN185" i="5"/>
  <c r="DW75" i="5"/>
  <c r="AG43" i="37"/>
  <c r="AG44" i="37" s="1"/>
  <c r="DS216" i="5"/>
  <c r="DS218" i="5" s="1"/>
  <c r="F20" i="36"/>
  <c r="F28" i="36" s="1"/>
  <c r="F36" i="36" s="1"/>
  <c r="H298" i="65"/>
  <c r="I298" i="65" s="1"/>
  <c r="F23" i="23"/>
  <c r="J113" i="14"/>
  <c r="DQ209" i="5"/>
  <c r="DQ211" i="5" s="1"/>
  <c r="E753" i="65"/>
  <c r="Y13" i="39"/>
  <c r="Y21" i="39" s="1"/>
  <c r="Y33" i="39" s="1"/>
  <c r="Y46" i="39" s="1"/>
  <c r="Y54" i="39" s="1"/>
  <c r="W21" i="39"/>
  <c r="W33" i="39" s="1"/>
  <c r="W46" i="39" s="1"/>
  <c r="W54" i="39" s="1"/>
  <c r="C22" i="80"/>
  <c r="C30" i="80" s="1"/>
  <c r="C38" i="80" s="1"/>
  <c r="CW180" i="4" s="1"/>
  <c r="I417" i="65"/>
  <c r="F28" i="7"/>
  <c r="L45" i="14"/>
  <c r="O71" i="31"/>
  <c r="O74" i="31" s="1"/>
  <c r="N36" i="25"/>
  <c r="I339" i="65"/>
  <c r="M400" i="65"/>
  <c r="D125" i="14"/>
  <c r="D126" i="14" s="1"/>
  <c r="D129" i="14" s="1"/>
  <c r="F125" i="14"/>
  <c r="F126" i="14" s="1"/>
  <c r="F129" i="14" s="1"/>
  <c r="F48" i="30"/>
  <c r="F53" i="30" s="1"/>
  <c r="F65" i="30" s="1"/>
  <c r="J65" i="30"/>
  <c r="H80" i="15"/>
  <c r="H106" i="15" s="1"/>
  <c r="H107" i="15" s="1"/>
  <c r="H47" i="14"/>
  <c r="H53" i="14" s="1"/>
  <c r="H65" i="14" s="1"/>
  <c r="F53" i="14"/>
  <c r="P48" i="30"/>
  <c r="D103" i="31"/>
  <c r="H19" i="3"/>
  <c r="BE43" i="3" s="1"/>
  <c r="BY19" i="5"/>
  <c r="BY42" i="5"/>
  <c r="H23" i="3"/>
  <c r="F19" i="3"/>
  <c r="BE19" i="3" s="1"/>
  <c r="EO88" i="5"/>
  <c r="EO89" i="5"/>
  <c r="EP89" i="5" s="1"/>
  <c r="E7" i="67"/>
  <c r="E9" i="67" s="1"/>
  <c r="BC216" i="5"/>
  <c r="BC180" i="4"/>
  <c r="BC182" i="4" s="1"/>
  <c r="CP90" i="19"/>
  <c r="CP91" i="19" s="1"/>
  <c r="AT180" i="4"/>
  <c r="AT182" i="4" s="1"/>
  <c r="AT177" i="4"/>
  <c r="AT178" i="4" s="1"/>
  <c r="AU77" i="5"/>
  <c r="AV77" i="5"/>
  <c r="AT213" i="5"/>
  <c r="AT214" i="5" s="1"/>
  <c r="AT387" i="5"/>
  <c r="AT77" i="5"/>
  <c r="AU180" i="4"/>
  <c r="AU182" i="4" s="1"/>
  <c r="AU218" i="5"/>
  <c r="T86" i="6"/>
  <c r="Z86" i="6" s="1"/>
  <c r="H603" i="65"/>
  <c r="I603" i="65" s="1"/>
  <c r="C75" i="70"/>
  <c r="AG27" i="9"/>
  <c r="AI31" i="9" s="1"/>
  <c r="BN216" i="5"/>
  <c r="BN218" i="5" s="1"/>
  <c r="CY65" i="22"/>
  <c r="AX180" i="4" s="1"/>
  <c r="AX182" i="4" s="1"/>
  <c r="AE19" i="9"/>
  <c r="AE17" i="9" s="1"/>
  <c r="M19" i="6"/>
  <c r="AB35" i="10"/>
  <c r="X93" i="10" s="1"/>
  <c r="AE114" i="9"/>
  <c r="AG31" i="9"/>
  <c r="AI96" i="3"/>
  <c r="BX15" i="3"/>
  <c r="F78" i="31"/>
  <c r="F101" i="31" s="1"/>
  <c r="F102" i="31" s="1"/>
  <c r="H184" i="9"/>
  <c r="S39" i="3"/>
  <c r="BR11" i="3"/>
  <c r="BE11" i="3"/>
  <c r="BF11" i="3" s="1"/>
  <c r="D11" i="3"/>
  <c r="S11" i="3"/>
  <c r="AI92" i="3" s="1"/>
  <c r="EO46" i="5"/>
  <c r="H614" i="65"/>
  <c r="I614" i="65" s="1"/>
  <c r="BC35" i="3"/>
  <c r="D86" i="14"/>
  <c r="D100" i="14" s="1"/>
  <c r="BS75" i="5"/>
  <c r="BS77" i="5" s="1"/>
  <c r="BS214" i="5"/>
  <c r="D71" i="21"/>
  <c r="D80" i="21" s="1"/>
  <c r="D82" i="21" s="1"/>
  <c r="AE387" i="5"/>
  <c r="BC55" i="22"/>
  <c r="BC65" i="22" s="1"/>
  <c r="JF51" i="26"/>
  <c r="JG51" i="26" s="1"/>
  <c r="W62" i="9"/>
  <c r="W90" i="9" s="1"/>
  <c r="BR207" i="5"/>
  <c r="BR209" i="5" s="1"/>
  <c r="BR211" i="5" s="1"/>
  <c r="M8" i="8"/>
  <c r="Q8" i="8" s="1"/>
  <c r="F185" i="9"/>
  <c r="J66" i="23"/>
  <c r="J92" i="18" s="1"/>
  <c r="CA15" i="5"/>
  <c r="CA154" i="5"/>
  <c r="H15" i="3"/>
  <c r="BE39" i="3" s="1"/>
  <c r="H330" i="65"/>
  <c r="I330" i="65" s="1"/>
  <c r="F53" i="23"/>
  <c r="EN172" i="5"/>
  <c r="D15" i="3"/>
  <c r="AK96" i="3" s="1"/>
  <c r="F86" i="14"/>
  <c r="F92" i="14" s="1"/>
  <c r="I77" i="65"/>
  <c r="X180" i="4"/>
  <c r="X182" i="4" s="1"/>
  <c r="X216" i="5"/>
  <c r="X218" i="5" s="1"/>
  <c r="R23" i="6"/>
  <c r="T23" i="6" s="1"/>
  <c r="Z23" i="6" s="1"/>
  <c r="T29" i="33"/>
  <c r="AL18" i="10"/>
  <c r="I40" i="7" s="1"/>
  <c r="S90" i="7" s="1"/>
  <c r="N30" i="30"/>
  <c r="BY177" i="4"/>
  <c r="BY178" i="4" s="1"/>
  <c r="BP177" i="4"/>
  <c r="BP178" i="4" s="1"/>
  <c r="BA213" i="5"/>
  <c r="BA214" i="5" s="1"/>
  <c r="F72" i="15"/>
  <c r="BW218" i="5"/>
  <c r="H49" i="3"/>
  <c r="BC43" i="3"/>
  <c r="DZ37" i="19"/>
  <c r="R14" i="9"/>
  <c r="BG172" i="5"/>
  <c r="CA157" i="5"/>
  <c r="EQ77" i="5"/>
  <c r="T15" i="9"/>
  <c r="AG15" i="9" s="1"/>
  <c r="D44" i="3"/>
  <c r="AA103" i="7"/>
  <c r="D45" i="23"/>
  <c r="L45" i="23" s="1"/>
  <c r="R46" i="10"/>
  <c r="T46" i="10" s="1"/>
  <c r="AL46" i="10" s="1"/>
  <c r="D71" i="18"/>
  <c r="L71" i="18" s="1"/>
  <c r="R93" i="9"/>
  <c r="R108" i="9" s="1"/>
  <c r="I387" i="5"/>
  <c r="G387" i="5"/>
  <c r="W387" i="5"/>
  <c r="AV213" i="5"/>
  <c r="AV214" i="5" s="1"/>
  <c r="AI213" i="5"/>
  <c r="AY213" i="5"/>
  <c r="AY214" i="5" s="1"/>
  <c r="AG213" i="5"/>
  <c r="AZ213" i="5"/>
  <c r="AZ214" i="5" s="1"/>
  <c r="F387" i="5"/>
  <c r="V387" i="5"/>
  <c r="H387" i="5"/>
  <c r="Y213" i="5"/>
  <c r="BH132" i="5"/>
  <c r="BP132" i="5" s="1"/>
  <c r="E283" i="65" s="1"/>
  <c r="G286" i="65" s="1"/>
  <c r="O387" i="5"/>
  <c r="R387" i="5"/>
  <c r="AC213" i="5"/>
  <c r="AX213" i="5"/>
  <c r="AX214" i="5" s="1"/>
  <c r="AU213" i="5"/>
  <c r="AU214" i="5" s="1"/>
  <c r="BR213" i="5"/>
  <c r="V16" i="15"/>
  <c r="W16" i="15" s="1"/>
  <c r="D24" i="10"/>
  <c r="H39" i="65"/>
  <c r="I39" i="65" s="1"/>
  <c r="J183" i="9"/>
  <c r="BG41" i="5"/>
  <c r="F183" i="9"/>
  <c r="BG114" i="5"/>
  <c r="CA114" i="5" s="1"/>
  <c r="W104" i="7"/>
  <c r="D60" i="53"/>
  <c r="C131" i="38"/>
  <c r="N69" i="29"/>
  <c r="N81" i="29" s="1"/>
  <c r="U387" i="5"/>
  <c r="N121" i="9"/>
  <c r="N123" i="9" s="1"/>
  <c r="M12" i="8"/>
  <c r="Q12" i="8" s="1"/>
  <c r="EB216" i="5"/>
  <c r="EB218" i="5" s="1"/>
  <c r="C193" i="7"/>
  <c r="AS213" i="5"/>
  <c r="AS214" i="5" s="1"/>
  <c r="BR387" i="5"/>
  <c r="EN332" i="5"/>
  <c r="EO332" i="5" s="1"/>
  <c r="AY209" i="5"/>
  <c r="AY211" i="5" s="1"/>
  <c r="M20" i="6"/>
  <c r="R20" i="6" s="1"/>
  <c r="T20" i="6" s="1"/>
  <c r="Z20" i="6" s="1"/>
  <c r="CN90" i="19"/>
  <c r="CN91" i="19" s="1"/>
  <c r="BU214" i="5"/>
  <c r="BU209" i="5"/>
  <c r="BU211" i="5" s="1"/>
  <c r="AS180" i="4"/>
  <c r="AS182" i="4" s="1"/>
  <c r="AU387" i="5"/>
  <c r="O614" i="65"/>
  <c r="F86" i="21"/>
  <c r="Q213" i="5"/>
  <c r="Q214" i="5" s="1"/>
  <c r="Q387" i="5"/>
  <c r="P30" i="30"/>
  <c r="AZ77" i="5"/>
  <c r="AZ387" i="5"/>
  <c r="J71" i="20"/>
  <c r="BK207" i="5"/>
  <c r="F80" i="15"/>
  <c r="F106" i="15" s="1"/>
  <c r="F107" i="15" s="1"/>
  <c r="I104" i="32"/>
  <c r="R26" i="32"/>
  <c r="R44" i="32" s="1"/>
  <c r="N26" i="29"/>
  <c r="N42" i="29" s="1"/>
  <c r="BC39" i="3"/>
  <c r="BR216" i="5"/>
  <c r="BA75" i="5"/>
  <c r="BA77" i="5" s="1"/>
  <c r="AX387" i="5"/>
  <c r="AS387" i="5"/>
  <c r="AF213" i="5"/>
  <c r="BP11" i="3"/>
  <c r="I213" i="5"/>
  <c r="I214" i="5" s="1"/>
  <c r="BX23" i="3"/>
  <c r="AY77" i="5"/>
  <c r="AS77" i="5"/>
  <c r="BT216" i="5"/>
  <c r="BL90" i="19"/>
  <c r="AF216" i="5"/>
  <c r="BW75" i="5"/>
  <c r="BW77" i="5" s="1"/>
  <c r="AV387" i="5"/>
  <c r="N30" i="14"/>
  <c r="N47" i="14" s="1"/>
  <c r="BW214" i="5"/>
  <c r="AL78" i="19"/>
  <c r="AL85" i="19" s="1"/>
  <c r="AL87" i="19" s="1"/>
  <c r="AL89" i="19" s="1"/>
  <c r="R68" i="34"/>
  <c r="O22" i="31"/>
  <c r="O63" i="31" s="1"/>
  <c r="O67" i="31" s="1"/>
  <c r="O68" i="31" s="1"/>
  <c r="Q68" i="31" s="1"/>
  <c r="W209" i="5"/>
  <c r="W211" i="5" s="1"/>
  <c r="M209" i="5"/>
  <c r="M211" i="5" s="1"/>
  <c r="O75" i="5"/>
  <c r="O77" i="5" s="1"/>
  <c r="O209" i="5"/>
  <c r="O211" i="5" s="1"/>
  <c r="V75" i="5"/>
  <c r="V77" i="5" s="1"/>
  <c r="V209" i="5"/>
  <c r="V211" i="5" s="1"/>
  <c r="AS209" i="5"/>
  <c r="AS211" i="5" s="1"/>
  <c r="BN214" i="5"/>
  <c r="BN209" i="5"/>
  <c r="BN211" i="5" s="1"/>
  <c r="H116" i="29"/>
  <c r="AJ75" i="5"/>
  <c r="AJ77" i="5" s="1"/>
  <c r="AJ209" i="5"/>
  <c r="AJ211" i="5" s="1"/>
  <c r="CU209" i="5"/>
  <c r="CU211" i="5" s="1"/>
  <c r="CJ209" i="5"/>
  <c r="AT19" i="37"/>
  <c r="P18" i="6"/>
  <c r="H23" i="16"/>
  <c r="R42" i="10"/>
  <c r="T42" i="10" s="1"/>
  <c r="W213" i="5"/>
  <c r="W214" i="5" s="1"/>
  <c r="AH216" i="5"/>
  <c r="AE90" i="19"/>
  <c r="AE91" i="19" s="1"/>
  <c r="AF180" i="4"/>
  <c r="AF182" i="4" s="1"/>
  <c r="AY387" i="5"/>
  <c r="BY43" i="5"/>
  <c r="BY61" i="5" s="1"/>
  <c r="Q23" i="25"/>
  <c r="R23" i="25" s="1"/>
  <c r="BH331" i="5"/>
  <c r="BH359" i="5" s="1"/>
  <c r="BP359" i="5" s="1"/>
  <c r="BQ359" i="5" s="1"/>
  <c r="CA359" i="5" s="1"/>
  <c r="S24" i="70" s="1"/>
  <c r="U24" i="70" s="1"/>
  <c r="S180" i="4"/>
  <c r="S182" i="4" s="1"/>
  <c r="X37" i="10"/>
  <c r="X39" i="10" s="1"/>
  <c r="X60" i="10" s="1"/>
  <c r="AX77" i="5"/>
  <c r="S218" i="5"/>
  <c r="M213" i="5"/>
  <c r="M214" i="5" s="1"/>
  <c r="G213" i="5"/>
  <c r="G214" i="5" s="1"/>
  <c r="AA213" i="5"/>
  <c r="G77" i="5"/>
  <c r="BX19" i="3"/>
  <c r="BP24" i="5"/>
  <c r="BP41" i="5" s="1"/>
  <c r="BQ41" i="5" s="1"/>
  <c r="BQ43" i="5" s="1"/>
  <c r="BQ61" i="5" s="1"/>
  <c r="AE213" i="5"/>
  <c r="U213" i="5"/>
  <c r="U214" i="5" s="1"/>
  <c r="R213" i="5"/>
  <c r="R214" i="5" s="1"/>
  <c r="AC38" i="22"/>
  <c r="AC55" i="22" s="1"/>
  <c r="AC65" i="22" s="1"/>
  <c r="AC90" i="19" s="1"/>
  <c r="AC91" i="19" s="1"/>
  <c r="R77" i="5"/>
  <c r="Z213" i="5"/>
  <c r="AJ216" i="5"/>
  <c r="AJ218" i="5" s="1"/>
  <c r="AJ180" i="4"/>
  <c r="AJ182" i="4" s="1"/>
  <c r="BP90" i="19"/>
  <c r="BP91" i="19" s="1"/>
  <c r="AH213" i="5"/>
  <c r="AJ213" i="5"/>
  <c r="AJ214" i="5" s="1"/>
  <c r="AJ387" i="5"/>
  <c r="N58" i="15"/>
  <c r="N62" i="15" s="1"/>
  <c r="N65" i="15" s="1"/>
  <c r="N69" i="15" s="1"/>
  <c r="T58" i="34"/>
  <c r="T61" i="34" s="1"/>
  <c r="T65" i="34" s="1"/>
  <c r="T66" i="34" s="1"/>
  <c r="T69" i="34"/>
  <c r="T72" i="34" s="1"/>
  <c r="BH41" i="5"/>
  <c r="BH43" i="5" s="1"/>
  <c r="BH61" i="5" s="1"/>
  <c r="BH73" i="5" s="1"/>
  <c r="O213" i="5"/>
  <c r="O214" i="5" s="1"/>
  <c r="BG18" i="5"/>
  <c r="H213" i="5"/>
  <c r="H214" i="5" s="1"/>
  <c r="N69" i="30"/>
  <c r="J57" i="14"/>
  <c r="J69" i="14" s="1"/>
  <c r="K68" i="31"/>
  <c r="K70" i="31" s="1"/>
  <c r="CU75" i="5"/>
  <c r="CU73" i="5"/>
  <c r="BC207" i="5"/>
  <c r="H114" i="9"/>
  <c r="M10" i="8" s="1"/>
  <c r="Q10" i="8" s="1"/>
  <c r="D14" i="18"/>
  <c r="BA216" i="5"/>
  <c r="BA218" i="5" s="1"/>
  <c r="DL90" i="19"/>
  <c r="DL91" i="19" s="1"/>
  <c r="H81" i="20"/>
  <c r="H84" i="20" s="1"/>
  <c r="AN87" i="19"/>
  <c r="AN89" i="19" s="1"/>
  <c r="K87" i="19"/>
  <c r="K89" i="19" s="1"/>
  <c r="T87" i="19"/>
  <c r="T89" i="19" s="1"/>
  <c r="Y87" i="19"/>
  <c r="Y89" i="19" s="1"/>
  <c r="AJ87" i="19"/>
  <c r="AJ89" i="19" s="1"/>
  <c r="EF75" i="5"/>
  <c r="EF77" i="5" s="1"/>
  <c r="EF209" i="5"/>
  <c r="EF211" i="5" s="1"/>
  <c r="G186" i="65"/>
  <c r="I186" i="65" s="1"/>
  <c r="M75" i="5"/>
  <c r="M77" i="5" s="1"/>
  <c r="AA87" i="19"/>
  <c r="AA89" i="19" s="1"/>
  <c r="AE87" i="19"/>
  <c r="AE89" i="19" s="1"/>
  <c r="D49" i="52"/>
  <c r="D51" i="52" s="1"/>
  <c r="G45" i="52"/>
  <c r="G49" i="52" s="1"/>
  <c r="G51" i="52" s="1"/>
  <c r="J76" i="18"/>
  <c r="J85" i="18" s="1"/>
  <c r="D42" i="5"/>
  <c r="EJ23" i="22"/>
  <c r="W75" i="5"/>
  <c r="W77" i="5" s="1"/>
  <c r="R30" i="10"/>
  <c r="T30" i="10" s="1"/>
  <c r="AL30" i="10" s="1"/>
  <c r="BG58" i="5"/>
  <c r="AF24" i="10"/>
  <c r="AF39" i="10" s="1"/>
  <c r="AF60" i="10" s="1"/>
  <c r="EE15" i="22"/>
  <c r="EC23" i="22"/>
  <c r="D19" i="3" s="1"/>
  <c r="O218" i="5"/>
  <c r="EC52" i="22"/>
  <c r="EE52" i="22" s="1"/>
  <c r="T180" i="4"/>
  <c r="T182" i="4" s="1"/>
  <c r="J216" i="5"/>
  <c r="H77" i="5"/>
  <c r="N130" i="6"/>
  <c r="CJ75" i="5"/>
  <c r="S16" i="31"/>
  <c r="BT213" i="5"/>
  <c r="U75" i="5"/>
  <c r="U77" i="5" s="1"/>
  <c r="BF43" i="5"/>
  <c r="BF61" i="5" s="1"/>
  <c r="T16" i="10"/>
  <c r="D15" i="23"/>
  <c r="N90" i="19"/>
  <c r="S75" i="5"/>
  <c r="S77" i="5" s="1"/>
  <c r="F19" i="8"/>
  <c r="B23" i="3"/>
  <c r="J44" i="3" s="1"/>
  <c r="S19" i="3"/>
  <c r="AS218" i="5"/>
  <c r="O20" i="5"/>
  <c r="CW73" i="5"/>
  <c r="T213" i="5"/>
  <c r="O23" i="3"/>
  <c r="T216" i="5"/>
  <c r="BA180" i="4"/>
  <c r="BA182" i="4" s="1"/>
  <c r="S387" i="5"/>
  <c r="K77" i="5"/>
  <c r="S213" i="5"/>
  <c r="S214" i="5" s="1"/>
  <c r="D16" i="23"/>
  <c r="L16" i="23" s="1"/>
  <c r="R17" i="10"/>
  <c r="T17" i="10" s="1"/>
  <c r="AL17" i="10" s="1"/>
  <c r="J213" i="5"/>
  <c r="K213" i="5"/>
  <c r="K214" i="5" s="1"/>
  <c r="K387" i="5"/>
  <c r="F213" i="5"/>
  <c r="F214" i="5" s="1"/>
  <c r="V213" i="5"/>
  <c r="V214" i="5" s="1"/>
  <c r="K216" i="5"/>
  <c r="K218" i="5" s="1"/>
  <c r="K180" i="4"/>
  <c r="K182" i="4" s="1"/>
  <c r="P90" i="19"/>
  <c r="P91" i="19" s="1"/>
  <c r="F216" i="5"/>
  <c r="F218" i="5" s="1"/>
  <c r="F180" i="4"/>
  <c r="F182" i="4" s="1"/>
  <c r="E90" i="19"/>
  <c r="V180" i="4"/>
  <c r="V182" i="4" s="1"/>
  <c r="AL90" i="19"/>
  <c r="V216" i="5"/>
  <c r="V218" i="5" s="1"/>
  <c r="EE17" i="22"/>
  <c r="D17" i="23"/>
  <c r="L17" i="23" s="1"/>
  <c r="E213" i="5"/>
  <c r="E387" i="5"/>
  <c r="Y91" i="19"/>
  <c r="R43" i="10"/>
  <c r="T43" i="10" s="1"/>
  <c r="D42" i="23"/>
  <c r="L42" i="23" s="1"/>
  <c r="EC180" i="4"/>
  <c r="EC182" i="4" s="1"/>
  <c r="EJ36" i="22"/>
  <c r="C38" i="22"/>
  <c r="C55" i="22" s="1"/>
  <c r="C65" i="22" s="1"/>
  <c r="AS48" i="3"/>
  <c r="BC48" i="3" s="1"/>
  <c r="D38" i="25"/>
  <c r="D54" i="25" s="1"/>
  <c r="D64" i="25" s="1"/>
  <c r="BS180" i="4" s="1"/>
  <c r="H34" i="23"/>
  <c r="L34" i="23" s="1"/>
  <c r="BU216" i="5"/>
  <c r="BU218" i="5" s="1"/>
  <c r="H87" i="21"/>
  <c r="BU182" i="4"/>
  <c r="H86" i="21"/>
  <c r="C34" i="7"/>
  <c r="M32" i="7"/>
  <c r="M34" i="7" s="1"/>
  <c r="T20" i="10"/>
  <c r="AL20" i="10" s="1"/>
  <c r="EK57" i="22"/>
  <c r="D58" i="23"/>
  <c r="EC61" i="22"/>
  <c r="R62" i="10"/>
  <c r="AZ180" i="4"/>
  <c r="AZ182" i="4" s="1"/>
  <c r="AZ216" i="5"/>
  <c r="AZ218" i="5" s="1"/>
  <c r="AY216" i="5"/>
  <c r="AY218" i="5" s="1"/>
  <c r="AY180" i="4"/>
  <c r="AY182" i="4" s="1"/>
  <c r="BB218" i="5"/>
  <c r="BB182" i="4"/>
  <c r="AV180" i="4"/>
  <c r="AV182" i="4" s="1"/>
  <c r="AR180" i="4"/>
  <c r="AR182" i="4" s="1"/>
  <c r="AR216" i="5"/>
  <c r="AR218" i="5" s="1"/>
  <c r="BF71" i="4"/>
  <c r="BG71" i="4" s="1"/>
  <c r="BG75" i="4" s="1"/>
  <c r="D18" i="23"/>
  <c r="EE18" i="22"/>
  <c r="R19" i="10"/>
  <c r="T19" i="10" s="1"/>
  <c r="AL19" i="10" s="1"/>
  <c r="AU90" i="19"/>
  <c r="AA180" i="4"/>
  <c r="AA182" i="4" s="1"/>
  <c r="AA216" i="5"/>
  <c r="BJ182" i="4"/>
  <c r="U180" i="4"/>
  <c r="U182" i="4" s="1"/>
  <c r="AJ90" i="19"/>
  <c r="AJ91" i="19" s="1"/>
  <c r="U216" i="5"/>
  <c r="U218" i="5" s="1"/>
  <c r="I90" i="19"/>
  <c r="I91" i="19" s="1"/>
  <c r="H216" i="5"/>
  <c r="H218" i="5" s="1"/>
  <c r="H180" i="4"/>
  <c r="H182" i="4" s="1"/>
  <c r="CL90" i="19"/>
  <c r="CL91" i="19" s="1"/>
  <c r="AP90" i="19"/>
  <c r="Y180" i="4"/>
  <c r="Y182" i="4" s="1"/>
  <c r="Y216" i="5"/>
  <c r="G180" i="4"/>
  <c r="G182" i="4" s="1"/>
  <c r="G216" i="5"/>
  <c r="G218" i="5" s="1"/>
  <c r="G90" i="19"/>
  <c r="G91" i="19" s="1"/>
  <c r="Z216" i="5"/>
  <c r="AR90" i="19"/>
  <c r="Z180" i="4"/>
  <c r="Z182" i="4" s="1"/>
  <c r="M78" i="31"/>
  <c r="M101" i="31" s="1"/>
  <c r="M102" i="31" s="1"/>
  <c r="L53" i="30"/>
  <c r="L65" i="30" s="1"/>
  <c r="CH180" i="4" s="1"/>
  <c r="N110" i="29"/>
  <c r="J114" i="13"/>
  <c r="J116" i="13" s="1"/>
  <c r="AD216" i="5"/>
  <c r="AD180" i="4"/>
  <c r="AD182" i="4" s="1"/>
  <c r="BA90" i="19"/>
  <c r="CW90" i="19"/>
  <c r="CW91" i="19" s="1"/>
  <c r="CU90" i="19"/>
  <c r="CU91" i="19" s="1"/>
  <c r="AY90" i="19"/>
  <c r="AC216" i="5"/>
  <c r="AC180" i="4"/>
  <c r="AC182" i="4" s="1"/>
  <c r="DA90" i="19"/>
  <c r="DA91" i="19" s="1"/>
  <c r="S8" i="8"/>
  <c r="E85" i="19"/>
  <c r="E87" i="19" s="1"/>
  <c r="E89" i="19" s="1"/>
  <c r="AE207" i="5"/>
  <c r="BC76" i="19"/>
  <c r="BC85" i="19" s="1"/>
  <c r="C85" i="19"/>
  <c r="C87" i="19" s="1"/>
  <c r="C89" i="19" s="1"/>
  <c r="J207" i="5"/>
  <c r="J209" i="5" s="1"/>
  <c r="J211" i="5" s="1"/>
  <c r="N78" i="19"/>
  <c r="N85" i="19" s="1"/>
  <c r="N87" i="19" s="1"/>
  <c r="N89" i="19" s="1"/>
  <c r="E17" i="8"/>
  <c r="S11" i="8"/>
  <c r="Q75" i="5"/>
  <c r="Q77" i="5" s="1"/>
  <c r="I75" i="5"/>
  <c r="I77" i="5" s="1"/>
  <c r="F75" i="5"/>
  <c r="F77" i="5" s="1"/>
  <c r="BN75" i="5"/>
  <c r="BN77" i="5" s="1"/>
  <c r="T23" i="24"/>
  <c r="J54" i="15"/>
  <c r="L43" i="15"/>
  <c r="L54" i="15" s="1"/>
  <c r="Q22" i="8"/>
  <c r="AA23" i="3"/>
  <c r="K38" i="22"/>
  <c r="K55" i="22" s="1"/>
  <c r="D31" i="23"/>
  <c r="L31" i="23" s="1"/>
  <c r="T32" i="10"/>
  <c r="AL32" i="10" s="1"/>
  <c r="C17" i="7" s="1"/>
  <c r="S99" i="7" s="1"/>
  <c r="BJ90" i="19"/>
  <c r="AG216" i="5"/>
  <c r="AG180" i="4"/>
  <c r="AG182" i="4" s="1"/>
  <c r="D27" i="23"/>
  <c r="T28" i="10"/>
  <c r="AL28" i="10" s="1"/>
  <c r="EC36" i="22"/>
  <c r="D23" i="3" s="1"/>
  <c r="T31" i="10"/>
  <c r="AL31" i="10" s="1"/>
  <c r="C16" i="7" s="1"/>
  <c r="S98" i="7" s="1"/>
  <c r="D30" i="23"/>
  <c r="L30" i="23" s="1"/>
  <c r="P62" i="6"/>
  <c r="BN38" i="22"/>
  <c r="BN55" i="22" s="1"/>
  <c r="BN65" i="22" s="1"/>
  <c r="AA63" i="3"/>
  <c r="L63" i="13"/>
  <c r="J71" i="13"/>
  <c r="J87" i="13" s="1"/>
  <c r="AA38" i="22"/>
  <c r="AA55" i="22" s="1"/>
  <c r="AA65" i="22" s="1"/>
  <c r="Q43" i="3"/>
  <c r="D43" i="5"/>
  <c r="T29" i="10"/>
  <c r="AL29" i="10" s="1"/>
  <c r="C14" i="7" s="1"/>
  <c r="S96" i="7" s="1"/>
  <c r="D28" i="23"/>
  <c r="L28" i="23" s="1"/>
  <c r="AC43" i="3"/>
  <c r="AN38" i="22"/>
  <c r="AN55" i="22" s="1"/>
  <c r="AN65" i="22" s="1"/>
  <c r="F76" i="18"/>
  <c r="N61" i="14"/>
  <c r="DC90" i="19"/>
  <c r="DC91" i="19" s="1"/>
  <c r="AI23" i="3"/>
  <c r="T38" i="22"/>
  <c r="T55" i="22" s="1"/>
  <c r="T65" i="22" s="1"/>
  <c r="M180" i="4" s="1"/>
  <c r="D177" i="4"/>
  <c r="D178" i="4" s="1"/>
  <c r="D32" i="23"/>
  <c r="L32" i="23" s="1"/>
  <c r="T33" i="10"/>
  <c r="AL33" i="10" s="1"/>
  <c r="C18" i="7" s="1"/>
  <c r="S100" i="7" s="1"/>
  <c r="BC19" i="3"/>
  <c r="J23" i="7"/>
  <c r="J26" i="7" s="1"/>
  <c r="J30" i="14"/>
  <c r="J47" i="14" s="1"/>
  <c r="T73" i="33"/>
  <c r="L57" i="15"/>
  <c r="L62" i="15" s="1"/>
  <c r="J62" i="15"/>
  <c r="H117" i="29"/>
  <c r="H118" i="29" s="1"/>
  <c r="CE182" i="4"/>
  <c r="CE216" i="5"/>
  <c r="CE218" i="5" s="1"/>
  <c r="J35" i="3"/>
  <c r="R28" i="14"/>
  <c r="J22" i="15"/>
  <c r="L16" i="15"/>
  <c r="L22" i="15" s="1"/>
  <c r="J26" i="13"/>
  <c r="L19" i="13"/>
  <c r="BK216" i="5"/>
  <c r="J85" i="20"/>
  <c r="BJ216" i="5"/>
  <c r="BJ218" i="5" s="1"/>
  <c r="H85" i="20"/>
  <c r="H86" i="20"/>
  <c r="L41" i="23"/>
  <c r="J41" i="7"/>
  <c r="E83" i="6"/>
  <c r="I83" i="6" s="1"/>
  <c r="M83" i="6"/>
  <c r="R83" i="6" s="1"/>
  <c r="J33" i="3"/>
  <c r="L30" i="14"/>
  <c r="O31" i="8"/>
  <c r="O44" i="8" s="1"/>
  <c r="N115" i="6"/>
  <c r="D45" i="3"/>
  <c r="L32" i="15"/>
  <c r="L40" i="15" s="1"/>
  <c r="J40" i="15"/>
  <c r="H101" i="31"/>
  <c r="H102" i="31" s="1"/>
  <c r="C26" i="7"/>
  <c r="W102" i="7"/>
  <c r="AA102" i="7" s="1"/>
  <c r="C192" i="7"/>
  <c r="L17" i="18"/>
  <c r="T76" i="34"/>
  <c r="C99" i="34"/>
  <c r="C100" i="34" s="1"/>
  <c r="D54" i="3"/>
  <c r="H155" i="65" l="1"/>
  <c r="R39" i="9"/>
  <c r="R58" i="9" s="1"/>
  <c r="Q9" i="8"/>
  <c r="D61" i="5"/>
  <c r="N138" i="65" s="1"/>
  <c r="O138" i="65" s="1"/>
  <c r="N100" i="34"/>
  <c r="AA99" i="34" s="1"/>
  <c r="N68" i="34"/>
  <c r="N67" i="34"/>
  <c r="O37" i="6"/>
  <c r="R37" i="6" s="1"/>
  <c r="E88" i="6"/>
  <c r="I88" i="6" s="1"/>
  <c r="AK83" i="9"/>
  <c r="R138" i="10"/>
  <c r="X70" i="10"/>
  <c r="H69" i="15"/>
  <c r="H70" i="15" s="1"/>
  <c r="H72" i="15" s="1"/>
  <c r="R91" i="32"/>
  <c r="N122" i="13"/>
  <c r="H631" i="65"/>
  <c r="I631" i="65" s="1"/>
  <c r="N70" i="15"/>
  <c r="N72" i="15" s="1"/>
  <c r="W14" i="9"/>
  <c r="N14" i="6"/>
  <c r="N13" i="6" s="1"/>
  <c r="N73" i="15"/>
  <c r="N76" i="15" s="1"/>
  <c r="AG17" i="9"/>
  <c r="G183" i="9"/>
  <c r="I155" i="65"/>
  <c r="N531" i="65"/>
  <c r="BZ61" i="5"/>
  <c r="CA172" i="5"/>
  <c r="BZ19" i="5"/>
  <c r="CA19" i="5" s="1"/>
  <c r="F116" i="29"/>
  <c r="DW15" i="5"/>
  <c r="DW18" i="5" s="1"/>
  <c r="DW43" i="5" s="1"/>
  <c r="DW61" i="5" s="1"/>
  <c r="DW73" i="5" s="1"/>
  <c r="DW213" i="5" s="1"/>
  <c r="DW214" i="5" s="1"/>
  <c r="AA16" i="80"/>
  <c r="AO16" i="80" s="1"/>
  <c r="H19" i="17" s="1"/>
  <c r="K19" i="17" s="1"/>
  <c r="I43" i="7"/>
  <c r="C166" i="7" s="1"/>
  <c r="T57" i="10"/>
  <c r="AI100" i="3"/>
  <c r="AO20" i="80"/>
  <c r="F43" i="35"/>
  <c r="F36" i="35"/>
  <c r="F37" i="35" s="1"/>
  <c r="D42" i="18"/>
  <c r="CD216" i="5"/>
  <c r="CD218" i="5" s="1"/>
  <c r="CD180" i="4"/>
  <c r="CD182" i="4" s="1"/>
  <c r="CF216" i="5"/>
  <c r="CF218" i="5" s="1"/>
  <c r="CF180" i="4"/>
  <c r="CF182" i="4" s="1"/>
  <c r="AK44" i="37"/>
  <c r="AK39" i="37"/>
  <c r="CC180" i="4"/>
  <c r="CC182" i="4" s="1"/>
  <c r="BS216" i="5"/>
  <c r="BS218" i="5" s="1"/>
  <c r="Q64" i="25"/>
  <c r="E216" i="5"/>
  <c r="J11" i="3"/>
  <c r="AK92" i="3"/>
  <c r="AM92" i="3" s="1"/>
  <c r="K23" i="17"/>
  <c r="H23" i="17"/>
  <c r="C43" i="37"/>
  <c r="C44" i="37" s="1"/>
  <c r="CW216" i="5"/>
  <c r="CW218" i="5" s="1"/>
  <c r="C195" i="7"/>
  <c r="D36" i="23"/>
  <c r="H36" i="23"/>
  <c r="H531" i="65" s="1"/>
  <c r="L15" i="23"/>
  <c r="D23" i="23"/>
  <c r="H208" i="65" s="1"/>
  <c r="Y37" i="37"/>
  <c r="Y25" i="80" s="1"/>
  <c r="Y42" i="37"/>
  <c r="AO35" i="37"/>
  <c r="AO37" i="37" s="1"/>
  <c r="H17" i="17"/>
  <c r="K17" i="17" s="1"/>
  <c r="J117" i="29"/>
  <c r="J118" i="29" s="1"/>
  <c r="L47" i="14"/>
  <c r="L53" i="14" s="1"/>
  <c r="M531" i="65"/>
  <c r="J23" i="8"/>
  <c r="F117" i="29"/>
  <c r="F118" i="29" s="1"/>
  <c r="N48" i="30"/>
  <c r="N53" i="30" s="1"/>
  <c r="BC218" i="5"/>
  <c r="F53" i="36"/>
  <c r="AE39" i="9"/>
  <c r="F7" i="67"/>
  <c r="CY90" i="19"/>
  <c r="CY91" i="19" s="1"/>
  <c r="AX216" i="5"/>
  <c r="AX218" i="5" s="1"/>
  <c r="E37" i="6"/>
  <c r="AN152" i="6" s="1"/>
  <c r="E27" i="6"/>
  <c r="I27" i="6" s="1"/>
  <c r="AM96" i="3"/>
  <c r="AG19" i="9"/>
  <c r="E20" i="6" s="1"/>
  <c r="I20" i="6" s="1"/>
  <c r="EC55" i="22"/>
  <c r="EC65" i="22" s="1"/>
  <c r="M15" i="6"/>
  <c r="E15" i="6"/>
  <c r="I15" i="6" s="1"/>
  <c r="AA90" i="7"/>
  <c r="D46" i="20"/>
  <c r="P46" i="20" s="1"/>
  <c r="P62" i="20" s="1"/>
  <c r="AK104" i="3"/>
  <c r="BE48" i="3"/>
  <c r="BF48" i="3" s="1"/>
  <c r="AK100" i="3"/>
  <c r="O19" i="3"/>
  <c r="BR218" i="5"/>
  <c r="BR214" i="5"/>
  <c r="H625" i="65"/>
  <c r="I625" i="65" s="1"/>
  <c r="AE180" i="4"/>
  <c r="AE182" i="4" s="1"/>
  <c r="AE216" i="5"/>
  <c r="AE218" i="5" s="1"/>
  <c r="BC90" i="19"/>
  <c r="BC91" i="19" s="1"/>
  <c r="BR75" i="5"/>
  <c r="BR77" i="5" s="1"/>
  <c r="D92" i="14"/>
  <c r="T8" i="8"/>
  <c r="H817" i="65"/>
  <c r="I817" i="65" s="1"/>
  <c r="I470" i="65"/>
  <c r="J86" i="14"/>
  <c r="J79" i="20"/>
  <c r="J81" i="20" s="1"/>
  <c r="J84" i="20" s="1"/>
  <c r="I411" i="65"/>
  <c r="L53" i="23"/>
  <c r="D53" i="23"/>
  <c r="N71" i="18"/>
  <c r="BH154" i="5"/>
  <c r="BF39" i="3"/>
  <c r="BF43" i="3"/>
  <c r="CA18" i="5"/>
  <c r="B19" i="3"/>
  <c r="H44" i="3" s="1"/>
  <c r="D39" i="10"/>
  <c r="D60" i="10" s="1"/>
  <c r="D70" i="10" s="1"/>
  <c r="D216" i="5" s="1"/>
  <c r="AA104" i="7"/>
  <c r="EF216" i="5"/>
  <c r="EF218" i="5" s="1"/>
  <c r="EG180" i="4"/>
  <c r="EG182" i="4" s="1"/>
  <c r="N113" i="29"/>
  <c r="N116" i="29" s="1"/>
  <c r="N183" i="9"/>
  <c r="R31" i="8"/>
  <c r="H638" i="65"/>
  <c r="I638" i="65" s="1"/>
  <c r="N269" i="65"/>
  <c r="BG43" i="5"/>
  <c r="BG61" i="5" s="1"/>
  <c r="J53" i="14"/>
  <c r="CW182" i="4"/>
  <c r="F23" i="8"/>
  <c r="F44" i="8" s="1"/>
  <c r="E120" i="6" s="1"/>
  <c r="I120" i="6" s="1"/>
  <c r="C13" i="7"/>
  <c r="E13" i="7"/>
  <c r="E147" i="7" s="1"/>
  <c r="N53" i="14"/>
  <c r="N65" i="14" s="1"/>
  <c r="CU216" i="5" s="1"/>
  <c r="CU218" i="5" s="1"/>
  <c r="BX11" i="3"/>
  <c r="BK218" i="5"/>
  <c r="H123" i="13"/>
  <c r="H124" i="13" s="1"/>
  <c r="CC216" i="5"/>
  <c r="CC218" i="5" s="1"/>
  <c r="D33" i="24"/>
  <c r="BK209" i="5"/>
  <c r="BK211" i="5" s="1"/>
  <c r="BK75" i="5"/>
  <c r="BK77" i="5" s="1"/>
  <c r="BK214" i="5"/>
  <c r="T93" i="9"/>
  <c r="T108" i="9" s="1"/>
  <c r="R216" i="5"/>
  <c r="R218" i="5" s="1"/>
  <c r="L73" i="15"/>
  <c r="L76" i="15" s="1"/>
  <c r="N42" i="6"/>
  <c r="J43" i="13"/>
  <c r="R180" i="4"/>
  <c r="R182" i="4" s="1"/>
  <c r="AL91" i="19"/>
  <c r="BY73" i="5"/>
  <c r="BZ73" i="5" s="1"/>
  <c r="R18" i="6"/>
  <c r="BC209" i="5"/>
  <c r="BC211" i="5" s="1"/>
  <c r="AE214" i="5"/>
  <c r="AE209" i="5"/>
  <c r="AE211" i="5" s="1"/>
  <c r="BC214" i="5"/>
  <c r="BH361" i="5"/>
  <c r="BH386" i="5" s="1"/>
  <c r="BH387" i="5" s="1"/>
  <c r="E779" i="65"/>
  <c r="BC75" i="5"/>
  <c r="BC77" i="5" s="1"/>
  <c r="L14" i="18"/>
  <c r="L42" i="18" s="1"/>
  <c r="L48" i="18" s="1"/>
  <c r="BP42" i="5"/>
  <c r="BP43" i="5"/>
  <c r="BP61" i="5" s="1"/>
  <c r="BP73" i="5" s="1"/>
  <c r="T68" i="34"/>
  <c r="V68" i="34" s="1"/>
  <c r="T67" i="34"/>
  <c r="J61" i="14"/>
  <c r="R57" i="10"/>
  <c r="CU77" i="5"/>
  <c r="CU213" i="5"/>
  <c r="CU214" i="5" s="1"/>
  <c r="H121" i="9"/>
  <c r="H123" i="9" s="1"/>
  <c r="H185" i="9"/>
  <c r="T14" i="9"/>
  <c r="D85" i="21"/>
  <c r="BC87" i="19"/>
  <c r="BC89" i="19" s="1"/>
  <c r="D73" i="5"/>
  <c r="BP361" i="5"/>
  <c r="BP386" i="5" s="1"/>
  <c r="F29" i="23"/>
  <c r="BP154" i="5"/>
  <c r="BH213" i="5"/>
  <c r="BS182" i="4"/>
  <c r="C90" i="19"/>
  <c r="C91" i="19" s="1"/>
  <c r="T83" i="6"/>
  <c r="Z83" i="6" s="1"/>
  <c r="O78" i="31"/>
  <c r="O101" i="31" s="1"/>
  <c r="D87" i="21"/>
  <c r="AI104" i="3"/>
  <c r="EE23" i="22"/>
  <c r="J214" i="5"/>
  <c r="D86" i="21"/>
  <c r="E115" i="6"/>
  <c r="CW387" i="5"/>
  <c r="CW77" i="5"/>
  <c r="CW213" i="5"/>
  <c r="CW214" i="5" s="1"/>
  <c r="R24" i="10"/>
  <c r="E180" i="4"/>
  <c r="E182" i="4" s="1"/>
  <c r="AL43" i="10"/>
  <c r="AP43" i="10"/>
  <c r="AB37" i="10"/>
  <c r="AB39" i="10" s="1"/>
  <c r="AB60" i="10" s="1"/>
  <c r="N38" i="25"/>
  <c r="N54" i="25" s="1"/>
  <c r="G14" i="6"/>
  <c r="EK36" i="22"/>
  <c r="BF35" i="3"/>
  <c r="AN19" i="10"/>
  <c r="T62" i="10"/>
  <c r="R66" i="10"/>
  <c r="D62" i="23"/>
  <c r="L58" i="23"/>
  <c r="L62" i="23" s="1"/>
  <c r="BF177" i="4"/>
  <c r="BF178" i="4" s="1"/>
  <c r="BF75" i="4"/>
  <c r="EK23" i="22"/>
  <c r="L18" i="23"/>
  <c r="L117" i="29"/>
  <c r="L118" i="29" s="1"/>
  <c r="CH182" i="4"/>
  <c r="CH216" i="5"/>
  <c r="CH218" i="5" s="1"/>
  <c r="L114" i="13"/>
  <c r="L116" i="13" s="1"/>
  <c r="BF19" i="3"/>
  <c r="J218" i="5"/>
  <c r="J75" i="5"/>
  <c r="J77" i="5" s="1"/>
  <c r="N91" i="19"/>
  <c r="E91" i="19"/>
  <c r="AE75" i="5"/>
  <c r="AE77" i="5" s="1"/>
  <c r="S12" i="8"/>
  <c r="T11" i="8"/>
  <c r="E207" i="5"/>
  <c r="Z66" i="10"/>
  <c r="Z70" i="10" s="1"/>
  <c r="I18" i="7"/>
  <c r="K18" i="7" s="1"/>
  <c r="C152" i="7"/>
  <c r="W180" i="4"/>
  <c r="W182" i="4" s="1"/>
  <c r="W216" i="5"/>
  <c r="W218" i="5" s="1"/>
  <c r="AN90" i="19"/>
  <c r="AN91" i="19" s="1"/>
  <c r="Q216" i="5"/>
  <c r="Q218" i="5" s="1"/>
  <c r="Q180" i="4"/>
  <c r="Q182" i="4" s="1"/>
  <c r="AA90" i="19"/>
  <c r="AA91" i="19" s="1"/>
  <c r="O64" i="6"/>
  <c r="O94" i="6" s="1"/>
  <c r="O95" i="6" s="1"/>
  <c r="L71" i="13"/>
  <c r="L87" i="13" s="1"/>
  <c r="BN90" i="19"/>
  <c r="AI180" i="4"/>
  <c r="AI182" i="4" s="1"/>
  <c r="AI216" i="5"/>
  <c r="R62" i="6"/>
  <c r="I16" i="7"/>
  <c r="K16" i="7" s="1"/>
  <c r="C150" i="7"/>
  <c r="M182" i="4"/>
  <c r="M216" i="5"/>
  <c r="M218" i="5" s="1"/>
  <c r="T90" i="19"/>
  <c r="T91" i="19" s="1"/>
  <c r="EJ65" i="22"/>
  <c r="W184" i="9"/>
  <c r="C148" i="7"/>
  <c r="I14" i="7"/>
  <c r="K14" i="7" s="1"/>
  <c r="EE36" i="22"/>
  <c r="EC38" i="22"/>
  <c r="L27" i="23"/>
  <c r="I17" i="7"/>
  <c r="K17" i="7" s="1"/>
  <c r="C151" i="7"/>
  <c r="K65" i="22"/>
  <c r="EE65" i="22" s="1"/>
  <c r="AL35" i="10"/>
  <c r="R115" i="6"/>
  <c r="N132" i="6"/>
  <c r="N134" i="6" s="1"/>
  <c r="BY19" i="3"/>
  <c r="BZ19" i="3" s="1"/>
  <c r="L33" i="3"/>
  <c r="AP33" i="10"/>
  <c r="BY23" i="3"/>
  <c r="BZ23" i="3" s="1"/>
  <c r="L35" i="3"/>
  <c r="AP42" i="10"/>
  <c r="AL42" i="10"/>
  <c r="J65" i="15"/>
  <c r="J69" i="15" s="1"/>
  <c r="T99" i="34"/>
  <c r="T101" i="34" s="1"/>
  <c r="N80" i="15"/>
  <c r="N106" i="15" s="1"/>
  <c r="K23" i="7"/>
  <c r="K26" i="7" s="1"/>
  <c r="J28" i="7"/>
  <c r="W105" i="7"/>
  <c r="T24" i="10"/>
  <c r="AL16" i="10"/>
  <c r="W91" i="7"/>
  <c r="J46" i="7"/>
  <c r="C221" i="7"/>
  <c r="K41" i="7"/>
  <c r="O19" i="6"/>
  <c r="S19" i="13"/>
  <c r="L26" i="13"/>
  <c r="L43" i="13" s="1"/>
  <c r="E192" i="7"/>
  <c r="E195" i="7" s="1"/>
  <c r="E26" i="7"/>
  <c r="W83" i="7" s="1"/>
  <c r="Q31" i="8"/>
  <c r="L65" i="15"/>
  <c r="L69" i="15" s="1"/>
  <c r="H149" i="65" l="1"/>
  <c r="D48" i="18"/>
  <c r="G37" i="6"/>
  <c r="AR152" i="6" s="1"/>
  <c r="AL62" i="10"/>
  <c r="AL66" i="10" s="1"/>
  <c r="I37" i="7"/>
  <c r="K37" i="7" s="1"/>
  <c r="W39" i="9"/>
  <c r="E18" i="6"/>
  <c r="I18" i="6" s="1"/>
  <c r="O531" i="65"/>
  <c r="AA22" i="80"/>
  <c r="EN73" i="5"/>
  <c r="EN18" i="5"/>
  <c r="EN15" i="5"/>
  <c r="DW77" i="5"/>
  <c r="H38" i="23"/>
  <c r="H56" i="23" s="1"/>
  <c r="I531" i="65"/>
  <c r="N42" i="18"/>
  <c r="I149" i="65"/>
  <c r="I208" i="65"/>
  <c r="EN61" i="5"/>
  <c r="EN43" i="5"/>
  <c r="AV152" i="6"/>
  <c r="AZ152" i="6" s="1"/>
  <c r="AR192" i="6"/>
  <c r="AR193" i="6" s="1"/>
  <c r="Y28" i="80"/>
  <c r="Y30" i="80" s="1"/>
  <c r="Y38" i="80" s="1"/>
  <c r="L11" i="3"/>
  <c r="M11" i="3"/>
  <c r="Y39" i="37"/>
  <c r="N65" i="30"/>
  <c r="N117" i="29" s="1"/>
  <c r="N118" i="29" s="1"/>
  <c r="AO22" i="80"/>
  <c r="M14" i="6"/>
  <c r="M13" i="6" s="1"/>
  <c r="AG14" i="9"/>
  <c r="E14" i="6" s="1"/>
  <c r="L23" i="23"/>
  <c r="BF216" i="5"/>
  <c r="BF180" i="4"/>
  <c r="BF182" i="4" s="1"/>
  <c r="D38" i="23"/>
  <c r="P33" i="24"/>
  <c r="F33" i="23" s="1"/>
  <c r="H41" i="16"/>
  <c r="H25" i="17"/>
  <c r="I37" i="6"/>
  <c r="N138" i="6"/>
  <c r="AM100" i="3"/>
  <c r="I13" i="7"/>
  <c r="K13" i="7" s="1"/>
  <c r="D62" i="20"/>
  <c r="S95" i="7"/>
  <c r="AA95" i="7" s="1"/>
  <c r="O269" i="65"/>
  <c r="C165" i="7"/>
  <c r="K40" i="7"/>
  <c r="F15" i="3"/>
  <c r="H548" i="65"/>
  <c r="I548" i="65" s="1"/>
  <c r="J86" i="20"/>
  <c r="J93" i="18"/>
  <c r="J87" i="18"/>
  <c r="J91" i="18" s="1"/>
  <c r="C147" i="7"/>
  <c r="AG93" i="9"/>
  <c r="AG108" i="9" s="1"/>
  <c r="R155" i="9" s="1"/>
  <c r="N107" i="15"/>
  <c r="N64" i="25"/>
  <c r="J70" i="15"/>
  <c r="J72" i="15" s="1"/>
  <c r="D184" i="9"/>
  <c r="D180" i="4"/>
  <c r="D182" i="4" s="1"/>
  <c r="AA100" i="7"/>
  <c r="AA96" i="7"/>
  <c r="AA98" i="7"/>
  <c r="AA99" i="7"/>
  <c r="D36" i="24"/>
  <c r="BF73" i="5"/>
  <c r="BF213" i="5" s="1"/>
  <c r="D213" i="5"/>
  <c r="S31" i="8"/>
  <c r="J29" i="3"/>
  <c r="H543" i="65"/>
  <c r="J31" i="3"/>
  <c r="H183" i="9"/>
  <c r="J65" i="14"/>
  <c r="AL24" i="10"/>
  <c r="AN43" i="10"/>
  <c r="AL57" i="10"/>
  <c r="O22" i="23"/>
  <c r="O24" i="23" s="1"/>
  <c r="O26" i="23" s="1"/>
  <c r="L70" i="15"/>
  <c r="L72" i="15" s="1"/>
  <c r="M64" i="6"/>
  <c r="R64" i="6" s="1"/>
  <c r="K43" i="7"/>
  <c r="BY213" i="5"/>
  <c r="BH189" i="5"/>
  <c r="D71" i="20" s="1"/>
  <c r="P71" i="20" s="1"/>
  <c r="P79" i="20" s="1"/>
  <c r="E218" i="5"/>
  <c r="E209" i="5"/>
  <c r="E211" i="5" s="1"/>
  <c r="J80" i="15"/>
  <c r="J106" i="15" s="1"/>
  <c r="N400" i="65"/>
  <c r="O400" i="65" s="1"/>
  <c r="S91" i="7"/>
  <c r="J119" i="13"/>
  <c r="J122" i="13" s="1"/>
  <c r="T39" i="9"/>
  <c r="F52" i="18"/>
  <c r="R62" i="9"/>
  <c r="R90" i="9" s="1"/>
  <c r="L29" i="23"/>
  <c r="BQ361" i="5"/>
  <c r="BQ386" i="5" s="1"/>
  <c r="I19" i="8"/>
  <c r="I23" i="8" s="1"/>
  <c r="I115" i="6"/>
  <c r="AN164" i="6"/>
  <c r="AV164" i="6" s="1"/>
  <c r="T66" i="10"/>
  <c r="N123" i="13"/>
  <c r="N124" i="13" s="1"/>
  <c r="E20" i="7"/>
  <c r="J19" i="3"/>
  <c r="M19" i="3" s="1"/>
  <c r="H555" i="65"/>
  <c r="I555" i="65" s="1"/>
  <c r="O130" i="6"/>
  <c r="G130" i="6" s="1"/>
  <c r="T12" i="8"/>
  <c r="E214" i="5"/>
  <c r="E75" i="5"/>
  <c r="E77" i="5" s="1"/>
  <c r="AB66" i="10"/>
  <c r="AB70" i="10" s="1"/>
  <c r="I216" i="5"/>
  <c r="BD217" i="5" s="1"/>
  <c r="K90" i="19"/>
  <c r="K91" i="19" s="1"/>
  <c r="I180" i="4"/>
  <c r="I182" i="4" s="1"/>
  <c r="BG182" i="4" s="1"/>
  <c r="AM104" i="3"/>
  <c r="DZ90" i="19"/>
  <c r="EJ66" i="22"/>
  <c r="C219" i="7"/>
  <c r="G19" i="6"/>
  <c r="O42" i="6"/>
  <c r="O43" i="6" s="1"/>
  <c r="R19" i="6"/>
  <c r="T18" i="6" s="1"/>
  <c r="C15" i="7"/>
  <c r="S97" i="7" s="1"/>
  <c r="J48" i="7"/>
  <c r="AO24" i="10"/>
  <c r="I45" i="7"/>
  <c r="S109" i="7" s="1"/>
  <c r="AA109" i="7" s="1"/>
  <c r="BN24" i="3"/>
  <c r="BV24" i="3"/>
  <c r="BP24" i="3"/>
  <c r="BT24" i="3"/>
  <c r="BR24" i="3"/>
  <c r="BL24" i="3"/>
  <c r="BP20" i="3"/>
  <c r="BN20" i="3"/>
  <c r="BL20" i="3"/>
  <c r="BV20" i="3"/>
  <c r="BT20" i="3"/>
  <c r="BR20" i="3"/>
  <c r="J12" i="3" l="1"/>
  <c r="T58" i="9"/>
  <c r="I36" i="8"/>
  <c r="M36" i="8" s="1"/>
  <c r="I39" i="7"/>
  <c r="S88" i="7" s="1"/>
  <c r="AA88" i="7" s="1"/>
  <c r="AM63" i="10"/>
  <c r="R161" i="9"/>
  <c r="W118" i="9"/>
  <c r="W185" i="9" s="1"/>
  <c r="AG39" i="9"/>
  <c r="AI123" i="9" s="1"/>
  <c r="Y71" i="80"/>
  <c r="Y73" i="80" s="1"/>
  <c r="D57" i="36"/>
  <c r="AA25" i="80"/>
  <c r="AA28" i="80" s="1"/>
  <c r="AA30" i="80" s="1"/>
  <c r="AA38" i="80" s="1"/>
  <c r="AA43" i="37" s="1"/>
  <c r="AA44" i="37" s="1"/>
  <c r="AI73" i="3"/>
  <c r="AY36" i="3"/>
  <c r="AY37" i="3"/>
  <c r="AA73" i="3"/>
  <c r="AY12" i="3"/>
  <c r="DQ216" i="5"/>
  <c r="DQ218" i="5" s="1"/>
  <c r="Y43" i="37"/>
  <c r="Y44" i="37" s="1"/>
  <c r="AA72" i="3"/>
  <c r="AI72" i="3"/>
  <c r="AG52" i="3"/>
  <c r="BA36" i="3"/>
  <c r="AY13" i="3"/>
  <c r="AK32" i="3"/>
  <c r="J20" i="3"/>
  <c r="AK33" i="3"/>
  <c r="J123" i="13"/>
  <c r="J124" i="13" s="1"/>
  <c r="M42" i="6"/>
  <c r="BY216" i="5"/>
  <c r="BY180" i="4"/>
  <c r="BY182" i="4" s="1"/>
  <c r="P81" i="20"/>
  <c r="P84" i="20" s="1"/>
  <c r="AQ15" i="3"/>
  <c r="BC15" i="3" s="1"/>
  <c r="P36" i="24"/>
  <c r="F23" i="3" s="1"/>
  <c r="BE23" i="3" s="1"/>
  <c r="L33" i="23"/>
  <c r="L36" i="23" s="1"/>
  <c r="L38" i="23" s="1"/>
  <c r="L56" i="23" s="1"/>
  <c r="L66" i="23" s="1"/>
  <c r="F36" i="23"/>
  <c r="F38" i="23" s="1"/>
  <c r="F56" i="23" s="1"/>
  <c r="R34" i="10"/>
  <c r="BA164" i="6"/>
  <c r="G132" i="6"/>
  <c r="AR166" i="6"/>
  <c r="AQ23" i="3"/>
  <c r="BC23" i="3" s="1"/>
  <c r="H66" i="23"/>
  <c r="H92" i="18" s="1"/>
  <c r="AN161" i="6"/>
  <c r="D56" i="23"/>
  <c r="N108" i="15"/>
  <c r="L80" i="15"/>
  <c r="J108" i="15"/>
  <c r="N86" i="21"/>
  <c r="D38" i="24"/>
  <c r="D56" i="24" s="1"/>
  <c r="D66" i="24" s="1"/>
  <c r="BH180" i="4" s="1"/>
  <c r="AA91" i="7"/>
  <c r="E28" i="7"/>
  <c r="S83" i="7"/>
  <c r="AA83" i="7" s="1"/>
  <c r="W86" i="7"/>
  <c r="W92" i="7" s="1"/>
  <c r="W107" i="7" s="1"/>
  <c r="P53" i="30"/>
  <c r="S32" i="3"/>
  <c r="AG73" i="3"/>
  <c r="AM12" i="3"/>
  <c r="AA12" i="3"/>
  <c r="AI32" i="3"/>
  <c r="AS13" i="3"/>
  <c r="S72" i="3"/>
  <c r="AE12" i="3"/>
  <c r="Q32" i="3"/>
  <c r="U52" i="3"/>
  <c r="Y32" i="3"/>
  <c r="U32" i="3"/>
  <c r="AK52" i="3"/>
  <c r="BA37" i="3"/>
  <c r="U73" i="3"/>
  <c r="BA12" i="3"/>
  <c r="U12" i="3"/>
  <c r="U93" i="3"/>
  <c r="AM33" i="3"/>
  <c r="AC73" i="3"/>
  <c r="Q52" i="3"/>
  <c r="W33" i="3"/>
  <c r="AQ12" i="3"/>
  <c r="AG32" i="3"/>
  <c r="AU12" i="3"/>
  <c r="U33" i="3"/>
  <c r="AI52" i="3"/>
  <c r="AE13" i="3"/>
  <c r="AG72" i="3"/>
  <c r="W13" i="3"/>
  <c r="S12" i="3"/>
  <c r="W73" i="3"/>
  <c r="AK72" i="3"/>
  <c r="AE73" i="3"/>
  <c r="AI13" i="3"/>
  <c r="AQ36" i="3"/>
  <c r="AG33" i="3"/>
  <c r="W52" i="3"/>
  <c r="AW36" i="3"/>
  <c r="AM72" i="3"/>
  <c r="AC12" i="3"/>
  <c r="AC53" i="3"/>
  <c r="Y52" i="3"/>
  <c r="AU13" i="3"/>
  <c r="S52" i="3"/>
  <c r="AI53" i="3"/>
  <c r="AK53" i="3"/>
  <c r="AK13" i="3"/>
  <c r="AG13" i="3"/>
  <c r="AU36" i="3"/>
  <c r="AU37" i="3"/>
  <c r="AC33" i="3"/>
  <c r="AC32" i="3"/>
  <c r="AA52" i="3"/>
  <c r="AA53" i="3"/>
  <c r="W12" i="3"/>
  <c r="U13" i="3"/>
  <c r="AM32" i="3"/>
  <c r="AE72" i="3"/>
  <c r="U53" i="3"/>
  <c r="AI12" i="3"/>
  <c r="AC72" i="3"/>
  <c r="Q33" i="3"/>
  <c r="W72" i="3"/>
  <c r="U94" i="3"/>
  <c r="AK73" i="3"/>
  <c r="AA13" i="3"/>
  <c r="AW37" i="3"/>
  <c r="Y72" i="3"/>
  <c r="AE33" i="3"/>
  <c r="S33" i="3"/>
  <c r="Y13" i="3"/>
  <c r="AA33" i="3"/>
  <c r="Y12" i="3"/>
  <c r="Y53" i="3"/>
  <c r="W32" i="3"/>
  <c r="AI33" i="3"/>
  <c r="AS36" i="3"/>
  <c r="Y33" i="3"/>
  <c r="AS37" i="3"/>
  <c r="S53" i="3"/>
  <c r="AM73" i="3"/>
  <c r="AC52" i="3"/>
  <c r="W53" i="3"/>
  <c r="AE32" i="3"/>
  <c r="Q93" i="3"/>
  <c r="AQ13" i="3"/>
  <c r="AA32" i="3"/>
  <c r="AM13" i="3"/>
  <c r="Q94" i="3"/>
  <c r="Q53" i="3"/>
  <c r="Y73" i="3"/>
  <c r="AS12" i="3"/>
  <c r="AM53" i="3"/>
  <c r="AM52" i="3"/>
  <c r="Q73" i="3"/>
  <c r="Q72" i="3"/>
  <c r="U72" i="3"/>
  <c r="AK12" i="3"/>
  <c r="AG12" i="3"/>
  <c r="AW12" i="3"/>
  <c r="AG53" i="3"/>
  <c r="AW13" i="3"/>
  <c r="Q13" i="3"/>
  <c r="Q12" i="3"/>
  <c r="S93" i="3"/>
  <c r="BH207" i="5"/>
  <c r="BH209" i="5" s="1"/>
  <c r="BH211" i="5" s="1"/>
  <c r="BP189" i="5"/>
  <c r="E288" i="65" s="1"/>
  <c r="G290" i="65" s="1"/>
  <c r="K290" i="65" s="1"/>
  <c r="BP213" i="5"/>
  <c r="BP387" i="5"/>
  <c r="L119" i="13"/>
  <c r="L122" i="13" s="1"/>
  <c r="T62" i="9"/>
  <c r="T90" i="9" s="1"/>
  <c r="L52" i="18"/>
  <c r="L68" i="18" s="1"/>
  <c r="F68" i="18"/>
  <c r="D79" i="20"/>
  <c r="D81" i="20" s="1"/>
  <c r="S81" i="20" s="1"/>
  <c r="I50" i="7"/>
  <c r="S112" i="7" s="1"/>
  <c r="AN70" i="10"/>
  <c r="Z18" i="6"/>
  <c r="C161" i="7"/>
  <c r="E154" i="7"/>
  <c r="M33" i="3"/>
  <c r="L19" i="3"/>
  <c r="O132" i="6"/>
  <c r="O134" i="6" s="1"/>
  <c r="O138" i="6" s="1"/>
  <c r="AD66" i="10"/>
  <c r="AD70" i="10" s="1"/>
  <c r="AH66" i="10"/>
  <c r="AH70" i="10" s="1"/>
  <c r="BY15" i="3"/>
  <c r="BZ15" i="3" s="1"/>
  <c r="L31" i="3"/>
  <c r="I218" i="5"/>
  <c r="I14" i="6"/>
  <c r="K45" i="7"/>
  <c r="G42" i="6"/>
  <c r="I19" i="6"/>
  <c r="BY11" i="3"/>
  <c r="BZ11" i="3" s="1"/>
  <c r="L29" i="3"/>
  <c r="M29" i="3"/>
  <c r="S13" i="3"/>
  <c r="I15" i="7"/>
  <c r="C149" i="7"/>
  <c r="I46" i="7"/>
  <c r="K39" i="7"/>
  <c r="C164" i="7"/>
  <c r="I72" i="7"/>
  <c r="I73" i="7"/>
  <c r="I71" i="7"/>
  <c r="I69" i="7"/>
  <c r="I70" i="7"/>
  <c r="I44" i="8" l="1"/>
  <c r="W121" i="9"/>
  <c r="W123" i="9" s="1"/>
  <c r="W183" i="9" s="1"/>
  <c r="DR216" i="5"/>
  <c r="DR218" i="5" s="1"/>
  <c r="D14" i="36"/>
  <c r="R14" i="36" s="1"/>
  <c r="AO25" i="80"/>
  <c r="AO28" i="80" s="1"/>
  <c r="AO30" i="80" s="1"/>
  <c r="AO38" i="80" s="1"/>
  <c r="AO43" i="37" s="1"/>
  <c r="AO44" i="37" s="1"/>
  <c r="AY45" i="3"/>
  <c r="AY44" i="3"/>
  <c r="T34" i="10"/>
  <c r="AL34" i="10" s="1"/>
  <c r="C19" i="7" s="1"/>
  <c r="S101" i="7" s="1"/>
  <c r="S105" i="7" s="1"/>
  <c r="W124" i="7" s="1"/>
  <c r="R37" i="10"/>
  <c r="R39" i="10" s="1"/>
  <c r="R60" i="10" s="1"/>
  <c r="R70" i="10" s="1"/>
  <c r="R184" i="9" s="1"/>
  <c r="D20" i="36"/>
  <c r="D23" i="36" s="1"/>
  <c r="R23" i="36" s="1"/>
  <c r="BH182" i="4"/>
  <c r="S66" i="24"/>
  <c r="AI81" i="3"/>
  <c r="AI80" i="3"/>
  <c r="P38" i="24"/>
  <c r="P56" i="24" s="1"/>
  <c r="P66" i="24" s="1"/>
  <c r="P71" i="24" s="1"/>
  <c r="H400" i="65"/>
  <c r="I400" i="65" s="1"/>
  <c r="AY20" i="3"/>
  <c r="AY21" i="3"/>
  <c r="AA81" i="3"/>
  <c r="AA80" i="3"/>
  <c r="BF23" i="3"/>
  <c r="AK41" i="3"/>
  <c r="AK40" i="3"/>
  <c r="F66" i="23"/>
  <c r="F92" i="18" s="1"/>
  <c r="D66" i="23"/>
  <c r="D92" i="18" s="1"/>
  <c r="AA97" i="7"/>
  <c r="AV161" i="6"/>
  <c r="I97" i="6"/>
  <c r="D85" i="20"/>
  <c r="L106" i="15"/>
  <c r="L108" i="15" s="1"/>
  <c r="J23" i="3"/>
  <c r="M35" i="3" s="1"/>
  <c r="BL25" i="3" s="1"/>
  <c r="BH216" i="5"/>
  <c r="BH218" i="5" s="1"/>
  <c r="S86" i="7"/>
  <c r="S92" i="7" s="1"/>
  <c r="U124" i="7" s="1"/>
  <c r="S114" i="7"/>
  <c r="AC86" i="7"/>
  <c r="AA86" i="7"/>
  <c r="AA92" i="7" s="1"/>
  <c r="AH83" i="7"/>
  <c r="N68" i="18"/>
  <c r="H286" i="65"/>
  <c r="I286" i="65" s="1"/>
  <c r="Q36" i="8"/>
  <c r="BH214" i="5"/>
  <c r="J107" i="15"/>
  <c r="BQ189" i="5"/>
  <c r="BH75" i="5"/>
  <c r="BH77" i="5" s="1"/>
  <c r="BP207" i="5"/>
  <c r="E123" i="6"/>
  <c r="I54" i="7"/>
  <c r="R143" i="10" s="1"/>
  <c r="AC13" i="3"/>
  <c r="AG60" i="3"/>
  <c r="AG61" i="3"/>
  <c r="F77" i="18"/>
  <c r="F85" i="18" s="1"/>
  <c r="M61" i="6"/>
  <c r="AG62" i="9"/>
  <c r="D86" i="20"/>
  <c r="D84" i="20"/>
  <c r="BE15" i="3"/>
  <c r="BF15" i="3" s="1"/>
  <c r="J15" i="3"/>
  <c r="AG21" i="3"/>
  <c r="AW21" i="3"/>
  <c r="AW20" i="3"/>
  <c r="AG20" i="3"/>
  <c r="BA44" i="3"/>
  <c r="AK20" i="3"/>
  <c r="AK21" i="3"/>
  <c r="C168" i="7"/>
  <c r="U81" i="3"/>
  <c r="U80" i="3"/>
  <c r="BA45" i="3"/>
  <c r="S73" i="3"/>
  <c r="AS21" i="3"/>
  <c r="AK60" i="3"/>
  <c r="Q80" i="3"/>
  <c r="AK61" i="3"/>
  <c r="Q81" i="3"/>
  <c r="S81" i="3"/>
  <c r="AI60" i="3"/>
  <c r="AM60" i="3"/>
  <c r="AI61" i="3"/>
  <c r="AM61" i="3"/>
  <c r="S80" i="3"/>
  <c r="BP21" i="3"/>
  <c r="BV21" i="3"/>
  <c r="BR21" i="3"/>
  <c r="BP25" i="3"/>
  <c r="AS20" i="3"/>
  <c r="BL21" i="3"/>
  <c r="BN21" i="3"/>
  <c r="BT21" i="3"/>
  <c r="AA20" i="3"/>
  <c r="S61" i="3"/>
  <c r="U20" i="3"/>
  <c r="Y61" i="3"/>
  <c r="AA61" i="3"/>
  <c r="Q41" i="3"/>
  <c r="AC40" i="3"/>
  <c r="AG41" i="3"/>
  <c r="AI20" i="3"/>
  <c r="AA21" i="3"/>
  <c r="AE40" i="3"/>
  <c r="AK81" i="3"/>
  <c r="S40" i="3"/>
  <c r="W41" i="3"/>
  <c r="AA60" i="3"/>
  <c r="AC80" i="3"/>
  <c r="AA40" i="3"/>
  <c r="Q20" i="3"/>
  <c r="AC60" i="3"/>
  <c r="W81" i="3"/>
  <c r="AE20" i="3"/>
  <c r="AM21" i="3"/>
  <c r="AM40" i="3"/>
  <c r="AM41" i="3"/>
  <c r="AA41" i="3"/>
  <c r="AG81" i="3"/>
  <c r="Y40" i="3"/>
  <c r="Q102" i="3"/>
  <c r="U102" i="3"/>
  <c r="Y81" i="3"/>
  <c r="AC21" i="3"/>
  <c r="AE81" i="3"/>
  <c r="AK80" i="3"/>
  <c r="Q60" i="3"/>
  <c r="AC81" i="3"/>
  <c r="S101" i="3"/>
  <c r="U40" i="3"/>
  <c r="U41" i="3"/>
  <c r="AQ44" i="3"/>
  <c r="AQ45" i="3"/>
  <c r="AU21" i="3"/>
  <c r="AM81" i="3"/>
  <c r="AU45" i="3"/>
  <c r="BA21" i="3"/>
  <c r="AC20" i="3"/>
  <c r="W20" i="3"/>
  <c r="AE41" i="3"/>
  <c r="Q101" i="3"/>
  <c r="AC41" i="3"/>
  <c r="U60" i="3"/>
  <c r="W61" i="3"/>
  <c r="U61" i="3"/>
  <c r="S60" i="3"/>
  <c r="U21" i="3"/>
  <c r="Y20" i="3"/>
  <c r="AE21" i="3"/>
  <c r="Q61" i="3"/>
  <c r="W80" i="3"/>
  <c r="AM20" i="3"/>
  <c r="AG40" i="3"/>
  <c r="AS45" i="3"/>
  <c r="W21" i="3"/>
  <c r="Y60" i="3"/>
  <c r="S102" i="3"/>
  <c r="W60" i="3"/>
  <c r="Y21" i="3"/>
  <c r="Y80" i="3"/>
  <c r="Y41" i="3"/>
  <c r="S41" i="3"/>
  <c r="AE80" i="3"/>
  <c r="AI21" i="3"/>
  <c r="U101" i="3"/>
  <c r="Q40" i="3"/>
  <c r="W40" i="3"/>
  <c r="AG80" i="3"/>
  <c r="AC61" i="3"/>
  <c r="AI40" i="3"/>
  <c r="AS44" i="3"/>
  <c r="Q21" i="3"/>
  <c r="AI41" i="3"/>
  <c r="S21" i="3"/>
  <c r="S20" i="3"/>
  <c r="AW44" i="3"/>
  <c r="AW45" i="3"/>
  <c r="AU44" i="3"/>
  <c r="BA20" i="3"/>
  <c r="AU20" i="3"/>
  <c r="AM80" i="3"/>
  <c r="AQ21" i="3"/>
  <c r="AQ20" i="3"/>
  <c r="S94" i="3"/>
  <c r="BA13" i="3"/>
  <c r="K46" i="7"/>
  <c r="I74" i="7"/>
  <c r="AF70" i="10"/>
  <c r="BT16" i="3"/>
  <c r="BN16" i="3"/>
  <c r="BR16" i="3"/>
  <c r="BV17" i="3"/>
  <c r="BL16" i="3"/>
  <c r="BP16" i="3"/>
  <c r="BP17" i="3"/>
  <c r="BV16" i="3"/>
  <c r="BR17" i="3"/>
  <c r="AH87" i="7"/>
  <c r="AH85" i="7"/>
  <c r="AH89" i="7"/>
  <c r="AH86" i="7"/>
  <c r="W110" i="7"/>
  <c r="AH84" i="7"/>
  <c r="AH88" i="7"/>
  <c r="AH91" i="7"/>
  <c r="K15" i="7"/>
  <c r="AR153" i="6"/>
  <c r="AQ37" i="3"/>
  <c r="BN12" i="3"/>
  <c r="BN13" i="3"/>
  <c r="BT13" i="3"/>
  <c r="BT12" i="3"/>
  <c r="BV13" i="3"/>
  <c r="BR12" i="3"/>
  <c r="BV12" i="3"/>
  <c r="BR13" i="3"/>
  <c r="BP13" i="3"/>
  <c r="BL13" i="3"/>
  <c r="BP12" i="3"/>
  <c r="BL12" i="3"/>
  <c r="AF83" i="7" l="1"/>
  <c r="J16" i="3"/>
  <c r="H28" i="17"/>
  <c r="H32" i="17" s="1"/>
  <c r="H34" i="17" s="1"/>
  <c r="H42" i="17" s="1"/>
  <c r="P130" i="6" s="1"/>
  <c r="P132" i="6" s="1"/>
  <c r="H14" i="36"/>
  <c r="H20" i="36" s="1"/>
  <c r="I111" i="6"/>
  <c r="R97" i="6"/>
  <c r="D16" i="17"/>
  <c r="D25" i="17" s="1"/>
  <c r="C20" i="7"/>
  <c r="C28" i="7" s="1"/>
  <c r="AL37" i="10"/>
  <c r="AL39" i="10" s="1"/>
  <c r="AL60" i="10" s="1"/>
  <c r="I19" i="7"/>
  <c r="K19" i="7" s="1"/>
  <c r="K20" i="7" s="1"/>
  <c r="K28" i="7" s="1"/>
  <c r="T37" i="10"/>
  <c r="AO37" i="10" s="1"/>
  <c r="C153" i="7"/>
  <c r="C154" i="7" s="1"/>
  <c r="D26" i="36"/>
  <c r="D28" i="36" s="1"/>
  <c r="D36" i="36" s="1"/>
  <c r="D53" i="36" s="1"/>
  <c r="D28" i="17"/>
  <c r="H23" i="36"/>
  <c r="H26" i="36" s="1"/>
  <c r="H28" i="36" s="1"/>
  <c r="H36" i="36" s="1"/>
  <c r="E750" i="65"/>
  <c r="F25" i="17"/>
  <c r="BP180" i="4"/>
  <c r="BP182" i="4" s="1"/>
  <c r="BP216" i="5"/>
  <c r="BP218" i="5" s="1"/>
  <c r="P85" i="20"/>
  <c r="W125" i="7"/>
  <c r="BR25" i="3"/>
  <c r="BV25" i="3"/>
  <c r="AA101" i="7"/>
  <c r="AA105" i="7" s="1"/>
  <c r="L92" i="18"/>
  <c r="U125" i="7"/>
  <c r="S107" i="7"/>
  <c r="BT25" i="3"/>
  <c r="L107" i="15"/>
  <c r="M23" i="3"/>
  <c r="BN25" i="3"/>
  <c r="L23" i="3"/>
  <c r="AR167" i="6"/>
  <c r="BQ207" i="5"/>
  <c r="AC105" i="7"/>
  <c r="AC92" i="7"/>
  <c r="AC110" i="7" s="1"/>
  <c r="F87" i="18"/>
  <c r="F91" i="18" s="1"/>
  <c r="H290" i="65"/>
  <c r="I290" i="65" s="1"/>
  <c r="BP75" i="5"/>
  <c r="BP77" i="5" s="1"/>
  <c r="BP209" i="5"/>
  <c r="BP211" i="5" s="1"/>
  <c r="BP214" i="5"/>
  <c r="I123" i="6"/>
  <c r="AR151" i="6"/>
  <c r="E61" i="6"/>
  <c r="F93" i="18"/>
  <c r="L15" i="3"/>
  <c r="M31" i="3"/>
  <c r="BT17" i="3" s="1"/>
  <c r="M15" i="3"/>
  <c r="M94" i="6"/>
  <c r="P86" i="20"/>
  <c r="AF91" i="7"/>
  <c r="AF84" i="7"/>
  <c r="AF88" i="7"/>
  <c r="AH92" i="7"/>
  <c r="AF87" i="7"/>
  <c r="AF85" i="7"/>
  <c r="AF86" i="7"/>
  <c r="AF89" i="7"/>
  <c r="K16" i="17" l="1"/>
  <c r="K25" i="17" s="1"/>
  <c r="AN158" i="6"/>
  <c r="H46" i="16"/>
  <c r="AL70" i="10"/>
  <c r="I20" i="7"/>
  <c r="I28" i="7" s="1"/>
  <c r="I48" i="7" s="1"/>
  <c r="I56" i="7" s="1"/>
  <c r="S116" i="7" s="1"/>
  <c r="T39" i="10"/>
  <c r="T60" i="10" s="1"/>
  <c r="T70" i="10" s="1"/>
  <c r="J24" i="3"/>
  <c r="AY41" i="3"/>
  <c r="AY40" i="3"/>
  <c r="AY49" i="3"/>
  <c r="AY50" i="3"/>
  <c r="D36" i="35"/>
  <c r="D37" i="35" s="1"/>
  <c r="K28" i="17"/>
  <c r="K32" i="17" s="1"/>
  <c r="D32" i="17"/>
  <c r="D34" i="17" s="1"/>
  <c r="J37" i="36"/>
  <c r="H36" i="35"/>
  <c r="H37" i="35" s="1"/>
  <c r="F32" i="17"/>
  <c r="F34" i="17" s="1"/>
  <c r="E770" i="65"/>
  <c r="S16" i="3"/>
  <c r="AI77" i="3"/>
  <c r="AI76" i="3"/>
  <c r="AI85" i="3"/>
  <c r="AI84" i="3"/>
  <c r="AY16" i="3"/>
  <c r="AY17" i="3"/>
  <c r="AY24" i="3"/>
  <c r="AY25" i="3"/>
  <c r="AA76" i="3"/>
  <c r="AA77" i="3"/>
  <c r="AA84" i="3"/>
  <c r="AA85" i="3"/>
  <c r="AR165" i="6"/>
  <c r="AD171" i="6"/>
  <c r="AK36" i="3"/>
  <c r="AK37" i="3"/>
  <c r="AG64" i="3"/>
  <c r="AK44" i="3"/>
  <c r="AK45" i="3"/>
  <c r="S105" i="3"/>
  <c r="AU24" i="3"/>
  <c r="AG45" i="3"/>
  <c r="Q85" i="3"/>
  <c r="AQ25" i="3"/>
  <c r="S84" i="3"/>
  <c r="Q64" i="3"/>
  <c r="W44" i="3"/>
  <c r="AC25" i="3"/>
  <c r="AK25" i="3"/>
  <c r="Y65" i="3"/>
  <c r="S65" i="3"/>
  <c r="AA24" i="3"/>
  <c r="AM45" i="3"/>
  <c r="Y45" i="3"/>
  <c r="AK24" i="3"/>
  <c r="AM65" i="3"/>
  <c r="AC85" i="3"/>
  <c r="AM85" i="3"/>
  <c r="AU50" i="3"/>
  <c r="W65" i="3"/>
  <c r="AS24" i="3"/>
  <c r="BA24" i="3"/>
  <c r="AW25" i="3"/>
  <c r="AQ50" i="3"/>
  <c r="AE45" i="3"/>
  <c r="AU49" i="3"/>
  <c r="AQ24" i="3"/>
  <c r="W24" i="3"/>
  <c r="AG25" i="3"/>
  <c r="S85" i="3"/>
  <c r="AK64" i="3"/>
  <c r="AA25" i="3"/>
  <c r="Q65" i="3"/>
  <c r="AQ49" i="3"/>
  <c r="U65" i="3"/>
  <c r="W85" i="3"/>
  <c r="AE25" i="3"/>
  <c r="AM84" i="3"/>
  <c r="AK85" i="3"/>
  <c r="AC84" i="3"/>
  <c r="Y84" i="3"/>
  <c r="Q44" i="3"/>
  <c r="AI65" i="3"/>
  <c r="U106" i="3"/>
  <c r="AI45" i="3"/>
  <c r="Q45" i="3"/>
  <c r="Q105" i="3"/>
  <c r="AS50" i="3"/>
  <c r="AC24" i="3"/>
  <c r="U84" i="3"/>
  <c r="U25" i="3"/>
  <c r="Y44" i="3"/>
  <c r="U105" i="3"/>
  <c r="Y24" i="3"/>
  <c r="Y25" i="3"/>
  <c r="AW50" i="3"/>
  <c r="AG44" i="3"/>
  <c r="AW49" i="3"/>
  <c r="AW24" i="3"/>
  <c r="Q84" i="3"/>
  <c r="U85" i="3"/>
  <c r="S64" i="3"/>
  <c r="AE85" i="3"/>
  <c r="S45" i="3"/>
  <c r="Q106" i="3"/>
  <c r="AG85" i="3"/>
  <c r="S24" i="3"/>
  <c r="U24" i="3"/>
  <c r="U45" i="3"/>
  <c r="AC44" i="3"/>
  <c r="AM64" i="3"/>
  <c r="W64" i="3"/>
  <c r="AU25" i="3"/>
  <c r="AI25" i="3"/>
  <c r="S44" i="3"/>
  <c r="BA25" i="3"/>
  <c r="AE24" i="3"/>
  <c r="AM24" i="3"/>
  <c r="AA45" i="3"/>
  <c r="Q25" i="3"/>
  <c r="AG24" i="3"/>
  <c r="BA49" i="3"/>
  <c r="AI64" i="3"/>
  <c r="BA50" i="3"/>
  <c r="AS25" i="3"/>
  <c r="AC65" i="3"/>
  <c r="W45" i="3"/>
  <c r="Y85" i="3"/>
  <c r="AE84" i="3"/>
  <c r="S106" i="3"/>
  <c r="U64" i="3"/>
  <c r="AE44" i="3"/>
  <c r="Q24" i="3"/>
  <c r="AK84" i="3"/>
  <c r="AA64" i="3"/>
  <c r="AK65" i="3"/>
  <c r="AI44" i="3"/>
  <c r="W84" i="3"/>
  <c r="AM25" i="3"/>
  <c r="Y64" i="3"/>
  <c r="AA44" i="3"/>
  <c r="AG84" i="3"/>
  <c r="S25" i="3"/>
  <c r="AA65" i="3"/>
  <c r="AS49" i="3"/>
  <c r="AM44" i="3"/>
  <c r="U44" i="3"/>
  <c r="AC64" i="3"/>
  <c r="W25" i="3"/>
  <c r="AI24" i="3"/>
  <c r="AC45" i="3"/>
  <c r="AG65" i="3"/>
  <c r="S110" i="7"/>
  <c r="AA107" i="7"/>
  <c r="AA110" i="7" s="1"/>
  <c r="W121" i="7" s="1"/>
  <c r="AG57" i="3"/>
  <c r="AG56" i="3"/>
  <c r="BN17" i="3"/>
  <c r="BL17" i="3"/>
  <c r="I61" i="6"/>
  <c r="AG17" i="3"/>
  <c r="AG16" i="3"/>
  <c r="AK16" i="3"/>
  <c r="U76" i="3"/>
  <c r="BA41" i="3"/>
  <c r="AK56" i="3"/>
  <c r="AK57" i="3"/>
  <c r="S77" i="3"/>
  <c r="AM56" i="3"/>
  <c r="AM57" i="3"/>
  <c r="AS16" i="3"/>
  <c r="AQ41" i="3"/>
  <c r="AM77" i="3"/>
  <c r="AU40" i="3"/>
  <c r="Q36" i="3"/>
  <c r="U57" i="3"/>
  <c r="AG77" i="3"/>
  <c r="AC36" i="3"/>
  <c r="W16" i="3"/>
  <c r="AM76" i="3"/>
  <c r="W37" i="3"/>
  <c r="U56" i="3"/>
  <c r="AM36" i="3"/>
  <c r="AC56" i="3"/>
  <c r="AQ16" i="3"/>
  <c r="Q57" i="3"/>
  <c r="U98" i="3"/>
  <c r="W56" i="3"/>
  <c r="AE17" i="3"/>
  <c r="AE16" i="3"/>
  <c r="Q37" i="3"/>
  <c r="AA17" i="3"/>
  <c r="AU17" i="3"/>
  <c r="AA16" i="3"/>
  <c r="U36" i="3"/>
  <c r="AC77" i="3"/>
  <c r="W17" i="3"/>
  <c r="Y37" i="3"/>
  <c r="AM16" i="3"/>
  <c r="Q97" i="3"/>
  <c r="AM17" i="3"/>
  <c r="Q98" i="3"/>
  <c r="AI37" i="3"/>
  <c r="S56" i="3"/>
  <c r="AA56" i="3"/>
  <c r="AA37" i="3"/>
  <c r="AE76" i="3"/>
  <c r="AI36" i="3"/>
  <c r="S57" i="3"/>
  <c r="AA57" i="3"/>
  <c r="AA36" i="3"/>
  <c r="AE77" i="3"/>
  <c r="AC16" i="3"/>
  <c r="AW41" i="3"/>
  <c r="AC17" i="3"/>
  <c r="AW40" i="3"/>
  <c r="AW16" i="3"/>
  <c r="AW17" i="3"/>
  <c r="AK17" i="3"/>
  <c r="U77" i="3"/>
  <c r="BA40" i="3"/>
  <c r="Q76" i="3"/>
  <c r="Q77" i="3"/>
  <c r="AI56" i="3"/>
  <c r="AI57" i="3"/>
  <c r="S76" i="3"/>
  <c r="AS17" i="3"/>
  <c r="AC37" i="3"/>
  <c r="Y17" i="3"/>
  <c r="U37" i="3"/>
  <c r="U17" i="3"/>
  <c r="Y36" i="3"/>
  <c r="W57" i="3"/>
  <c r="AQ40" i="3"/>
  <c r="Q16" i="3"/>
  <c r="Y76" i="3"/>
  <c r="AG76" i="3"/>
  <c r="W36" i="3"/>
  <c r="AM37" i="3"/>
  <c r="AS40" i="3"/>
  <c r="Y56" i="3"/>
  <c r="AC57" i="3"/>
  <c r="AU16" i="3"/>
  <c r="U16" i="3"/>
  <c r="AC76" i="3"/>
  <c r="Q56" i="3"/>
  <c r="AQ17" i="3"/>
  <c r="U97" i="3"/>
  <c r="Y77" i="3"/>
  <c r="AU41" i="3"/>
  <c r="Y57" i="3"/>
  <c r="Y16" i="3"/>
  <c r="BA16" i="3"/>
  <c r="AS41" i="3"/>
  <c r="AG36" i="3"/>
  <c r="AG37" i="3"/>
  <c r="W76" i="3"/>
  <c r="AI16" i="3"/>
  <c r="AE36" i="3"/>
  <c r="AK76" i="3"/>
  <c r="S98" i="3"/>
  <c r="W77" i="3"/>
  <c r="AI17" i="3"/>
  <c r="AE37" i="3"/>
  <c r="AK77" i="3"/>
  <c r="S97" i="3"/>
  <c r="S37" i="3"/>
  <c r="S17" i="3"/>
  <c r="S36" i="3"/>
  <c r="Q17" i="3"/>
  <c r="BA17" i="3"/>
  <c r="AF92" i="7"/>
  <c r="I60" i="7" l="1"/>
  <c r="I61" i="7" s="1"/>
  <c r="R85" i="10"/>
  <c r="R140" i="10" s="1"/>
  <c r="R144" i="10" s="1"/>
  <c r="K48" i="7"/>
  <c r="Q121" i="7" s="1"/>
  <c r="E139" i="6"/>
  <c r="K34" i="17"/>
  <c r="K42" i="17" s="1"/>
  <c r="D42" i="17"/>
  <c r="D46" i="16" s="1"/>
  <c r="D47" i="16" s="1"/>
  <c r="F42" i="17"/>
  <c r="F46" i="16" s="1"/>
  <c r="F47" i="16" s="1"/>
  <c r="S124" i="7"/>
  <c r="S125" i="7" s="1"/>
  <c r="S118" i="7"/>
  <c r="J387" i="5"/>
  <c r="M387" i="5" l="1"/>
  <c r="AC370" i="5" l="1"/>
  <c r="AC376" i="5" l="1"/>
  <c r="BF370" i="5"/>
  <c r="BG370" i="5" l="1"/>
  <c r="CA370" i="5" s="1"/>
  <c r="S34" i="70" s="1"/>
  <c r="U34" i="70" s="1"/>
  <c r="AC386" i="5"/>
  <c r="AC387" i="5" s="1"/>
  <c r="AC191" i="5"/>
  <c r="AD379" i="5"/>
  <c r="AC207" i="5" l="1"/>
  <c r="AC218" i="5" s="1"/>
  <c r="AY78" i="19"/>
  <c r="AY85" i="19" s="1"/>
  <c r="AY87" i="19" s="1"/>
  <c r="AY89" i="19" s="1"/>
  <c r="AD382" i="5"/>
  <c r="AH355" i="5"/>
  <c r="AC209" i="5" l="1"/>
  <c r="AC211" i="5" s="1"/>
  <c r="AH361" i="5"/>
  <c r="AH386" i="5" s="1"/>
  <c r="AH387" i="5" s="1"/>
  <c r="AC75" i="5"/>
  <c r="AC77" i="5" s="1"/>
  <c r="AC214" i="5"/>
  <c r="AY91" i="19"/>
  <c r="AD386" i="5"/>
  <c r="AD387" i="5" s="1"/>
  <c r="AD192" i="5"/>
  <c r="AG355" i="5"/>
  <c r="BF355" i="5" s="1"/>
  <c r="BG355" i="5" s="1"/>
  <c r="CA355" i="5" l="1"/>
  <c r="S20" i="70" s="1"/>
  <c r="U20" i="70" s="1"/>
  <c r="AH189" i="5"/>
  <c r="AD207" i="5"/>
  <c r="BA79" i="19"/>
  <c r="BA85" i="19" s="1"/>
  <c r="BA87" i="19" s="1"/>
  <c r="BA89" i="19" s="1"/>
  <c r="AG361" i="5"/>
  <c r="AG189" i="5" s="1"/>
  <c r="BJ76" i="19" s="1"/>
  <c r="AD209" i="5" l="1"/>
  <c r="AD211" i="5" s="1"/>
  <c r="BL76" i="19"/>
  <c r="BL85" i="19" s="1"/>
  <c r="BL87" i="19" s="1"/>
  <c r="BL89" i="19" s="1"/>
  <c r="AH207" i="5"/>
  <c r="AH209" i="5" s="1"/>
  <c r="AH211" i="5" s="1"/>
  <c r="AD75" i="5"/>
  <c r="AD77" i="5" s="1"/>
  <c r="AD218" i="5"/>
  <c r="BJ85" i="19"/>
  <c r="BJ87" i="19" s="1"/>
  <c r="BJ89" i="19" s="1"/>
  <c r="BA91" i="19"/>
  <c r="AG386" i="5"/>
  <c r="AG387" i="5" s="1"/>
  <c r="AG207" i="5"/>
  <c r="AG214" i="5" l="1"/>
  <c r="AG209" i="5"/>
  <c r="AG211" i="5" s="1"/>
  <c r="BL91" i="19"/>
  <c r="AH218" i="5"/>
  <c r="AH75" i="5"/>
  <c r="AH77" i="5" s="1"/>
  <c r="AH214" i="5"/>
  <c r="BJ91" i="19"/>
  <c r="AG218" i="5"/>
  <c r="AG75" i="5"/>
  <c r="AG77" i="5" s="1"/>
  <c r="AI354" i="5"/>
  <c r="BF354" i="5" l="1"/>
  <c r="BG354" i="5" s="1"/>
  <c r="AI361" i="5"/>
  <c r="AI189" i="5" s="1"/>
  <c r="BN76" i="19" s="1"/>
  <c r="BN85" i="19" l="1"/>
  <c r="BN87" i="19" s="1"/>
  <c r="BN89" i="19" s="1"/>
  <c r="AI207" i="5"/>
  <c r="AI386" i="5"/>
  <c r="AI387" i="5" s="1"/>
  <c r="BD344" i="5"/>
  <c r="BF344" i="5" s="1"/>
  <c r="BG344" i="5" s="1"/>
  <c r="CA354" i="5" l="1"/>
  <c r="AI218" i="5"/>
  <c r="AI209" i="5"/>
  <c r="AI211" i="5" s="1"/>
  <c r="AI214" i="5"/>
  <c r="BN91" i="19"/>
  <c r="I401" i="5"/>
  <c r="AI75" i="5"/>
  <c r="AI77" i="5" s="1"/>
  <c r="BD346" i="5"/>
  <c r="D19" i="8" l="1"/>
  <c r="D23" i="8" s="1"/>
  <c r="D44" i="8" s="1"/>
  <c r="E118" i="6" s="1"/>
  <c r="S19" i="70"/>
  <c r="U19" i="70" s="1"/>
  <c r="CA344" i="5"/>
  <c r="BF346" i="5"/>
  <c r="BD188" i="5"/>
  <c r="BD386" i="5"/>
  <c r="BD387" i="5" s="1"/>
  <c r="S10" i="70" l="1"/>
  <c r="S18" i="8"/>
  <c r="BF188" i="5"/>
  <c r="BD207" i="5"/>
  <c r="BD75" i="5" s="1"/>
  <c r="K18" i="8"/>
  <c r="Q18" i="8" s="1"/>
  <c r="I118" i="6"/>
  <c r="DP75" i="19"/>
  <c r="BG346" i="5"/>
  <c r="Z382" i="5"/>
  <c r="Z192" i="5" s="1"/>
  <c r="BG188" i="5" l="1"/>
  <c r="CA188" i="5" s="1"/>
  <c r="R111" i="9" s="1"/>
  <c r="U10" i="70"/>
  <c r="S11" i="70"/>
  <c r="U11" i="70" s="1"/>
  <c r="BD209" i="5"/>
  <c r="BD211" i="5" s="1"/>
  <c r="B35" i="66"/>
  <c r="B36" i="66" s="1"/>
  <c r="BD218" i="5"/>
  <c r="AR79" i="19"/>
  <c r="BD214" i="5"/>
  <c r="Z366" i="5"/>
  <c r="Z376" i="5" s="1"/>
  <c r="Z386" i="5" s="1"/>
  <c r="Z387" i="5" s="1"/>
  <c r="BD77" i="5"/>
  <c r="CA346" i="5"/>
  <c r="DP85" i="19"/>
  <c r="DP87" i="19" s="1"/>
  <c r="DP89" i="19" s="1"/>
  <c r="DZ75" i="19"/>
  <c r="T111" i="9" l="1"/>
  <c r="H37" i="66"/>
  <c r="R35" i="66" s="1"/>
  <c r="K23" i="8"/>
  <c r="K44" i="8" s="1"/>
  <c r="E125" i="6" s="1"/>
  <c r="I125" i="6" s="1"/>
  <c r="Z191" i="5"/>
  <c r="Z207" i="5" s="1"/>
  <c r="DP91" i="19"/>
  <c r="L23" i="8"/>
  <c r="L44" i="8" s="1"/>
  <c r="D76" i="18"/>
  <c r="L76" i="18" s="1"/>
  <c r="Y376" i="5"/>
  <c r="Y380" i="5" s="1"/>
  <c r="E126" i="6" l="1"/>
  <c r="I126" i="6" s="1"/>
  <c r="Z75" i="5"/>
  <c r="Z77" i="5" s="1"/>
  <c r="Z209" i="5"/>
  <c r="Z211" i="5" s="1"/>
  <c r="AR78" i="19"/>
  <c r="AR85" i="19" s="1"/>
  <c r="AR87" i="19" s="1"/>
  <c r="AR89" i="19" s="1"/>
  <c r="Z218" i="5"/>
  <c r="Z214" i="5"/>
  <c r="M123" i="6"/>
  <c r="AG111" i="9"/>
  <c r="Y382" i="5"/>
  <c r="Y386" i="5" s="1"/>
  <c r="Y387" i="5" s="1"/>
  <c r="Y191" i="5"/>
  <c r="AP78" i="19" s="1"/>
  <c r="AR91" i="19" l="1"/>
  <c r="R123" i="6"/>
  <c r="Y192" i="5"/>
  <c r="AP79" i="19" s="1"/>
  <c r="AP85" i="19" l="1"/>
  <c r="AP87" i="19" s="1"/>
  <c r="AP89" i="19" s="1"/>
  <c r="Y207" i="5"/>
  <c r="Y209" i="5" s="1"/>
  <c r="Y211" i="5" s="1"/>
  <c r="AP91" i="19" l="1"/>
  <c r="Y214" i="5"/>
  <c r="Y75" i="5"/>
  <c r="Y77" i="5" s="1"/>
  <c r="Y218" i="5"/>
  <c r="AA382" i="5"/>
  <c r="AA364" i="5" s="1"/>
  <c r="BF364" i="5" s="1"/>
  <c r="BG364" i="5" l="1"/>
  <c r="CA364" i="5" s="1"/>
  <c r="S28" i="70" s="1"/>
  <c r="U28" i="70" s="1"/>
  <c r="AA192" i="5"/>
  <c r="AU79" i="19" s="1"/>
  <c r="AA376" i="5"/>
  <c r="AA386" i="5" l="1"/>
  <c r="AA387" i="5" s="1"/>
  <c r="AA191" i="5"/>
  <c r="AU78" i="19" s="1"/>
  <c r="AU85" i="19" l="1"/>
  <c r="AU87" i="19" s="1"/>
  <c r="AU89" i="19" s="1"/>
  <c r="AA207" i="5"/>
  <c r="AA209" i="5" s="1"/>
  <c r="AA211" i="5" s="1"/>
  <c r="AU91" i="19" l="1"/>
  <c r="AA214" i="5"/>
  <c r="AA75" i="5"/>
  <c r="AA77" i="5" s="1"/>
  <c r="AA218" i="5"/>
  <c r="AF382" i="5"/>
  <c r="AF192" i="5" s="1"/>
  <c r="BH79" i="19" s="1"/>
  <c r="BF380" i="5"/>
  <c r="BG380" i="5" s="1"/>
  <c r="CA380" i="5" l="1"/>
  <c r="S42" i="70" s="1"/>
  <c r="U42" i="70" s="1"/>
  <c r="AF366" i="5"/>
  <c r="AF376" i="5" s="1"/>
  <c r="AF191" i="5" s="1"/>
  <c r="AF207" i="5" l="1"/>
  <c r="BH78" i="19"/>
  <c r="BH85" i="19" s="1"/>
  <c r="BH87" i="19" s="1"/>
  <c r="BH89" i="19" s="1"/>
  <c r="AF386" i="5"/>
  <c r="AF387" i="5" s="1"/>
  <c r="AF75" i="5" l="1"/>
  <c r="AF77" i="5" s="1"/>
  <c r="AF209" i="5"/>
  <c r="AF211" i="5" s="1"/>
  <c r="AF218" i="5"/>
  <c r="AF214" i="5"/>
  <c r="BH91" i="19"/>
  <c r="BF379" i="5" l="1"/>
  <c r="BG379" i="5" s="1"/>
  <c r="CA379" i="5" l="1"/>
  <c r="S41" i="70" s="1"/>
  <c r="S43" i="70" s="1"/>
  <c r="BF382" i="5"/>
  <c r="BF367" i="5"/>
  <c r="BG367" i="5" s="1"/>
  <c r="BF192" i="5" l="1"/>
  <c r="DZ79" i="19"/>
  <c r="D80" i="18" s="1"/>
  <c r="L80" i="18" s="1"/>
  <c r="BG382" i="5"/>
  <c r="CA382" i="5"/>
  <c r="BG192" i="5" l="1"/>
  <c r="CA192" i="5" s="1"/>
  <c r="R115" i="9" s="1"/>
  <c r="AP376" i="5" l="1"/>
  <c r="AP191" i="5" l="1"/>
  <c r="CH78" i="19" s="1"/>
  <c r="AP352" i="5"/>
  <c r="BF352" i="5" s="1"/>
  <c r="BG352" i="5" s="1"/>
  <c r="CA352" i="5" l="1"/>
  <c r="S17" i="70" s="1"/>
  <c r="U17" i="70" s="1"/>
  <c r="AP361" i="5"/>
  <c r="AP386" i="5" s="1"/>
  <c r="AP387" i="5" s="1"/>
  <c r="AP189" i="5" l="1"/>
  <c r="CH76" i="19" s="1"/>
  <c r="CH85" i="19" s="1"/>
  <c r="AP207" i="5" l="1"/>
  <c r="CH87" i="19"/>
  <c r="CH89" i="19" s="1"/>
  <c r="CH91" i="19"/>
  <c r="C23" i="8"/>
  <c r="C44" i="8" s="1"/>
  <c r="AP209" i="5" l="1"/>
  <c r="AP211" i="5" s="1"/>
  <c r="AP214" i="5"/>
  <c r="AP75" i="5"/>
  <c r="AP77" i="5" s="1"/>
  <c r="AP218" i="5"/>
  <c r="E117" i="6"/>
  <c r="I117" i="6" s="1"/>
  <c r="G23" i="8"/>
  <c r="G44" i="8" s="1"/>
  <c r="E121" i="6" s="1"/>
  <c r="I121" i="6" s="1"/>
  <c r="D382" i="5" l="1"/>
  <c r="C41" i="70" l="1"/>
  <c r="D192" i="5"/>
  <c r="E27" i="65" s="1"/>
  <c r="C45" i="70" l="1"/>
  <c r="D193" i="5"/>
  <c r="D207" i="5" s="1"/>
  <c r="D209" i="5" s="1"/>
  <c r="D211" i="5" s="1"/>
  <c r="C43" i="70"/>
  <c r="U41" i="70"/>
  <c r="U43" i="70" s="1"/>
  <c r="D386" i="5"/>
  <c r="D387" i="5" s="1"/>
  <c r="D115" i="9"/>
  <c r="C47" i="70" l="1"/>
  <c r="D218" i="5"/>
  <c r="D116" i="9"/>
  <c r="M7" i="8" s="1"/>
  <c r="E28" i="65"/>
  <c r="G28" i="65" s="1"/>
  <c r="D214" i="5"/>
  <c r="D75" i="5"/>
  <c r="D77" i="5" s="1"/>
  <c r="T115" i="9"/>
  <c r="Q7" i="8" l="1"/>
  <c r="D121" i="9"/>
  <c r="D123" i="9" s="1"/>
  <c r="D185" i="9"/>
  <c r="AG115" i="9"/>
  <c r="D183" i="9" l="1"/>
  <c r="H28" i="65"/>
  <c r="I28" i="65" s="1"/>
  <c r="S7" i="8"/>
  <c r="T7" i="8" s="1"/>
  <c r="F91" i="38" l="1"/>
  <c r="EN207" i="5" l="1"/>
  <c r="EN75" i="5" l="1"/>
  <c r="F95" i="38"/>
  <c r="D55" i="39" l="1"/>
  <c r="C132" i="38"/>
  <c r="F97" i="38"/>
  <c r="F130" i="38" s="1"/>
  <c r="C97" i="38"/>
  <c r="C130" i="38" s="1"/>
  <c r="C102" i="38"/>
  <c r="C125" i="38" s="1"/>
  <c r="T361" i="5"/>
  <c r="T366" i="5" s="1"/>
  <c r="BF361" i="5"/>
  <c r="EQ216" i="5" l="1"/>
  <c r="EQ218" i="5" s="1"/>
  <c r="T376" i="5"/>
  <c r="T191" i="5" s="1"/>
  <c r="BF366" i="5"/>
  <c r="BG366" i="5" s="1"/>
  <c r="I420" i="5"/>
  <c r="T189" i="5"/>
  <c r="CA366" i="5" l="1"/>
  <c r="S30" i="70" s="1"/>
  <c r="U30" i="70" s="1"/>
  <c r="BG361" i="5"/>
  <c r="BF376" i="5"/>
  <c r="T386" i="5"/>
  <c r="T387" i="5" s="1"/>
  <c r="T207" i="5"/>
  <c r="T209" i="5" s="1"/>
  <c r="T211" i="5" s="1"/>
  <c r="BF189" i="5"/>
  <c r="BG189" i="5" s="1"/>
  <c r="AG76" i="19"/>
  <c r="AG78" i="19"/>
  <c r="DZ78" i="19" s="1"/>
  <c r="D79" i="18" s="1"/>
  <c r="BF191" i="5"/>
  <c r="E158" i="65" s="1"/>
  <c r="BF386" i="5" l="1"/>
  <c r="BF387" i="5" s="1"/>
  <c r="BG388" i="5" s="1"/>
  <c r="BG191" i="5"/>
  <c r="E157" i="65"/>
  <c r="BF207" i="5"/>
  <c r="DZ76" i="19"/>
  <c r="AG85" i="19"/>
  <c r="AG87" i="19" s="1"/>
  <c r="T214" i="5"/>
  <c r="T75" i="5"/>
  <c r="T77" i="5" s="1"/>
  <c r="T218" i="5"/>
  <c r="BF218" i="5" s="1"/>
  <c r="BG376" i="5"/>
  <c r="BG386" i="5" s="1"/>
  <c r="EC87" i="19" l="1"/>
  <c r="AG89" i="19"/>
  <c r="G159" i="65"/>
  <c r="BF209" i="5"/>
  <c r="BF211" i="5" s="1"/>
  <c r="BG207" i="5"/>
  <c r="BG209" i="5" s="1"/>
  <c r="BG211" i="5" s="1"/>
  <c r="AG91" i="19"/>
  <c r="BF75" i="5"/>
  <c r="BG75" i="5" s="1"/>
  <c r="BF214" i="5"/>
  <c r="J44" i="8"/>
  <c r="DZ85" i="19"/>
  <c r="DZ91" i="19" s="1"/>
  <c r="D77" i="18"/>
  <c r="D85" i="18" s="1"/>
  <c r="H159" i="65" s="1"/>
  <c r="D93" i="18" l="1"/>
  <c r="D87" i="18"/>
  <c r="D91" i="18" s="1"/>
  <c r="DZ87" i="19"/>
  <c r="DZ89" i="19" s="1"/>
  <c r="BF76" i="5"/>
  <c r="BF77" i="5"/>
  <c r="BG77" i="5" s="1"/>
  <c r="E124" i="6"/>
  <c r="I159" i="65" l="1"/>
  <c r="I124" i="6"/>
  <c r="G100" i="34" l="1"/>
  <c r="E21" i="34"/>
  <c r="E100" i="34" s="1"/>
  <c r="I21" i="34"/>
  <c r="I101" i="34" s="1"/>
  <c r="C61" i="34" l="1"/>
  <c r="E101" i="34"/>
  <c r="I61" i="34"/>
  <c r="I65" i="34" s="1"/>
  <c r="I66" i="34" s="1"/>
  <c r="I67" i="34" s="1"/>
  <c r="E61" i="34"/>
  <c r="E65" i="34" s="1"/>
  <c r="E66" i="34" s="1"/>
  <c r="E67" i="34" s="1"/>
  <c r="G68" i="34"/>
  <c r="G67" i="34"/>
  <c r="I100" i="34"/>
  <c r="C101" i="34"/>
  <c r="C65" i="34" l="1"/>
  <c r="C66" i="34" s="1"/>
  <c r="I68" i="34"/>
  <c r="E68" i="34"/>
  <c r="C67" i="34" l="1"/>
  <c r="C68" i="34"/>
  <c r="AC39" i="9"/>
  <c r="E33" i="6"/>
  <c r="AC118" i="9" l="1"/>
  <c r="G80" i="6"/>
  <c r="I80" i="6" s="1"/>
  <c r="E42" i="6"/>
  <c r="I33" i="6"/>
  <c r="I42" i="6" s="1"/>
  <c r="G63" i="6"/>
  <c r="G94" i="6" s="1"/>
  <c r="AC121" i="9" l="1"/>
  <c r="AR158" i="6"/>
  <c r="AV158" i="6" s="1"/>
  <c r="I63" i="6"/>
  <c r="G134" i="6"/>
  <c r="G138" i="6" s="1"/>
  <c r="AN153" i="6"/>
  <c r="AN151" i="6" l="1"/>
  <c r="AV151" i="6" s="1"/>
  <c r="AV153" i="6" s="1"/>
  <c r="AP169" i="6"/>
  <c r="AR159" i="6"/>
  <c r="AT169" i="6" l="1"/>
  <c r="AR157" i="6"/>
  <c r="AR169" i="6"/>
  <c r="BT193" i="5" l="1"/>
  <c r="S45" i="70" l="1"/>
  <c r="F75" i="21"/>
  <c r="N75" i="21" s="1"/>
  <c r="H81" i="18" s="1"/>
  <c r="L81" i="18" s="1"/>
  <c r="BY193" i="5"/>
  <c r="BZ193" i="5" s="1"/>
  <c r="U45" i="70" l="1"/>
  <c r="CA193" i="5"/>
  <c r="R116" i="9" s="1"/>
  <c r="T116" i="9" s="1"/>
  <c r="AG116" i="9" s="1"/>
  <c r="E421" i="65"/>
  <c r="N87" i="18" l="1"/>
  <c r="U79" i="43" l="1"/>
  <c r="CG67" i="4"/>
  <c r="CG71" i="4" s="1"/>
  <c r="CJ61" i="4" l="1"/>
  <c r="CJ67" i="4" s="1"/>
  <c r="CJ71" i="4" s="1"/>
  <c r="CJ177" i="4" s="1"/>
  <c r="CJ178" i="4" s="1"/>
  <c r="CG177" i="4"/>
  <c r="CG178" i="4" s="1"/>
  <c r="CG75" i="4"/>
  <c r="CJ75" i="4" l="1"/>
  <c r="CJ63" i="5"/>
  <c r="CG69" i="5"/>
  <c r="CG73" i="5" s="1"/>
  <c r="CG77" i="5" s="1"/>
  <c r="F57" i="14"/>
  <c r="F69" i="14" l="1"/>
  <c r="F61" i="14"/>
  <c r="F65" i="14" s="1"/>
  <c r="CG213" i="5"/>
  <c r="CG214" i="5" s="1"/>
  <c r="L57" i="14"/>
  <c r="P57" i="30"/>
  <c r="CK63" i="5"/>
  <c r="CJ69" i="5"/>
  <c r="CJ73" i="5" s="1"/>
  <c r="CG180" i="4" l="1"/>
  <c r="CJ180" i="4"/>
  <c r="L69" i="14"/>
  <c r="L61" i="14"/>
  <c r="L65" i="14" s="1"/>
  <c r="J50" i="7"/>
  <c r="P61" i="30"/>
  <c r="CJ213" i="5"/>
  <c r="CJ77" i="5"/>
  <c r="K50" i="7" l="1"/>
  <c r="J54" i="7"/>
  <c r="W112" i="7"/>
  <c r="L123" i="13"/>
  <c r="L124" i="13" s="1"/>
  <c r="J60" i="7"/>
  <c r="EN213" i="5"/>
  <c r="CJ214" i="5"/>
  <c r="CG182" i="4"/>
  <c r="P65" i="30"/>
  <c r="CJ216" i="5"/>
  <c r="CJ182" i="4"/>
  <c r="F123" i="13"/>
  <c r="F124" i="13" s="1"/>
  <c r="CG216" i="5"/>
  <c r="CG218" i="5" s="1"/>
  <c r="AA112" i="7" l="1"/>
  <c r="AA114" i="7" s="1"/>
  <c r="W114" i="7"/>
  <c r="K54" i="7"/>
  <c r="K56" i="7" s="1"/>
  <c r="J56" i="7"/>
  <c r="J61" i="7" s="1"/>
  <c r="CJ218" i="5"/>
  <c r="EN216" i="5"/>
  <c r="O139" i="6" l="1"/>
  <c r="O140" i="6" s="1"/>
  <c r="J59" i="7"/>
  <c r="W116" i="7"/>
  <c r="G139" i="6"/>
  <c r="G140" i="6" s="1"/>
  <c r="I139" i="6"/>
  <c r="AA116" i="7"/>
  <c r="AA118" i="7" s="1"/>
  <c r="S120" i="7" s="1"/>
  <c r="W118" i="7" l="1"/>
  <c r="W120" i="7" s="1"/>
  <c r="DW82" i="4"/>
  <c r="DW117" i="4"/>
  <c r="AO26" i="37" l="1"/>
  <c r="EE117" i="4"/>
  <c r="EE136" i="4" s="1"/>
  <c r="EE173" i="4" s="1"/>
  <c r="DW136" i="4"/>
  <c r="DW173" i="4" s="1"/>
  <c r="AO17" i="37"/>
  <c r="DW112" i="4"/>
  <c r="DX83" i="4"/>
  <c r="DX112" i="4" s="1"/>
  <c r="DX175" i="4" s="1"/>
  <c r="P17" i="16" l="1"/>
  <c r="DW154" i="5"/>
  <c r="DW209" i="5" s="1"/>
  <c r="DW175" i="4"/>
  <c r="EE83" i="4"/>
  <c r="EE112" i="4" s="1"/>
  <c r="EE175" i="4" s="1"/>
  <c r="EN86" i="5"/>
  <c r="DW83" i="5"/>
  <c r="P15" i="6"/>
  <c r="AT26" i="37"/>
  <c r="AO30" i="37"/>
  <c r="H30" i="16"/>
  <c r="M30" i="16" s="1"/>
  <c r="P61" i="6"/>
  <c r="H788" i="65" l="1"/>
  <c r="AO39" i="37"/>
  <c r="EN132" i="5"/>
  <c r="EN209" i="5"/>
  <c r="P94" i="6"/>
  <c r="P134" i="6" s="1"/>
  <c r="R61" i="6"/>
  <c r="R94" i="6" s="1"/>
  <c r="AO16" i="37"/>
  <c r="H18" i="16" s="1"/>
  <c r="M17" i="16"/>
  <c r="R15" i="6"/>
  <c r="AD15" i="6"/>
  <c r="H34" i="16"/>
  <c r="M34" i="16" s="1"/>
  <c r="EN154" i="5"/>
  <c r="EN83" i="5"/>
  <c r="DW81" i="5"/>
  <c r="EN81" i="5" s="1"/>
  <c r="DW114" i="5"/>
  <c r="DW211" i="5" s="1"/>
  <c r="DW82" i="5"/>
  <c r="AR17" i="37" l="1"/>
  <c r="H16" i="16"/>
  <c r="J16" i="16" s="1"/>
  <c r="H19" i="16"/>
  <c r="J18" i="16" s="1"/>
  <c r="H20" i="16"/>
  <c r="AO49" i="37"/>
  <c r="EN82" i="5"/>
  <c r="EN84" i="5"/>
  <c r="EN85" i="5"/>
  <c r="P14" i="6"/>
  <c r="AO23" i="37"/>
  <c r="AO42" i="37" s="1"/>
  <c r="E788" i="65"/>
  <c r="G788" i="65" s="1"/>
  <c r="I788" i="65" s="1"/>
  <c r="C11" i="67"/>
  <c r="V45" i="6"/>
  <c r="T15" i="6"/>
  <c r="M16" i="16" l="1"/>
  <c r="K16" i="16"/>
  <c r="E778" i="65"/>
  <c r="G785" i="65" s="1"/>
  <c r="P22" i="16"/>
  <c r="P23" i="16" s="1"/>
  <c r="H21" i="16"/>
  <c r="K21" i="16" s="1"/>
  <c r="EN114" i="5"/>
  <c r="P13" i="6"/>
  <c r="AD14" i="6"/>
  <c r="R14" i="6"/>
  <c r="P42" i="6"/>
  <c r="P138" i="6" s="1"/>
  <c r="Z15" i="6"/>
  <c r="AC15" i="6"/>
  <c r="AE15" i="6" s="1"/>
  <c r="H785" i="65"/>
  <c r="H27" i="16" l="1"/>
  <c r="M27" i="16" s="1"/>
  <c r="K22" i="16"/>
  <c r="I785" i="65"/>
  <c r="T14" i="6"/>
  <c r="R42" i="6"/>
  <c r="R13" i="6"/>
  <c r="T13" i="6" s="1"/>
  <c r="S27" i="16"/>
  <c r="N16" i="16"/>
  <c r="H43" i="16" l="1"/>
  <c r="M43" i="16" s="1"/>
  <c r="AC14" i="6"/>
  <c r="AE14" i="6" s="1"/>
  <c r="AF14" i="6" s="1"/>
  <c r="Z14" i="6"/>
  <c r="AA15" i="6" s="1"/>
  <c r="H45" i="16" l="1"/>
  <c r="H47" i="16"/>
  <c r="E793" i="65"/>
  <c r="D43" i="33"/>
  <c r="D49" i="33" s="1"/>
  <c r="D61" i="33" s="1"/>
  <c r="CL180" i="4" s="1"/>
  <c r="C91" i="32" l="1"/>
  <c r="C92" i="32" s="1"/>
  <c r="CL182" i="4"/>
  <c r="CL216" i="5"/>
  <c r="CL218" i="5" s="1"/>
  <c r="F43" i="33"/>
  <c r="J43" i="33"/>
  <c r="J49" i="33" s="1"/>
  <c r="J61" i="33" s="1"/>
  <c r="CO180" i="4" s="1"/>
  <c r="H43" i="33"/>
  <c r="H49" i="33" s="1"/>
  <c r="H61" i="33" s="1"/>
  <c r="G91" i="32" l="1"/>
  <c r="G92" i="32" s="1"/>
  <c r="CN180" i="4"/>
  <c r="CN182" i="4" s="1"/>
  <c r="I91" i="32"/>
  <c r="I92" i="32" s="1"/>
  <c r="CO182" i="4"/>
  <c r="F49" i="33"/>
  <c r="F61" i="33" s="1"/>
  <c r="CM180" i="4" s="1"/>
  <c r="CM182" i="4" s="1"/>
  <c r="CN216" i="5"/>
  <c r="CN218" i="5" s="1"/>
  <c r="N61" i="33"/>
  <c r="P43" i="33"/>
  <c r="P49" i="33" s="1"/>
  <c r="P61" i="33" s="1"/>
  <c r="R43" i="33"/>
  <c r="R49" i="33" s="1"/>
  <c r="R61" i="33" s="1"/>
  <c r="CR180" i="4" s="1"/>
  <c r="CQ180" i="4" l="1"/>
  <c r="CQ182" i="4" s="1"/>
  <c r="CP180" i="4"/>
  <c r="CP182" i="4" s="1"/>
  <c r="CM216" i="5"/>
  <c r="CM218" i="5" s="1"/>
  <c r="X61" i="33"/>
  <c r="E91" i="32"/>
  <c r="E92" i="32" s="1"/>
  <c r="CQ216" i="5"/>
  <c r="CQ218" i="5" s="1"/>
  <c r="N92" i="32"/>
  <c r="N93" i="32" s="1"/>
  <c r="P92" i="32"/>
  <c r="P93" i="32" s="1"/>
  <c r="CR182" i="4"/>
  <c r="CR216" i="5"/>
  <c r="CR218" i="5" s="1"/>
  <c r="L92" i="32"/>
  <c r="L93" i="32" s="1"/>
  <c r="CP216" i="5"/>
  <c r="CP218" i="5" s="1"/>
  <c r="T43" i="33"/>
  <c r="T49" i="33" s="1"/>
  <c r="T61" i="33" s="1"/>
  <c r="R92" i="32" s="1"/>
  <c r="R93" i="32" s="1"/>
  <c r="BY367" i="5"/>
  <c r="BZ367" i="5" s="1"/>
  <c r="BT376" i="5"/>
  <c r="BT191" i="5" s="1"/>
  <c r="BY376" i="5" l="1"/>
  <c r="BZ376" i="5"/>
  <c r="BT350" i="5"/>
  <c r="BY350" i="5" s="1"/>
  <c r="BZ350" i="5" s="1"/>
  <c r="F73" i="21"/>
  <c r="N73" i="21" s="1"/>
  <c r="H79" i="18" s="1"/>
  <c r="L79" i="18" s="1"/>
  <c r="BY191" i="5"/>
  <c r="BZ191" i="5" s="1"/>
  <c r="CA350" i="5" l="1"/>
  <c r="CA367" i="5"/>
  <c r="S31" i="70" s="1"/>
  <c r="BY361" i="5"/>
  <c r="BY386" i="5" s="1"/>
  <c r="BY387" i="5" s="1"/>
  <c r="BT361" i="5"/>
  <c r="BT386" i="5" s="1"/>
  <c r="BT387" i="5" s="1"/>
  <c r="CA191" i="5"/>
  <c r="R114" i="9" s="1"/>
  <c r="E420" i="65"/>
  <c r="BZ361" i="5" l="1"/>
  <c r="BZ386" i="5" s="1"/>
  <c r="CA376" i="5"/>
  <c r="M20" i="8" s="1"/>
  <c r="M23" i="8" s="1"/>
  <c r="BT189" i="5"/>
  <c r="BY189" i="5" s="1"/>
  <c r="BZ189" i="5" s="1"/>
  <c r="U31" i="70"/>
  <c r="U38" i="70" s="1"/>
  <c r="S38" i="70"/>
  <c r="CA361" i="5"/>
  <c r="S15" i="70"/>
  <c r="E19" i="8"/>
  <c r="T114" i="9"/>
  <c r="S20" i="8"/>
  <c r="CA386" i="5" l="1"/>
  <c r="Q20" i="8"/>
  <c r="F71" i="21"/>
  <c r="F80" i="21" s="1"/>
  <c r="BT207" i="5"/>
  <c r="BT75" i="5" s="1"/>
  <c r="BT77" i="5" s="1"/>
  <c r="AG114" i="9"/>
  <c r="Q19" i="8"/>
  <c r="E23" i="8"/>
  <c r="E44" i="8" s="1"/>
  <c r="L47" i="8" s="1"/>
  <c r="S25" i="70"/>
  <c r="S47" i="70" s="1"/>
  <c r="U15" i="70"/>
  <c r="U25" i="70" s="1"/>
  <c r="U47" i="70" s="1"/>
  <c r="E419" i="65"/>
  <c r="G421" i="65" s="1"/>
  <c r="K421" i="65" s="1"/>
  <c r="CA189" i="5"/>
  <c r="BY207" i="5"/>
  <c r="BZ207" i="5" s="1"/>
  <c r="T20" i="8" l="1"/>
  <c r="Q23" i="8"/>
  <c r="N71" i="21"/>
  <c r="N80" i="21" s="1"/>
  <c r="BT214" i="5"/>
  <c r="BT209" i="5"/>
  <c r="BT211" i="5" s="1"/>
  <c r="BT218" i="5"/>
  <c r="CA207" i="5"/>
  <c r="BY209" i="5"/>
  <c r="BY211" i="5" s="1"/>
  <c r="BY218" i="5"/>
  <c r="EN218" i="5" s="1"/>
  <c r="BY75" i="5"/>
  <c r="BZ75" i="5" s="1"/>
  <c r="BY214" i="5"/>
  <c r="EN214" i="5" s="1"/>
  <c r="R112" i="9"/>
  <c r="E119" i="6"/>
  <c r="F87" i="21"/>
  <c r="F82" i="21"/>
  <c r="N87" i="21" l="1"/>
  <c r="H421" i="65"/>
  <c r="T112" i="9"/>
  <c r="R185" i="9"/>
  <c r="H77" i="18"/>
  <c r="H85" i="18" s="1"/>
  <c r="N82" i="21"/>
  <c r="N85" i="21" s="1"/>
  <c r="R121" i="9"/>
  <c r="R123" i="9" s="1"/>
  <c r="S19" i="8"/>
  <c r="T19" i="8" s="1"/>
  <c r="I119" i="6"/>
  <c r="BY77" i="5"/>
  <c r="EN77" i="5" s="1"/>
  <c r="P82" i="21"/>
  <c r="F85" i="21"/>
  <c r="T121" i="9" l="1"/>
  <c r="W128" i="9" s="1"/>
  <c r="T123" i="9"/>
  <c r="L77" i="18"/>
  <c r="L85" i="18" s="1"/>
  <c r="L93" i="18" s="1"/>
  <c r="CA75" i="5"/>
  <c r="BZ387" i="5"/>
  <c r="R183" i="9"/>
  <c r="H93" i="18"/>
  <c r="H87" i="18"/>
  <c r="H91" i="18" s="1"/>
  <c r="I421" i="65"/>
  <c r="R36" i="66"/>
  <c r="AI115" i="9"/>
  <c r="AG112" i="9"/>
  <c r="W129" i="9" l="1"/>
  <c r="AI112" i="9"/>
  <c r="R40" i="66"/>
  <c r="S36" i="66"/>
  <c r="T198" i="9"/>
  <c r="L87" i="18"/>
  <c r="L91" i="18" s="1"/>
  <c r="T199" i="9"/>
  <c r="T202" i="9"/>
  <c r="W132" i="9"/>
  <c r="R137" i="9"/>
  <c r="R178" i="9" s="1"/>
  <c r="T201" i="9"/>
  <c r="W131" i="9"/>
  <c r="T183" i="9"/>
  <c r="M130" i="6"/>
  <c r="W47" i="70"/>
  <c r="X47" i="70" s="1"/>
  <c r="T200" i="9"/>
  <c r="W130" i="9"/>
  <c r="W133" i="9" l="1"/>
  <c r="R130" i="6"/>
  <c r="R132" i="6" s="1"/>
  <c r="R134" i="6" s="1"/>
  <c r="R138" i="6" s="1"/>
  <c r="M132" i="6"/>
  <c r="M134" i="6" s="1"/>
  <c r="M138" i="6" l="1"/>
  <c r="N135" i="6"/>
  <c r="D96" i="39" l="1"/>
  <c r="M60" i="7" s="1"/>
  <c r="F39" i="39"/>
  <c r="F44" i="39" l="1"/>
  <c r="F46" i="39" s="1"/>
  <c r="F54" i="39" s="1"/>
  <c r="H39" i="39"/>
  <c r="H44" i="39" l="1"/>
  <c r="H46" i="39" s="1"/>
  <c r="H54" i="39" s="1"/>
  <c r="F131" i="38" s="1"/>
  <c r="F132" i="38" s="1"/>
  <c r="M44" i="7"/>
  <c r="M46" i="7" s="1"/>
  <c r="M48" i="7" s="1"/>
  <c r="J54" i="39" l="1"/>
  <c r="J55" i="39"/>
  <c r="H55" i="39"/>
  <c r="M56" i="7"/>
  <c r="M61" i="7"/>
  <c r="F134" i="38" l="1"/>
  <c r="F135" i="38" s="1"/>
  <c r="M59" i="7"/>
  <c r="CJ114" i="5"/>
  <c r="CJ211" i="5" s="1"/>
  <c r="EN211" i="5" s="1"/>
  <c r="E542" i="65"/>
  <c r="G543" i="65" s="1"/>
  <c r="I543" i="65" l="1"/>
  <c r="K555" i="65"/>
  <c r="CK114" i="5"/>
  <c r="E37" i="69" l="1"/>
  <c r="F38" i="69" s="1"/>
  <c r="F52" i="69" s="1"/>
  <c r="R145" i="10" l="1"/>
  <c r="AG87" i="9"/>
  <c r="R146" i="10" l="1"/>
  <c r="AL72" i="10"/>
  <c r="AG90" i="9"/>
  <c r="AK88" i="9"/>
  <c r="E91" i="6"/>
  <c r="E94" i="6" s="1"/>
  <c r="AE118" i="9"/>
  <c r="AJ36" i="9"/>
  <c r="W176" i="9"/>
  <c r="AN73" i="10" l="1"/>
  <c r="AL89" i="10"/>
  <c r="AM89" i="10" s="1"/>
  <c r="AL90" i="10"/>
  <c r="AM90" i="10" s="1"/>
  <c r="W178" i="9"/>
  <c r="W179" i="9" s="1"/>
  <c r="M44" i="8"/>
  <c r="E130" i="6" s="1"/>
  <c r="Q40" i="8"/>
  <c r="AE121" i="9"/>
  <c r="AG118" i="9"/>
  <c r="AG121" i="9" s="1"/>
  <c r="I91" i="6"/>
  <c r="I94" i="6" s="1"/>
  <c r="AN159" i="6"/>
  <c r="Q44" i="8" l="1"/>
  <c r="R44" i="8" s="1"/>
  <c r="R180" i="9"/>
  <c r="R181" i="9" s="1"/>
  <c r="AG127" i="9"/>
  <c r="AG123" i="9"/>
  <c r="AI124" i="9" s="1"/>
  <c r="R45" i="8"/>
  <c r="AN157" i="6"/>
  <c r="AV157" i="6" s="1"/>
  <c r="AV159" i="6" s="1"/>
  <c r="R46" i="8" l="1"/>
  <c r="E132" i="6"/>
  <c r="I130" i="6"/>
  <c r="I132" i="6" s="1"/>
  <c r="AN166" i="6"/>
  <c r="AV166" i="6" s="1"/>
  <c r="K59" i="7" l="1"/>
  <c r="I140" i="6"/>
  <c r="I134" i="6"/>
  <c r="I138" i="6" s="1"/>
  <c r="N147" i="6"/>
  <c r="E140" i="6"/>
  <c r="AN167" i="6"/>
  <c r="I59" i="7"/>
  <c r="E134" i="6"/>
  <c r="E138" i="6" s="1"/>
  <c r="BA170" i="6" l="1"/>
  <c r="AN165" i="6"/>
  <c r="AV165" i="6" s="1"/>
  <c r="AD170" i="6"/>
  <c r="AN169" i="6"/>
  <c r="AV167" i="6" l="1"/>
  <c r="AY165" i="6" l="1"/>
  <c r="AY164" i="6"/>
  <c r="AY166" i="6" s="1"/>
  <c r="BA168" i="6"/>
  <c r="BB170" i="6" s="1"/>
  <c r="AZ1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D4" authorId="0" shapeId="0" xr:uid="{00000000-0006-0000-4000-000001000000}">
      <text>
        <r>
          <rPr>
            <b/>
            <sz val="9"/>
            <color indexed="81"/>
            <rFont val="Tahoma"/>
            <family val="2"/>
          </rPr>
          <t>Enter the fiscal year as 20xx in Column 4, Row 4</t>
        </r>
        <r>
          <rPr>
            <sz val="9"/>
            <color indexed="81"/>
            <rFont val="Tahoma"/>
            <family val="2"/>
          </rPr>
          <t xml:space="preserve">
</t>
        </r>
        <r>
          <rPr>
            <b/>
            <sz val="9"/>
            <color indexed="81"/>
            <rFont val="Tahoma"/>
            <family val="2"/>
          </rPr>
          <t>Enter the Entity Name in Column 4, Row 5 using the exact format:
City of XXXX
Town of XXXX
XXXX County</t>
        </r>
        <r>
          <rPr>
            <sz val="9"/>
            <color indexed="81"/>
            <rFont val="Tahoma"/>
            <family val="2"/>
          </rPr>
          <t xml:space="preserve">
See List-County &amp; Entity Codes worksheet for guidance
Entity Code &amp; County Code will auto-fill into Column 5 if name was entered correctly.</t>
        </r>
      </text>
    </comment>
    <comment ref="C80" authorId="0" shapeId="0" xr:uid="{00000000-0006-0000-4000-000002000000}">
      <text>
        <r>
          <rPr>
            <sz val="9"/>
            <color indexed="81"/>
            <rFont val="Tahoma"/>
            <family val="2"/>
          </rPr>
          <t xml:space="preserve">Total of object codes: 200-599, 630, 700-899
</t>
        </r>
      </text>
    </comment>
    <comment ref="C85" authorId="0" shapeId="0" xr:uid="{00000000-0006-0000-4000-000003000000}">
      <text>
        <r>
          <rPr>
            <sz val="9"/>
            <color indexed="81"/>
            <rFont val="Tahoma"/>
            <family val="2"/>
          </rPr>
          <t xml:space="preserve">
Total of object codes: 200-599, 630, 700-899</t>
        </r>
      </text>
    </comment>
    <comment ref="C90" authorId="0" shapeId="0" xr:uid="{00000000-0006-0000-4000-000004000000}">
      <text>
        <r>
          <rPr>
            <sz val="9"/>
            <color indexed="81"/>
            <rFont val="Tahoma"/>
            <family val="2"/>
          </rPr>
          <t>Total of object codes: 200-599, 630, 700-899</t>
        </r>
      </text>
    </comment>
    <comment ref="C95" authorId="0" shapeId="0" xr:uid="{00000000-0006-0000-4000-000005000000}">
      <text>
        <r>
          <rPr>
            <sz val="9"/>
            <color indexed="81"/>
            <rFont val="Tahoma"/>
            <family val="2"/>
          </rPr>
          <t>Total of object codes: 200-599, 630, 700-899</t>
        </r>
      </text>
    </comment>
    <comment ref="C100" authorId="0" shapeId="0" xr:uid="{00000000-0006-0000-4000-000006000000}">
      <text>
        <r>
          <rPr>
            <sz val="9"/>
            <color indexed="81"/>
            <rFont val="Tahoma"/>
            <family val="2"/>
          </rPr>
          <t>Total of object codes: 200-599, 630, 700-899</t>
        </r>
      </text>
    </comment>
    <comment ref="C105" authorId="0" shapeId="0" xr:uid="{00000000-0006-0000-4000-000007000000}">
      <text>
        <r>
          <rPr>
            <sz val="9"/>
            <color indexed="81"/>
            <rFont val="Tahoma"/>
            <family val="2"/>
          </rPr>
          <t>Total of object codes: 200-599, 630, 700-899</t>
        </r>
      </text>
    </comment>
    <comment ref="C110" authorId="0" shapeId="0" xr:uid="{00000000-0006-0000-4000-000008000000}">
      <text>
        <r>
          <rPr>
            <sz val="9"/>
            <color indexed="81"/>
            <rFont val="Tahoma"/>
            <family val="2"/>
          </rPr>
          <t>Total of object codes: 200-599, 630, 700-899</t>
        </r>
      </text>
    </comment>
    <comment ref="C115" authorId="0" shapeId="0" xr:uid="{00000000-0006-0000-4000-000009000000}">
      <text>
        <r>
          <rPr>
            <sz val="9"/>
            <color indexed="81"/>
            <rFont val="Tahoma"/>
            <family val="2"/>
          </rPr>
          <t>Total of object codes: 200-599, 630, 700-899</t>
        </r>
      </text>
    </comment>
    <comment ref="C120" authorId="0" shapeId="0" xr:uid="{00000000-0006-0000-4000-00000A000000}">
      <text>
        <r>
          <rPr>
            <sz val="9"/>
            <color indexed="81"/>
            <rFont val="Tahoma"/>
            <family val="2"/>
          </rPr>
          <t>Total of object codes: 200-599, 630, 700-899</t>
        </r>
      </text>
    </comment>
    <comment ref="C125" authorId="0" shapeId="0" xr:uid="{00000000-0006-0000-4000-00000B000000}">
      <text>
        <r>
          <rPr>
            <sz val="9"/>
            <color indexed="81"/>
            <rFont val="Tahoma"/>
            <family val="2"/>
          </rPr>
          <t>Total of object codes: 200-599, 630, 700-899</t>
        </r>
      </text>
    </comment>
    <comment ref="C130" authorId="0" shapeId="0" xr:uid="{00000000-0006-0000-4000-00000C000000}">
      <text>
        <r>
          <rPr>
            <sz val="9"/>
            <color indexed="81"/>
            <rFont val="Tahoma"/>
            <family val="2"/>
          </rPr>
          <t>Total of object codes: 200-599, 630, 700-899</t>
        </r>
      </text>
    </comment>
    <comment ref="C135" authorId="0" shapeId="0" xr:uid="{00000000-0006-0000-4000-00000D000000}">
      <text>
        <r>
          <rPr>
            <sz val="9"/>
            <color indexed="81"/>
            <rFont val="Tahoma"/>
            <family val="2"/>
          </rPr>
          <t>Total of object codes: 200-599, 630, 700-899</t>
        </r>
      </text>
    </comment>
    <comment ref="C211" authorId="0" shapeId="0" xr:uid="{00000000-0006-0000-4000-00000E000000}">
      <text>
        <r>
          <rPr>
            <sz val="9"/>
            <color indexed="81"/>
            <rFont val="Tahoma"/>
            <family val="2"/>
          </rPr>
          <t xml:space="preserve">Total of object codes: 200-599, 630, 700-899
</t>
        </r>
      </text>
    </comment>
    <comment ref="C216" authorId="0" shapeId="0" xr:uid="{00000000-0006-0000-4000-00000F000000}">
      <text>
        <r>
          <rPr>
            <sz val="9"/>
            <color indexed="81"/>
            <rFont val="Tahoma"/>
            <family val="2"/>
          </rPr>
          <t xml:space="preserve">
Total of object codes: 200-599, 630, 700-899</t>
        </r>
      </text>
    </comment>
    <comment ref="C221" authorId="0" shapeId="0" xr:uid="{00000000-0006-0000-4000-000010000000}">
      <text>
        <r>
          <rPr>
            <sz val="9"/>
            <color indexed="81"/>
            <rFont val="Tahoma"/>
            <family val="2"/>
          </rPr>
          <t>Total of object codes: 200-599, 630, 700-899</t>
        </r>
      </text>
    </comment>
    <comment ref="C226" authorId="0" shapeId="0" xr:uid="{00000000-0006-0000-4000-000011000000}">
      <text>
        <r>
          <rPr>
            <sz val="9"/>
            <color indexed="81"/>
            <rFont val="Tahoma"/>
            <family val="2"/>
          </rPr>
          <t>Total of object codes: 200-599, 630, 700-899</t>
        </r>
      </text>
    </comment>
    <comment ref="C231" authorId="0" shapeId="0" xr:uid="{00000000-0006-0000-4000-000012000000}">
      <text>
        <r>
          <rPr>
            <sz val="9"/>
            <color indexed="81"/>
            <rFont val="Tahoma"/>
            <family val="2"/>
          </rPr>
          <t>Total of object codes: 200-599, 630, 700-899</t>
        </r>
      </text>
    </comment>
    <comment ref="C236" authorId="0" shapeId="0" xr:uid="{00000000-0006-0000-4000-000013000000}">
      <text>
        <r>
          <rPr>
            <sz val="9"/>
            <color indexed="81"/>
            <rFont val="Tahoma"/>
            <family val="2"/>
          </rPr>
          <t>Total of object codes: 200-599, 630, 700-899</t>
        </r>
      </text>
    </comment>
    <comment ref="C241" authorId="0" shapeId="0" xr:uid="{00000000-0006-0000-4000-000014000000}">
      <text>
        <r>
          <rPr>
            <sz val="9"/>
            <color indexed="81"/>
            <rFont val="Tahoma"/>
            <family val="2"/>
          </rPr>
          <t>Total of object codes: 200-599, 630, 700-899</t>
        </r>
      </text>
    </comment>
    <comment ref="C246" authorId="0" shapeId="0" xr:uid="{00000000-0006-0000-4000-000015000000}">
      <text>
        <r>
          <rPr>
            <sz val="9"/>
            <color indexed="81"/>
            <rFont val="Tahoma"/>
            <family val="2"/>
          </rPr>
          <t>Total of object codes: 200-599, 630, 700-899</t>
        </r>
      </text>
    </comment>
    <comment ref="C251" authorId="0" shapeId="0" xr:uid="{00000000-0006-0000-4000-000016000000}">
      <text>
        <r>
          <rPr>
            <sz val="9"/>
            <color indexed="81"/>
            <rFont val="Tahoma"/>
            <family val="2"/>
          </rPr>
          <t>Total of object codes: 200-599, 630, 700-899</t>
        </r>
      </text>
    </comment>
    <comment ref="C256" authorId="0" shapeId="0" xr:uid="{00000000-0006-0000-4000-000017000000}">
      <text>
        <r>
          <rPr>
            <sz val="9"/>
            <color indexed="81"/>
            <rFont val="Tahoma"/>
            <family val="2"/>
          </rPr>
          <t>Total of object codes: 200-599, 630, 700-899</t>
        </r>
      </text>
    </comment>
    <comment ref="C261" authorId="0" shapeId="0" xr:uid="{00000000-0006-0000-4000-000018000000}">
      <text>
        <r>
          <rPr>
            <sz val="9"/>
            <color indexed="81"/>
            <rFont val="Tahoma"/>
            <family val="2"/>
          </rPr>
          <t>Total of object codes: 200-599, 630, 700-899</t>
        </r>
      </text>
    </comment>
    <comment ref="C266" authorId="0" shapeId="0" xr:uid="{00000000-0006-0000-4000-000019000000}">
      <text>
        <r>
          <rPr>
            <sz val="9"/>
            <color indexed="81"/>
            <rFont val="Tahoma"/>
            <family val="2"/>
          </rPr>
          <t>Total of object codes: 200-599, 630, 700-899</t>
        </r>
      </text>
    </comment>
    <comment ref="C342" authorId="0" shapeId="0" xr:uid="{00000000-0006-0000-4000-00001A000000}">
      <text>
        <r>
          <rPr>
            <sz val="9"/>
            <color indexed="81"/>
            <rFont val="Tahoma"/>
            <family val="2"/>
          </rPr>
          <t xml:space="preserve">Total of object codes: 200-599, 630, 700-899
</t>
        </r>
      </text>
    </comment>
    <comment ref="C347" authorId="0" shapeId="0" xr:uid="{00000000-0006-0000-4000-00001B000000}">
      <text>
        <r>
          <rPr>
            <sz val="9"/>
            <color indexed="81"/>
            <rFont val="Tahoma"/>
            <family val="2"/>
          </rPr>
          <t xml:space="preserve">
Total of object codes: 200-599, 630, 700-899</t>
        </r>
      </text>
    </comment>
    <comment ref="C352" authorId="0" shapeId="0" xr:uid="{00000000-0006-0000-4000-00001C000000}">
      <text>
        <r>
          <rPr>
            <sz val="9"/>
            <color indexed="81"/>
            <rFont val="Tahoma"/>
            <family val="2"/>
          </rPr>
          <t>Total of object codes: 200-599, 630, 700-899</t>
        </r>
      </text>
    </comment>
    <comment ref="C357" authorId="0" shapeId="0" xr:uid="{00000000-0006-0000-4000-00001D000000}">
      <text>
        <r>
          <rPr>
            <sz val="9"/>
            <color indexed="81"/>
            <rFont val="Tahoma"/>
            <family val="2"/>
          </rPr>
          <t>Total of object codes: 200-599, 630, 700-899</t>
        </r>
      </text>
    </comment>
    <comment ref="C362" authorId="0" shapeId="0" xr:uid="{00000000-0006-0000-4000-00001E000000}">
      <text>
        <r>
          <rPr>
            <sz val="9"/>
            <color indexed="81"/>
            <rFont val="Tahoma"/>
            <family val="2"/>
          </rPr>
          <t>Total of object codes: 200-599, 630, 700-899</t>
        </r>
      </text>
    </comment>
    <comment ref="C367" authorId="0" shapeId="0" xr:uid="{00000000-0006-0000-4000-00001F000000}">
      <text>
        <r>
          <rPr>
            <sz val="9"/>
            <color indexed="81"/>
            <rFont val="Tahoma"/>
            <family val="2"/>
          </rPr>
          <t>Total of object codes: 200-599, 630, 700-899</t>
        </r>
      </text>
    </comment>
    <comment ref="C372" authorId="0" shapeId="0" xr:uid="{00000000-0006-0000-4000-000020000000}">
      <text>
        <r>
          <rPr>
            <sz val="9"/>
            <color indexed="81"/>
            <rFont val="Tahoma"/>
            <family val="2"/>
          </rPr>
          <t>Total of object codes: 200-599, 630, 700-899</t>
        </r>
      </text>
    </comment>
    <comment ref="C377" authorId="0" shapeId="0" xr:uid="{00000000-0006-0000-4000-000021000000}">
      <text>
        <r>
          <rPr>
            <sz val="9"/>
            <color indexed="81"/>
            <rFont val="Tahoma"/>
            <family val="2"/>
          </rPr>
          <t>Total of object codes: 200-599, 630, 700-899</t>
        </r>
      </text>
    </comment>
    <comment ref="C382" authorId="0" shapeId="0" xr:uid="{00000000-0006-0000-4000-000022000000}">
      <text>
        <r>
          <rPr>
            <sz val="9"/>
            <color indexed="81"/>
            <rFont val="Tahoma"/>
            <family val="2"/>
          </rPr>
          <t>Total of object codes: 200-599, 630, 700-899</t>
        </r>
      </text>
    </comment>
    <comment ref="C387" authorId="0" shapeId="0" xr:uid="{00000000-0006-0000-4000-000023000000}">
      <text>
        <r>
          <rPr>
            <sz val="9"/>
            <color indexed="81"/>
            <rFont val="Tahoma"/>
            <family val="2"/>
          </rPr>
          <t>Total of object codes: 200-599, 630, 700-899</t>
        </r>
      </text>
    </comment>
    <comment ref="C392" authorId="0" shapeId="0" xr:uid="{00000000-0006-0000-4000-000024000000}">
      <text>
        <r>
          <rPr>
            <sz val="9"/>
            <color indexed="81"/>
            <rFont val="Tahoma"/>
            <family val="2"/>
          </rPr>
          <t>Total of object codes: 200-599, 630, 700-899</t>
        </r>
      </text>
    </comment>
    <comment ref="C397" authorId="0" shapeId="0" xr:uid="{00000000-0006-0000-4000-000025000000}">
      <text>
        <r>
          <rPr>
            <sz val="9"/>
            <color indexed="81"/>
            <rFont val="Tahoma"/>
            <family val="2"/>
          </rPr>
          <t>Total of object codes: 200-599, 630, 700-899</t>
        </r>
      </text>
    </comment>
    <comment ref="C473" authorId="0" shapeId="0" xr:uid="{00000000-0006-0000-4000-000026000000}">
      <text>
        <r>
          <rPr>
            <sz val="9"/>
            <color indexed="81"/>
            <rFont val="Tahoma"/>
            <family val="2"/>
          </rPr>
          <t xml:space="preserve">Total of object codes: 200-599, 630, 700-899
</t>
        </r>
      </text>
    </comment>
    <comment ref="C478" authorId="0" shapeId="0" xr:uid="{00000000-0006-0000-4000-000027000000}">
      <text>
        <r>
          <rPr>
            <sz val="9"/>
            <color indexed="81"/>
            <rFont val="Tahoma"/>
            <family val="2"/>
          </rPr>
          <t xml:space="preserve">
Total of object codes: 200-599, 630, 700-899</t>
        </r>
      </text>
    </comment>
    <comment ref="C483" authorId="0" shapeId="0" xr:uid="{00000000-0006-0000-4000-000028000000}">
      <text>
        <r>
          <rPr>
            <sz val="9"/>
            <color indexed="81"/>
            <rFont val="Tahoma"/>
            <family val="2"/>
          </rPr>
          <t>Total of object codes: 200-599, 630, 700-899</t>
        </r>
      </text>
    </comment>
    <comment ref="C488" authorId="0" shapeId="0" xr:uid="{00000000-0006-0000-4000-000029000000}">
      <text>
        <r>
          <rPr>
            <sz val="9"/>
            <color indexed="81"/>
            <rFont val="Tahoma"/>
            <family val="2"/>
          </rPr>
          <t>Total of object codes: 200-599, 630, 700-899</t>
        </r>
      </text>
    </comment>
    <comment ref="C493" authorId="0" shapeId="0" xr:uid="{00000000-0006-0000-4000-00002A000000}">
      <text>
        <r>
          <rPr>
            <sz val="9"/>
            <color indexed="81"/>
            <rFont val="Tahoma"/>
            <family val="2"/>
          </rPr>
          <t>Total of object codes: 200-599, 630, 700-899</t>
        </r>
      </text>
    </comment>
    <comment ref="C498" authorId="0" shapeId="0" xr:uid="{00000000-0006-0000-4000-00002B000000}">
      <text>
        <r>
          <rPr>
            <sz val="9"/>
            <color indexed="81"/>
            <rFont val="Tahoma"/>
            <family val="2"/>
          </rPr>
          <t>Total of object codes: 200-599, 630, 700-899</t>
        </r>
      </text>
    </comment>
    <comment ref="C503" authorId="0" shapeId="0" xr:uid="{00000000-0006-0000-4000-00002C000000}">
      <text>
        <r>
          <rPr>
            <sz val="9"/>
            <color indexed="81"/>
            <rFont val="Tahoma"/>
            <family val="2"/>
          </rPr>
          <t>Total of object codes: 200-599, 630, 700-899</t>
        </r>
      </text>
    </comment>
    <comment ref="C508" authorId="0" shapeId="0" xr:uid="{00000000-0006-0000-4000-00002D000000}">
      <text>
        <r>
          <rPr>
            <sz val="9"/>
            <color indexed="81"/>
            <rFont val="Tahoma"/>
            <family val="2"/>
          </rPr>
          <t>Total of object codes: 200-599, 630, 700-899</t>
        </r>
      </text>
    </comment>
    <comment ref="C513" authorId="0" shapeId="0" xr:uid="{00000000-0006-0000-4000-00002E000000}">
      <text>
        <r>
          <rPr>
            <sz val="9"/>
            <color indexed="81"/>
            <rFont val="Tahoma"/>
            <family val="2"/>
          </rPr>
          <t>Total of object codes: 200-599, 630, 700-899</t>
        </r>
      </text>
    </comment>
    <comment ref="C518" authorId="0" shapeId="0" xr:uid="{00000000-0006-0000-4000-00002F000000}">
      <text>
        <r>
          <rPr>
            <sz val="9"/>
            <color indexed="81"/>
            <rFont val="Tahoma"/>
            <family val="2"/>
          </rPr>
          <t>Total of object codes: 200-599, 630, 700-899</t>
        </r>
      </text>
    </comment>
    <comment ref="C523" authorId="0" shapeId="0" xr:uid="{00000000-0006-0000-4000-000030000000}">
      <text>
        <r>
          <rPr>
            <sz val="9"/>
            <color indexed="81"/>
            <rFont val="Tahoma"/>
            <family val="2"/>
          </rPr>
          <t>Total of object codes: 200-599, 630, 700-899</t>
        </r>
      </text>
    </comment>
    <comment ref="C528" authorId="0" shapeId="0" xr:uid="{00000000-0006-0000-4000-000031000000}">
      <text>
        <r>
          <rPr>
            <sz val="9"/>
            <color indexed="81"/>
            <rFont val="Tahoma"/>
            <family val="2"/>
          </rPr>
          <t>Total of object codes: 200-599, 630, 700-899</t>
        </r>
      </text>
    </comment>
    <comment ref="B548" authorId="0" shapeId="0" xr:uid="{00000000-0006-0000-4000-000032000000}">
      <text>
        <r>
          <rPr>
            <sz val="9"/>
            <color indexed="81"/>
            <rFont val="Tahoma"/>
            <family val="2"/>
          </rPr>
          <t xml:space="preserve">Less 237000 and 23800 - Report these separately on the next two lines
</t>
        </r>
      </text>
    </comment>
    <comment ref="B631" authorId="0" shapeId="0" xr:uid="{00000000-0006-0000-4000-000033000000}">
      <text>
        <r>
          <rPr>
            <sz val="9"/>
            <color indexed="81"/>
            <rFont val="Tahoma"/>
            <family val="2"/>
          </rPr>
          <t xml:space="preserve">All 23xxxx except 237000 and 238000 - report these separately on the next two lines
</t>
        </r>
      </text>
    </comment>
    <comment ref="A701" authorId="0" shapeId="0" xr:uid="{00000000-0006-0000-4000-000034000000}">
      <text>
        <r>
          <rPr>
            <b/>
            <sz val="9"/>
            <color indexed="81"/>
            <rFont val="Tahoma"/>
            <family val="2"/>
          </rPr>
          <t>Fund Classification: 7000 - 7099 Trust Funds Only - Do not Report Agency Funds Here!</t>
        </r>
        <r>
          <rPr>
            <sz val="9"/>
            <color indexed="81"/>
            <rFont val="Tahoma"/>
            <family val="2"/>
          </rPr>
          <t xml:space="preserve">
</t>
        </r>
      </text>
    </comment>
    <comment ref="A778" authorId="0" shapeId="0" xr:uid="{00000000-0006-0000-4000-000035000000}">
      <text>
        <r>
          <rPr>
            <b/>
            <sz val="9"/>
            <color indexed="81"/>
            <rFont val="Tahoma"/>
            <family val="2"/>
          </rPr>
          <t>Fund Classification: 7100 - 7999 All Agency Funds</t>
        </r>
        <r>
          <rPr>
            <sz val="9"/>
            <color indexed="81"/>
            <rFont val="Tahoma"/>
            <family val="2"/>
          </rPr>
          <t xml:space="preserve">
</t>
        </r>
      </text>
    </comment>
    <comment ref="C869" authorId="0" shapeId="0" xr:uid="{00000000-0006-0000-4000-000036000000}">
      <text>
        <r>
          <rPr>
            <sz val="9"/>
            <color indexed="81"/>
            <rFont val="Tahoma"/>
            <family val="2"/>
          </rPr>
          <t xml:space="preserve">Total of object codes: 200-599, 630, 700-899
</t>
        </r>
      </text>
    </comment>
    <comment ref="C874" authorId="0" shapeId="0" xr:uid="{00000000-0006-0000-4000-000037000000}">
      <text>
        <r>
          <rPr>
            <sz val="9"/>
            <color indexed="81"/>
            <rFont val="Tahoma"/>
            <family val="2"/>
          </rPr>
          <t xml:space="preserve">
Total of object codes: 200-599, 630, 700-899</t>
        </r>
      </text>
    </comment>
    <comment ref="C879" authorId="0" shapeId="0" xr:uid="{00000000-0006-0000-4000-000038000000}">
      <text>
        <r>
          <rPr>
            <sz val="9"/>
            <color indexed="81"/>
            <rFont val="Tahoma"/>
            <family val="2"/>
          </rPr>
          <t>Total of object codes: 200-599, 630, 700-899</t>
        </r>
      </text>
    </comment>
    <comment ref="C884" authorId="0" shapeId="0" xr:uid="{00000000-0006-0000-4000-000039000000}">
      <text>
        <r>
          <rPr>
            <sz val="9"/>
            <color indexed="81"/>
            <rFont val="Tahoma"/>
            <family val="2"/>
          </rPr>
          <t>Total of object codes: 200-599, 630, 700-899</t>
        </r>
      </text>
    </comment>
    <comment ref="C889" authorId="0" shapeId="0" xr:uid="{00000000-0006-0000-4000-00003A000000}">
      <text>
        <r>
          <rPr>
            <sz val="9"/>
            <color indexed="81"/>
            <rFont val="Tahoma"/>
            <family val="2"/>
          </rPr>
          <t>Total of object codes: 200-599, 630, 700-899</t>
        </r>
      </text>
    </comment>
    <comment ref="C894" authorId="0" shapeId="0" xr:uid="{00000000-0006-0000-4000-00003B000000}">
      <text>
        <r>
          <rPr>
            <sz val="9"/>
            <color indexed="81"/>
            <rFont val="Tahoma"/>
            <family val="2"/>
          </rPr>
          <t>Total of object codes: 200-599, 630, 700-899</t>
        </r>
      </text>
    </comment>
    <comment ref="C899" authorId="0" shapeId="0" xr:uid="{00000000-0006-0000-4000-00003C000000}">
      <text>
        <r>
          <rPr>
            <sz val="9"/>
            <color indexed="81"/>
            <rFont val="Tahoma"/>
            <family val="2"/>
          </rPr>
          <t>Total of object codes: 200-599, 630, 700-899</t>
        </r>
      </text>
    </comment>
    <comment ref="C904" authorId="0" shapeId="0" xr:uid="{00000000-0006-0000-4000-00003D000000}">
      <text>
        <r>
          <rPr>
            <sz val="9"/>
            <color indexed="81"/>
            <rFont val="Tahoma"/>
            <family val="2"/>
          </rPr>
          <t>Total of object codes: 200-599, 630, 700-899</t>
        </r>
      </text>
    </comment>
    <comment ref="C909" authorId="0" shapeId="0" xr:uid="{00000000-0006-0000-4000-00003E000000}">
      <text>
        <r>
          <rPr>
            <sz val="9"/>
            <color indexed="81"/>
            <rFont val="Tahoma"/>
            <family val="2"/>
          </rPr>
          <t>Total of object codes: 200-599, 630, 700-899</t>
        </r>
      </text>
    </comment>
    <comment ref="C914" authorId="0" shapeId="0" xr:uid="{00000000-0006-0000-4000-00003F000000}">
      <text>
        <r>
          <rPr>
            <sz val="9"/>
            <color indexed="81"/>
            <rFont val="Tahoma"/>
            <family val="2"/>
          </rPr>
          <t>Total of object codes: 200-599, 630, 700-899</t>
        </r>
      </text>
    </comment>
    <comment ref="C919" authorId="0" shapeId="0" xr:uid="{00000000-0006-0000-4000-000040000000}">
      <text>
        <r>
          <rPr>
            <sz val="9"/>
            <color indexed="81"/>
            <rFont val="Tahoma"/>
            <family val="2"/>
          </rPr>
          <t>Total of object codes: 200-599, 630, 700-899</t>
        </r>
      </text>
    </comment>
    <comment ref="C924" authorId="0" shapeId="0" xr:uid="{00000000-0006-0000-4000-000041000000}">
      <text>
        <r>
          <rPr>
            <sz val="9"/>
            <color indexed="81"/>
            <rFont val="Tahoma"/>
            <family val="2"/>
          </rPr>
          <t>Total of object codes: 200-599, 630, 700-899</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4" type="1" refreshedVersion="8" savePassword="1" background="1" saveData="1">
    <dbPr connection="DRIVER={iSeries Access ODBC Driver};SYSTEM=AS400.LCCOUNTYMT.GOV;DBQ=QGPL HTEDTA2;DFTPKGLIB=QGPL;LANGUAGEID=ENU;PKG=QGPL/DEFAULT(IBM),2,0,1,0,512;" command="SELECT ERGFISE7.ERC001, ERGFISE7.ERC002, ERGFISE7.ERC003, ERGFISE7.ERC004_x000d__x000a_FROM icmtn2.HTEDTA2.ERGFISE7 ERGFISE7"/>
  </connection>
  <connection id="2" xr16:uid="{00000000-0015-0000-FFFF-FFFF01000000}" name="Query from CONNECTION3" type="1" refreshedVersion="8" background="1" saveData="1">
    <dbPr connection="DRIVER={Client Access ODBC Driver (32-bit)};SYSTEM=AS400.LCCOUNTYMT.GOV;DBQ=QGPL HTEDTA2;DFTPKGLIB=QGPL;LANGUAGEID=ENU;PKG=QGPL/DEFAULT(IBM),2,0,1,0,512;QRYSTGLMT=-1;" command="SELECT ERGFISR7.ERC001, ERGFISR7.ERC002, ERGFISR7.ERC003, ERGFISR7.ERC004_x000d__x000a_FROM ICMTN2.HTEDTA2.ERGFISR7 ERGFISR7"/>
  </connection>
  <connection id="3" xr16:uid="{00000000-0015-0000-FFFF-FFFF02000000}" name="Query from HTEDA23" type="1" refreshedVersion="8" background="1" saveData="1">
    <dbPr connection="DRIVER={Client Access ODBC Driver (32-bit)};SYSTEM=AS400.LCCOUNTYMT.GOV;DBQ=QGPL HTEDTA2;DFTPKGLIB=QGPL;LANGUAGEID=ENU;PKG=QGPL/DEFAULT(IBM),2,0,1,0,512;QRYSTGLMT=-1;" command="SELECT ERCPIS.ERC001, ERCPIS.ERC002, ERCPIS.ERC003, ERCPIS.ERC004, ERCPIS.ERC005, ERCPIS.ERC006, ERCPIS.ERC007, ERCPIS.ERC008, ERCPIS.ERC009, ERCPIS.ERC010, ERCPIS.ERC011, ERCPIS.ERC012, ERCPIS.ERC013, ERCPIS.ERC014, ERCPIS.ERC015, ERCPIS.ERC016, ERCPIS.ERC017, ERCPIS.ERC018, ERCPIS.ERC019, ERCPIS.ERC020_x000d__x000a_FROM icmtn2.HTEDTA2.ERCPIS ERCPIS"/>
  </connection>
  <connection id="4" xr16:uid="{00000000-0015-0000-FFFF-FFFF03000000}" odcFile="C:\Users\rnordahl.AD.LCCOUNTYMT\Documents\My Data Sources\Query from HTEDA231.odc" name="Query from HTEDA231" type="1" refreshedVersion="8" background="1" saveData="1">
    <dbPr connection="DRIVER={Client Access ODBC Driver (32-bit)};UID=RNORDAHL;SYSTEM=AS400.LCCOUNTYMT.GOV;DBQ=QGPL HTEDTA2;DFTPKGLIB=QGPL;LANGUAGEID=ENU;PKG=QGPL/DEFAULT(IBM),2,0,1,0,512;QRYSTGLMT=-1;SIGNON=1;" command="SELECT ERDSBS.ERC001, ERDSBS.ERC002, ERDSBS.ERC003, ERDSBS.ERC004, ERDSBS.ERC005, ERDSBS.ERC006, ERDSBS.ERC007, ERDSBS.ERC008_x000d__x000a_FROM icmtn2.HTEDTA2.ERDSBS ERDSBS"/>
  </connection>
  <connection id="5" xr16:uid="{00000000-0015-0000-FFFF-FFFF04000000}" name="Query from HTEDA2311" type="1" refreshedVersion="8" background="1" saveData="1">
    <dbPr connection="DRIVER={Client Access ODBC Driver (32-bit)};SYSTEM=AS400.LCCOUNTYMT.GOV;DBQ=QGPL HTEDTA2;DFTPKGLIB=QGPL;LANGUAGEID=ENU;PKG=QGPL/DEFAULT(IBM),2,0,1,0,512;QRYSTGLMT=-1;" command="SELECT ERC00710.ERC001, ERC00710.ERC002, ERC00710.ERC003, ERC00710.ERC004, ERC00710.ERC005, ERC00710.ERC006, ERC00710.ERC007, ERC00710.ERC008, ERC00710.ERC009, ERC00710.ERC010, ERC00710.ERC011, ERC00710.ERC012, ERC00710.ERC013, ERC00710.ERC014, ERC00710.ERC015, ERC00710.ERC016, ERC00710.ERC017, ERC00710.ERC018, ERC00710.ERC019, ERC00710.ERC020, ERC00710.ERC021, ERC00710.ERC022, ERC00710.ERC023, ERC00710.ERC024, ERC00710.ERC025_x000d__x000a_FROM ICMTN2.HTEDTA2.ERC00710 ERC00710"/>
  </connection>
  <connection id="6" xr16:uid="{00000000-0015-0000-FFFF-FFFF05000000}" odcFile="C:\Users\rnordahl.AD.LCCOUNTYMT\Documents\My Data Sources\Query from HTEDA231.odc" name="Query from HTEDA2312" type="1" refreshedVersion="0" background="1">
    <dbPr connection="DRIVER={Client Access ODBC Driver (32-bit)};SYSTEM=AS400.LCCOUNTYMT.GOV;DBQ=QGPL HTEDTA2;DFTPKGLIB=QGPL;LANGUAGEID=ENU;PKG=QGPL/DEFAULT(IBM),2,0,1,0,512;QRYSTGLMT=-1;" command="SELECT ERDSBS.ERC001, ERDSBS.ERC002, ERDSBS.ERC003, ERDSBS.ERC004, ERDSBS.ERC005, ERDSBS.ERC006, ERDSBS.ERC007, ERDSBS.ERC008_x000d__x000a_FROM icmtn2.HTEDTA2.ERDSBS ERDSBS"/>
  </connection>
  <connection id="7" xr16:uid="{00000000-0015-0000-FFFF-FFFF06000000}" name="Query from HTEDA232" type="1" refreshedVersion="8" background="1" saveData="1">
    <dbPr connection="DRIVER={Client Access ODBC Driver (32-bit)};SYSTEM=AS400.LCCOUNTYMT.GOV;DBQ=QGPL HTEDTA2;DFTPKGLIB=QGPL;LANGUAGEID=ENU;PKG=QGPL/DEFAULT(IBM),2,0,1,0,512;QRYSTGLMT=-1;" command="SELECT ERDSIS.ERC001, ERDSIS.ERC002, ERDSIS.ERC003, ERDSIS.ERC004, ERDSIS.ERC005, ERDSIS.ERC006, ERDSIS.ERC007, ERDSIS.ERC008, ERDSIS.ERC009, ERDSIS.ERC010, ERDSIS.ERC011, ERDSIS.ERC012, ERDSIS.ERC013, ERDSIS.ERC014, ERDSIS.ERC015, ERDSIS.ERC016, ERDSIS.ERC017, ERDSIS.ERC018, ERDSIS.ERC019, ERDSIS.ERC020, ERDSIS.ERC021, ERDSIS.ERC022_x000d__x000a_FROM icmtn2.HTEDTA2.ERDSIS ERDSIS"/>
  </connection>
  <connection id="8" xr16:uid="{00000000-0015-0000-FFFF-FFFF07000000}" name="Query from HTEDTA2" type="1" refreshedVersion="0" background="1" saveData="1">
    <dbPr connection="DRIVER={Client Access ODBC Driver (32-bit)};SYSTEM=AS400.lcountymt.gov;DBQ=QGPL HTEDTA2;DFTPKGLIB=QGPL;LANGUAGEID=ENU;PKG=QGPL/DEFAULT(IBM),2,0,1,0,512;TRANSLATE=1;" command="SELECT ERSRBS.ERC001, ERSRBS.ERC002, ERSRBS.ERC003, ERSRBS.ERC004, ERSRBS.ERC005, ERSRBS.ERC006, ERSRBS.ERC007, ERSRBS.ERC008, ERSRBS.ERC009, ERSRBS.ERC010, ERSRBS.ERC011, ERSRBS.ERC012, ERSRBS.ERC013, ERSRBS.ERC014, ERSRBS.ERC015, ERSRBS.ERC016, ERSRBS.ERC017, ERSRBS.ERC018, ERSRBS.ERC019, ERSRBS.ERC020, ERSRBS.ERC021, ERSRBS.ERC022, ERSRBS.ERC023, ERSRBS.ERC024, ERSRBS.ERC025, ERSRBS.ERC026, ERSRBS.ERC027, ERSRBS.ERC028, ERSRBS.ERC029, ERSRBS.ERC030, ERSRBS.ERC031, ERSRBS.ERC032, ERSRBS.ERC033, ERSRBS.ERC034, ERSRBS.ERC035, ERSRBS.ERC036, ERSRBS.ERC037, ERSRBS.ERC038, ERSRBS.ERC039, ERSRBS.ERC040, ERSRBS.ERC041, ERSRBS.ERC042, ERSRBS.ERC043, ERSRBS.ERC044, ERSRBS.ERC045, ERSRBS.ERC046, ERSRBS.ERC047, ERSRBS.ERC048, ERSRBS.ERC049, ERSRBS.ERC050, ERSRBS.ERC051_x000d__x000a_FROM ictmtn2.HTEDTA2.ERSRBS ERSRBS"/>
  </connection>
  <connection id="9" xr16:uid="{00000000-0015-0000-FFFF-FFFF08000000}" name="Query from HTEDTA22" type="1" refreshedVersion="8" background="1" saveData="1">
    <dbPr connection="DRIVER={Client Access ODBC Driver (32-bit)};SYSTEM=AS400.LCCOUNTYMT.GOV;DBQ=QGPL HTEDTA2;DFTPKGLIB=QGPL;LANGUAGEID=ENU;PKG=QGPL/DEFAULT(IBM),2,0,1,0,512;QRYSTGLMT=-1;" command="SELECT ERCPBS.ERC001, ERCPBS.ERC002, ERCPBS.ERC003, ERCPBS.ERC004, ERCPBS.ERC005, ERCPBS.ERC006, ERCPBS.ERC007_x000d__x000a_FROM icmtn2.HTEDTA2.ERCPBS ERCPBS"/>
  </connection>
  <connection id="10" xr16:uid="{00000000-0015-0000-FFFF-FFFF09000000}" name="Query from HTEDTA23" type="1" refreshedVersion="8" background="1" saveData="1">
    <dbPr connection="DRIVER={Client Access ODBC Driver (32-bit)};SYSTEM=AS400.LCCOUNTYMT.GOV;DBQ=QGPL HTEDTA2;DFTPKGLIB=QGPL;LANGUAGEID=ENU;PKG=QGPL/DEFAULT(IBM),2,0,1,0,512;QRYSTGLMT=-1;" command="SELECT ERSRBS.ERC001, ERSRBS.ERC002, ERSRBS.ERC003, ERSRBS.ERC004, ERSRBS.ERC005, ERSRBS.ERC006, ERSRBS.ERC007, ERSRBS.ERC008, ERSRBS.ERC009, ERSRBS.ERC010, ERSRBS.ERC011, ERSRBS.ERC012, ERSRBS.ERC013, ERSRBS.ERC014, ERSRBS.ERC015, ERSRBS.ERC016, ERSRBS.ERC017, ERSRBS.ERC018, ERSRBS.ERC019, ERSRBS.ERC020, ERSRBS.ERC021, ERSRBS.ERC022, ERSRBS.ERC023, ERSRBS.ERC024, ERSRBS.ERC025, ERSRBS.ERC026, ERSRBS.ERC027, ERSRBS.ERC028, ERSRBS.ERC029, ERSRBS.ERC030, ERSRBS.ERC031, ERSRBS.ERC032, ERSRBS.ERC033, ERSRBS.ERC034, ERSRBS.ERC035, ERSRBS.ERC036, ERSRBS.ERC037, ERSRBS.ERC038, ERSRBS.ERC039, ERSRBS.ERC040, ERSRBS.ERC041, ERSRBS.ERC042, ERSRBS.ERC043, ERSRBS.ERC044, ERSRBS.ERC045, ERSRBS.ERC046, ERSRBS.ERC047, ERSRBS.ERC048, ERSRBS.ERC049, ERSRBS.ERC050, ERSRBS.ERC051, ERSRBS.ERC052, ERSRBS.ERC053_x000d__x000a_FROM icmtn2.HTEDTA2.ERSRBS ERSRBS"/>
  </connection>
  <connection id="11" xr16:uid="{00000000-0015-0000-FFFF-FFFF0A000000}" name="Query from HTEDTA26" type="1" refreshedVersion="8" background="1" saveData="1">
    <dbPr connection="DRIVER={Client Access ODBC Driver (32-bit)};SYSTEM=AS400.LCCOUNTYMT.GOV;DBQ=QGPL HTEDTA2;DFTPKGLIB=QGPL;LANGUAGEID=ENU;PKG=QGPL/DEFAULT(IBM),2,0,1,0,512;TRANSLATE=1;" command="SELECT ERGFBS7.ERC001, ERGFBS7.ERC002_x000d__x000a_FROM icmtn2.HTEDTA2.ERGFBS7 ERGFBS7"/>
  </connection>
  <connection id="12" xr16:uid="{00000000-0015-0000-FFFF-FFFF0B000000}" name="Query from HTEDTA27" type="1" refreshedVersion="8" background="1" saveData="1">
    <dbPr connection="DRIVER={Client Access ODBC Driver (32-bit)};SYSTEM=AS400.LCCOUNTYMT.GOV;DBQ=QGPL HTEDTA2;DFTPKGLIB=QGPL;LANGUAGEID=ENU;PKG=QGPL/DEFAULT(IBM),2,0,1,0,512;TRANSLATE=1;" command="SELECT ERENBS.ERC001, ERENBS.ERC002, ERENBS.ERC003, ERENBS.ERC004, ERENBS.ERC005, ERENBS.ERC006, ERENBS.ERC007, ERENBS.ERC008, ERENBS.ERC009, ERENBS.ERC010, ERENBS.ERC011, ERENBS.ERC012, ERENBS.ERC013, ERENBS.ERC014, ERENBS.ERC015, ERENBS.ERC016, ERENBS.ERC017, ERENBS.ERC018, ERENBS.ERC019_x000d__x000a_FROM icmtn2.HTEDTA2.ERENBS ERENBS"/>
  </connection>
  <connection id="13" xr16:uid="{00000000-0015-0000-FFFF-FFFF0C000000}" name="Query from HTEDTA28" type="1" refreshedVersion="8" background="1" saveData="1">
    <dbPr connection="DRIVER={Client Access ODBC Driver (32-bit)};SYSTEM=AS400.LCCOUNTYMT.GOV;DBQ=QGPL HTEDTA2;DFTPKGLIB=QGPL;LANGUAGEID=ENU;PKG=QGPL/DEFAULT(IBM),2,0,1,0,512;QRYSTGLMT=-1;" command="SELECT ERENIS.ERC001, ERENIS.ERC002, ERENIS.ERC003, ERENIS.ERC004, ERENIS.ERC005, ERENIS.ERC006, ERENIS.ERC007, ERENIS.ERC008, ERENIS.ERC009, ERENIS.ERC010, ERENIS.ERC011, ERENIS.ERC012, ERENIS.ERC013, ERENIS.ERC014, ERENIS.ERC015, ERENIS.ERC016, ERENIS.ERC017, ERENIS.ERC018, ERENIS.ERC019_x000d__x000a_FROM ICMTN2.HTEDTA2.ERENIS ERENIS"/>
  </connection>
  <connection id="14" xr16:uid="{00000000-0015-0000-FFFF-FFFF0D000000}" name="Query from HTEDTA281" type="1" refreshedVersion="8" background="1" saveData="1">
    <dbPr connection="DRIVER={Client Access ODBC Driver (32-bit)};SYSTEM=AS400.LCCOUNTYMT.GOV;DBQ=QGPL HTEDTA2;DFTPKGLIB=QGPL;LANGUAGEID=ENU;PKG=QGPL/DEFAULT(IBM),2,0,1,0,512;TRANSLATE=1;" command="SELECT ERC00750.ERC001, ERC00750.ERC002, ERC00750.ERC003, ERC00750.ERC004, ERC00750.ERC005, ERC00750.ERC006, ERC00750.ERC007, ERC00750.ERC008, ERC00750.ERC009, ERC00750.ERC010, ERC00750.ERC011, ERC00750.ERC012, ERC00750.ERC013, ERC00750.ERC014, ERC00750.ERC015, ERC00750.ERC016, ERC00750.ERC017, ERC00750.ERC018, ERC00750.ERC019, ERC00750.ERC020, ERC00750.ERC021, ERC00750.ERC022, ERC00750.ERC023, ERC00750.ERC024, ERC00750.ERC025_x000d__x000a_FROM ICMTN2.HTEDTA2.ERC00750 ERC00750"/>
  </connection>
  <connection id="15" xr16:uid="{00000000-0015-0000-FFFF-FFFF0E000000}" name="Query from HTEDTA282" type="1" refreshedVersion="8" background="1" saveData="1">
    <dbPr connection="DRIVER={Client Access ODBC Driver (32-bit)};SYSTEM=AS400.LCCOUNTYMT.GOV;DBQ=QGPL HTEDTA2;DFTPKGLIB=QGPL;LANGUAGEID=ENU;PKG=QGPL/DEFAULT(IBM),2,0,1,0,512;QRYSTGLMT=-1;" command="SELECT ERSRIS.ERC001, ERSRIS.ERC002, ERSRIS.ERC003, ERSRIS.ERC004, ERSRIS.ERC005, ERSRIS.ERC006, ERSRIS.ERC007, ERSRIS.ERC008, ERSRIS.ERC009, ERSRIS.ERC010, ERSRIS.ERC011, ERSRIS.ERC012, ERSRIS.ERC013, ERSRIS.ERC014, ERSRIS.ERC015, ERSRIS.ERC016, ERSRIS.ERC017, ERSRIS.ERC018, ERSRIS.ERC019, ERSRIS.ERC020, ERSRIS.ERC021, ERSRIS.ERC022, ERSRIS.ERC023, ERSRIS.ERC024, ERSRIS.ERC025, ERSRIS.ERC026, ERSRIS.ERC027, ERSRIS.ERC028, ERSRIS.ERC029, ERSRIS.ERC030, ERSRIS.ERC031, ERSRIS.ERC032, ERSRIS.ERC033, ERSRIS.ERC034, ERSRIS.ERC035, ERSRIS.ERC036, ERSRIS.ERC037, ERSRIS.ERC038, ERSRIS.ERC039, ERSRIS.ERC040, ERSRIS.ERC041, ERSRIS.ERC042, ERSRIS.ERC043, ERSRIS.ERC044, ERSRIS.ERC045, ERSRIS.ERC046, ERSRIS.ERC047, ERSRIS.ERC048, ERSRIS.ERC049, ERSRIS.ERC050, ERSRIS.ERC051, ERSRIS.ERC052, ERSRIS.ERC053, ERSRIS.ERC054, ERSRIS.ERC055, ERSRIS.ERC056, ERSRIS.ERC057, ERSRIS.ERC058, ERSRIS.ERC059, ERSRIS.ERC060, ERSRIS.ERC061, ERSRIS.ERC062, ERSRIS.ERC063, ERSRIS.ERC064, ERSRIS.ERC065, ERSRIS.ERC066, ERSRIS.ERC067, ERSRIS.ERC068, ERSRIS.ERC069, ERSRIS.ERC070, ERSRIS.ERC071, ERSRIS.ERC072, ERSRIS.ERC073, ERSRIS.ERC074, ERSRIS.ERC075, ERSRIS.ERC076, ERSRIS.ERC077, ERSRIS.ERC078, ERSRIS.ERC079, ERSRIS.ERC080, ERSRIS.ERC081, ERSRIS.ERC082, ERSRIS.ERC083, ERSRIS.ERC084, ERSRIS.ERC085, ERSRIS.ERC086, ERSRIS.ERC087, ERSRIS.ERC088, ERSRIS.ERC089, ERSRIS.ERC090, ERSRIS.ERC091, ERSRIS.ERC092, ERSRIS.ERC093, ERSRIS.ERC094, ERSRIS.ERC095, ERSRIS.ERC096, ERSRIS.ERC097, ERSRIS.ERC098, ERSRIS.ERC099, ERSRIS.ERC100, ERSRIS.ERC101, ERSRIS.ERC102, ERSRIS.ERC103, ERSRIS.ERC104, ERSRIS.ERC105, ERSRIS.ERC106, ERSRIS.ERC107, ERSRIS.ERC108, ERSRIS.ERC109, ERSRIS.ERC110, ERSRIS.ERC111, ERSRIS.ERC112, ERSRIS.ERC113, ERSRIS.ERC114, ERSRIS.ERC115, ERSRIS.ERC116, ERSRIS.ERC117, ERSRIS.ERC118, ERSRIS.ERC119, ERSRIS.ERC120, ERSRIS.ERC121, ERSRIS.ERC122, ERSRIS.ERC123, ERSRIS.ERC124, ERSRIS.ERC125, ERSRIS.ERC126, ERSRIS.ERC127, ERSRIS.ERC128, ERSRIS.ERC129, ERSRIS.ERC130, ERSRIS.ERC131, ERSRIS.ERC132, ERSRIS.ERC133, ERSRIS.ERC134, ERSRIS.ERC135, ERSRIS.ERC136, ERSRIS.ERC137, ERSRIS.ERC138, ERSRIS.ERC139, ERSRIS.ERC140, ERSRIS.ERC141, ERSRIS.ERC142, ERSRIS.ERC143, ERSRIS.ERC144, ERSRIS.ERC145, ERSRIS.ERC146, ERSRIS.ERC147, ERSRIS.ERC148, ERSRIS.ERC149, ERSRIS.ERC150, ERSRIS.ERC151, ERSRIS.ERC152, ERSRIS.ERC153, ERSRIS.ERC154, ERSRIS.ERC155, ERSRIS.ERC156, ERSRIS.ERC157_x000d__x000a_FROM ICMTN2.HTEDTA2.ERSRIS ERSRIS"/>
  </connection>
</connections>
</file>

<file path=xl/sharedStrings.xml><?xml version="1.0" encoding="utf-8"?>
<sst xmlns="http://schemas.openxmlformats.org/spreadsheetml/2006/main" count="13725" uniqueCount="3539">
  <si>
    <t>Contributions of capital assets</t>
  </si>
  <si>
    <t xml:space="preserve">                General fund</t>
  </si>
  <si>
    <t xml:space="preserve">     Retained earnings</t>
  </si>
  <si>
    <t>NONMAJOR SPECIAL REVENUE FUNDS</t>
  </si>
  <si>
    <t>NONMAJOR</t>
  </si>
  <si>
    <t>NONMAJOR DEBT SERVICE FUNDS</t>
  </si>
  <si>
    <t>NONMAJOR CAPITAL PROJECT FUNDS</t>
  </si>
  <si>
    <t>NONMAJOR GOVERNMENTAL FUNDS</t>
  </si>
  <si>
    <t>NONMAJOR PERMANENT FUND</t>
  </si>
  <si>
    <t>PERMANENT</t>
  </si>
  <si>
    <t>LEWIS AND CLARK COUNTY</t>
  </si>
  <si>
    <t>2201(201)</t>
  </si>
  <si>
    <t>2200(202)</t>
  </si>
  <si>
    <t>COMPONENT</t>
  </si>
  <si>
    <t>MOSQUITO</t>
  </si>
  <si>
    <t xml:space="preserve">     Valuation of investments to fair value</t>
  </si>
  <si>
    <t xml:space="preserve"> </t>
  </si>
  <si>
    <t>Elem Bldg</t>
  </si>
  <si>
    <t>HS Bldg</t>
  </si>
  <si>
    <t>Endowment</t>
  </si>
  <si>
    <t>TAX</t>
  </si>
  <si>
    <t>SHERIFF'S</t>
  </si>
  <si>
    <t xml:space="preserve">            Other charges for services</t>
  </si>
  <si>
    <t>361-369</t>
  </si>
  <si>
    <t xml:space="preserve">            Administrative fees</t>
  </si>
  <si>
    <t xml:space="preserve">            Attorney fees</t>
  </si>
  <si>
    <t xml:space="preserve">     Restricted for bond reserve</t>
  </si>
  <si>
    <t xml:space="preserve">     Investments </t>
  </si>
  <si>
    <t>Loans/contracts payable</t>
  </si>
  <si>
    <t>Capital Leases</t>
  </si>
  <si>
    <t>COUNTY EXTENSION</t>
  </si>
  <si>
    <t>HEALTH FACILITIES DEBT</t>
  </si>
  <si>
    <t>PARTIAL PAYMENT</t>
  </si>
  <si>
    <t>Federal grants:</t>
  </si>
  <si>
    <t>State grants:</t>
  </si>
  <si>
    <t>GOVERMENTAL</t>
  </si>
  <si>
    <t>Govt BS'!n119</t>
  </si>
  <si>
    <t>JV-2b,6</t>
  </si>
  <si>
    <t xml:space="preserve">DEBT </t>
  </si>
  <si>
    <t xml:space="preserve">COMBINING STATEMENT OF REVENUES, EXPENDITURES </t>
  </si>
  <si>
    <t>AND CHANGES IN FUND BALANCE</t>
  </si>
  <si>
    <t xml:space="preserve">          Total noncurrent liabilities</t>
  </si>
  <si>
    <t>Security</t>
  </si>
  <si>
    <t>NATIONAL FIRE PLAN III</t>
  </si>
  <si>
    <t xml:space="preserve">   Public Health</t>
  </si>
  <si>
    <t xml:space="preserve">   Social and Economic</t>
  </si>
  <si>
    <t xml:space="preserve">     Total Social and Economic</t>
  </si>
  <si>
    <t xml:space="preserve">   Cultute and Recreation</t>
  </si>
  <si>
    <t>FORESTVALE CEMETERY</t>
  </si>
  <si>
    <t xml:space="preserve">         Alcoholic beverage licenses</t>
  </si>
  <si>
    <t>COUNTY PLANNING</t>
  </si>
  <si>
    <t>Tranfser Auto To:</t>
  </si>
  <si>
    <t>238, 239</t>
  </si>
  <si>
    <t>(included in Investments - above)</t>
  </si>
  <si>
    <t>(included in Taxes/assessments - above)</t>
  </si>
  <si>
    <t>MISSOURI RIVER DRUG TASK FORCE</t>
  </si>
  <si>
    <t xml:space="preserve">     Repayment of interfund loans</t>
  </si>
  <si>
    <t>from other</t>
  </si>
  <si>
    <t>GAS</t>
  </si>
  <si>
    <t>MINE</t>
  </si>
  <si>
    <t>INTERN</t>
  </si>
  <si>
    <t>RIVER DRUG</t>
  </si>
  <si>
    <t>FACILITY</t>
  </si>
  <si>
    <t>RSID</t>
  </si>
  <si>
    <t>IMPROVEMENT</t>
  </si>
  <si>
    <t>DEBT</t>
  </si>
  <si>
    <t>HOME</t>
  </si>
  <si>
    <t>CAPITAL</t>
  </si>
  <si>
    <t>GRAVEL</t>
  </si>
  <si>
    <t>MARYSVILLE</t>
  </si>
  <si>
    <t>ANIMAL</t>
  </si>
  <si>
    <t>ENTERPRISE</t>
  </si>
  <si>
    <t>MAINTENANCE</t>
  </si>
  <si>
    <t>CARE</t>
  </si>
  <si>
    <t>FUEL</t>
  </si>
  <si>
    <t xml:space="preserve">          Increase (decrease) compensated absences</t>
  </si>
  <si>
    <t>EMERGENCY DISASTER</t>
  </si>
  <si>
    <t>COUNTY HEALTH</t>
  </si>
  <si>
    <t>MENTAL HEALTH</t>
  </si>
  <si>
    <t>SENIOR CITIZENS</t>
  </si>
  <si>
    <t xml:space="preserve">      Compensated Absences</t>
  </si>
  <si>
    <t>Long-term liabilities are not due and payable in the current period and therefore are not</t>
  </si>
  <si>
    <t xml:space="preserve">   reported in the funds:</t>
  </si>
  <si>
    <t xml:space="preserve">     Landfill postclosure costs payable</t>
  </si>
  <si>
    <t xml:space="preserve">     Compensated absences payable</t>
  </si>
  <si>
    <t xml:space="preserve">     Cash payments for landfill post closure costs</t>
  </si>
  <si>
    <t xml:space="preserve">     Transfers to other Funds</t>
  </si>
  <si>
    <t xml:space="preserve">            Other state grants</t>
  </si>
  <si>
    <t xml:space="preserve">            Taylor grazing</t>
  </si>
  <si>
    <t xml:space="preserve">            Payments in lieu</t>
  </si>
  <si>
    <t xml:space="preserve"> - indicates meets</t>
  </si>
  <si>
    <t>qualifications</t>
  </si>
  <si>
    <t>Accr Int</t>
  </si>
  <si>
    <t xml:space="preserve">     County Landfill</t>
  </si>
  <si>
    <t xml:space="preserve">            Treasurer's fees</t>
  </si>
  <si>
    <t xml:space="preserve">            Weed</t>
  </si>
  <si>
    <t xml:space="preserve">                Debt service fund</t>
  </si>
  <si>
    <t>CITIZENS</t>
  </si>
  <si>
    <t>10%</t>
  </si>
  <si>
    <t>AGGREGATE</t>
  </si>
  <si>
    <t>5%</t>
  </si>
  <si>
    <t>Enterprise Funds</t>
  </si>
  <si>
    <t>Statistics:</t>
  </si>
  <si>
    <t xml:space="preserve">         Total Fines and Forfeitures</t>
  </si>
  <si>
    <t xml:space="preserve">     General Government</t>
  </si>
  <si>
    <t>Interest expense</t>
  </si>
  <si>
    <t>Prepaid Purch Serv/charges</t>
  </si>
  <si>
    <t>Depreciation</t>
  </si>
  <si>
    <t xml:space="preserve">   activities is different because:</t>
  </si>
  <si>
    <t>Miscellaneous</t>
  </si>
  <si>
    <t xml:space="preserve">     Interest Earnings</t>
  </si>
  <si>
    <t>JAG-JUSTICE</t>
  </si>
  <si>
    <t>JUSTICE ASSIS</t>
  </si>
  <si>
    <t xml:space="preserve">JAG- </t>
  </si>
  <si>
    <t>ASSISTANCE</t>
  </si>
  <si>
    <t>JUSTICE ASSISTANCE GRANT</t>
  </si>
  <si>
    <t>Totals</t>
  </si>
  <si>
    <t xml:space="preserve">to </t>
  </si>
  <si>
    <t>Total School Dist. #1</t>
  </si>
  <si>
    <t>ENDOWMENT</t>
  </si>
  <si>
    <t>Transferred from:</t>
  </si>
  <si>
    <t xml:space="preserve">Prior Year's </t>
  </si>
  <si>
    <t>Pr FY Accr Exp for Cap Assets</t>
  </si>
  <si>
    <t>30686 - pr per. Payroll</t>
  </si>
  <si>
    <t xml:space="preserve">     Amortization of revenue bond inssuance cost</t>
  </si>
  <si>
    <t xml:space="preserve">     Principal repayment - bonds/loans</t>
  </si>
  <si>
    <t xml:space="preserve">     Restricted for construction</t>
  </si>
  <si>
    <t xml:space="preserve">     Amortization of revenue bond issuance cost</t>
  </si>
  <si>
    <t>Fund Equity per income statement</t>
  </si>
  <si>
    <t>Difference (line 180-line 186)</t>
  </si>
  <si>
    <t xml:space="preserve">         Other licenses &amp; permits</t>
  </si>
  <si>
    <t>FY2010</t>
  </si>
  <si>
    <t xml:space="preserve">            Other local sources</t>
  </si>
  <si>
    <r>
      <t xml:space="preserve">corresponding totals for all governmental or enterprise funds </t>
    </r>
    <r>
      <rPr>
        <b/>
        <sz val="10"/>
        <rFont val="Arial"/>
        <family val="2"/>
      </rPr>
      <t>and</t>
    </r>
    <r>
      <rPr>
        <sz val="10"/>
        <rFont val="Arial"/>
        <family val="2"/>
      </rPr>
      <t xml:space="preserve"> at least 5% of the aggregate amount for all governmental and enterprise</t>
    </r>
  </si>
  <si>
    <t>Transfer info from:</t>
  </si>
  <si>
    <t>Interest and investment income</t>
  </si>
  <si>
    <t xml:space="preserve">    Total additions</t>
  </si>
  <si>
    <t>Distribution from pooled investments</t>
  </si>
  <si>
    <t>Administrative expenses</t>
  </si>
  <si>
    <t xml:space="preserve">    Total deductions</t>
  </si>
  <si>
    <t xml:space="preserve">          (Increase) decrease taxes/accounts/other receivables</t>
  </si>
  <si>
    <t>funds for the same item.  The general fund is always a major fund.</t>
  </si>
  <si>
    <t>Cap Assets</t>
  </si>
  <si>
    <t>Long term Assts</t>
  </si>
  <si>
    <t xml:space="preserve">buildings and vehicles; puchase, maintenance, and supplies for copiers, gasoline, central office supplies, and information </t>
  </si>
  <si>
    <t>Compensated Absences</t>
  </si>
  <si>
    <t>Cash flows from capital and related financing activities:</t>
  </si>
  <si>
    <t>Cash flows from investing activities:</t>
  </si>
  <si>
    <t>Cash flows from operating activities:</t>
  </si>
  <si>
    <t>Prior FY Comp Abs - B/S</t>
  </si>
  <si>
    <t>OPEB liability</t>
  </si>
  <si>
    <t>Beginning Fund Balance- GAAP Basis ( From prior year CAFR)</t>
  </si>
  <si>
    <t>Not a trans in from a CU, it is Misc rev</t>
  </si>
  <si>
    <t xml:space="preserve">            Federal emergency</t>
  </si>
  <si>
    <t>ACTIVITIES</t>
  </si>
  <si>
    <t>Current assets:</t>
  </si>
  <si>
    <t xml:space="preserve">         Total Other Financing Sources (Uses)</t>
  </si>
  <si>
    <t>(761-784)</t>
  </si>
  <si>
    <t>(786-787)</t>
  </si>
  <si>
    <t xml:space="preserve">     Due from other governments</t>
  </si>
  <si>
    <t xml:space="preserve">     Inventories</t>
  </si>
  <si>
    <t>Noxious</t>
  </si>
  <si>
    <t xml:space="preserve">     Local Sources</t>
  </si>
  <si>
    <t>transf in from 6025</t>
  </si>
  <si>
    <t xml:space="preserve">   trans in  &amp; fund bal,7/1</t>
  </si>
  <si>
    <t xml:space="preserve">   Licenses and Permits</t>
  </si>
  <si>
    <t xml:space="preserve">     Alcohol beverage licenses</t>
  </si>
  <si>
    <t>all others</t>
  </si>
  <si>
    <t>11-00 to 99</t>
  </si>
  <si>
    <t>332, 333</t>
  </si>
  <si>
    <t>333.20-00 to 29-99</t>
  </si>
  <si>
    <t>333.30-00 to 39-99</t>
  </si>
  <si>
    <t>ERC008</t>
  </si>
  <si>
    <t>ERC009</t>
  </si>
  <si>
    <t>ERC010</t>
  </si>
  <si>
    <t>ERC011</t>
  </si>
  <si>
    <t>ERC012</t>
  </si>
  <si>
    <t>ERC013</t>
  </si>
  <si>
    <t>TOTAL CAPITAL PROJECTS</t>
  </si>
  <si>
    <t>(included in Cash &amp; cash equiv. - above)</t>
  </si>
  <si>
    <t>400.80-00 to 490.80-15</t>
  </si>
  <si>
    <t xml:space="preserve">           Total noncurrent assets</t>
  </si>
  <si>
    <t xml:space="preserve">              Total assets</t>
  </si>
  <si>
    <t>Total component units</t>
  </si>
  <si>
    <t>GF</t>
  </si>
  <si>
    <t>exp</t>
  </si>
  <si>
    <t xml:space="preserve">   General Government</t>
  </si>
  <si>
    <t>ERC053</t>
  </si>
  <si>
    <t xml:space="preserve">      Net change in fund balances</t>
  </si>
  <si>
    <t>Total other financing sources(uses)</t>
  </si>
  <si>
    <t>INMATE PROGRAM</t>
  </si>
  <si>
    <t>RECORDS PRESERVATION</t>
  </si>
  <si>
    <t>FIDCOMBIT NA</t>
  </si>
  <si>
    <t>AUGUSTA</t>
  </si>
  <si>
    <t>LANDFILL</t>
  </si>
  <si>
    <t xml:space="preserve">     Cash and cash equivalents, noncurrent - restricted</t>
  </si>
  <si>
    <t xml:space="preserve">          Total Cash and cash equivalents, June 30</t>
  </si>
  <si>
    <t>Additions:</t>
  </si>
  <si>
    <t>PARKS DEVELOPMENT</t>
  </si>
  <si>
    <t>LINCOLN PARKS</t>
  </si>
  <si>
    <t>DUI PROGRAMS</t>
  </si>
  <si>
    <t>CITY/COUNTY DRUG</t>
  </si>
  <si>
    <t>EXPENDITURES</t>
  </si>
  <si>
    <t xml:space="preserve">     Current:</t>
  </si>
  <si>
    <t xml:space="preserve">          General government</t>
  </si>
  <si>
    <t xml:space="preserve">          Public safety</t>
  </si>
  <si>
    <t xml:space="preserve">          Public works</t>
  </si>
  <si>
    <t xml:space="preserve">          Public health</t>
  </si>
  <si>
    <t xml:space="preserve">     Prior period adjustment - depreciation</t>
  </si>
  <si>
    <t xml:space="preserve"> Individual Investment Funds</t>
  </si>
  <si>
    <t>SERVICE FUNDS</t>
  </si>
  <si>
    <t>ACTIVITIES-</t>
  </si>
  <si>
    <t>School</t>
  </si>
  <si>
    <t>City/</t>
  </si>
  <si>
    <t>District #1</t>
  </si>
  <si>
    <t>District #9</t>
  </si>
  <si>
    <t>Individual</t>
  </si>
  <si>
    <t>1997 Bond</t>
  </si>
  <si>
    <t xml:space="preserve">Total Gov activ less int serv. </t>
  </si>
  <si>
    <t xml:space="preserve">     Compensated absences payable - current</t>
  </si>
  <si>
    <t xml:space="preserve">     Taxes/assessments</t>
  </si>
  <si>
    <t>REVENUE</t>
  </si>
  <si>
    <t>REVOLVING</t>
  </si>
  <si>
    <t>SERVICE</t>
  </si>
  <si>
    <t>PROJECTS</t>
  </si>
  <si>
    <t>CONVALESCENT</t>
  </si>
  <si>
    <t>311-319,363.02</t>
  </si>
  <si>
    <t>all except below</t>
  </si>
  <si>
    <t>320-329</t>
  </si>
  <si>
    <t>322.00-00 to 29-99</t>
  </si>
  <si>
    <t>322.30-00 to 99</t>
  </si>
  <si>
    <t>(*loan pymts)</t>
  </si>
  <si>
    <t xml:space="preserve">          Investments</t>
  </si>
  <si>
    <t xml:space="preserve">     Investments</t>
  </si>
  <si>
    <t xml:space="preserve">     Loans</t>
  </si>
  <si>
    <t xml:space="preserve">     Unrestricted</t>
  </si>
  <si>
    <t xml:space="preserve">          Total net assets</t>
  </si>
  <si>
    <t>Total liabilities and net assets</t>
  </si>
  <si>
    <t>Donated Capital Assets</t>
  </si>
  <si>
    <t>Assumed Loans</t>
  </si>
  <si>
    <t>Due to other Funds</t>
  </si>
  <si>
    <t>Prior FYPayrll claims</t>
  </si>
  <si>
    <t>Cash flows from noncapital financing activities:</t>
  </si>
  <si>
    <t xml:space="preserve">     Net cash provided by (used by) operating activities</t>
  </si>
  <si>
    <t xml:space="preserve">               Total business-type activities</t>
  </si>
  <si>
    <t>MRDTF FEDERAL SHARING</t>
  </si>
  <si>
    <t>*</t>
  </si>
  <si>
    <t xml:space="preserve">   Debt Service</t>
  </si>
  <si>
    <t>COMBINING BALANCE SHEET</t>
  </si>
  <si>
    <t>PUBLIC</t>
  </si>
  <si>
    <t>SAFETY</t>
  </si>
  <si>
    <t>DEBT SERVICE FUNDS</t>
  </si>
  <si>
    <t>(Page 1 of 2)</t>
  </si>
  <si>
    <t>(Page 2 of 2)</t>
  </si>
  <si>
    <t>TOTAL ASSETS</t>
  </si>
  <si>
    <t>the internal service funds are included  in governmental activities in the statement of activities.</t>
  </si>
  <si>
    <t xml:space="preserve">principal consumes the current financial resources of the governmental funds, thus contributing to the change </t>
  </si>
  <si>
    <t>Grant and contributions not restricted to specific programs</t>
  </si>
  <si>
    <t>Charges for Services</t>
  </si>
  <si>
    <t>Operating Grants and Contributions</t>
  </si>
  <si>
    <t>Capital Grants and Contributions</t>
  </si>
  <si>
    <t>Revenues by Source - Governmental Activities</t>
  </si>
  <si>
    <t>Remove from all below:</t>
  </si>
  <si>
    <t xml:space="preserve">   Fines and Forfeitures</t>
  </si>
  <si>
    <t>ALCO-</t>
  </si>
  <si>
    <t>HOLISM</t>
  </si>
  <si>
    <t>CTEP</t>
  </si>
  <si>
    <t>Reconciliation of operating income to net cash</t>
  </si>
  <si>
    <t xml:space="preserve">     provided by operating activity:</t>
  </si>
  <si>
    <t>Adjustments to reconcile operating income to</t>
  </si>
  <si>
    <t>CURRENT YEAR ACCRUALS - REVENUES:</t>
  </si>
  <si>
    <t>Total Revenues</t>
  </si>
  <si>
    <t>CURRENT YEAR ACCRUALS - EXPENDITURES:</t>
  </si>
  <si>
    <t xml:space="preserve">          Cash and cash equivalents</t>
  </si>
  <si>
    <t>Prior FY A/P - B/S</t>
  </si>
  <si>
    <t>Prior FY Fair Value</t>
  </si>
  <si>
    <t>Prior FY Post Clos - B/S</t>
  </si>
  <si>
    <t>Current FY Bd/Loan Pymt</t>
  </si>
  <si>
    <t>MRDTF</t>
  </si>
  <si>
    <t>FEDERAL</t>
  </si>
  <si>
    <t>SHARING</t>
  </si>
  <si>
    <t>Noncur liab - due w/in one yr</t>
  </si>
  <si>
    <t>Noncur liab-due &gt;one yr</t>
  </si>
  <si>
    <t xml:space="preserve">Noncur liab - 10% - &lt;one yr </t>
  </si>
  <si>
    <t>State shared revenues:</t>
  </si>
  <si>
    <t xml:space="preserve">     Amortization of Revenue Bond Issuance Costs</t>
  </si>
  <si>
    <t xml:space="preserve">     Interest expense</t>
  </si>
  <si>
    <t xml:space="preserve">     Depreciation</t>
  </si>
  <si>
    <t xml:space="preserve">         Total Expenditures</t>
  </si>
  <si>
    <t xml:space="preserve">     Operating income (loss)</t>
  </si>
  <si>
    <t>BUDGETED AMOUNTS</t>
  </si>
  <si>
    <t xml:space="preserve">             Personal services</t>
  </si>
  <si>
    <t xml:space="preserve">            Operations and maintenance</t>
  </si>
  <si>
    <t xml:space="preserve">         Total Public Health</t>
  </si>
  <si>
    <t>FAIRGROUNDS</t>
  </si>
  <si>
    <t>USERS</t>
  </si>
  <si>
    <t>FOUNDATION</t>
  </si>
  <si>
    <t>SECURITY</t>
  </si>
  <si>
    <t>$</t>
  </si>
  <si>
    <t>||</t>
  </si>
  <si>
    <t xml:space="preserve">     Special assessment debt with </t>
  </si>
  <si>
    <t>COMBINING STATEMENT OF REVENUES, EXPENDITURES AND CHANGES IN FUND BALANCES</t>
  </si>
  <si>
    <t>AND LONG-TERM</t>
  </si>
  <si>
    <t>ACCRUALS</t>
  </si>
  <si>
    <t>TOTAL FOR</t>
  </si>
  <si>
    <t xml:space="preserve">STATEMENT OF </t>
  </si>
  <si>
    <t>ADJUSTMENTS</t>
  </si>
  <si>
    <t>RURAL SPECIAL</t>
  </si>
  <si>
    <t>SCRATCH-</t>
  </si>
  <si>
    <t xml:space="preserve">     Proceeds from disposal of capital assets</t>
  </si>
  <si>
    <t>BUILDING</t>
  </si>
  <si>
    <t>activities, however, which is presented on the accrual basis, expenses and liabilities are reported regardless</t>
  </si>
  <si>
    <t>METAL MINES</t>
  </si>
  <si>
    <t>DUI</t>
  </si>
  <si>
    <t>MISSOURI</t>
  </si>
  <si>
    <t>TOTAL</t>
  </si>
  <si>
    <t>LIBRARY</t>
  </si>
  <si>
    <t>General revenues:</t>
  </si>
  <si>
    <t>762-105.61-00</t>
  </si>
  <si>
    <t>762-105.81-00</t>
  </si>
  <si>
    <t>Prior FY Tax rect - B/S</t>
  </si>
  <si>
    <t>decreases, respectively, long-term liabilities and does not affect the statement of activities.</t>
  </si>
  <si>
    <t xml:space="preserve">     Proceeds of long-term debt</t>
  </si>
  <si>
    <t xml:space="preserve">     Principal payments are:</t>
  </si>
  <si>
    <t>(MEMORANDUM)</t>
  </si>
  <si>
    <t>ADDITIONS</t>
  </si>
  <si>
    <t>ERC041</t>
  </si>
  <si>
    <t>PLAN</t>
  </si>
  <si>
    <t>NATIONAL FIRE PLAN</t>
  </si>
  <si>
    <t xml:space="preserve">     Amount to be provided for retirement of</t>
  </si>
  <si>
    <t xml:space="preserve">          general long-term debt</t>
  </si>
  <si>
    <t xml:space="preserve">     Social and Economic</t>
  </si>
  <si>
    <t xml:space="preserve">     Culture and Recreation</t>
  </si>
  <si>
    <t xml:space="preserve">     Debt Service</t>
  </si>
  <si>
    <t xml:space="preserve">     Capital Outlay</t>
  </si>
  <si>
    <t>GOVERNMENTAL FUNDS</t>
  </si>
  <si>
    <t>1)</t>
  </si>
  <si>
    <t xml:space="preserve">     Portion due or payable in more than one year:</t>
  </si>
  <si>
    <t>GOVERNMENTAL</t>
  </si>
  <si>
    <t>Accounts payable</t>
  </si>
  <si>
    <t>adjust inv earn - rounding</t>
  </si>
  <si>
    <t>adjust intgtl  rev - rounding</t>
  </si>
  <si>
    <t>Noncurrent assets:</t>
  </si>
  <si>
    <t xml:space="preserve">     Capital Assets:</t>
  </si>
  <si>
    <t xml:space="preserve">           Total current assets</t>
  </si>
  <si>
    <t xml:space="preserve">                  Total noncurrent assets</t>
  </si>
  <si>
    <t xml:space="preserve">                      Total assets</t>
  </si>
  <si>
    <t xml:space="preserve">     Residual equity transfers</t>
  </si>
  <si>
    <t>NOXIOUS</t>
  </si>
  <si>
    <t>WEED</t>
  </si>
  <si>
    <t xml:space="preserve">          Social and economic</t>
  </si>
  <si>
    <t xml:space="preserve">          Culture and recreation</t>
  </si>
  <si>
    <t xml:space="preserve">     Debt service</t>
  </si>
  <si>
    <t xml:space="preserve">     Administrative expenses</t>
  </si>
  <si>
    <t>(1)</t>
  </si>
  <si>
    <t>CAPITAL ASSETS</t>
  </si>
  <si>
    <t xml:space="preserve">         Records administration</t>
  </si>
  <si>
    <t xml:space="preserve">         Legal services</t>
  </si>
  <si>
    <t xml:space="preserve">         Public school administration</t>
  </si>
  <si>
    <t xml:space="preserve">     Internal balances</t>
  </si>
  <si>
    <t xml:space="preserve">        Coroner services</t>
  </si>
  <si>
    <t xml:space="preserve">        Civil defense</t>
  </si>
  <si>
    <t xml:space="preserve">        Road and street services</t>
  </si>
  <si>
    <t>Fund balance per balance sheet -line 208- should equal line 106</t>
  </si>
  <si>
    <t>Difference (line 106 - line 108)</t>
  </si>
  <si>
    <t>LEVY</t>
  </si>
  <si>
    <t>COMBINING STATEMENT OF CASH FLOWS</t>
  </si>
  <si>
    <t xml:space="preserve">     Cash received from customers</t>
  </si>
  <si>
    <t xml:space="preserve">     Cash payments for goods and services</t>
  </si>
  <si>
    <t xml:space="preserve">     Cash payments for employees</t>
  </si>
  <si>
    <t>Long-term liabilities are not due and payable in the current period and therefore are not reported in the funds.</t>
  </si>
  <si>
    <t xml:space="preserve">          (Increase) decrease deferred revenue</t>
  </si>
  <si>
    <t>test</t>
  </si>
  <si>
    <t xml:space="preserve">new rec $6 </t>
  </si>
  <si>
    <t>STATEMENT OF CASH FLOWS</t>
  </si>
  <si>
    <t>STATEMENT OF REVENUES, EXPENDITURES AND CHANGES IN FUND BALANCES - BUDGET AND ACTUAL (BUDGET BASIS)</t>
  </si>
  <si>
    <t>AMOUNTS</t>
  </si>
  <si>
    <t>RECONCILIATION OF THE GOVERNMENTAL FUNDS BALANCE SHEET</t>
  </si>
  <si>
    <t>The accompanying notes are an integral part of these financial statements</t>
  </si>
  <si>
    <t>1a</t>
  </si>
  <si>
    <t xml:space="preserve">  Total Operating Revenues</t>
  </si>
  <si>
    <t xml:space="preserve">   Total Operating Expenses</t>
  </si>
  <si>
    <t xml:space="preserve">       Total other financing </t>
  </si>
  <si>
    <t xml:space="preserve">          (under) expenditures and other financing uses</t>
  </si>
  <si>
    <t xml:space="preserve">     Add back depreciation that reduces contributed capital</t>
  </si>
  <si>
    <t xml:space="preserve">     Prior period adjustments</t>
  </si>
  <si>
    <t xml:space="preserve">     Amount available in debt service fund</t>
  </si>
  <si>
    <t xml:space="preserve">     Amount to be provided for compensated absences</t>
  </si>
  <si>
    <t>STATEMENT OF REVENUES, EXPENSES AND</t>
  </si>
  <si>
    <t xml:space="preserve">          Increase (decrease) accounts payable</t>
  </si>
  <si>
    <t xml:space="preserve">              Debt service</t>
  </si>
  <si>
    <t xml:space="preserve">FEES, FINES, AND </t>
  </si>
  <si>
    <t>Public</t>
  </si>
  <si>
    <t>Safety</t>
  </si>
  <si>
    <t>Works</t>
  </si>
  <si>
    <t>Health</t>
  </si>
  <si>
    <t xml:space="preserve">     Total fund balances</t>
  </si>
  <si>
    <t>Adjustments:</t>
  </si>
  <si>
    <t xml:space="preserve">   Accrued interest</t>
  </si>
  <si>
    <t xml:space="preserve">   Accrued revenue</t>
  </si>
  <si>
    <t xml:space="preserve">   Comp Absences</t>
  </si>
  <si>
    <t xml:space="preserve">   Internal Serv Fund</t>
  </si>
  <si>
    <t xml:space="preserve">   Aging Services</t>
  </si>
  <si>
    <t xml:space="preserve">     Welfare Services</t>
  </si>
  <si>
    <t xml:space="preserve">    Advances to Ent funds</t>
  </si>
  <si>
    <t>Maximum Debt Service</t>
  </si>
  <si>
    <t>Percent Coverage</t>
  </si>
  <si>
    <t xml:space="preserve">          Fairgrounds</t>
  </si>
  <si>
    <t xml:space="preserve">               Total governmental activities</t>
  </si>
  <si>
    <t xml:space="preserve">   Animal Control Services</t>
  </si>
  <si>
    <t xml:space="preserve">     Interest earnings</t>
  </si>
  <si>
    <t xml:space="preserve">     Other</t>
  </si>
  <si>
    <t>POSITIVE</t>
  </si>
  <si>
    <t>(NEGATIVE)</t>
  </si>
  <si>
    <t>FINAL</t>
  </si>
  <si>
    <t>Prior FY Accr Exp for Cap Assets</t>
  </si>
  <si>
    <t>Curr FY Accr Exp for Cap Assets</t>
  </si>
  <si>
    <t>TOTAL DEBT SERVICE</t>
  </si>
  <si>
    <t>BALANCE SHEET</t>
  </si>
  <si>
    <t>SPECIAL REVENUE FUNDS</t>
  </si>
  <si>
    <t xml:space="preserve">        Other purposes</t>
  </si>
  <si>
    <t xml:space="preserve">        Bond reserves</t>
  </si>
  <si>
    <t>Worksheet for Statement of Activities</t>
  </si>
  <si>
    <t>Noncurrent liabilities:</t>
  </si>
  <si>
    <t>Current liabilities:</t>
  </si>
  <si>
    <t>SPEC</t>
  </si>
  <si>
    <t>MOBILE-UNITS</t>
  </si>
  <si>
    <t xml:space="preserve">        over(under) expenditures</t>
  </si>
  <si>
    <t>OTHER FINANCING SOURCES(USES)</t>
  </si>
  <si>
    <t xml:space="preserve">   Transfers in</t>
  </si>
  <si>
    <t xml:space="preserve">   Transfers out</t>
  </si>
  <si>
    <t xml:space="preserve">   Loans</t>
  </si>
  <si>
    <t xml:space="preserve">   Sale of capital assets</t>
  </si>
  <si>
    <t xml:space="preserve">     Total other financing sources(uses)</t>
  </si>
  <si>
    <t>ROADS</t>
  </si>
  <si>
    <t>BUDGET</t>
  </si>
  <si>
    <t>ERC051</t>
  </si>
  <si>
    <t>ERC052</t>
  </si>
  <si>
    <t>SCHEDULE OF REVENUES, EXPENDITURES AND CHANGES IN FUND BALANCE</t>
  </si>
  <si>
    <t>adjust misc rev - rounding</t>
  </si>
  <si>
    <t>Enter funds</t>
  </si>
  <si>
    <t>adjust int gov rev - rounding</t>
  </si>
  <si>
    <t>adjust tax rev - rounding</t>
  </si>
  <si>
    <t xml:space="preserve">         Total deductions</t>
  </si>
  <si>
    <t xml:space="preserve">     Intergovernmental</t>
  </si>
  <si>
    <t xml:space="preserve">     Charges for services</t>
  </si>
  <si>
    <t xml:space="preserve">     Fines and forfeitures</t>
  </si>
  <si>
    <t xml:space="preserve">             sources and uses</t>
  </si>
  <si>
    <t>AMOUNT AVAIL IN DEBT SERVICE FUND</t>
  </si>
  <si>
    <t>AMOUNT TO BE PROV FOR COMP ABS</t>
  </si>
  <si>
    <t>AMOUNT TO BE PROV FOR RETIREMENT</t>
  </si>
  <si>
    <t>OF GENERAL LONG-TERM DEBT</t>
  </si>
  <si>
    <t>ACCOUNTS PAYABLE</t>
  </si>
  <si>
    <t>DUE TO OTHER FUNDS</t>
  </si>
  <si>
    <t>(Page 4 of 4)</t>
  </si>
  <si>
    <t>ADVANCES FROM OTHER FUNDS</t>
  </si>
  <si>
    <t>TOTAL LIABILITIES</t>
  </si>
  <si>
    <t>FUND BALANCES:</t>
  </si>
  <si>
    <t>UNRESERVED</t>
  </si>
  <si>
    <t>TOTAL FUND BALANCES</t>
  </si>
  <si>
    <t>TOTAL LIABILITIES AND FUND BALANCES</t>
  </si>
  <si>
    <t>FINAL BUDGET -</t>
  </si>
  <si>
    <t xml:space="preserve">     Capital outlay</t>
  </si>
  <si>
    <t xml:space="preserve">     Enterprise and Internal Service Funds:</t>
  </si>
  <si>
    <t xml:space="preserve">     Personal services</t>
  </si>
  <si>
    <t xml:space="preserve">     Supplies</t>
  </si>
  <si>
    <t xml:space="preserve">     Purchased services</t>
  </si>
  <si>
    <t xml:space="preserve">     Bad debt expense</t>
  </si>
  <si>
    <t xml:space="preserve">     Licenses and permits</t>
  </si>
  <si>
    <t>Statement</t>
  </si>
  <si>
    <t xml:space="preserve">     Capital leases - current</t>
  </si>
  <si>
    <t xml:space="preserve">     Landfill postclosure costs payable - current</t>
  </si>
  <si>
    <t xml:space="preserve">         Total Public Safety</t>
  </si>
  <si>
    <t xml:space="preserve">     Public Works</t>
  </si>
  <si>
    <t xml:space="preserve">         Total Public Works</t>
  </si>
  <si>
    <t xml:space="preserve">     net cash provided by (used by) operating activities:</t>
  </si>
  <si>
    <t>REFUND</t>
  </si>
  <si>
    <t>L&amp;C CO</t>
  </si>
  <si>
    <t>ENTITLEMENT</t>
  </si>
  <si>
    <t>x</t>
  </si>
  <si>
    <t xml:space="preserve">     Proceeds from issuing long term debt</t>
  </si>
  <si>
    <t xml:space="preserve">     Proceeds from issuing bonds</t>
  </si>
  <si>
    <t>ERC042</t>
  </si>
  <si>
    <t>ERC043</t>
  </si>
  <si>
    <t>ERC044</t>
  </si>
  <si>
    <t xml:space="preserve">     General obligation bonds payable</t>
  </si>
  <si>
    <t xml:space="preserve">     Special assessment debt with government commitment</t>
  </si>
  <si>
    <t>CURRENT ASSETS</t>
  </si>
  <si>
    <t>CASH AND CASH EQUIVALENTS</t>
  </si>
  <si>
    <t>INVESTMENTS</t>
  </si>
  <si>
    <t>RECEIVABLES</t>
  </si>
  <si>
    <t>TAXES/ASSESSMENTS</t>
  </si>
  <si>
    <t>Deferred assessment</t>
  </si>
  <si>
    <t>ACCOUNTS/CONTRACT</t>
  </si>
  <si>
    <t xml:space="preserve">           Total assets</t>
  </si>
  <si>
    <t>Adjustments</t>
  </si>
  <si>
    <t>C2</t>
  </si>
  <si>
    <t>Scheduled</t>
  </si>
  <si>
    <t>A</t>
  </si>
  <si>
    <t>B</t>
  </si>
  <si>
    <t>(B+C)-A</t>
  </si>
  <si>
    <t>F/A</t>
  </si>
  <si>
    <t>C1</t>
  </si>
  <si>
    <t>(included in Revenue Bonds payable - below)</t>
  </si>
  <si>
    <t>Diff</t>
  </si>
  <si>
    <t xml:space="preserve">     Retained Earnings</t>
  </si>
  <si>
    <t>Bond Covenant Provision</t>
  </si>
  <si>
    <t xml:space="preserve">            Treasure State Endowment Program</t>
  </si>
  <si>
    <t xml:space="preserve">     Receipts of interest and dividends</t>
  </si>
  <si>
    <t xml:space="preserve">     Payments for investments</t>
  </si>
  <si>
    <t xml:space="preserve">                 investing activities</t>
  </si>
  <si>
    <t xml:space="preserve">          Net increase (decrease) in cash</t>
  </si>
  <si>
    <t xml:space="preserve">                 and cash equivalents</t>
  </si>
  <si>
    <t xml:space="preserve">          Cash and cash equivalents, July 1</t>
  </si>
  <si>
    <t>those assets is allocated over their estimated useful lives and reported as depreciation expenses.</t>
  </si>
  <si>
    <t xml:space="preserve">     Depreciation expense</t>
  </si>
  <si>
    <t>100-199</t>
  </si>
  <si>
    <t>COUNTY</t>
  </si>
  <si>
    <t>RECORD</t>
  </si>
  <si>
    <t>LAND</t>
  </si>
  <si>
    <t xml:space="preserve">     Payments for capital acquisitions</t>
  </si>
  <si>
    <t>AZ</t>
  </si>
  <si>
    <t>Current</t>
  </si>
  <si>
    <t>Year Accr</t>
  </si>
  <si>
    <t>Prior</t>
  </si>
  <si>
    <t>Balances</t>
  </si>
  <si>
    <t>Before AZ</t>
  </si>
  <si>
    <t>(1),(2)?</t>
  </si>
  <si>
    <t>Year other</t>
  </si>
  <si>
    <t>adjust trans out - rounding</t>
  </si>
  <si>
    <t>RADIO</t>
  </si>
  <si>
    <t>INFO TECH</t>
  </si>
  <si>
    <t>LIABILITY</t>
  </si>
  <si>
    <t>BENEFITS</t>
  </si>
  <si>
    <t>INTERNAL</t>
  </si>
  <si>
    <t>COURT</t>
  </si>
  <si>
    <t>DRUG FUND</t>
  </si>
  <si>
    <t>PRESERVATION</t>
  </si>
  <si>
    <t>PROGRAMS</t>
  </si>
  <si>
    <t>FACILITIES</t>
  </si>
  <si>
    <t>FUNDS</t>
  </si>
  <si>
    <t xml:space="preserve">              Endowment fund</t>
  </si>
  <si>
    <t xml:space="preserve">   Long-term Debt</t>
  </si>
  <si>
    <t xml:space="preserve">      Bonds pay</t>
  </si>
  <si>
    <t xml:space="preserve">      Cap Leases</t>
  </si>
  <si>
    <t>PERPETUAL CARE</t>
  </si>
  <si>
    <t>and/or transfers of long-term debt  to enterprise funds are not recognized for transactions that are not normally</t>
  </si>
  <si>
    <t>Reconciliations</t>
  </si>
  <si>
    <t>Inventories:</t>
  </si>
  <si>
    <t>Prior Yr Due to other Funds</t>
  </si>
  <si>
    <t xml:space="preserve">          Increase (decrease) in OPEB implicit rate subsidy</t>
  </si>
  <si>
    <t>Current FY Bd/loan Pymt</t>
  </si>
  <si>
    <t>ASSESSMENT</t>
  </si>
  <si>
    <t>ALCOHOLISM</t>
  </si>
  <si>
    <t>RELATED</t>
  </si>
  <si>
    <t xml:space="preserve">     Intergovernmental payable</t>
  </si>
  <si>
    <t xml:space="preserve">     Accounts payable</t>
  </si>
  <si>
    <t xml:space="preserve">            Fines and forfeitures</t>
  </si>
  <si>
    <t xml:space="preserve">            Surcharge</t>
  </si>
  <si>
    <t>ECONOMIC</t>
  </si>
  <si>
    <t>SE -Expenditure</t>
  </si>
  <si>
    <t>CR -Expenditure</t>
  </si>
  <si>
    <t>OPEB</t>
  </si>
  <si>
    <t xml:space="preserve">     basis, expenses and liabilities are reported regardless of when financial resources are available.</t>
  </si>
  <si>
    <t xml:space="preserve">     Deferred charges - Revenue bond issuance costs</t>
  </si>
  <si>
    <t xml:space="preserve">     Amortization of revenue bond issuance costs</t>
  </si>
  <si>
    <t xml:space="preserve">     OPEB implicit rate subsidy</t>
  </si>
  <si>
    <t>Prior FY OPEB implicite rate subsidy</t>
  </si>
  <si>
    <t xml:space="preserve">        OPEB implicit rate subsidy</t>
  </si>
  <si>
    <t>JV-8a</t>
  </si>
  <si>
    <t>JV-8b</t>
  </si>
  <si>
    <t xml:space="preserve">     OPEB/</t>
  </si>
  <si>
    <t xml:space="preserve">     Payments for principal and interest on</t>
  </si>
  <si>
    <t xml:space="preserve">   Federal grants:</t>
  </si>
  <si>
    <t xml:space="preserve">     Federal emergency</t>
  </si>
  <si>
    <t xml:space="preserve">     Other federal grants</t>
  </si>
  <si>
    <t>PERMANENT FUND</t>
  </si>
  <si>
    <t>CENTER</t>
  </si>
  <si>
    <t xml:space="preserve">     Contracts/loans - current</t>
  </si>
  <si>
    <t>adjust f &amp; f rev - rounding</t>
  </si>
  <si>
    <t>OTHER GRANTS</t>
  </si>
  <si>
    <t>Increase Assets Rec. - Taxes/Assessments</t>
  </si>
  <si>
    <t>Increase Assets Rec - Due from other Govts</t>
  </si>
  <si>
    <t xml:space="preserve">     Capital assets</t>
  </si>
  <si>
    <t>TRUST</t>
  </si>
  <si>
    <t>SCHOOLS</t>
  </si>
  <si>
    <t>HOLDING</t>
  </si>
  <si>
    <t>REVIEW</t>
  </si>
  <si>
    <t>ADMINISTRATOR</t>
  </si>
  <si>
    <t>DISTRICT COURT</t>
  </si>
  <si>
    <t>COMMISSARY</t>
  </si>
  <si>
    <t>STATE</t>
  </si>
  <si>
    <t>CITIES</t>
  </si>
  <si>
    <t>DEDUCTIONS</t>
  </si>
  <si>
    <t>UNITS</t>
  </si>
  <si>
    <t>Forestvale</t>
  </si>
  <si>
    <t>REVENUES</t>
  </si>
  <si>
    <t>LIABILITIES AND FUND BALANCES</t>
  </si>
  <si>
    <t xml:space="preserve">                 over (under) expenditures</t>
  </si>
  <si>
    <t>ERC003</t>
  </si>
  <si>
    <t>ERC004</t>
  </si>
  <si>
    <t>ERC005</t>
  </si>
  <si>
    <t>ERC006</t>
  </si>
  <si>
    <t>ERC007</t>
  </si>
  <si>
    <t>OPEN</t>
  </si>
  <si>
    <t>(801-899)</t>
  </si>
  <si>
    <t>DISTRICTS DEBT</t>
  </si>
  <si>
    <t>RSID REVOLVING DEBT</t>
  </si>
  <si>
    <t>RURAL SPECIAL IMPROVEMENT DISTRICTS DEBT</t>
  </si>
  <si>
    <t xml:space="preserve">     RSID Debt</t>
  </si>
  <si>
    <t xml:space="preserve">     Fairgrounds Entr</t>
  </si>
  <si>
    <t>Capital Devlopment</t>
  </si>
  <si>
    <t>Projects</t>
  </si>
  <si>
    <t>2)</t>
  </si>
  <si>
    <t>in future don't make until after FYE</t>
  </si>
  <si>
    <t>see PS and int exp</t>
  </si>
  <si>
    <t xml:space="preserve">     Advances to other funds</t>
  </si>
  <si>
    <t>a)New purchases</t>
  </si>
  <si>
    <t>b)Deprec</t>
  </si>
  <si>
    <t>a),b),1), 2)</t>
  </si>
  <si>
    <t xml:space="preserve">         General business</t>
  </si>
  <si>
    <t xml:space="preserve">Proceeds from long-term debt provides current financial resources to the governmental funds and the repayment of </t>
  </si>
  <si>
    <t xml:space="preserve">     Fund Balance, July 1</t>
  </si>
  <si>
    <t>OPERATION</t>
  </si>
  <si>
    <t>CONSTRUCTION</t>
  </si>
  <si>
    <t>OPERATIONS</t>
  </si>
  <si>
    <t>Assets - liabilities and fund equity - should equal 0</t>
  </si>
  <si>
    <t xml:space="preserve">     Capital Devel</t>
  </si>
  <si>
    <t>other</t>
  </si>
  <si>
    <t>Misc</t>
  </si>
  <si>
    <t>Increase Revenue - Taxes/Assessment</t>
  </si>
  <si>
    <t>Increase Revenue - Intergovernmental</t>
  </si>
  <si>
    <t>STATEMENT OF ACTIVITIES</t>
  </si>
  <si>
    <t>Function/Programs</t>
  </si>
  <si>
    <t>EXPENSES</t>
  </si>
  <si>
    <t xml:space="preserve">                 capital and related financing activities</t>
  </si>
  <si>
    <t>EXTENSION</t>
  </si>
  <si>
    <t xml:space="preserve">          Investments (at cost)</t>
  </si>
  <si>
    <t xml:space="preserve">     Cash payments for landfill closure and post closure</t>
  </si>
  <si>
    <t xml:space="preserve">     Restricted assets:</t>
  </si>
  <si>
    <t xml:space="preserve">          Cash and cash equivalents (at cost)</t>
  </si>
  <si>
    <t>RECONCILIATION OF STATEMENT OF REVENUES, EXPENDITURES, AND CHANGES</t>
  </si>
  <si>
    <t xml:space="preserve"> IN FUND BALANCES OF GOVERNMENTAL FUNDS TO THE STATEMENT OF ACTIVITIES</t>
  </si>
  <si>
    <t>CURRENT LIABILITIES</t>
  </si>
  <si>
    <t>CHARGE FOR</t>
  </si>
  <si>
    <t>OPERATING</t>
  </si>
  <si>
    <t xml:space="preserve">           Total liabilities</t>
  </si>
  <si>
    <t xml:space="preserve">     Assumption of Fairgrounds Liabilities</t>
  </si>
  <si>
    <t>CONTRACTS/LOANS PAYABLE - CURRENT</t>
  </si>
  <si>
    <t>INTERGOVERNMENTAL PAYABLE</t>
  </si>
  <si>
    <t>CAPITAL LEASES - CURRENT</t>
  </si>
  <si>
    <t>REVENUE BONDS PAYABLE</t>
  </si>
  <si>
    <t>LANDFILL POSTCLOSURE COSTS PAY -CUR</t>
  </si>
  <si>
    <t>CLAIMS PAYABLE</t>
  </si>
  <si>
    <t>GENERAL OBLIGATION BONDS PAYABLE</t>
  </si>
  <si>
    <t>SPECIAL ASMNT DEBT WITH GOV COMMT</t>
  </si>
  <si>
    <t>NONCURRENT LIABILITIES</t>
  </si>
  <si>
    <t>CONTRACTS/LOAN PAYABLE</t>
  </si>
  <si>
    <t>CAPITAL LEASES PAYABLE</t>
  </si>
  <si>
    <t>LANDFILL POSTCLOSURE COSTS PAYABLE</t>
  </si>
  <si>
    <t>Current FY Lease Pymt</t>
  </si>
  <si>
    <t>Prior FY Invest - B/S</t>
  </si>
  <si>
    <t>Prior FY Accounts/Cont - B/S</t>
  </si>
  <si>
    <t>Prior FY Rest Invest - B/S</t>
  </si>
  <si>
    <t>316-00 to 99</t>
  </si>
  <si>
    <t>(included in Contracts/loans payable - below)</t>
  </si>
  <si>
    <t>Due from other governments</t>
  </si>
  <si>
    <t>HOMELAND SECURITY GRANT</t>
  </si>
  <si>
    <t>Revenues by Source - Business-type Activities</t>
  </si>
  <si>
    <t>Fairgrounds</t>
  </si>
  <si>
    <r>
      <t>341</t>
    </r>
    <r>
      <rPr>
        <sz val="10"/>
        <rFont val="Arial"/>
        <family val="2"/>
      </rPr>
      <t>.07-00to08-49, 08-51to19-99</t>
    </r>
  </si>
  <si>
    <r>
      <t>341</t>
    </r>
    <r>
      <rPr>
        <sz val="10"/>
        <rFont val="Arial"/>
        <family val="2"/>
      </rPr>
      <t xml:space="preserve">.04-00 to 19, </t>
    </r>
    <r>
      <rPr>
        <b/>
        <sz val="10"/>
        <rFont val="Arial"/>
        <family val="2"/>
      </rPr>
      <t>341</t>
    </r>
    <r>
      <rPr>
        <sz val="10"/>
        <rFont val="Arial"/>
        <family val="2"/>
      </rPr>
      <t>.04-30 to 99</t>
    </r>
  </si>
  <si>
    <r>
      <t>341</t>
    </r>
    <r>
      <rPr>
        <sz val="10"/>
        <rFont val="Arial"/>
        <family val="2"/>
      </rPr>
      <t xml:space="preserve">.06-00 to 19, </t>
    </r>
    <r>
      <rPr>
        <b/>
        <sz val="10"/>
        <rFont val="Arial"/>
        <family val="2"/>
      </rPr>
      <t>341</t>
    </r>
    <r>
      <rPr>
        <sz val="10"/>
        <rFont val="Arial"/>
        <family val="2"/>
      </rPr>
      <t>.06-50 to 99</t>
    </r>
  </si>
  <si>
    <r>
      <t>341</t>
    </r>
    <r>
      <rPr>
        <sz val="10"/>
        <rFont val="Arial"/>
        <family val="2"/>
      </rPr>
      <t xml:space="preserve">.01-03, </t>
    </r>
    <r>
      <rPr>
        <b/>
        <sz val="10"/>
        <rFont val="Arial"/>
        <family val="2"/>
      </rPr>
      <t>341</t>
    </r>
    <r>
      <rPr>
        <sz val="10"/>
        <rFont val="Arial"/>
        <family val="2"/>
      </rPr>
      <t>.06-20to 49</t>
    </r>
  </si>
  <si>
    <r>
      <t>341</t>
    </r>
    <r>
      <rPr>
        <sz val="10"/>
        <rFont val="Arial"/>
        <family val="2"/>
      </rPr>
      <t>.05-00 to 99</t>
    </r>
  </si>
  <si>
    <r>
      <t>341</t>
    </r>
    <r>
      <rPr>
        <sz val="10"/>
        <rFont val="Arial"/>
        <family val="2"/>
      </rPr>
      <t>.02-00 to 99</t>
    </r>
  </si>
  <si>
    <r>
      <t>341</t>
    </r>
    <r>
      <rPr>
        <sz val="10"/>
        <rFont val="Arial"/>
        <family val="2"/>
      </rPr>
      <t>.01 less01-03,03,08-50</t>
    </r>
  </si>
  <si>
    <t xml:space="preserve">             Excess (deficiency) of revenue</t>
  </si>
  <si>
    <t xml:space="preserve">     Gain (Loss) on sale of investments</t>
  </si>
  <si>
    <t xml:space="preserve">          (Increase) decrease inventory</t>
  </si>
  <si>
    <t xml:space="preserve">     Cash received from other operating revenues</t>
  </si>
  <si>
    <t>Total liabilities</t>
  </si>
  <si>
    <t xml:space="preserve">            Other federal shared revenue</t>
  </si>
  <si>
    <t>Public Safety</t>
  </si>
  <si>
    <t>ERC037</t>
  </si>
  <si>
    <t>ERC038</t>
  </si>
  <si>
    <t>ERC039</t>
  </si>
  <si>
    <t>ERC040</t>
  </si>
  <si>
    <t xml:space="preserve">  Public health</t>
  </si>
  <si>
    <t xml:space="preserve">  Social and economic</t>
  </si>
  <si>
    <t xml:space="preserve">  Culture and recreation</t>
  </si>
  <si>
    <t>Debt Service</t>
  </si>
  <si>
    <t>Capital Outlay</t>
  </si>
  <si>
    <t>Personal services</t>
  </si>
  <si>
    <t>Supplies</t>
  </si>
  <si>
    <t>Purchased services</t>
  </si>
  <si>
    <t>Other</t>
  </si>
  <si>
    <t>Fixed charges</t>
  </si>
  <si>
    <t xml:space="preserve">              Advance to other funds</t>
  </si>
  <si>
    <t xml:space="preserve">              Perpetual care</t>
  </si>
  <si>
    <t>TOTAL LIABILITIES AND FUND EQUITY</t>
  </si>
  <si>
    <t>NET ASSETS</t>
  </si>
  <si>
    <t xml:space="preserve">     Investment in capital assets, net of related debt</t>
  </si>
  <si>
    <t>Fund Balance:</t>
  </si>
  <si>
    <t>paid with expendable available financial resources.  In the statement of activities they should be reported.</t>
  </si>
  <si>
    <t xml:space="preserve">          Total Liabilities</t>
  </si>
  <si>
    <t>Equity and Other Credits:</t>
  </si>
  <si>
    <t xml:space="preserve">          Reserved for:</t>
  </si>
  <si>
    <t>Worksheet for Statement of Net Assets</t>
  </si>
  <si>
    <t>Liabilities:</t>
  </si>
  <si>
    <t xml:space="preserve">     Warrants payable</t>
  </si>
  <si>
    <t>Prior FY Land, Prop, Equip - B/S</t>
  </si>
  <si>
    <t>Prior FY Def Rev - B/S</t>
  </si>
  <si>
    <t>Internal Services</t>
  </si>
  <si>
    <t>General government</t>
  </si>
  <si>
    <t>Public safety</t>
  </si>
  <si>
    <t>Public works</t>
  </si>
  <si>
    <t>Public health</t>
  </si>
  <si>
    <t>Social and economic</t>
  </si>
  <si>
    <t>Culture and recreation</t>
  </si>
  <si>
    <t>Debt service</t>
  </si>
  <si>
    <t xml:space="preserve">    Contributions of capital assets</t>
  </si>
  <si>
    <t>GG -Expenditure</t>
  </si>
  <si>
    <t>PS -Expenditure</t>
  </si>
  <si>
    <t>PW -Expenditure</t>
  </si>
  <si>
    <t>PH -Expenditure</t>
  </si>
  <si>
    <t>JV-1a&amp;b</t>
  </si>
  <si>
    <t xml:space="preserve">            Gambling revenues</t>
  </si>
  <si>
    <r>
      <t>343</t>
    </r>
    <r>
      <rPr>
        <sz val="10"/>
        <rFont val="Arial"/>
        <family val="2"/>
      </rPr>
      <t>.36-00 to 99</t>
    </r>
  </si>
  <si>
    <r>
      <t>344</t>
    </r>
    <r>
      <rPr>
        <sz val="10"/>
        <rFont val="Arial"/>
        <family val="2"/>
      </rPr>
      <t>.01-00 to 99</t>
    </r>
  </si>
  <si>
    <t>01-20 to 04-20, 04-50</t>
  </si>
  <si>
    <t>1330-419</t>
  </si>
  <si>
    <t>1610-419</t>
  </si>
  <si>
    <t xml:space="preserve">         Personnel services</t>
  </si>
  <si>
    <t xml:space="preserve">         Other general government</t>
  </si>
  <si>
    <t xml:space="preserve">        Facilities administration</t>
  </si>
  <si>
    <t xml:space="preserve">        Bridge</t>
  </si>
  <si>
    <t xml:space="preserve">        Welfare services</t>
  </si>
  <si>
    <t>400.90-00 to 490.99-99</t>
  </si>
  <si>
    <t>400.60-00 to 490.69-99</t>
  </si>
  <si>
    <t>1910-1920. 419</t>
  </si>
  <si>
    <t xml:space="preserve">         Total Social and Economic</t>
  </si>
  <si>
    <t>CITY/COUNTY BUILDING DEBT</t>
  </si>
  <si>
    <t>10-00 to 99</t>
  </si>
  <si>
    <t>21-00 to 23-99</t>
  </si>
  <si>
    <t>07-00 to 12-99</t>
  </si>
  <si>
    <t>PERPETUAL</t>
  </si>
  <si>
    <t>POOL</t>
  </si>
  <si>
    <t>Prior period adjustments</t>
  </si>
  <si>
    <t>Net assets held in trust at beginning of year, as restated</t>
  </si>
  <si>
    <t>361-int rec</t>
  </si>
  <si>
    <t xml:space="preserve">     Cash payments for landfill closure and post closure costs</t>
  </si>
  <si>
    <t xml:space="preserve">     Construction in Progress increase/(decrease)</t>
  </si>
  <si>
    <t>RSID Debt</t>
  </si>
  <si>
    <t>library</t>
  </si>
  <si>
    <t>Libr</t>
  </si>
  <si>
    <t>new ap $2</t>
  </si>
  <si>
    <t>chg int rec</t>
  </si>
  <si>
    <t>JV-9</t>
  </si>
  <si>
    <t>JV-5</t>
  </si>
  <si>
    <t>JV-6</t>
  </si>
  <si>
    <t>GRANT</t>
  </si>
  <si>
    <t>FUND</t>
  </si>
  <si>
    <t>JV-3</t>
  </si>
  <si>
    <t xml:space="preserve">     Residual Equity Transfers to other funds</t>
  </si>
  <si>
    <t xml:space="preserve">          bonds and notes</t>
  </si>
  <si>
    <t xml:space="preserve">          Increase (decrease) claims payable</t>
  </si>
  <si>
    <t xml:space="preserve">            Personal services</t>
  </si>
  <si>
    <t xml:space="preserve">         Total Revenues</t>
  </si>
  <si>
    <t xml:space="preserve">   Miscellaneous Revenues</t>
  </si>
  <si>
    <t xml:space="preserve">   Investment Earnings</t>
  </si>
  <si>
    <t xml:space="preserve">     Total Revenues</t>
  </si>
  <si>
    <t>Outside</t>
  </si>
  <si>
    <t xml:space="preserve">     Cash and cash equivalents</t>
  </si>
  <si>
    <t xml:space="preserve">       Total Taxes/Assessments</t>
  </si>
  <si>
    <t xml:space="preserve">       Total Licenses and Permits</t>
  </si>
  <si>
    <t xml:space="preserve">       Total Intergovernmental</t>
  </si>
  <si>
    <t>Public Works</t>
  </si>
  <si>
    <t>RECONCILIATION TO CASH BASIS FUND BALANCE</t>
  </si>
  <si>
    <t xml:space="preserve">     Prococeed from sale of capital assets</t>
  </si>
  <si>
    <t>JV-10</t>
  </si>
  <si>
    <t>PROTESTED</t>
  </si>
  <si>
    <t>ESTATE</t>
  </si>
  <si>
    <t xml:space="preserve">                Capital projects fund</t>
  </si>
  <si>
    <t>Special Revenue</t>
  </si>
  <si>
    <t xml:space="preserve">     Unreserved</t>
  </si>
  <si>
    <t xml:space="preserve">            Other federal grants</t>
  </si>
  <si>
    <t>Federal shared revenue:</t>
  </si>
  <si>
    <t xml:space="preserve">    Individual investment accounts</t>
  </si>
  <si>
    <t xml:space="preserve">         Total additions</t>
  </si>
  <si>
    <t>Interest on long-term debt(CF:620.000&amp; 630.000)</t>
  </si>
  <si>
    <t>County</t>
  </si>
  <si>
    <t>Total</t>
  </si>
  <si>
    <t>GENERAL FUND</t>
  </si>
  <si>
    <t>file: Long-term Debtxx</t>
  </si>
  <si>
    <t>worksheet: Reserves</t>
  </si>
  <si>
    <t>CY- Amortization of Def Loss on Bond Refunding</t>
  </si>
  <si>
    <t>(800-899)</t>
  </si>
  <si>
    <t>Capital</t>
  </si>
  <si>
    <t>Invested in Capital</t>
  </si>
  <si>
    <t>Assets, Net of</t>
  </si>
  <si>
    <t xml:space="preserve">    Total number of funds:</t>
  </si>
  <si>
    <t xml:space="preserve">    Total number of funds qualifying as major funds:</t>
  </si>
  <si>
    <t>Governmental Funds:</t>
  </si>
  <si>
    <t xml:space="preserve">     General Fund</t>
  </si>
  <si>
    <t>COMPENSATED ABSENCES PAYABLE</t>
  </si>
  <si>
    <t xml:space="preserve">          Prior period adjustment</t>
  </si>
  <si>
    <t xml:space="preserve">    amount in sch: FID FDS, row 21</t>
  </si>
  <si>
    <t>Transfers info auto from:</t>
  </si>
  <si>
    <t xml:space="preserve">              Inventories</t>
  </si>
  <si>
    <t>Income &amp; Expense</t>
  </si>
  <si>
    <t>Expenses</t>
  </si>
  <si>
    <t>Program Revenues</t>
  </si>
  <si>
    <t>Expenses and Program Revenues - Governmental Activities</t>
  </si>
  <si>
    <t>Interest on long-term debt</t>
  </si>
  <si>
    <t>Taxes</t>
  </si>
  <si>
    <t xml:space="preserve">     Write off of taxes receivables</t>
  </si>
  <si>
    <t>Current FY Uncoll-taxes</t>
  </si>
  <si>
    <t>charges for serv</t>
  </si>
  <si>
    <t>op gr</t>
  </si>
  <si>
    <t>cap grt</t>
  </si>
  <si>
    <t>taxes</t>
  </si>
  <si>
    <t>gr not rest</t>
  </si>
  <si>
    <t xml:space="preserve">     General government</t>
  </si>
  <si>
    <t xml:space="preserve">     Public safety</t>
  </si>
  <si>
    <t xml:space="preserve">     Public works</t>
  </si>
  <si>
    <t xml:space="preserve">     Cultural and Recreation</t>
  </si>
  <si>
    <t xml:space="preserve">     Justice Court</t>
  </si>
  <si>
    <t xml:space="preserve">     Other Court</t>
  </si>
  <si>
    <t>Current:</t>
  </si>
  <si>
    <t>Wksheet</t>
  </si>
  <si>
    <t xml:space="preserve">     Revenues over (under) expenditures</t>
  </si>
  <si>
    <t xml:space="preserve">     Write off of accounts receivables</t>
  </si>
  <si>
    <t>OTHER FINANCING SOURCES (USES)</t>
  </si>
  <si>
    <t xml:space="preserve">     Cash and cash equivalents, current</t>
  </si>
  <si>
    <t>GRANTS</t>
  </si>
  <si>
    <t>Program</t>
  </si>
  <si>
    <t>Grant</t>
  </si>
  <si>
    <t>NONMAJOR ENTERPRISE FUNDS</t>
  </si>
  <si>
    <t>Under the modified accrual basis of accounting used in the governmental funds, donations of capital assets</t>
  </si>
  <si>
    <t xml:space="preserve">     Capital Grants and Contributions</t>
  </si>
  <si>
    <t>For</t>
  </si>
  <si>
    <t>Homeland</t>
  </si>
  <si>
    <t>Expenses and Program Revenues - Business-type Activities</t>
  </si>
  <si>
    <t>Solid waste</t>
  </si>
  <si>
    <t xml:space="preserve">     Supplies/services/materials,etc</t>
  </si>
  <si>
    <t xml:space="preserve">     Supplies/services/materials/etc.</t>
  </si>
  <si>
    <t xml:space="preserve">   Public Works</t>
  </si>
  <si>
    <t xml:space="preserve">     Principal</t>
  </si>
  <si>
    <t xml:space="preserve">     Total Expenditures</t>
  </si>
  <si>
    <t xml:space="preserve">     Excess (deficiency) of revenue</t>
  </si>
  <si>
    <t xml:space="preserve">     Net changes in fund balances</t>
  </si>
  <si>
    <t xml:space="preserve">   Fund balances, July 1</t>
  </si>
  <si>
    <t>HEALTH-RELATED GRANTS</t>
  </si>
  <si>
    <t>WATER QUALITY</t>
  </si>
  <si>
    <t xml:space="preserve">     Capital assets purchases capitalized</t>
  </si>
  <si>
    <t>DISTRICTS</t>
  </si>
  <si>
    <t>ORIGINAL</t>
  </si>
  <si>
    <t>ACTUAL</t>
  </si>
  <si>
    <t>CERT</t>
  </si>
  <si>
    <t>Contributions to pooled investments</t>
  </si>
  <si>
    <t>Deductions:</t>
  </si>
  <si>
    <t xml:space="preserve">   Net increase(decrease)</t>
  </si>
  <si>
    <t>371.00-00 to 99-99</t>
  </si>
  <si>
    <t>PRIOR YEAR ACCRUALS - EXPENDITURES:</t>
  </si>
  <si>
    <t>Accounts Payable:</t>
  </si>
  <si>
    <t xml:space="preserve">  General government</t>
  </si>
  <si>
    <t xml:space="preserve">  Public safety</t>
  </si>
  <si>
    <t xml:space="preserve">  Public works</t>
  </si>
  <si>
    <t>INTERNAL SERVICE FUNDS</t>
  </si>
  <si>
    <t>FIDUCIARY FUNDS</t>
  </si>
  <si>
    <t>60 Day Tax Accrual</t>
  </si>
  <si>
    <t>LAND, PROPERTY AND EQUIPMENT(NET)</t>
  </si>
  <si>
    <t xml:space="preserve">     Transfers from other Funds</t>
  </si>
  <si>
    <t xml:space="preserve">            Personal property reimbursement</t>
  </si>
  <si>
    <t>Component units:</t>
  </si>
  <si>
    <t xml:space="preserve">          Solid waste</t>
  </si>
  <si>
    <t xml:space="preserve">     Restricted assets - noncurrent</t>
  </si>
  <si>
    <t>technology and services; postage; radio sites; liability insurance claims; major medical, dental, life, vision insurance and claims;</t>
  </si>
  <si>
    <t>Combined Statement of Changes in Net Assets-</t>
  </si>
  <si>
    <t>Investment Trust Fund and Individual Investment Funds</t>
  </si>
  <si>
    <t>CTEP PROJECTS</t>
  </si>
  <si>
    <t>CTEPS</t>
  </si>
  <si>
    <t>RID</t>
  </si>
  <si>
    <t>CAPITAL DEVELOPMENT</t>
  </si>
  <si>
    <t>FEDERAL GRANT PROJECTS</t>
  </si>
  <si>
    <t>Income Statement - enter from general ledger</t>
  </si>
  <si>
    <t>CDBG</t>
  </si>
  <si>
    <t>MOBILE HOME</t>
  </si>
  <si>
    <t>INVESTMENT</t>
  </si>
  <si>
    <t>GENERAL</t>
  </si>
  <si>
    <t xml:space="preserve">NON EXPENDABLE </t>
  </si>
  <si>
    <t>PREDATORY</t>
  </si>
  <si>
    <t>DISTRICT</t>
  </si>
  <si>
    <t>CRAIG</t>
  </si>
  <si>
    <t>Prior FY Due to other Funds</t>
  </si>
  <si>
    <t xml:space="preserve">          (Increase) decrease in prepaid items</t>
  </si>
  <si>
    <t>Prior FY Prep items- B/S</t>
  </si>
  <si>
    <t>WATER</t>
  </si>
  <si>
    <t>PARKS</t>
  </si>
  <si>
    <t>LINCOLN</t>
  </si>
  <si>
    <t>FORESTVALE</t>
  </si>
  <si>
    <t>EMERGENCY</t>
  </si>
  <si>
    <t>MENTAL</t>
  </si>
  <si>
    <t>SENIOR</t>
  </si>
  <si>
    <t xml:space="preserve">     Total net assets, beginning</t>
  </si>
  <si>
    <t xml:space="preserve">     Total net assets, ending</t>
  </si>
  <si>
    <t xml:space="preserve">     Total net assets, beginning, as restated</t>
  </si>
  <si>
    <t>Increase Revenue - Fines &amp; Forfeitures</t>
  </si>
  <si>
    <t>Increase Revenue - Interest</t>
  </si>
  <si>
    <t>Increase Revenue - Misc</t>
  </si>
  <si>
    <t>Increase Liabilities - Accounts Payable</t>
  </si>
  <si>
    <t>Increase Expenditures - Gen'l Govt</t>
  </si>
  <si>
    <t>Increase Expenditures - Public Safety</t>
  </si>
  <si>
    <t>Increase Expenditures - Public Works</t>
  </si>
  <si>
    <t>Increase Expenditures - Public Health</t>
  </si>
  <si>
    <t>Increase Expenditures - Social &amp; Econ.</t>
  </si>
  <si>
    <t>Increase Expenditures - Culture &amp; Recreation</t>
  </si>
  <si>
    <t>Decrease Expenditures - Public Works</t>
  </si>
  <si>
    <t>Decrease Expenditures - Public Health</t>
  </si>
  <si>
    <t>(2)</t>
  </si>
  <si>
    <t>Related Debt</t>
  </si>
  <si>
    <t>Purposes</t>
  </si>
  <si>
    <t xml:space="preserve">     Principal repayment - capital leases</t>
  </si>
  <si>
    <t>print</t>
  </si>
  <si>
    <t>a1 to j45</t>
  </si>
  <si>
    <t xml:space="preserve">     Cumulative effect of the change in accounting for investments</t>
  </si>
  <si>
    <t xml:space="preserve">     Total Nonoperating Revenues (Expenses)</t>
  </si>
  <si>
    <t>Balance Sheet - Enter from year end trial balance</t>
  </si>
  <si>
    <t>ASSETS AND OTHER DEBITS</t>
  </si>
  <si>
    <t>Assets:</t>
  </si>
  <si>
    <t xml:space="preserve">     Cash and cash equivalents (at cost)</t>
  </si>
  <si>
    <t xml:space="preserve">     Investments (at cost)</t>
  </si>
  <si>
    <t xml:space="preserve">     Receivables:</t>
  </si>
  <si>
    <t xml:space="preserve">          Taxes/assessments</t>
  </si>
  <si>
    <t>HARD ROCK</t>
  </si>
  <si>
    <t xml:space="preserve">     Change in assets and liabilities:</t>
  </si>
  <si>
    <t>ASSETS</t>
  </si>
  <si>
    <t>Cash and cash equivalents</t>
  </si>
  <si>
    <t>Investments</t>
  </si>
  <si>
    <t>Total assets</t>
  </si>
  <si>
    <t>LIABILITIES</t>
  </si>
  <si>
    <t>Co. Landfill</t>
  </si>
  <si>
    <t>Requirement</t>
  </si>
  <si>
    <t>ERC014</t>
  </si>
  <si>
    <t>ERC015</t>
  </si>
  <si>
    <t>ERC016</t>
  </si>
  <si>
    <t xml:space="preserve">     Investment earnings</t>
  </si>
  <si>
    <t>INFORMATION</t>
  </si>
  <si>
    <t>TECHNOLOGY</t>
  </si>
  <si>
    <t>CONTROL</t>
  </si>
  <si>
    <t>DRUG</t>
  </si>
  <si>
    <t>CRAIG MOSQUITO CONTROL</t>
  </si>
  <si>
    <t>MOSQUITO CONTROL</t>
  </si>
  <si>
    <t xml:space="preserve">         Legislative services</t>
  </si>
  <si>
    <t xml:space="preserve">         Administrative services</t>
  </si>
  <si>
    <t>OTHER</t>
  </si>
  <si>
    <t>Cooney</t>
  </si>
  <si>
    <t>Net Revenue</t>
  </si>
  <si>
    <t xml:space="preserve">     Total General Government</t>
  </si>
  <si>
    <t xml:space="preserve">   Public Safety</t>
  </si>
  <si>
    <t xml:space="preserve">   Public works</t>
  </si>
  <si>
    <t>TOTAL NONMAJOR SPECIAL REVENUE</t>
  </si>
  <si>
    <t>PUB SAFETY</t>
  </si>
  <si>
    <t>RADIO PROJ</t>
  </si>
  <si>
    <t>60-00 to 69-99 int.</t>
  </si>
  <si>
    <t>80-00 to 80-15 trn out</t>
  </si>
  <si>
    <t xml:space="preserve">     Restricted for other purposes</t>
  </si>
  <si>
    <t>PRIOR YEAR ACCRUALS - REVENUES:</t>
  </si>
  <si>
    <t xml:space="preserve">    External investment pool participants</t>
  </si>
  <si>
    <t xml:space="preserve">     Library</t>
  </si>
  <si>
    <t xml:space="preserve">     Public Safety</t>
  </si>
  <si>
    <t>All greens assumed in Libr-combined</t>
  </si>
  <si>
    <t xml:space="preserve">     Prepaid charges</t>
  </si>
  <si>
    <t xml:space="preserve">     Miscellaneous</t>
  </si>
  <si>
    <t xml:space="preserve">     Total expenditures</t>
  </si>
  <si>
    <t xml:space="preserve">     Excess(deficiency) of revenue</t>
  </si>
  <si>
    <t xml:space="preserve">          Contract/loans payable</t>
  </si>
  <si>
    <t>Capital assets used in governmental activities are not financial resources and therefore are not reported in the funds.</t>
  </si>
  <si>
    <t>Other long-term assets are not available to pay for current-period expenditures and therefore are deferred in the funds.</t>
  </si>
  <si>
    <t>Internal service funds are used by management to charge the costs of certain activities, such as maintenance on county</t>
  </si>
  <si>
    <t>Investment</t>
  </si>
  <si>
    <t>ASSETS:</t>
  </si>
  <si>
    <t>Building</t>
  </si>
  <si>
    <t>Account</t>
  </si>
  <si>
    <t>Accounts</t>
  </si>
  <si>
    <t xml:space="preserve">    Total assets</t>
  </si>
  <si>
    <t>LIABILITIES:</t>
  </si>
  <si>
    <t xml:space="preserve">   Total liabilities</t>
  </si>
  <si>
    <t>FIDCOMBCH NA</t>
  </si>
  <si>
    <t xml:space="preserve">     Grant and contributions not restricted to specific programs</t>
  </si>
  <si>
    <t>Uncollectables - Taxes</t>
  </si>
  <si>
    <t xml:space="preserve">     Unrestricted investment earnings</t>
  </si>
  <si>
    <t>Transfers</t>
  </si>
  <si>
    <t>1000(001)</t>
  </si>
  <si>
    <t xml:space="preserve">          Total general revenue and transfers</t>
  </si>
  <si>
    <t>CAPITAL PROJECTS FUNDS</t>
  </si>
  <si>
    <t xml:space="preserve">     Total Public Safety</t>
  </si>
  <si>
    <t xml:space="preserve">     Total Public Works</t>
  </si>
  <si>
    <t xml:space="preserve">     Total Public Health</t>
  </si>
  <si>
    <t>PLAN II</t>
  </si>
  <si>
    <t>FIRE</t>
  </si>
  <si>
    <t>CITIZEN CORP/</t>
  </si>
  <si>
    <t>PROJECT</t>
  </si>
  <si>
    <t>FAIR</t>
  </si>
  <si>
    <t xml:space="preserve">     Capital Asset Trade ins</t>
  </si>
  <si>
    <t xml:space="preserve">          Increase (decrease) payables for capital purchases</t>
  </si>
  <si>
    <t xml:space="preserve">     Gain or loss from disposal of capital assets</t>
  </si>
  <si>
    <t>and flexible benefits claims.   The assets and liabilities of the internal service funds are included  in governmental activities</t>
  </si>
  <si>
    <t xml:space="preserve">   State shared revenues:</t>
  </si>
  <si>
    <t xml:space="preserve">     Personal property reimbursement</t>
  </si>
  <si>
    <t xml:space="preserve">   Charges for Services</t>
  </si>
  <si>
    <t xml:space="preserve">         Financial services</t>
  </si>
  <si>
    <t xml:space="preserve">         Elections</t>
  </si>
  <si>
    <t xml:space="preserve">         Judicial services</t>
  </si>
  <si>
    <t xml:space="preserve">     Claims payable</t>
  </si>
  <si>
    <t xml:space="preserve">     Advances from other funds</t>
  </si>
  <si>
    <t>INDIVIDUAL</t>
  </si>
  <si>
    <t xml:space="preserve">     Net change in fund balance</t>
  </si>
  <si>
    <t>INMATE</t>
  </si>
  <si>
    <t>ROAD</t>
  </si>
  <si>
    <t xml:space="preserve">     Interest</t>
  </si>
  <si>
    <t xml:space="preserve">   Capital Outlay</t>
  </si>
  <si>
    <t xml:space="preserve">     General Business</t>
  </si>
  <si>
    <t xml:space="preserve">     Other licenses &amp; permits</t>
  </si>
  <si>
    <t>Governmental funds report capital outlays as expenditures.  However, in the statement of activities, the cost of</t>
  </si>
  <si>
    <t xml:space="preserve">     Long-term receivables</t>
  </si>
  <si>
    <t xml:space="preserve">     Compensated absences</t>
  </si>
  <si>
    <t xml:space="preserve">     Capital leases payable</t>
  </si>
  <si>
    <t>SAFETY RADIO</t>
  </si>
  <si>
    <t>BUSINESS-</t>
  </si>
  <si>
    <t>TYPE</t>
  </si>
  <si>
    <t>GOVERNMENTAL FUNDS TO THE STATEMENT OF ACTIVITIES</t>
  </si>
  <si>
    <t>RECONCILIATION OF STATEMENT OF REVENUES, EXPENDITURES, AND CHANGES IN FUND BALANCES OF</t>
  </si>
  <si>
    <t>adjust Chg for Serv rev - rounding</t>
  </si>
  <si>
    <t>adjust inv rev - rounding</t>
  </si>
  <si>
    <t>Schedule of Noncash Transactions</t>
  </si>
  <si>
    <t>+795-434=361</t>
  </si>
  <si>
    <t>Compensated Absenses</t>
  </si>
  <si>
    <t>ADMIN</t>
  </si>
  <si>
    <t xml:space="preserve">            Other state shared revenue</t>
  </si>
  <si>
    <t xml:space="preserve">     Investment in general fixed assets</t>
  </si>
  <si>
    <t xml:space="preserve">     Contributed capital</t>
  </si>
  <si>
    <t xml:space="preserve">of when financial resources are available.  </t>
  </si>
  <si>
    <t>for transactions that are not normally paid with expendable available financial resources.  In the statement of</t>
  </si>
  <si>
    <t xml:space="preserve">     Restricted for:</t>
  </si>
  <si>
    <t>NATIONAL</t>
  </si>
  <si>
    <t>FIRE PLAN</t>
  </si>
  <si>
    <t>Governmental Funds</t>
  </si>
  <si>
    <t>LEWIS AND CLARK COUNTY, MONTANA</t>
  </si>
  <si>
    <t>(MEMORANDUM</t>
  </si>
  <si>
    <t>Chg in FV</t>
  </si>
  <si>
    <t>C3</t>
  </si>
  <si>
    <t>Accruals/</t>
  </si>
  <si>
    <t>ONLY)</t>
  </si>
  <si>
    <t>AGENCY</t>
  </si>
  <si>
    <t xml:space="preserve">   Legislative</t>
  </si>
  <si>
    <t xml:space="preserve">     PS</t>
  </si>
  <si>
    <t xml:space="preserve">     M&amp;O</t>
  </si>
  <si>
    <t xml:space="preserve">   Judicial</t>
  </si>
  <si>
    <t xml:space="preserve">   Administrative</t>
  </si>
  <si>
    <t xml:space="preserve">   Financial</t>
  </si>
  <si>
    <t xml:space="preserve">   Personnel</t>
  </si>
  <si>
    <t xml:space="preserve">   Elections</t>
  </si>
  <si>
    <t xml:space="preserve">   Records Admin</t>
  </si>
  <si>
    <t xml:space="preserve">   Legal</t>
  </si>
  <si>
    <t xml:space="preserve">   Public School Admin</t>
  </si>
  <si>
    <t xml:space="preserve">   Other Gen Govt</t>
  </si>
  <si>
    <t xml:space="preserve">   Coroner Services</t>
  </si>
  <si>
    <t xml:space="preserve">   Civil Defense</t>
  </si>
  <si>
    <t xml:space="preserve">   Road and Street Services</t>
  </si>
  <si>
    <t xml:space="preserve">   Bridge</t>
  </si>
  <si>
    <t xml:space="preserve">   Facilities Admin</t>
  </si>
  <si>
    <t xml:space="preserve">   Weed</t>
  </si>
  <si>
    <t xml:space="preserve">     Public Health</t>
  </si>
  <si>
    <t>Permanent Fund</t>
  </si>
  <si>
    <t xml:space="preserve">    (use uncollect sch, transfer to sheet1, thisfile</t>
  </si>
  <si>
    <t>HARD ROCK MINE RESERVE</t>
  </si>
  <si>
    <t>METAL MINES TAX RESERVE</t>
  </si>
  <si>
    <t xml:space="preserve">          Deferred assessments</t>
  </si>
  <si>
    <t xml:space="preserve">          Accounts/contracts</t>
  </si>
  <si>
    <t xml:space="preserve">     Due from other funds</t>
  </si>
  <si>
    <t xml:space="preserve">         Total General Government</t>
  </si>
  <si>
    <t xml:space="preserve">          Unreserved</t>
  </si>
  <si>
    <t>Increase/Decrease Fund Balance</t>
  </si>
  <si>
    <t>DEFERRED REVENUES</t>
  </si>
  <si>
    <t>Gross Revenue</t>
  </si>
  <si>
    <t>Direct Operating Expenses</t>
  </si>
  <si>
    <t>GAS TAX</t>
  </si>
  <si>
    <t>DUE FROM OTHER FUNDS</t>
  </si>
  <si>
    <t>DUE FROM OTHER GOVERNMENTS</t>
  </si>
  <si>
    <t>OPERATING REVENUES</t>
  </si>
  <si>
    <t>OPERATING EXPENSES</t>
  </si>
  <si>
    <t xml:space="preserve">     Revenues and other financing sources over</t>
  </si>
  <si>
    <t>Other long-term assets are not available to pay for current-period expenditures and therefore</t>
  </si>
  <si>
    <t xml:space="preserve">   are deferred in the funds.</t>
  </si>
  <si>
    <t>Capital assets used in governmental activities are not financial resources and therefore are not</t>
  </si>
  <si>
    <t xml:space="preserve">   reported in the funds.</t>
  </si>
  <si>
    <t>Governmental funds report capital outlays as expenditures.  However, in the statement</t>
  </si>
  <si>
    <t xml:space="preserve">   and reported as depreciation expenses.</t>
  </si>
  <si>
    <t>Revenues in the statement of activities that do not provide current financial resources</t>
  </si>
  <si>
    <t xml:space="preserve">   are not reported as revenues in  the funds.</t>
  </si>
  <si>
    <t>Under the modified accrual basis of accounting used in the governmental funds, expenditures</t>
  </si>
  <si>
    <t xml:space="preserve">    are not recognized for transactions that are not normally paid with expendable available</t>
  </si>
  <si>
    <t xml:space="preserve">    financial resources.  In the statement of activities, however, which is presented on the accrual</t>
  </si>
  <si>
    <t xml:space="preserve">          Net cash provided by (used by)</t>
  </si>
  <si>
    <t xml:space="preserve">                 operating activities</t>
  </si>
  <si>
    <t xml:space="preserve">                 noncapital financing activities</t>
  </si>
  <si>
    <t xml:space="preserve">        Aging services</t>
  </si>
  <si>
    <t>NONOPERATING REVENUES (EXPENSES)</t>
  </si>
  <si>
    <t xml:space="preserve">     Interest income</t>
  </si>
  <si>
    <t xml:space="preserve">     Buildings, Improvements, Vehicles and Equipment(net)</t>
  </si>
  <si>
    <t xml:space="preserve">     Infrastructure (net)</t>
  </si>
  <si>
    <t xml:space="preserve">   Federal sharing revenue</t>
  </si>
  <si>
    <t xml:space="preserve">     Taylor grazing</t>
  </si>
  <si>
    <t xml:space="preserve">     Payments in lieu</t>
  </si>
  <si>
    <t xml:space="preserve">     Other federal sharing revenue</t>
  </si>
  <si>
    <t xml:space="preserve">   State grants:</t>
  </si>
  <si>
    <t xml:space="preserve">     Treasure State Endowment Program</t>
  </si>
  <si>
    <t xml:space="preserve">     Other state grants</t>
  </si>
  <si>
    <t xml:space="preserve">     Other taxes</t>
  </si>
  <si>
    <t xml:space="preserve">     Total Culture and Recreation</t>
  </si>
  <si>
    <t xml:space="preserve">         Total Culture and Recreation</t>
  </si>
  <si>
    <t>COMBINING STATEMENT OF REVENUES, EXPENDITURES AND CHANGES IN FUND BALANCE</t>
  </si>
  <si>
    <t xml:space="preserve">          government commitment</t>
  </si>
  <si>
    <t xml:space="preserve">     Due to other funds</t>
  </si>
  <si>
    <t xml:space="preserve">     Deferred revenues</t>
  </si>
  <si>
    <t>Gov't-wide</t>
  </si>
  <si>
    <t xml:space="preserve">            Animal control</t>
  </si>
  <si>
    <t>REDEMPTIONS</t>
  </si>
  <si>
    <t>CLERK OF</t>
  </si>
  <si>
    <t>SOLID WASTE</t>
  </si>
  <si>
    <t>RESTITUTION</t>
  </si>
  <si>
    <t>PAYROLL</t>
  </si>
  <si>
    <t>EARNINGS</t>
  </si>
  <si>
    <t>EXPENDABLE</t>
  </si>
  <si>
    <t>MISC GRANTS</t>
  </si>
  <si>
    <t>SPECIAL ASSESSMENT DISTRICTS</t>
  </si>
  <si>
    <t>300-305</t>
  </si>
  <si>
    <t xml:space="preserve">          Total current liabilities</t>
  </si>
  <si>
    <t xml:space="preserve">                 Total noncurrent assets</t>
  </si>
  <si>
    <t xml:space="preserve">              Total liabilities</t>
  </si>
  <si>
    <t>Net Change in fund balances -- total governmental funds</t>
  </si>
  <si>
    <t xml:space="preserve">     Gambling revenues</t>
  </si>
  <si>
    <t xml:space="preserve">     Other state shared revenues</t>
  </si>
  <si>
    <t>VARIANCE WITH</t>
  </si>
  <si>
    <t xml:space="preserve">     Contracts/loans payable - current</t>
  </si>
  <si>
    <t>(Oper Inc/loss.)</t>
  </si>
  <si>
    <t>2205(203)</t>
  </si>
  <si>
    <t>2271(204)</t>
  </si>
  <si>
    <t>Fund Balance- GAAP</t>
  </si>
  <si>
    <t xml:space="preserve">   Taxes/Assessments</t>
  </si>
  <si>
    <t xml:space="preserve">     Property taxes</t>
  </si>
  <si>
    <t xml:space="preserve">     Local option tax</t>
  </si>
  <si>
    <t xml:space="preserve">     Business-type activities</t>
  </si>
  <si>
    <t>Net Accrual Adjustment</t>
  </si>
  <si>
    <t xml:space="preserve">     Amortization of revenue bond premium</t>
  </si>
  <si>
    <t xml:space="preserve">     Capital grants and contributions</t>
  </si>
  <si>
    <t xml:space="preserve">     Amortization of deferred loss from bond refunding</t>
  </si>
  <si>
    <t xml:space="preserve">     Loans/contracts payable</t>
  </si>
  <si>
    <t xml:space="preserve">     Capital Leases</t>
  </si>
  <si>
    <t xml:space="preserve">     Compensated Absences</t>
  </si>
  <si>
    <t>JV-5,6</t>
  </si>
  <si>
    <t>EXTERNAL</t>
  </si>
  <si>
    <t>PORTION</t>
  </si>
  <si>
    <t>ERC001</t>
  </si>
  <si>
    <t>ERC002</t>
  </si>
  <si>
    <t/>
  </si>
  <si>
    <t xml:space="preserve">     Revenue bonds payable from restricted assets</t>
  </si>
  <si>
    <t>Increase Assets Inventories</t>
  </si>
  <si>
    <t>ERC045</t>
  </si>
  <si>
    <t>ERC046</t>
  </si>
  <si>
    <t>ERC047</t>
  </si>
  <si>
    <t>ERC048</t>
  </si>
  <si>
    <t>ERC049</t>
  </si>
  <si>
    <t>ERC050</t>
  </si>
  <si>
    <t>Alow for Uncollectibles</t>
  </si>
  <si>
    <t>Fines and Forfeitures accrual</t>
  </si>
  <si>
    <t>Interest accrual</t>
  </si>
  <si>
    <t>Total Revenue Accruals</t>
  </si>
  <si>
    <t xml:space="preserve">        Public safety</t>
  </si>
  <si>
    <t xml:space="preserve">        Public works</t>
  </si>
  <si>
    <t xml:space="preserve">        Debt service</t>
  </si>
  <si>
    <t xml:space="preserve">  loan rev</t>
  </si>
  <si>
    <t>diff is con mem/forv end</t>
  </si>
  <si>
    <t>CITY/</t>
  </si>
  <si>
    <t>BUILDING DEBT</t>
  </si>
  <si>
    <t xml:space="preserve">        Fairgrounds administration</t>
  </si>
  <si>
    <t>CIVIL</t>
  </si>
  <si>
    <t>DEED</t>
  </si>
  <si>
    <t>HIDTA</t>
  </si>
  <si>
    <t>+9 for fund 3030</t>
  </si>
  <si>
    <t>Current FY Uncoll</t>
  </si>
  <si>
    <t xml:space="preserve">     Capital gains distribution</t>
  </si>
  <si>
    <t xml:space="preserve">          Total assets</t>
  </si>
  <si>
    <t xml:space="preserve">          Total liabilities</t>
  </si>
  <si>
    <t xml:space="preserve">          Total fund balances</t>
  </si>
  <si>
    <t xml:space="preserve">                Permanent fund</t>
  </si>
  <si>
    <t>JV-4</t>
  </si>
  <si>
    <t>PUBLIC SAFETY</t>
  </si>
  <si>
    <t xml:space="preserve">     Fund balance, July 1</t>
  </si>
  <si>
    <t xml:space="preserve">          Increase (decrease) postclosure liability</t>
  </si>
  <si>
    <t xml:space="preserve">     Amortization of Bond Premium</t>
  </si>
  <si>
    <t xml:space="preserve">Interest and investment income( from monthly STIP WORKSHEET and statements) </t>
  </si>
  <si>
    <t xml:space="preserve">        Claims payable</t>
  </si>
  <si>
    <t xml:space="preserve">        Contracts/loans payable</t>
  </si>
  <si>
    <t>BUSINESS-TYPE</t>
  </si>
  <si>
    <t xml:space="preserve">          Interest on long-term debt</t>
  </si>
  <si>
    <t xml:space="preserve">   Intergovernmental</t>
  </si>
  <si>
    <t>Increase Assets Rec - Accounts/Contracts</t>
  </si>
  <si>
    <t>101-199</t>
  </si>
  <si>
    <t xml:space="preserve">         Total expenditures</t>
  </si>
  <si>
    <t xml:space="preserve">         Total revenues</t>
  </si>
  <si>
    <t xml:space="preserve">     Transfers in</t>
  </si>
  <si>
    <t xml:space="preserve">     Transfers out</t>
  </si>
  <si>
    <t xml:space="preserve">             Net change in fund balances</t>
  </si>
  <si>
    <t xml:space="preserve">              Non-current assets</t>
  </si>
  <si>
    <t xml:space="preserve">     Fund Balance, July 1, as restated</t>
  </si>
  <si>
    <t xml:space="preserve">     Proceeds from loans/contracts</t>
  </si>
  <si>
    <t>CAPITAL ASSETS:</t>
  </si>
  <si>
    <t xml:space="preserve">     Revenue bonds payable</t>
  </si>
  <si>
    <t>PROPRIETARY FUNDS</t>
  </si>
  <si>
    <t>BUSINESS-TYPE ACTIVITIES - ENTERPRISE FUNDS</t>
  </si>
  <si>
    <t xml:space="preserve">     Unearned revenues</t>
  </si>
  <si>
    <t>Debt</t>
  </si>
  <si>
    <t>Cap Outlay</t>
  </si>
  <si>
    <t>Interest rec diff</t>
  </si>
  <si>
    <t xml:space="preserve">     Proceeds from interfund loans</t>
  </si>
  <si>
    <t>PUBLIC SAFERY RADIO PROJECT</t>
  </si>
  <si>
    <t>General government:</t>
  </si>
  <si>
    <t>Public safety:</t>
  </si>
  <si>
    <t>Court fines:</t>
  </si>
  <si>
    <t xml:space="preserve">           Bonds payable</t>
  </si>
  <si>
    <t xml:space="preserve">     Acrrued interest</t>
  </si>
  <si>
    <t>Fund balances</t>
  </si>
  <si>
    <t>General</t>
  </si>
  <si>
    <t xml:space="preserve">            Property tax</t>
  </si>
  <si>
    <t xml:space="preserve">            Election services</t>
  </si>
  <si>
    <t xml:space="preserve">            Clerk and Recorder</t>
  </si>
  <si>
    <t xml:space="preserve">     Proceeds from sale of capital assets</t>
  </si>
  <si>
    <t xml:space="preserve">     Interest paid</t>
  </si>
  <si>
    <t>?</t>
  </si>
  <si>
    <t>-3, ?</t>
  </si>
  <si>
    <t>Depr</t>
  </si>
  <si>
    <t>Def. Rev.</t>
  </si>
  <si>
    <t>Comp Absens</t>
  </si>
  <si>
    <t xml:space="preserve">NET (EXPENSE) REVENUE AND </t>
  </si>
  <si>
    <t xml:space="preserve">     Governmental activities</t>
  </si>
  <si>
    <t>Increase Revenue - Charges for Services</t>
  </si>
  <si>
    <t xml:space="preserve">     Fund Balance, June 30</t>
  </si>
  <si>
    <t xml:space="preserve">     Retained Earnings, June 30</t>
  </si>
  <si>
    <t xml:space="preserve">     Licenses and Permits</t>
  </si>
  <si>
    <t xml:space="preserve">     Charges for Services</t>
  </si>
  <si>
    <t xml:space="preserve">     Fines and Forfeitures</t>
  </si>
  <si>
    <t xml:space="preserve">Total inventory </t>
  </si>
  <si>
    <t xml:space="preserve">     Fund balance (deficit), July 1</t>
  </si>
  <si>
    <t xml:space="preserve">     Fund balance (deficit), June 30</t>
  </si>
  <si>
    <t>Increase/Decr Assets Valua. of Invest. To FV</t>
  </si>
  <si>
    <t>Increase/Decrease Revenue - Interest</t>
  </si>
  <si>
    <t>Definition:</t>
  </si>
  <si>
    <t>Assets</t>
  </si>
  <si>
    <t>Liabilities</t>
  </si>
  <si>
    <t>Revenues</t>
  </si>
  <si>
    <t>Expend.</t>
  </si>
  <si>
    <t xml:space="preserve">            District Clerk fees</t>
  </si>
  <si>
    <t>791-105.00-00</t>
  </si>
  <si>
    <t>766-105.60-00</t>
  </si>
  <si>
    <t>SERVICES</t>
  </si>
  <si>
    <t>SHOP</t>
  </si>
  <si>
    <t>&amp; SERVICES</t>
  </si>
  <si>
    <t>INSURANCE</t>
  </si>
  <si>
    <t xml:space="preserve">        External investment pool participants</t>
  </si>
  <si>
    <t xml:space="preserve">        Individual investment accounts</t>
  </si>
  <si>
    <t>GRANTS AND</t>
  </si>
  <si>
    <t>CONTRIBUTIONS</t>
  </si>
  <si>
    <t>PROGRAM REVENUES</t>
  </si>
  <si>
    <t>Licenses and permits</t>
  </si>
  <si>
    <t xml:space="preserve">     Gain/(Loss) on disposition of capital assets</t>
  </si>
  <si>
    <t xml:space="preserve">        Animal control services</t>
  </si>
  <si>
    <t>Weed</t>
  </si>
  <si>
    <t>Change in fair value- current year</t>
  </si>
  <si>
    <t>MEDICAL</t>
  </si>
  <si>
    <t>FLEX PLAN</t>
  </si>
  <si>
    <t>SPACE</t>
  </si>
  <si>
    <t xml:space="preserve">     Land and construction in progress</t>
  </si>
  <si>
    <t>file: amort sched</t>
  </si>
  <si>
    <t>cur years debt serv requir.</t>
  </si>
  <si>
    <t xml:space="preserve">     Entitlements</t>
  </si>
  <si>
    <t xml:space="preserve">   Fairgrounds Admin</t>
  </si>
  <si>
    <t>CITIZENS CORP/CERT PROGRAM</t>
  </si>
  <si>
    <t>CDBG-ECONOMIC DEVELOPMENT</t>
  </si>
  <si>
    <t>NOXIOUS WEED TRUST GRANT</t>
  </si>
  <si>
    <t>HOMELAND SECURITY</t>
  </si>
  <si>
    <t>ROAD/BRIDGE INFRASTUCTURE PROJECTS</t>
  </si>
  <si>
    <t>ROAD/BRIDGE</t>
  </si>
  <si>
    <t>INFRASTRUCTURE</t>
  </si>
  <si>
    <t>X</t>
  </si>
  <si>
    <t>SPECIAL</t>
  </si>
  <si>
    <t>HEALTH</t>
  </si>
  <si>
    <t>INVENTORIES</t>
  </si>
  <si>
    <t>RESTRICTED ASSETS:</t>
  </si>
  <si>
    <t>VALUATION OF INVESTMENTS TO FV</t>
  </si>
  <si>
    <t>ADVANCES TO OTHER FUNDS</t>
  </si>
  <si>
    <t>DEFERRED CHARGES-REVENUE BD ISS CST</t>
  </si>
  <si>
    <t xml:space="preserve">     Land and Construction in Progress</t>
  </si>
  <si>
    <t>LAND HELD FOR RESALE</t>
  </si>
  <si>
    <t>LAND AND CONSTRUCTION IN PROGRESS</t>
  </si>
  <si>
    <t xml:space="preserve">        Compensated absences payable</t>
  </si>
  <si>
    <t xml:space="preserve">     Accrued interest</t>
  </si>
  <si>
    <t>Current Year Loss on Disposal of FA</t>
  </si>
  <si>
    <t>350-499</t>
  </si>
  <si>
    <t>Misc Grnt</t>
  </si>
  <si>
    <t>ERC017</t>
  </si>
  <si>
    <t>ERC018</t>
  </si>
  <si>
    <t>ERC019</t>
  </si>
  <si>
    <t>ERC020</t>
  </si>
  <si>
    <t>ERC021</t>
  </si>
  <si>
    <t>ERC022</t>
  </si>
  <si>
    <t>ERC023</t>
  </si>
  <si>
    <t>ERC024</t>
  </si>
  <si>
    <t>ERC025</t>
  </si>
  <si>
    <t>ERC026</t>
  </si>
  <si>
    <t>ERC027</t>
  </si>
  <si>
    <t>ERC028</t>
  </si>
  <si>
    <t>ERC029</t>
  </si>
  <si>
    <t>ERC030</t>
  </si>
  <si>
    <t>ERC031</t>
  </si>
  <si>
    <t>ERC032</t>
  </si>
  <si>
    <t>ERC033</t>
  </si>
  <si>
    <t>ERC034</t>
  </si>
  <si>
    <t>ERC035</t>
  </si>
  <si>
    <t>ERC036</t>
  </si>
  <si>
    <t>Total Expenditures</t>
  </si>
  <si>
    <t xml:space="preserve">     Deferred charges - Revenue Bond Issuance Costs</t>
  </si>
  <si>
    <t>90-00 to 99-99 cap outly</t>
  </si>
  <si>
    <t>314.14-00</t>
  </si>
  <si>
    <t xml:space="preserve">         Total Charges for Services</t>
  </si>
  <si>
    <t>RESERVE</t>
  </si>
  <si>
    <t>PROGRAM</t>
  </si>
  <si>
    <t>TASK FORCE</t>
  </si>
  <si>
    <t>Under the modified accrual basis of accounting used in the governmental funds, expenditures are not recognized</t>
  </si>
  <si>
    <t xml:space="preserve">     Contributed capital assets</t>
  </si>
  <si>
    <t>2 - b</t>
  </si>
  <si>
    <t>gg</t>
  </si>
  <si>
    <t>ps</t>
  </si>
  <si>
    <t>pw</t>
  </si>
  <si>
    <t>ph</t>
  </si>
  <si>
    <t>se</t>
  </si>
  <si>
    <t>cr</t>
  </si>
  <si>
    <t xml:space="preserve">     Retirement, Trade In, Donation, etc of Capital assets</t>
  </si>
  <si>
    <t>Need to input from  Long-Term Debt schedule</t>
  </si>
  <si>
    <t>Prior FY Adv Pay - B/S</t>
  </si>
  <si>
    <t xml:space="preserve">     Land held for resale</t>
  </si>
  <si>
    <t xml:space="preserve">     Contracts/loans payable</t>
  </si>
  <si>
    <t>SHERIFF</t>
  </si>
  <si>
    <t>FLEXIBLE</t>
  </si>
  <si>
    <t>COONEY</t>
  </si>
  <si>
    <t>JUSTICE</t>
  </si>
  <si>
    <t>CITY/COUNTY</t>
  </si>
  <si>
    <t xml:space="preserve">     Buildings, Improvements, Vehicles and Equip(net)</t>
  </si>
  <si>
    <t>BUDGET AND ACTUAL (BUDGET BASIS)</t>
  </si>
  <si>
    <t>PREDATORY ANIMAL CONTROL</t>
  </si>
  <si>
    <t>GENERAL AND MAJOR SPECIAL REVENUE FUNDS</t>
  </si>
  <si>
    <t>Prior FY Cash - B/S</t>
  </si>
  <si>
    <t>Prior FY Rest Cash - B/S</t>
  </si>
  <si>
    <t>Prior FY Invent - B/S</t>
  </si>
  <si>
    <t xml:space="preserve">     Gain/(Loss) on Disposition of Capital Assets</t>
  </si>
  <si>
    <t>OTHER DEBITS:</t>
  </si>
  <si>
    <t xml:space="preserve">     Restricted for debt service</t>
  </si>
  <si>
    <t>Unrestricted</t>
  </si>
  <si>
    <t>Accounts receivable</t>
  </si>
  <si>
    <t xml:space="preserve">          Cash and cash equivalents, June 30</t>
  </si>
  <si>
    <t xml:space="preserve">        Weed</t>
  </si>
  <si>
    <r>
      <t>341</t>
    </r>
    <r>
      <rPr>
        <sz val="10"/>
        <rFont val="Arial"/>
        <family val="2"/>
      </rPr>
      <t>. 04-20</t>
    </r>
  </si>
  <si>
    <t>Deferred Revenue (liab)</t>
  </si>
  <si>
    <t xml:space="preserve">                Special revenue fund</t>
  </si>
  <si>
    <t xml:space="preserve">     Portion due or payable within one year:</t>
  </si>
  <si>
    <t xml:space="preserve">        Revenue bonds payable</t>
  </si>
  <si>
    <t xml:space="preserve">        Special assessment debt with government commitment</t>
  </si>
  <si>
    <t xml:space="preserve">        Landfill postclosure costs payable</t>
  </si>
  <si>
    <t xml:space="preserve">     Proceeds from taxes</t>
  </si>
  <si>
    <t xml:space="preserve">     Fund balance, June 30</t>
  </si>
  <si>
    <t>QUALITY</t>
  </si>
  <si>
    <t>PARK</t>
  </si>
  <si>
    <t>DEVELOPMENT</t>
  </si>
  <si>
    <t>CEMETERY</t>
  </si>
  <si>
    <t>PLANNING</t>
  </si>
  <si>
    <t>DISASTER</t>
  </si>
  <si>
    <t>FUND BALANCE:</t>
  </si>
  <si>
    <t>Nonspendable:</t>
  </si>
  <si>
    <t>Inventory</t>
  </si>
  <si>
    <t>Long term notes receivable</t>
  </si>
  <si>
    <t>Restricted:</t>
  </si>
  <si>
    <t>Committed:</t>
  </si>
  <si>
    <t>Total Committed</t>
  </si>
  <si>
    <t>Assigned:</t>
  </si>
  <si>
    <t>Total Assigned</t>
  </si>
  <si>
    <t>Unassigned</t>
  </si>
  <si>
    <t>Total fund balance</t>
  </si>
  <si>
    <t>Permanent portion of endowment funds</t>
  </si>
  <si>
    <t>Permanent portion of Forestvale Perpetual Trust Fund</t>
  </si>
  <si>
    <t>NOTES</t>
  </si>
  <si>
    <t>Permanent portion of Forestvale Endowment Trust Fund</t>
  </si>
  <si>
    <t xml:space="preserve">     Total Nonspendable</t>
  </si>
  <si>
    <t xml:space="preserve">     Total Restricted</t>
  </si>
  <si>
    <t>Federal Grants with positive cash balances(rev less exp)</t>
  </si>
  <si>
    <t>Restricted</t>
  </si>
  <si>
    <t>Non-spendable</t>
  </si>
  <si>
    <t>State/Local Grants with positive cash balances(rev less exp)</t>
  </si>
  <si>
    <t>Fund: 101-199 Health-Related Grants</t>
  </si>
  <si>
    <t>Levied Funds</t>
  </si>
  <si>
    <t>Contract Commitments</t>
  </si>
  <si>
    <t>Contract commitments</t>
  </si>
  <si>
    <t>Fund: 211 Road</t>
  </si>
  <si>
    <t>Fund: 227 Health</t>
  </si>
  <si>
    <t>1b</t>
  </si>
  <si>
    <t>Fund: 001 General</t>
  </si>
  <si>
    <t>Fund: 503 RSID Debt</t>
  </si>
  <si>
    <t>for rural special improvement districts</t>
  </si>
  <si>
    <t>Fund: 550 Capital Development</t>
  </si>
  <si>
    <t xml:space="preserve"> for fairgrounds improvement</t>
  </si>
  <si>
    <t>1c</t>
  </si>
  <si>
    <t>done 4/219/11 RN</t>
  </si>
  <si>
    <t>3a</t>
  </si>
  <si>
    <t>3b</t>
  </si>
  <si>
    <t>Fund: 001 General - Encumbrances</t>
  </si>
  <si>
    <t>Committed</t>
  </si>
  <si>
    <t>4b</t>
  </si>
  <si>
    <t>4a</t>
  </si>
  <si>
    <t>Evaluate each component</t>
  </si>
  <si>
    <t xml:space="preserve">Encumbrances - use File: Jour Entxx.xls, sheet: Encum </t>
  </si>
  <si>
    <t xml:space="preserve">    evaluate if the are restricted, committed, or assigned</t>
  </si>
  <si>
    <r>
      <t>Inventory - use Asset line for</t>
    </r>
    <r>
      <rPr>
        <sz val="12"/>
        <color rgb="FF3333FF"/>
        <rFont val="Arial"/>
        <family val="2"/>
      </rPr>
      <t xml:space="preserve"> Inventory</t>
    </r>
    <r>
      <rPr>
        <sz val="12"/>
        <rFont val="Arial"/>
        <family val="2"/>
      </rPr>
      <t xml:space="preserve">: row 88 </t>
    </r>
  </si>
  <si>
    <r>
      <t xml:space="preserve">Long term portion of Notes receivable  - use Asset line for </t>
    </r>
    <r>
      <rPr>
        <sz val="12"/>
        <color rgb="FF3333FF"/>
        <rFont val="Arial"/>
        <family val="2"/>
      </rPr>
      <t>Advances to other funds</t>
    </r>
    <r>
      <rPr>
        <sz val="12"/>
        <rFont val="Arial"/>
        <family val="2"/>
      </rPr>
      <t>: row 95</t>
    </r>
  </si>
  <si>
    <r>
      <t xml:space="preserve">Permanent portion of </t>
    </r>
    <r>
      <rPr>
        <sz val="12"/>
        <color rgb="FF3333FF"/>
        <rFont val="Arial"/>
        <family val="2"/>
      </rPr>
      <t>Forestvale Endowment Trust Fund</t>
    </r>
  </si>
  <si>
    <r>
      <t xml:space="preserve">Permanent portion of </t>
    </r>
    <r>
      <rPr>
        <sz val="12"/>
        <color rgb="FF3333FF"/>
        <rFont val="Arial"/>
        <family val="2"/>
      </rPr>
      <t>Forestvale Perpetual Trust Fund</t>
    </r>
  </si>
  <si>
    <t>* use of these resources determined by resolution of the county's highest level of decision making</t>
  </si>
  <si>
    <t xml:space="preserve">       authority and can only be modified or rescinded by the same action.</t>
  </si>
  <si>
    <t>* cannot ever be spent, (e.g., supplies inventory and prepaid)</t>
  </si>
  <si>
    <t>* cannot currently be spent, (e.g., long-term portion of loans receivables)</t>
  </si>
  <si>
    <t>* legally or contractuallly required to be maintained intact (e.g., principal of an endowment fund)</t>
  </si>
  <si>
    <t>* amounts contrained to being used for a specific purposes by:</t>
  </si>
  <si>
    <t xml:space="preserve">    - imposed by law through constitutional provisions or enabling legislation</t>
  </si>
  <si>
    <t xml:space="preserve">    - external parties (i.e, creditors, grantors, contributors, or laws or regulations of "other" governments)</t>
  </si>
  <si>
    <t>* amounts whose use is contrained by limitation that the government imposes itself:</t>
  </si>
  <si>
    <t xml:space="preserve">Levied amounts </t>
  </si>
  <si>
    <t>Federal/State/Other Grants - with positive cash balances(rev less exp)</t>
  </si>
  <si>
    <t>Assigned</t>
  </si>
  <si>
    <t>2a</t>
  </si>
  <si>
    <t>2b</t>
  </si>
  <si>
    <t>* for all governmental funds other than the general fund, any remaining positive amounts not</t>
  </si>
  <si>
    <t xml:space="preserve">      classified as nonspendable, restricted or committed</t>
  </si>
  <si>
    <t xml:space="preserve">* for the general fund, amounts constrained for the intent to be used for a specific purpose by </t>
  </si>
  <si>
    <t xml:space="preserve">      a governing board or a body or official that has been delegated authority to assign amounts. </t>
  </si>
  <si>
    <t xml:space="preserve">      Amount reported as assigned should not result in a deficit in unassigned fund balance.</t>
  </si>
  <si>
    <t xml:space="preserve">     The general fund is the only fund that would report a positive amount in unassigned fund balance.</t>
  </si>
  <si>
    <t xml:space="preserve">* for the general fund, amounts not classified as nonspendable, restricted, committed or assigned. </t>
  </si>
  <si>
    <t>* for all governmental funds other than the general fund, amount expended in excess of resources</t>
  </si>
  <si>
    <t xml:space="preserve">Need Policies </t>
  </si>
  <si>
    <t>Stabilization Agreements</t>
  </si>
  <si>
    <t>* when resources for a single project come from multiple sources, which of the resources will</t>
  </si>
  <si>
    <t>* resources cover such things as revenue shortfalls, emergencies or other purposes</t>
  </si>
  <si>
    <t>Projects with no contractual commitments</t>
  </si>
  <si>
    <t>Federal, State, and Other Grants with positive fund balance/cash balances(rev less exp)</t>
  </si>
  <si>
    <t>Use of FB - Year End(per budget)</t>
  </si>
  <si>
    <t>mixed</t>
  </si>
  <si>
    <t>restr</t>
  </si>
  <si>
    <t>comm</t>
  </si>
  <si>
    <t>Public health commitments</t>
  </si>
  <si>
    <t>Parks improvement</t>
  </si>
  <si>
    <t>General government commitments</t>
  </si>
  <si>
    <t>Flow Assumptions - order of expenditures</t>
  </si>
  <si>
    <t xml:space="preserve">     presumed to be spent first, unless stated in an agreement.   </t>
  </si>
  <si>
    <t>* when both retricted and unrestricted resources(committed, assigned or unassigned) are available</t>
  </si>
  <si>
    <t>1) Flow Assumptions</t>
  </si>
  <si>
    <t>Order in which to used Restricted vs Unrestricted</t>
  </si>
  <si>
    <t>Order in which to use Unrestricted</t>
  </si>
  <si>
    <t>* when unrestricted resources(committed, assigned or unassigned) are to be used and are available</t>
  </si>
  <si>
    <t xml:space="preserve">     for expenditure, will committed, assigned or unassigned be used first? </t>
  </si>
  <si>
    <t xml:space="preserve">          Suggested: Assigned, Committed, then Unassigned</t>
  </si>
  <si>
    <t xml:space="preserve">     for expenditure, will restricted or unrestricted be used first?</t>
  </si>
  <si>
    <t xml:space="preserve">         Suggested: Restricted</t>
  </si>
  <si>
    <t xml:space="preserve">          Suggested:</t>
  </si>
  <si>
    <t>Misc other/private donations/grants -  "Assigned or Unassigned"</t>
  </si>
  <si>
    <t>County assessed levies -    "Committed"</t>
  </si>
  <si>
    <t>Special Assessment -     "Restricted"</t>
  </si>
  <si>
    <t>Intergovernmental - federal &amp; state grants -    "Restricted"</t>
  </si>
  <si>
    <t xml:space="preserve">     residual deficit, no amount should be reported as assigned.</t>
  </si>
  <si>
    <t xml:space="preserve">     that are nonspendable, restricted, committed or assigned (a residual deficit). In determining a </t>
  </si>
  <si>
    <t>Unassign</t>
  </si>
  <si>
    <t xml:space="preserve">  - neg F/B</t>
  </si>
  <si>
    <t xml:space="preserve">District Court </t>
  </si>
  <si>
    <t xml:space="preserve">Public safety </t>
  </si>
  <si>
    <t>Road commitments</t>
  </si>
  <si>
    <t xml:space="preserve">Public works </t>
  </si>
  <si>
    <t xml:space="preserve">  - all F/B is restricted, not just this.</t>
  </si>
  <si>
    <t>Fund: 238 DUI Programs</t>
  </si>
  <si>
    <t>Fund: 294 Citizens Corp/CERT Program</t>
  </si>
  <si>
    <t>Questions</t>
  </si>
  <si>
    <t>Can an assigned amount for use of F/B (per budget) override the committed designation?</t>
  </si>
  <si>
    <t>Social &amp; Economical commitments</t>
  </si>
  <si>
    <t>Entitlement payments from the state - how decide what funds get what amounts?</t>
  </si>
  <si>
    <t>Nancy</t>
  </si>
  <si>
    <t>What authority set up these funds:</t>
  </si>
  <si>
    <t>assign</t>
  </si>
  <si>
    <t>Fund: 232 Inmate Programs</t>
  </si>
  <si>
    <t xml:space="preserve">Fund: </t>
  </si>
  <si>
    <r>
      <t xml:space="preserve">Fund: 235 Parks Dev - not sure if Rest, </t>
    </r>
    <r>
      <rPr>
        <b/>
        <sz val="10"/>
        <rFont val="Arial"/>
        <family val="2"/>
      </rPr>
      <t>Com,</t>
    </r>
    <r>
      <rPr>
        <sz val="10"/>
        <rFont val="Arial"/>
        <family val="2"/>
      </rPr>
      <t xml:space="preserve"> or Assign</t>
    </r>
  </si>
  <si>
    <t>Fund: 236 Lincoln Prk</t>
  </si>
  <si>
    <t>Fund: 237 BEP</t>
  </si>
  <si>
    <t>Fund: 247 Community Decay</t>
  </si>
  <si>
    <t>Special improvement district commitments</t>
  </si>
  <si>
    <t>2c</t>
  </si>
  <si>
    <t>Public safety commitments</t>
  </si>
  <si>
    <t>Public work commitments</t>
  </si>
  <si>
    <t>Health-Related commitments</t>
  </si>
  <si>
    <t>rest/comm</t>
  </si>
  <si>
    <t>2a/2c</t>
  </si>
  <si>
    <t>TOTAL NON-</t>
  </si>
  <si>
    <t>MAJOR SPECIAL</t>
  </si>
  <si>
    <t>MAJOR DEBT</t>
  </si>
  <si>
    <t>MAJOR CAPITAL</t>
  </si>
  <si>
    <t xml:space="preserve">MAJOR </t>
  </si>
  <si>
    <t>Service</t>
  </si>
  <si>
    <t xml:space="preserve">   - Invent</t>
  </si>
  <si>
    <t xml:space="preserve">   -Lg-Term Notes Rec</t>
  </si>
  <si>
    <t xml:space="preserve">   -Endow</t>
  </si>
  <si>
    <t xml:space="preserve">   -Restricted</t>
  </si>
  <si>
    <t>Nonmajor Govt. Funds -Unrestricted</t>
  </si>
  <si>
    <t>Nonmajor Govt. Funds Restr</t>
  </si>
  <si>
    <t xml:space="preserve">        Capital projects</t>
  </si>
  <si>
    <t>Governmental</t>
  </si>
  <si>
    <t xml:space="preserve">        General governmental</t>
  </si>
  <si>
    <t>3c</t>
  </si>
  <si>
    <t>Restricted Cash - set aside for CIP in 550 - rnu Acct bal list &amp; total by function</t>
  </si>
  <si>
    <t>PS</t>
  </si>
  <si>
    <t>PW</t>
  </si>
  <si>
    <t>PH</t>
  </si>
  <si>
    <t>GG</t>
  </si>
  <si>
    <t>remainder</t>
  </si>
  <si>
    <t>Negative F/B</t>
  </si>
  <si>
    <t>761-105.61-00</t>
  </si>
  <si>
    <t>Outside Investment</t>
  </si>
  <si>
    <t xml:space="preserve">   held in trust, end of year amount</t>
  </si>
  <si>
    <t>Transfer Auto To:</t>
  </si>
  <si>
    <t>SD#1 Endow</t>
  </si>
  <si>
    <t>OPEN SPACE DEBT</t>
  </si>
  <si>
    <t>CRAIG WASTEWTR FAC</t>
  </si>
  <si>
    <t>CRAIG TRNG CTR MAINT</t>
  </si>
  <si>
    <t>SEPTIC MAINT REVOLV</t>
  </si>
  <si>
    <t>SEPTIC MAINT</t>
  </si>
  <si>
    <t>OPEN SPACE</t>
  </si>
  <si>
    <t>CRAIG WASTEWATER</t>
  </si>
  <si>
    <t>FACILITY MAINTENANCE</t>
  </si>
  <si>
    <t>CENTER MAINTENANCE</t>
  </si>
  <si>
    <t>CRAIG TRAINING</t>
  </si>
  <si>
    <t>SEPTIC MAINTENANCE</t>
  </si>
  <si>
    <t>REVOVING LOAN</t>
  </si>
  <si>
    <t>SEPTIC</t>
  </si>
  <si>
    <t>MAINTENANCE PROGRAM</t>
  </si>
  <si>
    <t>HOMELAND</t>
  </si>
  <si>
    <t>WASTEWATER</t>
  </si>
  <si>
    <t>TRAINING</t>
  </si>
  <si>
    <t>CNTR MAINT</t>
  </si>
  <si>
    <t>FAC MAINT</t>
  </si>
  <si>
    <t>REVOLVING LN</t>
  </si>
  <si>
    <t>(Page 1 of 10)</t>
  </si>
  <si>
    <t>(Page 2 of 10)</t>
  </si>
  <si>
    <t>(Page 3 of 10)</t>
  </si>
  <si>
    <t>(Page 4 of 10)</t>
  </si>
  <si>
    <t>(Page 5 of 10)</t>
  </si>
  <si>
    <t>(Page 6 of 10)</t>
  </si>
  <si>
    <t>(Page 7 of 10)</t>
  </si>
  <si>
    <t>(Page 8 of 10)</t>
  </si>
  <si>
    <t>(Page 9 of 10)</t>
  </si>
  <si>
    <t>(Page 10 of 10)</t>
  </si>
  <si>
    <t>252(see Pr Yr Fd: 555)</t>
  </si>
  <si>
    <t>Elim f/b deficit</t>
  </si>
  <si>
    <t xml:space="preserve">252(see Pr </t>
  </si>
  <si>
    <t xml:space="preserve"> Yr Fd: 555)</t>
  </si>
  <si>
    <t>new CA</t>
  </si>
  <si>
    <t>new CIP</t>
  </si>
  <si>
    <t>c)Retirement/trades</t>
  </si>
  <si>
    <t>C &amp; R</t>
  </si>
  <si>
    <t xml:space="preserve">Culture and </t>
  </si>
  <si>
    <t>Recreation</t>
  </si>
  <si>
    <t xml:space="preserve">        Culture and recreation</t>
  </si>
  <si>
    <t>Fund: 305  Energy Eff &amp; Cons Blk Grants</t>
  </si>
  <si>
    <t>JV-7</t>
  </si>
  <si>
    <t xml:space="preserve">     Bonds Payable</t>
  </si>
  <si>
    <t xml:space="preserve">     General obligation bonds payable - current</t>
  </si>
  <si>
    <t xml:space="preserve">        General obligation bonds payable</t>
  </si>
  <si>
    <t>Current and other assets</t>
  </si>
  <si>
    <t>Capital assets</t>
  </si>
  <si>
    <t>Long-term liabilities outstanding</t>
  </si>
  <si>
    <t>Other liabilities</t>
  </si>
  <si>
    <t xml:space="preserve">           Capital leases</t>
  </si>
  <si>
    <t>FY2012 27th pay period  (ask Nanncy</t>
  </si>
  <si>
    <t xml:space="preserve">          Restricted</t>
  </si>
  <si>
    <t xml:space="preserve">          Inventories</t>
  </si>
  <si>
    <t xml:space="preserve">          Non-current assets</t>
  </si>
  <si>
    <t xml:space="preserve">          Advance to other funds</t>
  </si>
  <si>
    <t xml:space="preserve">          Encumbrances</t>
  </si>
  <si>
    <t xml:space="preserve">          Endowment fund</t>
  </si>
  <si>
    <t xml:space="preserve">          Perpetual care</t>
  </si>
  <si>
    <t xml:space="preserve">      Unreserved</t>
  </si>
  <si>
    <t xml:space="preserve">             General fund</t>
  </si>
  <si>
    <t xml:space="preserve">             Special revenue fund</t>
  </si>
  <si>
    <t xml:space="preserve">             Debt service fund</t>
  </si>
  <si>
    <t xml:space="preserve">             Capital projects fund</t>
  </si>
  <si>
    <t xml:space="preserve">             Permanent fund</t>
  </si>
  <si>
    <t xml:space="preserve">          Nonspendable</t>
  </si>
  <si>
    <t>Not Done 2/8/2011</t>
  </si>
  <si>
    <t>PERMISSIVE</t>
  </si>
  <si>
    <t>PERMISSIVE MEDICAL</t>
  </si>
  <si>
    <t>ECONOMIC DEVELOPMENT</t>
  </si>
  <si>
    <t>Road Impov</t>
  </si>
  <si>
    <t>Supdivision</t>
  </si>
  <si>
    <t>SUBDIVISION</t>
  </si>
  <si>
    <t>IMPROVEMENT -</t>
  </si>
  <si>
    <t>IMPROV</t>
  </si>
  <si>
    <t>on SR BUDACT ER need to:</t>
  </si>
  <si>
    <t>Increase PW supplies 45,000</t>
  </si>
  <si>
    <t>Increase Total Exp 45,000</t>
  </si>
  <si>
    <t>Decrease Excess 45,000</t>
  </si>
  <si>
    <t>Decrease net ch in F/BExcess 45,000</t>
  </si>
  <si>
    <t>Increase F/B 45,000</t>
  </si>
  <si>
    <t>IMPRV</t>
  </si>
  <si>
    <t>AGREMNT</t>
  </si>
  <si>
    <t>see trans - balancing</t>
  </si>
  <si>
    <t xml:space="preserve">          Notes receivable</t>
  </si>
  <si>
    <t>Prior FY Notes Rec - B/S</t>
  </si>
  <si>
    <t xml:space="preserve">Amount off by 42752 </t>
  </si>
  <si>
    <t>cap asset</t>
  </si>
  <si>
    <t>advances</t>
  </si>
  <si>
    <t>from AccRecon</t>
  </si>
  <si>
    <t>Fund: 226 Emergency Disaster</t>
  </si>
  <si>
    <t>ROAD IMPROVEMENT</t>
  </si>
  <si>
    <t>SUBDIVISIONS</t>
  </si>
  <si>
    <t>2a) Depr</t>
  </si>
  <si>
    <t>compare to Current year incr (Deprec)</t>
  </si>
  <si>
    <t>compare to Current year incr (Assets)</t>
  </si>
  <si>
    <t>pw-infr</t>
  </si>
  <si>
    <t>JV 6 &amp; 7 :  Ln proc</t>
  </si>
  <si>
    <t>1a&amp;b)</t>
  </si>
  <si>
    <t>1c) Incr CIP</t>
  </si>
  <si>
    <t>JV-2a</t>
  </si>
  <si>
    <t>JV 7 pri pmts</t>
  </si>
  <si>
    <t>JV 6 pri pmts</t>
  </si>
  <si>
    <t>Inte Accr</t>
  </si>
  <si>
    <t xml:space="preserve">     Proceeds received from non-capital grants</t>
  </si>
  <si>
    <t>See Descrip in Gasb Impl. Guide Q &amp; A page 94</t>
  </si>
  <si>
    <t xml:space="preserve">     Long-term notes receivable</t>
  </si>
  <si>
    <t xml:space="preserve">     Long-term accounts/contracts receivable</t>
  </si>
  <si>
    <t xml:space="preserve">     Gain on disposal of discontinued operations</t>
  </si>
  <si>
    <t>SEARCH &amp;</t>
  </si>
  <si>
    <t>RESCUE</t>
  </si>
  <si>
    <t>SEARCH &amp; RESCUE</t>
  </si>
  <si>
    <t>SEARCH &amp; RESCUE OPERATIONS</t>
  </si>
  <si>
    <t>PERMISSIVE MEDICAL INSURANCE</t>
  </si>
  <si>
    <t>(Page 2 of 4)</t>
  </si>
  <si>
    <t>(Page 1 of 4)</t>
  </si>
  <si>
    <t>EXTERNAL and INDIVIDUAL</t>
  </si>
  <si>
    <t>(Page 3 of 4)</t>
  </si>
  <si>
    <t>ROAD Improvement Subd</t>
  </si>
  <si>
    <t>A/R Variance</t>
  </si>
  <si>
    <t xml:space="preserve">    Prior year</t>
  </si>
  <si>
    <t>Revenue variance</t>
  </si>
  <si>
    <t>Rev Diff</t>
  </si>
  <si>
    <t>Exp Diff</t>
  </si>
  <si>
    <t xml:space="preserve">Prior  Yr  </t>
  </si>
  <si>
    <t xml:space="preserve">Cur  Yr </t>
  </si>
  <si>
    <t>STATEMENT OF NET POSITION</t>
  </si>
  <si>
    <t>NET POSITION</t>
  </si>
  <si>
    <t xml:space="preserve">     Net investment in capital assets</t>
  </si>
  <si>
    <t xml:space="preserve">          Total net position</t>
  </si>
  <si>
    <t>Total liabilities and net position</t>
  </si>
  <si>
    <t>CHANGES IN NET POSITION</t>
  </si>
  <si>
    <t xml:space="preserve">     Change in net position</t>
  </si>
  <si>
    <t xml:space="preserve">     Total net position, beginning</t>
  </si>
  <si>
    <t xml:space="preserve">     Total net position, ending</t>
  </si>
  <si>
    <t xml:space="preserve">     Total net position, beginning, as restated</t>
  </si>
  <si>
    <t>Net investment in capital assets</t>
  </si>
  <si>
    <t xml:space="preserve">              Total net position</t>
  </si>
  <si>
    <t xml:space="preserve">               Change in net position</t>
  </si>
  <si>
    <t>CALCULATION OF NET POSITION BALANCES FOR GOVERNMENTAL ACTIVITIES</t>
  </si>
  <si>
    <t>Total net position, beginning</t>
  </si>
  <si>
    <t>Total net position, ending</t>
  </si>
  <si>
    <t>STATEMENT OF FIDUCIARY NET POSITION</t>
  </si>
  <si>
    <t xml:space="preserve">           Total net position</t>
  </si>
  <si>
    <t>STATEMENT OF CHANGES IN FIDUCIARY NET POSITION</t>
  </si>
  <si>
    <t>Net position held in trust</t>
  </si>
  <si>
    <t>Statement of Net Position</t>
  </si>
  <si>
    <t>Net position held in trust at beginning of year</t>
  </si>
  <si>
    <t>Net position held in trust at end of year</t>
  </si>
  <si>
    <t>new Cap Outlay</t>
  </si>
  <si>
    <t>COMPONENT UNIT</t>
  </si>
  <si>
    <t xml:space="preserve">STATEMENT OF REVENUES, EXPENDITURES </t>
  </si>
  <si>
    <t>Deferred outflows</t>
  </si>
  <si>
    <t>Prepayments</t>
  </si>
  <si>
    <t>for Cooney include interest portion of 5203</t>
  </si>
  <si>
    <t xml:space="preserve">     Write off of deferred loss from bond refunding</t>
  </si>
  <si>
    <t>Air Polution - Fund 183:</t>
  </si>
  <si>
    <t xml:space="preserve">Air Polution - Fund 186: </t>
  </si>
  <si>
    <t xml:space="preserve">Bioterrism :Fund 196  </t>
  </si>
  <si>
    <t xml:space="preserve">2011 Spring Flooding - Fund 226: </t>
  </si>
  <si>
    <t xml:space="preserve">  - restricted,remainder committed</t>
  </si>
  <si>
    <t>DUI-NonRFP EUDL Fund 238:</t>
  </si>
  <si>
    <t xml:space="preserve">CERT Program - Fund 294: </t>
  </si>
  <si>
    <t xml:space="preserve">         if less than cash bal in fund</t>
  </si>
  <si>
    <t>Air Polution - Fund 178:</t>
  </si>
  <si>
    <t>Aids Early - Fund 181:</t>
  </si>
  <si>
    <t>Mat Inf&amp; Early Ch - Fund 180:</t>
  </si>
  <si>
    <t>Long term portion of Notes receivable (General Fund only) (see comm all others)</t>
  </si>
  <si>
    <t>i)</t>
  </si>
  <si>
    <t>ii)</t>
  </si>
  <si>
    <t>III)</t>
  </si>
  <si>
    <t>3d</t>
  </si>
  <si>
    <t>Prior year</t>
  </si>
  <si>
    <t>Recreational commitments</t>
  </si>
  <si>
    <t>include perp</t>
  </si>
  <si>
    <t>Net position</t>
  </si>
  <si>
    <t>TO THE STATEMENT OF NET POSITION</t>
  </si>
  <si>
    <t>Amounts reported for governmental activities in the Statement of Net Position are different because:</t>
  </si>
  <si>
    <t xml:space="preserve">in fund balance.  In the statement of net position, however, issuing debt and repaying principal, increases and </t>
  </si>
  <si>
    <t xml:space="preserve">          Change in net postion of governmental activities</t>
  </si>
  <si>
    <t>Net position:</t>
  </si>
  <si>
    <t>Total net position</t>
  </si>
  <si>
    <t>Fund: 550  Cap Dev</t>
  </si>
  <si>
    <t xml:space="preserve">      usually committed.</t>
  </si>
  <si>
    <t xml:space="preserve">  - these F/B need restricted, as </t>
  </si>
  <si>
    <t>Fund: 555 Search and Rescue Facility</t>
  </si>
  <si>
    <t>Bldg</t>
  </si>
  <si>
    <t>encumb</t>
  </si>
  <si>
    <t xml:space="preserve">  - F/B is restricted, but is at $0.</t>
  </si>
  <si>
    <t>Fund: 225  Planning</t>
  </si>
  <si>
    <t>Fund: 202  Mosq Control</t>
  </si>
  <si>
    <t xml:space="preserve">        Land use with US military</t>
  </si>
  <si>
    <t xml:space="preserve">         Summer contract</t>
  </si>
  <si>
    <t xml:space="preserve">    </t>
  </si>
  <si>
    <t xml:space="preserve">     Long-term liablilities:</t>
  </si>
  <si>
    <t>RESCUE BLDG</t>
  </si>
  <si>
    <t>BLDG</t>
  </si>
  <si>
    <t>SEARCH &amp; RESCUE BLDG</t>
  </si>
  <si>
    <t>actual has been reduced by 42873 FY13 adjust</t>
  </si>
  <si>
    <t>will need to adjust</t>
  </si>
  <si>
    <t>CATTLE</t>
  </si>
  <si>
    <t>PROT PRGM</t>
  </si>
  <si>
    <t>CATTLE PROTECTION PROGRAM</t>
  </si>
  <si>
    <t>PROTECTION</t>
  </si>
  <si>
    <t>(720-750)</t>
  </si>
  <si>
    <t>Adjusted by 1</t>
  </si>
  <si>
    <t>cross check with last fY</t>
  </si>
  <si>
    <t>not compl 9/25/12 RN</t>
  </si>
  <si>
    <t>expendable</t>
  </si>
  <si>
    <t>Permanent</t>
  </si>
  <si>
    <t xml:space="preserve"> Trusts: Non-</t>
  </si>
  <si>
    <t xml:space="preserve">        Nonexpendable permanent investments</t>
  </si>
  <si>
    <t>Non Land/ CIP</t>
  </si>
  <si>
    <t>Land/ CIP</t>
  </si>
  <si>
    <t>From Prior year "Comp Unit IS</t>
  </si>
  <si>
    <t>will be a negative]</t>
  </si>
  <si>
    <t>Curr</t>
  </si>
  <si>
    <t>Adjust for PILT 1,901,971</t>
  </si>
  <si>
    <t>Adjusted by 115,000 for pILT rec in FY14</t>
  </si>
  <si>
    <t>Adjusted by 322,5010 for pILT rec in FY14</t>
  </si>
  <si>
    <t>CHC/other</t>
  </si>
  <si>
    <t>advances from Due To schedul total adv</t>
  </si>
  <si>
    <t>(1) Can never be negative,</t>
  </si>
  <si>
    <t>(1a)</t>
  </si>
  <si>
    <t>Fund balance, July1 - adjust by 2 to match last years balance</t>
  </si>
  <si>
    <t xml:space="preserve">     Adjustment to postclosure liability</t>
  </si>
  <si>
    <t>GF - h</t>
  </si>
  <si>
    <t>GF - g</t>
  </si>
  <si>
    <t>GF - a</t>
  </si>
  <si>
    <t>GF - c</t>
  </si>
  <si>
    <t>GF - b</t>
  </si>
  <si>
    <t>Col k; row: 20</t>
  </si>
  <si>
    <t>Col k; row: 9</t>
  </si>
  <si>
    <t>Col k; row: 19</t>
  </si>
  <si>
    <t>Fund: 229 Extension6 Emergency Disaster</t>
  </si>
  <si>
    <t>Specialty Crop Block Grant</t>
  </si>
  <si>
    <t>Water Infrastructure-Wastewater Development in the Helena Valley</t>
  </si>
  <si>
    <t xml:space="preserve">  - this grant F/B needs restricted, as </t>
  </si>
  <si>
    <t xml:space="preserve">      usually committed, except for Constr Commitments</t>
  </si>
  <si>
    <t>Fund: 231 PS Radio</t>
  </si>
  <si>
    <t>Fund: 550 Cap Development</t>
  </si>
  <si>
    <t xml:space="preserve">Interoperable Emergency Comm. </t>
  </si>
  <si>
    <t xml:space="preserve">  - all F/B is usually assigned, this needs restricted</t>
  </si>
  <si>
    <t xml:space="preserve">Child Immun - Fund 195: </t>
  </si>
  <si>
    <t xml:space="preserve">Best Begin - Fund 193: </t>
  </si>
  <si>
    <t>Title IV-Legal Services</t>
  </si>
  <si>
    <t xml:space="preserve">  - this is restricted</t>
  </si>
  <si>
    <t>Fund: 242 mrdf Fed Sh</t>
  </si>
  <si>
    <t>Equitable Sharing</t>
  </si>
  <si>
    <t xml:space="preserve">Taylor Grazing </t>
  </si>
  <si>
    <t>Fund: 201  Craig Mosq Control</t>
  </si>
  <si>
    <t xml:space="preserve">  - F/B is committed, not need to report separate</t>
  </si>
  <si>
    <t xml:space="preserve">Fund: 226 Emerg Disaster </t>
  </si>
  <si>
    <t>Stemple pass</t>
  </si>
  <si>
    <t>used contr comm instead of Grant as it was larger</t>
  </si>
  <si>
    <t>See cont comm below</t>
  </si>
  <si>
    <t>Fund: 230  Public safety</t>
  </si>
  <si>
    <t>Fund: 291 HIDTA</t>
  </si>
  <si>
    <t xml:space="preserve">  - F/B is restricted, not need to report separate</t>
  </si>
  <si>
    <t xml:space="preserve">Fund: 552 RID </t>
  </si>
  <si>
    <t>Fund: 551 CTEP</t>
  </si>
  <si>
    <t>Put Depr in Comp Unit IS schedule</t>
  </si>
  <si>
    <t>Open space commitments</t>
  </si>
  <si>
    <t>Building contruction/improvement commitments</t>
  </si>
  <si>
    <t>Alcohol and drug program commitments</t>
  </si>
  <si>
    <t xml:space="preserve">   Road improvement commitments</t>
  </si>
  <si>
    <t xml:space="preserve">  General government commitments</t>
  </si>
  <si>
    <t>Federal/State/other grants</t>
  </si>
  <si>
    <t xml:space="preserve">Always check Proc from disposal to see if CA(this should be gain/loss&amp; cash flow is cash amt or if "minor" asset (reclass to Misc if other) </t>
  </si>
  <si>
    <t>DEFERRED INFLOWS OF RESOURCES</t>
  </si>
  <si>
    <t xml:space="preserve">     Deferred inflows of tax revenues</t>
  </si>
  <si>
    <t>DEFERRED OUTFLOWS OF RESOURCES</t>
  </si>
  <si>
    <t xml:space="preserve">     Prepaid expenses</t>
  </si>
  <si>
    <t xml:space="preserve">              Inventory</t>
  </si>
  <si>
    <t xml:space="preserve">              Prepayments</t>
  </si>
  <si>
    <t xml:space="preserve">      Reserved for:</t>
  </si>
  <si>
    <t>1000</t>
  </si>
  <si>
    <t>Other Receivables</t>
  </si>
  <si>
    <t>Due From/Advance To</t>
  </si>
  <si>
    <t>Prepaid Expenses</t>
  </si>
  <si>
    <t>Inventories</t>
  </si>
  <si>
    <t>Restricted Assets</t>
  </si>
  <si>
    <t>Capital Assets</t>
  </si>
  <si>
    <t>Deferred Outflows of Resouces</t>
  </si>
  <si>
    <t>Short-Term Payables/Liability</t>
  </si>
  <si>
    <t>Other Short-Term Liabilities</t>
  </si>
  <si>
    <t>Deferred Inflows of Resources</t>
  </si>
  <si>
    <t>Long-Term Liabilities</t>
  </si>
  <si>
    <t>Restricted Fund Balance</t>
  </si>
  <si>
    <t>Unassigned Fund Balance</t>
  </si>
  <si>
    <t>General Property Tax</t>
  </si>
  <si>
    <t>Tax Title and Property Sales</t>
  </si>
  <si>
    <t>General Sales and Use Taxes</t>
  </si>
  <si>
    <t>Entitlement Levy Tax Transfer</t>
  </si>
  <si>
    <t>Other License and Permit revenue</t>
  </si>
  <si>
    <t>Business Licenses and Permits</t>
  </si>
  <si>
    <t>Non-Business License/Permits</t>
  </si>
  <si>
    <t>Federal Grants</t>
  </si>
  <si>
    <t>Federal Shared Revenues</t>
  </si>
  <si>
    <t>Federal Pymts in Lieu of Taxes</t>
  </si>
  <si>
    <t>State Grants</t>
  </si>
  <si>
    <t>State Shared Revenue</t>
  </si>
  <si>
    <t>Other State Payments</t>
  </si>
  <si>
    <t>Local Grants</t>
  </si>
  <si>
    <t>Local Shared Revenue</t>
  </si>
  <si>
    <t>Local Payments in Lieu of Taxe</t>
  </si>
  <si>
    <t>General Government Revenues</t>
  </si>
  <si>
    <t>Public Health</t>
  </si>
  <si>
    <t>Social and Economic Services</t>
  </si>
  <si>
    <t>Culture and Recreation</t>
  </si>
  <si>
    <t>Court</t>
  </si>
  <si>
    <t>Rents/Leases</t>
  </si>
  <si>
    <t>Other Miscellaneous Revenue</t>
  </si>
  <si>
    <t>Special Assessments</t>
  </si>
  <si>
    <t>Contributions and Donations</t>
  </si>
  <si>
    <t>Contrib to Pens/Invest Trust</t>
  </si>
  <si>
    <t>Sale of Junk or Salvage</t>
  </si>
  <si>
    <t>Capital Contributions</t>
  </si>
  <si>
    <t>Investment Earnings</t>
  </si>
  <si>
    <t>Royalties</t>
  </si>
  <si>
    <t>Other Principal/Interest</t>
  </si>
  <si>
    <t>Proceeds of General LT Debt</t>
  </si>
  <si>
    <t>Proceeds of GenFixed Asset Dis</t>
  </si>
  <si>
    <t>Interfund Operating Transfer</t>
  </si>
  <si>
    <t>General Government</t>
  </si>
  <si>
    <t>OTH</t>
  </si>
  <si>
    <t>Other Financing Uses</t>
  </si>
  <si>
    <t>Cash/Investments</t>
  </si>
  <si>
    <r>
      <t>Due from other governments</t>
    </r>
    <r>
      <rPr>
        <sz val="12"/>
        <color rgb="FFFF0000"/>
        <rFont val="Arial"/>
        <family val="2"/>
      </rPr>
      <t xml:space="preserve"> (need to split between State &amp; FedFY15)</t>
    </r>
  </si>
  <si>
    <t xml:space="preserve">rounding </t>
  </si>
  <si>
    <t>Total Rev</t>
  </si>
  <si>
    <t>2000</t>
  </si>
  <si>
    <t>3000</t>
  </si>
  <si>
    <t>4000</t>
  </si>
  <si>
    <t>5000</t>
  </si>
  <si>
    <t>6000</t>
  </si>
  <si>
    <t>7000</t>
  </si>
  <si>
    <t>7100</t>
  </si>
  <si>
    <t>8000</t>
  </si>
  <si>
    <t>CY ACR</t>
  </si>
  <si>
    <t>PY ACR</t>
  </si>
  <si>
    <t>Asset less liab &amp; equity</t>
  </si>
  <si>
    <t>PR ACR</t>
  </si>
  <si>
    <t>Total Exp</t>
  </si>
  <si>
    <t>SE</t>
  </si>
  <si>
    <t>CR</t>
  </si>
  <si>
    <t>Tr In</t>
  </si>
  <si>
    <t>Tr out</t>
  </si>
  <si>
    <t>net change</t>
  </si>
  <si>
    <t>The change in net position reported for governmental activities in the statement of activities is different because:</t>
  </si>
  <si>
    <t>S/b $0</t>
  </si>
  <si>
    <t>see rev accruals worksheet</t>
  </si>
  <si>
    <t>CP REV</t>
  </si>
  <si>
    <t xml:space="preserve">SP REV </t>
  </si>
  <si>
    <t xml:space="preserve">Transfers </t>
  </si>
  <si>
    <t>IS</t>
  </si>
  <si>
    <t>Fund: 550</t>
  </si>
  <si>
    <t>Account #1</t>
  </si>
  <si>
    <t>Account #2</t>
  </si>
  <si>
    <t>WOLF CRK</t>
  </si>
  <si>
    <t>WOLF CRK WASTEWTR FAC</t>
  </si>
  <si>
    <t>WOLF CREEK</t>
  </si>
  <si>
    <t>ERC054</t>
  </si>
  <si>
    <t>ERC055</t>
  </si>
  <si>
    <t>ERC056</t>
  </si>
  <si>
    <t>ERC057</t>
  </si>
  <si>
    <t>ERC058</t>
  </si>
  <si>
    <t>ERC059</t>
  </si>
  <si>
    <t>ERC060</t>
  </si>
  <si>
    <t>ERC061</t>
  </si>
  <si>
    <t>ERC062</t>
  </si>
  <si>
    <t>ERC063</t>
  </si>
  <si>
    <t>ERC064</t>
  </si>
  <si>
    <t>ERC065</t>
  </si>
  <si>
    <t>ERC066</t>
  </si>
  <si>
    <t>ERC067</t>
  </si>
  <si>
    <t>ERC068</t>
  </si>
  <si>
    <t>ERC069</t>
  </si>
  <si>
    <t>ERC070</t>
  </si>
  <si>
    <t>ERC071</t>
  </si>
  <si>
    <t>ERC075</t>
  </si>
  <si>
    <t>ERC076</t>
  </si>
  <si>
    <t>ERC077</t>
  </si>
  <si>
    <t>ERC078</t>
  </si>
  <si>
    <t>ERC079</t>
  </si>
  <si>
    <t>ERC080</t>
  </si>
  <si>
    <t>ERC084</t>
  </si>
  <si>
    <t>ERC085</t>
  </si>
  <si>
    <t>ERC086</t>
  </si>
  <si>
    <t>ERC087</t>
  </si>
  <si>
    <t>ERC088</t>
  </si>
  <si>
    <t>ERC089</t>
  </si>
  <si>
    <t>ERC090</t>
  </si>
  <si>
    <t>ERC091</t>
  </si>
  <si>
    <t>ERC092</t>
  </si>
  <si>
    <t>ERC093</t>
  </si>
  <si>
    <t>ERC094</t>
  </si>
  <si>
    <t>ERC095</t>
  </si>
  <si>
    <t>ERC096</t>
  </si>
  <si>
    <t>ERC097</t>
  </si>
  <si>
    <t>ERC098</t>
  </si>
  <si>
    <t>ERC099</t>
  </si>
  <si>
    <t>ERC100</t>
  </si>
  <si>
    <t>ERC101</t>
  </si>
  <si>
    <t>ERC102</t>
  </si>
  <si>
    <t>ERC103</t>
  </si>
  <si>
    <t>ERC104</t>
  </si>
  <si>
    <t>ERC105</t>
  </si>
  <si>
    <t>ERC106</t>
  </si>
  <si>
    <t>ERC107</t>
  </si>
  <si>
    <t>ERC108</t>
  </si>
  <si>
    <t>ERC109</t>
  </si>
  <si>
    <t>ERC110</t>
  </si>
  <si>
    <t>ERC111</t>
  </si>
  <si>
    <t>ERC112</t>
  </si>
  <si>
    <t>ERC113</t>
  </si>
  <si>
    <t>ERC114</t>
  </si>
  <si>
    <t>ERC115</t>
  </si>
  <si>
    <t>ERC116</t>
  </si>
  <si>
    <t>ERC117</t>
  </si>
  <si>
    <t>ERC118</t>
  </si>
  <si>
    <t>ERC119</t>
  </si>
  <si>
    <t>ERC120</t>
  </si>
  <si>
    <t>ERC121</t>
  </si>
  <si>
    <t>ERC122</t>
  </si>
  <si>
    <t>ERC123</t>
  </si>
  <si>
    <t>ERC124</t>
  </si>
  <si>
    <t>ERC125</t>
  </si>
  <si>
    <t>ERC126</t>
  </si>
  <si>
    <t>ERC127</t>
  </si>
  <si>
    <t>ERC128</t>
  </si>
  <si>
    <t>ERC129</t>
  </si>
  <si>
    <t>ERC130</t>
  </si>
  <si>
    <t>ERC131</t>
  </si>
  <si>
    <t>ERC132</t>
  </si>
  <si>
    <t>ERC133</t>
  </si>
  <si>
    <t>ERC134</t>
  </si>
  <si>
    <t>ERC135</t>
  </si>
  <si>
    <t>ERC136</t>
  </si>
  <si>
    <t>ERC137</t>
  </si>
  <si>
    <t>ERC138</t>
  </si>
  <si>
    <t>ERC139</t>
  </si>
  <si>
    <t>ERC140</t>
  </si>
  <si>
    <t>ERC141</t>
  </si>
  <si>
    <t>ERC142</t>
  </si>
  <si>
    <t>ERC143</t>
  </si>
  <si>
    <t>ERC144</t>
  </si>
  <si>
    <t>ERC145</t>
  </si>
  <si>
    <t>ERC146</t>
  </si>
  <si>
    <t>ERC147</t>
  </si>
  <si>
    <t>ERC148</t>
  </si>
  <si>
    <t>ERC149</t>
  </si>
  <si>
    <t>ERC150</t>
  </si>
  <si>
    <t>507-549</t>
  </si>
  <si>
    <t>Adjusted by 0</t>
  </si>
  <si>
    <t>Adjusted by 322,500 for pILT rec in FY14</t>
  </si>
  <si>
    <t>Copy Last FY numbers</t>
  </si>
  <si>
    <t>Total Cost Basis - pg 3</t>
  </si>
  <si>
    <t>Gairn/Loss  - pg 3</t>
  </si>
  <si>
    <t>Income -  pg 2</t>
  </si>
  <si>
    <t>Diff Inc</t>
  </si>
  <si>
    <t>Diff G/L</t>
  </si>
  <si>
    <t>Diff Tot Cost</t>
  </si>
  <si>
    <t>End per stmnt</t>
  </si>
  <si>
    <t>Total Diff</t>
  </si>
  <si>
    <t>(see row:57-73)</t>
  </si>
  <si>
    <t xml:space="preserve">761-0000-105.00-00 to </t>
  </si>
  <si>
    <t>DAD statemetns for HSD#1, Act:23845944</t>
  </si>
  <si>
    <t xml:space="preserve">    See above, should tie to </t>
  </si>
  <si>
    <t xml:space="preserve">     Special Assmt Dist</t>
  </si>
  <si>
    <t>8/27/15  rn</t>
  </si>
  <si>
    <t>subtr prior uncoll</t>
  </si>
  <si>
    <t>round</t>
  </si>
  <si>
    <t>Primary Govt</t>
  </si>
  <si>
    <t>Agency Funds</t>
  </si>
  <si>
    <t>Pension expense  - DB</t>
  </si>
  <si>
    <t>Grant Revenue - provided by the State</t>
  </si>
  <si>
    <t>Proportionate share of ending collective net pension liability</t>
  </si>
  <si>
    <t>To record current year activity</t>
  </si>
  <si>
    <t>Pension expense</t>
  </si>
  <si>
    <t xml:space="preserve">     Net pension liability</t>
  </si>
  <si>
    <t xml:space="preserve">          Total deferred outflows of resources</t>
  </si>
  <si>
    <t xml:space="preserve">          Total deferred inflows of resources</t>
  </si>
  <si>
    <t xml:space="preserve">     Difference between projected and </t>
  </si>
  <si>
    <t xml:space="preserve">     Difference between Actual and </t>
  </si>
  <si>
    <t xml:space="preserve">      and net position</t>
  </si>
  <si>
    <t>enter from prior year Total net position, ending</t>
  </si>
  <si>
    <t>Fund: 350-499  Special Assmt Distr</t>
  </si>
  <si>
    <t>Treas St maint</t>
  </si>
  <si>
    <t>Fund: 299 Homeland Security</t>
  </si>
  <si>
    <t>350-499  Sp Assmt Dist</t>
  </si>
  <si>
    <t>300-305  Other  Grt</t>
  </si>
  <si>
    <t xml:space="preserve">  -needs committed</t>
  </si>
  <si>
    <t xml:space="preserve">             Lasuit settlements - settled</t>
  </si>
  <si>
    <t>Spec Assessmt Distr</t>
  </si>
  <si>
    <t>JV-11</t>
  </si>
  <si>
    <t xml:space="preserve">     Net pension liabilities</t>
  </si>
  <si>
    <t>Pension</t>
  </si>
  <si>
    <t>Prior FY Pension</t>
  </si>
  <si>
    <t xml:space="preserve">          Gain or loss from disposal of capital assets</t>
  </si>
  <si>
    <t xml:space="preserve">     Changes in actuarial assumptions-Pensions</t>
  </si>
  <si>
    <t xml:space="preserve">         actual investment earnings-Pensions</t>
  </si>
  <si>
    <t xml:space="preserve">         Expected Contributions-Pensions</t>
  </si>
  <si>
    <t>JV-11-1</t>
  </si>
  <si>
    <t xml:space="preserve">        Net pension liability</t>
  </si>
  <si>
    <t>JV-11-4</t>
  </si>
  <si>
    <t>JV-11-5</t>
  </si>
  <si>
    <t>Deferred outflows of resources are not financial resources and therefore are not reported in the funds.</t>
  </si>
  <si>
    <t>Deferred inflows of resources are not due and payable and therefore are not reported in the funds.</t>
  </si>
  <si>
    <t xml:space="preserve">     Net pension</t>
  </si>
  <si>
    <t>Pen Exp - DB</t>
  </si>
  <si>
    <t>Grt Rev</t>
  </si>
  <si>
    <t xml:space="preserve">  Miscellaneous (Transfers Out)</t>
  </si>
  <si>
    <t xml:space="preserve">          (Increase) decrease due from other funds</t>
  </si>
  <si>
    <t xml:space="preserve">     Buildings, Improvements, Vehicles and Equipment (net)</t>
  </si>
  <si>
    <t>PUBLIC SAFETY RADIO PROJECT</t>
  </si>
  <si>
    <t>WOLF CREEK WASTEWATER</t>
  </si>
  <si>
    <t>From AccxxExp pay</t>
  </si>
  <si>
    <t xml:space="preserve">From Accrual - Exp </t>
  </si>
  <si>
    <t>Use Cap Asset GASB sched  link may change every year - look at Input: row 29, could happen for every function</t>
  </si>
  <si>
    <t>Total Inc/(Loss) for funds</t>
  </si>
  <si>
    <t>Fund: 551</t>
  </si>
  <si>
    <t>Net Pension Liability</t>
  </si>
  <si>
    <t xml:space="preserve">     Special assessment debt payable</t>
  </si>
  <si>
    <t>Bond</t>
  </si>
  <si>
    <t>Payment</t>
  </si>
  <si>
    <t xml:space="preserve">      Loans/Contracts/Sp Assmt Debt</t>
  </si>
  <si>
    <t xml:space="preserve">1000 </t>
  </si>
  <si>
    <t>100000-109999</t>
  </si>
  <si>
    <t>110000-119999</t>
  </si>
  <si>
    <t>Taxes/Special Assess Receivable</t>
  </si>
  <si>
    <t>120000-129999</t>
  </si>
  <si>
    <t>130000-139999</t>
  </si>
  <si>
    <t>140000-149999</t>
  </si>
  <si>
    <t>150000-159999</t>
  </si>
  <si>
    <t>160000-169999</t>
  </si>
  <si>
    <t>180000-189999</t>
  </si>
  <si>
    <t>190000-199999</t>
  </si>
  <si>
    <t>General Fund - Liabilities &amp; Deferred Inflow of Resources</t>
  </si>
  <si>
    <t>200000-209999</t>
  </si>
  <si>
    <t>Short-Term Payables/Liabilities</t>
  </si>
  <si>
    <t>210000-219999</t>
  </si>
  <si>
    <t>220000-229999</t>
  </si>
  <si>
    <t>230000-239999</t>
  </si>
  <si>
    <t>General Fund - Fund Balance</t>
  </si>
  <si>
    <t>250000-259999</t>
  </si>
  <si>
    <t>260000-269999</t>
  </si>
  <si>
    <t>Committed/Assigned Fund Balance</t>
  </si>
  <si>
    <t>270000-279999</t>
  </si>
  <si>
    <t>280000-289999</t>
  </si>
  <si>
    <t>Investment in General Capital Assets</t>
  </si>
  <si>
    <t>General Fund - Revenues &amp; Other Financing Sources</t>
  </si>
  <si>
    <t>311000-311999</t>
  </si>
  <si>
    <t>General Property Taxes</t>
  </si>
  <si>
    <t>312000-312999</t>
  </si>
  <si>
    <t>Penalties/Interest DelinquentTaxes</t>
  </si>
  <si>
    <t>313000-313999</t>
  </si>
  <si>
    <t>314000-314999</t>
  </si>
  <si>
    <t>Prop Tax - Other Than Assessed Value</t>
  </si>
  <si>
    <t>315000-315999</t>
  </si>
  <si>
    <t>316000-316999</t>
  </si>
  <si>
    <t>320000-321999</t>
  </si>
  <si>
    <t>Other Licensed and Permit Revenue</t>
  </si>
  <si>
    <t>322000-322999</t>
  </si>
  <si>
    <t>323000-323999</t>
  </si>
  <si>
    <t>Non-Business Licenses/Permits</t>
  </si>
  <si>
    <t>331000-331999</t>
  </si>
  <si>
    <t>332000-332999</t>
  </si>
  <si>
    <t>333000-333999</t>
  </si>
  <si>
    <t>Federal Payments in Lieu of Taxes</t>
  </si>
  <si>
    <t>334000-334999</t>
  </si>
  <si>
    <t>335000-335999</t>
  </si>
  <si>
    <t>State Shared Revenues</t>
  </si>
  <si>
    <t>336000-336999</t>
  </si>
  <si>
    <t>337000-337999</t>
  </si>
  <si>
    <t>338000-338999</t>
  </si>
  <si>
    <t>339000-339999</t>
  </si>
  <si>
    <t>Local Payments in Lieu of Taxes</t>
  </si>
  <si>
    <t>341000-341999</t>
  </si>
  <si>
    <t>General Government Charges</t>
  </si>
  <si>
    <t>342000-342999</t>
  </si>
  <si>
    <t>Public Safety Charges for Services</t>
  </si>
  <si>
    <t>343000-343999</t>
  </si>
  <si>
    <t>Public Works Charges for Services</t>
  </si>
  <si>
    <t>344000-344999</t>
  </si>
  <si>
    <t>Public Health Charges for Services</t>
  </si>
  <si>
    <t>345000-345999</t>
  </si>
  <si>
    <t>346000-346999</t>
  </si>
  <si>
    <t>Culture and Recreation Charges</t>
  </si>
  <si>
    <t>351000-351999</t>
  </si>
  <si>
    <t>Court Fines and Forfeitures</t>
  </si>
  <si>
    <t>361000-361999</t>
  </si>
  <si>
    <t>362000-362999</t>
  </si>
  <si>
    <t>363000-363999</t>
  </si>
  <si>
    <t>365000-365999</t>
  </si>
  <si>
    <t>366000-366999</t>
  </si>
  <si>
    <t>Contrib to Pension/Investment Trust</t>
  </si>
  <si>
    <t>367000-367999</t>
  </si>
  <si>
    <t>368000-368999</t>
  </si>
  <si>
    <t>371000-371999</t>
  </si>
  <si>
    <t>372000-372999</t>
  </si>
  <si>
    <t>373000-373999</t>
  </si>
  <si>
    <t>381000-381999</t>
  </si>
  <si>
    <t>Proceeds of General Long-Term Debt</t>
  </si>
  <si>
    <t>382000-382999</t>
  </si>
  <si>
    <t>Proceeds of Gen Capital Asset Disposal</t>
  </si>
  <si>
    <t>383000-383999</t>
  </si>
  <si>
    <t>384000-384999</t>
  </si>
  <si>
    <t>Other Financing Sources - Special Items</t>
  </si>
  <si>
    <t>385000-385999</t>
  </si>
  <si>
    <t>Other Fin Sources - Extraordinary Items</t>
  </si>
  <si>
    <t>391000-391999</t>
  </si>
  <si>
    <t>Central Garages - Internal Services</t>
  </si>
  <si>
    <t>392000-392999</t>
  </si>
  <si>
    <t>Central Stores - Internal Services</t>
  </si>
  <si>
    <t>393000-393999</t>
  </si>
  <si>
    <t>Central Data Processing - Internal Service</t>
  </si>
  <si>
    <t>394000-394999</t>
  </si>
  <si>
    <t>Equipment Rental - Internal Services</t>
  </si>
  <si>
    <t>395000-395999</t>
  </si>
  <si>
    <t>Payroll - Internal Services</t>
  </si>
  <si>
    <t>396000-396999</t>
  </si>
  <si>
    <t>Other Internal Service Activities</t>
  </si>
  <si>
    <t>397000-397999</t>
  </si>
  <si>
    <t>Contribution from Local Government</t>
  </si>
  <si>
    <t>General Fund - Expenditures &amp; Other Financing Uses</t>
  </si>
  <si>
    <t>410000-411999</t>
  </si>
  <si>
    <t xml:space="preserve">General Government </t>
  </si>
  <si>
    <t>All Other</t>
  </si>
  <si>
    <t>610-619</t>
  </si>
  <si>
    <t>620-629</t>
  </si>
  <si>
    <t>900-999</t>
  </si>
  <si>
    <t>420000-420999</t>
  </si>
  <si>
    <t>430000-431999</t>
  </si>
  <si>
    <t>440000-440999</t>
  </si>
  <si>
    <t>450000-450999</t>
  </si>
  <si>
    <t>460000-460999</t>
  </si>
  <si>
    <t>470000-470999</t>
  </si>
  <si>
    <t>Housing and Community Development</t>
  </si>
  <si>
    <t>480000-480999</t>
  </si>
  <si>
    <t>Conservation of Natural Resources</t>
  </si>
  <si>
    <t>490000-490999</t>
  </si>
  <si>
    <t>500000-500999</t>
  </si>
  <si>
    <t>510000-510999</t>
  </si>
  <si>
    <t>520000-525999</t>
  </si>
  <si>
    <t>Special Revenues Funds - Fund #2000 to 2999</t>
  </si>
  <si>
    <t>Special Revenue Funds - Assets &amp; Deferred Outflow of Resources</t>
  </si>
  <si>
    <t>Special Revenue Funds - Liabilities &amp; Deferred Inflow of Resources</t>
  </si>
  <si>
    <t>Special Revenue Funds - Fund Balance</t>
  </si>
  <si>
    <t>Special Revenue Funds - Revenues &amp; Other Financing Sources</t>
  </si>
  <si>
    <t>Special Revenue Funds - Expenditures &amp; Other Financing Uses</t>
  </si>
  <si>
    <t>Debt Service Funds - Fund #3000 - 3999</t>
  </si>
  <si>
    <t>Debt Service Funds - Assets &amp; Deferred Outflow of Resources</t>
  </si>
  <si>
    <t>Debt Service Funds - Liabilities &amp; Deferred Inflow of Resources</t>
  </si>
  <si>
    <t>Debt Service Funds - Fund Balance</t>
  </si>
  <si>
    <t>Debt Service Funds - Revenues &amp; Other Financing Sources</t>
  </si>
  <si>
    <t>Debt Service Funds - Expenditures &amp; Other Financing Uses</t>
  </si>
  <si>
    <t>Capital Project Funds - Fund #4000 - 4999</t>
  </si>
  <si>
    <t>Capital Project Funds - Assets &amp; Deferred Outflow of Resources</t>
  </si>
  <si>
    <t>Capital Project Funds - Liabilities &amp; Deferred Inflow of Resources</t>
  </si>
  <si>
    <t>Capital Project Funds - Fund Balance</t>
  </si>
  <si>
    <t>Capital Project Funds - Revenues &amp; Other Financing Sources</t>
  </si>
  <si>
    <t>Capital Project Funds - Expenditures &amp; Other Financing Uses</t>
  </si>
  <si>
    <t>Enterprise/Proprietary/Business-Type Funds - Fund #5000 - 5999</t>
  </si>
  <si>
    <t>Enterprise Funds - Assets &amp; Deferred Outflow of Resources</t>
  </si>
  <si>
    <t>Enterprise Funds - Liabilities &amp; Deferred Inflow of Resources</t>
  </si>
  <si>
    <t>Restricted Fund Balance/Net Position</t>
  </si>
  <si>
    <t>Committed/Assigned Net Position</t>
  </si>
  <si>
    <t>Unassigned Net Position</t>
  </si>
  <si>
    <t>Investment in General Capital Asset</t>
  </si>
  <si>
    <t>Enterprise Funds - Revenues &amp; Other Financing Sources</t>
  </si>
  <si>
    <t>Penalties/Interest on Delinquent Taxes</t>
  </si>
  <si>
    <t>Property Tax on Other Assessed Values</t>
  </si>
  <si>
    <t>Enterprise Funds - Expenses &amp; Other Financing Uses</t>
  </si>
  <si>
    <t>All Exp</t>
  </si>
  <si>
    <t>Personal Services</t>
  </si>
  <si>
    <t>All Exp.</t>
  </si>
  <si>
    <t>200-299</t>
  </si>
  <si>
    <t>300-399</t>
  </si>
  <si>
    <t>Purchased Services</t>
  </si>
  <si>
    <t>400-499</t>
  </si>
  <si>
    <t>Building Materials</t>
  </si>
  <si>
    <t>500-599</t>
  </si>
  <si>
    <t>Fixed Charges</t>
  </si>
  <si>
    <t>Debt Service Principal</t>
  </si>
  <si>
    <t xml:space="preserve">Debt Service Interest </t>
  </si>
  <si>
    <t>700-799</t>
  </si>
  <si>
    <t>Grants, Contributions, Indemnities</t>
  </si>
  <si>
    <t>800-899</t>
  </si>
  <si>
    <t>Transfers, Depreciation</t>
  </si>
  <si>
    <t>Internal Service Funds - Fund #6000 - 6999</t>
  </si>
  <si>
    <t>Internal Service Funds - Assets &amp; Deferred Outflow of Resources</t>
  </si>
  <si>
    <t>Internal Service Funds - Liabilities &amp; Deferred Inflow of Resources</t>
  </si>
  <si>
    <t>Internal Service Funds - Net Position</t>
  </si>
  <si>
    <t>Internal Service Funds - Revenues &amp; Other Financing Sources</t>
  </si>
  <si>
    <t>Internal Service Funds - Expenses &amp; Other Financing Uses</t>
  </si>
  <si>
    <t>Trust Funds - Fund #7000 - 7099</t>
  </si>
  <si>
    <t>Trust Funds - Assets &amp; Deferred Outflow of Resources</t>
  </si>
  <si>
    <t>Trust Funds - Liabilities &amp; Deferred Outflow of Resources</t>
  </si>
  <si>
    <t>Trust Funds - Net Position</t>
  </si>
  <si>
    <t>Unassigned Fund Balance/Net Position</t>
  </si>
  <si>
    <t>Trust Funds - Revenues &amp; Other Financing Sources</t>
  </si>
  <si>
    <t>Other License and Permit Revenue</t>
  </si>
  <si>
    <t>Trust Funds - Expenses &amp; Other Financing Uses</t>
  </si>
  <si>
    <t>Agency Funds - Fund #7100 - 7999</t>
  </si>
  <si>
    <t>Agency Funds - Assets &amp; Deferred Outflow of Resources</t>
  </si>
  <si>
    <t>Agency Funds - Liabilities &amp; Deferred Inflow of Resources</t>
  </si>
  <si>
    <t>Agency Funds - Net Position</t>
  </si>
  <si>
    <t>Permanent Funds - Fund #8000 - 8999</t>
  </si>
  <si>
    <t>Permanent Funds - Assets &amp; Deferred Outflow of Resources</t>
  </si>
  <si>
    <t>Permanent Funds - Liabilities &amp; Deferred Inflow of Resources</t>
  </si>
  <si>
    <t>Permanent Funds - Fund Balance</t>
  </si>
  <si>
    <t>Permanent Funds - Revenues &amp; Other Financing Sources</t>
  </si>
  <si>
    <t>Permanent Funds - Expenditures &amp; Other Financing Uses</t>
  </si>
  <si>
    <t>Column 1</t>
  </si>
  <si>
    <t>Column 2</t>
  </si>
  <si>
    <t>Column 3</t>
  </si>
  <si>
    <t>Column 4</t>
  </si>
  <si>
    <t>Column 5</t>
  </si>
  <si>
    <t>Fiscal Year:</t>
  </si>
  <si>
    <t>Entity Name:</t>
  </si>
  <si>
    <t>Lewis and Clark County</t>
  </si>
  <si>
    <t>Fund Code</t>
  </si>
  <si>
    <t>Account Number</t>
  </si>
  <si>
    <t>Expenditure Object</t>
  </si>
  <si>
    <t>Account Number Description</t>
  </si>
  <si>
    <t>Total Amount</t>
  </si>
  <si>
    <t>General Fund - Fund #1000</t>
  </si>
  <si>
    <t>General Fund - Assets &amp; Deferred Outflow of Resources</t>
  </si>
  <si>
    <t xml:space="preserve">          Gain/(Loss) from disposal of capital assets</t>
  </si>
  <si>
    <t xml:space="preserve">     Gain/(Loss) from disposal of capital assets</t>
  </si>
  <si>
    <t>PureView</t>
  </si>
  <si>
    <t>Hlth Cntr</t>
  </si>
  <si>
    <t>PUREVIEW</t>
  </si>
  <si>
    <t xml:space="preserve">     PureView Health Center</t>
  </si>
  <si>
    <t xml:space="preserve">          Total deferred inflows</t>
  </si>
  <si>
    <t>Pr Yr</t>
  </si>
  <si>
    <t>ERC072</t>
  </si>
  <si>
    <t>ERC073</t>
  </si>
  <si>
    <t>ERC074</t>
  </si>
  <si>
    <t>ERC081</t>
  </si>
  <si>
    <t>ERC082</t>
  </si>
  <si>
    <t>ERC083</t>
  </si>
  <si>
    <t>012501</t>
  </si>
  <si>
    <t>Fixed the "ER" reprt in HTE, but never copied into here</t>
  </si>
  <si>
    <t>Enter Amounts from schedules</t>
  </si>
  <si>
    <t>Funds credited/Purchases</t>
  </si>
  <si>
    <t>(1)  Use option 38</t>
  </si>
  <si>
    <t>US Bank Stmt and schedules</t>
  </si>
  <si>
    <t>(see Misc above- formula from below accrual don''t want to adjust formula)</t>
  </si>
  <si>
    <t>not sure this is correct</t>
  </si>
  <si>
    <t xml:space="preserve">     Contibution of capital assets</t>
  </si>
  <si>
    <t xml:space="preserve">     Difference between expected and </t>
  </si>
  <si>
    <t xml:space="preserve">         actual experience-Pensions</t>
  </si>
  <si>
    <t>Major Funds are funds whose revenues, expenditures/expenses, assets plus def outflow, or liabilities plus def inflow (excluding extraordinary items) are at least 10% of the</t>
  </si>
  <si>
    <t xml:space="preserve"> plus def inflow</t>
  </si>
  <si>
    <t>Assets plus def outflow</t>
  </si>
  <si>
    <t>Liabilities plus def inflow</t>
  </si>
  <si>
    <t>Def Outflows - Prep Expenses</t>
  </si>
  <si>
    <t>??not FY16diff is  deff rev -$5,652 and Prep exp +$19,321</t>
  </si>
  <si>
    <t>Pen 2</t>
  </si>
  <si>
    <t>Def Outflow</t>
  </si>
  <si>
    <t>Def Inflow</t>
  </si>
  <si>
    <t>Put in pens exp</t>
  </si>
  <si>
    <t>Current year neg Ap</t>
  </si>
  <si>
    <t>2b) Don &amp; tradein</t>
  </si>
  <si>
    <t xml:space="preserve">     Grant revenue contributed to cover pension expenses</t>
  </si>
  <si>
    <t xml:space="preserve">    if Total is neg, then add back to make $0,</t>
  </si>
  <si>
    <t xml:space="preserve">    Then decrease unrestricted by the added amt</t>
  </si>
  <si>
    <t xml:space="preserve">                    Net Position of Governmental Activities</t>
  </si>
  <si>
    <t xml:space="preserve">   of net position, the cost of those assets is allocated over their estimated useful lives</t>
  </si>
  <si>
    <t>The amounts reported for governmental activities in the statement of</t>
  </si>
  <si>
    <t xml:space="preserve">          Change in net position of governmental activities</t>
  </si>
  <si>
    <r>
      <t xml:space="preserve">     Proceeds from disposal of capital assets</t>
    </r>
    <r>
      <rPr>
        <sz val="12"/>
        <color rgb="FFFF0000"/>
        <rFont val="Arial"/>
        <family val="2"/>
      </rPr>
      <t>(MOVE to mis rev/exp)GFOA finding</t>
    </r>
  </si>
  <si>
    <t xml:space="preserve">     First go to Long-term debt and input neg Tot GO bd</t>
  </si>
  <si>
    <t>(1a) Put added amount from (1) in here as neg</t>
  </si>
  <si>
    <t>(2a) Put added amount from (2) in here as neg</t>
  </si>
  <si>
    <t xml:space="preserve">(2) Input amount for GO bond fund balance </t>
  </si>
  <si>
    <t xml:space="preserve">   auto filled</t>
  </si>
  <si>
    <t>Notes</t>
  </si>
  <si>
    <t>Increases</t>
  </si>
  <si>
    <t>Decreases</t>
  </si>
  <si>
    <t xml:space="preserve">    GASB68 recognition of On-behalf payments to Pension Plans</t>
  </si>
  <si>
    <t>Compare to Inv Jour -1</t>
  </si>
  <si>
    <t>n/a - now GF</t>
  </si>
  <si>
    <t>Long term portion of Notes/Advance receivable (non- general fund)</t>
  </si>
  <si>
    <t>Compare to Inv Due to SchedJour -1</t>
  </si>
  <si>
    <t xml:space="preserve">  - all F/B is restricted, </t>
  </si>
  <si>
    <t xml:space="preserve">Home Grant - Fund 304: </t>
  </si>
  <si>
    <t>Fund: 300-305:  Other Grant</t>
  </si>
  <si>
    <t xml:space="preserve">Fund: 304  YMCA remodel </t>
  </si>
  <si>
    <t xml:space="preserve">Fund: 553 Other Grants (Hooper Park - Stahly)ID </t>
  </si>
  <si>
    <t xml:space="preserve">   Fd: 304Joint Land use studyYWCA home grt</t>
  </si>
  <si>
    <t>Fd: 427 TR ST RD</t>
  </si>
  <si>
    <t>Stmet of Act'!h54</t>
  </si>
  <si>
    <t>see prior perd adjust GOV IS Col: AC; row: 97</t>
  </si>
  <si>
    <t>in the Statement of Net Position.</t>
  </si>
  <si>
    <t>CORONER</t>
  </si>
  <si>
    <t>Net Position of Governmental Activities</t>
  </si>
  <si>
    <t xml:space="preserve">          Unrestricted:</t>
  </si>
  <si>
    <t xml:space="preserve">               Committed</t>
  </si>
  <si>
    <t xml:space="preserve">               Assigned</t>
  </si>
  <si>
    <t xml:space="preserve">               Unassigned</t>
  </si>
  <si>
    <t>Total liabilities, deferred inflows of resources, and fund balance</t>
  </si>
  <si>
    <t xml:space="preserve">         Total other financing sources and uses</t>
  </si>
  <si>
    <t>Revenue/Exp Totals</t>
  </si>
  <si>
    <t>not include Library</t>
  </si>
  <si>
    <t>Use Cap Asset GASB sched &amp; for fd:556 include Rd Infra amt</t>
  </si>
  <si>
    <t xml:space="preserve">     Prepayments of costs</t>
  </si>
  <si>
    <t xml:space="preserve">          Total deferred outflows</t>
  </si>
  <si>
    <t xml:space="preserve">     Taxes/Assessments</t>
  </si>
  <si>
    <t xml:space="preserve">         Real Property</t>
  </si>
  <si>
    <t xml:space="preserve">         Local Option Tax</t>
  </si>
  <si>
    <t xml:space="preserve">         Entitlements</t>
  </si>
  <si>
    <t xml:space="preserve">    Miscellaneous Revenues</t>
  </si>
  <si>
    <r>
      <t xml:space="preserve">Total </t>
    </r>
    <r>
      <rPr>
        <i/>
        <sz val="12"/>
        <rFont val="Times New Roman"/>
        <family val="1"/>
      </rPr>
      <t>fund balance</t>
    </r>
    <r>
      <rPr>
        <sz val="12"/>
        <rFont val="Times New Roman"/>
        <family val="1"/>
      </rPr>
      <t xml:space="preserve"> for governmental funds</t>
    </r>
  </si>
  <si>
    <r>
      <t xml:space="preserve">2014 </t>
    </r>
    <r>
      <rPr>
        <b/>
        <sz val="12"/>
        <color rgb="FFFF0000"/>
        <rFont val="Times New Roman"/>
        <family val="1"/>
      </rPr>
      <t>-Restated for GASB 68</t>
    </r>
  </si>
  <si>
    <t>Major Funds</t>
  </si>
  <si>
    <t>Special Assmt</t>
  </si>
  <si>
    <t>Districts</t>
  </si>
  <si>
    <t>Development</t>
  </si>
  <si>
    <t>Fund Balances Budget</t>
  </si>
  <si>
    <t xml:space="preserve">   Basis Differences</t>
  </si>
  <si>
    <t xml:space="preserve">      Inventory</t>
  </si>
  <si>
    <t xml:space="preserve">      Accrual of tax revenue</t>
  </si>
  <si>
    <t xml:space="preserve">      Accrual of licenses and permits</t>
  </si>
  <si>
    <t xml:space="preserve">      Accrual of intergovernmental revenue</t>
  </si>
  <si>
    <t xml:space="preserve">      Accrual of charges for services</t>
  </si>
  <si>
    <t xml:space="preserve">      Accrual of miscellaneous revenue</t>
  </si>
  <si>
    <t xml:space="preserve">      Accrual of transfers out</t>
  </si>
  <si>
    <t xml:space="preserve">      Accrual of expenditures</t>
  </si>
  <si>
    <t>Fund Balances (GAAP) Basis</t>
  </si>
  <si>
    <t>Unbudgeted Fund Balances</t>
  </si>
  <si>
    <t xml:space="preserve">      Total Major Funds - Fund Balances</t>
  </si>
  <si>
    <t>Non-Major Governmental Funds</t>
  </si>
  <si>
    <t>Special</t>
  </si>
  <si>
    <t>Revenue</t>
  </si>
  <si>
    <t xml:space="preserve">      Accrual of fines and forfeitures</t>
  </si>
  <si>
    <t xml:space="preserve">      Total Nonmajor Funds - Fund Balances</t>
  </si>
  <si>
    <t>Helena School District Elementary Building Reserves</t>
  </si>
  <si>
    <t>Helena School District High School Building Reserves</t>
  </si>
  <si>
    <t>Helena School District Endowment</t>
  </si>
  <si>
    <t xml:space="preserve">     Total Individual Investment Accounts</t>
  </si>
  <si>
    <t xml:space="preserve">     Proceeds from long-term debt</t>
  </si>
  <si>
    <t>Revenues:</t>
  </si>
  <si>
    <t xml:space="preserve">     Program revenues:</t>
  </si>
  <si>
    <t xml:space="preserve">     Fees, fines and charges for services</t>
  </si>
  <si>
    <t xml:space="preserve">     Operating grants and contributions</t>
  </si>
  <si>
    <t xml:space="preserve">        Total program revenues</t>
  </si>
  <si>
    <t>General Revenues</t>
  </si>
  <si>
    <t xml:space="preserve">     Taxes</t>
  </si>
  <si>
    <t xml:space="preserve">        Total revenues</t>
  </si>
  <si>
    <t>Expenses:</t>
  </si>
  <si>
    <t xml:space="preserve">     Public health</t>
  </si>
  <si>
    <t xml:space="preserve">     Social and economic</t>
  </si>
  <si>
    <t xml:space="preserve">     Culture and recreation</t>
  </si>
  <si>
    <t xml:space="preserve">     Interest on long-term debt</t>
  </si>
  <si>
    <t xml:space="preserve">     Solid waste</t>
  </si>
  <si>
    <t xml:space="preserve">     Nursing home</t>
  </si>
  <si>
    <t xml:space="preserve">     Fairgrounds</t>
  </si>
  <si>
    <t>Increase in net position before transfers</t>
  </si>
  <si>
    <t>Increase in net position</t>
  </si>
  <si>
    <t>Net position, beginning</t>
  </si>
  <si>
    <t>Net Position, ending</t>
  </si>
  <si>
    <t xml:space="preserve">     Grants and contributions not</t>
  </si>
  <si>
    <t xml:space="preserve">         restricted to other programs</t>
  </si>
  <si>
    <t xml:space="preserve">         Total expenses</t>
  </si>
  <si>
    <t>Governmental Activities</t>
  </si>
  <si>
    <t>Changes in Net Position</t>
  </si>
  <si>
    <t>Trans from: Dep&amp;Inv; sched: Invest Port</t>
  </si>
  <si>
    <t>Row:626</t>
  </si>
  <si>
    <t>Business-Type Activities</t>
  </si>
  <si>
    <t>External Investment Percentage</t>
  </si>
  <si>
    <t xml:space="preserve">Road/Bridge </t>
  </si>
  <si>
    <t>Infrastructure</t>
  </si>
  <si>
    <t>From Cap Asset</t>
  </si>
  <si>
    <t>From Budget Menu option#10, Select FY, ReportCAFRREV for Fds 692-695</t>
  </si>
  <si>
    <t>will use- Quick bks acct: 2320- Def Rev - eClinical Var]</t>
  </si>
  <si>
    <t>will be a negative-  Quick bks acct: 2310- Def Rev -Other]</t>
  </si>
  <si>
    <t>Prior Yr neg A/P In Sys Input</t>
  </si>
  <si>
    <t xml:space="preserve">      Total net position, ending </t>
  </si>
  <si>
    <t>Trans IN</t>
  </si>
  <si>
    <t>go to long term debt sched, SummaryCol: E, row 262</t>
  </si>
  <si>
    <t>PENSION RELATED ACTIVITY</t>
  </si>
  <si>
    <t>Lewis &amp; Clark County</t>
  </si>
  <si>
    <t>General Govtl</t>
  </si>
  <si>
    <t>Co Landfill</t>
  </si>
  <si>
    <t>Pureview</t>
  </si>
  <si>
    <t>Debits</t>
  </si>
  <si>
    <t>Credits</t>
  </si>
  <si>
    <t>Intergovernmental</t>
  </si>
  <si>
    <t>Undetermined difference--immaterial  majority is due to change of percentages</t>
  </si>
  <si>
    <r>
      <t xml:space="preserve">Deferred inflows of resources – Difference b/w Expected and Actual Experience </t>
    </r>
    <r>
      <rPr>
        <b/>
        <sz val="10"/>
        <color rgb="FF008000"/>
        <rFont val="Times New Roman"/>
        <family val="1"/>
      </rPr>
      <t xml:space="preserve"> End</t>
    </r>
  </si>
  <si>
    <r>
      <t>Deferred inflows of resources – Diff b/w Projected and Actual Investment Earnings</t>
    </r>
    <r>
      <rPr>
        <b/>
        <sz val="10"/>
        <color rgb="FF008000"/>
        <rFont val="Times New Roman"/>
        <family val="1"/>
      </rPr>
      <t xml:space="preserve">  End</t>
    </r>
  </si>
  <si>
    <r>
      <t>Deferred inflows of resources - Difference b/w Actual and Expected Contributio</t>
    </r>
    <r>
      <rPr>
        <sz val="10"/>
        <rFont val="Times New Roman"/>
        <family val="1"/>
      </rPr>
      <t>ns &amp; Prop Share</t>
    </r>
    <r>
      <rPr>
        <b/>
        <sz val="10"/>
        <color rgb="FF008000"/>
        <rFont val="Times New Roman"/>
        <family val="1"/>
      </rPr>
      <t xml:space="preserve"> End</t>
    </r>
  </si>
  <si>
    <t>FY15</t>
  </si>
  <si>
    <t>FY16</t>
  </si>
  <si>
    <t>Total thru Prior year</t>
  </si>
  <si>
    <t>FY17</t>
  </si>
  <si>
    <t>Total thru CurrentPrior year</t>
  </si>
  <si>
    <t>Pension Liab</t>
  </si>
  <si>
    <t>Total liabilities, def inflows and net position</t>
  </si>
  <si>
    <t xml:space="preserve">                         -</t>
  </si>
  <si>
    <t xml:space="preserve"> - from Amy's Cap asset numbers</t>
  </si>
  <si>
    <t>Other Nonmajor</t>
  </si>
  <si>
    <t xml:space="preserve">FUND BALANCE </t>
  </si>
  <si>
    <t xml:space="preserve">      Permanent portion of endowment</t>
  </si>
  <si>
    <t xml:space="preserve">          Total Nonspendable</t>
  </si>
  <si>
    <t>Capital Projects</t>
  </si>
  <si>
    <t>Federal/state/other grants</t>
  </si>
  <si>
    <t xml:space="preserve">      Road commitments</t>
  </si>
  <si>
    <t xml:space="preserve">      General government commitments</t>
  </si>
  <si>
    <t>Pubic saftety commitments</t>
  </si>
  <si>
    <t>Alcohol/drug program commitments</t>
  </si>
  <si>
    <t>Health-related commitments</t>
  </si>
  <si>
    <t xml:space="preserve">          Total Restricted</t>
  </si>
  <si>
    <t>District Court</t>
  </si>
  <si>
    <t>Road and bridge commitments</t>
  </si>
  <si>
    <t>Social &amp; economical commitments</t>
  </si>
  <si>
    <t xml:space="preserve">          Total Committed</t>
  </si>
  <si>
    <t>No contractual commitments</t>
  </si>
  <si>
    <t xml:space="preserve">          Total Assigned</t>
  </si>
  <si>
    <t>Unassigned:</t>
  </si>
  <si>
    <t xml:space="preserve">          Total fund balance</t>
  </si>
  <si>
    <t>Building construction/improvement commitments</t>
  </si>
  <si>
    <t>From JV- MISc return of Fed grt $'s</t>
  </si>
  <si>
    <t>Deferred Inflows</t>
  </si>
  <si>
    <t>Liability</t>
  </si>
  <si>
    <t>Page 9</t>
  </si>
  <si>
    <t xml:space="preserve">          (Increase) decrease deferred outflow of resources</t>
  </si>
  <si>
    <t xml:space="preserve">  Deferred outflow of resources</t>
  </si>
  <si>
    <t xml:space="preserve">  Deferred inflow of resources</t>
  </si>
  <si>
    <t xml:space="preserve">          Increase (decrease) deferred intflow of resources</t>
  </si>
  <si>
    <t>GOVERNMENTAL FUND BALANCE BY FUNCTION</t>
  </si>
  <si>
    <t>check</t>
  </si>
  <si>
    <t xml:space="preserve">Special </t>
  </si>
  <si>
    <t>Assessment</t>
  </si>
  <si>
    <t>Taxes/assessments</t>
  </si>
  <si>
    <t>State grants</t>
  </si>
  <si>
    <t>Federal grants</t>
  </si>
  <si>
    <t>Local grants</t>
  </si>
  <si>
    <t>Charges for services</t>
  </si>
  <si>
    <t>Fines and forfeitures</t>
  </si>
  <si>
    <t>Interest Earnings</t>
  </si>
  <si>
    <t>Transfers in</t>
  </si>
  <si>
    <t>Reviewed and approved</t>
  </si>
  <si>
    <t xml:space="preserve">                               -</t>
  </si>
  <si>
    <t>enter amount here</t>
  </si>
  <si>
    <t>make sure in CO in INPUT, includes cash trans only and include Chip seal</t>
  </si>
  <si>
    <t xml:space="preserve">    Total OPEB implicit rate subsidy</t>
  </si>
  <si>
    <t>rounding</t>
  </si>
  <si>
    <t>Revenues in the statement of activities that do not provide current financial resources are not reported as revenues in  the funds.</t>
  </si>
  <si>
    <t>Internal service funds are used by management to charge the costs of certain activities, such as maintenance on county buildings and vehicles;</t>
  </si>
  <si>
    <t>puchase, maintenance, and supplies for copiers, gasoline, central office supplies, and information  technology and services; postage; radio sites;</t>
  </si>
  <si>
    <t xml:space="preserve">liability insurance claims; major medical, dental, life, vision insurance and claims; and flexible benefits claims.   The net revenues/(losses) of </t>
  </si>
  <si>
    <t>Net position, beginning, as restated</t>
  </si>
  <si>
    <t>Land</t>
  </si>
  <si>
    <t>Buildings</t>
  </si>
  <si>
    <t>Improvements other than buildings</t>
  </si>
  <si>
    <t>Machinery and equipment</t>
  </si>
  <si>
    <t>Construction in progress</t>
  </si>
  <si>
    <t xml:space="preserve">     Total capital assets</t>
  </si>
  <si>
    <t>(net of depreciation)</t>
  </si>
  <si>
    <t>Cash and investments</t>
  </si>
  <si>
    <t>Other assets</t>
  </si>
  <si>
    <t xml:space="preserve">     Total assets</t>
  </si>
  <si>
    <t xml:space="preserve">    Change in net position</t>
  </si>
  <si>
    <t>Net position, June 30</t>
  </si>
  <si>
    <t xml:space="preserve">Deferred Inflows </t>
  </si>
  <si>
    <t>of Resources</t>
  </si>
  <si>
    <t>Differences between expected and actual experience</t>
  </si>
  <si>
    <t>Changes of assumptions or other inputs</t>
  </si>
  <si>
    <t xml:space="preserve">      Total</t>
  </si>
  <si>
    <t>Thereafter</t>
  </si>
  <si>
    <t>Changes for the year:</t>
  </si>
  <si>
    <t xml:space="preserve">      Service Cost</t>
  </si>
  <si>
    <t xml:space="preserve">      Interest</t>
  </si>
  <si>
    <t xml:space="preserve">      Differences between expected and actual experience</t>
  </si>
  <si>
    <t xml:space="preserve">      Changes in assumptions or other inputs</t>
  </si>
  <si>
    <t xml:space="preserve">            Net changes</t>
  </si>
  <si>
    <t>Note 11</t>
  </si>
  <si>
    <t>Note 17</t>
  </si>
  <si>
    <t>Fund</t>
  </si>
  <si>
    <t>Project Title</t>
  </si>
  <si>
    <t>Major governmental</t>
  </si>
  <si>
    <t>Non-major governmental</t>
  </si>
  <si>
    <t>Public Works Road Maintenance</t>
  </si>
  <si>
    <t>Damages</t>
  </si>
  <si>
    <t>Potential</t>
  </si>
  <si>
    <t>Case</t>
  </si>
  <si>
    <t>Requested</t>
  </si>
  <si>
    <t>of Loss</t>
  </si>
  <si>
    <t>Status</t>
  </si>
  <si>
    <t>CDV-08-5 81</t>
  </si>
  <si>
    <t>Remote</t>
  </si>
  <si>
    <t>ADV-16-608</t>
  </si>
  <si>
    <t>undetermined</t>
  </si>
  <si>
    <t xml:space="preserve">In litigation </t>
  </si>
  <si>
    <t>DDV-16-726</t>
  </si>
  <si>
    <t>Total Pension Liability</t>
  </si>
  <si>
    <t>PERS</t>
  </si>
  <si>
    <t>SRS</t>
  </si>
  <si>
    <t>TRS</t>
  </si>
  <si>
    <t>Deferred inflows of resources</t>
  </si>
  <si>
    <t>Total Pension</t>
  </si>
  <si>
    <t>County's Proportionate Share Associated With:</t>
  </si>
  <si>
    <t xml:space="preserve">     Buildings, improvements, vehicles and equipment (net)</t>
  </si>
  <si>
    <t>Year Ended June 30</t>
  </si>
  <si>
    <t>Deferred Outflows</t>
  </si>
  <si>
    <t>Amount recognized</t>
  </si>
  <si>
    <t>in Pension Expense as</t>
  </si>
  <si>
    <t>an increase or (decrease) to</t>
  </si>
  <si>
    <t>Pension Expense</t>
  </si>
  <si>
    <t>Differences between expected and actual</t>
  </si>
  <si>
    <t>economic experience</t>
  </si>
  <si>
    <t>Changes in actuarial assumptions</t>
  </si>
  <si>
    <t>Difference between projected and actual</t>
  </si>
  <si>
    <t>investment earnings</t>
  </si>
  <si>
    <t>contributions</t>
  </si>
  <si>
    <t>*Contributions paid to TRS subsequent to the</t>
  </si>
  <si>
    <t xml:space="preserve"> plus def outflow (needs tied to </t>
  </si>
  <si>
    <t xml:space="preserve">        Public health</t>
  </si>
  <si>
    <t>STATEMENT OF REVENUES, EXPENDITURES, AND CHANGES IN FUND BALANCES</t>
  </si>
  <si>
    <t>Net change in fund balances -- total governmental funds</t>
  </si>
  <si>
    <t xml:space="preserve">     Retirement, trade in, donation, etc of capital assets</t>
  </si>
  <si>
    <t xml:space="preserve">    GASB 68 recognition of On-behalf payments to Pension Plans</t>
  </si>
  <si>
    <t>STATEMENT OF REVENUES, EXPENDITURES, AND CHANGES IN FUND BALANCES - BUDGET AND ACTUAL (BUDGET BASIS)</t>
  </si>
  <si>
    <t xml:space="preserve">    Miscellaneous revenues</t>
  </si>
  <si>
    <t xml:space="preserve">  Total operating revenues</t>
  </si>
  <si>
    <t xml:space="preserve">   Total operating expenses</t>
  </si>
  <si>
    <t xml:space="preserve">     Total nonoperating revenues (expenses)</t>
  </si>
  <si>
    <t xml:space="preserve">     Transfers from other funds</t>
  </si>
  <si>
    <t xml:space="preserve">     Transfers to other funds</t>
  </si>
  <si>
    <t xml:space="preserve">          Increase (decrease) in pension liability</t>
  </si>
  <si>
    <t>RURAL SPECIAL IMPROVEMENT DISTRICT PROJECTS</t>
  </si>
  <si>
    <t xml:space="preserve">             Total assets</t>
  </si>
  <si>
    <t xml:space="preserve">             Total net position</t>
  </si>
  <si>
    <t>County Solid Waste Facility</t>
  </si>
  <si>
    <t>Gross revenues</t>
  </si>
  <si>
    <t>Direct operating expenses</t>
  </si>
  <si>
    <t>Maximum debt service</t>
  </si>
  <si>
    <t>Percent coverage</t>
  </si>
  <si>
    <t xml:space="preserve">          Total other financing sources (uses)</t>
  </si>
  <si>
    <t>FUND BALANCE</t>
  </si>
  <si>
    <t>Account #3</t>
  </si>
  <si>
    <t>Add Row 6</t>
  </si>
  <si>
    <t>FY18</t>
  </si>
  <si>
    <t>2/2/18  RN</t>
  </si>
  <si>
    <t>East Helena School District Building Reserves</t>
  </si>
  <si>
    <t>DETENTION</t>
  </si>
  <si>
    <t>325-499</t>
  </si>
  <si>
    <t>ERC151</t>
  </si>
  <si>
    <t>ERC152</t>
  </si>
  <si>
    <t>ERC153</t>
  </si>
  <si>
    <t>CENTER REMODEL</t>
  </si>
  <si>
    <t>507-539</t>
  </si>
  <si>
    <t>DETENTION CENTER REMODEL</t>
  </si>
  <si>
    <t>REMODEL</t>
  </si>
  <si>
    <t>CAPITAL PROJECT FUNDS (6)</t>
  </si>
  <si>
    <t xml:space="preserve">                          -</t>
  </si>
  <si>
    <t>9/_/18  RN</t>
  </si>
  <si>
    <t>verified done 9/_/18  RN</t>
  </si>
  <si>
    <t>10/-/18 RN</t>
  </si>
  <si>
    <t>this was an a/p adjust in fy17</t>
  </si>
  <si>
    <t>2/8/18  RN</t>
  </si>
  <si>
    <t>Use DAD statements for HSD#1, Act:23845944</t>
  </si>
  <si>
    <t>Note 10</t>
  </si>
  <si>
    <t>Higher Education Revenue Bond - Carroll College</t>
  </si>
  <si>
    <t>Family  Services Provider Revenue Bonds</t>
  </si>
  <si>
    <t xml:space="preserve">    Total</t>
  </si>
  <si>
    <t xml:space="preserve">Helena School District Other Investment </t>
  </si>
  <si>
    <t>233&amp;234</t>
  </si>
  <si>
    <t>DETENTION &amp; DIVERSION</t>
  </si>
  <si>
    <t>233 &amp; 234</t>
  </si>
  <si>
    <t>DETENTION/DIVERSION</t>
  </si>
  <si>
    <t>DIVERSION</t>
  </si>
  <si>
    <t>DETENTION &amp;</t>
  </si>
  <si>
    <t>DETENTION &amp; DIVERSION SERVICES</t>
  </si>
  <si>
    <t>RECORDS</t>
  </si>
  <si>
    <t>7/19/18 SS</t>
  </si>
  <si>
    <t>Rounding</t>
  </si>
  <si>
    <t>done 8/13/18SS</t>
  </si>
  <si>
    <t>cash rounding</t>
  </si>
  <si>
    <t>237 (was233)</t>
  </si>
  <si>
    <t xml:space="preserve">Dep&amp;Inv, sch: Invet Pool Chg in NP, Col D </t>
  </si>
  <si>
    <t>Row:644</t>
  </si>
  <si>
    <t>Row:645</t>
  </si>
  <si>
    <t>Row:647</t>
  </si>
  <si>
    <t>Row:652</t>
  </si>
  <si>
    <t>Row:653</t>
  </si>
  <si>
    <t>Change Investment % and then review amounts and adjust to match file:Dep &amp; Inv file; Tab Invest Port ;  Col: I;  Row: 43</t>
  </si>
  <si>
    <t>New FY18</t>
  </si>
  <si>
    <t>Non-major</t>
  </si>
  <si>
    <t>amt should be negative</t>
  </si>
  <si>
    <t>Def Outflows - OPEB</t>
  </si>
  <si>
    <t>Def Inflows - OPEB</t>
  </si>
  <si>
    <t>Pension liability</t>
  </si>
  <si>
    <t>Def Outflows - Pension</t>
  </si>
  <si>
    <t>Def Inflows - Pension</t>
  </si>
  <si>
    <t xml:space="preserve">     Deferred inflows related to pensions</t>
  </si>
  <si>
    <t xml:space="preserve">     Deferred outflows related to pensions</t>
  </si>
  <si>
    <t>Pension Revenue (Intergovernmental</t>
  </si>
  <si>
    <r>
      <t xml:space="preserve">Pension Revenue (Intergovernmental) </t>
    </r>
    <r>
      <rPr>
        <sz val="12"/>
        <color rgb="FFFF0000"/>
        <rFont val="Arial"/>
        <family val="2"/>
      </rPr>
      <t>don't put in prior yr</t>
    </r>
  </si>
  <si>
    <t xml:space="preserve">  OPEB RELATED ACTIVITY</t>
  </si>
  <si>
    <t xml:space="preserve">Pension Related Activity Total </t>
  </si>
  <si>
    <r>
      <t>Deferred intflows of resources – Change of Actuarial Assumptions</t>
    </r>
    <r>
      <rPr>
        <b/>
        <sz val="10"/>
        <color rgb="FF008000"/>
        <rFont val="Times New Roman"/>
        <family val="1"/>
      </rPr>
      <t xml:space="preserve">  End</t>
    </r>
  </si>
  <si>
    <t>Total deferred outflows of resources</t>
  </si>
  <si>
    <t>Total expenditures</t>
  </si>
  <si>
    <t>Net income</t>
  </si>
  <si>
    <t>Total deferred inflows of resources</t>
  </si>
  <si>
    <t>Current year activity</t>
  </si>
  <si>
    <t>Crosscheck: from sched on Website</t>
  </si>
  <si>
    <t xml:space="preserve">     Deferred inflows related to other </t>
  </si>
  <si>
    <t xml:space="preserve">          postemployment benefits</t>
  </si>
  <si>
    <t xml:space="preserve">     County contributions subseq 7/1/2017 – 6/30/2018 --Defined Benefit</t>
  </si>
  <si>
    <r>
      <t xml:space="preserve">     Difference between Projected and Actual Investment Earnings</t>
    </r>
    <r>
      <rPr>
        <b/>
        <sz val="10"/>
        <color rgb="FF008000"/>
        <rFont val="Times New Roman"/>
        <family val="1"/>
      </rPr>
      <t xml:space="preserve">  End</t>
    </r>
  </si>
  <si>
    <r>
      <t xml:space="preserve">     Difference between expected and actual experience </t>
    </r>
    <r>
      <rPr>
        <b/>
        <sz val="10"/>
        <color rgb="FF008000"/>
        <rFont val="Times New Roman"/>
        <family val="1"/>
      </rPr>
      <t xml:space="preserve"> End</t>
    </r>
  </si>
  <si>
    <r>
      <t xml:space="preserve">     Change of Actuarial Assumptions</t>
    </r>
    <r>
      <rPr>
        <b/>
        <sz val="10"/>
        <color rgb="FF008000"/>
        <rFont val="Times New Roman"/>
        <family val="1"/>
      </rPr>
      <t xml:space="preserve">  End</t>
    </r>
  </si>
  <si>
    <r>
      <t xml:space="preserve">     Difference b/w Expected and Actual Experience </t>
    </r>
    <r>
      <rPr>
        <b/>
        <sz val="10"/>
        <color rgb="FF008000"/>
        <rFont val="Times New Roman"/>
        <family val="1"/>
      </rPr>
      <t xml:space="preserve"> End</t>
    </r>
  </si>
  <si>
    <r>
      <t xml:space="preserve">     Difference b/w Actual and Expected Contributio</t>
    </r>
    <r>
      <rPr>
        <sz val="10"/>
        <rFont val="Times New Roman"/>
        <family val="1"/>
      </rPr>
      <t>ns &amp; Prop Share</t>
    </r>
    <r>
      <rPr>
        <b/>
        <sz val="10"/>
        <color rgb="FF008000"/>
        <rFont val="Times New Roman"/>
        <family val="1"/>
      </rPr>
      <t xml:space="preserve"> End</t>
    </r>
  </si>
  <si>
    <r>
      <t xml:space="preserve">     Difference between Actual and Expected Contributions &amp; Prop Share </t>
    </r>
    <r>
      <rPr>
        <b/>
        <sz val="10"/>
        <color rgb="FF008000"/>
        <rFont val="Times New Roman"/>
        <family val="1"/>
      </rPr>
      <t>End</t>
    </r>
  </si>
  <si>
    <t xml:space="preserve">OPEB Related Activity Total </t>
  </si>
  <si>
    <t>Beg</t>
  </si>
  <si>
    <t>End</t>
  </si>
  <si>
    <t>OPEB RELATED ACTIVITIES  (Including GASB 75)</t>
  </si>
  <si>
    <t xml:space="preserve">   Adjustments for Pension</t>
  </si>
  <si>
    <t xml:space="preserve">   Adjustments for OPEB </t>
  </si>
  <si>
    <t>Pension/OPEB</t>
  </si>
  <si>
    <t>gg trade-in</t>
  </si>
  <si>
    <t>gg-don</t>
  </si>
  <si>
    <t>2b)&amp;2c) Retir &amp; other (PP Adj)</t>
  </si>
  <si>
    <t>ps - don</t>
  </si>
  <si>
    <t>pw-don</t>
  </si>
  <si>
    <t>ph-don</t>
  </si>
  <si>
    <t>*- entered in Summary sch</t>
  </si>
  <si>
    <t>the measurement date FY 2018 Contributions</t>
  </si>
  <si>
    <t>Year Ended June 30:</t>
  </si>
  <si>
    <t>Def Outflow - Pension</t>
  </si>
  <si>
    <t>Def Outflow-OPEB</t>
  </si>
  <si>
    <t>Def Inflow-Pension</t>
  </si>
  <si>
    <t>Def Inflow-OPEB</t>
  </si>
  <si>
    <t>OPRB Liab</t>
  </si>
  <si>
    <t>Comp Abs liab</t>
  </si>
  <si>
    <t>Prior Period adjustment</t>
  </si>
  <si>
    <t>Added to Col D: row 15</t>
  </si>
  <si>
    <t>From Budget Menu option#10, Select FY, ReportCAFREXPP for Fds 692-695</t>
  </si>
  <si>
    <t>Comp Abs        DR/(CR)</t>
  </si>
  <si>
    <t>(PS+OP Exp), don't include amount already recorded on HTE</t>
  </si>
  <si>
    <t>Patient 793,041 &amp; Geneva W Pharm A/R:0</t>
  </si>
  <si>
    <t>NET CHANGE</t>
  </si>
  <si>
    <t>Net Change</t>
  </si>
  <si>
    <t>na Comp 9/21/18  RN</t>
  </si>
  <si>
    <t>detention center</t>
  </si>
  <si>
    <t>Murray Bldg, Trap club</t>
  </si>
  <si>
    <t>County Landfill</t>
  </si>
  <si>
    <t>Component Unit - PureView</t>
  </si>
  <si>
    <t>contributions and proportionate share</t>
  </si>
  <si>
    <t>`</t>
  </si>
  <si>
    <t xml:space="preserve">Proportionate share of ending collective </t>
  </si>
  <si>
    <t>net pension liability</t>
  </si>
  <si>
    <t>Resources</t>
  </si>
  <si>
    <t>Outflows of</t>
  </si>
  <si>
    <t xml:space="preserve">Deferred </t>
  </si>
  <si>
    <t>Inflows of</t>
  </si>
  <si>
    <t>Deferred</t>
  </si>
  <si>
    <t>Actuarially Determined Contribution (ADC)</t>
  </si>
  <si>
    <t>Total OPEB Liability (TOL)</t>
  </si>
  <si>
    <t>Covered Employee Payroll</t>
  </si>
  <si>
    <t>TOL as a Percentage of Payroll Participants</t>
  </si>
  <si>
    <t>Participants</t>
  </si>
  <si>
    <t>Valuation Result Highlights</t>
  </si>
  <si>
    <t>Fiscal Year</t>
  </si>
  <si>
    <t>Ending</t>
  </si>
  <si>
    <t>Total liabilities, def inflows of resources</t>
  </si>
  <si>
    <t>Public Works Buildings</t>
  </si>
  <si>
    <t>3e</t>
  </si>
  <si>
    <t>Budget Transfer for future Road/Bridge Projects - fund 556</t>
  </si>
  <si>
    <t xml:space="preserve">    Prior period adjustment</t>
  </si>
  <si>
    <t>Supreme Court remands to</t>
  </si>
  <si>
    <t>of  Resources</t>
  </si>
  <si>
    <t>County's grant revenue-State of Montana Proportionate Share</t>
  </si>
  <si>
    <t>County's grant revenue-Coal Severance Tax</t>
  </si>
  <si>
    <t>Increase (decrease)</t>
  </si>
  <si>
    <t>Net position, July 1</t>
  </si>
  <si>
    <t>FY19</t>
  </si>
  <si>
    <t>9/--/19 rn</t>
  </si>
  <si>
    <t>Comp  1/8/19 SS</t>
  </si>
  <si>
    <t>Comp 9/--/19  RN</t>
  </si>
  <si>
    <t>na Comp 9/--/19  RN</t>
  </si>
  <si>
    <t>Elem Bond</t>
  </si>
  <si>
    <t>HS Bond</t>
  </si>
  <si>
    <t>DETENTION CENTER DEBT</t>
  </si>
  <si>
    <t>507-516</t>
  </si>
  <si>
    <t>ERC154</t>
  </si>
  <si>
    <t>ERC155</t>
  </si>
  <si>
    <t>ERC156</t>
  </si>
  <si>
    <t xml:space="preserve"> VARIANCE WITH</t>
  </si>
  <si>
    <t>GAS TAX - SPECIAL ROAD PROGRAM</t>
  </si>
  <si>
    <t>SPECIAL ROAD</t>
  </si>
  <si>
    <t>(Page 24 of 24)</t>
  </si>
  <si>
    <t>315-499</t>
  </si>
  <si>
    <t>Done 8/8/19 RN</t>
  </si>
  <si>
    <t>(1) 8/14/19  RN</t>
  </si>
  <si>
    <t xml:space="preserve">         766-0000-105.99-99 "S"  "Y"</t>
  </si>
  <si>
    <t>Compl 8/16/19 RN</t>
  </si>
  <si>
    <t xml:space="preserve">         and transfers</t>
  </si>
  <si>
    <t xml:space="preserve">     Income (loss) before contributions</t>
  </si>
  <si>
    <t xml:space="preserve">     Capital contributions</t>
  </si>
  <si>
    <t>reported in HTE in FY19</t>
  </si>
  <si>
    <t>FN 9</t>
  </si>
  <si>
    <t>see: Jour 5e and File: Capital Assets, Tab: GASB34  Rows: 11 &amp; 22 - Reduces Expend by Cap Amts, but need to add back in Don, Exch, Trades, etc., then put in Capital Outlay row: 29</t>
  </si>
  <si>
    <t>autofill from Pens tab</t>
  </si>
  <si>
    <t>autofill from Pens Tab</t>
  </si>
  <si>
    <t xml:space="preserve">                            </t>
  </si>
  <si>
    <t xml:space="preserve">                     </t>
  </si>
  <si>
    <t xml:space="preserve">                                 </t>
  </si>
  <si>
    <t xml:space="preserve">                           </t>
  </si>
  <si>
    <t xml:space="preserve">                                </t>
  </si>
  <si>
    <t xml:space="preserve">                                                                                                                                                                </t>
  </si>
  <si>
    <t xml:space="preserve">                                               </t>
  </si>
  <si>
    <r>
      <t xml:space="preserve">FDS: 650-653 add to PW, 655-658 add to GG - </t>
    </r>
    <r>
      <rPr>
        <b/>
        <sz val="10"/>
        <rFont val="Times New Roman"/>
        <family val="1"/>
      </rPr>
      <t>stored in Pension folder</t>
    </r>
  </si>
  <si>
    <t>Public Works Flood Mitigation</t>
  </si>
  <si>
    <t>Public Works Drainage Project</t>
  </si>
  <si>
    <t>Public Works Equipment Match</t>
  </si>
  <si>
    <t>Construction commitments at year-end</t>
  </si>
  <si>
    <t>Fund: 552 waiting for Intercap loan proceeds</t>
  </si>
  <si>
    <t>(1) Run Demand Reports - option 9 Balance sheet for Fund: 692-695</t>
  </si>
  <si>
    <t>9/25/19  RN</t>
  </si>
  <si>
    <t>(90,773+5,348+9,257)</t>
  </si>
  <si>
    <t>9/25/19 RN</t>
  </si>
  <si>
    <t>verified matches last year  9/25/19 RN</t>
  </si>
  <si>
    <t>Comp 9/__/19  RN</t>
  </si>
  <si>
    <t>Total thru Currentyear</t>
  </si>
  <si>
    <t xml:space="preserve">   </t>
  </si>
  <si>
    <t>Deferred outflows of resources (*)</t>
  </si>
  <si>
    <t>Total deferred cash flow</t>
  </si>
  <si>
    <t>Primary</t>
  </si>
  <si>
    <t>Government</t>
  </si>
  <si>
    <t>Cause Number or Name of Litigation</t>
  </si>
  <si>
    <t>Nature of Litigation</t>
  </si>
  <si>
    <t>MACO Defense and/or Indemnity Coverage</t>
  </si>
  <si>
    <t>Progress to Date</t>
  </si>
  <si>
    <t>Management Response</t>
  </si>
  <si>
    <t>Chance of Unfavorable Outcome</t>
  </si>
  <si>
    <t>Demand/Potential of Loss</t>
  </si>
  <si>
    <t>Zoning</t>
  </si>
  <si>
    <t>Defend</t>
  </si>
  <si>
    <t>Unknown</t>
  </si>
  <si>
    <t>Settlement Agreement Interpretation</t>
  </si>
  <si>
    <t>Hall</t>
  </si>
  <si>
    <t>Edwards</t>
  </si>
  <si>
    <t>Ruggles</t>
  </si>
  <si>
    <t>First Amendment</t>
  </si>
  <si>
    <t>In litigation</t>
  </si>
  <si>
    <t>Complaint filed</t>
  </si>
  <si>
    <t>CDV 2016-608</t>
  </si>
  <si>
    <t xml:space="preserve">     Deferred outflows related to other </t>
  </si>
  <si>
    <t>General and Major Special Revenue Funds- Revenues by specific purposes</t>
  </si>
  <si>
    <t xml:space="preserve">     Total Revenue and Other</t>
  </si>
  <si>
    <t xml:space="preserve">     Financing Sources</t>
  </si>
  <si>
    <t>Fiduciary Funds</t>
  </si>
  <si>
    <t xml:space="preserve">   General EXPENSES</t>
  </si>
  <si>
    <t xml:space="preserve">     ALL EXPENSES</t>
  </si>
  <si>
    <t>(760-785)</t>
  </si>
  <si>
    <t>(720-759)</t>
  </si>
  <si>
    <t xml:space="preserve">   Fund balances, current</t>
  </si>
  <si>
    <t>LEWIS &amp; CLARK COUNTY</t>
  </si>
  <si>
    <t>Financial Statements</t>
  </si>
  <si>
    <t>Trial Balance - System</t>
  </si>
  <si>
    <t>Number</t>
  </si>
  <si>
    <t>Description</t>
  </si>
  <si>
    <t>Debit</t>
  </si>
  <si>
    <t>Credit</t>
  </si>
  <si>
    <t>Cash &amp; Equiv</t>
  </si>
  <si>
    <t>Flex Plan</t>
  </si>
  <si>
    <t>Payroll</t>
  </si>
  <si>
    <t>Spec</t>
  </si>
  <si>
    <t>Mobile</t>
  </si>
  <si>
    <t>Accounts Payable</t>
  </si>
  <si>
    <t>Refund</t>
  </si>
  <si>
    <t>Revolving</t>
  </si>
  <si>
    <t>Tax</t>
  </si>
  <si>
    <t>Entitlement</t>
  </si>
  <si>
    <t>Levy</t>
  </si>
  <si>
    <t>Review</t>
  </si>
  <si>
    <t>MH Partial</t>
  </si>
  <si>
    <t>Pay Holding</t>
  </si>
  <si>
    <t>Protested</t>
  </si>
  <si>
    <t>Redemptions</t>
  </si>
  <si>
    <t>Earnings</t>
  </si>
  <si>
    <t>Tax/Assessment Receivables</t>
  </si>
  <si>
    <t>Deferred inflows of tax revenues</t>
  </si>
  <si>
    <t xml:space="preserve">     To reclass fid funds that are for govta; purposes</t>
  </si>
  <si>
    <t xml:space="preserve">     Fiduciary Funds:</t>
  </si>
  <si>
    <t>691-Cust</t>
  </si>
  <si>
    <t>698-GF</t>
  </si>
  <si>
    <t>699-Cust</t>
  </si>
  <si>
    <t>703-Cust</t>
  </si>
  <si>
    <t>706-Cust</t>
  </si>
  <si>
    <t>709-Cust</t>
  </si>
  <si>
    <t>700-GF</t>
  </si>
  <si>
    <t>701-GF</t>
  </si>
  <si>
    <t>710-GF</t>
  </si>
  <si>
    <t>711-GF</t>
  </si>
  <si>
    <t>712-GF</t>
  </si>
  <si>
    <t>713-GF</t>
  </si>
  <si>
    <t>715-GF</t>
  </si>
  <si>
    <t>717-GF</t>
  </si>
  <si>
    <t>790-GF</t>
  </si>
  <si>
    <t>793-GF</t>
  </si>
  <si>
    <t>708-Cust</t>
  </si>
  <si>
    <t xml:space="preserve">          Total net position, beginning, as restated</t>
  </si>
  <si>
    <t xml:space="preserve">          Prior period adjustments</t>
  </si>
  <si>
    <t xml:space="preserve">     Net position, beginning</t>
  </si>
  <si>
    <t xml:space="preserve">     Net increase (decrease) in fiduciary net position</t>
  </si>
  <si>
    <t xml:space="preserve">     Total Deductions</t>
  </si>
  <si>
    <t xml:space="preserve">     Payments to outside sources</t>
  </si>
  <si>
    <t xml:space="preserve">     Total Additions</t>
  </si>
  <si>
    <t xml:space="preserve">     Investment income</t>
  </si>
  <si>
    <t xml:space="preserve">     Taxes/assesments</t>
  </si>
  <si>
    <t>FIDUCIARY FUNDS - CUSTODIAL FUNDS</t>
  </si>
  <si>
    <t xml:space="preserve">        Interest, dividends, and other</t>
  </si>
  <si>
    <t xml:space="preserve">        Less investment costs</t>
  </si>
  <si>
    <t xml:space="preserve">           Net investment income</t>
  </si>
  <si>
    <t>Restricted for:</t>
  </si>
  <si>
    <t xml:space="preserve">     Individuals, organizations, and</t>
  </si>
  <si>
    <t xml:space="preserve">     Total net position</t>
  </si>
  <si>
    <t>From row: 148 above: See JOUR: 11  9/18/19 RN</t>
  </si>
  <si>
    <t xml:space="preserve">          other governments</t>
  </si>
  <si>
    <t>CUSTODIAL</t>
  </si>
  <si>
    <t>BANK Acct</t>
  </si>
  <si>
    <t>s/D &amp; Sch</t>
  </si>
  <si>
    <t xml:space="preserve">        Treasury Notes</t>
  </si>
  <si>
    <t xml:space="preserve">        Agency Notes</t>
  </si>
  <si>
    <t xml:space="preserve">        Certificates of Deposit</t>
  </si>
  <si>
    <t xml:space="preserve">          Total  Investments </t>
  </si>
  <si>
    <t xml:space="preserve">   TREASURY NOTES</t>
  </si>
  <si>
    <t xml:space="preserve">   AGENCY NOTES</t>
  </si>
  <si>
    <t xml:space="preserve">   CERTIFICATES OF DEPOSITS</t>
  </si>
  <si>
    <t xml:space="preserve">      Total Investment Percentage</t>
  </si>
  <si>
    <t xml:space="preserve">        Individuals, organizations, and</t>
  </si>
  <si>
    <t xml:space="preserve">           other governments</t>
  </si>
  <si>
    <t>Need to determine type of investment for breakdown</t>
  </si>
  <si>
    <t>in FD NA</t>
  </si>
  <si>
    <t xml:space="preserve">       Net increase (decrease) in fiduciary net position</t>
  </si>
  <si>
    <t xml:space="preserve">         Net increase (decrease) in fiduciary net position</t>
  </si>
  <si>
    <t xml:space="preserve">   Net Assets, beginning</t>
  </si>
  <si>
    <t>STATEMENT OF REVENUES, EXPENDITURES AND CHANGES IN FUND</t>
  </si>
  <si>
    <t xml:space="preserve">   BALANCES - BUDGET AND ACTUAL (BUDGET BASIS)</t>
  </si>
  <si>
    <t>FOR THE FISCAL YEAR ENDED JUNE 30, 2009</t>
  </si>
  <si>
    <t>(PAGE _ OF 4)</t>
  </si>
  <si>
    <t xml:space="preserve">     Total Taxes/Assessment</t>
  </si>
  <si>
    <t xml:space="preserve">     Total Licenses and Permits</t>
  </si>
  <si>
    <t xml:space="preserve">     Other local sources</t>
  </si>
  <si>
    <t xml:space="preserve">     Total Intergovernmental</t>
  </si>
  <si>
    <t xml:space="preserve">   General government:</t>
  </si>
  <si>
    <t xml:space="preserve">     Administrative fees</t>
  </si>
  <si>
    <t xml:space="preserve">     Attorney fees</t>
  </si>
  <si>
    <t xml:space="preserve">     District clerk fees</t>
  </si>
  <si>
    <t xml:space="preserve">     Property tax</t>
  </si>
  <si>
    <t xml:space="preserve">     Election service</t>
  </si>
  <si>
    <t xml:space="preserve">     Clerk and Recorder</t>
  </si>
  <si>
    <t xml:space="preserve">     Treasurer's fees</t>
  </si>
  <si>
    <t xml:space="preserve">     Weed</t>
  </si>
  <si>
    <t xml:space="preserve">     Other charges for services</t>
  </si>
  <si>
    <t xml:space="preserve">   Public safety:</t>
  </si>
  <si>
    <t xml:space="preserve">     Animal control</t>
  </si>
  <si>
    <t xml:space="preserve">     Total Charges for Services</t>
  </si>
  <si>
    <t xml:space="preserve">   Court fines:</t>
  </si>
  <si>
    <t xml:space="preserve">     Surcharge</t>
  </si>
  <si>
    <t xml:space="preserve">     Total Fines and Forfeitures</t>
  </si>
  <si>
    <t>DEBT SERVICE FUNDS (6)</t>
  </si>
  <si>
    <t>ENTERPRISE FUNDS (6)</t>
  </si>
  <si>
    <t>FY20</t>
  </si>
  <si>
    <r>
      <t xml:space="preserve">     Changes of assumptions or other inputs</t>
    </r>
    <r>
      <rPr>
        <b/>
        <sz val="10"/>
        <color rgb="FF008000"/>
        <rFont val="Times New Roman"/>
        <family val="1"/>
      </rPr>
      <t xml:space="preserve">  End</t>
    </r>
  </si>
  <si>
    <t>thereafter</t>
  </si>
  <si>
    <t>Future working lifetime</t>
  </si>
  <si>
    <t>FY19 Net</t>
  </si>
  <si>
    <t>FY20 Net</t>
  </si>
  <si>
    <t>FY Deferral Occurred</t>
  </si>
  <si>
    <t>FY of Amortization</t>
  </si>
  <si>
    <t>FY18 Net</t>
  </si>
  <si>
    <t xml:space="preserve">Amort Thru FY18 </t>
  </si>
  <si>
    <t>Amort Thru FY19</t>
  </si>
  <si>
    <t>Amort Thru FY20</t>
  </si>
  <si>
    <t>Def Outflows</t>
  </si>
  <si>
    <t>Def Inflows</t>
  </si>
  <si>
    <t>Grand Total</t>
  </si>
  <si>
    <t>Def Out(In)</t>
  </si>
  <si>
    <t>Maint</t>
  </si>
  <si>
    <t xml:space="preserve">Add Columns and rows for the fiscal year </t>
  </si>
  <si>
    <t xml:space="preserve">   IND INV FUNDS col, Net position</t>
  </si>
  <si>
    <t>Total Cost Basis - pg 3  #5</t>
  </si>
  <si>
    <t>Gairn/Loss  - pg 3  #6</t>
  </si>
  <si>
    <t>Income -  pg 2  #4</t>
  </si>
  <si>
    <t>Do this First</t>
  </si>
  <si>
    <t>Do this Second</t>
  </si>
  <si>
    <t>Entry #1</t>
  </si>
  <si>
    <t>Entry #2</t>
  </si>
  <si>
    <t>Do this Third</t>
  </si>
  <si>
    <t xml:space="preserve">   schedules, if necessary enter an amount in this row for </t>
  </si>
  <si>
    <t>Rounding:</t>
  </si>
  <si>
    <t xml:space="preserve">   "Rounding".  Make sure __ BUDACT tab "Fund balance, July 1"</t>
  </si>
  <si>
    <t xml:space="preserve">    until amount is "0" in Row 73.  Make sure the entry on this </t>
  </si>
  <si>
    <t xml:space="preserve">    row is linked to a revenue account (usually major one) </t>
  </si>
  <si>
    <t xml:space="preserve">    amount in row 186 (Debt Service Funds link to row 147)</t>
  </si>
  <si>
    <t>compl 8/--/20 RN</t>
  </si>
  <si>
    <t>Justice Court</t>
  </si>
  <si>
    <t>Funds credited/Purchases pg 2</t>
  </si>
  <si>
    <t>See Rev Accts above Rows: 10-16</t>
  </si>
  <si>
    <t>IF this is off for fds: 612&amp;613, s/b post closure</t>
  </si>
  <si>
    <t>Check to make sure Input is balanced</t>
  </si>
  <si>
    <t>formula in row 144</t>
  </si>
  <si>
    <t>Custodial</t>
  </si>
  <si>
    <t>Funds</t>
  </si>
  <si>
    <t>If either formula above or below is not "-", then enter a rounding amt</t>
  </si>
  <si>
    <t>Indiv Invest</t>
  </si>
  <si>
    <t>Schools</t>
  </si>
  <si>
    <t>Int earnings is really program revenue</t>
  </si>
  <si>
    <t>JOUR-Fiduciary "Govtal Funds" Transfer</t>
  </si>
  <si>
    <t>JOURNAL ENTRIES - FYE Transfer Fiduciary Funds to General Fund</t>
  </si>
  <si>
    <t>Amounts autofill from TA BS ER</t>
  </si>
  <si>
    <t>Verified 8/4/20 RN</t>
  </si>
  <si>
    <t>Amounts autofill to Sys Input</t>
  </si>
  <si>
    <t>"General Fund" accounts</t>
  </si>
  <si>
    <t xml:space="preserve">     Contributions to outside trust investments</t>
  </si>
  <si>
    <t xml:space="preserve">     Distribution from outside trust  investments</t>
  </si>
  <si>
    <t>Balance</t>
  </si>
  <si>
    <t xml:space="preserve">      Benefit payments (estimated)</t>
  </si>
  <si>
    <t>Amort Thru FY21</t>
  </si>
  <si>
    <t>DEFERRED OUTFLOWS/ (INFLOWS) SCHEDULE</t>
  </si>
  <si>
    <t>9/14/20 SS</t>
  </si>
  <si>
    <t>From Trial Bal. calculation, should match PY FY Sys Input: Col:EI Row 69</t>
  </si>
  <si>
    <t>Col: D, Row 54</t>
  </si>
  <si>
    <t>Col: F, Row 54</t>
  </si>
  <si>
    <t>Comp 9/14/20 SS</t>
  </si>
  <si>
    <t xml:space="preserve">Comp 9/14/20 SS </t>
  </si>
  <si>
    <t>Comp  9/14/20 SS</t>
  </si>
  <si>
    <t>Public Safety Data Contract</t>
  </si>
  <si>
    <t>Year 1</t>
  </si>
  <si>
    <t>Year 2</t>
  </si>
  <si>
    <t>Year 3</t>
  </si>
  <si>
    <t>Capitalized</t>
  </si>
  <si>
    <t>Not Capitalized</t>
  </si>
  <si>
    <t>Capital related debt</t>
  </si>
  <si>
    <t>Bond issue</t>
  </si>
  <si>
    <t>Premium</t>
  </si>
  <si>
    <t>Not included in Net investment in capital assets</t>
  </si>
  <si>
    <t>Comp9/24/20 RN</t>
  </si>
  <si>
    <t xml:space="preserve"> Matches FY19CAFR</t>
  </si>
  <si>
    <t>SEE TAB: COMP UNIT IS</t>
  </si>
  <si>
    <t>Row: 59</t>
  </si>
  <si>
    <t>col: N</t>
  </si>
  <si>
    <t>Comp 9/24/20 RN</t>
  </si>
  <si>
    <t>Remaining20,381 is cur yr depr</t>
  </si>
  <si>
    <t>autofill from OPEB tab</t>
  </si>
  <si>
    <t>Total Comp, Pens, Opeb</t>
  </si>
  <si>
    <t xml:space="preserve">Pr FYPension </t>
  </si>
  <si>
    <t xml:space="preserve"> Alloc to Function</t>
  </si>
  <si>
    <t xml:space="preserve">Use to Alloc Pension OPEB and Comp Absense </t>
  </si>
  <si>
    <t xml:space="preserve"> to Function in Rows: 27 - 32</t>
  </si>
  <si>
    <t>This should match Col: AC row:57 , before entering any JV</t>
  </si>
  <si>
    <t>Note 21 - Library</t>
  </si>
  <si>
    <t xml:space="preserve">      Bonds pay - related to Cap Assets</t>
  </si>
  <si>
    <t>DDV 2020-741</t>
  </si>
  <si>
    <t>DD 2020-739</t>
  </si>
  <si>
    <t xml:space="preserve">    Restricted for:</t>
  </si>
  <si>
    <t xml:space="preserve">     Restricted net position, beginning of year</t>
  </si>
  <si>
    <t xml:space="preserve">     Restricted net position, end of year</t>
  </si>
  <si>
    <t xml:space="preserve">     Restricted net position, beginning of year, as restated</t>
  </si>
  <si>
    <t>Amort Thru FY22</t>
  </si>
  <si>
    <t>FY21 Net</t>
  </si>
  <si>
    <t>FY21</t>
  </si>
  <si>
    <t>compl 8/-/21 RN</t>
  </si>
  <si>
    <t xml:space="preserve">  6/-/21  RN</t>
  </si>
  <si>
    <t>Compl 2/3/21  RN</t>
  </si>
  <si>
    <t>Closed to</t>
  </si>
  <si>
    <t>227(FY21)</t>
  </si>
  <si>
    <t>no amts inFY21</t>
  </si>
  <si>
    <t>Account #4</t>
  </si>
  <si>
    <t>Verified 8/-/21 RN</t>
  </si>
  <si>
    <t>Amt fro Pr FY SR BUDACT</t>
  </si>
  <si>
    <t>Col: IO, Row: 73</t>
  </si>
  <si>
    <t>Verified  8/-/21  RN</t>
  </si>
  <si>
    <t>Amt from: Pr FY GEN BUDACT</t>
  </si>
  <si>
    <t>Col: F, Row: 210</t>
  </si>
  <si>
    <t>Amt fro Pr FY MAJ GOV BUDACT</t>
  </si>
  <si>
    <t>Amt fro Pr FY MAJ GOV BUDACT (2)</t>
  </si>
  <si>
    <t>Col: E, Row: 72</t>
  </si>
  <si>
    <t>Col: E, Row: 64</t>
  </si>
  <si>
    <t>Amt fro Pr FY DS BUDACT</t>
  </si>
  <si>
    <t>Col: AR, Row: 61</t>
  </si>
  <si>
    <t>Amt fro Pr FY CP BUDACT</t>
  </si>
  <si>
    <t>Col: AI, Row: 73</t>
  </si>
  <si>
    <t xml:space="preserve">    in __ BUDACT- Fds:001-556</t>
  </si>
  <si>
    <t>Compare row 59 on Input, not on Sys Input for Enterprise funds</t>
  </si>
  <si>
    <t>Reduced by prior yrs Indiv Invest</t>
  </si>
  <si>
    <t>Beginning Fund Balance- GAAP Basis ( From prior year CAFReport)</t>
  </si>
  <si>
    <t xml:space="preserve">         xxCAFReport; sheet: FID FDS</t>
  </si>
  <si>
    <t xml:space="preserve">         xxCAFReport; sheet: FIDCH FDS</t>
  </si>
  <si>
    <t>COMP ANN FIN REPORT 2020</t>
  </si>
  <si>
    <t xml:space="preserve">     Total</t>
  </si>
  <si>
    <t>District #2</t>
  </si>
  <si>
    <t>Perm Acc #3</t>
  </si>
  <si>
    <t>should match AK16</t>
  </si>
  <si>
    <t>Acct: 708-0000-181.20</t>
  </si>
  <si>
    <t xml:space="preserve">Copy Last FY  "Total net position, ending" </t>
  </si>
  <si>
    <t>File: CAFR  Tab: Cust Funds Chg in NP Col(s)AO; Row: 35</t>
  </si>
  <si>
    <t xml:space="preserve">Tab FIDCH FDS </t>
  </si>
  <si>
    <t>Col(s): C; Rows: 63-73</t>
  </si>
  <si>
    <t>From:  USBANK statements for Forestvale Perpet &amp; Endow Funds accts</t>
  </si>
  <si>
    <t>File: CAFR</t>
  </si>
  <si>
    <t>File: Deposit&amp;Investments</t>
  </si>
  <si>
    <t>Tab: Input Sheet</t>
  </si>
  <si>
    <t>Col(s): E &amp; F; Rows: 57-74</t>
  </si>
  <si>
    <t>Col(s): D; Rows: 81</t>
  </si>
  <si>
    <t>From:  Long-term Debt file: Worksheet: 613Reserves, col: I;  Row: 40</t>
  </si>
  <si>
    <t>File: Forestvale</t>
  </si>
  <si>
    <t>Tab: Schedule</t>
  </si>
  <si>
    <t>Col(s): D..L; Rows: 8-44</t>
  </si>
  <si>
    <t>USBANK statements for Forestvale Perpet &amp; Endow Funds accts</t>
  </si>
  <si>
    <t>Tab: Sys Input</t>
  </si>
  <si>
    <t>Col(s): BD &amp; EG; Rows: all</t>
  </si>
  <si>
    <t>TO DO _ FY2021</t>
  </si>
  <si>
    <t>complete 8/9/21</t>
  </si>
  <si>
    <t>3)</t>
  </si>
  <si>
    <t>Tab: Invest Pool NP</t>
  </si>
  <si>
    <t>Col(s): H.. O; Rows: 13 &amp; 14</t>
  </si>
  <si>
    <t>From:  File: Excel; Tab: Input</t>
  </si>
  <si>
    <t>Excel;  Tab: Input  Col: C; Row: 81 &amp; 82</t>
  </si>
  <si>
    <t>Verified 8/9/21RN</t>
  </si>
  <si>
    <t>Trans from: Use DAD statements for HSD#1, Act:23845944</t>
  </si>
  <si>
    <t xml:space="preserve">     Other Grants</t>
  </si>
  <si>
    <t>SPECIAL REVENUE FUNDS (50)</t>
  </si>
  <si>
    <t>Grants</t>
  </si>
  <si>
    <t xml:space="preserve">            Account Balance Report Selections           </t>
  </si>
  <si>
    <t xml:space="preserve">Type information, press Enter.                          </t>
  </si>
  <si>
    <t xml:space="preserve">  Fiscal year:    2021                                  </t>
  </si>
  <si>
    <t xml:space="preserve">  Account range:                                        </t>
  </si>
  <si>
    <t xml:space="preserve">     From  . . . . . . 000 - 0000 - 371 . 07 - 00       </t>
  </si>
  <si>
    <t xml:space="preserve">     To  . . . . . . . 999 - 9999 - 371 . 07 - 00       </t>
  </si>
  <si>
    <t xml:space="preserve">     Range type  . . . S  O=Only, R=Range, S=Selective  </t>
  </si>
  <si>
    <t xml:space="preserve">                                                        </t>
  </si>
  <si>
    <t xml:space="preserve">  Account type selection:                               </t>
  </si>
  <si>
    <t xml:space="preserve">     Select all that should be displayed                </t>
  </si>
  <si>
    <t xml:space="preserve">       Assets     Liabilities     Revenue X   Expense   </t>
  </si>
  <si>
    <t>.</t>
  </si>
  <si>
    <t>Dep &amp; Inv xls; tab: Invest Pool NP</t>
  </si>
  <si>
    <t xml:space="preserve">     Col N; Row 12 &amp; 13</t>
  </si>
  <si>
    <t>Input, Col DR</t>
  </si>
  <si>
    <t>Prior Year A/R</t>
  </si>
  <si>
    <t>Prior Year A/P</t>
  </si>
  <si>
    <t xml:space="preserve">     Contibutions to pooled investements</t>
  </si>
  <si>
    <t>Disticts &amp;</t>
  </si>
  <si>
    <t>Dep&amp;Inv, sch: Invest Pool NP, Col D Row:35</t>
  </si>
  <si>
    <t>Transfer info auto from:</t>
  </si>
  <si>
    <t>Funds(less</t>
  </si>
  <si>
    <t xml:space="preserve"> Spec Dist &amp;</t>
  </si>
  <si>
    <t>Sch&amp;Just Crt)</t>
  </si>
  <si>
    <t>Rev lessSp Dis</t>
  </si>
  <si>
    <t>&amp; Schools</t>
  </si>
  <si>
    <t>Work on deleting Major Fund Det Remod put intonon-major Cap proj funds</t>
  </si>
  <si>
    <r>
      <t xml:space="preserve">Work on adding Major Fund </t>
    </r>
    <r>
      <rPr>
        <sz val="10"/>
        <color rgb="FFFF0000"/>
        <rFont val="Arial"/>
        <family val="2"/>
      </rPr>
      <t xml:space="preserve"> budg to act</t>
    </r>
  </si>
  <si>
    <t>Trans to Cash &amp;</t>
  </si>
  <si>
    <t>Invest, Tab: cash</t>
  </si>
  <si>
    <t>Col: E  Row:17</t>
  </si>
  <si>
    <t>done 8/12/21</t>
  </si>
  <si>
    <t>(Page 1 of 6)</t>
  </si>
  <si>
    <t>(Page 2 of 6)</t>
  </si>
  <si>
    <t>(Page 3 of 6)</t>
  </si>
  <si>
    <t>Verified  8/13/21  RN</t>
  </si>
  <si>
    <t>(Page 4 of 6)</t>
  </si>
  <si>
    <t>(Page 6 of 6)</t>
  </si>
  <si>
    <t>(Page 5 of 6)</t>
  </si>
  <si>
    <t>This is due to moving Other Grants to Major Fund</t>
  </si>
  <si>
    <t>8/13/21  RN</t>
  </si>
  <si>
    <t>Amt fro Pr FY MAJ GOV BUDACT (3)</t>
  </si>
  <si>
    <t>(Page 1 of 23)</t>
  </si>
  <si>
    <t>(Page 2 of 23)</t>
  </si>
  <si>
    <t>(Page 3 of 23)</t>
  </si>
  <si>
    <t>(Page 4 of 23)</t>
  </si>
  <si>
    <t>(Page 5 of 23)</t>
  </si>
  <si>
    <t>(Page 6 of 23)</t>
  </si>
  <si>
    <t>(Page 7 of 23)</t>
  </si>
  <si>
    <t>(Page 8 of 23)</t>
  </si>
  <si>
    <t>(Page 9 of 23)</t>
  </si>
  <si>
    <t>(Page 10 of 23)</t>
  </si>
  <si>
    <t>(Page 11 of 23)</t>
  </si>
  <si>
    <t>(Page 12 of 23)</t>
  </si>
  <si>
    <t>(Page 13 of 23)</t>
  </si>
  <si>
    <t>(Page 14 of 23)</t>
  </si>
  <si>
    <t>(Page 15 of 23)</t>
  </si>
  <si>
    <t>(Page 16 of 23)</t>
  </si>
  <si>
    <t>(Page 17 of 23)</t>
  </si>
  <si>
    <t>(Page 18 of 23)</t>
  </si>
  <si>
    <t>(Page 19 of 23)</t>
  </si>
  <si>
    <t>(Page 20 of 23)</t>
  </si>
  <si>
    <t>(Page 21 of 23)</t>
  </si>
  <si>
    <t>(Page 22 of 23)</t>
  </si>
  <si>
    <t>(Page 23 of 23)</t>
  </si>
  <si>
    <t xml:space="preserve">Other </t>
  </si>
  <si>
    <t>Detention Center</t>
  </si>
  <si>
    <t>Remodel</t>
  </si>
  <si>
    <t>Public Works Landfill Expansion</t>
  </si>
  <si>
    <t>Major enterprise</t>
  </si>
  <si>
    <t>Public Works Truck Assembly</t>
  </si>
  <si>
    <t>Page  9</t>
  </si>
  <si>
    <t>1c) Decr CIP(neg amts)</t>
  </si>
  <si>
    <t>1a&amp;b new ca (less trIn)</t>
  </si>
  <si>
    <t>If not zero need to adjust Cap line in "Input"</t>
  </si>
  <si>
    <t>(3a) Put amts in from GO bds -S&amp;R &amp; Det Ctr( as neg)</t>
  </si>
  <si>
    <t>Other Grants</t>
  </si>
  <si>
    <t>CDV 2008-581</t>
  </si>
  <si>
    <t>DDV 2016-726</t>
  </si>
  <si>
    <t>Declaratory Judgment/Direct Damages/ Negligent Misrepresentation</t>
  </si>
  <si>
    <t>DV 2018-1392</t>
  </si>
  <si>
    <t>Declaratory Judgment</t>
  </si>
  <si>
    <t>Sadowski</t>
  </si>
  <si>
    <t>Falcoln</t>
  </si>
  <si>
    <t>Shipman</t>
  </si>
  <si>
    <t>DDV 2020-2015</t>
  </si>
  <si>
    <t>Soja</t>
  </si>
  <si>
    <t>Fund: 295 waiting for grant proceeds</t>
  </si>
  <si>
    <t>GFOA Comment</t>
  </si>
  <si>
    <t>Done 9/29/21 rn</t>
  </si>
  <si>
    <t xml:space="preserve">     Gain from Donation of Capital Asset</t>
  </si>
  <si>
    <t xml:space="preserve">     Premium on long-term debt issue</t>
  </si>
  <si>
    <t xml:space="preserve">     Refund Payment to Escrow</t>
  </si>
  <si>
    <t>FY21 (only)</t>
  </si>
  <si>
    <t xml:space="preserve">     Cost of bond issuance</t>
  </si>
  <si>
    <t xml:space="preserve">     Refund payment to escrow</t>
  </si>
  <si>
    <t>Plugged</t>
  </si>
  <si>
    <t>Sum should be 0</t>
  </si>
  <si>
    <t xml:space="preserve">     Issuance of long-term debt</t>
  </si>
  <si>
    <t xml:space="preserve">    Issuance of long-term debt</t>
  </si>
  <si>
    <t>Cash Receipts</t>
  </si>
  <si>
    <t>Cash Disbursements</t>
  </si>
  <si>
    <t>updated 11/30/21 w/AZ#s</t>
  </si>
  <si>
    <t>verify 8/-/22 RN</t>
  </si>
  <si>
    <t>FY22</t>
  </si>
  <si>
    <t>Amort Thru FY23</t>
  </si>
  <si>
    <t>Done 9/__/21 RN</t>
  </si>
  <si>
    <t>done 5/11/22 RN</t>
  </si>
  <si>
    <t>matches last year  9/-/22  RN</t>
  </si>
  <si>
    <t>(2)   Pr yr Amt: CAFReport pg 188</t>
  </si>
  <si>
    <t>compl &amp;verify</t>
  </si>
  <si>
    <t xml:space="preserve">Compare Row 61 to last years Ending Fund balance in CAFReport </t>
  </si>
  <si>
    <t xml:space="preserve">    row is linked to amount in row 183, adjust until matches</t>
  </si>
  <si>
    <t xml:space="preserve">    until it is "0" (may have to make sure Row: 156  is linked to</t>
  </si>
  <si>
    <t>Compl 8/10/22  RN</t>
  </si>
  <si>
    <t>Verified  8/10/22  RN</t>
  </si>
  <si>
    <t>ERC157</t>
  </si>
  <si>
    <t>Input bal 8/15/22  RN</t>
  </si>
  <si>
    <t>change amt each FYE</t>
  </si>
  <si>
    <t>verified RN 8/15/22</t>
  </si>
  <si>
    <t>761-0160</t>
  </si>
  <si>
    <t>761-0161</t>
  </si>
  <si>
    <t>761-0162</t>
  </si>
  <si>
    <t>761-0163</t>
  </si>
  <si>
    <t xml:space="preserve">761-0160-371.07-00 </t>
  </si>
  <si>
    <t xml:space="preserve">761-0161-371.07-00 </t>
  </si>
  <si>
    <t xml:space="preserve">761-0162-371.07-00 </t>
  </si>
  <si>
    <t xml:space="preserve">761-0163-371.07-00 </t>
  </si>
  <si>
    <t xml:space="preserve">762-0161-371.07-00 </t>
  </si>
  <si>
    <t xml:space="preserve">762-0162-371.07-00 </t>
  </si>
  <si>
    <t xml:space="preserve">762-0163-371.07-00 </t>
  </si>
  <si>
    <t xml:space="preserve">762-0181-371.07-00 </t>
  </si>
  <si>
    <t xml:space="preserve">766-0160-371.07-00 </t>
  </si>
  <si>
    <t xml:space="preserve">766-0161-371.07-00 </t>
  </si>
  <si>
    <t xml:space="preserve">766-0162-371.07-00 </t>
  </si>
  <si>
    <t>ACCOUNT</t>
  </si>
  <si>
    <t xml:space="preserve">                Copy in cells to right</t>
  </si>
  <si>
    <t>naCompl 8/10/21  RN</t>
  </si>
  <si>
    <t>na Compl 8/10/20  RN</t>
  </si>
  <si>
    <t xml:space="preserve"> na Compl 6/9/22  RN</t>
  </si>
  <si>
    <t>(3) input from Dep&amp;Invest file;  Invest Port</t>
  </si>
  <si>
    <t xml:space="preserve">round in row22, to get row 34 to equal </t>
  </si>
  <si>
    <t>na Compl 8/-/22 RN</t>
  </si>
  <si>
    <t xml:space="preserve">4) Beginning in FY22, this interest section can be completed by running Acct Bal Report </t>
  </si>
  <si>
    <t xml:space="preserve">   ACTUAL(4)</t>
  </si>
  <si>
    <t xml:space="preserve">Copy Last FY  "A/R &amp; A/P </t>
  </si>
  <si>
    <t>compl 8/16/22 RN</t>
  </si>
  <si>
    <t>Compl 8/17/22 RN</t>
  </si>
  <si>
    <t>Verified 8/17/22 RN</t>
  </si>
  <si>
    <t>verified 8/17/22 RN</t>
  </si>
  <si>
    <t xml:space="preserve">Make sure balances to Dep&amp;Inv, Invest Port Col: I,  Rows: 50-58 </t>
  </si>
  <si>
    <t>Done 8/17/22  RN</t>
  </si>
  <si>
    <t>compl 8/17/22 RN</t>
  </si>
  <si>
    <t>Balancing</t>
  </si>
  <si>
    <t>If first  formula above is not "-", then enter a rounding amt in ro 18</t>
  </si>
  <si>
    <t>370 to 733</t>
  </si>
  <si>
    <t>FY22 entries</t>
  </si>
  <si>
    <t>Pension expense - County contributions 7/1/2020– 6/30/2021 --Defined Benefit</t>
  </si>
  <si>
    <t>Deferred outflows of resources – County contributions subseq 7/1/2020 – 6/30/2021 --Defined Benefit</t>
  </si>
  <si>
    <t>Done 9/-/22 RN</t>
  </si>
  <si>
    <t>FY22 Net</t>
  </si>
  <si>
    <t>see fund:204 -126</t>
  </si>
  <si>
    <t>compl 8/31/22  rn</t>
  </si>
  <si>
    <t>Col DX  Row 18</t>
  </si>
  <si>
    <t>Sys Input</t>
  </si>
  <si>
    <t>Done 8/31/22 rn</t>
  </si>
  <si>
    <t>From row: 150 above: See JOUR: 11  9/6/22 RN</t>
  </si>
  <si>
    <t>6 governmental and 2 enterprise funds</t>
  </si>
  <si>
    <t xml:space="preserve">   '(Special Assmt Dist is just below the Asset threshhold, but will keep it a Major Fund for FY)</t>
  </si>
  <si>
    <r>
      <rPr>
        <sz val="10"/>
        <color rgb="FFFF0000"/>
        <rFont val="Arial"/>
        <family val="2"/>
      </rPr>
      <t>63</t>
    </r>
    <r>
      <rPr>
        <sz val="10"/>
        <rFont val="Arial"/>
        <family val="2"/>
      </rPr>
      <t xml:space="preserve"> governmental and 6 enterprise funds(includes gen fund)</t>
    </r>
  </si>
  <si>
    <t>Done 9/15/22 SP</t>
  </si>
  <si>
    <t xml:space="preserve">        Accounts/contracts receivable</t>
  </si>
  <si>
    <t xml:space="preserve">        Leases</t>
  </si>
  <si>
    <t xml:space="preserve">        Taxes/assessments</t>
  </si>
  <si>
    <t xml:space="preserve">        Notes receivable</t>
  </si>
  <si>
    <t xml:space="preserve">          Leases</t>
  </si>
  <si>
    <t xml:space="preserve">     Receivables (net of allowance):</t>
  </si>
  <si>
    <t xml:space="preserve">     Receivables (net of allowances)</t>
  </si>
  <si>
    <t xml:space="preserve">     Deferred inflows related to leases</t>
  </si>
  <si>
    <t xml:space="preserve">     Financing of leases</t>
  </si>
  <si>
    <t xml:space="preserve">     Liabilities payable from restricted assets</t>
  </si>
  <si>
    <t>Lessee JV</t>
  </si>
  <si>
    <t>Lessee JV include in heare</t>
  </si>
  <si>
    <t>Lessee JVDebt</t>
  </si>
  <si>
    <t>Lessee Jvamort</t>
  </si>
  <si>
    <t>SP 9/--/22</t>
  </si>
  <si>
    <t>DDV 2018-36</t>
  </si>
  <si>
    <t>DV 2018-1332</t>
  </si>
  <si>
    <t>JV #3/Leases</t>
  </si>
  <si>
    <t>Leases</t>
  </si>
  <si>
    <t xml:space="preserve">     Infrastructure (net of accumulated depreciation)</t>
  </si>
  <si>
    <t xml:space="preserve">     Buildings, improvements, vehicles, equipment (net of accum depr)</t>
  </si>
  <si>
    <t>done 9/27/22 RN</t>
  </si>
  <si>
    <t xml:space="preserve">When leases in which the County is the lessee are used in governmental activities, an expenditure is recorded in the governmental funds </t>
  </si>
  <si>
    <t xml:space="preserve">     Amortization expense</t>
  </si>
  <si>
    <t>Lease JV</t>
  </si>
  <si>
    <t>Proceeds from long-term debt and leases provides current financial resources to the governmental funds and the repayment of principal and</t>
  </si>
  <si>
    <t>payment of the lease consumes the current financial resources of the governmental funds, thus contributing to the change in fund balance.</t>
  </si>
  <si>
    <t xml:space="preserve">In the statement of net position, however, issuing debt/entering into a lease as a lessee and repaying principal/making lease payments increases and </t>
  </si>
  <si>
    <t xml:space="preserve">     Proceeds of financing leases</t>
  </si>
  <si>
    <t xml:space="preserve">           Advance lease payments</t>
  </si>
  <si>
    <t>Prior FY Lease Rec - B/S</t>
  </si>
  <si>
    <t xml:space="preserve">          (Increase) decrease lease receivables</t>
  </si>
  <si>
    <t xml:space="preserve">          Increase (decrease) deferred inflows of resources leases</t>
  </si>
  <si>
    <t>Prior FY Deferred inflows related to leases-B/S</t>
  </si>
  <si>
    <t xml:space="preserve">     Payments/Purchases for pooled investment</t>
  </si>
  <si>
    <t>leases</t>
  </si>
  <si>
    <t>RN9/28/22</t>
  </si>
  <si>
    <t xml:space="preserve">   Adjustments for Leases</t>
  </si>
  <si>
    <t>Fund: 291 waiting for grant proceeds</t>
  </si>
  <si>
    <t>Fund: 299 waiting for grant proceeds</t>
  </si>
  <si>
    <t>done RN 9/28/22</t>
  </si>
  <si>
    <t>Compl 10/17/22  RN</t>
  </si>
  <si>
    <t>Verified  10/17/22  RN</t>
  </si>
  <si>
    <r>
      <t xml:space="preserve">Total </t>
    </r>
    <r>
      <rPr>
        <i/>
        <sz val="18"/>
        <rFont val="Times New Roman"/>
        <family val="1"/>
      </rPr>
      <t>fund balance</t>
    </r>
    <r>
      <rPr>
        <sz val="18"/>
        <rFont val="Times New Roman"/>
        <family val="1"/>
      </rPr>
      <t xml:space="preserve"> for governmental funds</t>
    </r>
  </si>
  <si>
    <t>Enterprise Funds - Net Position</t>
  </si>
  <si>
    <t>*Contributions paid subsequent to the</t>
  </si>
  <si>
    <t xml:space="preserve">     Deferred inflows related to grant revenue</t>
  </si>
  <si>
    <t>(less) Fiduciary Net Position</t>
  </si>
  <si>
    <t>adjusted for ARPA correction</t>
  </si>
  <si>
    <t>Input FYE amounts in Col: X; Rows:48 - 58</t>
  </si>
  <si>
    <t>Compl 1/13/23  RN</t>
  </si>
  <si>
    <t>For the  Fiscal Year Ended June 30, 2023</t>
  </si>
  <si>
    <t>See previous year sheet: Input , line 212</t>
  </si>
  <si>
    <t>Done 1/13/23  RN</t>
  </si>
  <si>
    <t>CURRENT YEAR ACCRUALS - FY2023</t>
  </si>
  <si>
    <t>PRIOR YEAR ACCRUALS - FY2022</t>
  </si>
  <si>
    <t>compl 1/13/22 RN</t>
  </si>
  <si>
    <t>ERC0422</t>
  </si>
  <si>
    <t>Contingency</t>
  </si>
  <si>
    <t>rpt to GF</t>
  </si>
  <si>
    <t>Inv entered 7/27/23 SP</t>
  </si>
  <si>
    <t>Review Row 168, if not "0", then enter an amount in this row</t>
  </si>
  <si>
    <t>Difference (line 71 - line 73)</t>
  </si>
  <si>
    <t>FY23&amp;24 JV 388,366</t>
  </si>
  <si>
    <t>FY23 JV 4,673</t>
  </si>
  <si>
    <t>FY23 JV 5,095</t>
  </si>
  <si>
    <t>FY22&amp;23 JV 141</t>
  </si>
  <si>
    <t>FY22 &amp; FY23 JV 200</t>
  </si>
  <si>
    <t>FY22 &amp; FY23 JV 691</t>
  </si>
  <si>
    <t>FY22&amp;23 JV 135</t>
  </si>
  <si>
    <t>FY23 JV 500</t>
  </si>
  <si>
    <t>FY22 &amp; FY23 JV 166</t>
  </si>
  <si>
    <t>FY23 JV 570</t>
  </si>
  <si>
    <t>FY23 JV 27</t>
  </si>
  <si>
    <t xml:space="preserve">     Deferred charges - Revenue Bond Issuance Costs </t>
  </si>
  <si>
    <t>254-0000-314.14-00</t>
  </si>
  <si>
    <t>254-0000-314.15-00</t>
  </si>
  <si>
    <t>254-0000-316.00-00</t>
  </si>
  <si>
    <t>see row 52</t>
  </si>
  <si>
    <t>Entries here must be shown in PROPCF - Schedule of Noncash Transactions</t>
  </si>
  <si>
    <t>Entries here must be shown in IS IS row:44</t>
  </si>
  <si>
    <t>Entries here must be shown in IS CFCF - Schedule of Noncash Transactions</t>
  </si>
  <si>
    <t>Entries here must be shown in ENT CF - Schedule of Noncash Transactions</t>
  </si>
  <si>
    <t>Entries here must be shown in ENT IS row:49</t>
  </si>
  <si>
    <t>Entries here must be shown in PROPREV row:49</t>
  </si>
  <si>
    <t>FY22&amp;23 JV 4,528,385</t>
  </si>
  <si>
    <t>Compl 8/10/23  RN</t>
  </si>
  <si>
    <t>Verified  8/10/23  RN</t>
  </si>
  <si>
    <t>Verified  8/-/23  RN</t>
  </si>
  <si>
    <t xml:space="preserve">           </t>
  </si>
  <si>
    <t>FY23 entries</t>
  </si>
  <si>
    <t>733 to 333</t>
  </si>
  <si>
    <t>Rounding trans in/out</t>
  </si>
  <si>
    <t>Review Row 75/175, if not "0", then enter an amount in this row</t>
  </si>
  <si>
    <t xml:space="preserve">     Lease assets</t>
  </si>
  <si>
    <t xml:space="preserve">        Advanced lease payments</t>
  </si>
  <si>
    <t xml:space="preserve">     Advanced lease payments</t>
  </si>
  <si>
    <t xml:space="preserve">    Advanced lease payments</t>
  </si>
  <si>
    <t xml:space="preserve">  * FY22 Restated</t>
  </si>
  <si>
    <t>FY23</t>
  </si>
  <si>
    <t>Done 8/29/23 SP</t>
  </si>
  <si>
    <t>the measurement date FY 2022 Contributions</t>
  </si>
  <si>
    <t>FY 2023</t>
  </si>
  <si>
    <t>Updated 08/30/23 SP</t>
  </si>
  <si>
    <t>STATEMENT OF CHANGES IN FIDUCIARY NET POSITION - INVESTMENT FUNDS</t>
  </si>
  <si>
    <t>STATEMENT OF FIDUCIARY NET POSITION - INVESTMENT FUNDS</t>
  </si>
  <si>
    <t>Entered 8/30/22 RN</t>
  </si>
  <si>
    <t>Entered 8/30/23  RN</t>
  </si>
  <si>
    <t>Entered 8/31/23 RN</t>
  </si>
  <si>
    <t>Fund balance per balance sheet -line 164- should equal line 71</t>
  </si>
  <si>
    <t>na Entered 8/31/23 RN</t>
  </si>
  <si>
    <t>Entered 8/31/23  RN</t>
  </si>
  <si>
    <t>Compl 8/31/23 RN</t>
  </si>
  <si>
    <t>verify 8/31/23  RN</t>
  </si>
  <si>
    <t>Compl 8/31/23  RN</t>
  </si>
  <si>
    <t xml:space="preserve"> 8/31/23  RN</t>
  </si>
  <si>
    <t xml:space="preserve">         </t>
  </si>
  <si>
    <t>compl 8/31/23 RN</t>
  </si>
  <si>
    <t>verify 8/31/23 RN</t>
  </si>
  <si>
    <t>Comp 8/31/23 RN</t>
  </si>
  <si>
    <t>comp 8/31/23 RN</t>
  </si>
  <si>
    <t>File: CAFR  Tab: Cust Funds NP Col(s)Y &amp; AA; Rows: 19 &amp; 26</t>
  </si>
  <si>
    <t xml:space="preserve">     Contributions to outside investments</t>
  </si>
  <si>
    <t xml:space="preserve">     Distribution from outside investments</t>
  </si>
  <si>
    <t>Computation of Major Funds - FY2023</t>
  </si>
  <si>
    <t>Major Fund Schedule - FY2023</t>
  </si>
  <si>
    <t>updated 9/6/23 RN</t>
  </si>
  <si>
    <t>(1)  Restated Deferred inflows related to grant revenue from a prior year</t>
  </si>
  <si>
    <r>
      <t xml:space="preserve">Prior period adjustments </t>
    </r>
    <r>
      <rPr>
        <sz val="10"/>
        <rFont val="Times New Roman"/>
        <family val="1"/>
      </rPr>
      <t>(1)</t>
    </r>
  </si>
  <si>
    <t>2022- Restated</t>
  </si>
  <si>
    <t>FY22 restated for Def Infow - Grant Rev</t>
  </si>
  <si>
    <t>Delete after FY23</t>
  </si>
  <si>
    <t xml:space="preserve">Deferred inflows </t>
  </si>
  <si>
    <t>updated 9/6/23  RN</t>
  </si>
  <si>
    <t>FY2023</t>
  </si>
  <si>
    <t>done RN 9/6/23</t>
  </si>
  <si>
    <t>Public Works Weed Control</t>
  </si>
  <si>
    <t>Double check this one!!!</t>
  </si>
  <si>
    <t>OPEB Report for FYE June 30, 2023</t>
  </si>
  <si>
    <t>FY23 Net</t>
  </si>
  <si>
    <t>Balance at July 1, 2022</t>
  </si>
  <si>
    <t xml:space="preserve"> enter from Page 5</t>
  </si>
  <si>
    <t>Completed 9/12/23 RN</t>
  </si>
  <si>
    <t>report says 14.65, but calc amt is 15.4129</t>
  </si>
  <si>
    <t>Adjust so next section</t>
  </si>
  <si>
    <t>matches report. 9/13/23 RN</t>
  </si>
  <si>
    <t>Auto-Transfers to Govt BS:</t>
  </si>
  <si>
    <t>Future FY of Amortization</t>
  </si>
  <si>
    <t xml:space="preserve">This should equal zero </t>
  </si>
  <si>
    <t>Verified 9/12/23 RN</t>
  </si>
  <si>
    <t xml:space="preserve">Recognition  of Deferred </t>
  </si>
  <si>
    <t>Outflows and Deferred Inflows</t>
  </si>
  <si>
    <t>(decrease) to OPEB Expense</t>
  </si>
  <si>
    <t>in future years as an increase or</t>
  </si>
  <si>
    <t>Should Match Report Page 10, bottom table last column for the current FY.</t>
  </si>
  <si>
    <t>Percentage based on FTE</t>
  </si>
  <si>
    <t>Gen Govt</t>
  </si>
  <si>
    <t>Total OPEB Liability</t>
  </si>
  <si>
    <t>Col: AC, Row: 82</t>
  </si>
  <si>
    <t>from past years</t>
  </si>
  <si>
    <t>rolled past years coded to other funds into Gen Govt.</t>
  </si>
  <si>
    <t>Report Page 7</t>
  </si>
  <si>
    <t>Col: AC, Row: 49</t>
  </si>
  <si>
    <t>Col: AC, Row: 102</t>
  </si>
  <si>
    <t>Auto-Transfers to Govt IS:</t>
  </si>
  <si>
    <t>Col: Z, Row: 123</t>
  </si>
  <si>
    <t>Done 9/12/23 RN</t>
  </si>
  <si>
    <t xml:space="preserve"> Report, page 5</t>
  </si>
  <si>
    <t>Complete this section first</t>
  </si>
  <si>
    <t>More notes follow the next schedule, but it must be completed next.</t>
  </si>
  <si>
    <r>
      <t>Note 14b    (located in CAF</t>
    </r>
    <r>
      <rPr>
        <b/>
        <sz val="11"/>
        <rFont val="Calibri"/>
        <family val="2"/>
        <scheme val="minor"/>
      </rPr>
      <t>Report page 86)</t>
    </r>
  </si>
  <si>
    <t xml:space="preserve">        postemployment benefits</t>
  </si>
  <si>
    <t>Govt BS N166</t>
  </si>
  <si>
    <t>Govt BS N165</t>
  </si>
  <si>
    <t>Govt BS N164</t>
  </si>
  <si>
    <t>Govt BS  N162</t>
  </si>
  <si>
    <t>Govt BS N 160</t>
  </si>
  <si>
    <t>Govt BS N 161</t>
  </si>
  <si>
    <t>Govt BS N 159</t>
  </si>
  <si>
    <t>Govt BS R 157</t>
  </si>
  <si>
    <t>Govt BS R 147</t>
  </si>
  <si>
    <t>Govt BS R  145</t>
  </si>
  <si>
    <t>Govt BS R 143</t>
  </si>
  <si>
    <t>Total cap Assets, includes lease assets</t>
  </si>
  <si>
    <t>done 9/13/23 RN</t>
  </si>
  <si>
    <t>$5,200,000 (Consolidated with DDV 2020-741)</t>
  </si>
  <si>
    <t>DV-2018-193</t>
  </si>
  <si>
    <t>Declaratory Judment</t>
  </si>
  <si>
    <t>Smelko</t>
  </si>
  <si>
    <t>Dickensen</t>
  </si>
  <si>
    <t>Parsley</t>
  </si>
  <si>
    <t>Lowry</t>
  </si>
  <si>
    <t>Arvidson</t>
  </si>
  <si>
    <t>Parvinen</t>
  </si>
  <si>
    <t>Settled but still valid</t>
  </si>
  <si>
    <t>Recognition</t>
  </si>
  <si>
    <t xml:space="preserve">  of Deferred Outflows</t>
  </si>
  <si>
    <t>in future years as an increase</t>
  </si>
  <si>
    <t xml:space="preserve"> to OPEB Expense</t>
  </si>
  <si>
    <t xml:space="preserve">  of Deferred Inflows</t>
  </si>
  <si>
    <t>to OPEB Expense</t>
  </si>
  <si>
    <t xml:space="preserve">in future years as a (decrease) </t>
  </si>
  <si>
    <t>done 9/--/23 SP</t>
  </si>
  <si>
    <t>NOXIOUS WEED GRANT</t>
  </si>
  <si>
    <t>done  9/20/23 RN</t>
  </si>
  <si>
    <t>done 9/21/23  RN</t>
  </si>
  <si>
    <t>Funds: 612&amp;613 had to do this because made entry before FYE &amp; rows 132&amp; 153</t>
  </si>
  <si>
    <t xml:space="preserve">     Lease assets (net of accumulated amortization)</t>
  </si>
  <si>
    <t xml:space="preserve">     SBITA (net of accumulated amortization)</t>
  </si>
  <si>
    <t xml:space="preserve">     Leased assets (net of accumulated amortization)</t>
  </si>
  <si>
    <t>SBITA</t>
  </si>
  <si>
    <t>Lease assets and SBITA's are not financial resources; therefore are not reported in the funds.  Lease assets and SBITA's are a capital asset.</t>
  </si>
  <si>
    <t xml:space="preserve">    Lease assets (net of accumulated amortation)</t>
  </si>
  <si>
    <t>SBITA JV</t>
  </si>
  <si>
    <t xml:space="preserve">   Adjustments for SBITA</t>
  </si>
  <si>
    <t>When SBITA's are used in governmental activities, an expenditure is recorded in the governmental funds for the amount of the</t>
  </si>
  <si>
    <t xml:space="preserve">  present value of the future lease (PVFLP); however, in the statement of activities,  the PVFLP is recognized as an intangible asset and amorized over the lease term.   Lease assets are a capital asset.</t>
  </si>
  <si>
    <t xml:space="preserve">     Proceeds of financing SBITA</t>
  </si>
  <si>
    <t xml:space="preserve">          SBITA</t>
  </si>
  <si>
    <t xml:space="preserve">     SBITA payments</t>
  </si>
  <si>
    <t>Construction Committed</t>
  </si>
  <si>
    <t>Fund Type</t>
  </si>
  <si>
    <t>Encumbered Amount</t>
  </si>
  <si>
    <t xml:space="preserve">     Depreciation/Amortization</t>
  </si>
  <si>
    <t xml:space="preserve">     Advanced lease payments - current</t>
  </si>
  <si>
    <t xml:space="preserve">     SBITA payments - current</t>
  </si>
  <si>
    <t>done RN 9/26/23</t>
  </si>
  <si>
    <t>done 9/26/23  RN</t>
  </si>
  <si>
    <t>Leases/Subscr</t>
  </si>
  <si>
    <t xml:space="preserve">           SBITA payments</t>
  </si>
  <si>
    <t>CA32670</t>
  </si>
  <si>
    <t>Chip seal costs too much plus match for fd 556</t>
  </si>
  <si>
    <t>Govt BS Y 139</t>
  </si>
  <si>
    <t>done 10/1/22 RN</t>
  </si>
  <si>
    <t>Done 8/-/22  RN</t>
  </si>
  <si>
    <t xml:space="preserve">   Cap Asset, net of deprec/ammort</t>
  </si>
  <si>
    <t>Run Acc Bal Rpts: Acct 10-13 By function reports Fds:001-614 for 41x, 42x, 43x, 44x, 45x, 46x, 46x, and</t>
  </si>
  <si>
    <t>entered 10/3/23  RN</t>
  </si>
  <si>
    <t xml:space="preserve">          Increase (decrease) SBITA payable</t>
  </si>
  <si>
    <t>Prior FY SBITA pay - B/S</t>
  </si>
  <si>
    <t>done 10/3/23  RN</t>
  </si>
  <si>
    <t>done 10/4/23 SP</t>
  </si>
  <si>
    <t xml:space="preserve">Fund: 100-199 waiting for grant proceeds </t>
  </si>
  <si>
    <t>Fund:293 waiting for grant proceeds</t>
  </si>
  <si>
    <t>Fund: 300-305 waiting for grant proceeds</t>
  </si>
  <si>
    <t>Done 10/4/23 SP</t>
  </si>
  <si>
    <t>Done 10/5/23 rn</t>
  </si>
  <si>
    <t>10/5/23 rn</t>
  </si>
  <si>
    <t>use this when waiting on deprec</t>
  </si>
  <si>
    <t>Lease/SBITA Interest Pay CY</t>
  </si>
  <si>
    <t xml:space="preserve">     Proceeds from lease/SBITA</t>
  </si>
  <si>
    <t xml:space="preserve">     Depreciation/amortization</t>
  </si>
  <si>
    <t>New Lease/SBITA assets</t>
  </si>
  <si>
    <t>New Lease/SBITA payable - CY</t>
  </si>
  <si>
    <t xml:space="preserve">     Assets aquired through assumption of leases/SBITA</t>
  </si>
  <si>
    <t>CY Lease/SBITA amortization</t>
  </si>
  <si>
    <t>Subscription Asset</t>
  </si>
  <si>
    <t>Subscription Liability</t>
  </si>
  <si>
    <t>Cash / Subscription Clearing</t>
  </si>
  <si>
    <t>Initial Implementation Stage Outlay</t>
  </si>
  <si>
    <t>Cash / Project Clearing</t>
  </si>
  <si>
    <t>Accumulated Amortization</t>
  </si>
  <si>
    <t>Amortization Expense</t>
  </si>
  <si>
    <t>Interest Expense</t>
  </si>
  <si>
    <t>Accrued Interest Payable</t>
  </si>
  <si>
    <t>Depreciation/amortization</t>
  </si>
  <si>
    <t xml:space="preserve">     Payments for principal on loans and SBITA</t>
  </si>
  <si>
    <t xml:space="preserve">     Payables from assumption of leases/SBITA</t>
  </si>
  <si>
    <t>Verified RN 10/6/23</t>
  </si>
  <si>
    <t>Don't use this one</t>
  </si>
  <si>
    <t>Linked in asset balancing</t>
  </si>
  <si>
    <t>rev</t>
  </si>
  <si>
    <t>Source: PERS 2023 Statutory Allocation spreadsheet on website</t>
  </si>
  <si>
    <t>2023</t>
  </si>
  <si>
    <t xml:space="preserve">     SBITA assets (net of accumulated amortization)</t>
  </si>
  <si>
    <t xml:space="preserve">        SBITA payments</t>
  </si>
  <si>
    <t>Total assets and deferred outflows of resources</t>
  </si>
  <si>
    <t>Page 1 of 2</t>
  </si>
  <si>
    <t>Page 2 of 2</t>
  </si>
  <si>
    <t xml:space="preserve">    SBITA assets (net of accumulated amortation)</t>
  </si>
  <si>
    <t xml:space="preserve">    SBITA payments</t>
  </si>
  <si>
    <t xml:space="preserve">     Bonds payable</t>
  </si>
  <si>
    <t xml:space="preserve">     Financing of SBITAs</t>
  </si>
  <si>
    <t xml:space="preserve">  present value of the future SBITA(PVF SBITA); however, in the statement of activities,  the PVF SBITA is recognized as an intangible asset and amorized over the SBITA term.   SBITAs are a capital asset.</t>
  </si>
  <si>
    <t xml:space="preserve">     SBITA assets</t>
  </si>
  <si>
    <t xml:space="preserve">     SBITA assets (net)</t>
  </si>
  <si>
    <t>Balance at June 30,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</si>
</sst>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
    <numFmt numFmtId="165" formatCode=";;;"/>
    <numFmt numFmtId="166" formatCode="mmmm\ d\,\ yyyy"/>
    <numFmt numFmtId="167" formatCode="0_);\(0\)"/>
    <numFmt numFmtId="168" formatCode="0.000%"/>
    <numFmt numFmtId="169" formatCode="0.0%"/>
    <numFmt numFmtId="170" formatCode="0.000000%"/>
    <numFmt numFmtId="171" formatCode="[$-409]mmmm\ d\,\ yyyy;@"/>
    <numFmt numFmtId="172" formatCode="_(&quot;$&quot;* #,##0_);_(&quot;$&quot;* \(#,##0\);_(&quot;$&quot;* &quot;-&quot;??_);_(@_)"/>
    <numFmt numFmtId="173" formatCode="_(* #,##0_);_(* \(#,##0\);_(* &quot;-&quot;??_);_(@_)"/>
    <numFmt numFmtId="174" formatCode="0.00000%"/>
    <numFmt numFmtId="175" formatCode="0.0000%"/>
    <numFmt numFmtId="176" formatCode="#,##0.000_);\(#,##0.000\)"/>
    <numFmt numFmtId="177" formatCode="&quot;$&quot;#,##0"/>
    <numFmt numFmtId="178" formatCode="#,##0.000000000_);\(#,##0.000000000\)"/>
    <numFmt numFmtId="179" formatCode="#,##0.00000_);\(#,##0.00000\)"/>
  </numFmts>
  <fonts count="3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name val="Arial"/>
      <family val="2"/>
    </font>
    <font>
      <sz val="12"/>
      <name val="Arial"/>
      <family val="2"/>
    </font>
    <font>
      <sz val="12"/>
      <name val="Arial"/>
      <family val="2"/>
    </font>
    <font>
      <b/>
      <sz val="12"/>
      <name val="Arial"/>
      <family val="2"/>
    </font>
    <font>
      <b/>
      <u/>
      <sz val="12"/>
      <name val="Arial"/>
      <family val="2"/>
    </font>
    <font>
      <i/>
      <sz val="12"/>
      <name val="Arial"/>
      <family val="2"/>
    </font>
    <font>
      <u/>
      <sz val="12"/>
      <name val="Arial"/>
      <family val="2"/>
    </font>
    <font>
      <sz val="10"/>
      <name val="Arial"/>
      <family val="2"/>
    </font>
    <font>
      <b/>
      <sz val="10"/>
      <name val="Arial"/>
      <family val="2"/>
    </font>
    <font>
      <b/>
      <u/>
      <sz val="10"/>
      <name val="Arial"/>
      <family val="2"/>
    </font>
    <font>
      <b/>
      <sz val="8"/>
      <name val="Arial"/>
      <family val="2"/>
    </font>
    <font>
      <sz val="8"/>
      <name val="Arial"/>
      <family val="2"/>
    </font>
    <font>
      <b/>
      <sz val="10"/>
      <color indexed="10"/>
      <name val="Arial"/>
      <family val="2"/>
    </font>
    <font>
      <sz val="10"/>
      <color indexed="10"/>
      <name val="Arial"/>
      <family val="2"/>
    </font>
    <font>
      <sz val="12"/>
      <color indexed="10"/>
      <name val="Arial"/>
      <family val="2"/>
    </font>
    <font>
      <b/>
      <sz val="10"/>
      <color indexed="17"/>
      <name val="Arial"/>
      <family val="2"/>
    </font>
    <font>
      <b/>
      <sz val="10"/>
      <color indexed="12"/>
      <name val="Arial"/>
      <family val="2"/>
    </font>
    <font>
      <b/>
      <sz val="12"/>
      <color indexed="17"/>
      <name val="Arial"/>
      <family val="2"/>
    </font>
    <font>
      <b/>
      <sz val="12"/>
      <color indexed="10"/>
      <name val="Arial"/>
      <family val="2"/>
    </font>
    <font>
      <sz val="10"/>
      <color indexed="10"/>
      <name val="Arial"/>
      <family val="2"/>
    </font>
    <font>
      <sz val="12"/>
      <color indexed="17"/>
      <name val="Arial"/>
      <family val="2"/>
    </font>
    <font>
      <sz val="9"/>
      <color indexed="10"/>
      <name val="Arial"/>
      <family val="2"/>
    </font>
    <font>
      <sz val="10"/>
      <name val="Arial"/>
      <family val="2"/>
    </font>
    <font>
      <vertAlign val="superscript"/>
      <sz val="12"/>
      <name val="Arial"/>
      <family val="2"/>
    </font>
    <font>
      <sz val="12"/>
      <name val="Arial MT"/>
    </font>
    <font>
      <sz val="10"/>
      <color indexed="8"/>
      <name val="Arial"/>
      <family val="2"/>
    </font>
    <font>
      <sz val="12"/>
      <color rgb="FFFF0000"/>
      <name val="Arial"/>
      <family val="2"/>
    </font>
    <font>
      <b/>
      <sz val="12"/>
      <color rgb="FF009900"/>
      <name val="Arial"/>
      <family val="2"/>
    </font>
    <font>
      <sz val="12"/>
      <color rgb="FF3333FF"/>
      <name val="Arial"/>
      <family val="2"/>
    </font>
    <font>
      <sz val="10"/>
      <color rgb="FF3333FF"/>
      <name val="Arial"/>
      <family val="2"/>
    </font>
    <font>
      <b/>
      <u/>
      <sz val="8"/>
      <name val="Arial"/>
      <family val="2"/>
    </font>
    <font>
      <sz val="10"/>
      <color rgb="FFFF0000"/>
      <name val="Arial"/>
      <family val="2"/>
    </font>
    <font>
      <b/>
      <sz val="12"/>
      <color rgb="FFFF0000"/>
      <name val="Arial"/>
      <family val="2"/>
    </font>
    <font>
      <b/>
      <u/>
      <sz val="9"/>
      <name val="Arial"/>
      <family val="2"/>
    </font>
    <font>
      <sz val="10"/>
      <color theme="1"/>
      <name val="Arial"/>
      <family val="2"/>
    </font>
    <font>
      <sz val="9"/>
      <name val="Arial"/>
      <family val="2"/>
    </font>
    <font>
      <b/>
      <sz val="10"/>
      <color rgb="FF009900"/>
      <name val="Arial"/>
      <family val="2"/>
    </font>
    <font>
      <b/>
      <u/>
      <sz val="10"/>
      <color rgb="FFFF0000"/>
      <name val="Arial"/>
      <family val="2"/>
    </font>
    <font>
      <b/>
      <sz val="10"/>
      <color rgb="FF008000"/>
      <name val="Arial"/>
      <family val="2"/>
    </font>
    <font>
      <b/>
      <sz val="10"/>
      <color rgb="FFFF000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i/>
      <sz val="12"/>
      <color rgb="FF7F7F7F"/>
      <name val="Arial"/>
      <family val="2"/>
    </font>
    <font>
      <b/>
      <sz val="12"/>
      <color theme="1"/>
      <name val="Arial"/>
      <family val="2"/>
    </font>
    <font>
      <sz val="12"/>
      <color theme="0"/>
      <name val="Arial"/>
      <family val="2"/>
    </font>
    <font>
      <sz val="10"/>
      <color rgb="FF0000FF"/>
      <name val="Arial"/>
      <family val="2"/>
    </font>
    <font>
      <sz val="9"/>
      <color indexed="8"/>
      <name val="Arial"/>
      <family val="2"/>
    </font>
    <font>
      <sz val="11"/>
      <name val="Times New Roman"/>
      <family val="1"/>
    </font>
    <font>
      <b/>
      <sz val="10"/>
      <name val="Arial"/>
      <family val="2"/>
    </font>
    <font>
      <sz val="12"/>
      <color rgb="FF008000"/>
      <name val="Arial"/>
      <family val="2"/>
    </font>
    <font>
      <b/>
      <sz val="9"/>
      <color rgb="FF008000"/>
      <name val="Arial"/>
      <family val="2"/>
    </font>
    <font>
      <b/>
      <sz val="12"/>
      <color rgb="FF008000"/>
      <name val="Arial"/>
      <family val="2"/>
    </font>
    <font>
      <u/>
      <sz val="10"/>
      <name val="Arial"/>
      <family val="2"/>
    </font>
    <font>
      <sz val="10"/>
      <color rgb="FF008000"/>
      <name val="Arial"/>
      <family val="2"/>
    </font>
    <font>
      <sz val="11"/>
      <color theme="1"/>
      <name val="Calibri"/>
      <family val="2"/>
      <scheme val="minor"/>
    </font>
    <font>
      <sz val="10"/>
      <name val="Myriad Web"/>
      <family val="2"/>
    </font>
    <font>
      <b/>
      <u/>
      <sz val="10"/>
      <color indexed="12"/>
      <name val="Arial"/>
      <family val="2"/>
    </font>
    <font>
      <u/>
      <sz val="11"/>
      <color theme="10"/>
      <name val="Calibri"/>
      <family val="2"/>
      <scheme val="minor"/>
    </font>
    <font>
      <sz val="10"/>
      <color theme="1"/>
      <name val="Calibri"/>
      <family val="2"/>
      <scheme val="minor"/>
    </font>
    <font>
      <sz val="8.5"/>
      <name val="Lucida Sans Unicode"/>
      <family val="2"/>
    </font>
    <font>
      <b/>
      <sz val="12"/>
      <color rgb="FF3333FF"/>
      <name val="Arial"/>
      <family val="2"/>
    </font>
    <font>
      <sz val="10"/>
      <color rgb="FF009900"/>
      <name val="Arial"/>
      <family val="2"/>
    </font>
    <font>
      <b/>
      <u/>
      <sz val="9"/>
      <color indexed="17"/>
      <name val="Arial"/>
      <family val="2"/>
    </font>
    <font>
      <sz val="9"/>
      <color rgb="FF3333FF"/>
      <name val="Arial"/>
      <family val="2"/>
    </font>
    <font>
      <b/>
      <sz val="10"/>
      <color rgb="FF3333FF"/>
      <name val="Arial"/>
      <family val="2"/>
    </font>
    <font>
      <sz val="10"/>
      <color theme="1"/>
      <name val="Times New Roman"/>
      <family val="1"/>
    </font>
    <font>
      <b/>
      <u/>
      <sz val="10"/>
      <color rgb="FF3333FF"/>
      <name val="Arial"/>
      <family val="2"/>
    </font>
    <font>
      <sz val="11"/>
      <color theme="1"/>
      <name val="Times New Roman"/>
      <family val="1"/>
    </font>
    <font>
      <sz val="11"/>
      <color rgb="FF0000FF"/>
      <name val="Times New Roman"/>
      <family val="1"/>
    </font>
    <font>
      <sz val="10"/>
      <name val="Myriad Web"/>
    </font>
    <font>
      <b/>
      <sz val="10"/>
      <name val="Myriad Web"/>
    </font>
    <font>
      <b/>
      <sz val="12"/>
      <name val="Myriad Web"/>
    </font>
    <font>
      <sz val="9"/>
      <color indexed="81"/>
      <name val="Tahoma"/>
      <family val="2"/>
    </font>
    <font>
      <b/>
      <sz val="9"/>
      <color indexed="81"/>
      <name val="Tahoma"/>
      <family val="2"/>
    </font>
    <font>
      <b/>
      <sz val="11"/>
      <name val="Myriad Web"/>
    </font>
    <font>
      <b/>
      <sz val="10"/>
      <color rgb="FFFF0000"/>
      <name val="Myriad Web"/>
    </font>
    <font>
      <b/>
      <sz val="12"/>
      <color theme="1"/>
      <name val="Myriad Web"/>
      <family val="2"/>
    </font>
    <font>
      <b/>
      <sz val="11"/>
      <color theme="1"/>
      <name val="Myriad Web"/>
      <family val="2"/>
    </font>
    <font>
      <b/>
      <sz val="10"/>
      <color theme="1"/>
      <name val="Myriad Web"/>
      <family val="2"/>
    </font>
    <font>
      <b/>
      <sz val="12"/>
      <color rgb="FF000000"/>
      <name val="Arial"/>
      <family val="2"/>
    </font>
    <font>
      <b/>
      <sz val="9"/>
      <color rgb="FFFF0000"/>
      <name val="Arial"/>
      <family val="2"/>
    </font>
    <font>
      <u/>
      <sz val="10"/>
      <color theme="10"/>
      <name val="Arial"/>
      <family val="2"/>
    </font>
    <font>
      <b/>
      <sz val="8"/>
      <color indexed="17"/>
      <name val="Arial"/>
      <family val="2"/>
    </font>
    <font>
      <b/>
      <u/>
      <sz val="8"/>
      <color indexed="17"/>
      <name val="Arial"/>
      <family val="2"/>
    </font>
    <font>
      <sz val="8"/>
      <color rgb="FFFF0000"/>
      <name val="Arial"/>
      <family val="2"/>
    </font>
    <font>
      <b/>
      <sz val="8"/>
      <color indexed="10"/>
      <name val="Arial"/>
      <family val="2"/>
    </font>
    <font>
      <b/>
      <sz val="8"/>
      <color rgb="FF009900"/>
      <name val="Arial"/>
      <family val="2"/>
    </font>
    <font>
      <b/>
      <sz val="11"/>
      <color theme="1"/>
      <name val="Times New Roman"/>
      <family val="1"/>
    </font>
    <font>
      <b/>
      <u/>
      <sz val="12"/>
      <color rgb="FFFF0000"/>
      <name val="Arial"/>
      <family val="2"/>
    </font>
    <font>
      <sz val="12"/>
      <name val="Times New Roman"/>
      <family val="1"/>
    </font>
    <font>
      <b/>
      <sz val="12"/>
      <name val="Times New Roman"/>
      <family val="1"/>
    </font>
    <font>
      <b/>
      <u/>
      <sz val="12"/>
      <name val="Times New Roman"/>
      <family val="1"/>
    </font>
    <font>
      <sz val="12"/>
      <color rgb="FFFF0000"/>
      <name val="Times New Roman"/>
      <family val="1"/>
    </font>
    <font>
      <sz val="10"/>
      <name val="Times New Roman"/>
      <family val="1"/>
    </font>
    <font>
      <b/>
      <sz val="10"/>
      <name val="Times New Roman"/>
      <family val="1"/>
    </font>
    <font>
      <sz val="12"/>
      <color indexed="10"/>
      <name val="Times New Roman"/>
      <family val="1"/>
    </font>
    <font>
      <b/>
      <sz val="12"/>
      <color rgb="FF009900"/>
      <name val="Times New Roman"/>
      <family val="1"/>
    </font>
    <font>
      <sz val="12"/>
      <color rgb="FF009900"/>
      <name val="Times New Roman"/>
      <family val="1"/>
    </font>
    <font>
      <b/>
      <sz val="10"/>
      <color rgb="FF009900"/>
      <name val="Times New Roman"/>
      <family val="1"/>
    </font>
    <font>
      <i/>
      <sz val="12"/>
      <name val="Times New Roman"/>
      <family val="1"/>
    </font>
    <font>
      <sz val="10"/>
      <color indexed="10"/>
      <name val="Times New Roman"/>
      <family val="1"/>
    </font>
    <font>
      <b/>
      <sz val="10"/>
      <color indexed="17"/>
      <name val="Times New Roman"/>
      <family val="1"/>
    </font>
    <font>
      <sz val="10"/>
      <color rgb="FFFF0000"/>
      <name val="Times New Roman"/>
      <family val="1"/>
    </font>
    <font>
      <u/>
      <sz val="12"/>
      <name val="Times New Roman"/>
      <family val="1"/>
    </font>
    <font>
      <b/>
      <sz val="12"/>
      <color indexed="48"/>
      <name val="Times New Roman"/>
      <family val="1"/>
    </font>
    <font>
      <b/>
      <sz val="12"/>
      <color indexed="8"/>
      <name val="Times New Roman"/>
      <family val="1"/>
    </font>
    <font>
      <i/>
      <sz val="11"/>
      <name val="Times New Roman"/>
      <family val="1"/>
    </font>
    <font>
      <b/>
      <sz val="12"/>
      <color rgb="FFFF0000"/>
      <name val="Times New Roman"/>
      <family val="1"/>
    </font>
    <font>
      <sz val="14"/>
      <name val="Times New Roman"/>
      <family val="1"/>
    </font>
    <font>
      <sz val="12"/>
      <color indexed="48"/>
      <name val="Times New Roman"/>
      <family val="1"/>
    </font>
    <font>
      <sz val="10"/>
      <color indexed="48"/>
      <name val="Times New Roman"/>
      <family val="1"/>
    </font>
    <font>
      <b/>
      <sz val="10"/>
      <color indexed="48"/>
      <name val="Times New Roman"/>
      <family val="1"/>
    </font>
    <font>
      <b/>
      <u/>
      <sz val="10"/>
      <name val="Times New Roman"/>
      <family val="1"/>
    </font>
    <font>
      <sz val="8"/>
      <name val="Times New Roman"/>
      <family val="1"/>
    </font>
    <font>
      <b/>
      <sz val="12"/>
      <color rgb="FF3333FF"/>
      <name val="Times New Roman"/>
      <family val="1"/>
    </font>
    <font>
      <b/>
      <sz val="12"/>
      <color indexed="17"/>
      <name val="Times New Roman"/>
      <family val="1"/>
    </font>
    <font>
      <b/>
      <sz val="12"/>
      <color indexed="57"/>
      <name val="Times New Roman"/>
      <family val="1"/>
    </font>
    <font>
      <sz val="10"/>
      <color rgb="FF3333FF"/>
      <name val="Times New Roman"/>
      <family val="1"/>
    </font>
    <font>
      <sz val="9"/>
      <name val="Times New Roman"/>
      <family val="1"/>
    </font>
    <font>
      <b/>
      <sz val="9"/>
      <color rgb="FF009900"/>
      <name val="Times New Roman"/>
      <family val="1"/>
    </font>
    <font>
      <b/>
      <u val="singleAccounting"/>
      <sz val="12"/>
      <name val="Times New Roman"/>
      <family val="1"/>
    </font>
    <font>
      <b/>
      <sz val="12"/>
      <color indexed="12"/>
      <name val="Times New Roman"/>
      <family val="1"/>
    </font>
    <font>
      <b/>
      <sz val="10"/>
      <color rgb="FF3333FF"/>
      <name val="Times New Roman"/>
      <family val="1"/>
    </font>
    <font>
      <b/>
      <sz val="10"/>
      <color rgb="FF008000"/>
      <name val="Times New Roman"/>
      <family val="1"/>
    </font>
    <font>
      <sz val="12"/>
      <color rgb="FF00B050"/>
      <name val="Times New Roman"/>
      <family val="1"/>
    </font>
    <font>
      <b/>
      <sz val="10"/>
      <color indexed="10"/>
      <name val="Times New Roman"/>
      <family val="1"/>
    </font>
    <font>
      <b/>
      <sz val="9"/>
      <color indexed="10"/>
      <name val="Times New Roman"/>
      <family val="1"/>
    </font>
    <font>
      <sz val="12"/>
      <color rgb="FF0000FF"/>
      <name val="Times New Roman"/>
      <family val="1"/>
    </font>
    <font>
      <sz val="10"/>
      <color rgb="FF0000FF"/>
      <name val="Times New Roman"/>
      <family val="1"/>
    </font>
    <font>
      <sz val="10"/>
      <color indexed="57"/>
      <name val="Times New Roman"/>
      <family val="1"/>
    </font>
    <font>
      <b/>
      <sz val="12"/>
      <color rgb="FF008000"/>
      <name val="Times New Roman"/>
      <family val="1"/>
    </font>
    <font>
      <u/>
      <sz val="10"/>
      <color rgb="FF0000FF"/>
      <name val="Times New Roman"/>
      <family val="1"/>
    </font>
    <font>
      <u/>
      <sz val="10"/>
      <name val="Times New Roman"/>
      <family val="1"/>
    </font>
    <font>
      <b/>
      <sz val="9"/>
      <color rgb="FF3333FF"/>
      <name val="Times New Roman"/>
      <family val="1"/>
    </font>
    <font>
      <b/>
      <sz val="11"/>
      <color rgb="FFFF0000"/>
      <name val="Times New Roman"/>
      <family val="1"/>
    </font>
    <font>
      <sz val="12"/>
      <color rgb="FF008000"/>
      <name val="Times New Roman"/>
      <family val="1"/>
    </font>
    <font>
      <b/>
      <u/>
      <sz val="12"/>
      <color indexed="17"/>
      <name val="Times New Roman"/>
      <family val="1"/>
    </font>
    <font>
      <sz val="9"/>
      <color indexed="10"/>
      <name val="Times New Roman"/>
      <family val="1"/>
    </font>
    <font>
      <sz val="10"/>
      <color indexed="17"/>
      <name val="Times New Roman"/>
      <family val="1"/>
    </font>
    <font>
      <sz val="10"/>
      <color rgb="FF008000"/>
      <name val="Times New Roman"/>
      <family val="1"/>
    </font>
    <font>
      <sz val="8"/>
      <color theme="1"/>
      <name val="Times New Roman"/>
      <family val="1"/>
    </font>
    <font>
      <sz val="10"/>
      <name val="Arial"/>
      <family val="2"/>
    </font>
    <font>
      <b/>
      <sz val="16"/>
      <name val="Times New Roman"/>
      <family val="1"/>
    </font>
    <font>
      <b/>
      <sz val="9"/>
      <color rgb="FF3333FF"/>
      <name val="Arial"/>
      <family val="2"/>
    </font>
    <font>
      <b/>
      <sz val="10"/>
      <color rgb="FFFF0000"/>
      <name val="Times New Roman"/>
      <family val="1"/>
    </font>
    <font>
      <b/>
      <sz val="8"/>
      <color rgb="FFFF0000"/>
      <name val="Arial"/>
      <family val="2"/>
    </font>
    <font>
      <sz val="10"/>
      <color theme="10"/>
      <name val="Arial"/>
      <family val="2"/>
    </font>
    <font>
      <b/>
      <sz val="9"/>
      <color indexed="17"/>
      <name val="Times New Roman"/>
      <family val="1"/>
    </font>
    <font>
      <sz val="10"/>
      <name val="Arial"/>
      <family val="2"/>
    </font>
    <font>
      <b/>
      <sz val="9"/>
      <color indexed="17"/>
      <name val="Arial"/>
      <family val="2"/>
    </font>
    <font>
      <b/>
      <u/>
      <sz val="11"/>
      <color theme="1"/>
      <name val="Times New Roman"/>
      <family val="1"/>
    </font>
    <font>
      <b/>
      <u val="singleAccounting"/>
      <sz val="11"/>
      <color theme="1"/>
      <name val="Times New Roman"/>
      <family val="1"/>
    </font>
    <font>
      <sz val="11"/>
      <color rgb="FFFF0000"/>
      <name val="Times New Roman"/>
      <family val="1"/>
    </font>
    <font>
      <u/>
      <sz val="12"/>
      <color theme="1"/>
      <name val="Times New Roman"/>
      <family val="1"/>
    </font>
    <font>
      <b/>
      <sz val="11"/>
      <color rgb="FF008000"/>
      <name val="Times New Roman"/>
      <family val="1"/>
    </font>
    <font>
      <b/>
      <sz val="10"/>
      <color theme="1"/>
      <name val="Times New Roman"/>
      <family val="1"/>
    </font>
    <font>
      <i/>
      <sz val="11"/>
      <color theme="1"/>
      <name val="Times New Roman"/>
      <family val="1"/>
    </font>
    <font>
      <sz val="10"/>
      <name val="Arial"/>
      <family val="2"/>
    </font>
    <font>
      <b/>
      <u/>
      <sz val="12"/>
      <color theme="1"/>
      <name val="Calibri"/>
      <family val="2"/>
      <scheme val="minor"/>
    </font>
    <font>
      <b/>
      <sz val="11"/>
      <color theme="1"/>
      <name val="Calibri"/>
      <family val="2"/>
      <scheme val="minor"/>
    </font>
    <font>
      <b/>
      <sz val="11"/>
      <color rgb="FF008000"/>
      <name val="Calibri"/>
      <family val="2"/>
      <scheme val="minor"/>
    </font>
    <font>
      <sz val="11"/>
      <color rgb="FFFF0000"/>
      <name val="Calibri"/>
      <family val="2"/>
      <scheme val="minor"/>
    </font>
    <font>
      <b/>
      <sz val="14"/>
      <name val="Times New Roman"/>
      <family val="1"/>
    </font>
    <font>
      <b/>
      <sz val="12"/>
      <color rgb="FF0000CC"/>
      <name val="Times New Roman"/>
      <family val="1"/>
    </font>
    <font>
      <sz val="12"/>
      <color rgb="FF0000CC"/>
      <name val="Times New Roman"/>
      <family val="1"/>
    </font>
    <font>
      <b/>
      <sz val="10"/>
      <color rgb="FF0000CC"/>
      <name val="Times New Roman"/>
      <family val="1"/>
    </font>
    <font>
      <sz val="10"/>
      <color rgb="FF0000CC"/>
      <name val="Times New Roman"/>
      <family val="1"/>
    </font>
    <font>
      <b/>
      <sz val="9"/>
      <color rgb="FFFF0000"/>
      <name val="Times New Roman"/>
      <family val="1"/>
    </font>
    <font>
      <b/>
      <sz val="11"/>
      <color rgb="FFFF0000"/>
      <name val="Calibri"/>
      <family val="2"/>
      <scheme val="minor"/>
    </font>
    <font>
      <b/>
      <sz val="11"/>
      <color rgb="FF3333FF"/>
      <name val="Calibri"/>
      <family val="2"/>
      <scheme val="minor"/>
    </font>
    <font>
      <b/>
      <u/>
      <sz val="10"/>
      <color theme="1"/>
      <name val="Times New Roman"/>
      <family val="1"/>
    </font>
    <font>
      <b/>
      <u/>
      <sz val="10"/>
      <color rgb="FF0000FF"/>
      <name val="Times New Roman"/>
      <family val="1"/>
    </font>
    <font>
      <b/>
      <u/>
      <sz val="10"/>
      <color rgb="FFFF0000"/>
      <name val="Times New Roman"/>
      <family val="1"/>
    </font>
    <font>
      <b/>
      <u val="singleAccounting"/>
      <sz val="10"/>
      <color theme="1"/>
      <name val="Times New Roman"/>
      <family val="1"/>
    </font>
    <font>
      <b/>
      <u val="singleAccounting"/>
      <sz val="10"/>
      <color rgb="FF0000FF"/>
      <name val="Times New Roman"/>
      <family val="1"/>
    </font>
    <font>
      <b/>
      <u val="singleAccounting"/>
      <sz val="10"/>
      <color rgb="FFFF0000"/>
      <name val="Times New Roman"/>
      <family val="1"/>
    </font>
    <font>
      <u/>
      <sz val="10"/>
      <color theme="1"/>
      <name val="Times New Roman"/>
      <family val="1"/>
    </font>
    <font>
      <sz val="12"/>
      <color rgb="FF009900"/>
      <name val="Arial"/>
      <family val="2"/>
    </font>
    <font>
      <b/>
      <sz val="11"/>
      <name val="Times New Roman"/>
      <family val="1"/>
    </font>
    <font>
      <sz val="10.5"/>
      <name val="Times New Roman"/>
      <family val="1"/>
    </font>
    <font>
      <sz val="10.5"/>
      <name val="Arial"/>
      <family val="2"/>
    </font>
    <font>
      <b/>
      <sz val="10"/>
      <color rgb="FF33CC33"/>
      <name val="Times New Roman"/>
      <family val="1"/>
    </font>
    <font>
      <b/>
      <sz val="9"/>
      <color rgb="FF000000"/>
      <name val="Times New Roman"/>
      <family val="1"/>
    </font>
    <font>
      <sz val="9"/>
      <color rgb="FF000000"/>
      <name val="Times New Roman"/>
      <family val="1"/>
    </font>
    <font>
      <sz val="18"/>
      <name val="Arial"/>
      <family val="2"/>
    </font>
    <font>
      <b/>
      <sz val="14"/>
      <name val="Arial"/>
      <family val="2"/>
    </font>
    <font>
      <b/>
      <u/>
      <sz val="12"/>
      <color rgb="FF0000CC"/>
      <name val="Arial"/>
      <family val="2"/>
    </font>
    <font>
      <b/>
      <u/>
      <sz val="12"/>
      <color rgb="FF009900"/>
      <name val="Arial"/>
      <family val="2"/>
    </font>
    <font>
      <sz val="11"/>
      <color indexed="9"/>
      <name val="Calibri"/>
      <family val="2"/>
    </font>
    <font>
      <sz val="11"/>
      <color theme="0"/>
      <name val="Calibri"/>
      <family val="2"/>
      <scheme val="minor"/>
    </font>
    <font>
      <sz val="11"/>
      <color indexed="20"/>
      <name val="Calibri"/>
      <family val="2"/>
    </font>
    <font>
      <sz val="11"/>
      <color rgb="FF9C0006"/>
      <name val="Calibri"/>
      <family val="2"/>
      <scheme val="minor"/>
    </font>
    <font>
      <b/>
      <sz val="11"/>
      <color indexed="52"/>
      <name val="Calibri"/>
      <family val="2"/>
    </font>
    <font>
      <b/>
      <sz val="11"/>
      <color rgb="FFFA7D00"/>
      <name val="Calibri"/>
      <family val="2"/>
      <scheme val="minor"/>
    </font>
    <font>
      <b/>
      <sz val="11"/>
      <color indexed="9"/>
      <name val="Calibri"/>
      <family val="2"/>
    </font>
    <font>
      <b/>
      <sz val="11"/>
      <color theme="0"/>
      <name val="Calibri"/>
      <family val="2"/>
      <scheme val="minor"/>
    </font>
    <font>
      <i/>
      <sz val="11"/>
      <color indexed="23"/>
      <name val="Calibri"/>
      <family val="2"/>
    </font>
    <font>
      <i/>
      <sz val="11"/>
      <color rgb="FF7F7F7F"/>
      <name val="Calibri"/>
      <family val="2"/>
      <scheme val="minor"/>
    </font>
    <font>
      <sz val="11"/>
      <color indexed="17"/>
      <name val="Calibri"/>
      <family val="2"/>
    </font>
    <font>
      <sz val="11"/>
      <color rgb="FF006100"/>
      <name val="Calibri"/>
      <family val="2"/>
      <scheme val="minor"/>
    </font>
    <font>
      <b/>
      <sz val="15"/>
      <color indexed="56"/>
      <name val="Calibri"/>
      <family val="2"/>
    </font>
    <font>
      <b/>
      <sz val="15"/>
      <color theme="3"/>
      <name val="Calibri"/>
      <family val="2"/>
      <scheme val="minor"/>
    </font>
    <font>
      <b/>
      <sz val="13"/>
      <color indexed="56"/>
      <name val="Calibri"/>
      <family val="2"/>
    </font>
    <font>
      <b/>
      <sz val="13"/>
      <color theme="3"/>
      <name val="Calibri"/>
      <family val="2"/>
      <scheme val="minor"/>
    </font>
    <font>
      <b/>
      <sz val="11"/>
      <color indexed="56"/>
      <name val="Calibri"/>
      <family val="2"/>
    </font>
    <font>
      <b/>
      <sz val="11"/>
      <color theme="3"/>
      <name val="Calibri"/>
      <family val="2"/>
      <scheme val="minor"/>
    </font>
    <font>
      <sz val="11"/>
      <color indexed="62"/>
      <name val="Calibri"/>
      <family val="2"/>
    </font>
    <font>
      <sz val="11"/>
      <color rgb="FF3F3F76"/>
      <name val="Calibri"/>
      <family val="2"/>
      <scheme val="minor"/>
    </font>
    <font>
      <sz val="11"/>
      <color indexed="52"/>
      <name val="Calibri"/>
      <family val="2"/>
    </font>
    <font>
      <sz val="11"/>
      <color rgb="FFFA7D00"/>
      <name val="Calibri"/>
      <family val="2"/>
      <scheme val="minor"/>
    </font>
    <font>
      <sz val="11"/>
      <color indexed="60"/>
      <name val="Calibri"/>
      <family val="2"/>
    </font>
    <font>
      <sz val="11"/>
      <color rgb="FF9C6500"/>
      <name val="Calibri"/>
      <family val="2"/>
      <scheme val="minor"/>
    </font>
    <font>
      <b/>
      <sz val="11"/>
      <color indexed="63"/>
      <name val="Calibri"/>
      <family val="2"/>
    </font>
    <font>
      <b/>
      <sz val="11"/>
      <color rgb="FF3F3F3F"/>
      <name val="Calibri"/>
      <family val="2"/>
      <scheme val="minor"/>
    </font>
    <font>
      <b/>
      <sz val="18"/>
      <color indexed="56"/>
      <name val="Cambria"/>
      <family val="2"/>
    </font>
    <font>
      <b/>
      <sz val="11"/>
      <color indexed="8"/>
      <name val="Calibri"/>
      <family val="2"/>
    </font>
    <font>
      <sz val="11"/>
      <color indexed="10"/>
      <name val="Calibri"/>
      <family val="2"/>
    </font>
    <font>
      <b/>
      <sz val="12"/>
      <name val="Arial MT"/>
    </font>
    <font>
      <sz val="11"/>
      <name val="Calibri"/>
      <family val="2"/>
      <scheme val="minor"/>
    </font>
    <font>
      <b/>
      <sz val="11"/>
      <name val="Calibri"/>
      <family val="2"/>
      <scheme val="minor"/>
    </font>
    <font>
      <sz val="11"/>
      <color rgb="FF0000CC"/>
      <name val="Calibri"/>
      <family val="2"/>
      <scheme val="minor"/>
    </font>
    <font>
      <sz val="10"/>
      <color rgb="FF0000CC"/>
      <name val="Arial"/>
      <family val="2"/>
    </font>
    <font>
      <b/>
      <sz val="10"/>
      <color rgb="FF0000CC"/>
      <name val="Arial"/>
      <family val="2"/>
    </font>
    <font>
      <b/>
      <u val="singleAccounting"/>
      <sz val="10"/>
      <name val="Arial"/>
      <family val="2"/>
    </font>
    <font>
      <sz val="11"/>
      <color theme="1"/>
      <name val="Arial"/>
      <family val="2"/>
    </font>
    <font>
      <u/>
      <sz val="11"/>
      <color theme="1"/>
      <name val="Arial"/>
      <family val="2"/>
    </font>
    <font>
      <b/>
      <sz val="10"/>
      <color theme="1"/>
      <name val="Arial"/>
      <family val="2"/>
    </font>
    <font>
      <b/>
      <u/>
      <sz val="10"/>
      <color rgb="FF0000CC"/>
      <name val="Arial"/>
      <family val="2"/>
    </font>
    <font>
      <b/>
      <u/>
      <sz val="11"/>
      <color rgb="FF0000CC"/>
      <name val="Arial"/>
      <family val="2"/>
    </font>
    <font>
      <sz val="9"/>
      <color rgb="FF009900"/>
      <name val="Times New Roman"/>
      <family val="1"/>
    </font>
    <font>
      <b/>
      <sz val="12"/>
      <color rgb="FF33CC33"/>
      <name val="Arial"/>
      <family val="2"/>
    </font>
    <font>
      <sz val="11"/>
      <color theme="1"/>
      <name val="Arial Black"/>
      <family val="2"/>
    </font>
    <font>
      <sz val="11"/>
      <color rgb="FF33CC33"/>
      <name val="Calibri"/>
      <family val="2"/>
      <scheme val="minor"/>
    </font>
    <font>
      <b/>
      <u/>
      <sz val="14"/>
      <color theme="1"/>
      <name val="Calibri"/>
      <family val="2"/>
      <scheme val="minor"/>
    </font>
    <font>
      <sz val="14"/>
      <color theme="1"/>
      <name val="Calibri"/>
      <family val="2"/>
      <scheme val="minor"/>
    </font>
    <font>
      <sz val="14"/>
      <name val="Arial"/>
      <family val="2"/>
    </font>
    <font>
      <u val="singleAccounting"/>
      <sz val="12"/>
      <name val="Times New Roman"/>
      <family val="1"/>
    </font>
    <font>
      <b/>
      <sz val="12"/>
      <color rgb="FF009900"/>
      <name val="Arial MT"/>
    </font>
    <font>
      <b/>
      <u/>
      <sz val="8"/>
      <color rgb="FFFF0000"/>
      <name val="Arial"/>
      <family val="2"/>
    </font>
    <font>
      <b/>
      <u/>
      <sz val="14"/>
      <name val="Arial"/>
      <family val="2"/>
    </font>
    <font>
      <b/>
      <sz val="9"/>
      <name val="Times New Roman"/>
      <family val="1"/>
    </font>
    <font>
      <b/>
      <sz val="11"/>
      <color rgb="FF009900"/>
      <name val="Times New Roman"/>
      <family val="1"/>
    </font>
    <font>
      <sz val="8"/>
      <color rgb="FFFF0000"/>
      <name val="Times New Roman"/>
      <family val="1"/>
    </font>
    <font>
      <b/>
      <sz val="10"/>
      <name val="Arial"/>
      <family val="2"/>
    </font>
    <font>
      <sz val="10"/>
      <color rgb="FF33CC33"/>
      <name val="Arial"/>
      <family val="2"/>
    </font>
    <font>
      <sz val="10"/>
      <color rgb="FF000000"/>
      <name val="Times New Roman"/>
      <family val="1"/>
    </font>
    <font>
      <i/>
      <sz val="10"/>
      <name val="Arial"/>
      <family val="2"/>
    </font>
    <font>
      <b/>
      <i/>
      <sz val="12"/>
      <color indexed="17"/>
      <name val="Times New Roman"/>
      <family val="1"/>
    </font>
    <font>
      <sz val="12"/>
      <color rgb="FF00B050"/>
      <name val="Arial"/>
      <family val="2"/>
    </font>
    <font>
      <b/>
      <sz val="12"/>
      <color rgb="FF00B050"/>
      <name val="Arial"/>
      <family val="2"/>
    </font>
    <font>
      <sz val="12"/>
      <color rgb="FF33CC33"/>
      <name val="Arial"/>
      <family val="2"/>
    </font>
    <font>
      <b/>
      <sz val="12"/>
      <color rgb="FF33CC33"/>
      <name val="Times New Roman"/>
      <family val="1"/>
    </font>
    <font>
      <b/>
      <sz val="18"/>
      <name val="Times New Roman"/>
      <family val="1"/>
    </font>
    <font>
      <sz val="18"/>
      <name val="Times New Roman"/>
      <family val="1"/>
    </font>
    <font>
      <i/>
      <sz val="18"/>
      <name val="Times New Roman"/>
      <family val="1"/>
    </font>
    <font>
      <b/>
      <sz val="18"/>
      <color rgb="FF0000CC"/>
      <name val="Times New Roman"/>
      <family val="1"/>
    </font>
    <font>
      <sz val="12"/>
      <color theme="1"/>
      <name val="Times New Roman"/>
      <family val="1"/>
    </font>
    <font>
      <b/>
      <sz val="10"/>
      <color rgb="FF33CC33"/>
      <name val="Arial"/>
      <family val="2"/>
    </font>
    <font>
      <b/>
      <sz val="10"/>
      <color rgb="FF0000FF"/>
      <name val="Arial"/>
      <family val="2"/>
    </font>
    <font>
      <sz val="12"/>
      <color rgb="FF0000CC"/>
      <name val="Arial"/>
      <family val="2"/>
    </font>
    <font>
      <b/>
      <sz val="11"/>
      <color rgb="FF009900"/>
      <name val="Calibri"/>
      <family val="2"/>
      <scheme val="minor"/>
    </font>
    <font>
      <b/>
      <sz val="10"/>
      <color rgb="FF33CC33"/>
      <name val="Calibri"/>
      <family val="2"/>
      <scheme val="minor"/>
    </font>
    <font>
      <b/>
      <u/>
      <sz val="11"/>
      <color theme="1"/>
      <name val="Calibri"/>
      <family val="2"/>
      <scheme val="minor"/>
    </font>
    <font>
      <u val="singleAccounting"/>
      <sz val="10"/>
      <color theme="1"/>
      <name val="Times New Roman"/>
      <family val="1"/>
    </font>
    <font>
      <b/>
      <u val="singleAccounting"/>
      <sz val="10"/>
      <color rgb="FF0000CC"/>
      <name val="Arial"/>
      <family val="2"/>
    </font>
    <font>
      <b/>
      <u/>
      <sz val="11"/>
      <color rgb="FF009900"/>
      <name val="Calibri"/>
      <family val="2"/>
      <scheme val="minor"/>
    </font>
    <font>
      <b/>
      <sz val="9"/>
      <color rgb="FF008000"/>
      <name val="Calibri"/>
      <family val="2"/>
      <scheme val="minor"/>
    </font>
    <font>
      <b/>
      <sz val="9"/>
      <color rgb="FF33CC33"/>
      <name val="Calibri"/>
      <family val="2"/>
      <scheme val="minor"/>
    </font>
    <font>
      <b/>
      <sz val="14"/>
      <color rgb="FF0000CC"/>
      <name val="Calibri"/>
      <family val="2"/>
      <scheme val="minor"/>
    </font>
    <font>
      <sz val="18"/>
      <color rgb="FF0000FF"/>
      <name val="Times New Roman"/>
      <family val="1"/>
    </font>
    <font>
      <sz val="10"/>
      <color rgb="FF33CC33"/>
      <name val="Times New Roman"/>
      <family val="1"/>
    </font>
  </fonts>
  <fills count="73">
    <fill>
      <patternFill patternType="none"/>
    </fill>
    <fill>
      <patternFill patternType="gray125"/>
    </fill>
    <fill>
      <patternFill patternType="solid">
        <fgColor indexed="9"/>
      </patternFill>
    </fill>
    <fill>
      <patternFill patternType="solid">
        <fgColor indexed="13"/>
        <bgColor indexed="64"/>
      </patternFill>
    </fill>
    <fill>
      <patternFill patternType="solid">
        <fgColor indexed="11"/>
        <bgColor indexed="64"/>
      </patternFill>
    </fill>
    <fill>
      <patternFill patternType="solid">
        <fgColor indexed="9"/>
        <bgColor indexed="64"/>
      </patternFill>
    </fill>
    <fill>
      <patternFill patternType="solid">
        <fgColor indexed="52"/>
        <bgColor indexed="64"/>
      </patternFill>
    </fill>
    <fill>
      <patternFill patternType="solid">
        <fgColor indexed="51"/>
        <bgColor indexed="64"/>
      </patternFill>
    </fill>
    <fill>
      <patternFill patternType="solid">
        <fgColor rgb="FFFFFF00"/>
        <bgColor indexed="64"/>
      </patternFill>
    </fill>
    <fill>
      <patternFill patternType="solid">
        <fgColor rgb="FF00FE00"/>
        <bgColor indexed="64"/>
      </patternFill>
    </fill>
    <fill>
      <patternFill patternType="solid">
        <fgColor rgb="FF33CC33"/>
        <bgColor indexed="64"/>
      </patternFill>
    </fill>
    <fill>
      <patternFill patternType="solid">
        <fgColor rgb="FF009900"/>
        <bgColor indexed="64"/>
      </patternFill>
    </fill>
    <fill>
      <patternFill patternType="solid">
        <fgColor rgb="FF00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CC99"/>
        <bgColor indexed="64"/>
      </patternFill>
    </fill>
    <fill>
      <patternFill patternType="solid">
        <fgColor rgb="FFFFFF99"/>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rgb="FFFFC000"/>
        <bgColor indexed="64"/>
      </patternFill>
    </fill>
    <fill>
      <patternFill patternType="solid">
        <fgColor theme="0" tint="-0.249977111117893"/>
        <bgColor indexed="64"/>
      </patternFill>
    </fill>
    <fill>
      <patternFill patternType="solid">
        <fgColor rgb="FF00B050"/>
        <bgColor indexed="64"/>
      </patternFill>
    </fill>
    <fill>
      <patternFill patternType="solid">
        <fgColor rgb="FFFF9900"/>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indexed="15"/>
        <bgColor indexed="15"/>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s>
  <borders count="91">
    <border>
      <left/>
      <right/>
      <top/>
      <bottom/>
      <diagonal/>
    </border>
    <border>
      <left/>
      <right/>
      <top style="thin">
        <color indexed="8"/>
      </top>
      <bottom/>
      <diagonal/>
    </border>
    <border>
      <left/>
      <right/>
      <top/>
      <bottom style="thin">
        <color indexed="8"/>
      </bottom>
      <diagonal/>
    </border>
    <border>
      <left/>
      <right/>
      <top/>
      <bottom style="double">
        <color indexed="8"/>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right style="thin">
        <color indexed="64"/>
      </right>
      <top/>
      <bottom style="thin">
        <color indexed="8"/>
      </bottom>
      <diagonal/>
    </border>
    <border>
      <left/>
      <right style="thin">
        <color indexed="64"/>
      </right>
      <top/>
      <bottom/>
      <diagonal/>
    </border>
    <border>
      <left/>
      <right style="thin">
        <color indexed="64"/>
      </right>
      <top style="thin">
        <color indexed="8"/>
      </top>
      <bottom/>
      <diagonal/>
    </border>
    <border>
      <left/>
      <right style="thin">
        <color indexed="64"/>
      </right>
      <top/>
      <bottom style="double">
        <color indexed="8"/>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double">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12"/>
      </left>
      <right style="thin">
        <color indexed="12"/>
      </right>
      <top style="thin">
        <color indexed="12"/>
      </top>
      <bottom style="thin">
        <color indexed="12"/>
      </bottom>
      <diagonal/>
    </border>
    <border>
      <left style="thin">
        <color indexed="64"/>
      </left>
      <right/>
      <top style="thin">
        <color indexed="64"/>
      </top>
      <bottom style="thin">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auto="1"/>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diagonal/>
    </border>
    <border>
      <left/>
      <right/>
      <top/>
      <bottom style="medium">
        <color rgb="FF008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top style="thin">
        <color indexed="64"/>
      </top>
      <bottom style="double">
        <color indexed="64"/>
      </bottom>
      <diagonal/>
    </border>
    <border>
      <left/>
      <right/>
      <top/>
      <bottom style="medium">
        <color indexed="8"/>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8"/>
      </top>
      <bottom/>
      <diagonal/>
    </border>
    <border>
      <left/>
      <right style="thin">
        <color indexed="64"/>
      </right>
      <top style="thin">
        <color indexed="64"/>
      </top>
      <bottom style="double">
        <color indexed="64"/>
      </bottom>
      <diagonal/>
    </border>
    <border>
      <left style="thin">
        <color indexed="64"/>
      </left>
      <right style="medium">
        <color indexed="64"/>
      </right>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right/>
      <top style="thin">
        <color indexed="64"/>
      </top>
      <bottom style="thin">
        <color indexed="64"/>
      </bottom>
      <diagonal/>
    </border>
  </borders>
  <cellStyleXfs count="41667">
    <xf numFmtId="37" fontId="0" fillId="0"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4" fillId="0"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37" fontId="22" fillId="0" borderId="0"/>
    <xf numFmtId="37" fontId="29" fillId="0" borderId="0"/>
    <xf numFmtId="0" fontId="29" fillId="0" borderId="0"/>
    <xf numFmtId="37" fontId="29" fillId="0" borderId="0"/>
    <xf numFmtId="0" fontId="62" fillId="0" borderId="0" applyNumberFormat="0" applyFill="0" applyBorder="0" applyAlignment="0" applyProtection="0"/>
    <xf numFmtId="0" fontId="63" fillId="0" borderId="26" applyNumberFormat="0" applyFill="0" applyAlignment="0" applyProtection="0"/>
    <xf numFmtId="0" fontId="64" fillId="0" borderId="27" applyNumberFormat="0" applyFill="0" applyAlignment="0" applyProtection="0"/>
    <xf numFmtId="0" fontId="65" fillId="0" borderId="28" applyNumberFormat="0" applyFill="0" applyAlignment="0" applyProtection="0"/>
    <xf numFmtId="0" fontId="65" fillId="0" borderId="0" applyNumberFormat="0" applyFill="0" applyBorder="0" applyAlignment="0" applyProtection="0"/>
    <xf numFmtId="0" fontId="66" fillId="13" borderId="0" applyNumberFormat="0" applyBorder="0" applyAlignment="0" applyProtection="0"/>
    <xf numFmtId="0" fontId="67" fillId="14" borderId="0" applyNumberFormat="0" applyBorder="0" applyAlignment="0" applyProtection="0"/>
    <xf numFmtId="0" fontId="68" fillId="15" borderId="0" applyNumberFormat="0" applyBorder="0" applyAlignment="0" applyProtection="0"/>
    <xf numFmtId="0" fontId="69" fillId="16" borderId="29" applyNumberFormat="0" applyAlignment="0" applyProtection="0"/>
    <xf numFmtId="0" fontId="70" fillId="17" borderId="30" applyNumberFormat="0" applyAlignment="0" applyProtection="0"/>
    <xf numFmtId="0" fontId="71" fillId="17" borderId="29" applyNumberFormat="0" applyAlignment="0" applyProtection="0"/>
    <xf numFmtId="0" fontId="72" fillId="0" borderId="31" applyNumberFormat="0" applyFill="0" applyAlignment="0" applyProtection="0"/>
    <xf numFmtId="0" fontId="73" fillId="18" borderId="32" applyNumberFormat="0" applyAlignment="0" applyProtection="0"/>
    <xf numFmtId="0" fontId="48" fillId="0" borderId="0" applyNumberFormat="0" applyFill="0" applyBorder="0" applyAlignment="0" applyProtection="0"/>
    <xf numFmtId="0" fontId="74" fillId="0" borderId="0" applyNumberFormat="0" applyFill="0" applyBorder="0" applyAlignment="0" applyProtection="0"/>
    <xf numFmtId="0" fontId="75" fillId="0" borderId="34" applyNumberFormat="0" applyFill="0" applyAlignment="0" applyProtection="0"/>
    <xf numFmtId="0" fontId="76"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76" fillId="39" borderId="0" applyNumberFormat="0" applyBorder="0" applyAlignment="0" applyProtection="0"/>
    <xf numFmtId="0" fontId="76"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76" fillId="43" borderId="0" applyNumberFormat="0" applyBorder="0" applyAlignment="0" applyProtection="0"/>
    <xf numFmtId="37" fontId="22" fillId="2" borderId="0"/>
    <xf numFmtId="0" fontId="22" fillId="0" borderId="0"/>
    <xf numFmtId="0" fontId="21" fillId="0" borderId="0"/>
    <xf numFmtId="0" fontId="21" fillId="19" borderId="33" applyNumberFormat="0" applyFont="0" applyAlignment="0" applyProtection="0"/>
    <xf numFmtId="39" fontId="22" fillId="0" borderId="0"/>
    <xf numFmtId="44" fontId="22" fillId="0" borderId="0" applyFont="0" applyFill="0" applyBorder="0" applyAlignment="0" applyProtection="0"/>
    <xf numFmtId="39" fontId="22" fillId="0" borderId="0"/>
    <xf numFmtId="44" fontId="22" fillId="0" borderId="0" applyFont="0" applyFill="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2" fillId="0" borderId="0"/>
    <xf numFmtId="0" fontId="22" fillId="0" borderId="0"/>
    <xf numFmtId="44" fontId="22" fillId="0" borderId="0" applyFont="0" applyFill="0" applyBorder="0" applyAlignment="0" applyProtection="0"/>
    <xf numFmtId="0" fontId="22" fillId="0" borderId="0"/>
    <xf numFmtId="0" fontId="21" fillId="0" borderId="0"/>
    <xf numFmtId="0" fontId="21" fillId="19" borderId="33" applyNumberFormat="0" applyFont="0" applyAlignment="0" applyProtection="0"/>
    <xf numFmtId="39" fontId="22" fillId="0" borderId="0"/>
    <xf numFmtId="44" fontId="22" fillId="0" borderId="0" applyFont="0" applyFill="0" applyBorder="0" applyAlignment="0" applyProtection="0"/>
    <xf numFmtId="0" fontId="22" fillId="0" borderId="0"/>
    <xf numFmtId="37" fontId="29" fillId="0" borderId="0"/>
    <xf numFmtId="39" fontId="22" fillId="0" borderId="0"/>
    <xf numFmtId="39" fontId="22" fillId="0" borderId="0"/>
    <xf numFmtId="0" fontId="21" fillId="21" borderId="0" applyNumberFormat="0" applyBorder="0" applyAlignment="0" applyProtection="0"/>
    <xf numFmtId="0" fontId="21" fillId="22"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2" fillId="0" borderId="0"/>
    <xf numFmtId="0" fontId="22" fillId="0" borderId="0"/>
    <xf numFmtId="44" fontId="22" fillId="0" borderId="0" applyFont="0" applyFill="0" applyBorder="0" applyAlignment="0" applyProtection="0"/>
    <xf numFmtId="0" fontId="22" fillId="0" borderId="0"/>
    <xf numFmtId="0" fontId="21" fillId="0" borderId="0"/>
    <xf numFmtId="0" fontId="21" fillId="19" borderId="33" applyNumberFormat="0" applyFont="0" applyAlignment="0" applyProtection="0"/>
    <xf numFmtId="0" fontId="21" fillId="0" borderId="0"/>
    <xf numFmtId="43" fontId="21" fillId="0" borderId="0" applyFont="0" applyFill="0" applyBorder="0" applyAlignment="0" applyProtection="0"/>
    <xf numFmtId="0" fontId="21" fillId="19" borderId="33" applyNumberFormat="0" applyFont="0" applyAlignment="0" applyProtection="0"/>
    <xf numFmtId="0" fontId="21" fillId="21" borderId="0" applyNumberFormat="0" applyBorder="0" applyAlignment="0" applyProtection="0"/>
    <xf numFmtId="0" fontId="21" fillId="22"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0" borderId="0"/>
    <xf numFmtId="0" fontId="21" fillId="19" borderId="33" applyNumberFormat="0" applyFont="0" applyAlignment="0" applyProtection="0"/>
    <xf numFmtId="0" fontId="21" fillId="21" borderId="0" applyNumberFormat="0" applyBorder="0" applyAlignment="0" applyProtection="0"/>
    <xf numFmtId="0" fontId="21" fillId="22"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37" fontId="29" fillId="0" borderId="0"/>
    <xf numFmtId="0" fontId="20" fillId="21" borderId="0" applyNumberFormat="0" applyBorder="0" applyAlignment="0" applyProtection="0"/>
    <xf numFmtId="0" fontId="20" fillId="22"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37" fontId="22" fillId="2" borderId="0"/>
    <xf numFmtId="0" fontId="20" fillId="0" borderId="0"/>
    <xf numFmtId="0" fontId="20" fillId="19" borderId="33" applyNumberFormat="0" applyFont="0" applyAlignment="0" applyProtection="0"/>
    <xf numFmtId="0" fontId="20" fillId="21" borderId="0" applyNumberFormat="0" applyBorder="0" applyAlignment="0" applyProtection="0"/>
    <xf numFmtId="0" fontId="20" fillId="22"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0" borderId="0"/>
    <xf numFmtId="0" fontId="20" fillId="19" borderId="33" applyNumberFormat="0" applyFont="0" applyAlignment="0" applyProtection="0"/>
    <xf numFmtId="0" fontId="20" fillId="21" borderId="0" applyNumberFormat="0" applyBorder="0" applyAlignment="0" applyProtection="0"/>
    <xf numFmtId="0" fontId="20" fillId="22"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0" borderId="0"/>
    <xf numFmtId="0" fontId="20" fillId="19" borderId="33" applyNumberFormat="0" applyFont="0" applyAlignment="0" applyProtection="0"/>
    <xf numFmtId="0" fontId="20" fillId="0" borderId="0"/>
    <xf numFmtId="43" fontId="20" fillId="0" borderId="0" applyFont="0" applyFill="0" applyBorder="0" applyAlignment="0" applyProtection="0"/>
    <xf numFmtId="0" fontId="20" fillId="19" borderId="33" applyNumberFormat="0" applyFont="0" applyAlignment="0" applyProtection="0"/>
    <xf numFmtId="0" fontId="20" fillId="21" borderId="0" applyNumberFormat="0" applyBorder="0" applyAlignment="0" applyProtection="0"/>
    <xf numFmtId="0" fontId="20" fillId="22"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0" borderId="0"/>
    <xf numFmtId="0" fontId="20" fillId="19" borderId="33" applyNumberFormat="0" applyFont="0" applyAlignment="0" applyProtection="0"/>
    <xf numFmtId="0" fontId="20" fillId="21" borderId="0" applyNumberFormat="0" applyBorder="0" applyAlignment="0" applyProtection="0"/>
    <xf numFmtId="0" fontId="20" fillId="22"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0" borderId="0"/>
    <xf numFmtId="0" fontId="20" fillId="19" borderId="33" applyNumberFormat="0" applyFont="0" applyAlignment="0" applyProtection="0"/>
    <xf numFmtId="0" fontId="20" fillId="21" borderId="0" applyNumberFormat="0" applyBorder="0" applyAlignment="0" applyProtection="0"/>
    <xf numFmtId="0" fontId="20" fillId="22"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0" borderId="0"/>
    <xf numFmtId="0" fontId="20" fillId="19" borderId="33" applyNumberFormat="0" applyFont="0" applyAlignment="0" applyProtection="0"/>
    <xf numFmtId="0" fontId="20" fillId="21" borderId="0" applyNumberFormat="0" applyBorder="0" applyAlignment="0" applyProtection="0"/>
    <xf numFmtId="0" fontId="20" fillId="22"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0" borderId="0"/>
    <xf numFmtId="0" fontId="20" fillId="19" borderId="33" applyNumberFormat="0" applyFont="0" applyAlignment="0" applyProtection="0"/>
    <xf numFmtId="0" fontId="20" fillId="0" borderId="0"/>
    <xf numFmtId="43" fontId="20" fillId="0" borderId="0" applyFont="0" applyFill="0" applyBorder="0" applyAlignment="0" applyProtection="0"/>
    <xf numFmtId="0" fontId="20" fillId="19" borderId="33" applyNumberFormat="0" applyFont="0" applyAlignment="0" applyProtection="0"/>
    <xf numFmtId="0" fontId="20" fillId="21" borderId="0" applyNumberFormat="0" applyBorder="0" applyAlignment="0" applyProtection="0"/>
    <xf numFmtId="0" fontId="20" fillId="22"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0" borderId="0"/>
    <xf numFmtId="0" fontId="20" fillId="19" borderId="33" applyNumberFormat="0" applyFont="0" applyAlignment="0" applyProtection="0"/>
    <xf numFmtId="0" fontId="20" fillId="21" borderId="0" applyNumberFormat="0" applyBorder="0" applyAlignment="0" applyProtection="0"/>
    <xf numFmtId="0" fontId="20" fillId="22"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0" borderId="0"/>
    <xf numFmtId="0" fontId="19" fillId="19" borderId="33" applyNumberFormat="0" applyFont="0" applyAlignment="0" applyProtection="0"/>
    <xf numFmtId="0" fontId="19" fillId="21" borderId="0" applyNumberFormat="0" applyBorder="0" applyAlignment="0" applyProtection="0"/>
    <xf numFmtId="0" fontId="19" fillId="22"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0" borderId="0"/>
    <xf numFmtId="0" fontId="19" fillId="19" borderId="33" applyNumberFormat="0" applyFont="0" applyAlignment="0" applyProtection="0"/>
    <xf numFmtId="0" fontId="19" fillId="21" borderId="0" applyNumberFormat="0" applyBorder="0" applyAlignment="0" applyProtection="0"/>
    <xf numFmtId="0" fontId="19" fillId="22"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0" borderId="0"/>
    <xf numFmtId="0" fontId="19" fillId="19" borderId="33" applyNumberFormat="0" applyFont="0" applyAlignment="0" applyProtection="0"/>
    <xf numFmtId="0" fontId="19" fillId="0" borderId="0"/>
    <xf numFmtId="43" fontId="19" fillId="0" borderId="0" applyFont="0" applyFill="0" applyBorder="0" applyAlignment="0" applyProtection="0"/>
    <xf numFmtId="0" fontId="19" fillId="19" borderId="33" applyNumberFormat="0" applyFont="0" applyAlignment="0" applyProtection="0"/>
    <xf numFmtId="0" fontId="19" fillId="21" borderId="0" applyNumberFormat="0" applyBorder="0" applyAlignment="0" applyProtection="0"/>
    <xf numFmtId="0" fontId="19" fillId="22"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0" borderId="0"/>
    <xf numFmtId="0" fontId="19" fillId="19" borderId="33" applyNumberFormat="0" applyFont="0" applyAlignment="0" applyProtection="0"/>
    <xf numFmtId="0" fontId="19" fillId="21" borderId="0" applyNumberFormat="0" applyBorder="0" applyAlignment="0" applyProtection="0"/>
    <xf numFmtId="0" fontId="19" fillId="22"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0" borderId="0"/>
    <xf numFmtId="0" fontId="19" fillId="19" borderId="33" applyNumberFormat="0" applyFont="0" applyAlignment="0" applyProtection="0"/>
    <xf numFmtId="0" fontId="19" fillId="21" borderId="0" applyNumberFormat="0" applyBorder="0" applyAlignment="0" applyProtection="0"/>
    <xf numFmtId="0" fontId="19" fillId="22"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0" borderId="0"/>
    <xf numFmtId="0" fontId="19" fillId="19" borderId="33" applyNumberFormat="0" applyFont="0" applyAlignment="0" applyProtection="0"/>
    <xf numFmtId="0" fontId="19" fillId="21" borderId="0" applyNumberFormat="0" applyBorder="0" applyAlignment="0" applyProtection="0"/>
    <xf numFmtId="0" fontId="19" fillId="22"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0" borderId="0"/>
    <xf numFmtId="0" fontId="19" fillId="19" borderId="33" applyNumberFormat="0" applyFont="0" applyAlignment="0" applyProtection="0"/>
    <xf numFmtId="0" fontId="19" fillId="0" borderId="0"/>
    <xf numFmtId="43" fontId="19" fillId="0" borderId="0" applyFont="0" applyFill="0" applyBorder="0" applyAlignment="0" applyProtection="0"/>
    <xf numFmtId="0" fontId="19" fillId="19" borderId="33" applyNumberFormat="0" applyFont="0" applyAlignment="0" applyProtection="0"/>
    <xf numFmtId="0" fontId="19" fillId="21" borderId="0" applyNumberFormat="0" applyBorder="0" applyAlignment="0" applyProtection="0"/>
    <xf numFmtId="0" fontId="19" fillId="22"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0" borderId="0"/>
    <xf numFmtId="0" fontId="19" fillId="19" borderId="33" applyNumberFormat="0" applyFont="0" applyAlignment="0" applyProtection="0"/>
    <xf numFmtId="0" fontId="19" fillId="21" borderId="0" applyNumberFormat="0" applyBorder="0" applyAlignment="0" applyProtection="0"/>
    <xf numFmtId="0" fontId="19" fillId="22"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0" borderId="0"/>
    <xf numFmtId="0" fontId="19" fillId="19" borderId="33" applyNumberFormat="0" applyFont="0" applyAlignment="0" applyProtection="0"/>
    <xf numFmtId="0" fontId="19" fillId="21" borderId="0" applyNumberFormat="0" applyBorder="0" applyAlignment="0" applyProtection="0"/>
    <xf numFmtId="0" fontId="19" fillId="22"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0" borderId="0"/>
    <xf numFmtId="0" fontId="19" fillId="19" borderId="33" applyNumberFormat="0" applyFont="0" applyAlignment="0" applyProtection="0"/>
    <xf numFmtId="0" fontId="19" fillId="21" borderId="0" applyNumberFormat="0" applyBorder="0" applyAlignment="0" applyProtection="0"/>
    <xf numFmtId="0" fontId="19" fillId="22"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0" borderId="0"/>
    <xf numFmtId="0" fontId="19" fillId="19" borderId="33" applyNumberFormat="0" applyFont="0" applyAlignment="0" applyProtection="0"/>
    <xf numFmtId="0" fontId="19" fillId="0" borderId="0"/>
    <xf numFmtId="43" fontId="19" fillId="0" borderId="0" applyFont="0" applyFill="0" applyBorder="0" applyAlignment="0" applyProtection="0"/>
    <xf numFmtId="0" fontId="19" fillId="19" borderId="33" applyNumberFormat="0" applyFont="0" applyAlignment="0" applyProtection="0"/>
    <xf numFmtId="0" fontId="19" fillId="21" borderId="0" applyNumberFormat="0" applyBorder="0" applyAlignment="0" applyProtection="0"/>
    <xf numFmtId="0" fontId="19" fillId="22"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0" borderId="0"/>
    <xf numFmtId="0" fontId="19" fillId="19" borderId="33" applyNumberFormat="0" applyFont="0" applyAlignment="0" applyProtection="0"/>
    <xf numFmtId="0" fontId="19" fillId="21" borderId="0" applyNumberFormat="0" applyBorder="0" applyAlignment="0" applyProtection="0"/>
    <xf numFmtId="0" fontId="19" fillId="22"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0" borderId="0"/>
    <xf numFmtId="0" fontId="18" fillId="19" borderId="33" applyNumberFormat="0" applyFont="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0" borderId="0"/>
    <xf numFmtId="0" fontId="18" fillId="19" borderId="33" applyNumberFormat="0" applyFont="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0" borderId="0"/>
    <xf numFmtId="0" fontId="18" fillId="19" borderId="33" applyNumberFormat="0" applyFont="0" applyAlignment="0" applyProtection="0"/>
    <xf numFmtId="0" fontId="18" fillId="0" borderId="0"/>
    <xf numFmtId="43" fontId="18" fillId="0" borderId="0" applyFont="0" applyFill="0" applyBorder="0" applyAlignment="0" applyProtection="0"/>
    <xf numFmtId="0" fontId="18" fillId="19" borderId="33" applyNumberFormat="0" applyFont="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0" borderId="0"/>
    <xf numFmtId="0" fontId="18" fillId="19" borderId="33" applyNumberFormat="0" applyFont="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0" borderId="0"/>
    <xf numFmtId="0" fontId="18" fillId="19" borderId="33" applyNumberFormat="0" applyFont="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0" borderId="0"/>
    <xf numFmtId="0" fontId="18" fillId="19" borderId="33" applyNumberFormat="0" applyFont="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0" borderId="0"/>
    <xf numFmtId="0" fontId="18" fillId="19" borderId="33" applyNumberFormat="0" applyFont="0" applyAlignment="0" applyProtection="0"/>
    <xf numFmtId="0" fontId="18" fillId="0" borderId="0"/>
    <xf numFmtId="43" fontId="18" fillId="0" borderId="0" applyFont="0" applyFill="0" applyBorder="0" applyAlignment="0" applyProtection="0"/>
    <xf numFmtId="0" fontId="18" fillId="19" borderId="33" applyNumberFormat="0" applyFont="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0" borderId="0"/>
    <xf numFmtId="0" fontId="18" fillId="19" borderId="33" applyNumberFormat="0" applyFont="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0" borderId="0"/>
    <xf numFmtId="0" fontId="18" fillId="19" borderId="33" applyNumberFormat="0" applyFont="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0" borderId="0"/>
    <xf numFmtId="0" fontId="18" fillId="19" borderId="33" applyNumberFormat="0" applyFont="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0" borderId="0"/>
    <xf numFmtId="0" fontId="18" fillId="19" borderId="33" applyNumberFormat="0" applyFont="0" applyAlignment="0" applyProtection="0"/>
    <xf numFmtId="0" fontId="18" fillId="0" borderId="0"/>
    <xf numFmtId="43" fontId="18" fillId="0" borderId="0" applyFont="0" applyFill="0" applyBorder="0" applyAlignment="0" applyProtection="0"/>
    <xf numFmtId="0" fontId="18" fillId="19" borderId="33" applyNumberFormat="0" applyFont="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0" borderId="0"/>
    <xf numFmtId="0" fontId="18" fillId="19" borderId="33" applyNumberFormat="0" applyFont="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0" borderId="0"/>
    <xf numFmtId="0" fontId="17" fillId="19" borderId="33" applyNumberFormat="0" applyFont="0" applyAlignment="0" applyProtection="0"/>
    <xf numFmtId="0" fontId="17" fillId="21" borderId="0" applyNumberFormat="0" applyBorder="0" applyAlignment="0" applyProtection="0"/>
    <xf numFmtId="0" fontId="17" fillId="22"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0" borderId="0"/>
    <xf numFmtId="0" fontId="17" fillId="19" borderId="33" applyNumberFormat="0" applyFont="0" applyAlignment="0" applyProtection="0"/>
    <xf numFmtId="0" fontId="17" fillId="21" borderId="0" applyNumberFormat="0" applyBorder="0" applyAlignment="0" applyProtection="0"/>
    <xf numFmtId="0" fontId="17" fillId="22"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0" borderId="0"/>
    <xf numFmtId="0" fontId="17" fillId="19" borderId="33" applyNumberFormat="0" applyFont="0" applyAlignment="0" applyProtection="0"/>
    <xf numFmtId="0" fontId="17" fillId="0" borderId="0"/>
    <xf numFmtId="43" fontId="17" fillId="0" borderId="0" applyFont="0" applyFill="0" applyBorder="0" applyAlignment="0" applyProtection="0"/>
    <xf numFmtId="0" fontId="17" fillId="19" borderId="33" applyNumberFormat="0" applyFont="0" applyAlignment="0" applyProtection="0"/>
    <xf numFmtId="0" fontId="17" fillId="21" borderId="0" applyNumberFormat="0" applyBorder="0" applyAlignment="0" applyProtection="0"/>
    <xf numFmtId="0" fontId="17" fillId="22"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0" borderId="0"/>
    <xf numFmtId="0" fontId="17" fillId="19" borderId="33" applyNumberFormat="0" applyFont="0" applyAlignment="0" applyProtection="0"/>
    <xf numFmtId="0" fontId="17" fillId="21" borderId="0" applyNumberFormat="0" applyBorder="0" applyAlignment="0" applyProtection="0"/>
    <xf numFmtId="0" fontId="17" fillId="22"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0" borderId="0"/>
    <xf numFmtId="0" fontId="17" fillId="19" borderId="33" applyNumberFormat="0" applyFont="0" applyAlignment="0" applyProtection="0"/>
    <xf numFmtId="0" fontId="17" fillId="21" borderId="0" applyNumberFormat="0" applyBorder="0" applyAlignment="0" applyProtection="0"/>
    <xf numFmtId="0" fontId="17" fillId="22"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0" borderId="0"/>
    <xf numFmtId="0" fontId="17" fillId="19" borderId="33" applyNumberFormat="0" applyFont="0" applyAlignment="0" applyProtection="0"/>
    <xf numFmtId="0" fontId="17" fillId="21" borderId="0" applyNumberFormat="0" applyBorder="0" applyAlignment="0" applyProtection="0"/>
    <xf numFmtId="0" fontId="17" fillId="22"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0" borderId="0"/>
    <xf numFmtId="0" fontId="17" fillId="19" borderId="33" applyNumberFormat="0" applyFont="0" applyAlignment="0" applyProtection="0"/>
    <xf numFmtId="0" fontId="17" fillId="0" borderId="0"/>
    <xf numFmtId="43" fontId="17" fillId="0" borderId="0" applyFont="0" applyFill="0" applyBorder="0" applyAlignment="0" applyProtection="0"/>
    <xf numFmtId="0" fontId="17" fillId="19" borderId="33" applyNumberFormat="0" applyFont="0" applyAlignment="0" applyProtection="0"/>
    <xf numFmtId="0" fontId="17" fillId="21" borderId="0" applyNumberFormat="0" applyBorder="0" applyAlignment="0" applyProtection="0"/>
    <xf numFmtId="0" fontId="17" fillId="22"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0" borderId="0"/>
    <xf numFmtId="0" fontId="17" fillId="19" borderId="33" applyNumberFormat="0" applyFont="0" applyAlignment="0" applyProtection="0"/>
    <xf numFmtId="0" fontId="17" fillId="21" borderId="0" applyNumberFormat="0" applyBorder="0" applyAlignment="0" applyProtection="0"/>
    <xf numFmtId="0" fontId="17" fillId="22"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0" borderId="0"/>
    <xf numFmtId="0" fontId="17" fillId="19" borderId="33" applyNumberFormat="0" applyFont="0" applyAlignment="0" applyProtection="0"/>
    <xf numFmtId="0" fontId="17" fillId="21" borderId="0" applyNumberFormat="0" applyBorder="0" applyAlignment="0" applyProtection="0"/>
    <xf numFmtId="0" fontId="17" fillId="22"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0" borderId="0"/>
    <xf numFmtId="0" fontId="17" fillId="19" borderId="33" applyNumberFormat="0" applyFont="0" applyAlignment="0" applyProtection="0"/>
    <xf numFmtId="0" fontId="17" fillId="21" borderId="0" applyNumberFormat="0" applyBorder="0" applyAlignment="0" applyProtection="0"/>
    <xf numFmtId="0" fontId="17" fillId="22"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0" borderId="0"/>
    <xf numFmtId="0" fontId="17" fillId="19" borderId="33" applyNumberFormat="0" applyFont="0" applyAlignment="0" applyProtection="0"/>
    <xf numFmtId="0" fontId="17" fillId="0" borderId="0"/>
    <xf numFmtId="43" fontId="17" fillId="0" borderId="0" applyFont="0" applyFill="0" applyBorder="0" applyAlignment="0" applyProtection="0"/>
    <xf numFmtId="0" fontId="17" fillId="19" borderId="33" applyNumberFormat="0" applyFont="0" applyAlignment="0" applyProtection="0"/>
    <xf numFmtId="0" fontId="17" fillId="21" borderId="0" applyNumberFormat="0" applyBorder="0" applyAlignment="0" applyProtection="0"/>
    <xf numFmtId="0" fontId="17" fillId="22"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0" borderId="0"/>
    <xf numFmtId="0" fontId="17" fillId="19" borderId="33" applyNumberFormat="0" applyFont="0" applyAlignment="0" applyProtection="0"/>
    <xf numFmtId="0" fontId="17" fillId="21" borderId="0" applyNumberFormat="0" applyBorder="0" applyAlignment="0" applyProtection="0"/>
    <xf numFmtId="0" fontId="17" fillId="22"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0" borderId="0"/>
    <xf numFmtId="0" fontId="16" fillId="19" borderId="33" applyNumberFormat="0" applyFont="0" applyAlignment="0" applyProtection="0"/>
    <xf numFmtId="0" fontId="16" fillId="21" borderId="0" applyNumberFormat="0" applyBorder="0" applyAlignment="0" applyProtection="0"/>
    <xf numFmtId="0" fontId="16" fillId="22"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0" borderId="0"/>
    <xf numFmtId="0" fontId="16" fillId="19" borderId="33" applyNumberFormat="0" applyFont="0" applyAlignment="0" applyProtection="0"/>
    <xf numFmtId="0" fontId="16" fillId="21" borderId="0" applyNumberFormat="0" applyBorder="0" applyAlignment="0" applyProtection="0"/>
    <xf numFmtId="0" fontId="16" fillId="22"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0" borderId="0"/>
    <xf numFmtId="0" fontId="16" fillId="19" borderId="33" applyNumberFormat="0" applyFont="0" applyAlignment="0" applyProtection="0"/>
    <xf numFmtId="0" fontId="16" fillId="0" borderId="0"/>
    <xf numFmtId="43" fontId="16" fillId="0" borderId="0" applyFont="0" applyFill="0" applyBorder="0" applyAlignment="0" applyProtection="0"/>
    <xf numFmtId="0" fontId="16" fillId="19" borderId="33" applyNumberFormat="0" applyFont="0" applyAlignment="0" applyProtection="0"/>
    <xf numFmtId="0" fontId="16" fillId="21" borderId="0" applyNumberFormat="0" applyBorder="0" applyAlignment="0" applyProtection="0"/>
    <xf numFmtId="0" fontId="16" fillId="22"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0" borderId="0"/>
    <xf numFmtId="0" fontId="16" fillId="19" borderId="33" applyNumberFormat="0" applyFont="0" applyAlignment="0" applyProtection="0"/>
    <xf numFmtId="0" fontId="16" fillId="21" borderId="0" applyNumberFormat="0" applyBorder="0" applyAlignment="0" applyProtection="0"/>
    <xf numFmtId="0" fontId="16" fillId="22"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0" borderId="0"/>
    <xf numFmtId="0" fontId="16" fillId="19" borderId="33" applyNumberFormat="0" applyFont="0" applyAlignment="0" applyProtection="0"/>
    <xf numFmtId="0" fontId="16" fillId="21" borderId="0" applyNumberFormat="0" applyBorder="0" applyAlignment="0" applyProtection="0"/>
    <xf numFmtId="0" fontId="16" fillId="22"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0" borderId="0"/>
    <xf numFmtId="0" fontId="16" fillId="19" borderId="33" applyNumberFormat="0" applyFont="0" applyAlignment="0" applyProtection="0"/>
    <xf numFmtId="0" fontId="16" fillId="21" borderId="0" applyNumberFormat="0" applyBorder="0" applyAlignment="0" applyProtection="0"/>
    <xf numFmtId="0" fontId="16" fillId="22"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0" borderId="0"/>
    <xf numFmtId="0" fontId="16" fillId="19" borderId="33" applyNumberFormat="0" applyFont="0" applyAlignment="0" applyProtection="0"/>
    <xf numFmtId="0" fontId="16" fillId="0" borderId="0"/>
    <xf numFmtId="43" fontId="16" fillId="0" borderId="0" applyFont="0" applyFill="0" applyBorder="0" applyAlignment="0" applyProtection="0"/>
    <xf numFmtId="0" fontId="16" fillId="19" borderId="33" applyNumberFormat="0" applyFont="0" applyAlignment="0" applyProtection="0"/>
    <xf numFmtId="0" fontId="16" fillId="21" borderId="0" applyNumberFormat="0" applyBorder="0" applyAlignment="0" applyProtection="0"/>
    <xf numFmtId="0" fontId="16" fillId="22"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0" borderId="0"/>
    <xf numFmtId="0" fontId="16" fillId="19" borderId="33" applyNumberFormat="0" applyFont="0" applyAlignment="0" applyProtection="0"/>
    <xf numFmtId="0" fontId="16" fillId="21" borderId="0" applyNumberFormat="0" applyBorder="0" applyAlignment="0" applyProtection="0"/>
    <xf numFmtId="0" fontId="16" fillId="22"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0" borderId="0"/>
    <xf numFmtId="0" fontId="16" fillId="19" borderId="33" applyNumberFormat="0" applyFont="0" applyAlignment="0" applyProtection="0"/>
    <xf numFmtId="0" fontId="16" fillId="21" borderId="0" applyNumberFormat="0" applyBorder="0" applyAlignment="0" applyProtection="0"/>
    <xf numFmtId="0" fontId="16" fillId="22"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0" borderId="0"/>
    <xf numFmtId="0" fontId="16" fillId="19" borderId="33" applyNumberFormat="0" applyFont="0" applyAlignment="0" applyProtection="0"/>
    <xf numFmtId="0" fontId="16" fillId="21" borderId="0" applyNumberFormat="0" applyBorder="0" applyAlignment="0" applyProtection="0"/>
    <xf numFmtId="0" fontId="16" fillId="22"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0" borderId="0"/>
    <xf numFmtId="0" fontId="16" fillId="19" borderId="33" applyNumberFormat="0" applyFont="0" applyAlignment="0" applyProtection="0"/>
    <xf numFmtId="0" fontId="16" fillId="0" borderId="0"/>
    <xf numFmtId="43" fontId="16" fillId="0" borderId="0" applyFont="0" applyFill="0" applyBorder="0" applyAlignment="0" applyProtection="0"/>
    <xf numFmtId="0" fontId="16" fillId="19" borderId="33" applyNumberFormat="0" applyFont="0" applyAlignment="0" applyProtection="0"/>
    <xf numFmtId="0" fontId="16" fillId="21" borderId="0" applyNumberFormat="0" applyBorder="0" applyAlignment="0" applyProtection="0"/>
    <xf numFmtId="0" fontId="16" fillId="22"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0" borderId="0"/>
    <xf numFmtId="0" fontId="16" fillId="19" borderId="33" applyNumberFormat="0" applyFont="0" applyAlignment="0" applyProtection="0"/>
    <xf numFmtId="0" fontId="16" fillId="21" borderId="0" applyNumberFormat="0" applyBorder="0" applyAlignment="0" applyProtection="0"/>
    <xf numFmtId="0" fontId="16" fillId="22"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0" borderId="0"/>
    <xf numFmtId="0" fontId="16" fillId="19" borderId="33" applyNumberFormat="0" applyFont="0" applyAlignment="0" applyProtection="0"/>
    <xf numFmtId="0" fontId="16" fillId="21" borderId="0" applyNumberFormat="0" applyBorder="0" applyAlignment="0" applyProtection="0"/>
    <xf numFmtId="0" fontId="16" fillId="22"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0" borderId="0"/>
    <xf numFmtId="0" fontId="16" fillId="19" borderId="33" applyNumberFormat="0" applyFont="0" applyAlignment="0" applyProtection="0"/>
    <xf numFmtId="0" fontId="16" fillId="21" borderId="0" applyNumberFormat="0" applyBorder="0" applyAlignment="0" applyProtection="0"/>
    <xf numFmtId="0" fontId="16" fillId="22"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0" borderId="0"/>
    <xf numFmtId="0" fontId="16" fillId="19" borderId="33" applyNumberFormat="0" applyFont="0" applyAlignment="0" applyProtection="0"/>
    <xf numFmtId="0" fontId="16" fillId="0" borderId="0"/>
    <xf numFmtId="43" fontId="16" fillId="0" borderId="0" applyFont="0" applyFill="0" applyBorder="0" applyAlignment="0" applyProtection="0"/>
    <xf numFmtId="0" fontId="16" fillId="19" borderId="33" applyNumberFormat="0" applyFont="0" applyAlignment="0" applyProtection="0"/>
    <xf numFmtId="0" fontId="16" fillId="21" borderId="0" applyNumberFormat="0" applyBorder="0" applyAlignment="0" applyProtection="0"/>
    <xf numFmtId="0" fontId="16" fillId="22"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0" borderId="0"/>
    <xf numFmtId="0" fontId="16" fillId="19" borderId="33" applyNumberFormat="0" applyFont="0" applyAlignment="0" applyProtection="0"/>
    <xf numFmtId="0" fontId="16" fillId="21" borderId="0" applyNumberFormat="0" applyBorder="0" applyAlignment="0" applyProtection="0"/>
    <xf numFmtId="0" fontId="16" fillId="22"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0" borderId="0"/>
    <xf numFmtId="0" fontId="16" fillId="19" borderId="33" applyNumberFormat="0" applyFont="0" applyAlignment="0" applyProtection="0"/>
    <xf numFmtId="0" fontId="16" fillId="21" borderId="0" applyNumberFormat="0" applyBorder="0" applyAlignment="0" applyProtection="0"/>
    <xf numFmtId="0" fontId="16" fillId="22"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0" borderId="0"/>
    <xf numFmtId="0" fontId="16" fillId="19" borderId="33" applyNumberFormat="0" applyFont="0" applyAlignment="0" applyProtection="0"/>
    <xf numFmtId="0" fontId="16" fillId="21" borderId="0" applyNumberFormat="0" applyBorder="0" applyAlignment="0" applyProtection="0"/>
    <xf numFmtId="0" fontId="16" fillId="22"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0" borderId="0"/>
    <xf numFmtId="0" fontId="16" fillId="19" borderId="33" applyNumberFormat="0" applyFont="0" applyAlignment="0" applyProtection="0"/>
    <xf numFmtId="0" fontId="16" fillId="0" borderId="0"/>
    <xf numFmtId="43" fontId="16" fillId="0" borderId="0" applyFont="0" applyFill="0" applyBorder="0" applyAlignment="0" applyProtection="0"/>
    <xf numFmtId="0" fontId="16" fillId="19" borderId="33" applyNumberFormat="0" applyFont="0" applyAlignment="0" applyProtection="0"/>
    <xf numFmtId="0" fontId="16" fillId="21" borderId="0" applyNumberFormat="0" applyBorder="0" applyAlignment="0" applyProtection="0"/>
    <xf numFmtId="0" fontId="16" fillId="22"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0" borderId="0"/>
    <xf numFmtId="0" fontId="16" fillId="19" borderId="33" applyNumberFormat="0" applyFont="0" applyAlignment="0" applyProtection="0"/>
    <xf numFmtId="0" fontId="16" fillId="21" borderId="0" applyNumberFormat="0" applyBorder="0" applyAlignment="0" applyProtection="0"/>
    <xf numFmtId="0" fontId="16" fillId="22"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0" borderId="0"/>
    <xf numFmtId="0" fontId="15" fillId="19" borderId="33" applyNumberFormat="0" applyFont="0" applyAlignment="0" applyProtection="0"/>
    <xf numFmtId="0" fontId="15" fillId="21" borderId="0" applyNumberFormat="0" applyBorder="0" applyAlignment="0" applyProtection="0"/>
    <xf numFmtId="0" fontId="15" fillId="22"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0" borderId="0"/>
    <xf numFmtId="0" fontId="15" fillId="19" borderId="33" applyNumberFormat="0" applyFont="0" applyAlignment="0" applyProtection="0"/>
    <xf numFmtId="0" fontId="15" fillId="21" borderId="0" applyNumberFormat="0" applyBorder="0" applyAlignment="0" applyProtection="0"/>
    <xf numFmtId="0" fontId="15" fillId="22"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0" borderId="0"/>
    <xf numFmtId="0" fontId="15" fillId="19" borderId="33" applyNumberFormat="0" applyFont="0" applyAlignment="0" applyProtection="0"/>
    <xf numFmtId="0" fontId="15" fillId="0" borderId="0"/>
    <xf numFmtId="43" fontId="15" fillId="0" borderId="0" applyFont="0" applyFill="0" applyBorder="0" applyAlignment="0" applyProtection="0"/>
    <xf numFmtId="0" fontId="15" fillId="19" borderId="33" applyNumberFormat="0" applyFont="0" applyAlignment="0" applyProtection="0"/>
    <xf numFmtId="0" fontId="15" fillId="21" borderId="0" applyNumberFormat="0" applyBorder="0" applyAlignment="0" applyProtection="0"/>
    <xf numFmtId="0" fontId="15" fillId="22"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0" borderId="0"/>
    <xf numFmtId="0" fontId="15" fillId="19" borderId="33" applyNumberFormat="0" applyFont="0" applyAlignment="0" applyProtection="0"/>
    <xf numFmtId="0" fontId="15" fillId="21" borderId="0" applyNumberFormat="0" applyBorder="0" applyAlignment="0" applyProtection="0"/>
    <xf numFmtId="0" fontId="15" fillId="22"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0" borderId="0"/>
    <xf numFmtId="0" fontId="15" fillId="19" borderId="33" applyNumberFormat="0" applyFont="0" applyAlignment="0" applyProtection="0"/>
    <xf numFmtId="0" fontId="15" fillId="21" borderId="0" applyNumberFormat="0" applyBorder="0" applyAlignment="0" applyProtection="0"/>
    <xf numFmtId="0" fontId="15" fillId="22"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0" borderId="0"/>
    <xf numFmtId="0" fontId="15" fillId="19" borderId="33" applyNumberFormat="0" applyFont="0" applyAlignment="0" applyProtection="0"/>
    <xf numFmtId="0" fontId="15" fillId="21" borderId="0" applyNumberFormat="0" applyBorder="0" applyAlignment="0" applyProtection="0"/>
    <xf numFmtId="0" fontId="15" fillId="22"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0" borderId="0"/>
    <xf numFmtId="0" fontId="15" fillId="19" borderId="33" applyNumberFormat="0" applyFont="0" applyAlignment="0" applyProtection="0"/>
    <xf numFmtId="0" fontId="15" fillId="0" borderId="0"/>
    <xf numFmtId="43" fontId="15" fillId="0" borderId="0" applyFont="0" applyFill="0" applyBorder="0" applyAlignment="0" applyProtection="0"/>
    <xf numFmtId="0" fontId="15" fillId="19" borderId="33" applyNumberFormat="0" applyFont="0" applyAlignment="0" applyProtection="0"/>
    <xf numFmtId="0" fontId="15" fillId="21" borderId="0" applyNumberFormat="0" applyBorder="0" applyAlignment="0" applyProtection="0"/>
    <xf numFmtId="0" fontId="15" fillId="22"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0" borderId="0"/>
    <xf numFmtId="0" fontId="15" fillId="19" borderId="33" applyNumberFormat="0" applyFont="0" applyAlignment="0" applyProtection="0"/>
    <xf numFmtId="0" fontId="15" fillId="21" borderId="0" applyNumberFormat="0" applyBorder="0" applyAlignment="0" applyProtection="0"/>
    <xf numFmtId="0" fontId="15" fillId="22"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0" borderId="0"/>
    <xf numFmtId="0" fontId="15" fillId="19" borderId="33" applyNumberFormat="0" applyFont="0" applyAlignment="0" applyProtection="0"/>
    <xf numFmtId="0" fontId="15" fillId="21" borderId="0" applyNumberFormat="0" applyBorder="0" applyAlignment="0" applyProtection="0"/>
    <xf numFmtId="0" fontId="15" fillId="22"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0" borderId="0"/>
    <xf numFmtId="0" fontId="15" fillId="19" borderId="33" applyNumberFormat="0" applyFont="0" applyAlignment="0" applyProtection="0"/>
    <xf numFmtId="0" fontId="15" fillId="21" borderId="0" applyNumberFormat="0" applyBorder="0" applyAlignment="0" applyProtection="0"/>
    <xf numFmtId="0" fontId="15" fillId="22"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0" borderId="0"/>
    <xf numFmtId="0" fontId="15" fillId="19" borderId="33" applyNumberFormat="0" applyFont="0" applyAlignment="0" applyProtection="0"/>
    <xf numFmtId="0" fontId="15" fillId="0" borderId="0"/>
    <xf numFmtId="43" fontId="15" fillId="0" borderId="0" applyFont="0" applyFill="0" applyBorder="0" applyAlignment="0" applyProtection="0"/>
    <xf numFmtId="0" fontId="15" fillId="19" borderId="33" applyNumberFormat="0" applyFont="0" applyAlignment="0" applyProtection="0"/>
    <xf numFmtId="0" fontId="15" fillId="21" borderId="0" applyNumberFormat="0" applyBorder="0" applyAlignment="0" applyProtection="0"/>
    <xf numFmtId="0" fontId="15" fillId="22"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0" borderId="0"/>
    <xf numFmtId="0" fontId="15" fillId="19" borderId="33" applyNumberFormat="0" applyFont="0" applyAlignment="0" applyProtection="0"/>
    <xf numFmtId="0" fontId="15" fillId="21" borderId="0" applyNumberFormat="0" applyBorder="0" applyAlignment="0" applyProtection="0"/>
    <xf numFmtId="0" fontId="15" fillId="22"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43" fontId="29" fillId="0" borderId="0" applyFont="0" applyFill="0" applyBorder="0" applyAlignment="0" applyProtection="0"/>
    <xf numFmtId="44" fontId="29" fillId="0" borderId="0" applyFont="0" applyFill="0" applyBorder="0" applyAlignment="0" applyProtection="0"/>
    <xf numFmtId="42" fontId="29" fillId="0" borderId="0" applyFont="0" applyFill="0" applyBorder="0" applyAlignment="0" applyProtection="0"/>
    <xf numFmtId="42"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88" fillId="0" borderId="0" applyNumberFormat="0" applyFill="0" applyBorder="0" applyAlignment="0" applyProtection="0">
      <alignment vertical="top"/>
      <protection locked="0"/>
    </xf>
    <xf numFmtId="0" fontId="89" fillId="0" borderId="0" applyNumberFormat="0" applyFill="0" applyBorder="0" applyAlignment="0" applyProtection="0"/>
    <xf numFmtId="0" fontId="22" fillId="0" borderId="0"/>
    <xf numFmtId="0" fontId="22" fillId="0" borderId="0"/>
    <xf numFmtId="0" fontId="22" fillId="0" borderId="0"/>
    <xf numFmtId="0" fontId="86" fillId="0" borderId="0"/>
    <xf numFmtId="0" fontId="86" fillId="0" borderId="0"/>
    <xf numFmtId="0" fontId="29" fillId="0" borderId="0"/>
    <xf numFmtId="0" fontId="86" fillId="0" borderId="0"/>
    <xf numFmtId="0" fontId="29" fillId="0" borderId="0"/>
    <xf numFmtId="0" fontId="90" fillId="0" borderId="0"/>
    <xf numFmtId="0" fontId="90" fillId="0" borderId="0"/>
    <xf numFmtId="0" fontId="22" fillId="0" borderId="0"/>
    <xf numFmtId="0" fontId="22" fillId="0" borderId="0"/>
    <xf numFmtId="0" fontId="2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91" fillId="0" borderId="0"/>
    <xf numFmtId="0" fontId="29" fillId="0" borderId="0"/>
    <xf numFmtId="0" fontId="22" fillId="0" borderId="0"/>
    <xf numFmtId="0" fontId="22" fillId="0" borderId="0"/>
    <xf numFmtId="0" fontId="22" fillId="0" borderId="0"/>
    <xf numFmtId="0" fontId="22" fillId="0" borderId="0"/>
    <xf numFmtId="0" fontId="22" fillId="0" borderId="0"/>
    <xf numFmtId="0" fontId="86" fillId="0" borderId="0"/>
    <xf numFmtId="0" fontId="86" fillId="0" borderId="0"/>
    <xf numFmtId="0" fontId="86" fillId="0" borderId="0"/>
    <xf numFmtId="0" fontId="29" fillId="0" borderId="0"/>
    <xf numFmtId="0" fontId="86" fillId="0" borderId="0"/>
    <xf numFmtId="0" fontId="29" fillId="0" borderId="0"/>
    <xf numFmtId="0" fontId="86" fillId="0" borderId="0"/>
    <xf numFmtId="0" fontId="90" fillId="0" borderId="0"/>
    <xf numFmtId="0" fontId="86" fillId="0" borderId="0"/>
    <xf numFmtId="0" fontId="86" fillId="0" borderId="0"/>
    <xf numFmtId="0" fontId="91" fillId="0" borderId="0"/>
    <xf numFmtId="0" fontId="90" fillId="0" borderId="0"/>
    <xf numFmtId="0" fontId="90" fillId="0" borderId="0"/>
    <xf numFmtId="0" fontId="86" fillId="0" borderId="0"/>
    <xf numFmtId="0" fontId="90" fillId="0" borderId="0"/>
    <xf numFmtId="0" fontId="86" fillId="0" borderId="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37" fontId="29" fillId="0" borderId="0"/>
    <xf numFmtId="0" fontId="46" fillId="2" borderId="0"/>
    <xf numFmtId="0" fontId="46" fillId="2" borderId="0"/>
    <xf numFmtId="0" fontId="46" fillId="2" borderId="0"/>
    <xf numFmtId="0" fontId="46" fillId="2" borderId="0"/>
    <xf numFmtId="0" fontId="46" fillId="2" borderId="0"/>
    <xf numFmtId="0" fontId="46" fillId="2" borderId="0"/>
    <xf numFmtId="0" fontId="29" fillId="0" borderId="0"/>
    <xf numFmtId="0" fontId="14" fillId="0" borderId="0"/>
    <xf numFmtId="0" fontId="14" fillId="19" borderId="33" applyNumberFormat="0" applyFont="0" applyAlignment="0" applyProtection="0"/>
    <xf numFmtId="39" fontId="22" fillId="0" borderId="0"/>
    <xf numFmtId="44" fontId="22" fillId="0" borderId="0" applyFont="0" applyFill="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22" fillId="0" borderId="0"/>
    <xf numFmtId="0" fontId="22" fillId="0" borderId="0"/>
    <xf numFmtId="0" fontId="14" fillId="0" borderId="0"/>
    <xf numFmtId="0" fontId="14" fillId="19" borderId="33" applyNumberFormat="0" applyFont="0" applyAlignment="0" applyProtection="0"/>
    <xf numFmtId="39" fontId="22" fillId="0" borderId="0"/>
    <xf numFmtId="44" fontId="22" fillId="0" borderId="0" applyFont="0" applyFill="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22" fillId="0" borderId="0"/>
    <xf numFmtId="0" fontId="22" fillId="0" borderId="0"/>
    <xf numFmtId="0" fontId="14" fillId="0" borderId="0"/>
    <xf numFmtId="0" fontId="14" fillId="19" borderId="33" applyNumberFormat="0" applyFont="0" applyAlignment="0" applyProtection="0"/>
    <xf numFmtId="0" fontId="14" fillId="0" borderId="0"/>
    <xf numFmtId="43" fontId="14" fillId="0" borderId="0" applyFont="0" applyFill="0" applyBorder="0" applyAlignment="0" applyProtection="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0" borderId="0"/>
    <xf numFmtId="43" fontId="14" fillId="0" borderId="0" applyFont="0" applyFill="0" applyBorder="0" applyAlignment="0" applyProtection="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0" borderId="0"/>
    <xf numFmtId="43" fontId="14" fillId="0" borderId="0" applyFont="0" applyFill="0" applyBorder="0" applyAlignment="0" applyProtection="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0" borderId="0"/>
    <xf numFmtId="43" fontId="14" fillId="0" borderId="0" applyFont="0" applyFill="0" applyBorder="0" applyAlignment="0" applyProtection="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0" borderId="0"/>
    <xf numFmtId="43" fontId="14" fillId="0" borderId="0" applyFont="0" applyFill="0" applyBorder="0" applyAlignment="0" applyProtection="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0" borderId="0"/>
    <xf numFmtId="43" fontId="14" fillId="0" borderId="0" applyFont="0" applyFill="0" applyBorder="0" applyAlignment="0" applyProtection="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0" borderId="0"/>
    <xf numFmtId="43" fontId="14" fillId="0" borderId="0" applyFont="0" applyFill="0" applyBorder="0" applyAlignment="0" applyProtection="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0" borderId="0"/>
    <xf numFmtId="43" fontId="14" fillId="0" borderId="0" applyFont="0" applyFill="0" applyBorder="0" applyAlignment="0" applyProtection="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0" borderId="0"/>
    <xf numFmtId="43" fontId="14" fillId="0" borderId="0" applyFont="0" applyFill="0" applyBorder="0" applyAlignment="0" applyProtection="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0" borderId="0"/>
    <xf numFmtId="43" fontId="14" fillId="0" borderId="0" applyFont="0" applyFill="0" applyBorder="0" applyAlignment="0" applyProtection="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0" borderId="0"/>
    <xf numFmtId="43" fontId="14" fillId="0" borderId="0" applyFont="0" applyFill="0" applyBorder="0" applyAlignment="0" applyProtection="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0" borderId="0"/>
    <xf numFmtId="43" fontId="14" fillId="0" borderId="0" applyFont="0" applyFill="0" applyBorder="0" applyAlignment="0" applyProtection="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0" borderId="0"/>
    <xf numFmtId="43" fontId="14" fillId="0" borderId="0" applyFont="0" applyFill="0" applyBorder="0" applyAlignment="0" applyProtection="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0" borderId="0"/>
    <xf numFmtId="43" fontId="14" fillId="0" borderId="0" applyFont="0" applyFill="0" applyBorder="0" applyAlignment="0" applyProtection="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0" borderId="0"/>
    <xf numFmtId="43" fontId="14" fillId="0" borderId="0" applyFont="0" applyFill="0" applyBorder="0" applyAlignment="0" applyProtection="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0" borderId="0"/>
    <xf numFmtId="43" fontId="14" fillId="0" borderId="0" applyFont="0" applyFill="0" applyBorder="0" applyAlignment="0" applyProtection="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0" borderId="0"/>
    <xf numFmtId="43" fontId="14" fillId="0" borderId="0" applyFont="0" applyFill="0" applyBorder="0" applyAlignment="0" applyProtection="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0" borderId="0"/>
    <xf numFmtId="43" fontId="14" fillId="0" borderId="0" applyFont="0" applyFill="0" applyBorder="0" applyAlignment="0" applyProtection="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0" borderId="0"/>
    <xf numFmtId="43" fontId="14" fillId="0" borderId="0" applyFont="0" applyFill="0" applyBorder="0" applyAlignment="0" applyProtection="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0" borderId="0"/>
    <xf numFmtId="43" fontId="14" fillId="0" borderId="0" applyFont="0" applyFill="0" applyBorder="0" applyAlignment="0" applyProtection="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0" borderId="0"/>
    <xf numFmtId="0" fontId="14" fillId="19" borderId="33"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86" fillId="0" borderId="0"/>
    <xf numFmtId="0" fontId="90" fillId="0" borderId="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37" fontId="29" fillId="0" borderId="0"/>
    <xf numFmtId="0" fontId="46" fillId="2" borderId="0"/>
    <xf numFmtId="0" fontId="46" fillId="2" borderId="0"/>
    <xf numFmtId="0" fontId="46" fillId="2" borderId="0"/>
    <xf numFmtId="0" fontId="29" fillId="0" borderId="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37" fontId="29" fillId="0" borderId="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0" borderId="0"/>
    <xf numFmtId="43" fontId="13" fillId="0" borderId="0" applyFont="0" applyFill="0" applyBorder="0" applyAlignment="0" applyProtection="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0" borderId="0"/>
    <xf numFmtId="0" fontId="13" fillId="19" borderId="33" applyNumberFormat="0" applyFont="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0" borderId="0"/>
    <xf numFmtId="43" fontId="12" fillId="0" borderId="0" applyFont="0" applyFill="0" applyBorder="0" applyAlignment="0" applyProtection="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0" borderId="0"/>
    <xf numFmtId="0" fontId="12" fillId="19" borderId="33" applyNumberFormat="0" applyFont="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37" fontId="29" fillId="0" borderId="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0" borderId="0"/>
    <xf numFmtId="43" fontId="11" fillId="0" borderId="0" applyFont="0" applyFill="0" applyBorder="0" applyAlignment="0" applyProtection="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0" borderId="0"/>
    <xf numFmtId="0" fontId="11" fillId="19" borderId="33" applyNumberFormat="0" applyFont="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37" fontId="29" fillId="0" borderId="0"/>
    <xf numFmtId="37" fontId="29" fillId="0" borderId="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0" borderId="0"/>
    <xf numFmtId="43" fontId="10" fillId="0" borderId="0" applyFont="0" applyFill="0" applyBorder="0" applyAlignment="0" applyProtection="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33"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37" fontId="29" fillId="0" borderId="0"/>
    <xf numFmtId="37" fontId="29" fillId="0" borderId="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0" borderId="0"/>
    <xf numFmtId="43" fontId="9" fillId="0" borderId="0" applyFont="0" applyFill="0" applyBorder="0" applyAlignment="0" applyProtection="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0" borderId="0"/>
    <xf numFmtId="0" fontId="9" fillId="19" borderId="33" applyNumberFormat="0" applyFont="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37" fontId="29" fillId="0" borderId="0"/>
    <xf numFmtId="37" fontId="29" fillId="0" borderId="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0" borderId="0"/>
    <xf numFmtId="0" fontId="8" fillId="19" borderId="33" applyNumberFormat="0" applyFont="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0" borderId="0"/>
    <xf numFmtId="0" fontId="8" fillId="19" borderId="33" applyNumberFormat="0" applyFont="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0" borderId="0"/>
    <xf numFmtId="0" fontId="8" fillId="19" borderId="33" applyNumberFormat="0" applyFont="0" applyAlignment="0" applyProtection="0"/>
    <xf numFmtId="0" fontId="8" fillId="0" borderId="0"/>
    <xf numFmtId="43" fontId="8" fillId="0" borderId="0" applyFont="0" applyFill="0" applyBorder="0" applyAlignment="0" applyProtection="0"/>
    <xf numFmtId="0" fontId="8" fillId="19" borderId="33" applyNumberFormat="0" applyFont="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0" borderId="0"/>
    <xf numFmtId="0" fontId="8" fillId="19" borderId="33" applyNumberFormat="0" applyFont="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0" borderId="0"/>
    <xf numFmtId="0" fontId="8" fillId="19" borderId="33" applyNumberFormat="0" applyFont="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0" borderId="0"/>
    <xf numFmtId="0" fontId="8" fillId="19" borderId="33" applyNumberFormat="0" applyFont="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0" borderId="0"/>
    <xf numFmtId="0" fontId="8" fillId="19" borderId="33" applyNumberFormat="0" applyFont="0" applyAlignment="0" applyProtection="0"/>
    <xf numFmtId="0" fontId="8" fillId="0" borderId="0"/>
    <xf numFmtId="43" fontId="8" fillId="0" borderId="0" applyFont="0" applyFill="0" applyBorder="0" applyAlignment="0" applyProtection="0"/>
    <xf numFmtId="0" fontId="8" fillId="19" borderId="33" applyNumberFormat="0" applyFont="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0" borderId="0"/>
    <xf numFmtId="0" fontId="8" fillId="19" borderId="33" applyNumberFormat="0" applyFont="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0" borderId="0"/>
    <xf numFmtId="0" fontId="8" fillId="19" borderId="33" applyNumberFormat="0" applyFont="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0" borderId="0"/>
    <xf numFmtId="0" fontId="8" fillId="19" borderId="33" applyNumberFormat="0" applyFont="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0" borderId="0"/>
    <xf numFmtId="0" fontId="8" fillId="19" borderId="33" applyNumberFormat="0" applyFont="0" applyAlignment="0" applyProtection="0"/>
    <xf numFmtId="0" fontId="8" fillId="0" borderId="0"/>
    <xf numFmtId="43" fontId="8" fillId="0" borderId="0" applyFont="0" applyFill="0" applyBorder="0" applyAlignment="0" applyProtection="0"/>
    <xf numFmtId="0" fontId="8" fillId="19" borderId="33" applyNumberFormat="0" applyFont="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0" borderId="0"/>
    <xf numFmtId="0" fontId="8" fillId="19" borderId="33" applyNumberFormat="0" applyFont="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43" fontId="86" fillId="0" borderId="0" applyFont="0" applyFill="0" applyBorder="0" applyAlignment="0" applyProtection="0"/>
    <xf numFmtId="37" fontId="113" fillId="0" borderId="0" applyNumberFormat="0" applyFill="0" applyBorder="0" applyAlignment="0" applyProtection="0"/>
    <xf numFmtId="44" fontId="173" fillId="0" borderId="0" applyFont="0" applyFill="0" applyBorder="0" applyAlignment="0" applyProtection="0"/>
    <xf numFmtId="9" fontId="180" fillId="0" borderId="0" applyFont="0" applyFill="0" applyBorder="0" applyAlignment="0" applyProtection="0"/>
    <xf numFmtId="44" fontId="29" fillId="0" borderId="0" applyFont="0" applyFill="0" applyBorder="0" applyAlignment="0" applyProtection="0"/>
    <xf numFmtId="37" fontId="29" fillId="0" borderId="0"/>
    <xf numFmtId="9" fontId="29" fillId="0" borderId="0" applyFont="0" applyFill="0" applyBorder="0" applyAlignment="0" applyProtection="0"/>
    <xf numFmtId="43" fontId="189"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4" fillId="21" borderId="0" applyNumberFormat="0" applyBorder="0" applyAlignment="0" applyProtection="0"/>
    <xf numFmtId="0" fontId="8"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 fillId="25" borderId="0" applyNumberFormat="0" applyBorder="0" applyAlignment="0" applyProtection="0"/>
    <xf numFmtId="0" fontId="8"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 fillId="29" borderId="0" applyNumberFormat="0" applyBorder="0" applyAlignment="0" applyProtection="0"/>
    <xf numFmtId="0" fontId="8"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 fillId="33" borderId="0" applyNumberFormat="0" applyBorder="0" applyAlignment="0" applyProtection="0"/>
    <xf numFmtId="0" fontId="8"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 fillId="37" borderId="0" applyNumberFormat="0" applyBorder="0" applyAlignment="0" applyProtection="0"/>
    <xf numFmtId="0" fontId="8"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4" fillId="41" borderId="0" applyNumberFormat="0" applyBorder="0" applyAlignment="0" applyProtection="0"/>
    <xf numFmtId="0" fontId="8"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4" fillId="22" borderId="0" applyNumberFormat="0" applyBorder="0" applyAlignment="0" applyProtection="0"/>
    <xf numFmtId="0" fontId="8"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 fillId="26" borderId="0" applyNumberFormat="0" applyBorder="0" applyAlignment="0" applyProtection="0"/>
    <xf numFmtId="0" fontId="8"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 fillId="30" borderId="0" applyNumberFormat="0" applyBorder="0" applyAlignment="0" applyProtection="0"/>
    <xf numFmtId="0" fontId="8"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 fillId="34" borderId="0" applyNumberFormat="0" applyBorder="0" applyAlignment="0" applyProtection="0"/>
    <xf numFmtId="0" fontId="8"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 fillId="38" borderId="0" applyNumberFormat="0" applyBorder="0" applyAlignment="0" applyProtection="0"/>
    <xf numFmtId="0" fontId="8"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4" fillId="42" borderId="0" applyNumberFormat="0" applyBorder="0" applyAlignment="0" applyProtection="0"/>
    <xf numFmtId="0" fontId="8"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220" fillId="57" borderId="0" applyNumberFormat="0" applyBorder="0" applyAlignment="0" applyProtection="0"/>
    <xf numFmtId="0" fontId="221" fillId="23" borderId="0" applyNumberFormat="0" applyBorder="0" applyAlignment="0" applyProtection="0"/>
    <xf numFmtId="0" fontId="220" fillId="58" borderId="0" applyNumberFormat="0" applyBorder="0" applyAlignment="0" applyProtection="0"/>
    <xf numFmtId="0" fontId="221" fillId="27" borderId="0" applyNumberFormat="0" applyBorder="0" applyAlignment="0" applyProtection="0"/>
    <xf numFmtId="0" fontId="220" fillId="59" borderId="0" applyNumberFormat="0" applyBorder="0" applyAlignment="0" applyProtection="0"/>
    <xf numFmtId="0" fontId="221" fillId="31" borderId="0" applyNumberFormat="0" applyBorder="0" applyAlignment="0" applyProtection="0"/>
    <xf numFmtId="0" fontId="220" fillId="60" borderId="0" applyNumberFormat="0" applyBorder="0" applyAlignment="0" applyProtection="0"/>
    <xf numFmtId="0" fontId="221" fillId="35" borderId="0" applyNumberFormat="0" applyBorder="0" applyAlignment="0" applyProtection="0"/>
    <xf numFmtId="0" fontId="220" fillId="61" borderId="0" applyNumberFormat="0" applyBorder="0" applyAlignment="0" applyProtection="0"/>
    <xf numFmtId="0" fontId="221" fillId="39" borderId="0" applyNumberFormat="0" applyBorder="0" applyAlignment="0" applyProtection="0"/>
    <xf numFmtId="0" fontId="220" fillId="62" borderId="0" applyNumberFormat="0" applyBorder="0" applyAlignment="0" applyProtection="0"/>
    <xf numFmtId="0" fontId="221" fillId="43" borderId="0" applyNumberFormat="0" applyBorder="0" applyAlignment="0" applyProtection="0"/>
    <xf numFmtId="0" fontId="220" fillId="63" borderId="0" applyNumberFormat="0" applyBorder="0" applyAlignment="0" applyProtection="0"/>
    <xf numFmtId="0" fontId="221" fillId="20" borderId="0" applyNumberFormat="0" applyBorder="0" applyAlignment="0" applyProtection="0"/>
    <xf numFmtId="0" fontId="220" fillId="64" borderId="0" applyNumberFormat="0" applyBorder="0" applyAlignment="0" applyProtection="0"/>
    <xf numFmtId="0" fontId="221" fillId="24" borderId="0" applyNumberFormat="0" applyBorder="0" applyAlignment="0" applyProtection="0"/>
    <xf numFmtId="0" fontId="220" fillId="65" borderId="0" applyNumberFormat="0" applyBorder="0" applyAlignment="0" applyProtection="0"/>
    <xf numFmtId="0" fontId="221" fillId="28" borderId="0" applyNumberFormat="0" applyBorder="0" applyAlignment="0" applyProtection="0"/>
    <xf numFmtId="0" fontId="220" fillId="60" borderId="0" applyNumberFormat="0" applyBorder="0" applyAlignment="0" applyProtection="0"/>
    <xf numFmtId="0" fontId="221" fillId="32" borderId="0" applyNumberFormat="0" applyBorder="0" applyAlignment="0" applyProtection="0"/>
    <xf numFmtId="0" fontId="220" fillId="61" borderId="0" applyNumberFormat="0" applyBorder="0" applyAlignment="0" applyProtection="0"/>
    <xf numFmtId="0" fontId="221" fillId="36" borderId="0" applyNumberFormat="0" applyBorder="0" applyAlignment="0" applyProtection="0"/>
    <xf numFmtId="0" fontId="220" fillId="66" borderId="0" applyNumberFormat="0" applyBorder="0" applyAlignment="0" applyProtection="0"/>
    <xf numFmtId="0" fontId="221" fillId="40" borderId="0" applyNumberFormat="0" applyBorder="0" applyAlignment="0" applyProtection="0"/>
    <xf numFmtId="0" fontId="222" fillId="67" borderId="0" applyNumberFormat="0" applyBorder="0" applyAlignment="0" applyProtection="0"/>
    <xf numFmtId="0" fontId="223" fillId="14" borderId="0" applyNumberFormat="0" applyBorder="0" applyAlignment="0" applyProtection="0"/>
    <xf numFmtId="0" fontId="224" fillId="68" borderId="63" applyNumberFormat="0" applyAlignment="0" applyProtection="0"/>
    <xf numFmtId="0" fontId="225" fillId="17" borderId="29" applyNumberFormat="0" applyAlignment="0" applyProtection="0"/>
    <xf numFmtId="0" fontId="226" fillId="69" borderId="64" applyNumberFormat="0" applyAlignment="0" applyProtection="0"/>
    <xf numFmtId="0" fontId="227" fillId="18" borderId="32"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9" fillId="0" borderId="0" applyFon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30" fillId="70" borderId="0" applyNumberFormat="0" applyBorder="0" applyAlignment="0" applyProtection="0"/>
    <xf numFmtId="0" fontId="231" fillId="13" borderId="0" applyNumberFormat="0" applyBorder="0" applyAlignment="0" applyProtection="0"/>
    <xf numFmtId="0" fontId="232" fillId="0" borderId="65" applyNumberFormat="0" applyFill="0" applyAlignment="0" applyProtection="0"/>
    <xf numFmtId="0" fontId="233" fillId="0" borderId="26" applyNumberFormat="0" applyFill="0" applyAlignment="0" applyProtection="0"/>
    <xf numFmtId="0" fontId="234" fillId="0" borderId="66" applyNumberFormat="0" applyFill="0" applyAlignment="0" applyProtection="0"/>
    <xf numFmtId="0" fontId="235" fillId="0" borderId="27" applyNumberFormat="0" applyFill="0" applyAlignment="0" applyProtection="0"/>
    <xf numFmtId="0" fontId="236" fillId="0" borderId="67" applyNumberFormat="0" applyFill="0" applyAlignment="0" applyProtection="0"/>
    <xf numFmtId="0" fontId="237" fillId="0" borderId="28" applyNumberFormat="0" applyFill="0" applyAlignment="0" applyProtection="0"/>
    <xf numFmtId="0" fontId="236" fillId="0" borderId="0" applyNumberFormat="0" applyFill="0" applyBorder="0" applyAlignment="0" applyProtection="0"/>
    <xf numFmtId="0" fontId="237" fillId="0" borderId="0" applyNumberFormat="0" applyFill="0" applyBorder="0" applyAlignment="0" applyProtection="0"/>
    <xf numFmtId="0" fontId="238" fillId="71" borderId="63" applyNumberFormat="0" applyAlignment="0" applyProtection="0"/>
    <xf numFmtId="0" fontId="239" fillId="16" borderId="29" applyNumberFormat="0" applyAlignment="0" applyProtection="0"/>
    <xf numFmtId="0" fontId="240" fillId="0" borderId="68" applyNumberFormat="0" applyFill="0" applyAlignment="0" applyProtection="0"/>
    <xf numFmtId="0" fontId="241" fillId="0" borderId="31" applyNumberFormat="0" applyFill="0" applyAlignment="0" applyProtection="0"/>
    <xf numFmtId="0" fontId="242" fillId="72" borderId="0" applyNumberFormat="0" applyBorder="0" applyAlignment="0" applyProtection="0"/>
    <xf numFmtId="0" fontId="243" fillId="15" borderId="0" applyNumberFormat="0" applyBorder="0" applyAlignment="0" applyProtection="0"/>
    <xf numFmtId="39" fontId="22" fillId="0" borderId="0"/>
    <xf numFmtId="39" fontId="22" fillId="0" borderId="0"/>
    <xf numFmtId="39" fontId="22" fillId="0" borderId="0"/>
    <xf numFmtId="39" fontId="22" fillId="0" borderId="0"/>
    <xf numFmtId="0" fontId="8" fillId="0" borderId="0"/>
    <xf numFmtId="0" fontId="46" fillId="2" borderId="0"/>
    <xf numFmtId="0" fontId="22"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1" fillId="0" borderId="0"/>
    <xf numFmtId="0" fontId="8" fillId="0" borderId="0"/>
    <xf numFmtId="0" fontId="22"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8" fillId="0" borderId="0"/>
    <xf numFmtId="0" fontId="8" fillId="0" borderId="0"/>
    <xf numFmtId="0" fontId="8" fillId="0" borderId="0"/>
    <xf numFmtId="0" fontId="8" fillId="0" borderId="0"/>
    <xf numFmtId="0" fontId="8"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7" fontId="22" fillId="2" borderId="0"/>
    <xf numFmtId="37" fontId="22" fillId="2" borderId="0"/>
    <xf numFmtId="37" fontId="29" fillId="0" borderId="0"/>
    <xf numFmtId="37" fontId="29" fillId="0" borderId="0"/>
    <xf numFmtId="39" fontId="22" fillId="0" borderId="0"/>
    <xf numFmtId="37" fontId="29" fillId="0" borderId="0"/>
    <xf numFmtId="39" fontId="22" fillId="0" borderId="0"/>
    <xf numFmtId="37" fontId="29" fillId="0" borderId="0"/>
    <xf numFmtId="39" fontId="22" fillId="0" borderId="0"/>
    <xf numFmtId="37" fontId="29" fillId="0" borderId="0"/>
    <xf numFmtId="39" fontId="22" fillId="0" borderId="0"/>
    <xf numFmtId="37" fontId="29" fillId="0" borderId="0"/>
    <xf numFmtId="0" fontId="22" fillId="2" borderId="0"/>
    <xf numFmtId="39" fontId="22" fillId="0" borderId="0"/>
    <xf numFmtId="0" fontId="4" fillId="0" borderId="0"/>
    <xf numFmtId="39" fontId="22" fillId="0" borderId="0"/>
    <xf numFmtId="37" fontId="29" fillId="0" borderId="0"/>
    <xf numFmtId="39" fontId="22" fillId="0" borderId="0"/>
    <xf numFmtId="37" fontId="29" fillId="0" borderId="0"/>
    <xf numFmtId="39" fontId="22" fillId="0" borderId="0"/>
    <xf numFmtId="37" fontId="29" fillId="0" borderId="0"/>
    <xf numFmtId="0" fontId="46" fillId="0" borderId="0"/>
    <xf numFmtId="0" fontId="22" fillId="0" borderId="0"/>
    <xf numFmtId="0" fontId="2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8" fillId="0" borderId="0"/>
    <xf numFmtId="0" fontId="29" fillId="0" borderId="0"/>
    <xf numFmtId="0" fontId="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 fillId="0" borderId="0"/>
    <xf numFmtId="0" fontId="4" fillId="0" borderId="0"/>
    <xf numFmtId="0" fontId="22" fillId="2" borderId="0"/>
    <xf numFmtId="0" fontId="4" fillId="0" borderId="0"/>
    <xf numFmtId="0" fontId="4" fillId="0" borderId="0"/>
    <xf numFmtId="37" fontId="22" fillId="2"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9"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2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9" fillId="0" borderId="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8" fillId="19" borderId="33" applyNumberFormat="0" applyFont="0" applyAlignment="0" applyProtection="0"/>
    <xf numFmtId="0" fontId="4" fillId="19" borderId="33" applyNumberFormat="0" applyFont="0" applyAlignment="0" applyProtection="0"/>
    <xf numFmtId="0" fontId="4" fillId="19" borderId="33" applyNumberFormat="0" applyFont="0" applyAlignment="0" applyProtection="0"/>
    <xf numFmtId="0" fontId="4" fillId="19" borderId="33" applyNumberFormat="0" applyFont="0" applyAlignment="0" applyProtection="0"/>
    <xf numFmtId="0" fontId="4" fillId="19" borderId="33" applyNumberFormat="0" applyFont="0" applyAlignment="0" applyProtection="0"/>
    <xf numFmtId="0" fontId="244" fillId="68" borderId="69" applyNumberFormat="0" applyAlignment="0" applyProtection="0"/>
    <xf numFmtId="0" fontId="245" fillId="17" borderId="30" applyNumberFormat="0" applyAlignment="0" applyProtection="0"/>
    <xf numFmtId="0" fontId="246" fillId="0" borderId="0" applyNumberFormat="0" applyFill="0" applyBorder="0" applyAlignment="0" applyProtection="0"/>
    <xf numFmtId="0" fontId="247" fillId="0" borderId="70" applyNumberFormat="0" applyFill="0" applyAlignment="0" applyProtection="0"/>
    <xf numFmtId="0" fontId="191" fillId="0" borderId="34" applyNumberFormat="0" applyFill="0" applyAlignment="0" applyProtection="0"/>
    <xf numFmtId="0" fontId="248" fillId="0" borderId="0" applyNumberFormat="0" applyFill="0" applyBorder="0" applyAlignment="0" applyProtection="0"/>
    <xf numFmtId="0" fontId="193" fillId="0" borderId="0" applyNumberFormat="0" applyFill="0" applyBorder="0" applyAlignment="0" applyProtection="0"/>
  </cellStyleXfs>
  <cellXfs count="1353">
    <xf numFmtId="37" fontId="0" fillId="0" borderId="0" xfId="0"/>
    <xf numFmtId="37" fontId="24" fillId="0" borderId="0" xfId="0" applyFont="1"/>
    <xf numFmtId="37" fontId="25" fillId="0" borderId="0" xfId="0" applyFont="1"/>
    <xf numFmtId="37" fontId="25" fillId="0" borderId="0" xfId="0" applyFont="1" applyAlignment="1">
      <alignment horizontal="center"/>
    </xf>
    <xf numFmtId="164" fontId="24" fillId="0" borderId="0" xfId="0" applyNumberFormat="1" applyFont="1"/>
    <xf numFmtId="164" fontId="26" fillId="0" borderId="0" xfId="0" applyNumberFormat="1" applyFont="1" applyAlignment="1">
      <alignment horizontal="center"/>
    </xf>
    <xf numFmtId="164" fontId="25" fillId="0" borderId="0" xfId="0" applyNumberFormat="1" applyFont="1" applyAlignment="1">
      <alignment horizontal="center"/>
    </xf>
    <xf numFmtId="37" fontId="26" fillId="0" borderId="0" xfId="0" applyFont="1"/>
    <xf numFmtId="37" fontId="27" fillId="0" borderId="0" xfId="0" applyFont="1"/>
    <xf numFmtId="10" fontId="24" fillId="0" borderId="0" xfId="0" applyNumberFormat="1" applyFont="1"/>
    <xf numFmtId="165" fontId="24" fillId="0" borderId="0" xfId="0" applyNumberFormat="1" applyFont="1"/>
    <xf numFmtId="37" fontId="24" fillId="0" borderId="0" xfId="0" applyFont="1" applyAlignment="1">
      <alignment horizontal="center"/>
    </xf>
    <xf numFmtId="37" fontId="24" fillId="0" borderId="1" xfId="0" applyFont="1" applyBorder="1"/>
    <xf numFmtId="37" fontId="25" fillId="0" borderId="0" xfId="0" applyFont="1" applyAlignment="1">
      <alignment horizontal="centerContinuous"/>
    </xf>
    <xf numFmtId="37" fontId="25" fillId="0" borderId="0" xfId="0" applyFont="1" applyAlignment="1">
      <alignment horizontal="left"/>
    </xf>
    <xf numFmtId="37" fontId="24" fillId="0" borderId="0" xfId="0" applyFont="1" applyAlignment="1">
      <alignment horizontal="right"/>
    </xf>
    <xf numFmtId="37" fontId="25" fillId="0" borderId="2" xfId="0" applyFont="1" applyBorder="1" applyAlignment="1">
      <alignment horizontal="center"/>
    </xf>
    <xf numFmtId="37" fontId="24" fillId="0" borderId="0" xfId="0" applyFont="1" applyAlignment="1">
      <alignment horizontal="centerContinuous"/>
    </xf>
    <xf numFmtId="37" fontId="25" fillId="0" borderId="0" xfId="0" applyFont="1" applyAlignment="1">
      <alignment horizontal="right"/>
    </xf>
    <xf numFmtId="37" fontId="25" fillId="0" borderId="2" xfId="0" applyFont="1" applyBorder="1" applyAlignment="1">
      <alignment horizontal="centerContinuous"/>
    </xf>
    <xf numFmtId="37" fontId="0" fillId="0" borderId="0" xfId="0" applyAlignment="1">
      <alignment horizontal="centerContinuous"/>
    </xf>
    <xf numFmtId="37" fontId="29" fillId="0" borderId="0" xfId="0" applyFont="1"/>
    <xf numFmtId="37" fontId="30" fillId="0" borderId="0" xfId="0" applyFont="1"/>
    <xf numFmtId="37" fontId="0" fillId="0" borderId="0" xfId="0" applyAlignment="1">
      <alignment horizontal="center"/>
    </xf>
    <xf numFmtId="37" fontId="0" fillId="0" borderId="2" xfId="0" applyBorder="1" applyAlignment="1">
      <alignment horizontal="centerContinuous"/>
    </xf>
    <xf numFmtId="37" fontId="25" fillId="0" borderId="0" xfId="0" applyFont="1" applyAlignment="1">
      <alignment horizontal="centerContinuous" vertical="center"/>
    </xf>
    <xf numFmtId="37" fontId="30" fillId="0" borderId="0" xfId="0" applyFont="1" applyAlignment="1">
      <alignment horizontal="centerContinuous"/>
    </xf>
    <xf numFmtId="37" fontId="0" fillId="0" borderId="0" xfId="0" applyAlignment="1">
      <alignment horizontal="right"/>
    </xf>
    <xf numFmtId="37" fontId="30" fillId="0" borderId="0" xfId="0" applyFont="1" applyAlignment="1">
      <alignment horizontal="center"/>
    </xf>
    <xf numFmtId="37" fontId="30" fillId="0" borderId="2" xfId="0" applyFont="1" applyBorder="1" applyAlignment="1">
      <alignment horizontal="center"/>
    </xf>
    <xf numFmtId="37" fontId="26" fillId="0" borderId="0" xfId="0" applyFont="1" applyAlignment="1">
      <alignment horizontal="center"/>
    </xf>
    <xf numFmtId="37" fontId="24" fillId="0" borderId="6" xfId="0" applyFont="1" applyBorder="1"/>
    <xf numFmtId="37" fontId="24" fillId="3" borderId="0" xfId="0" applyFont="1" applyFill="1"/>
    <xf numFmtId="166" fontId="25" fillId="0" borderId="0" xfId="0" applyNumberFormat="1" applyFont="1" applyAlignment="1">
      <alignment horizontal="centerContinuous"/>
    </xf>
    <xf numFmtId="166" fontId="30" fillId="0" borderId="0" xfId="0" applyNumberFormat="1" applyFont="1" applyAlignment="1">
      <alignment horizontal="centerContinuous"/>
    </xf>
    <xf numFmtId="37" fontId="0" fillId="3" borderId="0" xfId="0" applyFill="1"/>
    <xf numFmtId="37" fontId="31" fillId="0" borderId="0" xfId="0" applyFont="1"/>
    <xf numFmtId="37" fontId="31" fillId="0" borderId="0" xfId="0" applyFont="1" applyAlignment="1">
      <alignment horizontal="center"/>
    </xf>
    <xf numFmtId="37" fontId="0" fillId="0" borderId="4" xfId="0" applyBorder="1"/>
    <xf numFmtId="0" fontId="30" fillId="0" borderId="0" xfId="0" applyNumberFormat="1" applyFont="1" applyAlignment="1">
      <alignment horizontal="center"/>
    </xf>
    <xf numFmtId="37" fontId="0" fillId="0" borderId="5" xfId="0" applyBorder="1"/>
    <xf numFmtId="37" fontId="0" fillId="0" borderId="6" xfId="0" applyBorder="1"/>
    <xf numFmtId="37" fontId="24" fillId="4" borderId="0" xfId="0" applyFont="1" applyFill="1"/>
    <xf numFmtId="37" fontId="24" fillId="5" borderId="0" xfId="0" applyFont="1" applyFill="1"/>
    <xf numFmtId="41" fontId="24" fillId="0" borderId="0" xfId="0" applyNumberFormat="1" applyFont="1" applyAlignment="1">
      <alignment horizontal="right"/>
    </xf>
    <xf numFmtId="41" fontId="24" fillId="0" borderId="2" xfId="0" applyNumberFormat="1" applyFont="1" applyBorder="1" applyAlignment="1">
      <alignment horizontal="right"/>
    </xf>
    <xf numFmtId="41" fontId="24" fillId="0" borderId="0" xfId="0" applyNumberFormat="1" applyFont="1"/>
    <xf numFmtId="41" fontId="25" fillId="0" borderId="0" xfId="0" applyNumberFormat="1" applyFont="1"/>
    <xf numFmtId="41" fontId="25" fillId="0" borderId="2" xfId="0" applyNumberFormat="1" applyFont="1" applyBorder="1" applyAlignment="1">
      <alignment horizontal="right"/>
    </xf>
    <xf numFmtId="41" fontId="25" fillId="0" borderId="0" xfId="0" applyNumberFormat="1" applyFont="1" applyAlignment="1">
      <alignment horizontal="right"/>
    </xf>
    <xf numFmtId="41" fontId="24" fillId="0" borderId="1" xfId="0" applyNumberFormat="1" applyFont="1" applyBorder="1" applyAlignment="1">
      <alignment horizontal="right"/>
    </xf>
    <xf numFmtId="41" fontId="25" fillId="0" borderId="3" xfId="0" applyNumberFormat="1" applyFont="1" applyBorder="1" applyAlignment="1">
      <alignment horizontal="right"/>
    </xf>
    <xf numFmtId="41" fontId="25" fillId="0" borderId="0" xfId="0" applyNumberFormat="1" applyFont="1" applyAlignment="1">
      <alignment horizontal="center"/>
    </xf>
    <xf numFmtId="37" fontId="31" fillId="0" borderId="0" xfId="0" quotePrefix="1" applyFont="1" applyAlignment="1">
      <alignment horizontal="center"/>
    </xf>
    <xf numFmtId="0" fontId="0" fillId="0" borderId="0" xfId="0" applyNumberFormat="1" applyAlignment="1">
      <alignment horizontal="center"/>
    </xf>
    <xf numFmtId="37" fontId="30" fillId="0" borderId="0" xfId="0" applyFont="1" applyAlignment="1">
      <alignment horizontal="left"/>
    </xf>
    <xf numFmtId="37" fontId="31" fillId="0" borderId="0" xfId="0" applyFont="1" applyAlignment="1">
      <alignment horizontal="centerContinuous"/>
    </xf>
    <xf numFmtId="37" fontId="32" fillId="0" borderId="0" xfId="0" applyFont="1" applyAlignment="1">
      <alignment horizontal="center"/>
    </xf>
    <xf numFmtId="37" fontId="32" fillId="0" borderId="2" xfId="0" applyFont="1" applyBorder="1" applyAlignment="1">
      <alignment horizontal="center"/>
    </xf>
    <xf numFmtId="37" fontId="0" fillId="0" borderId="4" xfId="0" applyBorder="1" applyAlignment="1">
      <alignment horizontal="centerContinuous"/>
    </xf>
    <xf numFmtId="37" fontId="25" fillId="0" borderId="0" xfId="21" applyFont="1" applyAlignment="1">
      <alignment horizontal="center"/>
    </xf>
    <xf numFmtId="164" fontId="26" fillId="0" borderId="0" xfId="21" applyNumberFormat="1" applyFont="1" applyAlignment="1">
      <alignment horizontal="center"/>
    </xf>
    <xf numFmtId="37" fontId="30" fillId="0" borderId="0" xfId="21" applyFont="1" applyAlignment="1">
      <alignment horizontal="center"/>
    </xf>
    <xf numFmtId="37" fontId="29" fillId="0" borderId="0" xfId="0" quotePrefix="1" applyFont="1"/>
    <xf numFmtId="164" fontId="31" fillId="0" borderId="0" xfId="0" applyNumberFormat="1" applyFont="1" applyAlignment="1">
      <alignment horizontal="center"/>
    </xf>
    <xf numFmtId="164" fontId="31" fillId="0" borderId="0" xfId="21" applyNumberFormat="1" applyFont="1" applyAlignment="1">
      <alignment horizontal="center"/>
    </xf>
    <xf numFmtId="164" fontId="31" fillId="0" borderId="0" xfId="0" applyNumberFormat="1" applyFont="1" applyAlignment="1">
      <alignment horizontal="centerContinuous"/>
    </xf>
    <xf numFmtId="164" fontId="26" fillId="0" borderId="0" xfId="0" applyNumberFormat="1" applyFont="1" applyAlignment="1">
      <alignment horizontal="centerContinuous"/>
    </xf>
    <xf numFmtId="37" fontId="0" fillId="0" borderId="12" xfId="0" applyBorder="1"/>
    <xf numFmtId="37" fontId="0" fillId="0" borderId="13" xfId="0" applyBorder="1"/>
    <xf numFmtId="37" fontId="29" fillId="0" borderId="0" xfId="0" applyFont="1" applyAlignment="1">
      <alignment horizontal="center"/>
    </xf>
    <xf numFmtId="37" fontId="34" fillId="0" borderId="0" xfId="0" applyFont="1" applyAlignment="1">
      <alignment horizontal="center"/>
    </xf>
    <xf numFmtId="37" fontId="35" fillId="0" borderId="0" xfId="0" applyFont="1"/>
    <xf numFmtId="37" fontId="0" fillId="4" borderId="0" xfId="0" applyFill="1"/>
    <xf numFmtId="37" fontId="30" fillId="0" borderId="4" xfId="0" applyFont="1" applyBorder="1" applyAlignment="1">
      <alignment horizontal="centerContinuous"/>
    </xf>
    <xf numFmtId="37" fontId="0" fillId="0" borderId="16" xfId="0" applyBorder="1"/>
    <xf numFmtId="37" fontId="36" fillId="0" borderId="0" xfId="0" applyFont="1"/>
    <xf numFmtId="37" fontId="37" fillId="3" borderId="0" xfId="0" applyFont="1" applyFill="1"/>
    <xf numFmtId="37" fontId="34" fillId="3" borderId="0" xfId="0" applyFont="1" applyFill="1"/>
    <xf numFmtId="37" fontId="0" fillId="0" borderId="17" xfId="0" applyBorder="1"/>
    <xf numFmtId="37" fontId="0" fillId="0" borderId="18" xfId="0" applyBorder="1"/>
    <xf numFmtId="37" fontId="40" fillId="3" borderId="0" xfId="0" applyFont="1" applyFill="1"/>
    <xf numFmtId="37" fontId="39" fillId="3" borderId="0" xfId="0" applyFont="1" applyFill="1"/>
    <xf numFmtId="37" fontId="37" fillId="7" borderId="0" xfId="0" applyFont="1" applyFill="1"/>
    <xf numFmtId="37" fontId="40" fillId="0" borderId="0" xfId="0" applyFont="1"/>
    <xf numFmtId="37" fontId="41" fillId="0" borderId="0" xfId="0" applyFont="1"/>
    <xf numFmtId="37" fontId="34" fillId="0" borderId="0" xfId="0" applyFont="1"/>
    <xf numFmtId="37" fontId="37" fillId="0" borderId="0" xfId="0" applyFont="1"/>
    <xf numFmtId="37" fontId="42" fillId="3" borderId="0" xfId="0" applyFont="1" applyFill="1"/>
    <xf numFmtId="37" fontId="22" fillId="0" borderId="0" xfId="0" applyFont="1"/>
    <xf numFmtId="37" fontId="36" fillId="3" borderId="0" xfId="0" applyFont="1" applyFill="1" applyAlignment="1">
      <alignment horizontal="center"/>
    </xf>
    <xf numFmtId="37" fontId="30" fillId="0" borderId="24" xfId="0" applyFont="1" applyBorder="1"/>
    <xf numFmtId="37" fontId="38" fillId="0" borderId="0" xfId="0" applyFont="1"/>
    <xf numFmtId="166" fontId="25" fillId="0" borderId="0" xfId="0" applyNumberFormat="1" applyFont="1" applyAlignment="1">
      <alignment horizontal="center"/>
    </xf>
    <xf numFmtId="37" fontId="43" fillId="0" borderId="0" xfId="0" applyFont="1"/>
    <xf numFmtId="0" fontId="25" fillId="0" borderId="0" xfId="11" applyFont="1"/>
    <xf numFmtId="0" fontId="24" fillId="0" borderId="0" xfId="11" applyFont="1"/>
    <xf numFmtId="41" fontId="24" fillId="0" borderId="0" xfId="11" applyNumberFormat="1" applyFont="1"/>
    <xf numFmtId="41" fontId="25" fillId="0" borderId="5" xfId="11" applyNumberFormat="1" applyFont="1" applyBorder="1"/>
    <xf numFmtId="41" fontId="25" fillId="0" borderId="0" xfId="11" applyNumberFormat="1" applyFont="1"/>
    <xf numFmtId="41" fontId="25" fillId="0" borderId="6" xfId="11" applyNumberFormat="1" applyFont="1" applyBorder="1"/>
    <xf numFmtId="164" fontId="24" fillId="0" borderId="0" xfId="0" applyNumberFormat="1" applyFont="1" applyAlignment="1">
      <alignment horizontal="center"/>
    </xf>
    <xf numFmtId="37" fontId="27" fillId="0" borderId="0" xfId="0" applyFont="1" applyAlignment="1">
      <alignment horizontal="center"/>
    </xf>
    <xf numFmtId="165" fontId="24" fillId="0" borderId="0" xfId="0" applyNumberFormat="1" applyFont="1" applyAlignment="1">
      <alignment horizontal="center"/>
    </xf>
    <xf numFmtId="0" fontId="25" fillId="0" borderId="0" xfId="11" applyFont="1" applyAlignment="1">
      <alignment horizontal="center"/>
    </xf>
    <xf numFmtId="0" fontId="24" fillId="0" borderId="0" xfId="11" applyFont="1" applyAlignment="1">
      <alignment horizontal="center"/>
    </xf>
    <xf numFmtId="0" fontId="45" fillId="0" borderId="0" xfId="11" applyFont="1" applyAlignment="1">
      <alignment horizontal="center"/>
    </xf>
    <xf numFmtId="39" fontId="24" fillId="0" borderId="0" xfId="0" applyNumberFormat="1" applyFont="1"/>
    <xf numFmtId="0" fontId="47" fillId="5" borderId="0" xfId="16" applyFont="1" applyFill="1" applyProtection="1">
      <protection locked="0"/>
    </xf>
    <xf numFmtId="0" fontId="29" fillId="0" borderId="0" xfId="1" applyFont="1" applyFill="1" applyProtection="1">
      <protection locked="0"/>
    </xf>
    <xf numFmtId="0" fontId="29" fillId="0" borderId="0" xfId="20" applyFont="1" applyFill="1" applyProtection="1">
      <protection locked="0"/>
    </xf>
    <xf numFmtId="0" fontId="29" fillId="0" borderId="0" xfId="10" applyFont="1" applyFill="1" applyProtection="1">
      <protection locked="0"/>
    </xf>
    <xf numFmtId="37" fontId="0" fillId="0" borderId="0" xfId="0" applyAlignment="1">
      <alignment horizontal="left"/>
    </xf>
    <xf numFmtId="37" fontId="28" fillId="0" borderId="0" xfId="0" applyFont="1"/>
    <xf numFmtId="0" fontId="23" fillId="0" borderId="0" xfId="11" applyFont="1"/>
    <xf numFmtId="41" fontId="24" fillId="8" borderId="0" xfId="11" applyNumberFormat="1" applyFont="1" applyFill="1"/>
    <xf numFmtId="41" fontId="24" fillId="9" borderId="0" xfId="11" applyNumberFormat="1" applyFont="1" applyFill="1"/>
    <xf numFmtId="37" fontId="23" fillId="0" borderId="0" xfId="0" applyFont="1"/>
    <xf numFmtId="37" fontId="29" fillId="9" borderId="0" xfId="0" applyFont="1" applyFill="1"/>
    <xf numFmtId="37" fontId="26" fillId="0" borderId="0" xfId="0" applyFont="1" applyAlignment="1">
      <alignment horizontal="left"/>
    </xf>
    <xf numFmtId="37" fontId="48" fillId="0" borderId="0" xfId="0" applyFont="1"/>
    <xf numFmtId="37" fontId="29" fillId="0" borderId="4" xfId="0" applyFont="1" applyBorder="1"/>
    <xf numFmtId="37" fontId="50" fillId="0" borderId="0" xfId="0" applyFont="1" applyAlignment="1">
      <alignment horizontal="center"/>
    </xf>
    <xf numFmtId="37" fontId="51" fillId="0" borderId="0" xfId="0" applyFont="1" applyAlignment="1">
      <alignment horizontal="center"/>
    </xf>
    <xf numFmtId="37" fontId="48" fillId="0" borderId="0" xfId="0" applyFont="1" applyAlignment="1">
      <alignment horizontal="center"/>
    </xf>
    <xf numFmtId="37" fontId="51" fillId="0" borderId="0" xfId="0" applyFont="1"/>
    <xf numFmtId="37" fontId="0" fillId="0" borderId="7" xfId="0" applyBorder="1"/>
    <xf numFmtId="37" fontId="43" fillId="0" borderId="0" xfId="24" applyFont="1" applyAlignment="1">
      <alignment horizontal="left"/>
    </xf>
    <xf numFmtId="37" fontId="0" fillId="10" borderId="0" xfId="0" applyFill="1"/>
    <xf numFmtId="164" fontId="52" fillId="10" borderId="0" xfId="0" applyNumberFormat="1" applyFont="1" applyFill="1" applyAlignment="1">
      <alignment horizontal="center"/>
    </xf>
    <xf numFmtId="37" fontId="30" fillId="0" borderId="0" xfId="0" applyFont="1" applyAlignment="1">
      <alignment horizontal="centerContinuous" vertical="center"/>
    </xf>
    <xf numFmtId="37" fontId="31" fillId="0" borderId="2" xfId="0" applyFont="1" applyBorder="1" applyAlignment="1">
      <alignment horizontal="center"/>
    </xf>
    <xf numFmtId="0" fontId="22" fillId="0" borderId="0" xfId="11" applyFont="1"/>
    <xf numFmtId="37" fontId="29" fillId="10" borderId="0" xfId="0" applyFont="1" applyFill="1"/>
    <xf numFmtId="37" fontId="24" fillId="8" borderId="0" xfId="0" applyFont="1" applyFill="1"/>
    <xf numFmtId="37" fontId="0" fillId="11" borderId="0" xfId="0" applyFill="1"/>
    <xf numFmtId="164" fontId="55" fillId="0" borderId="0" xfId="0" applyNumberFormat="1" applyFont="1" applyAlignment="1">
      <alignment horizontal="center"/>
    </xf>
    <xf numFmtId="39" fontId="24" fillId="0" borderId="1" xfId="0" applyNumberFormat="1" applyFont="1" applyBorder="1"/>
    <xf numFmtId="37" fontId="48" fillId="3" borderId="0" xfId="0" applyFont="1" applyFill="1"/>
    <xf numFmtId="37" fontId="57" fillId="0" borderId="0" xfId="0" applyFont="1"/>
    <xf numFmtId="41" fontId="22" fillId="8" borderId="0" xfId="11" applyNumberFormat="1" applyFont="1" applyFill="1"/>
    <xf numFmtId="37" fontId="24" fillId="12" borderId="0" xfId="0" applyFont="1" applyFill="1"/>
    <xf numFmtId="37" fontId="22" fillId="0" borderId="0" xfId="0" applyFont="1" applyAlignment="1">
      <alignment horizontal="left"/>
    </xf>
    <xf numFmtId="37" fontId="53" fillId="0" borderId="0" xfId="0" applyFont="1"/>
    <xf numFmtId="37" fontId="59" fillId="0" borderId="0" xfId="0" applyFont="1"/>
    <xf numFmtId="37" fontId="61" fillId="0" borderId="0" xfId="0" applyFont="1" applyAlignment="1">
      <alignment horizontal="center"/>
    </xf>
    <xf numFmtId="37" fontId="0" fillId="8" borderId="0" xfId="0" applyFill="1"/>
    <xf numFmtId="37" fontId="50" fillId="0" borderId="0" xfId="0" applyFont="1"/>
    <xf numFmtId="37" fontId="22" fillId="3" borderId="0" xfId="0" applyFont="1" applyFill="1"/>
    <xf numFmtId="37" fontId="39" fillId="3" borderId="19" xfId="0" applyFont="1" applyFill="1" applyBorder="1"/>
    <xf numFmtId="37" fontId="39" fillId="3" borderId="7" xfId="0" applyFont="1" applyFill="1" applyBorder="1"/>
    <xf numFmtId="37" fontId="39" fillId="3" borderId="20" xfId="0" applyFont="1" applyFill="1" applyBorder="1"/>
    <xf numFmtId="37" fontId="39" fillId="3" borderId="21" xfId="0" applyFont="1" applyFill="1" applyBorder="1"/>
    <xf numFmtId="37" fontId="39" fillId="3" borderId="4" xfId="0" applyFont="1" applyFill="1" applyBorder="1"/>
    <xf numFmtId="37" fontId="24" fillId="0" borderId="4" xfId="0" applyFont="1" applyBorder="1"/>
    <xf numFmtId="37" fontId="24" fillId="0" borderId="22" xfId="0" applyFont="1" applyBorder="1"/>
    <xf numFmtId="37" fontId="53" fillId="0" borderId="0" xfId="0" applyFont="1" applyAlignment="1">
      <alignment horizontal="center"/>
    </xf>
    <xf numFmtId="37" fontId="22" fillId="0" borderId="0" xfId="0" applyFont="1" applyAlignment="1">
      <alignment horizontal="right"/>
    </xf>
    <xf numFmtId="37" fontId="0" fillId="12" borderId="0" xfId="0" applyFill="1"/>
    <xf numFmtId="37" fontId="77" fillId="0" borderId="0" xfId="0" applyFont="1"/>
    <xf numFmtId="41" fontId="24" fillId="8" borderId="0" xfId="0" applyNumberFormat="1" applyFont="1" applyFill="1"/>
    <xf numFmtId="37" fontId="58" fillId="0" borderId="0" xfId="0" applyFont="1"/>
    <xf numFmtId="37" fontId="22" fillId="8" borderId="0" xfId="0" applyFont="1" applyFill="1"/>
    <xf numFmtId="0" fontId="78" fillId="5" borderId="0" xfId="16" applyFont="1" applyFill="1" applyProtection="1">
      <protection locked="0"/>
    </xf>
    <xf numFmtId="37" fontId="22" fillId="0" borderId="0" xfId="0" applyFont="1" applyAlignment="1">
      <alignment horizontal="center"/>
    </xf>
    <xf numFmtId="37" fontId="29" fillId="0" borderId="7" xfId="0" applyFont="1" applyBorder="1"/>
    <xf numFmtId="41" fontId="48" fillId="0" borderId="0" xfId="11" applyNumberFormat="1" applyFont="1"/>
    <xf numFmtId="37" fontId="80" fillId="0" borderId="0" xfId="0" applyFont="1"/>
    <xf numFmtId="37" fontId="29" fillId="8" borderId="0" xfId="0" applyFont="1" applyFill="1"/>
    <xf numFmtId="37" fontId="49" fillId="0" borderId="0" xfId="0" applyFont="1" applyAlignment="1">
      <alignment horizontal="center"/>
    </xf>
    <xf numFmtId="37" fontId="81" fillId="0" borderId="0" xfId="24" applyFont="1" applyAlignment="1">
      <alignment horizontal="left"/>
    </xf>
    <xf numFmtId="37" fontId="60" fillId="8" borderId="13" xfId="0" applyFont="1" applyFill="1" applyBorder="1"/>
    <xf numFmtId="37" fontId="82" fillId="8" borderId="14" xfId="0" applyFont="1" applyFill="1" applyBorder="1"/>
    <xf numFmtId="39" fontId="0" fillId="0" borderId="0" xfId="0" applyNumberFormat="1"/>
    <xf numFmtId="37" fontId="37" fillId="0" borderId="4" xfId="0" applyFont="1" applyBorder="1"/>
    <xf numFmtId="37" fontId="60" fillId="7" borderId="0" xfId="0" applyFont="1" applyFill="1"/>
    <xf numFmtId="37" fontId="37" fillId="3" borderId="37" xfId="0" applyFont="1" applyFill="1" applyBorder="1"/>
    <xf numFmtId="37" fontId="0" fillId="8" borderId="20" xfId="0" applyFill="1" applyBorder="1"/>
    <xf numFmtId="37" fontId="37" fillId="3" borderId="38" xfId="0" applyFont="1" applyFill="1" applyBorder="1"/>
    <xf numFmtId="37" fontId="0" fillId="8" borderId="22" xfId="0" applyFill="1" applyBorder="1"/>
    <xf numFmtId="37" fontId="49" fillId="0" borderId="0" xfId="0" applyFont="1"/>
    <xf numFmtId="37" fontId="81" fillId="8" borderId="0" xfId="24" applyFont="1" applyFill="1"/>
    <xf numFmtId="37" fontId="81" fillId="0" borderId="0" xfId="0" applyFont="1"/>
    <xf numFmtId="37" fontId="29" fillId="0" borderId="0" xfId="0" quotePrefix="1" applyFont="1" applyAlignment="1">
      <alignment horizontal="right"/>
    </xf>
    <xf numFmtId="41" fontId="83" fillId="8" borderId="0" xfId="11" applyNumberFormat="1" applyFont="1" applyFill="1"/>
    <xf numFmtId="0" fontId="29" fillId="44" borderId="0" xfId="1" applyFont="1" applyFill="1" applyAlignment="1" applyProtection="1">
      <alignment horizontal="left" indent="2"/>
      <protection locked="0"/>
    </xf>
    <xf numFmtId="37" fontId="85" fillId="0" borderId="0" xfId="0" applyFont="1"/>
    <xf numFmtId="41" fontId="22" fillId="0" borderId="0" xfId="11" applyNumberFormat="1" applyFont="1"/>
    <xf numFmtId="0" fontId="29" fillId="0" borderId="0" xfId="1" applyFont="1" applyFill="1" applyAlignment="1" applyProtection="1">
      <alignment horizontal="left" indent="2"/>
      <protection locked="0"/>
    </xf>
    <xf numFmtId="37" fontId="61" fillId="0" borderId="2" xfId="0" applyFont="1" applyBorder="1" applyAlignment="1">
      <alignment horizontal="center"/>
    </xf>
    <xf numFmtId="37" fontId="0" fillId="0" borderId="43" xfId="0" applyBorder="1"/>
    <xf numFmtId="37" fontId="84" fillId="0" borderId="0" xfId="0" applyFont="1" applyAlignment="1">
      <alignment horizontal="centerContinuous"/>
    </xf>
    <xf numFmtId="37" fontId="84" fillId="0" borderId="0" xfId="0" applyFont="1" applyAlignment="1">
      <alignment horizontal="center"/>
    </xf>
    <xf numFmtId="37" fontId="0" fillId="0" borderId="35" xfId="0" applyBorder="1"/>
    <xf numFmtId="37" fontId="29" fillId="0" borderId="36" xfId="0" applyFont="1" applyBorder="1"/>
    <xf numFmtId="37" fontId="0" fillId="0" borderId="36" xfId="0" applyBorder="1"/>
    <xf numFmtId="37" fontId="0" fillId="0" borderId="21" xfId="0" applyBorder="1"/>
    <xf numFmtId="37" fontId="53" fillId="0" borderId="4" xfId="0" applyFont="1" applyBorder="1"/>
    <xf numFmtId="37" fontId="0" fillId="0" borderId="44" xfId="0" applyBorder="1"/>
    <xf numFmtId="37" fontId="0" fillId="0" borderId="45" xfId="0" applyBorder="1"/>
    <xf numFmtId="37" fontId="29" fillId="0" borderId="46" xfId="0" applyFont="1" applyBorder="1"/>
    <xf numFmtId="37" fontId="53" fillId="0" borderId="5" xfId="0" applyFont="1" applyBorder="1"/>
    <xf numFmtId="49" fontId="87" fillId="45" borderId="23" xfId="0" applyNumberFormat="1" applyFont="1" applyFill="1" applyBorder="1"/>
    <xf numFmtId="49" fontId="87" fillId="45" borderId="0" xfId="0" applyNumberFormat="1" applyFont="1" applyFill="1"/>
    <xf numFmtId="171" fontId="31" fillId="0" borderId="0" xfId="0" applyNumberFormat="1" applyFont="1" applyAlignment="1">
      <alignment horizontal="left"/>
    </xf>
    <xf numFmtId="39" fontId="93" fillId="0" borderId="0" xfId="0" applyNumberFormat="1" applyFont="1"/>
    <xf numFmtId="37" fontId="51" fillId="0" borderId="0" xfId="24" applyFont="1" applyAlignment="1">
      <alignment horizontal="left"/>
    </xf>
    <xf numFmtId="37" fontId="85" fillId="0" borderId="0" xfId="24" applyFont="1" applyAlignment="1">
      <alignment horizontal="left"/>
    </xf>
    <xf numFmtId="37" fontId="94" fillId="3" borderId="0" xfId="0" applyFont="1" applyFill="1"/>
    <xf numFmtId="37" fontId="95" fillId="0" borderId="0" xfId="24" applyFont="1" applyAlignment="1">
      <alignment horizontal="left"/>
    </xf>
    <xf numFmtId="39" fontId="31" fillId="0" borderId="0" xfId="0" applyNumberFormat="1" applyFont="1" applyAlignment="1">
      <alignment horizontal="center"/>
    </xf>
    <xf numFmtId="37" fontId="53" fillId="8" borderId="0" xfId="0" applyFont="1" applyFill="1"/>
    <xf numFmtId="10" fontId="22" fillId="0" borderId="0" xfId="0" applyNumberFormat="1" applyFont="1"/>
    <xf numFmtId="37" fontId="92" fillId="0" borderId="0" xfId="0" applyFont="1"/>
    <xf numFmtId="43" fontId="99" fillId="0" borderId="0" xfId="35874" applyFont="1" applyFill="1" applyAlignment="1">
      <alignment vertical="center"/>
    </xf>
    <xf numFmtId="43" fontId="99" fillId="0" borderId="16" xfId="35874" applyFont="1" applyFill="1" applyBorder="1" applyAlignment="1">
      <alignment vertical="center"/>
    </xf>
    <xf numFmtId="37" fontId="48" fillId="8" borderId="0" xfId="0" applyFont="1" applyFill="1"/>
    <xf numFmtId="37" fontId="0" fillId="0" borderId="47" xfId="0" applyBorder="1"/>
    <xf numFmtId="37" fontId="96" fillId="0" borderId="0" xfId="0" applyFont="1"/>
    <xf numFmtId="37" fontId="98" fillId="0" borderId="0" xfId="0" applyFont="1"/>
    <xf numFmtId="49" fontId="87" fillId="0" borderId="42" xfId="0" applyNumberFormat="1" applyFont="1" applyBorder="1"/>
    <xf numFmtId="49" fontId="87" fillId="0" borderId="40" xfId="0" applyNumberFormat="1" applyFont="1" applyBorder="1" applyAlignment="1">
      <alignment horizontal="right"/>
    </xf>
    <xf numFmtId="49" fontId="101" fillId="0" borderId="40" xfId="0" applyNumberFormat="1" applyFont="1" applyBorder="1" applyAlignment="1">
      <alignment horizontal="right"/>
    </xf>
    <xf numFmtId="49" fontId="87" fillId="0" borderId="40" xfId="0" applyNumberFormat="1" applyFont="1" applyBorder="1"/>
    <xf numFmtId="49" fontId="87" fillId="0" borderId="21" xfId="0" applyNumberFormat="1" applyFont="1" applyBorder="1"/>
    <xf numFmtId="49" fontId="87" fillId="0" borderId="42" xfId="0" applyNumberFormat="1" applyFont="1" applyBorder="1" applyAlignment="1">
      <alignment horizontal="right"/>
    </xf>
    <xf numFmtId="49" fontId="101" fillId="0" borderId="42" xfId="0" applyNumberFormat="1" applyFont="1" applyBorder="1" applyAlignment="1">
      <alignment horizontal="right" wrapText="1"/>
    </xf>
    <xf numFmtId="49" fontId="101" fillId="0" borderId="42" xfId="0" applyNumberFormat="1" applyFont="1" applyBorder="1" applyAlignment="1">
      <alignment horizontal="right"/>
    </xf>
    <xf numFmtId="49" fontId="87" fillId="0" borderId="42" xfId="0" applyNumberFormat="1" applyFont="1" applyBorder="1" applyAlignment="1">
      <alignment horizontal="center"/>
    </xf>
    <xf numFmtId="49" fontId="87" fillId="0" borderId="35" xfId="0" applyNumberFormat="1" applyFont="1" applyBorder="1" applyAlignment="1">
      <alignment horizontal="right"/>
    </xf>
    <xf numFmtId="49" fontId="87" fillId="0" borderId="5" xfId="0" applyNumberFormat="1" applyFont="1" applyBorder="1" applyAlignment="1">
      <alignment horizontal="right"/>
    </xf>
    <xf numFmtId="49" fontId="87" fillId="0" borderId="5" xfId="0" applyNumberFormat="1" applyFont="1" applyBorder="1"/>
    <xf numFmtId="0" fontId="87" fillId="0" borderId="42" xfId="0" applyNumberFormat="1" applyFont="1" applyBorder="1" applyAlignment="1">
      <alignment horizontal="right"/>
    </xf>
    <xf numFmtId="49" fontId="87" fillId="0" borderId="5" xfId="0" applyNumberFormat="1" applyFont="1" applyBorder="1" applyAlignment="1">
      <alignment horizontal="center"/>
    </xf>
    <xf numFmtId="49" fontId="102" fillId="48" borderId="42" xfId="0" applyNumberFormat="1" applyFont="1" applyFill="1" applyBorder="1" applyAlignment="1">
      <alignment horizontal="center" wrapText="1"/>
    </xf>
    <xf numFmtId="0" fontId="102" fillId="48" borderId="42" xfId="0" applyNumberFormat="1" applyFont="1" applyFill="1" applyBorder="1" applyAlignment="1">
      <alignment horizontal="center" wrapText="1"/>
    </xf>
    <xf numFmtId="49" fontId="102" fillId="46" borderId="4" xfId="0" applyNumberFormat="1" applyFont="1" applyFill="1" applyBorder="1" applyAlignment="1" applyProtection="1">
      <alignment horizontal="center" wrapText="1"/>
      <protection locked="0"/>
    </xf>
    <xf numFmtId="0" fontId="107" fillId="0" borderId="42" xfId="0" applyNumberFormat="1" applyFont="1" applyBorder="1" applyAlignment="1">
      <alignment horizontal="center" wrapText="1"/>
    </xf>
    <xf numFmtId="49" fontId="102" fillId="46" borderId="5" xfId="0" applyNumberFormat="1" applyFont="1" applyFill="1" applyBorder="1" applyAlignment="1" applyProtection="1">
      <alignment horizontal="center" wrapText="1"/>
      <protection locked="0"/>
    </xf>
    <xf numFmtId="49" fontId="107" fillId="49" borderId="40" xfId="0" applyNumberFormat="1" applyFont="1" applyFill="1" applyBorder="1" applyAlignment="1">
      <alignment horizontal="center" wrapText="1"/>
    </xf>
    <xf numFmtId="49" fontId="101" fillId="0" borderId="0" xfId="0" applyNumberFormat="1" applyFont="1" applyAlignment="1">
      <alignment horizontal="center" wrapText="1"/>
    </xf>
    <xf numFmtId="49" fontId="108" fillId="48" borderId="39" xfId="0" applyNumberFormat="1" applyFont="1" applyFill="1" applyBorder="1" applyAlignment="1">
      <alignment horizontal="center" wrapText="1"/>
    </xf>
    <xf numFmtId="49" fontId="109" fillId="48" borderId="39" xfId="0" applyNumberFormat="1" applyFont="1" applyFill="1" applyBorder="1" applyAlignment="1">
      <alignment horizontal="center" wrapText="1"/>
    </xf>
    <xf numFmtId="49" fontId="108" fillId="48" borderId="47" xfId="0" applyNumberFormat="1" applyFont="1" applyFill="1" applyBorder="1" applyAlignment="1">
      <alignment horizontal="center" wrapText="1"/>
    </xf>
    <xf numFmtId="0" fontId="108" fillId="48" borderId="41" xfId="0" applyNumberFormat="1" applyFont="1" applyFill="1" applyBorder="1" applyAlignment="1">
      <alignment horizontal="center" wrapText="1"/>
    </xf>
    <xf numFmtId="49" fontId="110" fillId="48" borderId="40" xfId="0" applyNumberFormat="1" applyFont="1" applyFill="1" applyBorder="1" applyAlignment="1">
      <alignment horizontal="center"/>
    </xf>
    <xf numFmtId="49" fontId="110" fillId="48" borderId="21" xfId="0" applyNumberFormat="1" applyFont="1" applyFill="1" applyBorder="1" applyAlignment="1">
      <alignment horizontal="center"/>
    </xf>
    <xf numFmtId="0" fontId="110" fillId="48" borderId="40" xfId="0" applyNumberFormat="1" applyFont="1" applyFill="1" applyBorder="1" applyAlignment="1">
      <alignment horizontal="center"/>
    </xf>
    <xf numFmtId="37" fontId="39" fillId="0" borderId="0" xfId="0" applyFont="1"/>
    <xf numFmtId="37" fontId="112" fillId="0" borderId="0" xfId="24" applyFont="1" applyAlignment="1">
      <alignment horizontal="left"/>
    </xf>
    <xf numFmtId="37" fontId="39" fillId="3" borderId="0" xfId="0" applyFont="1" applyFill="1" applyAlignment="1">
      <alignment horizontal="right"/>
    </xf>
    <xf numFmtId="37" fontId="53" fillId="3" borderId="0" xfId="0" applyFont="1" applyFill="1" applyAlignment="1">
      <alignment horizontal="center"/>
    </xf>
    <xf numFmtId="37" fontId="83" fillId="0" borderId="0" xfId="0" applyFont="1"/>
    <xf numFmtId="37" fontId="82" fillId="0" borderId="0" xfId="0" applyFont="1"/>
    <xf numFmtId="39" fontId="38" fillId="0" borderId="0" xfId="0" applyNumberFormat="1" applyFont="1"/>
    <xf numFmtId="39" fontId="58" fillId="0" borderId="0" xfId="0" applyNumberFormat="1" applyFont="1"/>
    <xf numFmtId="39" fontId="61" fillId="0" borderId="0" xfId="0" applyNumberFormat="1" applyFont="1"/>
    <xf numFmtId="37" fontId="57" fillId="0" borderId="0" xfId="0" quotePrefix="1" applyFont="1" applyAlignment="1">
      <alignment horizontal="center"/>
    </xf>
    <xf numFmtId="37" fontId="114" fillId="3" borderId="0" xfId="0" applyFont="1" applyFill="1"/>
    <xf numFmtId="37" fontId="33" fillId="0" borderId="0" xfId="0" applyFont="1"/>
    <xf numFmtId="37" fontId="115" fillId="3" borderId="0" xfId="0" applyFont="1" applyFill="1"/>
    <xf numFmtId="37" fontId="116" fillId="3" borderId="0" xfId="0" applyFont="1" applyFill="1"/>
    <xf numFmtId="37" fontId="33" fillId="3" borderId="0" xfId="0" applyFont="1" applyFill="1"/>
    <xf numFmtId="37" fontId="117" fillId="3" borderId="0" xfId="0" applyFont="1" applyFill="1" applyAlignment="1">
      <alignment horizontal="center"/>
    </xf>
    <xf numFmtId="37" fontId="118" fillId="0" borderId="0" xfId="0" applyFont="1" applyAlignment="1">
      <alignment horizontal="left"/>
    </xf>
    <xf numFmtId="37" fontId="29" fillId="6" borderId="0" xfId="0" quotePrefix="1" applyFont="1" applyFill="1" applyAlignment="1">
      <alignment horizontal="center"/>
    </xf>
    <xf numFmtId="37" fontId="24" fillId="0" borderId="47" xfId="0" applyFont="1" applyBorder="1"/>
    <xf numFmtId="37" fontId="0" fillId="0" borderId="48" xfId="0" applyBorder="1"/>
    <xf numFmtId="37" fontId="0" fillId="0" borderId="48" xfId="0" applyBorder="1" applyAlignment="1">
      <alignment horizontal="center"/>
    </xf>
    <xf numFmtId="37" fontId="22" fillId="0" borderId="48" xfId="0" applyFont="1" applyBorder="1"/>
    <xf numFmtId="37" fontId="92" fillId="12" borderId="0" xfId="0" applyFont="1" applyFill="1"/>
    <xf numFmtId="37" fontId="82" fillId="8" borderId="0" xfId="0" applyFont="1" applyFill="1"/>
    <xf numFmtId="37" fontId="99" fillId="0" borderId="0" xfId="0" applyFont="1"/>
    <xf numFmtId="41" fontId="99" fillId="0" borderId="0" xfId="35874" applyNumberFormat="1" applyFont="1" applyFill="1" applyAlignment="1">
      <alignment vertical="center"/>
    </xf>
    <xf numFmtId="37" fontId="54" fillId="0" borderId="0" xfId="21" applyFont="1" applyAlignment="1">
      <alignment horizontal="center"/>
    </xf>
    <xf numFmtId="164" fontId="120" fillId="0" borderId="0" xfId="0" applyNumberFormat="1" applyFont="1" applyAlignment="1">
      <alignment horizontal="center"/>
    </xf>
    <xf numFmtId="37" fontId="121" fillId="0" borderId="0" xfId="0" applyFont="1"/>
    <xf numFmtId="37" fontId="121" fillId="0" borderId="0" xfId="0" applyFont="1" applyAlignment="1">
      <alignment horizontal="centerContinuous"/>
    </xf>
    <xf numFmtId="37" fontId="121" fillId="0" borderId="4" xfId="0" applyFont="1" applyBorder="1"/>
    <xf numFmtId="169" fontId="121" fillId="0" borderId="0" xfId="0" applyNumberFormat="1" applyFont="1"/>
    <xf numFmtId="168" fontId="121" fillId="0" borderId="0" xfId="0" applyNumberFormat="1" applyFont="1"/>
    <xf numFmtId="0" fontId="121" fillId="0" borderId="0" xfId="0" applyNumberFormat="1" applyFont="1"/>
    <xf numFmtId="0" fontId="121" fillId="0" borderId="0" xfId="0" applyNumberFormat="1" applyFont="1" applyAlignment="1">
      <alignment horizontal="left" indent="1"/>
    </xf>
    <xf numFmtId="0" fontId="123" fillId="0" borderId="0" xfId="0" applyNumberFormat="1" applyFont="1"/>
    <xf numFmtId="37" fontId="121" fillId="0" borderId="0" xfId="0" applyFont="1" applyAlignment="1">
      <alignment horizontal="center"/>
    </xf>
    <xf numFmtId="167" fontId="121" fillId="0" borderId="4" xfId="0" applyNumberFormat="1" applyFont="1" applyBorder="1" applyAlignment="1">
      <alignment horizontal="center"/>
    </xf>
    <xf numFmtId="167" fontId="124" fillId="8" borderId="4" xfId="0" applyNumberFormat="1" applyFont="1" applyFill="1" applyBorder="1" applyAlignment="1">
      <alignment horizontal="center"/>
    </xf>
    <xf numFmtId="37" fontId="122" fillId="0" borderId="0" xfId="0" applyFont="1" applyAlignment="1">
      <alignment horizontal="center"/>
    </xf>
    <xf numFmtId="37" fontId="125" fillId="0" borderId="0" xfId="0" applyFont="1"/>
    <xf numFmtId="37" fontId="125" fillId="0" borderId="0" xfId="0" applyFont="1" applyAlignment="1">
      <alignment horizontal="centerContinuous"/>
    </xf>
    <xf numFmtId="37" fontId="122" fillId="0" borderId="2" xfId="0" applyFont="1" applyBorder="1" applyAlignment="1">
      <alignment horizontal="center"/>
    </xf>
    <xf numFmtId="37" fontId="122" fillId="0" borderId="2" xfId="0" applyFont="1" applyBorder="1"/>
    <xf numFmtId="42" fontId="121" fillId="0" borderId="0" xfId="0" applyNumberFormat="1" applyFont="1" applyAlignment="1">
      <alignment horizontal="right"/>
    </xf>
    <xf numFmtId="42" fontId="121" fillId="0" borderId="0" xfId="0" applyNumberFormat="1" applyFont="1"/>
    <xf numFmtId="41" fontId="121" fillId="0" borderId="0" xfId="0" applyNumberFormat="1" applyFont="1" applyAlignment="1">
      <alignment horizontal="right"/>
    </xf>
    <xf numFmtId="41" fontId="125" fillId="0" borderId="0" xfId="0" quotePrefix="1" applyNumberFormat="1" applyFont="1"/>
    <xf numFmtId="41" fontId="121" fillId="0" borderId="0" xfId="0" applyNumberFormat="1" applyFont="1"/>
    <xf numFmtId="41" fontId="121" fillId="3" borderId="0" xfId="0" applyNumberFormat="1" applyFont="1" applyFill="1" applyAlignment="1">
      <alignment horizontal="right"/>
    </xf>
    <xf numFmtId="41" fontId="121" fillId="0" borderId="7" xfId="0" applyNumberFormat="1" applyFont="1" applyBorder="1" applyAlignment="1">
      <alignment horizontal="right"/>
    </xf>
    <xf numFmtId="41" fontId="122" fillId="0" borderId="3" xfId="0" applyNumberFormat="1" applyFont="1" applyBorder="1" applyAlignment="1">
      <alignment horizontal="right"/>
    </xf>
    <xf numFmtId="41" fontId="122" fillId="0" borderId="0" xfId="0" applyNumberFormat="1" applyFont="1" applyAlignment="1">
      <alignment horizontal="right"/>
    </xf>
    <xf numFmtId="41" fontId="122" fillId="0" borderId="2" xfId="0" applyNumberFormat="1" applyFont="1" applyBorder="1" applyAlignment="1">
      <alignment horizontal="right"/>
    </xf>
    <xf numFmtId="42" fontId="122" fillId="0" borderId="3" xfId="0" applyNumberFormat="1" applyFont="1" applyBorder="1" applyAlignment="1">
      <alignment horizontal="right"/>
    </xf>
    <xf numFmtId="37" fontId="121" fillId="0" borderId="0" xfId="0" applyFont="1" applyAlignment="1">
      <alignment horizontal="right"/>
    </xf>
    <xf numFmtId="37" fontId="125" fillId="8" borderId="0" xfId="0" applyFont="1" applyFill="1"/>
    <xf numFmtId="37" fontId="122" fillId="0" borderId="0" xfId="0" applyFont="1" applyAlignment="1">
      <alignment horizontal="centerContinuous"/>
    </xf>
    <xf numFmtId="166" fontId="125" fillId="0" borderId="0" xfId="0" applyNumberFormat="1" applyFont="1"/>
    <xf numFmtId="166" fontId="122" fillId="0" borderId="0" xfId="0" applyNumberFormat="1" applyFont="1" applyAlignment="1">
      <alignment horizontal="centerContinuous"/>
    </xf>
    <xf numFmtId="37" fontId="122" fillId="0" borderId="0" xfId="0" applyFont="1"/>
    <xf numFmtId="37" fontId="123" fillId="0" borderId="0" xfId="0" applyFont="1"/>
    <xf numFmtId="37" fontId="127" fillId="0" borderId="0" xfId="0" applyFont="1"/>
    <xf numFmtId="42" fontId="121" fillId="3" borderId="0" xfId="0" applyNumberFormat="1" applyFont="1" applyFill="1" applyAlignment="1">
      <alignment horizontal="right"/>
    </xf>
    <xf numFmtId="41" fontId="121" fillId="0" borderId="0" xfId="0" applyNumberFormat="1" applyFont="1" applyAlignment="1">
      <alignment horizontal="left"/>
    </xf>
    <xf numFmtId="41" fontId="128" fillId="0" borderId="0" xfId="0" applyNumberFormat="1" applyFont="1" applyAlignment="1">
      <alignment horizontal="right"/>
    </xf>
    <xf numFmtId="41" fontId="122" fillId="0" borderId="0" xfId="0" applyNumberFormat="1" applyFont="1"/>
    <xf numFmtId="41" fontId="130" fillId="0" borderId="0" xfId="0" applyNumberFormat="1" applyFont="1" applyAlignment="1">
      <alignment horizontal="left"/>
    </xf>
    <xf numFmtId="41" fontId="123" fillId="0" borderId="0" xfId="0" applyNumberFormat="1" applyFont="1"/>
    <xf numFmtId="41" fontId="121" fillId="0" borderId="2" xfId="0" applyNumberFormat="1" applyFont="1" applyBorder="1" applyAlignment="1">
      <alignment horizontal="right"/>
    </xf>
    <xf numFmtId="41" fontId="121" fillId="0" borderId="4" xfId="0" applyNumberFormat="1" applyFont="1" applyBorder="1" applyAlignment="1">
      <alignment horizontal="right"/>
    </xf>
    <xf numFmtId="37" fontId="122" fillId="0" borderId="0" xfId="0" applyFont="1" applyAlignment="1">
      <alignment horizontal="right"/>
    </xf>
    <xf numFmtId="37" fontId="122" fillId="0" borderId="0" xfId="0" applyFont="1" applyAlignment="1">
      <alignment horizontal="left"/>
    </xf>
    <xf numFmtId="37" fontId="121" fillId="0" borderId="0" xfId="0" applyFont="1" applyAlignment="1">
      <alignment horizontal="left"/>
    </xf>
    <xf numFmtId="42" fontId="121" fillId="0" borderId="0" xfId="0" applyNumberFormat="1" applyFont="1" applyAlignment="1">
      <alignment horizontal="centerContinuous"/>
    </xf>
    <xf numFmtId="37" fontId="124" fillId="0" borderId="0" xfId="0" applyFont="1" applyAlignment="1">
      <alignment horizontal="left"/>
    </xf>
    <xf numFmtId="41" fontId="121" fillId="0" borderId="47" xfId="0" applyNumberFormat="1" applyFont="1" applyBorder="1" applyAlignment="1">
      <alignment horizontal="right"/>
    </xf>
    <xf numFmtId="41" fontId="124" fillId="0" borderId="0" xfId="0" applyNumberFormat="1" applyFont="1" applyAlignment="1">
      <alignment horizontal="center"/>
    </xf>
    <xf numFmtId="42" fontId="122" fillId="0" borderId="0" xfId="0" applyNumberFormat="1" applyFont="1" applyAlignment="1">
      <alignment horizontal="right"/>
    </xf>
    <xf numFmtId="37" fontId="132" fillId="0" borderId="0" xfId="0" applyFont="1"/>
    <xf numFmtId="37" fontId="122" fillId="0" borderId="2" xfId="0" applyFont="1" applyBorder="1" applyAlignment="1">
      <alignment horizontal="centerContinuous"/>
    </xf>
    <xf numFmtId="37" fontId="133" fillId="8" borderId="0" xfId="0" applyFont="1" applyFill="1"/>
    <xf numFmtId="37" fontId="125" fillId="0" borderId="0" xfId="0" applyFont="1" applyAlignment="1">
      <alignment horizontal="center"/>
    </xf>
    <xf numFmtId="37" fontId="133" fillId="0" borderId="0" xfId="0" applyFont="1"/>
    <xf numFmtId="37" fontId="134" fillId="0" borderId="0" xfId="0" applyFont="1" applyAlignment="1">
      <alignment horizontal="center"/>
    </xf>
    <xf numFmtId="37" fontId="135" fillId="0" borderId="0" xfId="0" applyFont="1"/>
    <xf numFmtId="37" fontId="124" fillId="0" borderId="0" xfId="0" applyFont="1"/>
    <xf numFmtId="37" fontId="125" fillId="3" borderId="0" xfId="0" applyFont="1" applyFill="1"/>
    <xf numFmtId="37" fontId="133" fillId="3" borderId="0" xfId="0" applyFont="1" applyFill="1"/>
    <xf numFmtId="41" fontId="121" fillId="0" borderId="1" xfId="0" applyNumberFormat="1" applyFont="1" applyBorder="1" applyAlignment="1">
      <alignment horizontal="right"/>
    </xf>
    <xf numFmtId="37" fontId="136" fillId="0" borderId="0" xfId="0" applyFont="1" applyAlignment="1">
      <alignment horizontal="right"/>
    </xf>
    <xf numFmtId="41" fontId="136" fillId="0" borderId="0" xfId="0" applyNumberFormat="1" applyFont="1" applyAlignment="1">
      <alignment horizontal="right"/>
    </xf>
    <xf numFmtId="41" fontId="137" fillId="0" borderId="0" xfId="0" applyNumberFormat="1" applyFont="1" applyAlignment="1">
      <alignment horizontal="right"/>
    </xf>
    <xf numFmtId="41" fontId="121" fillId="8" borderId="0" xfId="0" applyNumberFormat="1" applyFont="1" applyFill="1" applyAlignment="1">
      <alignment horizontal="right"/>
    </xf>
    <xf numFmtId="41" fontId="136" fillId="0" borderId="0" xfId="0" applyNumberFormat="1" applyFont="1"/>
    <xf numFmtId="37" fontId="132" fillId="3" borderId="0" xfId="0" applyFont="1" applyFill="1"/>
    <xf numFmtId="41" fontId="137" fillId="0" borderId="2" xfId="0" applyNumberFormat="1" applyFont="1" applyBorder="1" applyAlignment="1">
      <alignment horizontal="right"/>
    </xf>
    <xf numFmtId="41" fontId="136" fillId="0" borderId="2" xfId="0" applyNumberFormat="1" applyFont="1" applyBorder="1" applyAlignment="1">
      <alignment horizontal="right"/>
    </xf>
    <xf numFmtId="41" fontId="124" fillId="0" borderId="0" xfId="0" applyNumberFormat="1" applyFont="1" applyAlignment="1">
      <alignment horizontal="right"/>
    </xf>
    <xf numFmtId="41" fontId="127" fillId="0" borderId="0" xfId="0" applyNumberFormat="1" applyFont="1" applyAlignment="1">
      <alignment horizontal="left"/>
    </xf>
    <xf numFmtId="41" fontId="127" fillId="0" borderId="0" xfId="0" applyNumberFormat="1" applyFont="1" applyAlignment="1">
      <alignment horizontal="right"/>
    </xf>
    <xf numFmtId="42" fontId="136" fillId="0" borderId="15" xfId="0" applyNumberFormat="1" applyFont="1" applyBorder="1" applyAlignment="1">
      <alignment horizontal="right"/>
    </xf>
    <xf numFmtId="37" fontId="138" fillId="0" borderId="0" xfId="0" applyFont="1"/>
    <xf numFmtId="41" fontId="125" fillId="0" borderId="0" xfId="0" applyNumberFormat="1" applyFont="1"/>
    <xf numFmtId="167" fontId="122" fillId="0" borderId="4" xfId="0" applyNumberFormat="1" applyFont="1" applyBorder="1" applyAlignment="1">
      <alignment horizontal="centerContinuous"/>
    </xf>
    <xf numFmtId="37" fontId="121" fillId="0" borderId="4" xfId="0" applyFont="1" applyBorder="1" applyAlignment="1">
      <alignment horizontal="centerContinuous"/>
    </xf>
    <xf numFmtId="37" fontId="125" fillId="0" borderId="4" xfId="0" applyFont="1" applyBorder="1" applyAlignment="1">
      <alignment horizontal="centerContinuous"/>
    </xf>
    <xf numFmtId="37" fontId="124" fillId="0" borderId="4" xfId="0" applyFont="1" applyBorder="1"/>
    <xf numFmtId="166" fontId="122" fillId="0" borderId="0" xfId="0" applyNumberFormat="1" applyFont="1" applyAlignment="1">
      <alignment horizontal="left"/>
    </xf>
    <xf numFmtId="37" fontId="122" fillId="0" borderId="4" xfId="0" applyFont="1" applyBorder="1" applyAlignment="1">
      <alignment horizontal="centerContinuous"/>
    </xf>
    <xf numFmtId="37" fontId="123" fillId="0" borderId="0" xfId="0" applyFont="1" applyAlignment="1">
      <alignment horizontal="left"/>
    </xf>
    <xf numFmtId="37" fontId="123" fillId="0" borderId="0" xfId="0" applyFont="1" applyAlignment="1">
      <alignment horizontal="center"/>
    </xf>
    <xf numFmtId="37" fontId="140" fillId="0" borderId="0" xfId="0" applyFont="1"/>
    <xf numFmtId="42" fontId="125" fillId="0" borderId="0" xfId="0" applyNumberFormat="1" applyFont="1"/>
    <xf numFmtId="9" fontId="140" fillId="0" borderId="0" xfId="0" applyNumberFormat="1" applyFont="1"/>
    <xf numFmtId="41" fontId="141" fillId="0" borderId="5" xfId="0" applyNumberFormat="1" applyFont="1" applyBorder="1"/>
    <xf numFmtId="37" fontId="142" fillId="0" borderId="0" xfId="0" applyFont="1"/>
    <xf numFmtId="41" fontId="141" fillId="0" borderId="0" xfId="0" applyNumberFormat="1" applyFont="1"/>
    <xf numFmtId="42" fontId="136" fillId="0" borderId="15" xfId="0" applyNumberFormat="1" applyFont="1" applyBorder="1"/>
    <xf numFmtId="37" fontId="143" fillId="0" borderId="0" xfId="0" applyFont="1"/>
    <xf numFmtId="41" fontId="141" fillId="0" borderId="4" xfId="0" applyNumberFormat="1" applyFont="1" applyBorder="1"/>
    <xf numFmtId="41" fontId="121" fillId="0" borderId="4" xfId="0" applyNumberFormat="1" applyFont="1" applyBorder="1"/>
    <xf numFmtId="10" fontId="121" fillId="0" borderId="0" xfId="0" applyNumberFormat="1" applyFont="1"/>
    <xf numFmtId="9" fontId="125" fillId="0" borderId="0" xfId="0" applyNumberFormat="1" applyFont="1"/>
    <xf numFmtId="37" fontId="126" fillId="0" borderId="0" xfId="0" applyFont="1" applyAlignment="1">
      <alignment horizontal="center"/>
    </xf>
    <xf numFmtId="37" fontId="144" fillId="0" borderId="0" xfId="0" applyFont="1" applyAlignment="1">
      <alignment horizontal="center"/>
    </xf>
    <xf numFmtId="37" fontId="126" fillId="0" borderId="0" xfId="0" applyFont="1"/>
    <xf numFmtId="41" fontId="125" fillId="0" borderId="5" xfId="0" applyNumberFormat="1" applyFont="1" applyBorder="1"/>
    <xf numFmtId="41" fontId="130" fillId="3" borderId="0" xfId="0" applyNumberFormat="1" applyFont="1" applyFill="1"/>
    <xf numFmtId="42" fontId="125" fillId="0" borderId="6" xfId="0" applyNumberFormat="1" applyFont="1" applyBorder="1"/>
    <xf numFmtId="37" fontId="124" fillId="0" borderId="0" xfId="0" quotePrefix="1" applyFont="1" applyAlignment="1">
      <alignment horizontal="center"/>
    </xf>
    <xf numFmtId="37" fontId="124" fillId="0" borderId="0" xfId="0" quotePrefix="1" applyFont="1"/>
    <xf numFmtId="37" fontId="134" fillId="0" borderId="0" xfId="0" quotePrefix="1" applyFont="1"/>
    <xf numFmtId="37" fontId="134" fillId="0" borderId="0" xfId="0" quotePrefix="1" applyFont="1" applyAlignment="1">
      <alignment horizontal="left"/>
    </xf>
    <xf numFmtId="41" fontId="145" fillId="0" borderId="0" xfId="0" applyNumberFormat="1" applyFont="1"/>
    <xf numFmtId="41" fontId="127" fillId="3" borderId="0" xfId="0" applyNumberFormat="1" applyFont="1" applyFill="1" applyAlignment="1">
      <alignment horizontal="right"/>
    </xf>
    <xf numFmtId="37" fontId="141" fillId="0" borderId="0" xfId="0" applyFont="1" applyAlignment="1">
      <alignment horizontal="right"/>
    </xf>
    <xf numFmtId="42" fontId="136" fillId="0" borderId="0" xfId="0" applyNumberFormat="1" applyFont="1" applyAlignment="1">
      <alignment horizontal="right"/>
    </xf>
    <xf numFmtId="41" fontId="146" fillId="0" borderId="0" xfId="0" applyNumberFormat="1" applyFont="1" applyAlignment="1">
      <alignment horizontal="right"/>
    </xf>
    <xf numFmtId="37" fontId="136" fillId="0" borderId="0" xfId="0" applyFont="1"/>
    <xf numFmtId="37" fontId="122" fillId="0" borderId="0" xfId="0" applyFont="1" applyAlignment="1">
      <alignment wrapText="1"/>
    </xf>
    <xf numFmtId="169" fontId="125" fillId="0" borderId="0" xfId="0" applyNumberFormat="1" applyFont="1"/>
    <xf numFmtId="0" fontId="125" fillId="0" borderId="0" xfId="0" applyNumberFormat="1" applyFont="1"/>
    <xf numFmtId="37" fontId="134" fillId="0" borderId="0" xfId="0" applyFont="1"/>
    <xf numFmtId="37" fontId="130" fillId="0" borderId="0" xfId="0" applyFont="1" applyAlignment="1">
      <alignment horizontal="right"/>
    </xf>
    <xf numFmtId="37" fontId="149" fillId="0" borderId="0" xfId="0" applyFont="1"/>
    <xf numFmtId="41" fontId="122" fillId="0" borderId="0" xfId="0" applyNumberFormat="1" applyFont="1" applyAlignment="1">
      <alignment horizontal="centerContinuous"/>
    </xf>
    <xf numFmtId="37" fontId="122" fillId="0" borderId="0" xfId="0" applyFont="1" applyAlignment="1">
      <alignment horizontal="centerContinuous" vertical="center"/>
    </xf>
    <xf numFmtId="41" fontId="125" fillId="0" borderId="0" xfId="0" quotePrefix="1" applyNumberFormat="1" applyFont="1" applyAlignment="1">
      <alignment horizontal="right"/>
    </xf>
    <xf numFmtId="37" fontId="150" fillId="0" borderId="0" xfId="0" applyFont="1"/>
    <xf numFmtId="41" fontId="147" fillId="3" borderId="0" xfId="0" applyNumberFormat="1" applyFont="1" applyFill="1" applyAlignment="1">
      <alignment horizontal="right"/>
    </xf>
    <xf numFmtId="37" fontId="151" fillId="0" borderId="0" xfId="0" applyFont="1"/>
    <xf numFmtId="37" fontId="127" fillId="3" borderId="0" xfId="0" applyFont="1" applyFill="1" applyAlignment="1">
      <alignment horizontal="right"/>
    </xf>
    <xf numFmtId="42" fontId="136" fillId="0" borderId="3" xfId="0" applyNumberFormat="1" applyFont="1" applyBorder="1" applyAlignment="1">
      <alignment horizontal="right"/>
    </xf>
    <xf numFmtId="42" fontId="121" fillId="0" borderId="19" xfId="0" applyNumberFormat="1" applyFont="1" applyBorder="1" applyAlignment="1">
      <alignment horizontal="right"/>
    </xf>
    <xf numFmtId="42" fontId="152" fillId="0" borderId="7" xfId="0" applyNumberFormat="1" applyFont="1" applyBorder="1" applyAlignment="1">
      <alignment horizontal="left"/>
    </xf>
    <xf numFmtId="42" fontId="121" fillId="0" borderId="20" xfId="0" applyNumberFormat="1" applyFont="1" applyBorder="1" applyAlignment="1">
      <alignment horizontal="right"/>
    </xf>
    <xf numFmtId="42" fontId="125" fillId="0" borderId="0" xfId="0" applyNumberFormat="1" applyFont="1" applyAlignment="1">
      <alignment horizontal="left"/>
    </xf>
    <xf numFmtId="42" fontId="121" fillId="0" borderId="9" xfId="0" applyNumberFormat="1" applyFont="1" applyBorder="1" applyAlignment="1">
      <alignment horizontal="right"/>
    </xf>
    <xf numFmtId="37" fontId="121" fillId="0" borderId="9" xfId="0" applyFont="1" applyBorder="1" applyAlignment="1">
      <alignment horizontal="right"/>
    </xf>
    <xf numFmtId="37" fontId="121" fillId="0" borderId="0" xfId="21455" applyFont="1" applyAlignment="1">
      <alignment horizontal="left"/>
    </xf>
    <xf numFmtId="37" fontId="121" fillId="0" borderId="9" xfId="0" applyFont="1" applyBorder="1" applyAlignment="1">
      <alignment horizontal="centerContinuous"/>
    </xf>
    <xf numFmtId="37" fontId="121" fillId="0" borderId="0" xfId="21456" applyFont="1" applyAlignment="1">
      <alignment horizontal="left"/>
    </xf>
    <xf numFmtId="41" fontId="147" fillId="3" borderId="0" xfId="24" applyNumberFormat="1" applyFont="1" applyFill="1" applyAlignment="1">
      <alignment horizontal="right"/>
    </xf>
    <xf numFmtId="37" fontId="121" fillId="0" borderId="0" xfId="21456" applyFont="1"/>
    <xf numFmtId="37" fontId="121" fillId="0" borderId="6" xfId="0" applyFont="1" applyBorder="1" applyAlignment="1">
      <alignment horizontal="right"/>
    </xf>
    <xf numFmtId="37" fontId="134" fillId="0" borderId="0" xfId="0" applyFont="1" applyAlignment="1">
      <alignment horizontal="left"/>
    </xf>
    <xf numFmtId="37" fontId="121" fillId="0" borderId="22" xfId="0" applyFont="1" applyBorder="1" applyAlignment="1">
      <alignment horizontal="right"/>
    </xf>
    <xf numFmtId="37" fontId="128" fillId="0" borderId="0" xfId="0" applyFont="1" applyAlignment="1">
      <alignment horizontal="right"/>
    </xf>
    <xf numFmtId="37" fontId="125" fillId="0" borderId="0" xfId="0" applyFont="1" applyAlignment="1">
      <alignment horizontal="left"/>
    </xf>
    <xf numFmtId="37" fontId="130" fillId="0" borderId="0" xfId="0" applyFont="1"/>
    <xf numFmtId="37" fontId="155" fillId="0" borderId="0" xfId="0" applyFont="1" applyAlignment="1">
      <alignment horizontal="right"/>
    </xf>
    <xf numFmtId="37" fontId="121" fillId="0" borderId="4" xfId="0" applyFont="1" applyBorder="1" applyAlignment="1">
      <alignment horizontal="right"/>
    </xf>
    <xf numFmtId="37" fontId="147" fillId="3" borderId="5" xfId="0" applyFont="1" applyFill="1" applyBorder="1" applyAlignment="1">
      <alignment horizontal="right"/>
    </xf>
    <xf numFmtId="41" fontId="121" fillId="0" borderId="6" xfId="0" applyNumberFormat="1" applyFont="1" applyBorder="1" applyAlignment="1">
      <alignment horizontal="right"/>
    </xf>
    <xf numFmtId="37" fontId="124" fillId="0" borderId="0" xfId="0" applyFont="1" applyAlignment="1">
      <alignment horizontal="right"/>
    </xf>
    <xf numFmtId="41" fontId="139" fillId="3" borderId="0" xfId="0" applyNumberFormat="1" applyFont="1" applyFill="1" applyAlignment="1">
      <alignment horizontal="right"/>
    </xf>
    <xf numFmtId="37" fontId="122" fillId="0" borderId="25" xfId="0" applyFont="1" applyBorder="1" applyAlignment="1">
      <alignment horizontal="center"/>
    </xf>
    <xf numFmtId="37" fontId="121" fillId="0" borderId="7" xfId="0" applyFont="1" applyBorder="1" applyAlignment="1">
      <alignment horizontal="right"/>
    </xf>
    <xf numFmtId="37" fontId="125" fillId="0" borderId="0" xfId="0" applyFont="1" applyAlignment="1">
      <alignment horizontal="right"/>
    </xf>
    <xf numFmtId="41" fontId="147" fillId="3" borderId="9" xfId="0" applyNumberFormat="1" applyFont="1" applyFill="1" applyBorder="1" applyAlignment="1">
      <alignment horizontal="right"/>
    </xf>
    <xf numFmtId="37" fontId="122" fillId="0" borderId="21" xfId="0" applyFont="1" applyBorder="1" applyAlignment="1">
      <alignment horizontal="center"/>
    </xf>
    <xf numFmtId="37" fontId="125" fillId="0" borderId="6" xfId="0" applyFont="1" applyBorder="1" applyAlignment="1">
      <alignment horizontal="right"/>
    </xf>
    <xf numFmtId="37" fontId="125" fillId="0" borderId="0" xfId="0" quotePrefix="1" applyFont="1"/>
    <xf numFmtId="37" fontId="121" fillId="0" borderId="0" xfId="0" applyFont="1" applyAlignment="1">
      <alignment horizontal="centerContinuous" vertical="center"/>
    </xf>
    <xf numFmtId="10" fontId="125" fillId="0" borderId="0" xfId="0" applyNumberFormat="1" applyFont="1"/>
    <xf numFmtId="37" fontId="121" fillId="0" borderId="1" xfId="0" applyFont="1" applyBorder="1"/>
    <xf numFmtId="37" fontId="121" fillId="0" borderId="0" xfId="0" applyFont="1" applyAlignment="1">
      <alignment horizontal="left" indent="2"/>
    </xf>
    <xf numFmtId="37" fontId="136" fillId="0" borderId="2" xfId="0" applyFont="1" applyBorder="1" applyAlignment="1">
      <alignment horizontal="right"/>
    </xf>
    <xf numFmtId="37" fontId="121" fillId="0" borderId="1" xfId="0" applyFont="1" applyBorder="1" applyAlignment="1">
      <alignment horizontal="right"/>
    </xf>
    <xf numFmtId="42" fontId="136" fillId="0" borderId="4" xfId="0" applyNumberFormat="1" applyFont="1" applyBorder="1" applyAlignment="1">
      <alignment horizontal="right"/>
    </xf>
    <xf numFmtId="41" fontId="121" fillId="0" borderId="1" xfId="0" applyNumberFormat="1" applyFont="1" applyBorder="1"/>
    <xf numFmtId="37" fontId="121" fillId="0" borderId="2" xfId="0" applyFont="1" applyBorder="1" applyAlignment="1">
      <alignment horizontal="right"/>
    </xf>
    <xf numFmtId="37" fontId="122" fillId="0" borderId="0" xfId="0" applyFont="1" applyAlignment="1">
      <alignment horizontal="center" vertical="center"/>
    </xf>
    <xf numFmtId="37" fontId="121" fillId="0" borderId="0" xfId="0" applyFont="1" applyAlignment="1">
      <alignment horizontal="center" vertical="center"/>
    </xf>
    <xf numFmtId="42" fontId="121" fillId="0" borderId="0" xfId="0" applyNumberFormat="1" applyFont="1" applyAlignment="1">
      <alignment horizontal="center"/>
    </xf>
    <xf numFmtId="41" fontId="121" fillId="0" borderId="0" xfId="0" applyNumberFormat="1" applyFont="1" applyAlignment="1">
      <alignment horizontal="center"/>
    </xf>
    <xf numFmtId="37" fontId="121" fillId="0" borderId="7" xfId="0" applyFont="1" applyBorder="1" applyAlignment="1">
      <alignment horizontal="center"/>
    </xf>
    <xf numFmtId="41" fontId="136" fillId="0" borderId="2" xfId="0" applyNumberFormat="1" applyFont="1" applyBorder="1" applyAlignment="1">
      <alignment horizontal="center"/>
    </xf>
    <xf numFmtId="41" fontId="156" fillId="0" borderId="35" xfId="0" applyNumberFormat="1" applyFont="1" applyBorder="1" applyAlignment="1">
      <alignment horizontal="right"/>
    </xf>
    <xf numFmtId="41" fontId="156" fillId="0" borderId="36" xfId="0" applyNumberFormat="1" applyFont="1" applyBorder="1" applyAlignment="1">
      <alignment horizontal="center"/>
    </xf>
    <xf numFmtId="41" fontId="156" fillId="0" borderId="41" xfId="0" applyNumberFormat="1" applyFont="1" applyBorder="1" applyAlignment="1">
      <alignment horizontal="center"/>
    </xf>
    <xf numFmtId="41" fontId="156" fillId="0" borderId="40" xfId="0" applyNumberFormat="1" applyFont="1" applyBorder="1" applyAlignment="1">
      <alignment horizontal="center"/>
    </xf>
    <xf numFmtId="41" fontId="136" fillId="8" borderId="2" xfId="0" applyNumberFormat="1" applyFont="1" applyFill="1" applyBorder="1" applyAlignment="1">
      <alignment horizontal="right"/>
    </xf>
    <xf numFmtId="41" fontId="136" fillId="8" borderId="2" xfId="0" applyNumberFormat="1" applyFont="1" applyFill="1" applyBorder="1" applyAlignment="1">
      <alignment horizontal="center"/>
    </xf>
    <xf numFmtId="37" fontId="121" fillId="0" borderId="1" xfId="0" applyFont="1" applyBorder="1" applyAlignment="1">
      <alignment horizontal="center"/>
    </xf>
    <xf numFmtId="37" fontId="136" fillId="0" borderId="2" xfId="0" applyFont="1" applyBorder="1" applyAlignment="1">
      <alignment horizontal="center"/>
    </xf>
    <xf numFmtId="41" fontId="156" fillId="0" borderId="39" xfId="0" applyNumberFormat="1" applyFont="1" applyBorder="1" applyAlignment="1">
      <alignment horizontal="center"/>
    </xf>
    <xf numFmtId="37" fontId="136" fillId="8" borderId="2" xfId="0" applyFont="1" applyFill="1" applyBorder="1" applyAlignment="1">
      <alignment horizontal="right"/>
    </xf>
    <xf numFmtId="41" fontId="136" fillId="0" borderId="0" xfId="0" applyNumberFormat="1" applyFont="1" applyAlignment="1">
      <alignment horizontal="center"/>
    </xf>
    <xf numFmtId="42" fontId="136" fillId="0" borderId="4" xfId="0" applyNumberFormat="1" applyFont="1" applyBorder="1" applyAlignment="1">
      <alignment horizontal="center"/>
    </xf>
    <xf numFmtId="41" fontId="121" fillId="0" borderId="1" xfId="0" applyNumberFormat="1" applyFont="1" applyBorder="1" applyAlignment="1">
      <alignment horizontal="center"/>
    </xf>
    <xf numFmtId="41" fontId="122" fillId="0" borderId="0" xfId="0" applyNumberFormat="1" applyFont="1" applyAlignment="1">
      <alignment horizontal="center"/>
    </xf>
    <xf numFmtId="41" fontId="122" fillId="0" borderId="2" xfId="0" applyNumberFormat="1" applyFont="1" applyBorder="1" applyAlignment="1">
      <alignment horizontal="center"/>
    </xf>
    <xf numFmtId="37" fontId="136" fillId="0" borderId="0" xfId="0" applyFont="1" applyAlignment="1">
      <alignment horizontal="center"/>
    </xf>
    <xf numFmtId="42" fontId="136" fillId="0" borderId="0" xfId="0" applyNumberFormat="1" applyFont="1" applyAlignment="1">
      <alignment horizontal="center"/>
    </xf>
    <xf numFmtId="37" fontId="132" fillId="0" borderId="0" xfId="0" applyFont="1" applyAlignment="1">
      <alignment horizontal="center"/>
    </xf>
    <xf numFmtId="41" fontId="125" fillId="3" borderId="0" xfId="0" applyNumberFormat="1" applyFont="1" applyFill="1" applyAlignment="1">
      <alignment horizontal="left"/>
    </xf>
    <xf numFmtId="37" fontId="123" fillId="0" borderId="0" xfId="0" applyFont="1" applyAlignment="1">
      <alignment horizontal="centerContinuous"/>
    </xf>
    <xf numFmtId="37" fontId="125" fillId="0" borderId="4" xfId="0" applyFont="1" applyBorder="1"/>
    <xf numFmtId="37" fontId="125" fillId="0" borderId="5" xfId="0" applyFont="1" applyBorder="1"/>
    <xf numFmtId="37" fontId="121" fillId="0" borderId="0" xfId="0" applyFont="1" applyAlignment="1">
      <alignment horizontal="left" wrapText="1" indent="2"/>
    </xf>
    <xf numFmtId="41" fontId="121" fillId="8" borderId="0" xfId="24" applyNumberFormat="1" applyFont="1" applyFill="1" applyAlignment="1">
      <alignment horizontal="right"/>
    </xf>
    <xf numFmtId="37" fontId="121" fillId="8" borderId="0" xfId="24" applyFont="1" applyFill="1"/>
    <xf numFmtId="41" fontId="121" fillId="8" borderId="0" xfId="24" applyNumberFormat="1" applyFont="1" applyFill="1"/>
    <xf numFmtId="37" fontId="121" fillId="0" borderId="6" xfId="0" applyFont="1" applyBorder="1"/>
    <xf numFmtId="37" fontId="157" fillId="0" borderId="0" xfId="0" applyFont="1"/>
    <xf numFmtId="37" fontId="158" fillId="0" borderId="0" xfId="0" applyFont="1"/>
    <xf numFmtId="168" fontId="125" fillId="0" borderId="0" xfId="0" applyNumberFormat="1" applyFont="1"/>
    <xf numFmtId="168" fontId="132" fillId="0" borderId="0" xfId="0" applyNumberFormat="1" applyFont="1"/>
    <xf numFmtId="168" fontId="130" fillId="0" borderId="0" xfId="0" applyNumberFormat="1" applyFont="1"/>
    <xf numFmtId="37" fontId="121" fillId="0" borderId="0" xfId="24" applyFont="1"/>
    <xf numFmtId="42" fontId="121" fillId="0" borderId="0" xfId="24" applyNumberFormat="1" applyFont="1" applyAlignment="1">
      <alignment horizontal="right"/>
    </xf>
    <xf numFmtId="37" fontId="121" fillId="0" borderId="0" xfId="24" applyFont="1" applyAlignment="1">
      <alignment horizontal="right"/>
    </xf>
    <xf numFmtId="41" fontId="121" fillId="0" borderId="2" xfId="24" applyNumberFormat="1" applyFont="1" applyBorder="1" applyAlignment="1">
      <alignment horizontal="right"/>
    </xf>
    <xf numFmtId="41" fontId="121" fillId="0" borderId="0" xfId="24" applyNumberFormat="1" applyFont="1" applyAlignment="1">
      <alignment horizontal="right"/>
    </xf>
    <xf numFmtId="41" fontId="127" fillId="3" borderId="0" xfId="0" applyNumberFormat="1" applyFont="1" applyFill="1" applyAlignment="1">
      <alignment horizontal="left"/>
    </xf>
    <xf numFmtId="37" fontId="125" fillId="0" borderId="7" xfId="0" applyFont="1" applyBorder="1"/>
    <xf numFmtId="37" fontId="127" fillId="0" borderId="0" xfId="0" applyFont="1" applyAlignment="1">
      <alignment horizontal="right"/>
    </xf>
    <xf numFmtId="37" fontId="159" fillId="0" borderId="35" xfId="0" applyFont="1" applyBorder="1"/>
    <xf numFmtId="37" fontId="159" fillId="0" borderId="5" xfId="0" applyFont="1" applyBorder="1"/>
    <xf numFmtId="37" fontId="159" fillId="0" borderId="36" xfId="0" applyFont="1" applyBorder="1"/>
    <xf numFmtId="37" fontId="160" fillId="0" borderId="0" xfId="0" applyFont="1"/>
    <xf numFmtId="37" fontId="129" fillId="0" borderId="0" xfId="0" applyFont="1"/>
    <xf numFmtId="37" fontId="126" fillId="0" borderId="2" xfId="0" applyFont="1" applyBorder="1" applyAlignment="1">
      <alignment horizontal="center"/>
    </xf>
    <xf numFmtId="41" fontId="125" fillId="0" borderId="0" xfId="0" applyNumberFormat="1" applyFont="1" applyAlignment="1">
      <alignment horizontal="right"/>
    </xf>
    <xf numFmtId="41" fontId="125" fillId="0" borderId="6" xfId="0" applyNumberFormat="1" applyFont="1" applyBorder="1" applyAlignment="1">
      <alignment horizontal="right"/>
    </xf>
    <xf numFmtId="41" fontId="125" fillId="0" borderId="2" xfId="0" applyNumberFormat="1" applyFont="1" applyBorder="1" applyAlignment="1">
      <alignment horizontal="right"/>
    </xf>
    <xf numFmtId="41" fontId="126" fillId="0" borderId="0" xfId="0" applyNumberFormat="1" applyFont="1" applyAlignment="1">
      <alignment horizontal="right"/>
    </xf>
    <xf numFmtId="41" fontId="126" fillId="0" borderId="3" xfId="0" applyNumberFormat="1" applyFont="1" applyBorder="1" applyAlignment="1">
      <alignment horizontal="right"/>
    </xf>
    <xf numFmtId="41" fontId="126" fillId="0" borderId="2" xfId="0" applyNumberFormat="1" applyFont="1" applyBorder="1" applyAlignment="1">
      <alignment horizontal="right"/>
    </xf>
    <xf numFmtId="37" fontId="126" fillId="0" borderId="0" xfId="0" applyFont="1" applyAlignment="1">
      <alignment horizontal="centerContinuous"/>
    </xf>
    <xf numFmtId="37" fontId="126" fillId="0" borderId="0" xfId="0" applyFont="1" applyAlignment="1">
      <alignment horizontal="right"/>
    </xf>
    <xf numFmtId="49" fontId="125" fillId="0" borderId="0" xfId="0" applyNumberFormat="1" applyFont="1" applyAlignment="1">
      <alignment horizontal="left"/>
    </xf>
    <xf numFmtId="10" fontId="122" fillId="0" borderId="0" xfId="0" applyNumberFormat="1" applyFont="1"/>
    <xf numFmtId="37" fontId="157" fillId="0" borderId="0" xfId="0" applyFont="1" applyAlignment="1">
      <alignment horizontal="centerContinuous"/>
    </xf>
    <xf numFmtId="166" fontId="121" fillId="0" borderId="0" xfId="0" applyNumberFormat="1" applyFont="1" applyAlignment="1">
      <alignment horizontal="centerContinuous"/>
    </xf>
    <xf numFmtId="37" fontId="122" fillId="0" borderId="0" xfId="21" applyFont="1" applyAlignment="1">
      <alignment horizontal="center"/>
    </xf>
    <xf numFmtId="42" fontId="121" fillId="0" borderId="4" xfId="0" applyNumberFormat="1" applyFont="1" applyBorder="1" applyAlignment="1">
      <alignment horizontal="right"/>
    </xf>
    <xf numFmtId="41" fontId="121" fillId="0" borderId="7" xfId="0" applyNumberFormat="1" applyFont="1" applyBorder="1"/>
    <xf numFmtId="37" fontId="125" fillId="0" borderId="2" xfId="0" applyFont="1" applyBorder="1" applyAlignment="1">
      <alignment horizontal="centerContinuous"/>
    </xf>
    <xf numFmtId="37" fontId="122" fillId="0" borderId="8" xfId="0" applyFont="1" applyBorder="1" applyAlignment="1">
      <alignment horizontal="centerContinuous"/>
    </xf>
    <xf numFmtId="37" fontId="122" fillId="0" borderId="0" xfId="0" applyFont="1" applyAlignment="1">
      <alignment horizontal="left" vertical="center"/>
    </xf>
    <xf numFmtId="37" fontId="122" fillId="0" borderId="9" xfId="0" applyFont="1" applyBorder="1" applyAlignment="1">
      <alignment horizontal="center"/>
    </xf>
    <xf numFmtId="37" fontId="122" fillId="0" borderId="8" xfId="0" applyFont="1" applyBorder="1" applyAlignment="1">
      <alignment horizontal="center"/>
    </xf>
    <xf numFmtId="37" fontId="121" fillId="0" borderId="9" xfId="0" applyFont="1" applyBorder="1"/>
    <xf numFmtId="41" fontId="121" fillId="0" borderId="9" xfId="0" applyNumberFormat="1" applyFont="1" applyBorder="1" applyAlignment="1">
      <alignment horizontal="right"/>
    </xf>
    <xf numFmtId="41" fontId="121" fillId="0" borderId="10" xfId="0" applyNumberFormat="1" applyFont="1" applyBorder="1" applyAlignment="1">
      <alignment horizontal="right"/>
    </xf>
    <xf numFmtId="41" fontId="122" fillId="0" borderId="8" xfId="0" applyNumberFormat="1" applyFont="1" applyBorder="1" applyAlignment="1">
      <alignment horizontal="right"/>
    </xf>
    <xf numFmtId="41" fontId="121" fillId="0" borderId="9" xfId="0" applyNumberFormat="1" applyFont="1" applyBorder="1"/>
    <xf numFmtId="41" fontId="122" fillId="0" borderId="9" xfId="0" applyNumberFormat="1" applyFont="1" applyBorder="1" applyAlignment="1">
      <alignment horizontal="right"/>
    </xf>
    <xf numFmtId="42" fontId="122" fillId="0" borderId="11" xfId="0" applyNumberFormat="1" applyFont="1" applyBorder="1" applyAlignment="1">
      <alignment horizontal="right"/>
    </xf>
    <xf numFmtId="37" fontId="161" fillId="0" borderId="0" xfId="0" applyFont="1"/>
    <xf numFmtId="41" fontId="121" fillId="0" borderId="5" xfId="0" applyNumberFormat="1" applyFont="1" applyBorder="1" applyAlignment="1">
      <alignment horizontal="right"/>
    </xf>
    <xf numFmtId="37" fontId="124" fillId="0" borderId="0" xfId="24" applyFont="1" applyAlignment="1">
      <alignment horizontal="right"/>
    </xf>
    <xf numFmtId="37" fontId="121" fillId="0" borderId="0" xfId="35660" applyFont="1"/>
    <xf numFmtId="37" fontId="125" fillId="0" borderId="0" xfId="35659" applyFont="1"/>
    <xf numFmtId="41" fontId="121" fillId="0" borderId="0" xfId="0" applyNumberFormat="1" applyFont="1" applyAlignment="1">
      <alignment horizontal="left" indent="2"/>
    </xf>
    <xf numFmtId="37" fontId="139" fillId="0" borderId="0" xfId="28557" applyFont="1" applyAlignment="1">
      <alignment horizontal="right"/>
    </xf>
    <xf numFmtId="37" fontId="139" fillId="0" borderId="0" xfId="28558" applyFont="1" applyAlignment="1">
      <alignment horizontal="right"/>
    </xf>
    <xf numFmtId="37" fontId="127" fillId="0" borderId="0" xfId="0" quotePrefix="1" applyFont="1"/>
    <xf numFmtId="37" fontId="154" fillId="0" borderId="0" xfId="0" applyFont="1"/>
    <xf numFmtId="37" fontId="162" fillId="0" borderId="0" xfId="0" applyFont="1"/>
    <xf numFmtId="41" fontId="125" fillId="0" borderId="0" xfId="0" quotePrefix="1" applyNumberFormat="1" applyFont="1" applyAlignment="1">
      <alignment horizontal="center"/>
    </xf>
    <xf numFmtId="41" fontId="121" fillId="3" borderId="2" xfId="0" applyNumberFormat="1" applyFont="1" applyFill="1" applyBorder="1" applyAlignment="1">
      <alignment horizontal="right"/>
    </xf>
    <xf numFmtId="41" fontId="122" fillId="0" borderId="7" xfId="0" applyNumberFormat="1" applyFont="1" applyBorder="1" applyAlignment="1">
      <alignment horizontal="right"/>
    </xf>
    <xf numFmtId="37" fontId="139" fillId="0" borderId="19" xfId="0" applyFont="1" applyBorder="1"/>
    <xf numFmtId="37" fontId="121" fillId="0" borderId="7" xfId="0" applyFont="1" applyBorder="1"/>
    <xf numFmtId="37" fontId="125" fillId="0" borderId="20" xfId="0" applyFont="1" applyBorder="1"/>
    <xf numFmtId="37" fontId="125" fillId="0" borderId="23" xfId="0" applyFont="1" applyBorder="1"/>
    <xf numFmtId="37" fontId="155" fillId="0" borderId="0" xfId="0" applyFont="1"/>
    <xf numFmtId="37" fontId="125" fillId="0" borderId="9" xfId="0" applyFont="1" applyBorder="1"/>
    <xf numFmtId="37" fontId="121" fillId="0" borderId="23" xfId="0" applyFont="1" applyBorder="1"/>
    <xf numFmtId="37" fontId="124" fillId="0" borderId="21" xfId="0" applyFont="1" applyBorder="1"/>
    <xf numFmtId="37" fontId="125" fillId="0" borderId="22" xfId="0" applyFont="1" applyBorder="1"/>
    <xf numFmtId="37" fontId="139" fillId="0" borderId="0" xfId="0" applyFont="1"/>
    <xf numFmtId="37" fontId="124" fillId="0" borderId="0" xfId="0" applyFont="1" applyAlignment="1">
      <alignment horizontal="center"/>
    </xf>
    <xf numFmtId="42" fontId="122" fillId="0" borderId="0" xfId="0" applyNumberFormat="1" applyFont="1" applyAlignment="1">
      <alignment horizontal="center"/>
    </xf>
    <xf numFmtId="37" fontId="163" fillId="0" borderId="0" xfId="0" applyFont="1" applyAlignment="1">
      <alignment horizontal="center"/>
    </xf>
    <xf numFmtId="37" fontId="164" fillId="0" borderId="9" xfId="0" applyFont="1" applyBorder="1" applyAlignment="1">
      <alignment horizontal="center"/>
    </xf>
    <xf numFmtId="37" fontId="134" fillId="0" borderId="9" xfId="0" applyFont="1" applyBorder="1" applyAlignment="1">
      <alignment horizontal="center"/>
    </xf>
    <xf numFmtId="37" fontId="166" fillId="0" borderId="0" xfId="0" applyFont="1"/>
    <xf numFmtId="37" fontId="167" fillId="0" borderId="4" xfId="0" applyFont="1" applyBorder="1"/>
    <xf numFmtId="37" fontId="128" fillId="0" borderId="4" xfId="0" applyFont="1" applyBorder="1"/>
    <xf numFmtId="37" fontId="134" fillId="0" borderId="22" xfId="0" applyFont="1" applyBorder="1" applyAlignment="1">
      <alignment horizontal="center"/>
    </xf>
    <xf numFmtId="37" fontId="128" fillId="0" borderId="0" xfId="0" applyFont="1"/>
    <xf numFmtId="37" fontId="121" fillId="0" borderId="35" xfId="0" applyFont="1" applyBorder="1" applyAlignment="1">
      <alignment horizontal="right"/>
    </xf>
    <xf numFmtId="37" fontId="147" fillId="3" borderId="0" xfId="24" applyFont="1" applyFill="1" applyAlignment="1">
      <alignment horizontal="right"/>
    </xf>
    <xf numFmtId="41" fontId="122" fillId="0" borderId="0" xfId="24" applyNumberFormat="1" applyFont="1" applyAlignment="1">
      <alignment horizontal="right"/>
    </xf>
    <xf numFmtId="41" fontId="121" fillId="0" borderId="0" xfId="24" applyNumberFormat="1" applyFont="1" applyAlignment="1">
      <alignment horizontal="left"/>
    </xf>
    <xf numFmtId="37" fontId="147" fillId="3" borderId="0" xfId="0" applyFont="1" applyFill="1" applyAlignment="1">
      <alignment horizontal="right"/>
    </xf>
    <xf numFmtId="41" fontId="122" fillId="3" borderId="0" xfId="0" applyNumberFormat="1" applyFont="1" applyFill="1" applyAlignment="1">
      <alignment horizontal="right"/>
    </xf>
    <xf numFmtId="41" fontId="122" fillId="3" borderId="0" xfId="0" applyNumberFormat="1" applyFont="1" applyFill="1" applyAlignment="1">
      <alignment horizontal="left"/>
    </xf>
    <xf numFmtId="37" fontId="122" fillId="0" borderId="35" xfId="0" applyFont="1" applyBorder="1" applyAlignment="1">
      <alignment horizontal="centerContinuous"/>
    </xf>
    <xf numFmtId="37" fontId="125" fillId="0" borderId="36" xfId="0" applyFont="1" applyBorder="1" applyAlignment="1">
      <alignment horizontal="centerContinuous"/>
    </xf>
    <xf numFmtId="37" fontId="151" fillId="0" borderId="19" xfId="0" applyFont="1" applyBorder="1"/>
    <xf numFmtId="37" fontId="139" fillId="0" borderId="20" xfId="0" applyFont="1" applyBorder="1"/>
    <xf numFmtId="37" fontId="151" fillId="0" borderId="23" xfId="0" applyFont="1" applyBorder="1"/>
    <xf numFmtId="37" fontId="139" fillId="0" borderId="9" xfId="0" applyFont="1" applyBorder="1"/>
    <xf numFmtId="9" fontId="122" fillId="0" borderId="0" xfId="0" applyNumberFormat="1" applyFont="1"/>
    <xf numFmtId="41" fontId="122" fillId="0" borderId="4" xfId="0" applyNumberFormat="1" applyFont="1" applyBorder="1" applyAlignment="1">
      <alignment horizontal="right"/>
    </xf>
    <xf numFmtId="37" fontId="168" fillId="3" borderId="0" xfId="0" applyFont="1" applyFill="1" applyAlignment="1">
      <alignment horizontal="center"/>
    </xf>
    <xf numFmtId="37" fontId="168" fillId="3" borderId="0" xfId="0" applyFont="1" applyFill="1" applyAlignment="1">
      <alignment horizontal="left"/>
    </xf>
    <xf numFmtId="42" fontId="147" fillId="3" borderId="0" xfId="0" applyNumberFormat="1" applyFont="1" applyFill="1" applyAlignment="1">
      <alignment horizontal="right"/>
    </xf>
    <xf numFmtId="42" fontId="147" fillId="3" borderId="0" xfId="0" applyNumberFormat="1" applyFont="1" applyFill="1" applyAlignment="1">
      <alignment horizontal="left"/>
    </xf>
    <xf numFmtId="37" fontId="128" fillId="0" borderId="0" xfId="0" applyFont="1" applyAlignment="1">
      <alignment horizontal="center"/>
    </xf>
    <xf numFmtId="37" fontId="128" fillId="0" borderId="0" xfId="0" applyFont="1" applyAlignment="1">
      <alignment horizontal="left"/>
    </xf>
    <xf numFmtId="37" fontId="169" fillId="0" borderId="0" xfId="0" applyFont="1" applyAlignment="1">
      <alignment horizontal="center"/>
    </xf>
    <xf numFmtId="37" fontId="170" fillId="3" borderId="0" xfId="0" applyFont="1" applyFill="1"/>
    <xf numFmtId="49" fontId="125" fillId="0" borderId="0" xfId="0" applyNumberFormat="1" applyFont="1" applyAlignment="1">
      <alignment horizontal="right"/>
    </xf>
    <xf numFmtId="166" fontId="122" fillId="0" borderId="0" xfId="0" applyNumberFormat="1" applyFont="1" applyAlignment="1">
      <alignment horizontal="center"/>
    </xf>
    <xf numFmtId="37" fontId="133" fillId="8" borderId="4" xfId="0" applyFont="1" applyFill="1" applyBorder="1"/>
    <xf numFmtId="37" fontId="130" fillId="0" borderId="0" xfId="0" applyFont="1" applyAlignment="1">
      <alignment horizontal="center"/>
    </xf>
    <xf numFmtId="42" fontId="171" fillId="8" borderId="0" xfId="0" applyNumberFormat="1" applyFont="1" applyFill="1" applyAlignment="1">
      <alignment horizontal="center"/>
    </xf>
    <xf numFmtId="37" fontId="171" fillId="0" borderId="0" xfId="0" applyFont="1"/>
    <xf numFmtId="37" fontId="172" fillId="0" borderId="0" xfId="0" applyFont="1"/>
    <xf numFmtId="37" fontId="172" fillId="0" borderId="4" xfId="0" applyFont="1" applyBorder="1" applyAlignment="1">
      <alignment horizontal="centerContinuous"/>
    </xf>
    <xf numFmtId="37" fontId="172" fillId="0" borderId="0" xfId="0" applyFont="1" applyAlignment="1">
      <alignment horizontal="center"/>
    </xf>
    <xf numFmtId="37" fontId="172" fillId="0" borderId="4" xfId="0" applyFont="1" applyBorder="1" applyAlignment="1">
      <alignment horizontal="center"/>
    </xf>
    <xf numFmtId="42" fontId="145" fillId="0" borderId="0" xfId="0" applyNumberFormat="1" applyFont="1"/>
    <xf numFmtId="41" fontId="172" fillId="0" borderId="47" xfId="0" applyNumberFormat="1" applyFont="1" applyBorder="1"/>
    <xf numFmtId="41" fontId="172" fillId="0" borderId="0" xfId="0" applyNumberFormat="1" applyFont="1"/>
    <xf numFmtId="41" fontId="145" fillId="0" borderId="47" xfId="0" applyNumberFormat="1" applyFont="1" applyBorder="1"/>
    <xf numFmtId="42" fontId="172" fillId="0" borderId="6" xfId="0" applyNumberFormat="1" applyFont="1" applyBorder="1"/>
    <xf numFmtId="42" fontId="172" fillId="0" borderId="0" xfId="0" applyNumberFormat="1" applyFont="1"/>
    <xf numFmtId="41" fontId="145" fillId="0" borderId="5" xfId="0" applyNumberFormat="1" applyFont="1" applyBorder="1"/>
    <xf numFmtId="42" fontId="172" fillId="0" borderId="15" xfId="0" applyNumberFormat="1" applyFont="1" applyBorder="1"/>
    <xf numFmtId="170" fontId="33" fillId="8" borderId="0" xfId="0" applyNumberFormat="1" applyFont="1" applyFill="1"/>
    <xf numFmtId="172" fontId="121" fillId="0" borderId="0" xfId="35876" applyNumberFormat="1" applyFont="1"/>
    <xf numFmtId="172" fontId="121" fillId="0" borderId="0" xfId="35876" applyNumberFormat="1" applyFont="1" applyBorder="1"/>
    <xf numFmtId="9" fontId="121" fillId="0" borderId="0" xfId="0" applyNumberFormat="1" applyFont="1"/>
    <xf numFmtId="41" fontId="121" fillId="0" borderId="47" xfId="0" applyNumberFormat="1" applyFont="1" applyBorder="1"/>
    <xf numFmtId="172" fontId="121" fillId="0" borderId="6" xfId="35876" applyNumberFormat="1" applyFont="1" applyBorder="1"/>
    <xf numFmtId="167" fontId="122" fillId="0" borderId="0" xfId="0" applyNumberFormat="1" applyFont="1" applyAlignment="1">
      <alignment horizontal="center"/>
    </xf>
    <xf numFmtId="167" fontId="122" fillId="0" borderId="4" xfId="0" applyNumberFormat="1" applyFont="1" applyBorder="1" applyAlignment="1">
      <alignment horizontal="center"/>
    </xf>
    <xf numFmtId="37" fontId="175" fillId="0" borderId="0" xfId="24" applyFont="1" applyAlignment="1">
      <alignment horizontal="left"/>
    </xf>
    <xf numFmtId="168" fontId="176" fillId="0" borderId="0" xfId="0" applyNumberFormat="1" applyFont="1"/>
    <xf numFmtId="37" fontId="39" fillId="8" borderId="0" xfId="0" applyFont="1" applyFill="1"/>
    <xf numFmtId="37" fontId="177" fillId="0" borderId="0" xfId="0" quotePrefix="1" applyFont="1" applyAlignment="1">
      <alignment horizontal="center"/>
    </xf>
    <xf numFmtId="37" fontId="177" fillId="0" borderId="0" xfId="0" applyFont="1" applyAlignment="1">
      <alignment horizontal="center"/>
    </xf>
    <xf numFmtId="39" fontId="41" fillId="0" borderId="0" xfId="0" applyNumberFormat="1" applyFont="1"/>
    <xf numFmtId="7" fontId="178" fillId="0" borderId="0" xfId="35875" applyNumberFormat="1" applyFont="1" applyBorder="1"/>
    <xf numFmtId="37" fontId="179" fillId="0" borderId="0" xfId="0" applyFont="1"/>
    <xf numFmtId="6" fontId="37" fillId="3" borderId="4" xfId="0" applyNumberFormat="1" applyFont="1" applyFill="1" applyBorder="1"/>
    <xf numFmtId="37" fontId="140" fillId="0" borderId="0" xfId="0" applyFont="1" applyAlignment="1">
      <alignment horizontal="center"/>
    </xf>
    <xf numFmtId="9" fontId="125" fillId="0" borderId="0" xfId="35877" applyFont="1"/>
    <xf numFmtId="9" fontId="0" fillId="0" borderId="0" xfId="35877" applyFont="1"/>
    <xf numFmtId="37" fontId="82" fillId="0" borderId="0" xfId="0" applyFont="1" applyAlignment="1">
      <alignment horizontal="right"/>
    </xf>
    <xf numFmtId="37" fontId="181" fillId="3" borderId="0" xfId="0" applyFont="1" applyFill="1" applyAlignment="1">
      <alignment horizontal="left"/>
    </xf>
    <xf numFmtId="37" fontId="82" fillId="0" borderId="0" xfId="0" quotePrefix="1" applyFont="1"/>
    <xf numFmtId="37" fontId="127" fillId="8" borderId="0" xfId="0" quotePrefix="1" applyFont="1" applyFill="1"/>
    <xf numFmtId="6" fontId="139" fillId="0" borderId="3" xfId="28557" applyNumberFormat="1" applyFont="1" applyBorder="1" applyAlignment="1">
      <alignment horizontal="right"/>
    </xf>
    <xf numFmtId="6" fontId="139" fillId="0" borderId="3" xfId="28558" applyNumberFormat="1" applyFont="1" applyBorder="1" applyAlignment="1">
      <alignment horizontal="right"/>
    </xf>
    <xf numFmtId="6" fontId="139" fillId="0" borderId="3" xfId="24" applyNumberFormat="1" applyFont="1" applyBorder="1" applyAlignment="1">
      <alignment horizontal="right"/>
    </xf>
    <xf numFmtId="6" fontId="61" fillId="0" borderId="3" xfId="0" applyNumberFormat="1" applyFont="1" applyBorder="1" applyAlignment="1">
      <alignment horizontal="right"/>
    </xf>
    <xf numFmtId="37" fontId="49" fillId="8" borderId="0" xfId="0" applyFont="1" applyFill="1"/>
    <xf numFmtId="0" fontId="122" fillId="0" borderId="0" xfId="1516" applyFont="1" applyAlignment="1">
      <alignment horizontal="centerContinuous"/>
    </xf>
    <xf numFmtId="43" fontId="99" fillId="0" borderId="0" xfId="35874" applyFont="1" applyFill="1" applyAlignment="1">
      <alignment horizontal="centerContinuous"/>
    </xf>
    <xf numFmtId="0" fontId="99" fillId="0" borderId="0" xfId="1516" applyFont="1" applyAlignment="1">
      <alignment horizontal="centerContinuous"/>
    </xf>
    <xf numFmtId="0" fontId="99" fillId="0" borderId="0" xfId="1516" applyFont="1"/>
    <xf numFmtId="0" fontId="122" fillId="0" borderId="0" xfId="1516" applyFont="1"/>
    <xf numFmtId="0" fontId="182" fillId="0" borderId="0" xfId="1516" applyFont="1" applyAlignment="1">
      <alignment horizontal="centerContinuous"/>
    </xf>
    <xf numFmtId="43" fontId="183" fillId="0" borderId="0" xfId="35874" applyFont="1" applyFill="1" applyAlignment="1">
      <alignment horizontal="center"/>
    </xf>
    <xf numFmtId="0" fontId="97" fillId="0" borderId="0" xfId="1516" applyFont="1" applyAlignment="1">
      <alignment vertical="center"/>
    </xf>
    <xf numFmtId="0" fontId="97" fillId="0" borderId="0" xfId="1516" applyFont="1"/>
    <xf numFmtId="0" fontId="100" fillId="0" borderId="0" xfId="1516" applyFont="1"/>
    <xf numFmtId="0" fontId="184" fillId="0" borderId="0" xfId="1516" applyFont="1"/>
    <xf numFmtId="0" fontId="182" fillId="0" borderId="0" xfId="1516" applyFont="1"/>
    <xf numFmtId="0" fontId="185" fillId="0" borderId="0" xfId="1516" applyFont="1" applyAlignment="1">
      <alignment vertical="center"/>
    </xf>
    <xf numFmtId="0" fontId="99" fillId="0" borderId="0" xfId="1516" applyFont="1" applyAlignment="1">
      <alignment horizontal="center"/>
    </xf>
    <xf numFmtId="0" fontId="99" fillId="0" borderId="0" xfId="1516" applyFont="1" applyAlignment="1">
      <alignment vertical="center"/>
    </xf>
    <xf numFmtId="3" fontId="186" fillId="0" borderId="0" xfId="1516" applyNumberFormat="1" applyFont="1"/>
    <xf numFmtId="3" fontId="100" fillId="0" borderId="0" xfId="1516" applyNumberFormat="1" applyFont="1"/>
    <xf numFmtId="0" fontId="166" fillId="8" borderId="0" xfId="1516" applyFont="1" applyFill="1"/>
    <xf numFmtId="0" fontId="187" fillId="0" borderId="0" xfId="1516" applyFont="1" applyAlignment="1">
      <alignment vertical="center"/>
    </xf>
    <xf numFmtId="41" fontId="97" fillId="0" borderId="47" xfId="35874" applyNumberFormat="1" applyFont="1" applyFill="1" applyBorder="1" applyAlignment="1">
      <alignment vertical="center"/>
    </xf>
    <xf numFmtId="0" fontId="99" fillId="0" borderId="16" xfId="1516" applyFont="1" applyBorder="1"/>
    <xf numFmtId="0" fontId="97" fillId="0" borderId="16" xfId="1516" applyFont="1" applyBorder="1" applyAlignment="1">
      <alignment vertical="center"/>
    </xf>
    <xf numFmtId="41" fontId="97" fillId="0" borderId="16" xfId="1516" applyNumberFormat="1" applyFont="1" applyBorder="1" applyAlignment="1">
      <alignment vertical="center"/>
    </xf>
    <xf numFmtId="0" fontId="99" fillId="0" borderId="16" xfId="1516" applyFont="1" applyBorder="1" applyAlignment="1">
      <alignment vertical="center"/>
    </xf>
    <xf numFmtId="0" fontId="119" fillId="0" borderId="0" xfId="1516" applyFont="1" applyAlignment="1">
      <alignment vertical="center"/>
    </xf>
    <xf numFmtId="41" fontId="99" fillId="0" borderId="0" xfId="1516" applyNumberFormat="1" applyFont="1"/>
    <xf numFmtId="41" fontId="99" fillId="0" borderId="0" xfId="1516" applyNumberFormat="1" applyFont="1" applyAlignment="1">
      <alignment horizontal="right"/>
    </xf>
    <xf numFmtId="41" fontId="99" fillId="0" borderId="47" xfId="1516" applyNumberFormat="1" applyFont="1" applyBorder="1"/>
    <xf numFmtId="43" fontId="99" fillId="0" borderId="0" xfId="35874" applyFont="1" applyFill="1"/>
    <xf numFmtId="0" fontId="188" fillId="0" borderId="0" xfId="1516" applyFont="1"/>
    <xf numFmtId="37" fontId="121" fillId="8" borderId="0" xfId="0" applyFont="1" applyFill="1"/>
    <xf numFmtId="37" fontId="92" fillId="50" borderId="0" xfId="0" applyFont="1" applyFill="1"/>
    <xf numFmtId="41" fontId="147" fillId="0" borderId="0" xfId="0" applyNumberFormat="1" applyFont="1" applyAlignment="1">
      <alignment horizontal="right"/>
    </xf>
    <xf numFmtId="0" fontId="190" fillId="0" borderId="0" xfId="1516" applyFont="1" applyAlignment="1">
      <alignment horizontal="centerContinuous"/>
    </xf>
    <xf numFmtId="0" fontId="86" fillId="0" borderId="0" xfId="1516" applyAlignment="1">
      <alignment horizontal="centerContinuous"/>
    </xf>
    <xf numFmtId="173" fontId="0" fillId="0" borderId="0" xfId="35874" applyNumberFormat="1" applyFont="1" applyAlignment="1">
      <alignment horizontal="centerContinuous"/>
    </xf>
    <xf numFmtId="43" fontId="0" fillId="0" borderId="0" xfId="35874" applyFont="1" applyAlignment="1">
      <alignment horizontal="centerContinuous"/>
    </xf>
    <xf numFmtId="0" fontId="86" fillId="0" borderId="0" xfId="1516"/>
    <xf numFmtId="0" fontId="191" fillId="0" borderId="0" xfId="1516" applyFont="1" applyAlignment="1">
      <alignment horizontal="center"/>
    </xf>
    <xf numFmtId="173" fontId="191" fillId="0" borderId="0" xfId="35874" applyNumberFormat="1" applyFont="1" applyAlignment="1">
      <alignment horizontal="center"/>
    </xf>
    <xf numFmtId="0" fontId="86" fillId="51" borderId="0" xfId="1516" applyFill="1" applyAlignment="1">
      <alignment horizontal="center"/>
    </xf>
    <xf numFmtId="0" fontId="86" fillId="0" borderId="0" xfId="1516" applyAlignment="1">
      <alignment horizontal="center"/>
    </xf>
    <xf numFmtId="4" fontId="0" fillId="0" borderId="16" xfId="35874" applyNumberFormat="1" applyFont="1" applyBorder="1"/>
    <xf numFmtId="173" fontId="0" fillId="0" borderId="0" xfId="35874" applyNumberFormat="1" applyFont="1"/>
    <xf numFmtId="4" fontId="0" fillId="0" borderId="0" xfId="35874" applyNumberFormat="1" applyFont="1"/>
    <xf numFmtId="10" fontId="0" fillId="0" borderId="0" xfId="35874" applyNumberFormat="1" applyFont="1" applyAlignment="1">
      <alignment horizontal="center"/>
    </xf>
    <xf numFmtId="4" fontId="86" fillId="0" borderId="0" xfId="1516" applyNumberFormat="1"/>
    <xf numFmtId="43" fontId="0" fillId="0" borderId="0" xfId="35874" applyFont="1"/>
    <xf numFmtId="4" fontId="192" fillId="0" borderId="0" xfId="1516" applyNumberFormat="1" applyFont="1" applyAlignment="1">
      <alignment horizontal="center"/>
    </xf>
    <xf numFmtId="3" fontId="99" fillId="0" borderId="0" xfId="1516" applyNumberFormat="1" applyFont="1"/>
    <xf numFmtId="37" fontId="125" fillId="52" borderId="0" xfId="0" applyFont="1" applyFill="1"/>
    <xf numFmtId="41" fontId="141" fillId="0" borderId="0" xfId="0" applyNumberFormat="1" applyFont="1" applyAlignment="1">
      <alignment horizontal="right"/>
    </xf>
    <xf numFmtId="37" fontId="125" fillId="0" borderId="4" xfId="0" applyFont="1" applyBorder="1" applyAlignment="1">
      <alignment horizontal="center"/>
    </xf>
    <xf numFmtId="37" fontId="148" fillId="3" borderId="0" xfId="66" applyNumberFormat="1" applyFont="1" applyFill="1"/>
    <xf numFmtId="37" fontId="121" fillId="0" borderId="47" xfId="0" applyFont="1" applyBorder="1"/>
    <xf numFmtId="37" fontId="124" fillId="0" borderId="47" xfId="0" applyFont="1" applyBorder="1" applyAlignment="1">
      <alignment horizontal="right"/>
    </xf>
    <xf numFmtId="37" fontId="127" fillId="3" borderId="0" xfId="0" applyFont="1" applyFill="1" applyAlignment="1">
      <alignment horizontal="center"/>
    </xf>
    <xf numFmtId="37" fontId="125" fillId="0" borderId="19" xfId="0" applyFont="1" applyBorder="1"/>
    <xf numFmtId="37" fontId="125" fillId="0" borderId="47" xfId="0" applyFont="1" applyBorder="1"/>
    <xf numFmtId="37" fontId="121" fillId="0" borderId="47" xfId="0" applyFont="1" applyBorder="1" applyAlignment="1">
      <alignment horizontal="right"/>
    </xf>
    <xf numFmtId="37" fontId="121" fillId="0" borderId="20" xfId="0" applyFont="1" applyBorder="1" applyAlignment="1">
      <alignment horizontal="right"/>
    </xf>
    <xf numFmtId="37" fontId="125" fillId="0" borderId="23" xfId="0" applyFont="1" applyBorder="1" applyAlignment="1">
      <alignment horizontal="center"/>
    </xf>
    <xf numFmtId="10" fontId="150" fillId="0" borderId="0" xfId="0" applyNumberFormat="1" applyFont="1" applyAlignment="1">
      <alignment horizontal="right"/>
    </xf>
    <xf numFmtId="37" fontId="125" fillId="0" borderId="23" xfId="0" applyFont="1" applyBorder="1" applyAlignment="1">
      <alignment horizontal="right"/>
    </xf>
    <xf numFmtId="37" fontId="121" fillId="0" borderId="23" xfId="0" applyFont="1" applyBorder="1" applyAlignment="1">
      <alignment horizontal="right"/>
    </xf>
    <xf numFmtId="37" fontId="155" fillId="0" borderId="0" xfId="0" applyFont="1" applyAlignment="1">
      <alignment horizontal="center"/>
    </xf>
    <xf numFmtId="42" fontId="121" fillId="0" borderId="21" xfId="0" applyNumberFormat="1" applyFont="1" applyBorder="1" applyAlignment="1">
      <alignment horizontal="right"/>
    </xf>
    <xf numFmtId="37" fontId="124" fillId="0" borderId="0" xfId="0" applyFont="1" applyAlignment="1">
      <alignment horizontal="centerContinuous"/>
    </xf>
    <xf numFmtId="41" fontId="130" fillId="8" borderId="0" xfId="0" applyNumberFormat="1" applyFont="1" applyFill="1"/>
    <xf numFmtId="10" fontId="125" fillId="0" borderId="0" xfId="35877" applyNumberFormat="1" applyFont="1"/>
    <xf numFmtId="175" fontId="121" fillId="0" borderId="0" xfId="0" applyNumberFormat="1" applyFont="1"/>
    <xf numFmtId="176" fontId="125" fillId="0" borderId="0" xfId="0" applyNumberFormat="1" applyFont="1"/>
    <xf numFmtId="41" fontId="195" fillId="0" borderId="5" xfId="0" applyNumberFormat="1" applyFont="1" applyBorder="1" applyAlignment="1">
      <alignment horizontal="right"/>
    </xf>
    <xf numFmtId="41" fontId="195" fillId="0" borderId="0" xfId="0" applyNumberFormat="1" applyFont="1" applyAlignment="1">
      <alignment horizontal="right"/>
    </xf>
    <xf numFmtId="42" fontId="195" fillId="0" borderId="6" xfId="0" applyNumberFormat="1" applyFont="1" applyBorder="1" applyAlignment="1">
      <alignment horizontal="right"/>
    </xf>
    <xf numFmtId="41" fontId="196" fillId="0" borderId="5" xfId="0" applyNumberFormat="1" applyFont="1" applyBorder="1"/>
    <xf numFmtId="42" fontId="195" fillId="0" borderId="15" xfId="0" applyNumberFormat="1" applyFont="1" applyBorder="1"/>
    <xf numFmtId="37" fontId="197" fillId="0" borderId="0" xfId="0" applyFont="1"/>
    <xf numFmtId="41" fontId="196" fillId="0" borderId="0" xfId="0" applyNumberFormat="1" applyFont="1"/>
    <xf numFmtId="42" fontId="195" fillId="0" borderId="3" xfId="0" applyNumberFormat="1" applyFont="1" applyBorder="1" applyAlignment="1">
      <alignment horizontal="right"/>
    </xf>
    <xf numFmtId="37" fontId="196" fillId="0" borderId="0" xfId="0" applyFont="1" applyAlignment="1">
      <alignment horizontal="right"/>
    </xf>
    <xf numFmtId="42" fontId="195" fillId="0" borderId="0" xfId="0" applyNumberFormat="1" applyFont="1" applyAlignment="1">
      <alignment horizontal="right"/>
    </xf>
    <xf numFmtId="41" fontId="195" fillId="0" borderId="2" xfId="0" applyNumberFormat="1" applyFont="1" applyBorder="1" applyAlignment="1">
      <alignment horizontal="right"/>
    </xf>
    <xf numFmtId="37" fontId="195" fillId="0" borderId="0" xfId="0" applyFont="1"/>
    <xf numFmtId="37" fontId="195" fillId="0" borderId="0" xfId="0" applyFont="1" applyAlignment="1">
      <alignment horizontal="right"/>
    </xf>
    <xf numFmtId="37" fontId="196" fillId="0" borderId="0" xfId="0" applyFont="1"/>
    <xf numFmtId="41" fontId="196" fillId="0" borderId="0" xfId="0" applyNumberFormat="1" applyFont="1" applyAlignment="1">
      <alignment horizontal="right"/>
    </xf>
    <xf numFmtId="37" fontId="195" fillId="0" borderId="2" xfId="0" applyFont="1" applyBorder="1" applyAlignment="1">
      <alignment horizontal="right"/>
    </xf>
    <xf numFmtId="42" fontId="195" fillId="0" borderId="4" xfId="0" applyNumberFormat="1" applyFont="1" applyBorder="1" applyAlignment="1">
      <alignment horizontal="right"/>
    </xf>
    <xf numFmtId="37" fontId="198" fillId="0" borderId="0" xfId="0" applyFont="1"/>
    <xf numFmtId="41" fontId="196" fillId="0" borderId="5" xfId="0" applyNumberFormat="1" applyFont="1" applyBorder="1" applyAlignment="1">
      <alignment horizontal="right"/>
    </xf>
    <xf numFmtId="41" fontId="195" fillId="0" borderId="0" xfId="0" applyNumberFormat="1" applyFont="1"/>
    <xf numFmtId="42" fontId="196" fillId="0" borderId="0" xfId="0" applyNumberFormat="1" applyFont="1" applyAlignment="1">
      <alignment horizontal="right"/>
    </xf>
    <xf numFmtId="0" fontId="7" fillId="0" borderId="0" xfId="35882"/>
    <xf numFmtId="0" fontId="97" fillId="0" borderId="0" xfId="35882" applyFont="1"/>
    <xf numFmtId="172" fontId="97" fillId="0" borderId="0" xfId="35876" applyNumberFormat="1" applyFont="1"/>
    <xf numFmtId="37" fontId="150" fillId="0" borderId="4" xfId="0" applyFont="1" applyBorder="1" applyAlignment="1">
      <alignment horizontal="center"/>
    </xf>
    <xf numFmtId="37" fontId="150" fillId="0" borderId="0" xfId="0" applyFont="1" applyAlignment="1">
      <alignment horizontal="center"/>
    </xf>
    <xf numFmtId="0" fontId="99" fillId="0" borderId="0" xfId="35886" applyFont="1"/>
    <xf numFmtId="37" fontId="150" fillId="0" borderId="0" xfId="0" applyFont="1" applyAlignment="1">
      <alignment horizontal="left"/>
    </xf>
    <xf numFmtId="42" fontId="150" fillId="0" borderId="0" xfId="0" applyNumberFormat="1" applyFont="1"/>
    <xf numFmtId="41" fontId="150" fillId="0" borderId="0" xfId="0" applyNumberFormat="1" applyFont="1"/>
    <xf numFmtId="37" fontId="150" fillId="0" borderId="0" xfId="0" applyFont="1" applyAlignment="1">
      <alignment horizontal="left" indent="1"/>
    </xf>
    <xf numFmtId="42" fontId="150" fillId="0" borderId="6" xfId="0" applyNumberFormat="1" applyFont="1" applyBorder="1"/>
    <xf numFmtId="42" fontId="134" fillId="0" borderId="0" xfId="0" applyNumberFormat="1" applyFont="1" applyAlignment="1">
      <alignment horizontal="center"/>
    </xf>
    <xf numFmtId="42" fontId="125" fillId="0" borderId="0" xfId="0" applyNumberFormat="1" applyFont="1" applyAlignment="1">
      <alignment horizontal="center"/>
    </xf>
    <xf numFmtId="0" fontId="97" fillId="0" borderId="0" xfId="35886" applyFont="1"/>
    <xf numFmtId="0" fontId="97" fillId="0" borderId="0" xfId="35886" applyFont="1" applyAlignment="1">
      <alignment horizontal="center"/>
    </xf>
    <xf numFmtId="0" fontId="97" fillId="0" borderId="4" xfId="35882" applyFont="1" applyBorder="1" applyAlignment="1">
      <alignment horizontal="center"/>
    </xf>
    <xf numFmtId="0" fontId="99" fillId="0" borderId="0" xfId="35886" applyFont="1" applyAlignment="1">
      <alignment horizontal="center"/>
    </xf>
    <xf numFmtId="0" fontId="99" fillId="0" borderId="4" xfId="35886" applyFont="1" applyBorder="1" applyAlignment="1">
      <alignment horizontal="center"/>
    </xf>
    <xf numFmtId="0" fontId="97" fillId="0" borderId="4" xfId="35886" applyFont="1" applyBorder="1" applyAlignment="1">
      <alignment horizontal="center"/>
    </xf>
    <xf numFmtId="42" fontId="99" fillId="0" borderId="0" xfId="1516" applyNumberFormat="1" applyFont="1"/>
    <xf numFmtId="0" fontId="99" fillId="0" borderId="4" xfId="35888" applyFont="1" applyBorder="1" applyAlignment="1">
      <alignment horizontal="center" vertical="center" wrapText="1"/>
    </xf>
    <xf numFmtId="41" fontId="99" fillId="0" borderId="4" xfId="35888" applyNumberFormat="1" applyFont="1" applyBorder="1" applyAlignment="1">
      <alignment vertical="center"/>
    </xf>
    <xf numFmtId="42" fontId="99" fillId="0" borderId="15" xfId="35888" applyNumberFormat="1" applyFont="1" applyBorder="1" applyAlignment="1">
      <alignment horizontal="center" vertical="center"/>
    </xf>
    <xf numFmtId="37" fontId="82" fillId="0" borderId="0" xfId="24" applyFont="1" applyAlignment="1">
      <alignment horizontal="left"/>
    </xf>
    <xf numFmtId="37" fontId="175" fillId="0" borderId="0" xfId="24" applyFont="1" applyAlignment="1">
      <alignment horizontal="center"/>
    </xf>
    <xf numFmtId="37" fontId="118" fillId="0" borderId="0" xfId="0" applyFont="1" applyAlignment="1">
      <alignment horizontal="center"/>
    </xf>
    <xf numFmtId="37" fontId="61" fillId="8" borderId="0" xfId="0" applyFont="1" applyFill="1"/>
    <xf numFmtId="164" fontId="59" fillId="0" borderId="0" xfId="0" applyNumberFormat="1" applyFont="1" applyAlignment="1">
      <alignment horizontal="center"/>
    </xf>
    <xf numFmtId="37" fontId="139" fillId="0" borderId="19" xfId="0" applyFont="1" applyBorder="1" applyAlignment="1">
      <alignment horizontal="center"/>
    </xf>
    <xf numFmtId="41" fontId="139" fillId="3" borderId="23" xfId="0" applyNumberFormat="1" applyFont="1" applyFill="1" applyBorder="1" applyAlignment="1">
      <alignment horizontal="right"/>
    </xf>
    <xf numFmtId="37" fontId="122" fillId="0" borderId="20" xfId="0" applyFont="1" applyBorder="1"/>
    <xf numFmtId="37" fontId="176" fillId="0" borderId="0" xfId="0" applyFont="1"/>
    <xf numFmtId="41" fontId="139" fillId="3" borderId="0" xfId="0" applyNumberFormat="1" applyFont="1" applyFill="1" applyAlignment="1">
      <alignment horizontal="left"/>
    </xf>
    <xf numFmtId="37" fontId="176" fillId="0" borderId="42" xfId="0" applyFont="1" applyBorder="1" applyAlignment="1">
      <alignment horizontal="center"/>
    </xf>
    <xf numFmtId="37" fontId="176" fillId="0" borderId="4" xfId="0" applyFont="1" applyBorder="1" applyAlignment="1">
      <alignment horizontal="left"/>
    </xf>
    <xf numFmtId="41" fontId="49" fillId="8" borderId="0" xfId="11" applyNumberFormat="1" applyFont="1" applyFill="1"/>
    <xf numFmtId="37" fontId="118" fillId="8" borderId="0" xfId="0" applyFont="1" applyFill="1" applyAlignment="1">
      <alignment horizontal="right"/>
    </xf>
    <xf numFmtId="37" fontId="61" fillId="3" borderId="0" xfId="0" applyFont="1" applyFill="1"/>
    <xf numFmtId="37" fontId="54" fillId="3" borderId="0" xfId="0" applyFont="1" applyFill="1"/>
    <xf numFmtId="37" fontId="124" fillId="8" borderId="0" xfId="0" applyFont="1" applyFill="1"/>
    <xf numFmtId="37" fontId="134" fillId="8" borderId="0" xfId="0" applyFont="1" applyFill="1"/>
    <xf numFmtId="37" fontId="157" fillId="0" borderId="0" xfId="0" applyFont="1" applyAlignment="1">
      <alignment horizontal="center"/>
    </xf>
    <xf numFmtId="37" fontId="133" fillId="0" borderId="0" xfId="0" applyFont="1" applyAlignment="1">
      <alignment horizontal="right"/>
    </xf>
    <xf numFmtId="37" fontId="48" fillId="0" borderId="0" xfId="0" applyFont="1" applyAlignment="1">
      <alignment horizontal="right"/>
    </xf>
    <xf numFmtId="174" fontId="58" fillId="8" borderId="0" xfId="0" applyNumberFormat="1" applyFont="1" applyFill="1" applyAlignment="1">
      <alignment horizontal="center"/>
    </xf>
    <xf numFmtId="42" fontId="162" fillId="8" borderId="0" xfId="0" applyNumberFormat="1" applyFont="1" applyFill="1" applyAlignment="1">
      <alignment horizontal="right"/>
    </xf>
    <xf numFmtId="41" fontId="162" fillId="8" borderId="0" xfId="0" applyNumberFormat="1" applyFont="1" applyFill="1" applyAlignment="1">
      <alignment horizontal="right"/>
    </xf>
    <xf numFmtId="42" fontId="147" fillId="3" borderId="0" xfId="0" applyNumberFormat="1" applyFont="1" applyFill="1" applyAlignment="1">
      <alignment horizontal="center"/>
    </xf>
    <xf numFmtId="37" fontId="133" fillId="8" borderId="4" xfId="0" applyFont="1" applyFill="1" applyBorder="1" applyAlignment="1">
      <alignment horizontal="center"/>
    </xf>
    <xf numFmtId="37" fontId="58" fillId="3" borderId="0" xfId="0" applyFont="1" applyFill="1"/>
    <xf numFmtId="39" fontId="92" fillId="50" borderId="0" xfId="0" applyNumberFormat="1" applyFont="1" applyFill="1"/>
    <xf numFmtId="41" fontId="97" fillId="0" borderId="0" xfId="1516" applyNumberFormat="1" applyFont="1"/>
    <xf numFmtId="37" fontId="192" fillId="0" borderId="0" xfId="1516" applyNumberFormat="1" applyFont="1"/>
    <xf numFmtId="37" fontId="0" fillId="0" borderId="0" xfId="35874" applyNumberFormat="1" applyFont="1"/>
    <xf numFmtId="3" fontId="125" fillId="0" borderId="47" xfId="35874" applyNumberFormat="1" applyFont="1" applyFill="1" applyBorder="1" applyAlignment="1">
      <alignment vertical="center"/>
    </xf>
    <xf numFmtId="3" fontId="125" fillId="0" borderId="16" xfId="1516" applyNumberFormat="1" applyFont="1" applyBorder="1" applyAlignment="1">
      <alignment vertical="center"/>
    </xf>
    <xf numFmtId="3" fontId="125" fillId="0" borderId="0" xfId="1516" applyNumberFormat="1" applyFont="1"/>
    <xf numFmtId="3" fontId="125" fillId="0" borderId="0" xfId="35874" applyNumberFormat="1" applyFont="1" applyFill="1" applyAlignment="1">
      <alignment vertical="center"/>
    </xf>
    <xf numFmtId="3" fontId="125" fillId="0" borderId="16" xfId="35874" applyNumberFormat="1" applyFont="1" applyFill="1" applyBorder="1" applyAlignment="1">
      <alignment vertical="center"/>
    </xf>
    <xf numFmtId="3" fontId="125" fillId="0" borderId="16" xfId="1516" applyNumberFormat="1" applyFont="1" applyBorder="1"/>
    <xf numFmtId="3" fontId="125" fillId="0" borderId="0" xfId="1516" applyNumberFormat="1" applyFont="1" applyAlignment="1">
      <alignment horizontal="right"/>
    </xf>
    <xf numFmtId="3" fontId="125" fillId="0" borderId="47" xfId="1516" applyNumberFormat="1" applyFont="1" applyBorder="1"/>
    <xf numFmtId="0" fontId="126" fillId="0" borderId="0" xfId="1516" applyFont="1" applyAlignment="1">
      <alignment horizontal="centerContinuous"/>
    </xf>
    <xf numFmtId="43" fontId="97" fillId="0" borderId="0" xfId="35874" applyFont="1" applyFill="1" applyAlignment="1">
      <alignment horizontal="centerContinuous"/>
    </xf>
    <xf numFmtId="0" fontId="97" fillId="0" borderId="0" xfId="1516" applyFont="1" applyAlignment="1">
      <alignment horizontal="centerContinuous"/>
    </xf>
    <xf numFmtId="0" fontId="126" fillId="0" borderId="0" xfId="1516" applyFont="1"/>
    <xf numFmtId="0" fontId="202" fillId="0" borderId="0" xfId="1516" applyFont="1" applyAlignment="1">
      <alignment horizontal="centerContinuous"/>
    </xf>
    <xf numFmtId="0" fontId="203" fillId="0" borderId="0" xfId="1516" applyFont="1" applyAlignment="1">
      <alignment horizontal="centerContinuous"/>
    </xf>
    <xf numFmtId="0" fontId="204" fillId="0" borderId="0" xfId="1516" applyFont="1" applyAlignment="1">
      <alignment horizontal="centerContinuous"/>
    </xf>
    <xf numFmtId="43" fontId="205" fillId="0" borderId="0" xfId="35874" applyFont="1" applyFill="1" applyAlignment="1">
      <alignment horizontal="center"/>
    </xf>
    <xf numFmtId="43" fontId="206" fillId="0" borderId="0" xfId="35874" applyFont="1" applyFill="1" applyAlignment="1">
      <alignment horizontal="center"/>
    </xf>
    <xf numFmtId="43" fontId="207" fillId="0" borderId="0" xfId="35874" applyFont="1" applyFill="1" applyAlignment="1">
      <alignment horizontal="center"/>
    </xf>
    <xf numFmtId="177" fontId="125" fillId="0" borderId="0" xfId="1516" applyNumberFormat="1" applyFont="1"/>
    <xf numFmtId="41" fontId="125" fillId="0" borderId="0" xfId="35874" applyNumberFormat="1" applyFont="1" applyFill="1" applyAlignment="1">
      <alignment vertical="center"/>
    </xf>
    <xf numFmtId="0" fontId="125" fillId="0" borderId="0" xfId="1516" applyFont="1"/>
    <xf numFmtId="3" fontId="125" fillId="0" borderId="6" xfId="35874" applyNumberFormat="1" applyFont="1" applyFill="1" applyBorder="1" applyAlignment="1">
      <alignment vertical="center"/>
    </xf>
    <xf numFmtId="3" fontId="125" fillId="0" borderId="0" xfId="35874" applyNumberFormat="1" applyFont="1" applyFill="1" applyBorder="1" applyAlignment="1">
      <alignment vertical="center"/>
    </xf>
    <xf numFmtId="3" fontId="97" fillId="0" borderId="0" xfId="1516" applyNumberFormat="1" applyFont="1"/>
    <xf numFmtId="0" fontId="202" fillId="0" borderId="0" xfId="1516" applyFont="1"/>
    <xf numFmtId="0" fontId="208" fillId="0" borderId="0" xfId="1516" applyFont="1" applyAlignment="1">
      <alignment vertical="center"/>
    </xf>
    <xf numFmtId="0" fontId="97" fillId="0" borderId="0" xfId="1516" applyFont="1" applyAlignment="1">
      <alignment horizontal="center"/>
    </xf>
    <xf numFmtId="0" fontId="187" fillId="0" borderId="0" xfId="1516" applyFont="1"/>
    <xf numFmtId="37" fontId="22" fillId="0" borderId="0" xfId="0" quotePrefix="1" applyFont="1"/>
    <xf numFmtId="41" fontId="183" fillId="0" borderId="0" xfId="1516" applyNumberFormat="1" applyFont="1" applyAlignment="1">
      <alignment horizontal="center"/>
    </xf>
    <xf numFmtId="0" fontId="119" fillId="0" borderId="0" xfId="1516" applyFont="1" applyAlignment="1">
      <alignment horizontal="right"/>
    </xf>
    <xf numFmtId="37" fontId="99" fillId="0" borderId="0" xfId="1516" applyNumberFormat="1" applyFont="1"/>
    <xf numFmtId="37" fontId="134" fillId="0" borderId="21" xfId="0" applyFont="1" applyBorder="1" applyAlignment="1">
      <alignment horizontal="left"/>
    </xf>
    <xf numFmtId="37" fontId="144" fillId="0" borderId="0" xfId="0" applyFont="1" applyAlignment="1">
      <alignment horizontal="right"/>
    </xf>
    <xf numFmtId="37" fontId="144" fillId="0" borderId="0" xfId="0" applyFont="1" applyAlignment="1">
      <alignment horizontal="left"/>
    </xf>
    <xf numFmtId="42" fontId="97" fillId="0" borderId="0" xfId="35876" applyNumberFormat="1" applyFont="1"/>
    <xf numFmtId="42" fontId="97" fillId="0" borderId="4" xfId="35876" applyNumberFormat="1" applyFont="1" applyBorder="1"/>
    <xf numFmtId="42" fontId="97" fillId="0" borderId="6" xfId="35876" applyNumberFormat="1" applyFont="1" applyBorder="1"/>
    <xf numFmtId="37" fontId="146" fillId="0" borderId="0" xfId="0" applyFont="1" applyAlignment="1">
      <alignment horizontal="right"/>
    </xf>
    <xf numFmtId="37" fontId="147" fillId="3" borderId="20" xfId="0" applyFont="1" applyFill="1" applyBorder="1" applyAlignment="1">
      <alignment horizontal="right"/>
    </xf>
    <xf numFmtId="37" fontId="147" fillId="3" borderId="9" xfId="0" applyFont="1" applyFill="1" applyBorder="1" applyAlignment="1">
      <alignment horizontal="right"/>
    </xf>
    <xf numFmtId="37" fontId="147" fillId="3" borderId="22" xfId="0" applyFont="1" applyFill="1" applyBorder="1" applyAlignment="1">
      <alignment horizontal="right"/>
    </xf>
    <xf numFmtId="37" fontId="139" fillId="3" borderId="23" xfId="0" applyFont="1" applyFill="1" applyBorder="1" applyAlignment="1">
      <alignment horizontal="right"/>
    </xf>
    <xf numFmtId="37" fontId="153" fillId="3" borderId="23" xfId="0" applyFont="1" applyFill="1" applyBorder="1" applyAlignment="1">
      <alignment horizontal="right"/>
    </xf>
    <xf numFmtId="37" fontId="122" fillId="0" borderId="23" xfId="0" applyFont="1" applyBorder="1" applyAlignment="1">
      <alignment horizontal="right"/>
    </xf>
    <xf numFmtId="37" fontId="134" fillId="0" borderId="4" xfId="0" applyFont="1" applyBorder="1"/>
    <xf numFmtId="37" fontId="82" fillId="0" borderId="0" xfId="0" applyFont="1" applyAlignment="1">
      <alignment horizontal="left"/>
    </xf>
    <xf numFmtId="37" fontId="93" fillId="0" borderId="0" xfId="0" applyFont="1"/>
    <xf numFmtId="37" fontId="209" fillId="8" borderId="0" xfId="0" quotePrefix="1" applyFont="1" applyFill="1"/>
    <xf numFmtId="41" fontId="122" fillId="0" borderId="0" xfId="0" applyNumberFormat="1" applyFont="1" applyAlignment="1">
      <alignment horizontal="left"/>
    </xf>
    <xf numFmtId="37" fontId="121" fillId="0" borderId="20" xfId="0" applyFont="1" applyBorder="1"/>
    <xf numFmtId="37" fontId="121" fillId="0" borderId="21" xfId="0" applyFont="1" applyBorder="1"/>
    <xf numFmtId="37" fontId="121" fillId="0" borderId="22" xfId="0" applyFont="1" applyBorder="1"/>
    <xf numFmtId="37" fontId="24" fillId="0" borderId="0" xfId="0" applyFont="1" applyAlignment="1">
      <alignment horizontal="left"/>
    </xf>
    <xf numFmtId="37" fontId="83" fillId="8" borderId="0" xfId="24" applyFont="1" applyFill="1"/>
    <xf numFmtId="37" fontId="29" fillId="8" borderId="0" xfId="0" quotePrefix="1" applyFont="1" applyFill="1" applyAlignment="1">
      <alignment horizontal="left"/>
    </xf>
    <xf numFmtId="37" fontId="199" fillId="0" borderId="0" xfId="0" applyFont="1" applyAlignment="1">
      <alignment horizontal="right"/>
    </xf>
    <xf numFmtId="37" fontId="165" fillId="0" borderId="4" xfId="0" applyFont="1" applyBorder="1" applyAlignment="1">
      <alignment horizontal="right"/>
    </xf>
    <xf numFmtId="42" fontId="152" fillId="0" borderId="47" xfId="0" applyNumberFormat="1" applyFont="1" applyBorder="1" applyAlignment="1">
      <alignment horizontal="left"/>
    </xf>
    <xf numFmtId="37" fontId="121" fillId="0" borderId="5" xfId="0" applyFont="1" applyBorder="1" applyAlignment="1">
      <alignment horizontal="right"/>
    </xf>
    <xf numFmtId="37" fontId="128" fillId="0" borderId="5" xfId="0" applyFont="1" applyBorder="1" applyAlignment="1">
      <alignment horizontal="centerContinuous"/>
    </xf>
    <xf numFmtId="37" fontId="128" fillId="0" borderId="36" xfId="0" applyFont="1" applyBorder="1" applyAlignment="1">
      <alignment horizontal="centerContinuous"/>
    </xf>
    <xf numFmtId="37" fontId="162" fillId="0" borderId="35" xfId="0" applyFont="1" applyBorder="1" applyAlignment="1">
      <alignment horizontal="centerContinuous"/>
    </xf>
    <xf numFmtId="37" fontId="147" fillId="3" borderId="36" xfId="0" applyFont="1" applyFill="1" applyBorder="1" applyAlignment="1">
      <alignment horizontal="right"/>
    </xf>
    <xf numFmtId="0" fontId="210" fillId="0" borderId="0" xfId="1516" applyFont="1" applyAlignment="1">
      <alignment horizontal="right"/>
    </xf>
    <xf numFmtId="37" fontId="122" fillId="0" borderId="47" xfId="0" applyFont="1" applyBorder="1"/>
    <xf numFmtId="42" fontId="122" fillId="0" borderId="15" xfId="0" applyNumberFormat="1" applyFont="1" applyBorder="1" applyAlignment="1">
      <alignment horizontal="right"/>
    </xf>
    <xf numFmtId="0" fontId="99" fillId="0" borderId="4" xfId="1516" applyFont="1" applyBorder="1"/>
    <xf numFmtId="37" fontId="211" fillId="0" borderId="0" xfId="0" applyFont="1"/>
    <xf numFmtId="37" fontId="212" fillId="0" borderId="0" xfId="0" applyFont="1"/>
    <xf numFmtId="42" fontId="211" fillId="0" borderId="0" xfId="0" applyNumberFormat="1" applyFont="1"/>
    <xf numFmtId="41" fontId="211" fillId="0" borderId="0" xfId="0" applyNumberFormat="1" applyFont="1"/>
    <xf numFmtId="37" fontId="211" fillId="0" borderId="0" xfId="0" applyFont="1" applyAlignment="1">
      <alignment horizontal="left"/>
    </xf>
    <xf numFmtId="42" fontId="211" fillId="0" borderId="6" xfId="0" applyNumberFormat="1" applyFont="1" applyBorder="1"/>
    <xf numFmtId="41" fontId="99" fillId="0" borderId="5" xfId="35883" applyNumberFormat="1" applyFont="1" applyBorder="1"/>
    <xf numFmtId="42" fontId="99" fillId="0" borderId="6" xfId="35886" applyNumberFormat="1" applyFont="1" applyBorder="1"/>
    <xf numFmtId="41" fontId="125" fillId="0" borderId="4" xfId="0" applyNumberFormat="1" applyFont="1" applyBorder="1"/>
    <xf numFmtId="43" fontId="99" fillId="0" borderId="6" xfId="35874" applyFont="1" applyFill="1" applyBorder="1"/>
    <xf numFmtId="37" fontId="126" fillId="8" borderId="0" xfId="0" applyFont="1" applyFill="1"/>
    <xf numFmtId="37" fontId="0" fillId="53" borderId="0" xfId="0" applyFill="1"/>
    <xf numFmtId="37" fontId="31" fillId="8" borderId="0" xfId="0" applyFont="1" applyFill="1" applyAlignment="1">
      <alignment horizontal="center"/>
    </xf>
    <xf numFmtId="39" fontId="30" fillId="0" borderId="0" xfId="0" applyNumberFormat="1" applyFont="1"/>
    <xf numFmtId="37" fontId="213" fillId="8" borderId="0" xfId="0" quotePrefix="1" applyFont="1" applyFill="1"/>
    <xf numFmtId="37" fontId="213" fillId="8" borderId="0" xfId="0" applyFont="1" applyFill="1"/>
    <xf numFmtId="6" fontId="122" fillId="0" borderId="3" xfId="0" applyNumberFormat="1" applyFont="1" applyBorder="1" applyAlignment="1">
      <alignment horizontal="right"/>
    </xf>
    <xf numFmtId="37" fontId="49" fillId="3" borderId="0" xfId="0" applyFont="1" applyFill="1"/>
    <xf numFmtId="37" fontId="54" fillId="8" borderId="0" xfId="0" applyFont="1" applyFill="1"/>
    <xf numFmtId="0" fontId="99" fillId="0" borderId="0" xfId="35888" applyFont="1" applyAlignment="1">
      <alignment vertical="center"/>
    </xf>
    <xf numFmtId="0" fontId="6" fillId="0" borderId="0" xfId="35888"/>
    <xf numFmtId="0" fontId="99" fillId="0" borderId="0" xfId="35888" applyFont="1" applyAlignment="1">
      <alignment horizontal="left" vertical="center"/>
    </xf>
    <xf numFmtId="42" fontId="99" fillId="0" borderId="0" xfId="35888" applyNumberFormat="1" applyFont="1" applyAlignment="1">
      <alignment horizontal="center" vertical="center"/>
    </xf>
    <xf numFmtId="42" fontId="125" fillId="0" borderId="0" xfId="24" applyNumberFormat="1" applyFont="1" applyAlignment="1">
      <alignment horizontal="right"/>
    </xf>
    <xf numFmtId="0" fontId="99" fillId="0" borderId="0" xfId="35888" applyFont="1" applyAlignment="1">
      <alignment horizontal="center" vertical="center"/>
    </xf>
    <xf numFmtId="10" fontId="99" fillId="0" borderId="0" xfId="35888" applyNumberFormat="1" applyFont="1" applyAlignment="1">
      <alignment horizontal="right" vertical="center"/>
    </xf>
    <xf numFmtId="10" fontId="125" fillId="0" borderId="0" xfId="35877" applyNumberFormat="1" applyFont="1" applyBorder="1"/>
    <xf numFmtId="37" fontId="125" fillId="0" borderId="21" xfId="0" applyFont="1" applyBorder="1"/>
    <xf numFmtId="37" fontId="125" fillId="0" borderId="4" xfId="0" applyFont="1" applyBorder="1" applyAlignment="1">
      <alignment horizontal="center" wrapText="1"/>
    </xf>
    <xf numFmtId="37" fontId="29" fillId="12" borderId="0" xfId="0" applyFont="1" applyFill="1"/>
    <xf numFmtId="37" fontId="24" fillId="8" borderId="4" xfId="0" applyFont="1" applyFill="1" applyBorder="1"/>
    <xf numFmtId="3" fontId="186" fillId="0" borderId="0" xfId="0" applyNumberFormat="1" applyFont="1"/>
    <xf numFmtId="3" fontId="100" fillId="0" borderId="0" xfId="0" applyNumberFormat="1" applyFont="1"/>
    <xf numFmtId="39" fontId="127" fillId="3" borderId="0" xfId="0" applyNumberFormat="1" applyFont="1" applyFill="1" applyAlignment="1">
      <alignment horizontal="right"/>
    </xf>
    <xf numFmtId="42" fontId="121" fillId="0" borderId="6" xfId="35876" applyNumberFormat="1" applyFont="1" applyBorder="1"/>
    <xf numFmtId="42" fontId="121" fillId="0" borderId="0" xfId="35876" applyNumberFormat="1" applyFont="1"/>
    <xf numFmtId="41" fontId="121" fillId="0" borderId="0" xfId="0" applyNumberFormat="1" applyFont="1" applyAlignment="1">
      <alignment horizontal="centerContinuous"/>
    </xf>
    <xf numFmtId="41" fontId="128" fillId="8" borderId="2" xfId="0" applyNumberFormat="1" applyFont="1" applyFill="1" applyBorder="1" applyAlignment="1">
      <alignment horizontal="right"/>
    </xf>
    <xf numFmtId="172" fontId="86" fillId="0" borderId="0" xfId="1516" applyNumberFormat="1"/>
    <xf numFmtId="172" fontId="99" fillId="0" borderId="0" xfId="35887" applyNumberFormat="1" applyFont="1"/>
    <xf numFmtId="172" fontId="99" fillId="0" borderId="0" xfId="35886" applyNumberFormat="1" applyFont="1"/>
    <xf numFmtId="41" fontId="99" fillId="0" borderId="0" xfId="35886" applyNumberFormat="1" applyFont="1"/>
    <xf numFmtId="37" fontId="215" fillId="0" borderId="14" xfId="0" applyFont="1" applyBorder="1" applyAlignment="1">
      <alignment horizontal="center" vertical="center" wrapText="1"/>
    </xf>
    <xf numFmtId="37" fontId="215" fillId="0" borderId="55" xfId="0" applyFont="1" applyBorder="1" applyAlignment="1">
      <alignment horizontal="center" vertical="center" wrapText="1"/>
    </xf>
    <xf numFmtId="37" fontId="56" fillId="54" borderId="57" xfId="0" applyFont="1" applyFill="1" applyBorder="1"/>
    <xf numFmtId="37" fontId="56" fillId="55" borderId="57" xfId="0" applyFont="1" applyFill="1" applyBorder="1"/>
    <xf numFmtId="37" fontId="56" fillId="55" borderId="58" xfId="0" applyFont="1" applyFill="1" applyBorder="1"/>
    <xf numFmtId="37" fontId="56" fillId="54" borderId="58" xfId="0" applyFont="1" applyFill="1" applyBorder="1"/>
    <xf numFmtId="37" fontId="0" fillId="0" borderId="59" xfId="0" applyBorder="1"/>
    <xf numFmtId="0" fontId="216" fillId="0" borderId="0" xfId="66" applyFont="1" applyAlignment="1">
      <alignment horizontal="centerContinuous"/>
    </xf>
    <xf numFmtId="0" fontId="22" fillId="0" borderId="0" xfId="66" applyAlignment="1">
      <alignment horizontal="centerContinuous"/>
    </xf>
    <xf numFmtId="0" fontId="22" fillId="0" borderId="0" xfId="66"/>
    <xf numFmtId="0" fontId="217" fillId="0" borderId="0" xfId="66" applyFont="1" applyAlignment="1">
      <alignment horizontal="centerContinuous"/>
    </xf>
    <xf numFmtId="0" fontId="26" fillId="0" borderId="0" xfId="66" applyFont="1" applyAlignment="1">
      <alignment horizontal="centerContinuous"/>
    </xf>
    <xf numFmtId="0" fontId="22" fillId="0" borderId="0" xfId="66" applyAlignment="1">
      <alignment horizontal="center"/>
    </xf>
    <xf numFmtId="0" fontId="25" fillId="0" borderId="0" xfId="66" applyFont="1" applyAlignment="1">
      <alignment horizontal="center"/>
    </xf>
    <xf numFmtId="0" fontId="26" fillId="0" borderId="0" xfId="66" applyFont="1" applyAlignment="1">
      <alignment horizontal="center"/>
    </xf>
    <xf numFmtId="37" fontId="22" fillId="0" borderId="0" xfId="66" applyNumberFormat="1"/>
    <xf numFmtId="39" fontId="85" fillId="0" borderId="0" xfId="66" applyNumberFormat="1" applyFont="1"/>
    <xf numFmtId="39" fontId="22" fillId="0" borderId="0" xfId="66" applyNumberFormat="1"/>
    <xf numFmtId="0" fontId="83" fillId="0" borderId="0" xfId="66" applyFont="1"/>
    <xf numFmtId="0" fontId="81" fillId="0" borderId="0" xfId="66" applyFont="1"/>
    <xf numFmtId="39" fontId="61" fillId="0" borderId="0" xfId="66" applyNumberFormat="1" applyFont="1"/>
    <xf numFmtId="37" fontId="25" fillId="0" borderId="0" xfId="66" applyNumberFormat="1" applyFont="1"/>
    <xf numFmtId="41" fontId="39" fillId="0" borderId="0" xfId="66" applyNumberFormat="1" applyFont="1"/>
    <xf numFmtId="39" fontId="60" fillId="0" borderId="0" xfId="66" applyNumberFormat="1" applyFont="1"/>
    <xf numFmtId="0" fontId="29" fillId="0" borderId="0" xfId="66" applyFont="1" applyAlignment="1">
      <alignment horizontal="left"/>
    </xf>
    <xf numFmtId="0" fontId="22" fillId="0" borderId="60" xfId="66" applyBorder="1" applyAlignment="1">
      <alignment horizontal="center"/>
    </xf>
    <xf numFmtId="0" fontId="29" fillId="0" borderId="60" xfId="66" applyFont="1" applyBorder="1"/>
    <xf numFmtId="37" fontId="22" fillId="0" borderId="6" xfId="66" applyNumberFormat="1" applyBorder="1" applyAlignment="1">
      <alignment horizontal="center"/>
    </xf>
    <xf numFmtId="37" fontId="22" fillId="0" borderId="60" xfId="66" applyNumberFormat="1" applyBorder="1" applyAlignment="1">
      <alignment horizontal="center"/>
    </xf>
    <xf numFmtId="0" fontId="22" fillId="56" borderId="0" xfId="66" applyFill="1"/>
    <xf numFmtId="37" fontId="54" fillId="0" borderId="0" xfId="66" applyNumberFormat="1" applyFont="1" applyAlignment="1">
      <alignment horizontal="center"/>
    </xf>
    <xf numFmtId="0" fontId="25" fillId="0" borderId="61" xfId="66" applyFont="1" applyBorder="1" applyAlignment="1">
      <alignment horizontal="left"/>
    </xf>
    <xf numFmtId="0" fontId="25" fillId="0" borderId="62" xfId="66" applyFont="1" applyBorder="1" applyAlignment="1">
      <alignment horizontal="left"/>
    </xf>
    <xf numFmtId="0" fontId="22" fillId="0" borderId="36" xfId="66" applyBorder="1"/>
    <xf numFmtId="39" fontId="48" fillId="0" borderId="0" xfId="66" applyNumberFormat="1" applyFont="1"/>
    <xf numFmtId="37" fontId="37" fillId="0" borderId="0" xfId="0" quotePrefix="1" applyFont="1"/>
    <xf numFmtId="37" fontId="39" fillId="0" borderId="0" xfId="0" quotePrefix="1" applyFont="1"/>
    <xf numFmtId="164" fontId="218" fillId="0" borderId="0" xfId="0" applyNumberFormat="1" applyFont="1" applyAlignment="1">
      <alignment horizontal="center"/>
    </xf>
    <xf numFmtId="164" fontId="219" fillId="0" borderId="0" xfId="0" applyNumberFormat="1" applyFont="1" applyAlignment="1">
      <alignment horizontal="center"/>
    </xf>
    <xf numFmtId="0" fontId="121" fillId="0" borderId="0" xfId="66" applyFont="1"/>
    <xf numFmtId="0" fontId="121" fillId="0" borderId="0" xfId="66" applyFont="1" applyAlignment="1">
      <alignment horizontal="left"/>
    </xf>
    <xf numFmtId="0" fontId="121" fillId="0" borderId="0" xfId="66" applyFont="1" applyAlignment="1">
      <alignment horizontal="centerContinuous"/>
    </xf>
    <xf numFmtId="42" fontId="122" fillId="0" borderId="0" xfId="66" applyNumberFormat="1" applyFont="1" applyAlignment="1">
      <alignment horizontal="right"/>
    </xf>
    <xf numFmtId="0" fontId="122" fillId="0" borderId="0" xfId="66" applyFont="1" applyAlignment="1">
      <alignment horizontal="center"/>
    </xf>
    <xf numFmtId="0" fontId="122" fillId="0" borderId="0" xfId="66" applyFont="1"/>
    <xf numFmtId="37" fontId="121" fillId="0" borderId="0" xfId="66" applyNumberFormat="1" applyFont="1"/>
    <xf numFmtId="49" fontId="125" fillId="0" borderId="0" xfId="66" applyNumberFormat="1" applyFont="1" applyAlignment="1">
      <alignment horizontal="right"/>
    </xf>
    <xf numFmtId="42" fontId="122" fillId="0" borderId="3" xfId="66" applyNumberFormat="1" applyFont="1" applyBorder="1" applyAlignment="1">
      <alignment horizontal="right"/>
    </xf>
    <xf numFmtId="41" fontId="121" fillId="0" borderId="0" xfId="66" applyNumberFormat="1" applyFont="1" applyAlignment="1">
      <alignment horizontal="right"/>
    </xf>
    <xf numFmtId="41" fontId="121" fillId="0" borderId="2" xfId="66" applyNumberFormat="1" applyFont="1" applyBorder="1" applyAlignment="1">
      <alignment horizontal="right"/>
    </xf>
    <xf numFmtId="0" fontId="145" fillId="0" borderId="0" xfId="66" quotePrefix="1" applyFont="1" applyAlignment="1">
      <alignment horizontal="center"/>
    </xf>
    <xf numFmtId="41" fontId="121" fillId="0" borderId="4" xfId="66" applyNumberFormat="1" applyFont="1" applyBorder="1" applyAlignment="1">
      <alignment horizontal="right"/>
    </xf>
    <xf numFmtId="41" fontId="122" fillId="0" borderId="0" xfId="66" applyNumberFormat="1" applyFont="1" applyAlignment="1">
      <alignment horizontal="right"/>
    </xf>
    <xf numFmtId="41" fontId="122" fillId="0" borderId="2" xfId="66" applyNumberFormat="1" applyFont="1" applyBorder="1" applyAlignment="1">
      <alignment horizontal="right"/>
    </xf>
    <xf numFmtId="41" fontId="121" fillId="0" borderId="0" xfId="66" applyNumberFormat="1" applyFont="1"/>
    <xf numFmtId="42" fontId="121" fillId="0" borderId="0" xfId="66" applyNumberFormat="1" applyFont="1" applyAlignment="1">
      <alignment horizontal="right"/>
    </xf>
    <xf numFmtId="0" fontId="122" fillId="0" borderId="0" xfId="66" applyFont="1" applyAlignment="1">
      <alignment horizontal="centerContinuous"/>
    </xf>
    <xf numFmtId="37" fontId="122" fillId="0" borderId="0" xfId="66" applyNumberFormat="1" applyFont="1" applyAlignment="1">
      <alignment horizontal="center"/>
    </xf>
    <xf numFmtId="41" fontId="121" fillId="0" borderId="47" xfId="66" applyNumberFormat="1" applyFont="1" applyBorder="1"/>
    <xf numFmtId="41" fontId="122" fillId="0" borderId="4" xfId="66" applyNumberFormat="1" applyFont="1" applyBorder="1" applyAlignment="1">
      <alignment horizontal="right"/>
    </xf>
    <xf numFmtId="174" fontId="249" fillId="0" borderId="6" xfId="35882" applyNumberFormat="1" applyFont="1" applyBorder="1" applyAlignment="1">
      <alignment horizontal="center"/>
    </xf>
    <xf numFmtId="37" fontId="13" fillId="21" borderId="0" xfId="6686" applyNumberFormat="1"/>
    <xf numFmtId="37" fontId="125" fillId="0" borderId="6" xfId="0" applyFont="1" applyBorder="1"/>
    <xf numFmtId="0" fontId="123" fillId="0" borderId="0" xfId="35882" applyFont="1"/>
    <xf numFmtId="0" fontId="122" fillId="0" borderId="0" xfId="35882" applyFont="1"/>
    <xf numFmtId="41" fontId="162" fillId="0" borderId="0" xfId="0" applyNumberFormat="1" applyFont="1" applyAlignment="1">
      <alignment horizontal="right"/>
    </xf>
    <xf numFmtId="37" fontId="162" fillId="0" borderId="0" xfId="0" applyFont="1" applyAlignment="1">
      <alignment horizontal="right"/>
    </xf>
    <xf numFmtId="41" fontId="139" fillId="0" borderId="0" xfId="0" applyNumberFormat="1" applyFont="1" applyAlignment="1">
      <alignment horizontal="right"/>
    </xf>
    <xf numFmtId="43" fontId="0" fillId="0" borderId="16" xfId="35874" applyFont="1" applyBorder="1"/>
    <xf numFmtId="0" fontId="86" fillId="0" borderId="16" xfId="1516" applyBorder="1" applyAlignment="1">
      <alignment horizontal="centerContinuous"/>
    </xf>
    <xf numFmtId="0" fontId="30" fillId="0" borderId="0" xfId="0" applyNumberFormat="1" applyFont="1"/>
    <xf numFmtId="37" fontId="30" fillId="0" borderId="0" xfId="0" applyFont="1" applyAlignment="1">
      <alignment horizontal="right"/>
    </xf>
    <xf numFmtId="37" fontId="31" fillId="0" borderId="0" xfId="0" applyFont="1" applyAlignment="1">
      <alignment horizontal="right"/>
    </xf>
    <xf numFmtId="173" fontId="255" fillId="0" borderId="0" xfId="35874" applyNumberFormat="1" applyFont="1" applyAlignment="1">
      <alignment horizontal="centerContinuous"/>
    </xf>
    <xf numFmtId="0" fontId="30" fillId="0" borderId="4" xfId="35874" applyNumberFormat="1" applyFont="1" applyBorder="1" applyAlignment="1">
      <alignment horizontal="centerContinuous"/>
    </xf>
    <xf numFmtId="0" fontId="255" fillId="0" borderId="4" xfId="35874" applyNumberFormat="1" applyFont="1" applyBorder="1" applyAlignment="1">
      <alignment horizontal="centerContinuous"/>
    </xf>
    <xf numFmtId="173" fontId="256" fillId="0" borderId="0" xfId="1516" applyNumberFormat="1" applyFont="1"/>
    <xf numFmtId="173" fontId="29" fillId="0" borderId="47" xfId="35874" applyNumberFormat="1" applyFont="1" applyBorder="1"/>
    <xf numFmtId="0" fontId="256" fillId="0" borderId="0" xfId="1516" applyFont="1"/>
    <xf numFmtId="173" fontId="29" fillId="0" borderId="0" xfId="35874" applyNumberFormat="1" applyFont="1"/>
    <xf numFmtId="173" fontId="29" fillId="0" borderId="0" xfId="35874" applyNumberFormat="1" applyFont="1" applyBorder="1"/>
    <xf numFmtId="0" fontId="257" fillId="0" borderId="0" xfId="1516" applyFont="1"/>
    <xf numFmtId="0" fontId="3" fillId="0" borderId="0" xfId="1516" applyFont="1"/>
    <xf numFmtId="0" fontId="257" fillId="0" borderId="0" xfId="1516" applyFont="1" applyAlignment="1">
      <alignment horizontal="center"/>
    </xf>
    <xf numFmtId="0" fontId="258" fillId="0" borderId="0" xfId="1516" applyFont="1" applyAlignment="1">
      <alignment horizontal="right"/>
    </xf>
    <xf numFmtId="173" fontId="56" fillId="0" borderId="0" xfId="1516" applyNumberFormat="1" applyFont="1"/>
    <xf numFmtId="0" fontId="56" fillId="0" borderId="0" xfId="1516" applyFont="1"/>
    <xf numFmtId="42" fontId="97" fillId="0" borderId="0" xfId="35884" applyNumberFormat="1" applyFont="1" applyAlignment="1">
      <alignment horizontal="right"/>
    </xf>
    <xf numFmtId="41" fontId="97" fillId="0" borderId="0" xfId="35884" applyNumberFormat="1" applyFont="1" applyAlignment="1">
      <alignment horizontal="right"/>
    </xf>
    <xf numFmtId="37" fontId="259" fillId="0" borderId="0" xfId="0" applyFont="1"/>
    <xf numFmtId="0" fontId="260" fillId="0" borderId="0" xfId="1516" applyFont="1"/>
    <xf numFmtId="37" fontId="125" fillId="8" borderId="0" xfId="0" applyFont="1" applyFill="1" applyAlignment="1">
      <alignment horizontal="centerContinuous"/>
    </xf>
    <xf numFmtId="37" fontId="122" fillId="8" borderId="0" xfId="0" applyFont="1" applyFill="1"/>
    <xf numFmtId="37" fontId="122" fillId="8" borderId="2" xfId="0" applyFont="1" applyFill="1" applyBorder="1" applyAlignment="1">
      <alignment horizontal="centerContinuous"/>
    </xf>
    <xf numFmtId="37" fontId="122" fillId="8" borderId="0" xfId="0" applyFont="1" applyFill="1" applyAlignment="1">
      <alignment horizontal="center"/>
    </xf>
    <xf numFmtId="37" fontId="122" fillId="8" borderId="2" xfId="0" applyFont="1" applyFill="1" applyBorder="1" applyAlignment="1">
      <alignment horizontal="center"/>
    </xf>
    <xf numFmtId="37" fontId="135" fillId="8" borderId="0" xfId="0" applyFont="1" applyFill="1"/>
    <xf numFmtId="42" fontId="121" fillId="8" borderId="0" xfId="0" applyNumberFormat="1" applyFont="1" applyFill="1" applyAlignment="1">
      <alignment horizontal="right"/>
    </xf>
    <xf numFmtId="41" fontId="121" fillId="8" borderId="1" xfId="0" applyNumberFormat="1" applyFont="1" applyFill="1" applyBorder="1" applyAlignment="1">
      <alignment horizontal="right"/>
    </xf>
    <xf numFmtId="41" fontId="195" fillId="8" borderId="5" xfId="0" applyNumberFormat="1" applyFont="1" applyFill="1" applyBorder="1" applyAlignment="1">
      <alignment horizontal="right"/>
    </xf>
    <xf numFmtId="41" fontId="121" fillId="8" borderId="0" xfId="0" applyNumberFormat="1" applyFont="1" applyFill="1"/>
    <xf numFmtId="42" fontId="195" fillId="8" borderId="6" xfId="0" applyNumberFormat="1" applyFont="1" applyFill="1" applyBorder="1" applyAlignment="1">
      <alignment horizontal="right"/>
    </xf>
    <xf numFmtId="41" fontId="122" fillId="8" borderId="3" xfId="0" applyNumberFormat="1" applyFont="1" applyFill="1" applyBorder="1" applyAlignment="1">
      <alignment horizontal="right"/>
    </xf>
    <xf numFmtId="37" fontId="121" fillId="8" borderId="0" xfId="0" applyFont="1" applyFill="1" applyAlignment="1">
      <alignment horizontal="centerContinuous"/>
    </xf>
    <xf numFmtId="37" fontId="254" fillId="0" borderId="0" xfId="0" applyFont="1"/>
    <xf numFmtId="37" fontId="29" fillId="0" borderId="0" xfId="0" applyFont="1" applyAlignment="1">
      <alignment horizontal="right"/>
    </xf>
    <xf numFmtId="37" fontId="93" fillId="8" borderId="0" xfId="0" applyFont="1" applyFill="1"/>
    <xf numFmtId="37" fontId="58" fillId="0" borderId="71" xfId="0" applyFont="1" applyBorder="1" applyAlignment="1">
      <alignment horizontal="centerContinuous"/>
    </xf>
    <xf numFmtId="37" fontId="0" fillId="0" borderId="72" xfId="0" applyBorder="1" applyAlignment="1">
      <alignment horizontal="centerContinuous"/>
    </xf>
    <xf numFmtId="37" fontId="0" fillId="0" borderId="56" xfId="0" applyBorder="1" applyAlignment="1">
      <alignment horizontal="centerContinuous"/>
    </xf>
    <xf numFmtId="37" fontId="253" fillId="0" borderId="0" xfId="0" applyFont="1"/>
    <xf numFmtId="37" fontId="49" fillId="0" borderId="0" xfId="66" applyNumberFormat="1" applyFont="1"/>
    <xf numFmtId="37" fontId="58" fillId="0" borderId="0" xfId="66" applyNumberFormat="1" applyFont="1" applyAlignment="1">
      <alignment horizontal="center"/>
    </xf>
    <xf numFmtId="178" fontId="125" fillId="0" borderId="0" xfId="0" applyNumberFormat="1" applyFont="1"/>
    <xf numFmtId="42" fontId="147" fillId="8" borderId="0" xfId="0" applyNumberFormat="1" applyFont="1" applyFill="1" applyAlignment="1">
      <alignment horizontal="centerContinuous"/>
    </xf>
    <xf numFmtId="41" fontId="128" fillId="8" borderId="0" xfId="0" applyNumberFormat="1" applyFont="1" applyFill="1" applyAlignment="1">
      <alignment horizontal="center"/>
    </xf>
    <xf numFmtId="41" fontId="261" fillId="8" borderId="0" xfId="0" applyNumberFormat="1" applyFont="1" applyFill="1" applyAlignment="1">
      <alignment horizontal="left"/>
    </xf>
    <xf numFmtId="37" fontId="39" fillId="0" borderId="0" xfId="66" applyNumberFormat="1" applyFont="1"/>
    <xf numFmtId="37" fontId="121" fillId="0" borderId="73" xfId="0" applyFont="1" applyBorder="1" applyAlignment="1">
      <alignment horizontal="right"/>
    </xf>
    <xf numFmtId="37" fontId="56" fillId="54" borderId="74" xfId="0" applyFont="1" applyFill="1" applyBorder="1"/>
    <xf numFmtId="37" fontId="56" fillId="55" borderId="74" xfId="0" applyFont="1" applyFill="1" applyBorder="1"/>
    <xf numFmtId="37" fontId="37" fillId="3" borderId="74" xfId="0" applyFont="1" applyFill="1" applyBorder="1"/>
    <xf numFmtId="37" fontId="56" fillId="55" borderId="75" xfId="0" applyFont="1" applyFill="1" applyBorder="1"/>
    <xf numFmtId="37" fontId="262" fillId="8" borderId="0" xfId="0" applyFont="1" applyFill="1"/>
    <xf numFmtId="37" fontId="215" fillId="0" borderId="76" xfId="0" applyFont="1" applyBorder="1" applyAlignment="1">
      <alignment horizontal="center" vertical="center" wrapText="1"/>
    </xf>
    <xf numFmtId="37" fontId="215" fillId="0" borderId="61" xfId="0" applyFont="1" applyBorder="1" applyAlignment="1">
      <alignment horizontal="center" vertical="center" wrapText="1"/>
    </xf>
    <xf numFmtId="37" fontId="215" fillId="0" borderId="77" xfId="0" applyFont="1" applyBorder="1" applyAlignment="1">
      <alignment horizontal="center" vertical="center" wrapText="1"/>
    </xf>
    <xf numFmtId="42" fontId="215" fillId="0" borderId="61" xfId="35876" applyNumberFormat="1" applyFont="1" applyBorder="1" applyAlignment="1">
      <alignment horizontal="left" vertical="center" wrapText="1"/>
    </xf>
    <xf numFmtId="37" fontId="215" fillId="0" borderId="78" xfId="0" applyFont="1" applyBorder="1" applyAlignment="1">
      <alignment horizontal="center" vertical="center" wrapText="1"/>
    </xf>
    <xf numFmtId="37" fontId="215" fillId="0" borderId="79" xfId="0" applyFont="1" applyBorder="1" applyAlignment="1">
      <alignment horizontal="center" vertical="center" wrapText="1"/>
    </xf>
    <xf numFmtId="37" fontId="215" fillId="0" borderId="80" xfId="0" applyFont="1" applyBorder="1" applyAlignment="1">
      <alignment horizontal="center" vertical="center" wrapText="1"/>
    </xf>
    <xf numFmtId="37" fontId="214" fillId="0" borderId="81" xfId="0" applyFont="1" applyBorder="1" applyAlignment="1">
      <alignment horizontal="center" vertical="center" wrapText="1"/>
    </xf>
    <xf numFmtId="37" fontId="214" fillId="0" borderId="82" xfId="0" applyFont="1" applyBorder="1" applyAlignment="1">
      <alignment horizontal="center" vertical="center" wrapText="1"/>
    </xf>
    <xf numFmtId="37" fontId="214" fillId="0" borderId="83" xfId="0" applyFont="1" applyBorder="1" applyAlignment="1">
      <alignment horizontal="center" vertical="center" wrapText="1"/>
    </xf>
    <xf numFmtId="0" fontId="255" fillId="0" borderId="0" xfId="35874" applyNumberFormat="1" applyFont="1" applyBorder="1" applyAlignment="1">
      <alignment horizontal="centerContinuous"/>
    </xf>
    <xf numFmtId="3" fontId="250" fillId="0" borderId="0" xfId="1516" applyNumberFormat="1" applyFont="1"/>
    <xf numFmtId="173" fontId="56" fillId="0" borderId="6" xfId="1516" applyNumberFormat="1" applyFont="1" applyBorder="1"/>
    <xf numFmtId="0" fontId="263" fillId="0" borderId="0" xfId="1516" applyFont="1" applyAlignment="1">
      <alignment horizontal="centerContinuous"/>
    </xf>
    <xf numFmtId="0" fontId="256" fillId="0" borderId="0" xfId="1516" applyFont="1" applyAlignment="1">
      <alignment horizontal="right"/>
    </xf>
    <xf numFmtId="0" fontId="29" fillId="0" borderId="35" xfId="35874" applyNumberFormat="1" applyFont="1" applyBorder="1" applyAlignment="1">
      <alignment horizontal="centerContinuous"/>
    </xf>
    <xf numFmtId="0" fontId="29" fillId="0" borderId="36" xfId="35874" applyNumberFormat="1" applyFont="1" applyBorder="1" applyAlignment="1">
      <alignment horizontal="centerContinuous"/>
    </xf>
    <xf numFmtId="173" fontId="29" fillId="0" borderId="0" xfId="35874" applyNumberFormat="1" applyFont="1" applyAlignment="1">
      <alignment horizontal="centerContinuous"/>
    </xf>
    <xf numFmtId="0" fontId="256" fillId="0" borderId="0" xfId="1516" applyFont="1" applyAlignment="1">
      <alignment horizontal="centerContinuous"/>
    </xf>
    <xf numFmtId="41" fontId="29" fillId="0" borderId="0" xfId="35874" applyNumberFormat="1" applyFont="1"/>
    <xf numFmtId="173" fontId="29" fillId="0" borderId="6" xfId="35874" applyNumberFormat="1" applyFont="1" applyBorder="1"/>
    <xf numFmtId="173" fontId="30" fillId="0" borderId="0" xfId="35874" applyNumberFormat="1" applyFont="1"/>
    <xf numFmtId="173" fontId="58" fillId="0" borderId="0" xfId="35874" applyNumberFormat="1" applyFont="1"/>
    <xf numFmtId="0" fontId="53" fillId="0" borderId="0" xfId="1516" applyFont="1"/>
    <xf numFmtId="171" fontId="79" fillId="0" borderId="4" xfId="1516" applyNumberFormat="1" applyFont="1" applyBorder="1" applyAlignment="1">
      <alignment horizontal="center"/>
    </xf>
    <xf numFmtId="0" fontId="264" fillId="0" borderId="0" xfId="1516" applyFont="1"/>
    <xf numFmtId="0" fontId="265" fillId="0" borderId="0" xfId="1516" applyFont="1" applyAlignment="1">
      <alignment horizontal="centerContinuous"/>
    </xf>
    <xf numFmtId="0" fontId="266" fillId="0" borderId="0" xfId="1516" applyFont="1" applyAlignment="1">
      <alignment horizontal="centerContinuous"/>
    </xf>
    <xf numFmtId="173" fontId="267" fillId="0" borderId="0" xfId="35874" applyNumberFormat="1" applyFont="1" applyAlignment="1">
      <alignment horizontal="centerContinuous"/>
    </xf>
    <xf numFmtId="43" fontId="267" fillId="0" borderId="0" xfId="35874" applyFont="1" applyAlignment="1">
      <alignment horizontal="centerContinuous"/>
    </xf>
    <xf numFmtId="41" fontId="121" fillId="0" borderId="84" xfId="0" applyNumberFormat="1" applyFont="1" applyBorder="1" applyAlignment="1">
      <alignment horizontal="right"/>
    </xf>
    <xf numFmtId="37" fontId="125" fillId="0" borderId="0" xfId="0" applyFont="1" applyAlignment="1">
      <alignment wrapText="1"/>
    </xf>
    <xf numFmtId="37" fontId="125" fillId="0" borderId="85" xfId="0" applyFont="1" applyBorder="1" applyAlignment="1">
      <alignment horizontal="right"/>
    </xf>
    <xf numFmtId="37" fontId="176" fillId="0" borderId="22" xfId="0" applyFont="1" applyBorder="1" applyAlignment="1">
      <alignment horizontal="left"/>
    </xf>
    <xf numFmtId="37" fontId="126" fillId="0" borderId="4" xfId="0" applyFont="1" applyBorder="1" applyAlignment="1">
      <alignment horizontal="centerContinuous"/>
    </xf>
    <xf numFmtId="37" fontId="176" fillId="0" borderId="9" xfId="0" applyFont="1" applyBorder="1" applyAlignment="1">
      <alignment horizontal="center"/>
    </xf>
    <xf numFmtId="37" fontId="176" fillId="0" borderId="22" xfId="0" applyFont="1" applyBorder="1" applyAlignment="1">
      <alignment horizontal="center"/>
    </xf>
    <xf numFmtId="41" fontId="124" fillId="0" borderId="1" xfId="0" applyNumberFormat="1" applyFont="1" applyBorder="1" applyAlignment="1">
      <alignment horizontal="right"/>
    </xf>
    <xf numFmtId="41" fontId="124" fillId="0" borderId="0" xfId="0" applyNumberFormat="1" applyFont="1"/>
    <xf numFmtId="37" fontId="134" fillId="0" borderId="0" xfId="0" applyFont="1" applyAlignment="1">
      <alignment horizontal="right"/>
    </xf>
    <xf numFmtId="0" fontId="2" fillId="0" borderId="0" xfId="35882" applyFont="1"/>
    <xf numFmtId="179" fontId="125" fillId="0" borderId="0" xfId="0" applyNumberFormat="1" applyFont="1"/>
    <xf numFmtId="41" fontId="268" fillId="0" borderId="0" xfId="0" applyNumberFormat="1" applyFont="1" applyAlignment="1">
      <alignment horizontal="right"/>
    </xf>
    <xf numFmtId="42" fontId="122" fillId="0" borderId="2" xfId="0" applyNumberFormat="1" applyFont="1" applyBorder="1" applyAlignment="1">
      <alignment horizontal="right"/>
    </xf>
    <xf numFmtId="41" fontId="122" fillId="0" borderId="15" xfId="0" applyNumberFormat="1" applyFont="1" applyBorder="1" applyAlignment="1">
      <alignment horizontal="right"/>
    </xf>
    <xf numFmtId="37" fontId="215" fillId="0" borderId="86" xfId="0" applyFont="1" applyBorder="1" applyAlignment="1">
      <alignment horizontal="center" vertical="center" wrapText="1"/>
    </xf>
    <xf numFmtId="37" fontId="215" fillId="0" borderId="87" xfId="0" applyFont="1" applyBorder="1" applyAlignment="1">
      <alignment horizontal="center" vertical="center" wrapText="1"/>
    </xf>
    <xf numFmtId="37" fontId="215" fillId="0" borderId="13" xfId="0" applyFont="1" applyBorder="1" applyAlignment="1">
      <alignment horizontal="center" vertical="center" wrapText="1"/>
    </xf>
    <xf numFmtId="42" fontId="215" fillId="0" borderId="61" xfId="35876" applyNumberFormat="1" applyFont="1" applyBorder="1" applyAlignment="1">
      <alignment horizontal="center" vertical="center" wrapText="1"/>
    </xf>
    <xf numFmtId="42" fontId="215" fillId="0" borderId="80" xfId="0" applyNumberFormat="1" applyFont="1" applyBorder="1" applyAlignment="1">
      <alignment horizontal="center" vertical="center" wrapText="1"/>
    </xf>
    <xf numFmtId="167" fontId="144" fillId="0" borderId="0" xfId="0" applyNumberFormat="1" applyFont="1" applyAlignment="1">
      <alignment horizontal="center"/>
    </xf>
    <xf numFmtId="173" fontId="61" fillId="0" borderId="0" xfId="35874" applyNumberFormat="1" applyFont="1"/>
    <xf numFmtId="37" fontId="176" fillId="0" borderId="4" xfId="0" applyFont="1" applyBorder="1" applyAlignment="1">
      <alignment horizontal="centerContinuous"/>
    </xf>
    <xf numFmtId="174" fontId="269" fillId="8" borderId="0" xfId="35882" applyNumberFormat="1" applyFont="1" applyFill="1" applyAlignment="1">
      <alignment horizontal="center"/>
    </xf>
    <xf numFmtId="37" fontId="139" fillId="0" borderId="4" xfId="0" applyFont="1" applyBorder="1" applyAlignment="1">
      <alignment horizontal="centerContinuous"/>
    </xf>
    <xf numFmtId="37" fontId="122" fillId="0" borderId="0" xfId="66" applyNumberFormat="1" applyFont="1" applyAlignment="1">
      <alignment horizontal="centerContinuous"/>
    </xf>
    <xf numFmtId="37" fontId="54" fillId="0" borderId="0" xfId="0" applyFont="1" applyAlignment="1">
      <alignment horizontal="center"/>
    </xf>
    <xf numFmtId="164" fontId="270" fillId="0" borderId="0" xfId="0" applyNumberFormat="1" applyFont="1" applyAlignment="1">
      <alignment horizontal="center"/>
    </xf>
    <xf numFmtId="41" fontId="124" fillId="8" borderId="0" xfId="0" applyNumberFormat="1" applyFont="1" applyFill="1" applyAlignment="1">
      <alignment horizontal="center"/>
    </xf>
    <xf numFmtId="41" fontId="129" fillId="0" borderId="0" xfId="0" applyNumberFormat="1" applyFont="1" applyAlignment="1">
      <alignment horizontal="center"/>
    </xf>
    <xf numFmtId="37" fontId="209" fillId="0" borderId="0" xfId="0" applyFont="1" applyAlignment="1">
      <alignment horizontal="center"/>
    </xf>
    <xf numFmtId="37" fontId="209" fillId="0" borderId="0" xfId="0" applyFont="1"/>
    <xf numFmtId="39" fontId="181" fillId="0" borderId="0" xfId="0" applyNumberFormat="1" applyFont="1"/>
    <xf numFmtId="37" fontId="25" fillId="3" borderId="19" xfId="0" applyFont="1" applyFill="1" applyBorder="1"/>
    <xf numFmtId="37" fontId="25" fillId="3" borderId="21" xfId="0" applyFont="1" applyFill="1" applyBorder="1"/>
    <xf numFmtId="37" fontId="25" fillId="8" borderId="19" xfId="0" applyFont="1" applyFill="1" applyBorder="1"/>
    <xf numFmtId="37" fontId="25" fillId="0" borderId="19" xfId="0" applyFont="1" applyBorder="1"/>
    <xf numFmtId="37" fontId="25" fillId="0" borderId="21" xfId="0" applyFont="1" applyBorder="1"/>
    <xf numFmtId="37" fontId="195" fillId="0" borderId="0" xfId="0" applyFont="1" applyAlignment="1">
      <alignment horizontal="centerContinuous"/>
    </xf>
    <xf numFmtId="37" fontId="196" fillId="0" borderId="0" xfId="0" applyFont="1" applyAlignment="1">
      <alignment horizontal="center"/>
    </xf>
    <xf numFmtId="37" fontId="196" fillId="0" borderId="0" xfId="0" applyFont="1" applyAlignment="1">
      <alignment horizontal="centerContinuous"/>
    </xf>
    <xf numFmtId="37" fontId="122" fillId="3" borderId="0" xfId="0" applyFont="1" applyFill="1" applyAlignment="1">
      <alignment horizontal="right"/>
    </xf>
    <xf numFmtId="0" fontId="121" fillId="8" borderId="0" xfId="66" applyFont="1" applyFill="1"/>
    <xf numFmtId="3" fontId="124" fillId="8" borderId="0" xfId="66" applyNumberFormat="1" applyFont="1" applyFill="1"/>
    <xf numFmtId="43" fontId="121" fillId="0" borderId="0" xfId="66" applyNumberFormat="1" applyFont="1"/>
    <xf numFmtId="37" fontId="60" fillId="0" borderId="0" xfId="24" applyFont="1" applyAlignment="1">
      <alignment horizontal="left"/>
    </xf>
    <xf numFmtId="39" fontId="37" fillId="0" borderId="0" xfId="40778" applyFont="1"/>
    <xf numFmtId="37" fontId="271" fillId="0" borderId="0" xfId="0" applyFont="1" applyAlignment="1">
      <alignment horizontal="centerContinuous"/>
    </xf>
    <xf numFmtId="174" fontId="249" fillId="8" borderId="0" xfId="35882" applyNumberFormat="1" applyFont="1" applyFill="1" applyAlignment="1">
      <alignment horizontal="center"/>
    </xf>
    <xf numFmtId="174" fontId="58" fillId="8" borderId="6" xfId="0" applyNumberFormat="1" applyFont="1" applyFill="1" applyBorder="1" applyAlignment="1">
      <alignment horizontal="center"/>
    </xf>
    <xf numFmtId="41" fontId="121" fillId="0" borderId="73" xfId="0" applyNumberFormat="1" applyFont="1" applyBorder="1" applyAlignment="1">
      <alignment horizontal="right"/>
    </xf>
    <xf numFmtId="42" fontId="272" fillId="0" borderId="0" xfId="66" applyNumberFormat="1" applyFont="1" applyAlignment="1">
      <alignment horizontal="center"/>
    </xf>
    <xf numFmtId="0" fontId="272" fillId="0" borderId="0" xfId="66" applyFont="1"/>
    <xf numFmtId="42" fontId="121" fillId="0" borderId="0" xfId="66" applyNumberFormat="1" applyFont="1"/>
    <xf numFmtId="44" fontId="124" fillId="8" borderId="0" xfId="66" applyNumberFormat="1" applyFont="1" applyFill="1"/>
    <xf numFmtId="37" fontId="122" fillId="0" borderId="4" xfId="0" applyFont="1" applyBorder="1" applyAlignment="1">
      <alignment horizontal="left"/>
    </xf>
    <xf numFmtId="37" fontId="22" fillId="8" borderId="0" xfId="0" applyFont="1" applyFill="1" applyAlignment="1">
      <alignment horizontal="center"/>
    </xf>
    <xf numFmtId="37" fontId="29" fillId="8" borderId="0" xfId="0" applyFont="1" applyFill="1" applyAlignment="1">
      <alignment horizontal="center"/>
    </xf>
    <xf numFmtId="37" fontId="58" fillId="8" borderId="0" xfId="0" applyFont="1" applyFill="1"/>
    <xf numFmtId="37" fontId="0" fillId="8" borderId="76" xfId="0" applyFill="1" applyBorder="1"/>
    <xf numFmtId="3" fontId="273" fillId="0" borderId="0" xfId="0" applyNumberFormat="1" applyFont="1"/>
    <xf numFmtId="177" fontId="130" fillId="0" borderId="0" xfId="1516" applyNumberFormat="1" applyFont="1"/>
    <xf numFmtId="3" fontId="130" fillId="0" borderId="0" xfId="1516" applyNumberFormat="1" applyFont="1"/>
    <xf numFmtId="3" fontId="176" fillId="0" borderId="0" xfId="1516" applyNumberFormat="1" applyFont="1"/>
    <xf numFmtId="41" fontId="79" fillId="0" borderId="0" xfId="35887" applyNumberFormat="1" applyFont="1"/>
    <xf numFmtId="42" fontId="79" fillId="0" borderId="0" xfId="1516" applyNumberFormat="1" applyFont="1"/>
    <xf numFmtId="37" fontId="128" fillId="3" borderId="0" xfId="0" applyFont="1" applyFill="1" applyAlignment="1">
      <alignment horizontal="right"/>
    </xf>
    <xf numFmtId="41" fontId="126" fillId="0" borderId="0" xfId="0" applyNumberFormat="1" applyFont="1"/>
    <xf numFmtId="37" fontId="274" fillId="0" borderId="0" xfId="0" quotePrefix="1" applyFont="1" applyAlignment="1">
      <alignment horizontal="left"/>
    </xf>
    <xf numFmtId="37" fontId="121" fillId="0" borderId="88" xfId="0" applyFont="1" applyBorder="1" applyAlignment="1">
      <alignment vertical="center" wrapText="1"/>
    </xf>
    <xf numFmtId="37" fontId="121" fillId="0" borderId="56" xfId="0" applyFont="1" applyBorder="1" applyAlignment="1">
      <alignment vertical="center" wrapText="1"/>
    </xf>
    <xf numFmtId="37" fontId="121" fillId="0" borderId="14" xfId="0" applyFont="1" applyBorder="1" applyAlignment="1">
      <alignment vertical="center" wrapText="1"/>
    </xf>
    <xf numFmtId="37" fontId="121" fillId="0" borderId="55" xfId="0" applyFont="1" applyBorder="1" applyAlignment="1">
      <alignment vertical="center" wrapText="1"/>
    </xf>
    <xf numFmtId="42" fontId="121" fillId="0" borderId="55" xfId="0" applyNumberFormat="1" applyFont="1" applyBorder="1" applyAlignment="1">
      <alignment vertical="center" wrapText="1"/>
    </xf>
    <xf numFmtId="37" fontId="122" fillId="0" borderId="4" xfId="0" applyFont="1" applyBorder="1" applyAlignment="1">
      <alignment horizontal="center"/>
    </xf>
    <xf numFmtId="41" fontId="196" fillId="0" borderId="4" xfId="0" applyNumberFormat="1" applyFont="1" applyBorder="1"/>
    <xf numFmtId="37" fontId="124" fillId="8" borderId="0" xfId="0" applyFont="1" applyFill="1" applyAlignment="1">
      <alignment horizontal="right"/>
    </xf>
    <xf numFmtId="41" fontId="128" fillId="8" borderId="0" xfId="0" applyNumberFormat="1" applyFont="1" applyFill="1" applyAlignment="1">
      <alignment horizontal="right"/>
    </xf>
    <xf numFmtId="37" fontId="161" fillId="0" borderId="6" xfId="0" applyFont="1" applyBorder="1"/>
    <xf numFmtId="42" fontId="272" fillId="0" borderId="0" xfId="66" quotePrefix="1" applyNumberFormat="1" applyFont="1" applyAlignment="1">
      <alignment horizontal="center"/>
    </xf>
    <xf numFmtId="37" fontId="275" fillId="0" borderId="0" xfId="0" applyFont="1"/>
    <xf numFmtId="37" fontId="275" fillId="0" borderId="0" xfId="0" applyFont="1" applyAlignment="1">
      <alignment horizontal="center"/>
    </xf>
    <xf numFmtId="39" fontId="37" fillId="3" borderId="0" xfId="0" applyNumberFormat="1" applyFont="1" applyFill="1"/>
    <xf numFmtId="37" fontId="30" fillId="0" borderId="49" xfId="0" applyFont="1" applyBorder="1"/>
    <xf numFmtId="37" fontId="0" fillId="0" borderId="51" xfId="0" applyBorder="1"/>
    <xf numFmtId="37" fontId="30" fillId="0" borderId="52" xfId="0" applyFont="1" applyBorder="1"/>
    <xf numFmtId="37" fontId="0" fillId="0" borderId="53" xfId="0" applyBorder="1"/>
    <xf numFmtId="37" fontId="30" fillId="0" borderId="54" xfId="0" applyFont="1" applyBorder="1"/>
    <xf numFmtId="37" fontId="0" fillId="0" borderId="55" xfId="0" applyBorder="1"/>
    <xf numFmtId="37" fontId="30" fillId="3" borderId="0" xfId="0" applyFont="1" applyFill="1"/>
    <xf numFmtId="37" fontId="30" fillId="3" borderId="4" xfId="0" applyFont="1" applyFill="1" applyBorder="1"/>
    <xf numFmtId="42" fontId="139" fillId="3" borderId="0" xfId="0" applyNumberFormat="1" applyFont="1" applyFill="1" applyAlignment="1">
      <alignment horizontal="left"/>
    </xf>
    <xf numFmtId="37" fontId="209" fillId="8" borderId="0" xfId="0" applyFont="1" applyFill="1"/>
    <xf numFmtId="37" fontId="56" fillId="8" borderId="89" xfId="0" applyFont="1" applyFill="1" applyBorder="1"/>
    <xf numFmtId="37" fontId="0" fillId="0" borderId="73" xfId="0" applyBorder="1"/>
    <xf numFmtId="37" fontId="30" fillId="8" borderId="0" xfId="0" applyFont="1" applyFill="1" applyAlignment="1">
      <alignment horizontal="center"/>
    </xf>
    <xf numFmtId="37" fontId="276" fillId="8" borderId="0" xfId="0" applyFont="1" applyFill="1"/>
    <xf numFmtId="0" fontId="277" fillId="0" borderId="0" xfId="0" applyNumberFormat="1" applyFont="1" applyAlignment="1">
      <alignment vertical="center"/>
    </xf>
    <xf numFmtId="0" fontId="215" fillId="0" borderId="0" xfId="0" applyNumberFormat="1" applyFont="1" applyAlignment="1">
      <alignment vertical="center"/>
    </xf>
    <xf numFmtId="37" fontId="278" fillId="0" borderId="0" xfId="0" applyFont="1"/>
    <xf numFmtId="37" fontId="279" fillId="3" borderId="0" xfId="0" applyFont="1" applyFill="1" applyAlignment="1">
      <alignment horizontal="right"/>
    </xf>
    <xf numFmtId="37" fontId="280" fillId="8" borderId="0" xfId="0" applyFont="1" applyFill="1"/>
    <xf numFmtId="37" fontId="281" fillId="8" borderId="0" xfId="0" applyFont="1" applyFill="1"/>
    <xf numFmtId="37" fontId="282" fillId="8" borderId="0" xfId="0" applyFont="1" applyFill="1"/>
    <xf numFmtId="41" fontId="283" fillId="3" borderId="0" xfId="0" applyNumberFormat="1" applyFont="1" applyFill="1" applyAlignment="1">
      <alignment horizontal="right"/>
    </xf>
    <xf numFmtId="41" fontId="283" fillId="8" borderId="0" xfId="0" applyNumberFormat="1" applyFont="1" applyFill="1" applyAlignment="1">
      <alignment horizontal="right"/>
    </xf>
    <xf numFmtId="37" fontId="213" fillId="8" borderId="0" xfId="0" applyFont="1" applyFill="1" applyAlignment="1">
      <alignment horizontal="right"/>
    </xf>
    <xf numFmtId="37" fontId="176" fillId="0" borderId="0" xfId="0" applyFont="1" applyAlignment="1">
      <alignment horizontal="left"/>
    </xf>
    <xf numFmtId="37" fontId="22" fillId="4" borderId="0" xfId="0" applyFont="1" applyFill="1"/>
    <xf numFmtId="42" fontId="121" fillId="0" borderId="0" xfId="35876" applyNumberFormat="1" applyFont="1" applyFill="1"/>
    <xf numFmtId="41" fontId="121" fillId="0" borderId="0" xfId="35881" applyNumberFormat="1" applyFont="1" applyFill="1"/>
    <xf numFmtId="41" fontId="122" fillId="0" borderId="0" xfId="35876" applyNumberFormat="1" applyFont="1" applyAlignment="1">
      <alignment horizontal="right"/>
    </xf>
    <xf numFmtId="42" fontId="125" fillId="8" borderId="0" xfId="0" applyNumberFormat="1" applyFont="1" applyFill="1"/>
    <xf numFmtId="41" fontId="125" fillId="8" borderId="0" xfId="0" applyNumberFormat="1" applyFont="1" applyFill="1"/>
    <xf numFmtId="42" fontId="125" fillId="8" borderId="6" xfId="0" applyNumberFormat="1" applyFont="1" applyFill="1" applyBorder="1"/>
    <xf numFmtId="177" fontId="125" fillId="8" borderId="0" xfId="0" applyNumberFormat="1" applyFont="1" applyFill="1"/>
    <xf numFmtId="41" fontId="125" fillId="8" borderId="47" xfId="0" applyNumberFormat="1" applyFont="1" applyFill="1" applyBorder="1"/>
    <xf numFmtId="41" fontId="125" fillId="8" borderId="4" xfId="0" applyNumberFormat="1" applyFont="1" applyFill="1" applyBorder="1"/>
    <xf numFmtId="37" fontId="121" fillId="0" borderId="4" xfId="0" applyFont="1" applyBorder="1" applyAlignment="1">
      <alignment horizontal="center"/>
    </xf>
    <xf numFmtId="166" fontId="284" fillId="0" borderId="0" xfId="0" applyNumberFormat="1" applyFont="1" applyAlignment="1">
      <alignment horizontal="centerContinuous"/>
    </xf>
    <xf numFmtId="37" fontId="285" fillId="0" borderId="0" xfId="0" applyFont="1" applyAlignment="1">
      <alignment horizontal="centerContinuous"/>
    </xf>
    <xf numFmtId="37" fontId="284" fillId="0" borderId="0" xfId="0" applyFont="1" applyAlignment="1">
      <alignment horizontal="left"/>
    </xf>
    <xf numFmtId="37" fontId="285" fillId="0" borderId="0" xfId="0" applyFont="1" applyAlignment="1">
      <alignment horizontal="left"/>
    </xf>
    <xf numFmtId="42" fontId="285" fillId="0" borderId="0" xfId="0" applyNumberFormat="1" applyFont="1" applyAlignment="1">
      <alignment horizontal="left"/>
    </xf>
    <xf numFmtId="37" fontId="285" fillId="0" borderId="0" xfId="0" applyFont="1"/>
    <xf numFmtId="41" fontId="285" fillId="0" borderId="0" xfId="0" applyNumberFormat="1" applyFont="1" applyAlignment="1">
      <alignment horizontal="right"/>
    </xf>
    <xf numFmtId="42" fontId="285" fillId="0" borderId="0" xfId="0" applyNumberFormat="1" applyFont="1" applyAlignment="1">
      <alignment horizontal="right"/>
    </xf>
    <xf numFmtId="41" fontId="285" fillId="0" borderId="4" xfId="0" applyNumberFormat="1" applyFont="1" applyBorder="1" applyAlignment="1">
      <alignment horizontal="right"/>
    </xf>
    <xf numFmtId="41" fontId="284" fillId="0" borderId="0" xfId="0" applyNumberFormat="1" applyFont="1" applyAlignment="1">
      <alignment horizontal="right"/>
    </xf>
    <xf numFmtId="42" fontId="287" fillId="0" borderId="3" xfId="0" applyNumberFormat="1" applyFont="1" applyBorder="1" applyAlignment="1">
      <alignment horizontal="right"/>
    </xf>
    <xf numFmtId="37" fontId="286" fillId="0" borderId="0" xfId="0" applyFont="1"/>
    <xf numFmtId="41" fontId="284" fillId="0" borderId="0" xfId="0" applyNumberFormat="1" applyFont="1" applyAlignment="1">
      <alignment horizontal="centerContinuous"/>
    </xf>
    <xf numFmtId="37" fontId="285" fillId="0" borderId="0" xfId="0" applyFont="1" applyAlignment="1">
      <alignment horizontal="right"/>
    </xf>
    <xf numFmtId="37" fontId="285" fillId="0" borderId="0" xfId="0" applyFont="1" applyAlignment="1">
      <alignment horizontal="centerContinuous" wrapText="1"/>
    </xf>
    <xf numFmtId="37" fontId="285" fillId="0" borderId="4" xfId="0" applyFont="1" applyBorder="1" applyAlignment="1">
      <alignment horizontal="right"/>
    </xf>
    <xf numFmtId="42" fontId="287" fillId="0" borderId="15" xfId="0" applyNumberFormat="1" applyFont="1" applyBorder="1" applyAlignment="1">
      <alignment horizontal="right"/>
    </xf>
    <xf numFmtId="37" fontId="131" fillId="0" borderId="0" xfId="0" applyFont="1"/>
    <xf numFmtId="0" fontId="288" fillId="0" borderId="0" xfId="35890" applyFont="1" applyAlignment="1">
      <alignment vertical="center"/>
    </xf>
    <xf numFmtId="14" fontId="288" fillId="0" borderId="4" xfId="35890" applyNumberFormat="1" applyFont="1" applyBorder="1" applyAlignment="1">
      <alignment horizontal="center" vertical="center"/>
    </xf>
    <xf numFmtId="0" fontId="288" fillId="0" borderId="0" xfId="35890" applyFont="1" applyAlignment="1">
      <alignment horizontal="left" vertical="center"/>
    </xf>
    <xf numFmtId="42" fontId="288" fillId="0" borderId="0" xfId="35890" applyNumberFormat="1" applyFont="1" applyAlignment="1">
      <alignment horizontal="right" vertical="center"/>
    </xf>
    <xf numFmtId="42" fontId="121" fillId="0" borderId="0" xfId="35890" applyNumberFormat="1" applyFont="1" applyAlignment="1">
      <alignment horizontal="right" vertical="center"/>
    </xf>
    <xf numFmtId="41" fontId="288" fillId="0" borderId="0" xfId="35890" applyNumberFormat="1" applyFont="1" applyAlignment="1">
      <alignment horizontal="right" vertical="center"/>
    </xf>
    <xf numFmtId="41" fontId="121" fillId="0" borderId="0" xfId="35890" applyNumberFormat="1" applyFont="1" applyAlignment="1">
      <alignment horizontal="right" vertical="center"/>
    </xf>
    <xf numFmtId="41" fontId="288" fillId="0" borderId="4" xfId="35890" applyNumberFormat="1" applyFont="1" applyBorder="1" applyAlignment="1">
      <alignment horizontal="right" vertical="center"/>
    </xf>
    <xf numFmtId="41" fontId="121" fillId="0" borderId="4" xfId="35890" applyNumberFormat="1" applyFont="1" applyBorder="1" applyAlignment="1">
      <alignment horizontal="right" vertical="center"/>
    </xf>
    <xf numFmtId="0" fontId="288" fillId="0" borderId="0" xfId="35890" applyFont="1" applyAlignment="1">
      <alignment horizontal="left" vertical="center" wrapText="1" indent="1"/>
    </xf>
    <xf numFmtId="42" fontId="288" fillId="0" borderId="15" xfId="35890" applyNumberFormat="1" applyFont="1" applyBorder="1" applyAlignment="1">
      <alignment horizontal="center" vertical="center"/>
    </xf>
    <xf numFmtId="37" fontId="288" fillId="0" borderId="0" xfId="0" applyFont="1"/>
    <xf numFmtId="37" fontId="288" fillId="0" borderId="0" xfId="0" applyFont="1" applyAlignment="1">
      <alignment horizontal="centerContinuous"/>
    </xf>
    <xf numFmtId="37" fontId="288" fillId="0" borderId="4" xfId="0" applyFont="1" applyBorder="1" applyAlignment="1">
      <alignment horizontal="centerContinuous"/>
    </xf>
    <xf numFmtId="37" fontId="288" fillId="0" borderId="0" xfId="0" applyFont="1" applyAlignment="1">
      <alignment horizontal="center"/>
    </xf>
    <xf numFmtId="37" fontId="288" fillId="0" borderId="4" xfId="0" applyFont="1" applyBorder="1" applyAlignment="1">
      <alignment horizontal="center"/>
    </xf>
    <xf numFmtId="173" fontId="121" fillId="0" borderId="0" xfId="35881" applyNumberFormat="1" applyFont="1"/>
    <xf numFmtId="41" fontId="121" fillId="0" borderId="4" xfId="35881" applyNumberFormat="1" applyFont="1" applyBorder="1"/>
    <xf numFmtId="37" fontId="185" fillId="0" borderId="0" xfId="0" applyFont="1"/>
    <xf numFmtId="41" fontId="121" fillId="0" borderId="5" xfId="0" applyNumberFormat="1" applyFont="1" applyBorder="1"/>
    <xf numFmtId="41" fontId="288" fillId="0" borderId="0" xfId="0" applyNumberFormat="1" applyFont="1" applyAlignment="1">
      <alignment horizontal="center"/>
    </xf>
    <xf numFmtId="41" fontId="121" fillId="0" borderId="0" xfId="35881" applyNumberFormat="1" applyFont="1"/>
    <xf numFmtId="173" fontId="121" fillId="0" borderId="0" xfId="35881" applyNumberFormat="1" applyFont="1" applyBorder="1"/>
    <xf numFmtId="42" fontId="121" fillId="0" borderId="15" xfId="35876" applyNumberFormat="1" applyFont="1" applyBorder="1"/>
    <xf numFmtId="0" fontId="288" fillId="0" borderId="0" xfId="1516" applyFont="1"/>
    <xf numFmtId="0" fontId="288" fillId="0" borderId="0" xfId="35886" applyFont="1"/>
    <xf numFmtId="0" fontId="288" fillId="0" borderId="4" xfId="35886" applyFont="1" applyBorder="1" applyAlignment="1">
      <alignment horizontal="center"/>
    </xf>
    <xf numFmtId="42" fontId="288" fillId="0" borderId="0" xfId="35876" applyNumberFormat="1" applyFont="1"/>
    <xf numFmtId="41" fontId="288" fillId="0" borderId="4" xfId="35881" applyNumberFormat="1" applyFont="1" applyBorder="1"/>
    <xf numFmtId="172" fontId="288" fillId="0" borderId="6" xfId="35876" applyNumberFormat="1" applyFont="1" applyBorder="1"/>
    <xf numFmtId="172" fontId="288" fillId="0" borderId="0" xfId="35876" applyNumberFormat="1" applyFont="1"/>
    <xf numFmtId="0" fontId="288" fillId="0" borderId="0" xfId="35886" applyFont="1" applyAlignment="1">
      <alignment horizontal="center"/>
    </xf>
    <xf numFmtId="42" fontId="288" fillId="0" borderId="0" xfId="1516" applyNumberFormat="1" applyFont="1"/>
    <xf numFmtId="41" fontId="288" fillId="0" borderId="0" xfId="35876" applyNumberFormat="1" applyFont="1"/>
    <xf numFmtId="41" fontId="288" fillId="0" borderId="0" xfId="1516" applyNumberFormat="1" applyFont="1"/>
    <xf numFmtId="42" fontId="288" fillId="0" borderId="4" xfId="35876" applyNumberFormat="1" applyFont="1" applyBorder="1"/>
    <xf numFmtId="42" fontId="288" fillId="0" borderId="6" xfId="35876" applyNumberFormat="1" applyFont="1" applyBorder="1"/>
    <xf numFmtId="0" fontId="288" fillId="0" borderId="0" xfId="1516" applyFont="1" applyAlignment="1">
      <alignment vertical="center"/>
    </xf>
    <xf numFmtId="175" fontId="125" fillId="0" borderId="0" xfId="0" applyNumberFormat="1" applyFont="1"/>
    <xf numFmtId="37" fontId="289" fillId="8" borderId="0" xfId="0" applyFont="1" applyFill="1"/>
    <xf numFmtId="37" fontId="53" fillId="8" borderId="0" xfId="0" applyFont="1" applyFill="1" applyAlignment="1">
      <alignment horizontal="right"/>
    </xf>
    <xf numFmtId="37" fontId="290" fillId="0" borderId="0" xfId="0" applyFont="1" applyAlignment="1">
      <alignment horizontal="center"/>
    </xf>
    <xf numFmtId="37" fontId="253" fillId="0" borderId="0" xfId="0" applyFont="1" applyAlignment="1">
      <alignment horizontal="center"/>
    </xf>
    <xf numFmtId="37" fontId="291" fillId="0" borderId="0" xfId="0" applyFont="1" applyAlignment="1">
      <alignment horizontal="center"/>
    </xf>
    <xf numFmtId="37" fontId="262" fillId="0" borderId="0" xfId="0" applyFont="1"/>
    <xf numFmtId="41" fontId="124" fillId="0" borderId="0" xfId="0" applyNumberFormat="1" applyFont="1" applyAlignment="1">
      <alignment horizontal="left"/>
    </xf>
    <xf numFmtId="37" fontId="61" fillId="8" borderId="0" xfId="0" applyFont="1" applyFill="1" applyAlignment="1">
      <alignment horizontal="center"/>
    </xf>
    <xf numFmtId="37" fontId="59" fillId="8" borderId="0" xfId="0" applyFont="1" applyFill="1" applyAlignment="1">
      <alignment horizontal="center"/>
    </xf>
    <xf numFmtId="41" fontId="288" fillId="0" borderId="4" xfId="35876" applyNumberFormat="1" applyFont="1" applyBorder="1"/>
    <xf numFmtId="37" fontId="125" fillId="53" borderId="0" xfId="0" applyFont="1" applyFill="1"/>
    <xf numFmtId="10" fontId="99" fillId="0" borderId="0" xfId="1516" applyNumberFormat="1" applyFont="1"/>
    <xf numFmtId="0" fontId="255" fillId="0" borderId="0" xfId="35874" applyNumberFormat="1" applyFont="1" applyAlignment="1">
      <alignment horizontal="centerContinuous"/>
    </xf>
    <xf numFmtId="0" fontId="58" fillId="0" borderId="35" xfId="35874" applyNumberFormat="1" applyFont="1" applyBorder="1" applyAlignment="1">
      <alignment horizontal="centerContinuous"/>
    </xf>
    <xf numFmtId="0" fontId="53" fillId="0" borderId="35" xfId="35874" applyNumberFormat="1" applyFont="1" applyBorder="1" applyAlignment="1">
      <alignment horizontal="centerContinuous"/>
    </xf>
    <xf numFmtId="0" fontId="116" fillId="0" borderId="0" xfId="1516" applyFont="1"/>
    <xf numFmtId="0" fontId="118" fillId="0" borderId="0" xfId="1516" applyFont="1"/>
    <xf numFmtId="43" fontId="99" fillId="0" borderId="0" xfId="1516" applyNumberFormat="1" applyFont="1"/>
    <xf numFmtId="173" fontId="53" fillId="0" borderId="0" xfId="35874" applyNumberFormat="1" applyFont="1" applyAlignment="1">
      <alignment horizontal="center"/>
    </xf>
    <xf numFmtId="0" fontId="293" fillId="0" borderId="0" xfId="1516" applyFont="1"/>
    <xf numFmtId="0" fontId="202" fillId="0" borderId="0" xfId="35882" applyFont="1" applyAlignment="1">
      <alignment horizontal="center"/>
    </xf>
    <xf numFmtId="0" fontId="187" fillId="0" borderId="0" xfId="35882" applyFont="1" applyAlignment="1">
      <alignment horizontal="center"/>
    </xf>
    <xf numFmtId="0" fontId="182" fillId="0" borderId="0" xfId="1516" applyFont="1" applyAlignment="1">
      <alignment horizontal="center" vertical="top"/>
    </xf>
    <xf numFmtId="0" fontId="294" fillId="0" borderId="0" xfId="1516" applyFont="1"/>
    <xf numFmtId="0" fontId="1" fillId="0" borderId="0" xfId="1516" applyFont="1"/>
    <xf numFmtId="0" fontId="86" fillId="0" borderId="16" xfId="1516" applyBorder="1"/>
    <xf numFmtId="172" fontId="97" fillId="8" borderId="49" xfId="35876" applyNumberFormat="1" applyFont="1" applyFill="1" applyBorder="1"/>
    <xf numFmtId="0" fontId="86" fillId="8" borderId="50" xfId="1516" applyFill="1" applyBorder="1"/>
    <xf numFmtId="0" fontId="86" fillId="8" borderId="51" xfId="1516" applyFill="1" applyBorder="1"/>
    <xf numFmtId="173" fontId="86" fillId="8" borderId="0" xfId="1516" applyNumberFormat="1" applyFill="1"/>
    <xf numFmtId="0" fontId="86" fillId="8" borderId="0" xfId="1516" applyFill="1"/>
    <xf numFmtId="0" fontId="86" fillId="8" borderId="53" xfId="1516" applyFill="1" applyBorder="1"/>
    <xf numFmtId="0" fontId="86" fillId="8" borderId="52" xfId="1516" applyFill="1" applyBorder="1"/>
    <xf numFmtId="0" fontId="1" fillId="8" borderId="0" xfId="1516" applyFont="1" applyFill="1"/>
    <xf numFmtId="0" fontId="86" fillId="8" borderId="54" xfId="1516" applyFill="1" applyBorder="1"/>
    <xf numFmtId="0" fontId="86" fillId="8" borderId="16" xfId="1516" applyFill="1" applyBorder="1"/>
    <xf numFmtId="0" fontId="86" fillId="8" borderId="55" xfId="1516" applyFill="1" applyBorder="1"/>
    <xf numFmtId="0" fontId="292" fillId="8" borderId="16" xfId="1516" applyFont="1" applyFill="1" applyBorder="1"/>
    <xf numFmtId="172" fontId="295" fillId="8" borderId="52" xfId="35876" applyNumberFormat="1" applyFont="1" applyFill="1" applyBorder="1"/>
    <xf numFmtId="0" fontId="252" fillId="0" borderId="0" xfId="1516" applyFont="1"/>
    <xf numFmtId="173" fontId="296" fillId="0" borderId="0" xfId="35874" applyNumberFormat="1" applyFont="1" applyFill="1" applyBorder="1" applyAlignment="1">
      <alignment horizontal="left"/>
    </xf>
    <xf numFmtId="4" fontId="0" fillId="0" borderId="0" xfId="35874" applyNumberFormat="1" applyFont="1" applyBorder="1"/>
    <xf numFmtId="43" fontId="191" fillId="0" borderId="0" xfId="35874" applyFont="1" applyBorder="1" applyAlignment="1">
      <alignment horizontal="center"/>
    </xf>
    <xf numFmtId="43" fontId="0" fillId="0" borderId="0" xfId="35874" applyFont="1" applyBorder="1"/>
    <xf numFmtId="43" fontId="0" fillId="0" borderId="0" xfId="35874" applyFont="1" applyBorder="1" applyAlignment="1">
      <alignment horizontal="center"/>
    </xf>
    <xf numFmtId="37" fontId="193" fillId="8" borderId="0" xfId="1516" applyNumberFormat="1" applyFont="1" applyFill="1"/>
    <xf numFmtId="43" fontId="253" fillId="0" borderId="0" xfId="35874" applyFont="1" applyBorder="1" applyAlignment="1">
      <alignment horizontal="centerContinuous"/>
    </xf>
    <xf numFmtId="43" fontId="200" fillId="0" borderId="0" xfId="35874" applyFont="1" applyAlignment="1">
      <alignment horizontal="left"/>
    </xf>
    <xf numFmtId="43" fontId="292" fillId="0" borderId="0" xfId="35874" applyFont="1" applyAlignment="1">
      <alignment horizontal="left"/>
    </xf>
    <xf numFmtId="37" fontId="292" fillId="8" borderId="0" xfId="1516" applyNumberFormat="1" applyFont="1" applyFill="1"/>
    <xf numFmtId="173" fontId="296" fillId="0" borderId="0" xfId="35874" applyNumberFormat="1" applyFont="1" applyFill="1" applyBorder="1" applyAlignment="1">
      <alignment horizontal="centerContinuous"/>
    </xf>
    <xf numFmtId="0" fontId="191" fillId="0" borderId="0" xfId="1516" applyFont="1" applyAlignment="1">
      <alignment horizontal="centerContinuous"/>
    </xf>
    <xf numFmtId="43" fontId="29" fillId="0" borderId="0" xfId="35874" applyFont="1" applyBorder="1" applyAlignment="1">
      <alignment horizontal="centerContinuous"/>
    </xf>
    <xf numFmtId="3" fontId="201" fillId="0" borderId="0" xfId="1516" applyNumberFormat="1" applyFont="1" applyAlignment="1">
      <alignment horizontal="center"/>
    </xf>
    <xf numFmtId="10" fontId="61" fillId="8" borderId="0" xfId="35874" applyNumberFormat="1" applyFont="1" applyFill="1" applyAlignment="1">
      <alignment horizontal="center"/>
    </xf>
    <xf numFmtId="0" fontId="191" fillId="8" borderId="0" xfId="1516" applyFont="1" applyFill="1"/>
    <xf numFmtId="0" fontId="297" fillId="8" borderId="0" xfId="1516" applyFont="1" applyFill="1"/>
    <xf numFmtId="41" fontId="273" fillId="8" borderId="0" xfId="35887" applyNumberFormat="1" applyFont="1" applyFill="1"/>
    <xf numFmtId="41" fontId="210" fillId="0" borderId="0" xfId="35887" applyNumberFormat="1" applyFont="1" applyFill="1"/>
    <xf numFmtId="0" fontId="292" fillId="8" borderId="0" xfId="1516" applyFont="1" applyFill="1"/>
    <xf numFmtId="3" fontId="201" fillId="0" borderId="6" xfId="1516" applyNumberFormat="1" applyFont="1" applyBorder="1" applyAlignment="1">
      <alignment horizontal="right"/>
    </xf>
    <xf numFmtId="0" fontId="297" fillId="8" borderId="0" xfId="1516" applyFont="1" applyFill="1" applyAlignment="1">
      <alignment horizontal="center"/>
    </xf>
    <xf numFmtId="4" fontId="298" fillId="0" borderId="0" xfId="1516" applyNumberFormat="1" applyFont="1" applyAlignment="1">
      <alignment horizontal="left"/>
    </xf>
    <xf numFmtId="4" fontId="299" fillId="0" borderId="0" xfId="1516" applyNumberFormat="1" applyFont="1" applyAlignment="1">
      <alignment horizontal="left"/>
    </xf>
    <xf numFmtId="4" fontId="192" fillId="0" borderId="16" xfId="1516" applyNumberFormat="1" applyFont="1" applyBorder="1" applyAlignment="1">
      <alignment horizontal="center"/>
    </xf>
    <xf numFmtId="37" fontId="0" fillId="0" borderId="16" xfId="35874" applyNumberFormat="1" applyFont="1" applyBorder="1"/>
    <xf numFmtId="4" fontId="86" fillId="0" borderId="16" xfId="1516" applyNumberFormat="1" applyBorder="1"/>
    <xf numFmtId="3" fontId="250" fillId="0" borderId="16" xfId="1516" applyNumberFormat="1" applyFont="1" applyBorder="1"/>
    <xf numFmtId="0" fontId="300" fillId="0" borderId="0" xfId="1516" applyFont="1"/>
    <xf numFmtId="172" fontId="97" fillId="0" borderId="0" xfId="35876" applyNumberFormat="1" applyFont="1" applyFill="1"/>
    <xf numFmtId="37" fontId="283" fillId="0" borderId="4" xfId="0" applyFont="1" applyBorder="1" applyAlignment="1">
      <alignment horizontal="right"/>
    </xf>
    <xf numFmtId="37" fontId="283" fillId="0" borderId="0" xfId="0" applyFont="1" applyAlignment="1">
      <alignment horizontal="right"/>
    </xf>
    <xf numFmtId="0" fontId="191" fillId="0" borderId="0" xfId="1516" applyFont="1"/>
    <xf numFmtId="37" fontId="22" fillId="0" borderId="7" xfId="0" applyFont="1" applyBorder="1"/>
    <xf numFmtId="0" fontId="134" fillId="0" borderId="19" xfId="0" applyNumberFormat="1" applyFont="1" applyBorder="1" applyAlignment="1">
      <alignment horizontal="right"/>
    </xf>
    <xf numFmtId="37" fontId="147" fillId="3" borderId="90" xfId="0" applyFont="1" applyFill="1" applyBorder="1" applyAlignment="1">
      <alignment horizontal="right"/>
    </xf>
    <xf numFmtId="37" fontId="301" fillId="0" borderId="0" xfId="0" applyFont="1"/>
    <xf numFmtId="37" fontId="150" fillId="0" borderId="4" xfId="0" applyFont="1" applyBorder="1" applyAlignment="1">
      <alignment horizontal="center" wrapText="1"/>
    </xf>
    <xf numFmtId="37" fontId="282" fillId="0" borderId="0" xfId="0" applyFont="1" applyAlignment="1">
      <alignment horizontal="center"/>
    </xf>
    <xf numFmtId="41" fontId="283" fillId="0" borderId="0" xfId="0" applyNumberFormat="1" applyFont="1" applyAlignment="1">
      <alignment horizontal="right"/>
    </xf>
    <xf numFmtId="37" fontId="139" fillId="3" borderId="5" xfId="0" applyFont="1" applyFill="1" applyBorder="1" applyAlignment="1">
      <alignment horizontal="right"/>
    </xf>
    <xf numFmtId="37" fontId="81" fillId="8" borderId="0" xfId="0" applyFont="1" applyFill="1"/>
    <xf numFmtId="42" fontId="139" fillId="0" borderId="0" xfId="0" applyNumberFormat="1" applyFont="1" applyAlignment="1">
      <alignment horizontal="right"/>
    </xf>
    <xf numFmtId="37" fontId="283" fillId="8" borderId="0" xfId="0" applyFont="1" applyFill="1" applyAlignment="1">
      <alignment horizontal="left"/>
    </xf>
    <xf numFmtId="37" fontId="302" fillId="0" borderId="0" xfId="0" applyFont="1"/>
    <xf numFmtId="37" fontId="302" fillId="8" borderId="0" xfId="0" applyFont="1" applyFill="1"/>
    <xf numFmtId="37" fontId="262" fillId="3" borderId="0" xfId="0" applyFont="1" applyFill="1"/>
    <xf numFmtId="37" fontId="25" fillId="8" borderId="0" xfId="0" applyFont="1" applyFill="1"/>
    <xf numFmtId="41" fontId="145" fillId="0" borderId="0" xfId="0" quotePrefix="1" applyNumberFormat="1" applyFont="1"/>
    <xf numFmtId="42" fontId="195" fillId="0" borderId="2" xfId="0" applyNumberFormat="1" applyFont="1" applyBorder="1" applyAlignment="1">
      <alignment horizontal="right"/>
    </xf>
    <xf numFmtId="41" fontId="195" fillId="0" borderId="3" xfId="0" applyNumberFormat="1" applyFont="1" applyBorder="1" applyAlignment="1">
      <alignment horizontal="right"/>
    </xf>
    <xf numFmtId="37" fontId="172" fillId="0" borderId="4" xfId="0" applyFont="1" applyBorder="1" applyAlignment="1">
      <alignment horizontal="center"/>
    </xf>
    <xf numFmtId="37" fontId="135" fillId="0" borderId="0" xfId="0" applyFont="1" applyAlignment="1">
      <alignment horizontal="center"/>
    </xf>
    <xf numFmtId="37" fontId="288" fillId="0" borderId="4" xfId="0" applyFont="1" applyBorder="1" applyAlignment="1">
      <alignment horizontal="center"/>
    </xf>
    <xf numFmtId="37" fontId="125" fillId="0" borderId="4" xfId="0" applyFont="1" applyBorder="1" applyAlignment="1">
      <alignment horizontal="center"/>
    </xf>
    <xf numFmtId="37" fontId="125" fillId="0" borderId="0" xfId="0" applyFont="1" applyAlignment="1">
      <alignment horizontal="center" wrapText="1"/>
    </xf>
    <xf numFmtId="37" fontId="125" fillId="0" borderId="0" xfId="0" applyFont="1" applyAlignment="1">
      <alignment horizontal="center"/>
    </xf>
    <xf numFmtId="42" fontId="288" fillId="0" borderId="0" xfId="1516" applyNumberFormat="1" applyFont="1" applyAlignment="1">
      <alignment horizontal="center"/>
    </xf>
    <xf numFmtId="0" fontId="288" fillId="0" borderId="4" xfId="1516" applyFont="1" applyBorder="1" applyAlignment="1">
      <alignment horizontal="center"/>
    </xf>
    <xf numFmtId="0" fontId="185" fillId="0" borderId="0" xfId="1516" applyFont="1" applyAlignment="1">
      <alignment horizontal="center"/>
    </xf>
    <xf numFmtId="0" fontId="288" fillId="0" borderId="0" xfId="1516" applyFont="1" applyAlignment="1">
      <alignment horizontal="center"/>
    </xf>
    <xf numFmtId="0" fontId="288" fillId="0" borderId="0" xfId="35886" applyFont="1" applyAlignment="1">
      <alignment horizontal="left"/>
    </xf>
    <xf numFmtId="37" fontId="122" fillId="0" borderId="0" xfId="0" applyFont="1" applyAlignment="1">
      <alignment horizontal="center"/>
    </xf>
    <xf numFmtId="166" fontId="122" fillId="0" borderId="0" xfId="0" applyNumberFormat="1" applyFont="1" applyAlignment="1">
      <alignment horizontal="center"/>
    </xf>
    <xf numFmtId="166" fontId="125" fillId="0" borderId="0" xfId="0" applyNumberFormat="1" applyFont="1" applyAlignment="1">
      <alignment horizontal="center"/>
    </xf>
    <xf numFmtId="37" fontId="121" fillId="0" borderId="4" xfId="0" applyFont="1" applyBorder="1" applyAlignment="1">
      <alignment horizontal="center"/>
    </xf>
    <xf numFmtId="37" fontId="121" fillId="0" borderId="0" xfId="0" applyFont="1" applyAlignment="1">
      <alignment horizontal="center"/>
    </xf>
    <xf numFmtId="0" fontId="194" fillId="0" borderId="0" xfId="0" applyNumberFormat="1" applyFont="1" applyAlignment="1">
      <alignment horizontal="center"/>
    </xf>
    <xf numFmtId="0" fontId="121" fillId="0" borderId="0" xfId="0" applyNumberFormat="1" applyFont="1" applyAlignment="1">
      <alignment horizontal="center"/>
    </xf>
    <xf numFmtId="37" fontId="140" fillId="0" borderId="4" xfId="0" applyFont="1" applyBorder="1" applyAlignment="1">
      <alignment horizontal="center"/>
    </xf>
    <xf numFmtId="37" fontId="174" fillId="0" borderId="0" xfId="0" applyFont="1" applyAlignment="1">
      <alignment horizontal="center"/>
    </xf>
    <xf numFmtId="166" fontId="284" fillId="0" borderId="0" xfId="0" applyNumberFormat="1" applyFont="1" applyAlignment="1">
      <alignment horizontal="center"/>
    </xf>
    <xf numFmtId="171" fontId="122" fillId="0" borderId="0" xfId="0" applyNumberFormat="1" applyFont="1" applyAlignment="1">
      <alignment horizontal="center"/>
    </xf>
    <xf numFmtId="37" fontId="284" fillId="0" borderId="0" xfId="0" applyFont="1" applyAlignment="1">
      <alignment horizontal="center"/>
    </xf>
    <xf numFmtId="37" fontId="285" fillId="0" borderId="0" xfId="0" applyFont="1" applyAlignment="1">
      <alignment horizontal="left" wrapText="1"/>
    </xf>
    <xf numFmtId="37" fontId="122" fillId="0" borderId="0" xfId="0" applyFont="1" applyAlignment="1">
      <alignment horizontal="center" vertical="center"/>
    </xf>
    <xf numFmtId="37" fontId="126" fillId="0" borderId="0" xfId="0" applyFont="1"/>
    <xf numFmtId="37" fontId="122" fillId="0" borderId="2" xfId="0" applyFont="1" applyBorder="1" applyAlignment="1">
      <alignment horizontal="center"/>
    </xf>
    <xf numFmtId="37" fontId="122" fillId="0" borderId="4" xfId="0" applyFont="1" applyBorder="1" applyAlignment="1">
      <alignment horizontal="center"/>
    </xf>
    <xf numFmtId="37" fontId="125" fillId="0" borderId="0" xfId="0" applyFont="1"/>
    <xf numFmtId="0" fontId="121" fillId="0" borderId="0" xfId="66" applyFont="1" applyAlignment="1">
      <alignment horizontal="center"/>
    </xf>
    <xf numFmtId="49" fontId="102" fillId="44" borderId="35" xfId="0" applyNumberFormat="1" applyFont="1" applyFill="1" applyBorder="1" applyAlignment="1">
      <alignment horizontal="center"/>
    </xf>
    <xf numFmtId="49" fontId="102" fillId="44" borderId="5" xfId="0" applyNumberFormat="1" applyFont="1" applyFill="1" applyBorder="1" applyAlignment="1">
      <alignment horizontal="center"/>
    </xf>
    <xf numFmtId="49" fontId="87" fillId="0" borderId="35" xfId="0" applyNumberFormat="1" applyFont="1" applyBorder="1" applyAlignment="1">
      <alignment horizontal="center"/>
    </xf>
    <xf numFmtId="49" fontId="87" fillId="0" borderId="5" xfId="0" applyNumberFormat="1" applyFont="1" applyBorder="1" applyAlignment="1">
      <alignment horizontal="center"/>
    </xf>
    <xf numFmtId="49" fontId="103" fillId="47" borderId="35" xfId="0" applyNumberFormat="1" applyFont="1" applyFill="1" applyBorder="1" applyAlignment="1">
      <alignment horizontal="center"/>
    </xf>
    <xf numFmtId="49" fontId="103" fillId="47" borderId="5" xfId="0" applyNumberFormat="1" applyFont="1" applyFill="1" applyBorder="1" applyAlignment="1">
      <alignment horizontal="center"/>
    </xf>
    <xf numFmtId="49" fontId="102" fillId="0" borderId="35" xfId="0" applyNumberFormat="1" applyFont="1" applyBorder="1" applyAlignment="1">
      <alignment horizontal="center"/>
    </xf>
    <xf numFmtId="49" fontId="102" fillId="0" borderId="5" xfId="0" applyNumberFormat="1" applyFont="1" applyBorder="1" applyAlignment="1">
      <alignment horizontal="center"/>
    </xf>
    <xf numFmtId="49" fontId="106" fillId="0" borderId="23" xfId="0" applyNumberFormat="1" applyFont="1" applyBorder="1" applyAlignment="1">
      <alignment horizontal="right"/>
    </xf>
    <xf numFmtId="49" fontId="106" fillId="0" borderId="0" xfId="0" applyNumberFormat="1" applyFont="1" applyAlignment="1">
      <alignment horizontal="right"/>
    </xf>
    <xf numFmtId="49" fontId="101" fillId="0" borderId="21" xfId="0" applyNumberFormat="1" applyFont="1" applyBorder="1" applyAlignment="1">
      <alignment horizontal="center" wrapText="1"/>
    </xf>
    <xf numFmtId="49" fontId="101" fillId="0" borderId="4" xfId="0" applyNumberFormat="1" applyFont="1" applyBorder="1" applyAlignment="1">
      <alignment horizontal="center" wrapText="1"/>
    </xf>
    <xf numFmtId="49" fontId="108" fillId="47" borderId="35" xfId="0" applyNumberFormat="1" applyFont="1" applyFill="1" applyBorder="1" applyAlignment="1">
      <alignment horizontal="center"/>
    </xf>
    <xf numFmtId="49" fontId="108" fillId="47" borderId="5" xfId="0" applyNumberFormat="1" applyFont="1" applyFill="1" applyBorder="1" applyAlignment="1">
      <alignment horizontal="center"/>
    </xf>
    <xf numFmtId="49" fontId="108" fillId="47" borderId="36" xfId="0" applyNumberFormat="1" applyFont="1" applyFill="1" applyBorder="1" applyAlignment="1">
      <alignment horizontal="center"/>
    </xf>
    <xf numFmtId="49" fontId="110" fillId="44" borderId="35" xfId="0" applyNumberFormat="1" applyFont="1" applyFill="1" applyBorder="1" applyAlignment="1">
      <alignment horizontal="center"/>
    </xf>
    <xf numFmtId="49" fontId="110" fillId="44" borderId="5" xfId="0" applyNumberFormat="1" applyFont="1" applyFill="1" applyBorder="1" applyAlignment="1">
      <alignment horizontal="center"/>
    </xf>
    <xf numFmtId="49" fontId="110" fillId="44" borderId="36" xfId="0" applyNumberFormat="1" applyFont="1" applyFill="1" applyBorder="1" applyAlignment="1">
      <alignment horizontal="center"/>
    </xf>
    <xf numFmtId="49" fontId="106" fillId="0" borderId="19" xfId="0" applyNumberFormat="1" applyFont="1" applyBorder="1" applyAlignment="1">
      <alignment horizontal="right"/>
    </xf>
    <xf numFmtId="49" fontId="106" fillId="0" borderId="47" xfId="0" applyNumberFormat="1" applyFont="1" applyBorder="1" applyAlignment="1">
      <alignment horizontal="right"/>
    </xf>
    <xf numFmtId="0" fontId="122" fillId="0" borderId="0" xfId="66" applyFont="1" applyAlignment="1">
      <alignment horizontal="center"/>
    </xf>
  </cellXfs>
  <cellStyles count="41667">
    <cellStyle name="20% - Accent1" xfId="42" builtinId="30" customBuiltin="1"/>
    <cellStyle name="20% - Accent1 10" xfId="927" xr:uid="{00000000-0005-0000-0000-000001000000}"/>
    <cellStyle name="20% - Accent1 10 2" xfId="2418" xr:uid="{00000000-0005-0000-0000-000002000000}"/>
    <cellStyle name="20% - Accent1 10 2 2" xfId="6686" xr:uid="{00000000-0005-0000-0000-000003000000}"/>
    <cellStyle name="20% - Accent1 10 2 2 2" xfId="13786" xr:uid="{00000000-0005-0000-0000-000004000000}"/>
    <cellStyle name="20% - Accent1 10 2 2 3" xfId="20887" xr:uid="{00000000-0005-0000-0000-000005000000}"/>
    <cellStyle name="20% - Accent1 10 2 2 4" xfId="27989" xr:uid="{00000000-0005-0000-0000-000006000000}"/>
    <cellStyle name="20% - Accent1 10 2 2 5" xfId="35091" xr:uid="{00000000-0005-0000-0000-000007000000}"/>
    <cellStyle name="20% - Accent1 10 2 3" xfId="9526" xr:uid="{00000000-0005-0000-0000-000008000000}"/>
    <cellStyle name="20% - Accent1 10 2 4" xfId="16627" xr:uid="{00000000-0005-0000-0000-000009000000}"/>
    <cellStyle name="20% - Accent1 10 2 5" xfId="23729" xr:uid="{00000000-0005-0000-0000-00000A000000}"/>
    <cellStyle name="20% - Accent1 10 2 6" xfId="30831" xr:uid="{00000000-0005-0000-0000-00000B000000}"/>
    <cellStyle name="20% - Accent1 10 2 7" xfId="35892" xr:uid="{00000000-0005-0000-0000-00000C000000}"/>
    <cellStyle name="20% - Accent1 10 3" xfId="5265" xr:uid="{00000000-0005-0000-0000-00000D000000}"/>
    <cellStyle name="20% - Accent1 10 3 2" xfId="12366" xr:uid="{00000000-0005-0000-0000-00000E000000}"/>
    <cellStyle name="20% - Accent1 10 3 3" xfId="19467" xr:uid="{00000000-0005-0000-0000-00000F000000}"/>
    <cellStyle name="20% - Accent1 10 3 4" xfId="26569" xr:uid="{00000000-0005-0000-0000-000010000000}"/>
    <cellStyle name="20% - Accent1 10 3 5" xfId="33671" xr:uid="{00000000-0005-0000-0000-000011000000}"/>
    <cellStyle name="20% - Accent1 10 4" xfId="3840" xr:uid="{00000000-0005-0000-0000-000012000000}"/>
    <cellStyle name="20% - Accent1 10 4 2" xfId="10946" xr:uid="{00000000-0005-0000-0000-000013000000}"/>
    <cellStyle name="20% - Accent1 10 4 3" xfId="18047" xr:uid="{00000000-0005-0000-0000-000014000000}"/>
    <cellStyle name="20% - Accent1 10 4 4" xfId="25149" xr:uid="{00000000-0005-0000-0000-000015000000}"/>
    <cellStyle name="20% - Accent1 10 4 5" xfId="32251" xr:uid="{00000000-0005-0000-0000-000016000000}"/>
    <cellStyle name="20% - Accent1 10 5" xfId="8106" xr:uid="{00000000-0005-0000-0000-000017000000}"/>
    <cellStyle name="20% - Accent1 10 6" xfId="15207" xr:uid="{00000000-0005-0000-0000-000018000000}"/>
    <cellStyle name="20% - Accent1 10 7" xfId="22309" xr:uid="{00000000-0005-0000-0000-000019000000}"/>
    <cellStyle name="20% - Accent1 10 8" xfId="29411" xr:uid="{00000000-0005-0000-0000-00001A000000}"/>
    <cellStyle name="20% - Accent1 10 9" xfId="35893" xr:uid="{00000000-0005-0000-0000-00001B000000}"/>
    <cellStyle name="20% - Accent1 11" xfId="1282" xr:uid="{00000000-0005-0000-0000-00001C000000}"/>
    <cellStyle name="20% - Accent1 11 2" xfId="2773" xr:uid="{00000000-0005-0000-0000-00001D000000}"/>
    <cellStyle name="20% - Accent1 11 2 2" xfId="7041" xr:uid="{00000000-0005-0000-0000-00001E000000}"/>
    <cellStyle name="20% - Accent1 11 2 2 2" xfId="14141" xr:uid="{00000000-0005-0000-0000-00001F000000}"/>
    <cellStyle name="20% - Accent1 11 2 2 3" xfId="21242" xr:uid="{00000000-0005-0000-0000-000020000000}"/>
    <cellStyle name="20% - Accent1 11 2 2 4" xfId="28344" xr:uid="{00000000-0005-0000-0000-000021000000}"/>
    <cellStyle name="20% - Accent1 11 2 2 5" xfId="35446" xr:uid="{00000000-0005-0000-0000-000022000000}"/>
    <cellStyle name="20% - Accent1 11 2 3" xfId="9881" xr:uid="{00000000-0005-0000-0000-000023000000}"/>
    <cellStyle name="20% - Accent1 11 2 4" xfId="16982" xr:uid="{00000000-0005-0000-0000-000024000000}"/>
    <cellStyle name="20% - Accent1 11 2 5" xfId="24084" xr:uid="{00000000-0005-0000-0000-000025000000}"/>
    <cellStyle name="20% - Accent1 11 2 6" xfId="31186" xr:uid="{00000000-0005-0000-0000-000026000000}"/>
    <cellStyle name="20% - Accent1 11 2 7" xfId="35894" xr:uid="{00000000-0005-0000-0000-000027000000}"/>
    <cellStyle name="20% - Accent1 11 3" xfId="5620" xr:uid="{00000000-0005-0000-0000-000028000000}"/>
    <cellStyle name="20% - Accent1 11 3 2" xfId="12721" xr:uid="{00000000-0005-0000-0000-000029000000}"/>
    <cellStyle name="20% - Accent1 11 3 3" xfId="19822" xr:uid="{00000000-0005-0000-0000-00002A000000}"/>
    <cellStyle name="20% - Accent1 11 3 4" xfId="26924" xr:uid="{00000000-0005-0000-0000-00002B000000}"/>
    <cellStyle name="20% - Accent1 11 3 5" xfId="34026" xr:uid="{00000000-0005-0000-0000-00002C000000}"/>
    <cellStyle name="20% - Accent1 11 4" xfId="4195" xr:uid="{00000000-0005-0000-0000-00002D000000}"/>
    <cellStyle name="20% - Accent1 11 4 2" xfId="11301" xr:uid="{00000000-0005-0000-0000-00002E000000}"/>
    <cellStyle name="20% - Accent1 11 4 3" xfId="18402" xr:uid="{00000000-0005-0000-0000-00002F000000}"/>
    <cellStyle name="20% - Accent1 11 4 4" xfId="25504" xr:uid="{00000000-0005-0000-0000-000030000000}"/>
    <cellStyle name="20% - Accent1 11 4 5" xfId="32606" xr:uid="{00000000-0005-0000-0000-000031000000}"/>
    <cellStyle name="20% - Accent1 11 5" xfId="8461" xr:uid="{00000000-0005-0000-0000-000032000000}"/>
    <cellStyle name="20% - Accent1 11 6" xfId="15562" xr:uid="{00000000-0005-0000-0000-000033000000}"/>
    <cellStyle name="20% - Accent1 11 7" xfId="22664" xr:uid="{00000000-0005-0000-0000-000034000000}"/>
    <cellStyle name="20% - Accent1 11 8" xfId="29766" xr:uid="{00000000-0005-0000-0000-000035000000}"/>
    <cellStyle name="20% - Accent1 11 9" xfId="35895" xr:uid="{00000000-0005-0000-0000-000036000000}"/>
    <cellStyle name="20% - Accent1 12" xfId="1550" xr:uid="{00000000-0005-0000-0000-000037000000}"/>
    <cellStyle name="20% - Accent1 12 2" xfId="5833" xr:uid="{00000000-0005-0000-0000-000038000000}"/>
    <cellStyle name="20% - Accent1 12 2 2" xfId="12934" xr:uid="{00000000-0005-0000-0000-000039000000}"/>
    <cellStyle name="20% - Accent1 12 2 3" xfId="20035" xr:uid="{00000000-0005-0000-0000-00003A000000}"/>
    <cellStyle name="20% - Accent1 12 2 4" xfId="27137" xr:uid="{00000000-0005-0000-0000-00003B000000}"/>
    <cellStyle name="20% - Accent1 12 2 5" xfId="34239" xr:uid="{00000000-0005-0000-0000-00003C000000}"/>
    <cellStyle name="20% - Accent1 12 3" xfId="8674" xr:uid="{00000000-0005-0000-0000-00003D000000}"/>
    <cellStyle name="20% - Accent1 12 4" xfId="15775" xr:uid="{00000000-0005-0000-0000-00003E000000}"/>
    <cellStyle name="20% - Accent1 12 5" xfId="22877" xr:uid="{00000000-0005-0000-0000-00003F000000}"/>
    <cellStyle name="20% - Accent1 12 6" xfId="29979" xr:uid="{00000000-0005-0000-0000-000040000000}"/>
    <cellStyle name="20% - Accent1 12 7" xfId="35896" xr:uid="{00000000-0005-0000-0000-000041000000}"/>
    <cellStyle name="20% - Accent1 13" xfId="4413" xr:uid="{00000000-0005-0000-0000-000042000000}"/>
    <cellStyle name="20% - Accent1 13 2" xfId="11514" xr:uid="{00000000-0005-0000-0000-000043000000}"/>
    <cellStyle name="20% - Accent1 13 3" xfId="18615" xr:uid="{00000000-0005-0000-0000-000044000000}"/>
    <cellStyle name="20% - Accent1 13 4" xfId="25717" xr:uid="{00000000-0005-0000-0000-000045000000}"/>
    <cellStyle name="20% - Accent1 13 5" xfId="32819" xr:uid="{00000000-0005-0000-0000-000046000000}"/>
    <cellStyle name="20% - Accent1 14" xfId="2988" xr:uid="{00000000-0005-0000-0000-000047000000}"/>
    <cellStyle name="20% - Accent1 14 2" xfId="10094" xr:uid="{00000000-0005-0000-0000-000048000000}"/>
    <cellStyle name="20% - Accent1 14 3" xfId="17195" xr:uid="{00000000-0005-0000-0000-000049000000}"/>
    <cellStyle name="20% - Accent1 14 4" xfId="24297" xr:uid="{00000000-0005-0000-0000-00004A000000}"/>
    <cellStyle name="20% - Accent1 14 5" xfId="31399" xr:uid="{00000000-0005-0000-0000-00004B000000}"/>
    <cellStyle name="20% - Accent1 15" xfId="7254" xr:uid="{00000000-0005-0000-0000-00004C000000}"/>
    <cellStyle name="20% - Accent1 16" xfId="14355" xr:uid="{00000000-0005-0000-0000-00004D000000}"/>
    <cellStyle name="20% - Accent1 17" xfId="21457" xr:uid="{00000000-0005-0000-0000-00004E000000}"/>
    <cellStyle name="20% - Accent1 18" xfId="28559" xr:uid="{00000000-0005-0000-0000-00004F000000}"/>
    <cellStyle name="20% - Accent1 19" xfId="35661" xr:uid="{00000000-0005-0000-0000-000050000000}"/>
    <cellStyle name="20% - Accent1 2" xfId="73" xr:uid="{00000000-0005-0000-0000-000051000000}"/>
    <cellStyle name="20% - Accent1 2 10" xfId="1574" xr:uid="{00000000-0005-0000-0000-000052000000}"/>
    <cellStyle name="20% - Accent1 2 10 2" xfId="5848" xr:uid="{00000000-0005-0000-0000-000053000000}"/>
    <cellStyle name="20% - Accent1 2 10 2 2" xfId="12948" xr:uid="{00000000-0005-0000-0000-000054000000}"/>
    <cellStyle name="20% - Accent1 2 10 2 3" xfId="20049" xr:uid="{00000000-0005-0000-0000-000055000000}"/>
    <cellStyle name="20% - Accent1 2 10 2 4" xfId="27151" xr:uid="{00000000-0005-0000-0000-000056000000}"/>
    <cellStyle name="20% - Accent1 2 10 2 5" xfId="34253" xr:uid="{00000000-0005-0000-0000-000057000000}"/>
    <cellStyle name="20% - Accent1 2 10 2 6" xfId="35897" xr:uid="{00000000-0005-0000-0000-000058000000}"/>
    <cellStyle name="20% - Accent1 2 10 3" xfId="8688" xr:uid="{00000000-0005-0000-0000-000059000000}"/>
    <cellStyle name="20% - Accent1 2 10 4" xfId="15789" xr:uid="{00000000-0005-0000-0000-00005A000000}"/>
    <cellStyle name="20% - Accent1 2 10 5" xfId="22891" xr:uid="{00000000-0005-0000-0000-00005B000000}"/>
    <cellStyle name="20% - Accent1 2 10 6" xfId="29993" xr:uid="{00000000-0005-0000-0000-00005C000000}"/>
    <cellStyle name="20% - Accent1 2 10 7" xfId="35898" xr:uid="{00000000-0005-0000-0000-00005D000000}"/>
    <cellStyle name="20% - Accent1 2 11" xfId="4427" xr:uid="{00000000-0005-0000-0000-00005E000000}"/>
    <cellStyle name="20% - Accent1 2 11 2" xfId="11528" xr:uid="{00000000-0005-0000-0000-00005F000000}"/>
    <cellStyle name="20% - Accent1 2 11 3" xfId="18629" xr:uid="{00000000-0005-0000-0000-000060000000}"/>
    <cellStyle name="20% - Accent1 2 11 4" xfId="25731" xr:uid="{00000000-0005-0000-0000-000061000000}"/>
    <cellStyle name="20% - Accent1 2 11 5" xfId="32833" xr:uid="{00000000-0005-0000-0000-000062000000}"/>
    <cellStyle name="20% - Accent1 2 11 6" xfId="35899" xr:uid="{00000000-0005-0000-0000-000063000000}"/>
    <cellStyle name="20% - Accent1 2 12" xfId="3002" xr:uid="{00000000-0005-0000-0000-000064000000}"/>
    <cellStyle name="20% - Accent1 2 12 2" xfId="10108" xr:uid="{00000000-0005-0000-0000-000065000000}"/>
    <cellStyle name="20% - Accent1 2 12 3" xfId="17209" xr:uid="{00000000-0005-0000-0000-000066000000}"/>
    <cellStyle name="20% - Accent1 2 12 4" xfId="24311" xr:uid="{00000000-0005-0000-0000-000067000000}"/>
    <cellStyle name="20% - Accent1 2 12 5" xfId="31413" xr:uid="{00000000-0005-0000-0000-000068000000}"/>
    <cellStyle name="20% - Accent1 2 13" xfId="7268" xr:uid="{00000000-0005-0000-0000-000069000000}"/>
    <cellStyle name="20% - Accent1 2 14" xfId="14369" xr:uid="{00000000-0005-0000-0000-00006A000000}"/>
    <cellStyle name="20% - Accent1 2 15" xfId="21471" xr:uid="{00000000-0005-0000-0000-00006B000000}"/>
    <cellStyle name="20% - Accent1 2 16" xfId="28573" xr:uid="{00000000-0005-0000-0000-00006C000000}"/>
    <cellStyle name="20% - Accent1 2 17" xfId="35675" xr:uid="{00000000-0005-0000-0000-00006D000000}"/>
    <cellStyle name="20% - Accent1 2 18" xfId="35900" xr:uid="{00000000-0005-0000-0000-00006E000000}"/>
    <cellStyle name="20% - Accent1 2 19" xfId="35901" xr:uid="{00000000-0005-0000-0000-00006F000000}"/>
    <cellStyle name="20% - Accent1 2 2" xfId="118" xr:uid="{00000000-0005-0000-0000-000070000000}"/>
    <cellStyle name="20% - Accent1 2 2 10" xfId="4458" xr:uid="{00000000-0005-0000-0000-000071000000}"/>
    <cellStyle name="20% - Accent1 2 2 10 2" xfId="11559" xr:uid="{00000000-0005-0000-0000-000072000000}"/>
    <cellStyle name="20% - Accent1 2 2 10 3" xfId="18660" xr:uid="{00000000-0005-0000-0000-000073000000}"/>
    <cellStyle name="20% - Accent1 2 2 10 4" xfId="25762" xr:uid="{00000000-0005-0000-0000-000074000000}"/>
    <cellStyle name="20% - Accent1 2 2 10 5" xfId="32864" xr:uid="{00000000-0005-0000-0000-000075000000}"/>
    <cellStyle name="20% - Accent1 2 2 11" xfId="3033" xr:uid="{00000000-0005-0000-0000-000076000000}"/>
    <cellStyle name="20% - Accent1 2 2 11 2" xfId="10139" xr:uid="{00000000-0005-0000-0000-000077000000}"/>
    <cellStyle name="20% - Accent1 2 2 11 3" xfId="17240" xr:uid="{00000000-0005-0000-0000-000078000000}"/>
    <cellStyle name="20% - Accent1 2 2 11 4" xfId="24342" xr:uid="{00000000-0005-0000-0000-000079000000}"/>
    <cellStyle name="20% - Accent1 2 2 11 5" xfId="31444" xr:uid="{00000000-0005-0000-0000-00007A000000}"/>
    <cellStyle name="20% - Accent1 2 2 12" xfId="7299" xr:uid="{00000000-0005-0000-0000-00007B000000}"/>
    <cellStyle name="20% - Accent1 2 2 13" xfId="14400" xr:uid="{00000000-0005-0000-0000-00007C000000}"/>
    <cellStyle name="20% - Accent1 2 2 14" xfId="21502" xr:uid="{00000000-0005-0000-0000-00007D000000}"/>
    <cellStyle name="20% - Accent1 2 2 15" xfId="28604" xr:uid="{00000000-0005-0000-0000-00007E000000}"/>
    <cellStyle name="20% - Accent1 2 2 16" xfId="35706" xr:uid="{00000000-0005-0000-0000-00007F000000}"/>
    <cellStyle name="20% - Accent1 2 2 17" xfId="35902" xr:uid="{00000000-0005-0000-0000-000080000000}"/>
    <cellStyle name="20% - Accent1 2 2 18" xfId="35903" xr:uid="{00000000-0005-0000-0000-000081000000}"/>
    <cellStyle name="20% - Accent1 2 2 2" xfId="262" xr:uid="{00000000-0005-0000-0000-000082000000}"/>
    <cellStyle name="20% - Accent1 2 2 2 10" xfId="7441" xr:uid="{00000000-0005-0000-0000-000083000000}"/>
    <cellStyle name="20% - Accent1 2 2 2 11" xfId="14542" xr:uid="{00000000-0005-0000-0000-000084000000}"/>
    <cellStyle name="20% - Accent1 2 2 2 12" xfId="21644" xr:uid="{00000000-0005-0000-0000-000085000000}"/>
    <cellStyle name="20% - Accent1 2 2 2 13" xfId="28746" xr:uid="{00000000-0005-0000-0000-000086000000}"/>
    <cellStyle name="20% - Accent1 2 2 2 14" xfId="35848" xr:uid="{00000000-0005-0000-0000-000087000000}"/>
    <cellStyle name="20% - Accent1 2 2 2 15" xfId="35904" xr:uid="{00000000-0005-0000-0000-000088000000}"/>
    <cellStyle name="20% - Accent1 2 2 2 2" xfId="475" xr:uid="{00000000-0005-0000-0000-000089000000}"/>
    <cellStyle name="20% - Accent1 2 2 2 2 10" xfId="35905" xr:uid="{00000000-0005-0000-0000-00008A000000}"/>
    <cellStyle name="20% - Accent1 2 2 2 2 2" xfId="1256" xr:uid="{00000000-0005-0000-0000-00008B000000}"/>
    <cellStyle name="20% - Accent1 2 2 2 2 2 2" xfId="2747" xr:uid="{00000000-0005-0000-0000-00008C000000}"/>
    <cellStyle name="20% - Accent1 2 2 2 2 2 2 2" xfId="7015" xr:uid="{00000000-0005-0000-0000-00008D000000}"/>
    <cellStyle name="20% - Accent1 2 2 2 2 2 2 2 2" xfId="14115" xr:uid="{00000000-0005-0000-0000-00008E000000}"/>
    <cellStyle name="20% - Accent1 2 2 2 2 2 2 2 3" xfId="21216" xr:uid="{00000000-0005-0000-0000-00008F000000}"/>
    <cellStyle name="20% - Accent1 2 2 2 2 2 2 2 4" xfId="28318" xr:uid="{00000000-0005-0000-0000-000090000000}"/>
    <cellStyle name="20% - Accent1 2 2 2 2 2 2 2 5" xfId="35420" xr:uid="{00000000-0005-0000-0000-000091000000}"/>
    <cellStyle name="20% - Accent1 2 2 2 2 2 2 3" xfId="9855" xr:uid="{00000000-0005-0000-0000-000092000000}"/>
    <cellStyle name="20% - Accent1 2 2 2 2 2 2 4" xfId="16956" xr:uid="{00000000-0005-0000-0000-000093000000}"/>
    <cellStyle name="20% - Accent1 2 2 2 2 2 2 5" xfId="24058" xr:uid="{00000000-0005-0000-0000-000094000000}"/>
    <cellStyle name="20% - Accent1 2 2 2 2 2 2 6" xfId="31160" xr:uid="{00000000-0005-0000-0000-000095000000}"/>
    <cellStyle name="20% - Accent1 2 2 2 2 2 2 7" xfId="35906" xr:uid="{00000000-0005-0000-0000-000096000000}"/>
    <cellStyle name="20% - Accent1 2 2 2 2 2 3" xfId="5594" xr:uid="{00000000-0005-0000-0000-000097000000}"/>
    <cellStyle name="20% - Accent1 2 2 2 2 2 3 2" xfId="12695" xr:uid="{00000000-0005-0000-0000-000098000000}"/>
    <cellStyle name="20% - Accent1 2 2 2 2 2 3 3" xfId="19796" xr:uid="{00000000-0005-0000-0000-000099000000}"/>
    <cellStyle name="20% - Accent1 2 2 2 2 2 3 4" xfId="26898" xr:uid="{00000000-0005-0000-0000-00009A000000}"/>
    <cellStyle name="20% - Accent1 2 2 2 2 2 3 5" xfId="34000" xr:uid="{00000000-0005-0000-0000-00009B000000}"/>
    <cellStyle name="20% - Accent1 2 2 2 2 2 4" xfId="4169" xr:uid="{00000000-0005-0000-0000-00009C000000}"/>
    <cellStyle name="20% - Accent1 2 2 2 2 2 4 2" xfId="11275" xr:uid="{00000000-0005-0000-0000-00009D000000}"/>
    <cellStyle name="20% - Accent1 2 2 2 2 2 4 3" xfId="18376" xr:uid="{00000000-0005-0000-0000-00009E000000}"/>
    <cellStyle name="20% - Accent1 2 2 2 2 2 4 4" xfId="25478" xr:uid="{00000000-0005-0000-0000-00009F000000}"/>
    <cellStyle name="20% - Accent1 2 2 2 2 2 4 5" xfId="32580" xr:uid="{00000000-0005-0000-0000-0000A0000000}"/>
    <cellStyle name="20% - Accent1 2 2 2 2 2 5" xfId="8435" xr:uid="{00000000-0005-0000-0000-0000A1000000}"/>
    <cellStyle name="20% - Accent1 2 2 2 2 2 6" xfId="15536" xr:uid="{00000000-0005-0000-0000-0000A2000000}"/>
    <cellStyle name="20% - Accent1 2 2 2 2 2 7" xfId="22638" xr:uid="{00000000-0005-0000-0000-0000A3000000}"/>
    <cellStyle name="20% - Accent1 2 2 2 2 2 8" xfId="29740" xr:uid="{00000000-0005-0000-0000-0000A4000000}"/>
    <cellStyle name="20% - Accent1 2 2 2 2 2 9" xfId="35907" xr:uid="{00000000-0005-0000-0000-0000A5000000}"/>
    <cellStyle name="20% - Accent1 2 2 2 2 3" xfId="1966" xr:uid="{00000000-0005-0000-0000-0000A6000000}"/>
    <cellStyle name="20% - Accent1 2 2 2 2 3 2" xfId="6234" xr:uid="{00000000-0005-0000-0000-0000A7000000}"/>
    <cellStyle name="20% - Accent1 2 2 2 2 3 2 2" xfId="13334" xr:uid="{00000000-0005-0000-0000-0000A8000000}"/>
    <cellStyle name="20% - Accent1 2 2 2 2 3 2 3" xfId="20435" xr:uid="{00000000-0005-0000-0000-0000A9000000}"/>
    <cellStyle name="20% - Accent1 2 2 2 2 3 2 4" xfId="27537" xr:uid="{00000000-0005-0000-0000-0000AA000000}"/>
    <cellStyle name="20% - Accent1 2 2 2 2 3 2 5" xfId="34639" xr:uid="{00000000-0005-0000-0000-0000AB000000}"/>
    <cellStyle name="20% - Accent1 2 2 2 2 3 2 6" xfId="35908" xr:uid="{00000000-0005-0000-0000-0000AC000000}"/>
    <cellStyle name="20% - Accent1 2 2 2 2 3 3" xfId="9074" xr:uid="{00000000-0005-0000-0000-0000AD000000}"/>
    <cellStyle name="20% - Accent1 2 2 2 2 3 4" xfId="16175" xr:uid="{00000000-0005-0000-0000-0000AE000000}"/>
    <cellStyle name="20% - Accent1 2 2 2 2 3 5" xfId="23277" xr:uid="{00000000-0005-0000-0000-0000AF000000}"/>
    <cellStyle name="20% - Accent1 2 2 2 2 3 6" xfId="30379" xr:uid="{00000000-0005-0000-0000-0000B0000000}"/>
    <cellStyle name="20% - Accent1 2 2 2 2 3 7" xfId="35909" xr:uid="{00000000-0005-0000-0000-0000B1000000}"/>
    <cellStyle name="20% - Accent1 2 2 2 2 4" xfId="4813" xr:uid="{00000000-0005-0000-0000-0000B2000000}"/>
    <cellStyle name="20% - Accent1 2 2 2 2 4 2" xfId="11914" xr:uid="{00000000-0005-0000-0000-0000B3000000}"/>
    <cellStyle name="20% - Accent1 2 2 2 2 4 3" xfId="19015" xr:uid="{00000000-0005-0000-0000-0000B4000000}"/>
    <cellStyle name="20% - Accent1 2 2 2 2 4 4" xfId="26117" xr:uid="{00000000-0005-0000-0000-0000B5000000}"/>
    <cellStyle name="20% - Accent1 2 2 2 2 4 5" xfId="33219" xr:uid="{00000000-0005-0000-0000-0000B6000000}"/>
    <cellStyle name="20% - Accent1 2 2 2 2 4 6" xfId="35910" xr:uid="{00000000-0005-0000-0000-0000B7000000}"/>
    <cellStyle name="20% - Accent1 2 2 2 2 5" xfId="3388" xr:uid="{00000000-0005-0000-0000-0000B8000000}"/>
    <cellStyle name="20% - Accent1 2 2 2 2 5 2" xfId="10494" xr:uid="{00000000-0005-0000-0000-0000B9000000}"/>
    <cellStyle name="20% - Accent1 2 2 2 2 5 3" xfId="17595" xr:uid="{00000000-0005-0000-0000-0000BA000000}"/>
    <cellStyle name="20% - Accent1 2 2 2 2 5 4" xfId="24697" xr:uid="{00000000-0005-0000-0000-0000BB000000}"/>
    <cellStyle name="20% - Accent1 2 2 2 2 5 5" xfId="31799" xr:uid="{00000000-0005-0000-0000-0000BC000000}"/>
    <cellStyle name="20% - Accent1 2 2 2 2 6" xfId="7654" xr:uid="{00000000-0005-0000-0000-0000BD000000}"/>
    <cellStyle name="20% - Accent1 2 2 2 2 7" xfId="14755" xr:uid="{00000000-0005-0000-0000-0000BE000000}"/>
    <cellStyle name="20% - Accent1 2 2 2 2 8" xfId="21857" xr:uid="{00000000-0005-0000-0000-0000BF000000}"/>
    <cellStyle name="20% - Accent1 2 2 2 2 9" xfId="28959" xr:uid="{00000000-0005-0000-0000-0000C0000000}"/>
    <cellStyle name="20% - Accent1 2 2 2 3" xfId="688" xr:uid="{00000000-0005-0000-0000-0000C1000000}"/>
    <cellStyle name="20% - Accent1 2 2 2 3 2" xfId="2179" xr:uid="{00000000-0005-0000-0000-0000C2000000}"/>
    <cellStyle name="20% - Accent1 2 2 2 3 2 2" xfId="6447" xr:uid="{00000000-0005-0000-0000-0000C3000000}"/>
    <cellStyle name="20% - Accent1 2 2 2 3 2 2 2" xfId="13547" xr:uid="{00000000-0005-0000-0000-0000C4000000}"/>
    <cellStyle name="20% - Accent1 2 2 2 3 2 2 3" xfId="20648" xr:uid="{00000000-0005-0000-0000-0000C5000000}"/>
    <cellStyle name="20% - Accent1 2 2 2 3 2 2 4" xfId="27750" xr:uid="{00000000-0005-0000-0000-0000C6000000}"/>
    <cellStyle name="20% - Accent1 2 2 2 3 2 2 5" xfId="34852" xr:uid="{00000000-0005-0000-0000-0000C7000000}"/>
    <cellStyle name="20% - Accent1 2 2 2 3 2 2 6" xfId="35911" xr:uid="{00000000-0005-0000-0000-0000C8000000}"/>
    <cellStyle name="20% - Accent1 2 2 2 3 2 3" xfId="9287" xr:uid="{00000000-0005-0000-0000-0000C9000000}"/>
    <cellStyle name="20% - Accent1 2 2 2 3 2 4" xfId="16388" xr:uid="{00000000-0005-0000-0000-0000CA000000}"/>
    <cellStyle name="20% - Accent1 2 2 2 3 2 5" xfId="23490" xr:uid="{00000000-0005-0000-0000-0000CB000000}"/>
    <cellStyle name="20% - Accent1 2 2 2 3 2 6" xfId="30592" xr:uid="{00000000-0005-0000-0000-0000CC000000}"/>
    <cellStyle name="20% - Accent1 2 2 2 3 2 7" xfId="35912" xr:uid="{00000000-0005-0000-0000-0000CD000000}"/>
    <cellStyle name="20% - Accent1 2 2 2 3 3" xfId="5026" xr:uid="{00000000-0005-0000-0000-0000CE000000}"/>
    <cellStyle name="20% - Accent1 2 2 2 3 3 2" xfId="12127" xr:uid="{00000000-0005-0000-0000-0000CF000000}"/>
    <cellStyle name="20% - Accent1 2 2 2 3 3 2 2" xfId="35913" xr:uid="{00000000-0005-0000-0000-0000D0000000}"/>
    <cellStyle name="20% - Accent1 2 2 2 3 3 3" xfId="19228" xr:uid="{00000000-0005-0000-0000-0000D1000000}"/>
    <cellStyle name="20% - Accent1 2 2 2 3 3 4" xfId="26330" xr:uid="{00000000-0005-0000-0000-0000D2000000}"/>
    <cellStyle name="20% - Accent1 2 2 2 3 3 5" xfId="33432" xr:uid="{00000000-0005-0000-0000-0000D3000000}"/>
    <cellStyle name="20% - Accent1 2 2 2 3 3 6" xfId="35914" xr:uid="{00000000-0005-0000-0000-0000D4000000}"/>
    <cellStyle name="20% - Accent1 2 2 2 3 4" xfId="3601" xr:uid="{00000000-0005-0000-0000-0000D5000000}"/>
    <cellStyle name="20% - Accent1 2 2 2 3 4 2" xfId="10707" xr:uid="{00000000-0005-0000-0000-0000D6000000}"/>
    <cellStyle name="20% - Accent1 2 2 2 3 4 3" xfId="17808" xr:uid="{00000000-0005-0000-0000-0000D7000000}"/>
    <cellStyle name="20% - Accent1 2 2 2 3 4 4" xfId="24910" xr:uid="{00000000-0005-0000-0000-0000D8000000}"/>
    <cellStyle name="20% - Accent1 2 2 2 3 4 5" xfId="32012" xr:uid="{00000000-0005-0000-0000-0000D9000000}"/>
    <cellStyle name="20% - Accent1 2 2 2 3 4 6" xfId="35915" xr:uid="{00000000-0005-0000-0000-0000DA000000}"/>
    <cellStyle name="20% - Accent1 2 2 2 3 5" xfId="7867" xr:uid="{00000000-0005-0000-0000-0000DB000000}"/>
    <cellStyle name="20% - Accent1 2 2 2 3 6" xfId="14968" xr:uid="{00000000-0005-0000-0000-0000DC000000}"/>
    <cellStyle name="20% - Accent1 2 2 2 3 7" xfId="22070" xr:uid="{00000000-0005-0000-0000-0000DD000000}"/>
    <cellStyle name="20% - Accent1 2 2 2 3 8" xfId="29172" xr:uid="{00000000-0005-0000-0000-0000DE000000}"/>
    <cellStyle name="20% - Accent1 2 2 2 3 9" xfId="35916" xr:uid="{00000000-0005-0000-0000-0000DF000000}"/>
    <cellStyle name="20% - Accent1 2 2 2 4" xfId="901" xr:uid="{00000000-0005-0000-0000-0000E0000000}"/>
    <cellStyle name="20% - Accent1 2 2 2 4 2" xfId="2392" xr:uid="{00000000-0005-0000-0000-0000E1000000}"/>
    <cellStyle name="20% - Accent1 2 2 2 4 2 2" xfId="6660" xr:uid="{00000000-0005-0000-0000-0000E2000000}"/>
    <cellStyle name="20% - Accent1 2 2 2 4 2 2 2" xfId="13760" xr:uid="{00000000-0005-0000-0000-0000E3000000}"/>
    <cellStyle name="20% - Accent1 2 2 2 4 2 2 3" xfId="20861" xr:uid="{00000000-0005-0000-0000-0000E4000000}"/>
    <cellStyle name="20% - Accent1 2 2 2 4 2 2 4" xfId="27963" xr:uid="{00000000-0005-0000-0000-0000E5000000}"/>
    <cellStyle name="20% - Accent1 2 2 2 4 2 2 5" xfId="35065" xr:uid="{00000000-0005-0000-0000-0000E6000000}"/>
    <cellStyle name="20% - Accent1 2 2 2 4 2 2 6" xfId="35917" xr:uid="{00000000-0005-0000-0000-0000E7000000}"/>
    <cellStyle name="20% - Accent1 2 2 2 4 2 3" xfId="9500" xr:uid="{00000000-0005-0000-0000-0000E8000000}"/>
    <cellStyle name="20% - Accent1 2 2 2 4 2 4" xfId="16601" xr:uid="{00000000-0005-0000-0000-0000E9000000}"/>
    <cellStyle name="20% - Accent1 2 2 2 4 2 5" xfId="23703" xr:uid="{00000000-0005-0000-0000-0000EA000000}"/>
    <cellStyle name="20% - Accent1 2 2 2 4 2 6" xfId="30805" xr:uid="{00000000-0005-0000-0000-0000EB000000}"/>
    <cellStyle name="20% - Accent1 2 2 2 4 2 7" xfId="35918" xr:uid="{00000000-0005-0000-0000-0000EC000000}"/>
    <cellStyle name="20% - Accent1 2 2 2 4 3" xfId="5239" xr:uid="{00000000-0005-0000-0000-0000ED000000}"/>
    <cellStyle name="20% - Accent1 2 2 2 4 3 2" xfId="12340" xr:uid="{00000000-0005-0000-0000-0000EE000000}"/>
    <cellStyle name="20% - Accent1 2 2 2 4 3 2 2" xfId="35919" xr:uid="{00000000-0005-0000-0000-0000EF000000}"/>
    <cellStyle name="20% - Accent1 2 2 2 4 3 3" xfId="19441" xr:uid="{00000000-0005-0000-0000-0000F0000000}"/>
    <cellStyle name="20% - Accent1 2 2 2 4 3 4" xfId="26543" xr:uid="{00000000-0005-0000-0000-0000F1000000}"/>
    <cellStyle name="20% - Accent1 2 2 2 4 3 5" xfId="33645" xr:uid="{00000000-0005-0000-0000-0000F2000000}"/>
    <cellStyle name="20% - Accent1 2 2 2 4 3 6" xfId="35920" xr:uid="{00000000-0005-0000-0000-0000F3000000}"/>
    <cellStyle name="20% - Accent1 2 2 2 4 4" xfId="3814" xr:uid="{00000000-0005-0000-0000-0000F4000000}"/>
    <cellStyle name="20% - Accent1 2 2 2 4 4 2" xfId="10920" xr:uid="{00000000-0005-0000-0000-0000F5000000}"/>
    <cellStyle name="20% - Accent1 2 2 2 4 4 3" xfId="18021" xr:uid="{00000000-0005-0000-0000-0000F6000000}"/>
    <cellStyle name="20% - Accent1 2 2 2 4 4 4" xfId="25123" xr:uid="{00000000-0005-0000-0000-0000F7000000}"/>
    <cellStyle name="20% - Accent1 2 2 2 4 4 5" xfId="32225" xr:uid="{00000000-0005-0000-0000-0000F8000000}"/>
    <cellStyle name="20% - Accent1 2 2 2 4 4 6" xfId="35921" xr:uid="{00000000-0005-0000-0000-0000F9000000}"/>
    <cellStyle name="20% - Accent1 2 2 2 4 5" xfId="8080" xr:uid="{00000000-0005-0000-0000-0000FA000000}"/>
    <cellStyle name="20% - Accent1 2 2 2 4 6" xfId="15181" xr:uid="{00000000-0005-0000-0000-0000FB000000}"/>
    <cellStyle name="20% - Accent1 2 2 2 4 7" xfId="22283" xr:uid="{00000000-0005-0000-0000-0000FC000000}"/>
    <cellStyle name="20% - Accent1 2 2 2 4 8" xfId="29385" xr:uid="{00000000-0005-0000-0000-0000FD000000}"/>
    <cellStyle name="20% - Accent1 2 2 2 4 9" xfId="35922" xr:uid="{00000000-0005-0000-0000-0000FE000000}"/>
    <cellStyle name="20% - Accent1 2 2 2 5" xfId="1043" xr:uid="{00000000-0005-0000-0000-0000FF000000}"/>
    <cellStyle name="20% - Accent1 2 2 2 5 2" xfId="2534" xr:uid="{00000000-0005-0000-0000-000000010000}"/>
    <cellStyle name="20% - Accent1 2 2 2 5 2 2" xfId="6802" xr:uid="{00000000-0005-0000-0000-000001010000}"/>
    <cellStyle name="20% - Accent1 2 2 2 5 2 2 2" xfId="13902" xr:uid="{00000000-0005-0000-0000-000002010000}"/>
    <cellStyle name="20% - Accent1 2 2 2 5 2 2 3" xfId="21003" xr:uid="{00000000-0005-0000-0000-000003010000}"/>
    <cellStyle name="20% - Accent1 2 2 2 5 2 2 4" xfId="28105" xr:uid="{00000000-0005-0000-0000-000004010000}"/>
    <cellStyle name="20% - Accent1 2 2 2 5 2 2 5" xfId="35207" xr:uid="{00000000-0005-0000-0000-000005010000}"/>
    <cellStyle name="20% - Accent1 2 2 2 5 2 3" xfId="9642" xr:uid="{00000000-0005-0000-0000-000006010000}"/>
    <cellStyle name="20% - Accent1 2 2 2 5 2 4" xfId="16743" xr:uid="{00000000-0005-0000-0000-000007010000}"/>
    <cellStyle name="20% - Accent1 2 2 2 5 2 5" xfId="23845" xr:uid="{00000000-0005-0000-0000-000008010000}"/>
    <cellStyle name="20% - Accent1 2 2 2 5 2 6" xfId="30947" xr:uid="{00000000-0005-0000-0000-000009010000}"/>
    <cellStyle name="20% - Accent1 2 2 2 5 2 7" xfId="35923" xr:uid="{00000000-0005-0000-0000-00000A010000}"/>
    <cellStyle name="20% - Accent1 2 2 2 5 3" xfId="5381" xr:uid="{00000000-0005-0000-0000-00000B010000}"/>
    <cellStyle name="20% - Accent1 2 2 2 5 3 2" xfId="12482" xr:uid="{00000000-0005-0000-0000-00000C010000}"/>
    <cellStyle name="20% - Accent1 2 2 2 5 3 3" xfId="19583" xr:uid="{00000000-0005-0000-0000-00000D010000}"/>
    <cellStyle name="20% - Accent1 2 2 2 5 3 4" xfId="26685" xr:uid="{00000000-0005-0000-0000-00000E010000}"/>
    <cellStyle name="20% - Accent1 2 2 2 5 3 5" xfId="33787" xr:uid="{00000000-0005-0000-0000-00000F010000}"/>
    <cellStyle name="20% - Accent1 2 2 2 5 4" xfId="3956" xr:uid="{00000000-0005-0000-0000-000010010000}"/>
    <cellStyle name="20% - Accent1 2 2 2 5 4 2" xfId="11062" xr:uid="{00000000-0005-0000-0000-000011010000}"/>
    <cellStyle name="20% - Accent1 2 2 2 5 4 3" xfId="18163" xr:uid="{00000000-0005-0000-0000-000012010000}"/>
    <cellStyle name="20% - Accent1 2 2 2 5 4 4" xfId="25265" xr:uid="{00000000-0005-0000-0000-000013010000}"/>
    <cellStyle name="20% - Accent1 2 2 2 5 4 5" xfId="32367" xr:uid="{00000000-0005-0000-0000-000014010000}"/>
    <cellStyle name="20% - Accent1 2 2 2 5 5" xfId="8222" xr:uid="{00000000-0005-0000-0000-000015010000}"/>
    <cellStyle name="20% - Accent1 2 2 2 5 6" xfId="15323" xr:uid="{00000000-0005-0000-0000-000016010000}"/>
    <cellStyle name="20% - Accent1 2 2 2 5 7" xfId="22425" xr:uid="{00000000-0005-0000-0000-000017010000}"/>
    <cellStyle name="20% - Accent1 2 2 2 5 8" xfId="29527" xr:uid="{00000000-0005-0000-0000-000018010000}"/>
    <cellStyle name="20% - Accent1 2 2 2 5 9" xfId="35924" xr:uid="{00000000-0005-0000-0000-000019010000}"/>
    <cellStyle name="20% - Accent1 2 2 2 6" xfId="1469" xr:uid="{00000000-0005-0000-0000-00001A010000}"/>
    <cellStyle name="20% - Accent1 2 2 2 6 2" xfId="2960" xr:uid="{00000000-0005-0000-0000-00001B010000}"/>
    <cellStyle name="20% - Accent1 2 2 2 6 2 2" xfId="7228" xr:uid="{00000000-0005-0000-0000-00001C010000}"/>
    <cellStyle name="20% - Accent1 2 2 2 6 2 2 2" xfId="14328" xr:uid="{00000000-0005-0000-0000-00001D010000}"/>
    <cellStyle name="20% - Accent1 2 2 2 6 2 2 3" xfId="21429" xr:uid="{00000000-0005-0000-0000-00001E010000}"/>
    <cellStyle name="20% - Accent1 2 2 2 6 2 2 4" xfId="28531" xr:uid="{00000000-0005-0000-0000-00001F010000}"/>
    <cellStyle name="20% - Accent1 2 2 2 6 2 2 5" xfId="35633" xr:uid="{00000000-0005-0000-0000-000020010000}"/>
    <cellStyle name="20% - Accent1 2 2 2 6 2 3" xfId="10068" xr:uid="{00000000-0005-0000-0000-000021010000}"/>
    <cellStyle name="20% - Accent1 2 2 2 6 2 4" xfId="17169" xr:uid="{00000000-0005-0000-0000-000022010000}"/>
    <cellStyle name="20% - Accent1 2 2 2 6 2 5" xfId="24271" xr:uid="{00000000-0005-0000-0000-000023010000}"/>
    <cellStyle name="20% - Accent1 2 2 2 6 2 6" xfId="31373" xr:uid="{00000000-0005-0000-0000-000024010000}"/>
    <cellStyle name="20% - Accent1 2 2 2 6 2 7" xfId="35925" xr:uid="{00000000-0005-0000-0000-000025010000}"/>
    <cellStyle name="20% - Accent1 2 2 2 6 3" xfId="5807" xr:uid="{00000000-0005-0000-0000-000026010000}"/>
    <cellStyle name="20% - Accent1 2 2 2 6 3 2" xfId="12908" xr:uid="{00000000-0005-0000-0000-000027010000}"/>
    <cellStyle name="20% - Accent1 2 2 2 6 3 3" xfId="20009" xr:uid="{00000000-0005-0000-0000-000028010000}"/>
    <cellStyle name="20% - Accent1 2 2 2 6 3 4" xfId="27111" xr:uid="{00000000-0005-0000-0000-000029010000}"/>
    <cellStyle name="20% - Accent1 2 2 2 6 3 5" xfId="34213" xr:uid="{00000000-0005-0000-0000-00002A010000}"/>
    <cellStyle name="20% - Accent1 2 2 2 6 4" xfId="4382" xr:uid="{00000000-0005-0000-0000-00002B010000}"/>
    <cellStyle name="20% - Accent1 2 2 2 6 4 2" xfId="11488" xr:uid="{00000000-0005-0000-0000-00002C010000}"/>
    <cellStyle name="20% - Accent1 2 2 2 6 4 3" xfId="18589" xr:uid="{00000000-0005-0000-0000-00002D010000}"/>
    <cellStyle name="20% - Accent1 2 2 2 6 4 4" xfId="25691" xr:uid="{00000000-0005-0000-0000-00002E010000}"/>
    <cellStyle name="20% - Accent1 2 2 2 6 4 5" xfId="32793" xr:uid="{00000000-0005-0000-0000-00002F010000}"/>
    <cellStyle name="20% - Accent1 2 2 2 6 5" xfId="8648" xr:uid="{00000000-0005-0000-0000-000030010000}"/>
    <cellStyle name="20% - Accent1 2 2 2 6 6" xfId="15749" xr:uid="{00000000-0005-0000-0000-000031010000}"/>
    <cellStyle name="20% - Accent1 2 2 2 6 7" xfId="22851" xr:uid="{00000000-0005-0000-0000-000032010000}"/>
    <cellStyle name="20% - Accent1 2 2 2 6 8" xfId="29953" xr:uid="{00000000-0005-0000-0000-000033010000}"/>
    <cellStyle name="20% - Accent1 2 2 2 6 9" xfId="35926" xr:uid="{00000000-0005-0000-0000-000034010000}"/>
    <cellStyle name="20% - Accent1 2 2 2 7" xfId="1753" xr:uid="{00000000-0005-0000-0000-000035010000}"/>
    <cellStyle name="20% - Accent1 2 2 2 7 2" xfId="6021" xr:uid="{00000000-0005-0000-0000-000036010000}"/>
    <cellStyle name="20% - Accent1 2 2 2 7 2 2" xfId="13121" xr:uid="{00000000-0005-0000-0000-000037010000}"/>
    <cellStyle name="20% - Accent1 2 2 2 7 2 3" xfId="20222" xr:uid="{00000000-0005-0000-0000-000038010000}"/>
    <cellStyle name="20% - Accent1 2 2 2 7 2 4" xfId="27324" xr:uid="{00000000-0005-0000-0000-000039010000}"/>
    <cellStyle name="20% - Accent1 2 2 2 7 2 5" xfId="34426" xr:uid="{00000000-0005-0000-0000-00003A010000}"/>
    <cellStyle name="20% - Accent1 2 2 2 7 3" xfId="8861" xr:uid="{00000000-0005-0000-0000-00003B010000}"/>
    <cellStyle name="20% - Accent1 2 2 2 7 4" xfId="15962" xr:uid="{00000000-0005-0000-0000-00003C010000}"/>
    <cellStyle name="20% - Accent1 2 2 2 7 5" xfId="23064" xr:uid="{00000000-0005-0000-0000-00003D010000}"/>
    <cellStyle name="20% - Accent1 2 2 2 7 6" xfId="30166" xr:uid="{00000000-0005-0000-0000-00003E010000}"/>
    <cellStyle name="20% - Accent1 2 2 2 7 7" xfId="35927" xr:uid="{00000000-0005-0000-0000-00003F010000}"/>
    <cellStyle name="20% - Accent1 2 2 2 8" xfId="4600" xr:uid="{00000000-0005-0000-0000-000040010000}"/>
    <cellStyle name="20% - Accent1 2 2 2 8 2" xfId="11701" xr:uid="{00000000-0005-0000-0000-000041010000}"/>
    <cellStyle name="20% - Accent1 2 2 2 8 3" xfId="18802" xr:uid="{00000000-0005-0000-0000-000042010000}"/>
    <cellStyle name="20% - Accent1 2 2 2 8 4" xfId="25904" xr:uid="{00000000-0005-0000-0000-000043010000}"/>
    <cellStyle name="20% - Accent1 2 2 2 8 5" xfId="33006" xr:uid="{00000000-0005-0000-0000-000044010000}"/>
    <cellStyle name="20% - Accent1 2 2 2 9" xfId="3175" xr:uid="{00000000-0005-0000-0000-000045010000}"/>
    <cellStyle name="20% - Accent1 2 2 2 9 2" xfId="10281" xr:uid="{00000000-0005-0000-0000-000046010000}"/>
    <cellStyle name="20% - Accent1 2 2 2 9 3" xfId="17382" xr:uid="{00000000-0005-0000-0000-000047010000}"/>
    <cellStyle name="20% - Accent1 2 2 2 9 4" xfId="24484" xr:uid="{00000000-0005-0000-0000-000048010000}"/>
    <cellStyle name="20% - Accent1 2 2 2 9 5" xfId="31586" xr:uid="{00000000-0005-0000-0000-000049010000}"/>
    <cellStyle name="20% - Accent1 2 2 3" xfId="191" xr:uid="{00000000-0005-0000-0000-00004A010000}"/>
    <cellStyle name="20% - Accent1 2 2 3 10" xfId="7370" xr:uid="{00000000-0005-0000-0000-00004B010000}"/>
    <cellStyle name="20% - Accent1 2 2 3 11" xfId="14471" xr:uid="{00000000-0005-0000-0000-00004C010000}"/>
    <cellStyle name="20% - Accent1 2 2 3 12" xfId="21573" xr:uid="{00000000-0005-0000-0000-00004D010000}"/>
    <cellStyle name="20% - Accent1 2 2 3 13" xfId="28675" xr:uid="{00000000-0005-0000-0000-00004E010000}"/>
    <cellStyle name="20% - Accent1 2 2 3 14" xfId="35777" xr:uid="{00000000-0005-0000-0000-00004F010000}"/>
    <cellStyle name="20% - Accent1 2 2 3 15" xfId="35928" xr:uid="{00000000-0005-0000-0000-000050010000}"/>
    <cellStyle name="20% - Accent1 2 2 3 2" xfId="404" xr:uid="{00000000-0005-0000-0000-000051010000}"/>
    <cellStyle name="20% - Accent1 2 2 3 2 2" xfId="1895" xr:uid="{00000000-0005-0000-0000-000052010000}"/>
    <cellStyle name="20% - Accent1 2 2 3 2 2 2" xfId="6163" xr:uid="{00000000-0005-0000-0000-000053010000}"/>
    <cellStyle name="20% - Accent1 2 2 3 2 2 2 2" xfId="13263" xr:uid="{00000000-0005-0000-0000-000054010000}"/>
    <cellStyle name="20% - Accent1 2 2 3 2 2 2 3" xfId="20364" xr:uid="{00000000-0005-0000-0000-000055010000}"/>
    <cellStyle name="20% - Accent1 2 2 3 2 2 2 4" xfId="27466" xr:uid="{00000000-0005-0000-0000-000056010000}"/>
    <cellStyle name="20% - Accent1 2 2 3 2 2 2 5" xfId="34568" xr:uid="{00000000-0005-0000-0000-000057010000}"/>
    <cellStyle name="20% - Accent1 2 2 3 2 2 2 6" xfId="35929" xr:uid="{00000000-0005-0000-0000-000058010000}"/>
    <cellStyle name="20% - Accent1 2 2 3 2 2 3" xfId="9003" xr:uid="{00000000-0005-0000-0000-000059010000}"/>
    <cellStyle name="20% - Accent1 2 2 3 2 2 4" xfId="16104" xr:uid="{00000000-0005-0000-0000-00005A010000}"/>
    <cellStyle name="20% - Accent1 2 2 3 2 2 5" xfId="23206" xr:uid="{00000000-0005-0000-0000-00005B010000}"/>
    <cellStyle name="20% - Accent1 2 2 3 2 2 6" xfId="30308" xr:uid="{00000000-0005-0000-0000-00005C010000}"/>
    <cellStyle name="20% - Accent1 2 2 3 2 2 7" xfId="35930" xr:uid="{00000000-0005-0000-0000-00005D010000}"/>
    <cellStyle name="20% - Accent1 2 2 3 2 3" xfId="4742" xr:uid="{00000000-0005-0000-0000-00005E010000}"/>
    <cellStyle name="20% - Accent1 2 2 3 2 3 2" xfId="11843" xr:uid="{00000000-0005-0000-0000-00005F010000}"/>
    <cellStyle name="20% - Accent1 2 2 3 2 3 2 2" xfId="35931" xr:uid="{00000000-0005-0000-0000-000060010000}"/>
    <cellStyle name="20% - Accent1 2 2 3 2 3 3" xfId="18944" xr:uid="{00000000-0005-0000-0000-000061010000}"/>
    <cellStyle name="20% - Accent1 2 2 3 2 3 4" xfId="26046" xr:uid="{00000000-0005-0000-0000-000062010000}"/>
    <cellStyle name="20% - Accent1 2 2 3 2 3 5" xfId="33148" xr:uid="{00000000-0005-0000-0000-000063010000}"/>
    <cellStyle name="20% - Accent1 2 2 3 2 3 6" xfId="35932" xr:uid="{00000000-0005-0000-0000-000064010000}"/>
    <cellStyle name="20% - Accent1 2 2 3 2 4" xfId="3317" xr:uid="{00000000-0005-0000-0000-000065010000}"/>
    <cellStyle name="20% - Accent1 2 2 3 2 4 2" xfId="10423" xr:uid="{00000000-0005-0000-0000-000066010000}"/>
    <cellStyle name="20% - Accent1 2 2 3 2 4 3" xfId="17524" xr:uid="{00000000-0005-0000-0000-000067010000}"/>
    <cellStyle name="20% - Accent1 2 2 3 2 4 4" xfId="24626" xr:uid="{00000000-0005-0000-0000-000068010000}"/>
    <cellStyle name="20% - Accent1 2 2 3 2 4 5" xfId="31728" xr:uid="{00000000-0005-0000-0000-000069010000}"/>
    <cellStyle name="20% - Accent1 2 2 3 2 4 6" xfId="35933" xr:uid="{00000000-0005-0000-0000-00006A010000}"/>
    <cellStyle name="20% - Accent1 2 2 3 2 5" xfId="7583" xr:uid="{00000000-0005-0000-0000-00006B010000}"/>
    <cellStyle name="20% - Accent1 2 2 3 2 6" xfId="14684" xr:uid="{00000000-0005-0000-0000-00006C010000}"/>
    <cellStyle name="20% - Accent1 2 2 3 2 7" xfId="21786" xr:uid="{00000000-0005-0000-0000-00006D010000}"/>
    <cellStyle name="20% - Accent1 2 2 3 2 8" xfId="28888" xr:uid="{00000000-0005-0000-0000-00006E010000}"/>
    <cellStyle name="20% - Accent1 2 2 3 2 9" xfId="35934" xr:uid="{00000000-0005-0000-0000-00006F010000}"/>
    <cellStyle name="20% - Accent1 2 2 3 3" xfId="617" xr:uid="{00000000-0005-0000-0000-000070010000}"/>
    <cellStyle name="20% - Accent1 2 2 3 3 2" xfId="2108" xr:uid="{00000000-0005-0000-0000-000071010000}"/>
    <cellStyle name="20% - Accent1 2 2 3 3 2 2" xfId="6376" xr:uid="{00000000-0005-0000-0000-000072010000}"/>
    <cellStyle name="20% - Accent1 2 2 3 3 2 2 2" xfId="13476" xr:uid="{00000000-0005-0000-0000-000073010000}"/>
    <cellStyle name="20% - Accent1 2 2 3 3 2 2 3" xfId="20577" xr:uid="{00000000-0005-0000-0000-000074010000}"/>
    <cellStyle name="20% - Accent1 2 2 3 3 2 2 4" xfId="27679" xr:uid="{00000000-0005-0000-0000-000075010000}"/>
    <cellStyle name="20% - Accent1 2 2 3 3 2 2 5" xfId="34781" xr:uid="{00000000-0005-0000-0000-000076010000}"/>
    <cellStyle name="20% - Accent1 2 2 3 3 2 2 6" xfId="35935" xr:uid="{00000000-0005-0000-0000-000077010000}"/>
    <cellStyle name="20% - Accent1 2 2 3 3 2 3" xfId="9216" xr:uid="{00000000-0005-0000-0000-000078010000}"/>
    <cellStyle name="20% - Accent1 2 2 3 3 2 4" xfId="16317" xr:uid="{00000000-0005-0000-0000-000079010000}"/>
    <cellStyle name="20% - Accent1 2 2 3 3 2 5" xfId="23419" xr:uid="{00000000-0005-0000-0000-00007A010000}"/>
    <cellStyle name="20% - Accent1 2 2 3 3 2 6" xfId="30521" xr:uid="{00000000-0005-0000-0000-00007B010000}"/>
    <cellStyle name="20% - Accent1 2 2 3 3 2 7" xfId="35936" xr:uid="{00000000-0005-0000-0000-00007C010000}"/>
    <cellStyle name="20% - Accent1 2 2 3 3 3" xfId="4955" xr:uid="{00000000-0005-0000-0000-00007D010000}"/>
    <cellStyle name="20% - Accent1 2 2 3 3 3 2" xfId="12056" xr:uid="{00000000-0005-0000-0000-00007E010000}"/>
    <cellStyle name="20% - Accent1 2 2 3 3 3 2 2" xfId="35937" xr:uid="{00000000-0005-0000-0000-00007F010000}"/>
    <cellStyle name="20% - Accent1 2 2 3 3 3 3" xfId="19157" xr:uid="{00000000-0005-0000-0000-000080010000}"/>
    <cellStyle name="20% - Accent1 2 2 3 3 3 4" xfId="26259" xr:uid="{00000000-0005-0000-0000-000081010000}"/>
    <cellStyle name="20% - Accent1 2 2 3 3 3 5" xfId="33361" xr:uid="{00000000-0005-0000-0000-000082010000}"/>
    <cellStyle name="20% - Accent1 2 2 3 3 3 6" xfId="35938" xr:uid="{00000000-0005-0000-0000-000083010000}"/>
    <cellStyle name="20% - Accent1 2 2 3 3 4" xfId="3530" xr:uid="{00000000-0005-0000-0000-000084010000}"/>
    <cellStyle name="20% - Accent1 2 2 3 3 4 2" xfId="10636" xr:uid="{00000000-0005-0000-0000-000085010000}"/>
    <cellStyle name="20% - Accent1 2 2 3 3 4 3" xfId="17737" xr:uid="{00000000-0005-0000-0000-000086010000}"/>
    <cellStyle name="20% - Accent1 2 2 3 3 4 4" xfId="24839" xr:uid="{00000000-0005-0000-0000-000087010000}"/>
    <cellStyle name="20% - Accent1 2 2 3 3 4 5" xfId="31941" xr:uid="{00000000-0005-0000-0000-000088010000}"/>
    <cellStyle name="20% - Accent1 2 2 3 3 4 6" xfId="35939" xr:uid="{00000000-0005-0000-0000-000089010000}"/>
    <cellStyle name="20% - Accent1 2 2 3 3 5" xfId="7796" xr:uid="{00000000-0005-0000-0000-00008A010000}"/>
    <cellStyle name="20% - Accent1 2 2 3 3 6" xfId="14897" xr:uid="{00000000-0005-0000-0000-00008B010000}"/>
    <cellStyle name="20% - Accent1 2 2 3 3 7" xfId="21999" xr:uid="{00000000-0005-0000-0000-00008C010000}"/>
    <cellStyle name="20% - Accent1 2 2 3 3 8" xfId="29101" xr:uid="{00000000-0005-0000-0000-00008D010000}"/>
    <cellStyle name="20% - Accent1 2 2 3 3 9" xfId="35940" xr:uid="{00000000-0005-0000-0000-00008E010000}"/>
    <cellStyle name="20% - Accent1 2 2 3 4" xfId="830" xr:uid="{00000000-0005-0000-0000-00008F010000}"/>
    <cellStyle name="20% - Accent1 2 2 3 4 2" xfId="2321" xr:uid="{00000000-0005-0000-0000-000090010000}"/>
    <cellStyle name="20% - Accent1 2 2 3 4 2 2" xfId="6589" xr:uid="{00000000-0005-0000-0000-000091010000}"/>
    <cellStyle name="20% - Accent1 2 2 3 4 2 2 2" xfId="13689" xr:uid="{00000000-0005-0000-0000-000092010000}"/>
    <cellStyle name="20% - Accent1 2 2 3 4 2 2 3" xfId="20790" xr:uid="{00000000-0005-0000-0000-000093010000}"/>
    <cellStyle name="20% - Accent1 2 2 3 4 2 2 4" xfId="27892" xr:uid="{00000000-0005-0000-0000-000094010000}"/>
    <cellStyle name="20% - Accent1 2 2 3 4 2 2 5" xfId="34994" xr:uid="{00000000-0005-0000-0000-000095010000}"/>
    <cellStyle name="20% - Accent1 2 2 3 4 2 2 6" xfId="35941" xr:uid="{00000000-0005-0000-0000-000096010000}"/>
    <cellStyle name="20% - Accent1 2 2 3 4 2 3" xfId="9429" xr:uid="{00000000-0005-0000-0000-000097010000}"/>
    <cellStyle name="20% - Accent1 2 2 3 4 2 4" xfId="16530" xr:uid="{00000000-0005-0000-0000-000098010000}"/>
    <cellStyle name="20% - Accent1 2 2 3 4 2 5" xfId="23632" xr:uid="{00000000-0005-0000-0000-000099010000}"/>
    <cellStyle name="20% - Accent1 2 2 3 4 2 6" xfId="30734" xr:uid="{00000000-0005-0000-0000-00009A010000}"/>
    <cellStyle name="20% - Accent1 2 2 3 4 2 7" xfId="35942" xr:uid="{00000000-0005-0000-0000-00009B010000}"/>
    <cellStyle name="20% - Accent1 2 2 3 4 3" xfId="5168" xr:uid="{00000000-0005-0000-0000-00009C010000}"/>
    <cellStyle name="20% - Accent1 2 2 3 4 3 2" xfId="12269" xr:uid="{00000000-0005-0000-0000-00009D010000}"/>
    <cellStyle name="20% - Accent1 2 2 3 4 3 2 2" xfId="35943" xr:uid="{00000000-0005-0000-0000-00009E010000}"/>
    <cellStyle name="20% - Accent1 2 2 3 4 3 3" xfId="19370" xr:uid="{00000000-0005-0000-0000-00009F010000}"/>
    <cellStyle name="20% - Accent1 2 2 3 4 3 4" xfId="26472" xr:uid="{00000000-0005-0000-0000-0000A0010000}"/>
    <cellStyle name="20% - Accent1 2 2 3 4 3 5" xfId="33574" xr:uid="{00000000-0005-0000-0000-0000A1010000}"/>
    <cellStyle name="20% - Accent1 2 2 3 4 3 6" xfId="35944" xr:uid="{00000000-0005-0000-0000-0000A2010000}"/>
    <cellStyle name="20% - Accent1 2 2 3 4 4" xfId="3743" xr:uid="{00000000-0005-0000-0000-0000A3010000}"/>
    <cellStyle name="20% - Accent1 2 2 3 4 4 2" xfId="10849" xr:uid="{00000000-0005-0000-0000-0000A4010000}"/>
    <cellStyle name="20% - Accent1 2 2 3 4 4 3" xfId="17950" xr:uid="{00000000-0005-0000-0000-0000A5010000}"/>
    <cellStyle name="20% - Accent1 2 2 3 4 4 4" xfId="25052" xr:uid="{00000000-0005-0000-0000-0000A6010000}"/>
    <cellStyle name="20% - Accent1 2 2 3 4 4 5" xfId="32154" xr:uid="{00000000-0005-0000-0000-0000A7010000}"/>
    <cellStyle name="20% - Accent1 2 2 3 4 4 6" xfId="35945" xr:uid="{00000000-0005-0000-0000-0000A8010000}"/>
    <cellStyle name="20% - Accent1 2 2 3 4 5" xfId="8009" xr:uid="{00000000-0005-0000-0000-0000A9010000}"/>
    <cellStyle name="20% - Accent1 2 2 3 4 6" xfId="15110" xr:uid="{00000000-0005-0000-0000-0000AA010000}"/>
    <cellStyle name="20% - Accent1 2 2 3 4 7" xfId="22212" xr:uid="{00000000-0005-0000-0000-0000AB010000}"/>
    <cellStyle name="20% - Accent1 2 2 3 4 8" xfId="29314" xr:uid="{00000000-0005-0000-0000-0000AC010000}"/>
    <cellStyle name="20% - Accent1 2 2 3 4 9" xfId="35946" xr:uid="{00000000-0005-0000-0000-0000AD010000}"/>
    <cellStyle name="20% - Accent1 2 2 3 5" xfId="1185" xr:uid="{00000000-0005-0000-0000-0000AE010000}"/>
    <cellStyle name="20% - Accent1 2 2 3 5 2" xfId="2676" xr:uid="{00000000-0005-0000-0000-0000AF010000}"/>
    <cellStyle name="20% - Accent1 2 2 3 5 2 2" xfId="6944" xr:uid="{00000000-0005-0000-0000-0000B0010000}"/>
    <cellStyle name="20% - Accent1 2 2 3 5 2 2 2" xfId="14044" xr:uid="{00000000-0005-0000-0000-0000B1010000}"/>
    <cellStyle name="20% - Accent1 2 2 3 5 2 2 3" xfId="21145" xr:uid="{00000000-0005-0000-0000-0000B2010000}"/>
    <cellStyle name="20% - Accent1 2 2 3 5 2 2 4" xfId="28247" xr:uid="{00000000-0005-0000-0000-0000B3010000}"/>
    <cellStyle name="20% - Accent1 2 2 3 5 2 2 5" xfId="35349" xr:uid="{00000000-0005-0000-0000-0000B4010000}"/>
    <cellStyle name="20% - Accent1 2 2 3 5 2 3" xfId="9784" xr:uid="{00000000-0005-0000-0000-0000B5010000}"/>
    <cellStyle name="20% - Accent1 2 2 3 5 2 4" xfId="16885" xr:uid="{00000000-0005-0000-0000-0000B6010000}"/>
    <cellStyle name="20% - Accent1 2 2 3 5 2 5" xfId="23987" xr:uid="{00000000-0005-0000-0000-0000B7010000}"/>
    <cellStyle name="20% - Accent1 2 2 3 5 2 6" xfId="31089" xr:uid="{00000000-0005-0000-0000-0000B8010000}"/>
    <cellStyle name="20% - Accent1 2 2 3 5 2 7" xfId="35947" xr:uid="{00000000-0005-0000-0000-0000B9010000}"/>
    <cellStyle name="20% - Accent1 2 2 3 5 3" xfId="5523" xr:uid="{00000000-0005-0000-0000-0000BA010000}"/>
    <cellStyle name="20% - Accent1 2 2 3 5 3 2" xfId="12624" xr:uid="{00000000-0005-0000-0000-0000BB010000}"/>
    <cellStyle name="20% - Accent1 2 2 3 5 3 3" xfId="19725" xr:uid="{00000000-0005-0000-0000-0000BC010000}"/>
    <cellStyle name="20% - Accent1 2 2 3 5 3 4" xfId="26827" xr:uid="{00000000-0005-0000-0000-0000BD010000}"/>
    <cellStyle name="20% - Accent1 2 2 3 5 3 5" xfId="33929" xr:uid="{00000000-0005-0000-0000-0000BE010000}"/>
    <cellStyle name="20% - Accent1 2 2 3 5 4" xfId="4098" xr:uid="{00000000-0005-0000-0000-0000BF010000}"/>
    <cellStyle name="20% - Accent1 2 2 3 5 4 2" xfId="11204" xr:uid="{00000000-0005-0000-0000-0000C0010000}"/>
    <cellStyle name="20% - Accent1 2 2 3 5 4 3" xfId="18305" xr:uid="{00000000-0005-0000-0000-0000C1010000}"/>
    <cellStyle name="20% - Accent1 2 2 3 5 4 4" xfId="25407" xr:uid="{00000000-0005-0000-0000-0000C2010000}"/>
    <cellStyle name="20% - Accent1 2 2 3 5 4 5" xfId="32509" xr:uid="{00000000-0005-0000-0000-0000C3010000}"/>
    <cellStyle name="20% - Accent1 2 2 3 5 5" xfId="8364" xr:uid="{00000000-0005-0000-0000-0000C4010000}"/>
    <cellStyle name="20% - Accent1 2 2 3 5 6" xfId="15465" xr:uid="{00000000-0005-0000-0000-0000C5010000}"/>
    <cellStyle name="20% - Accent1 2 2 3 5 7" xfId="22567" xr:uid="{00000000-0005-0000-0000-0000C6010000}"/>
    <cellStyle name="20% - Accent1 2 2 3 5 8" xfId="29669" xr:uid="{00000000-0005-0000-0000-0000C7010000}"/>
    <cellStyle name="20% - Accent1 2 2 3 5 9" xfId="35948" xr:uid="{00000000-0005-0000-0000-0000C8010000}"/>
    <cellStyle name="20% - Accent1 2 2 3 6" xfId="1398" xr:uid="{00000000-0005-0000-0000-0000C9010000}"/>
    <cellStyle name="20% - Accent1 2 2 3 6 2" xfId="2889" xr:uid="{00000000-0005-0000-0000-0000CA010000}"/>
    <cellStyle name="20% - Accent1 2 2 3 6 2 2" xfId="7157" xr:uid="{00000000-0005-0000-0000-0000CB010000}"/>
    <cellStyle name="20% - Accent1 2 2 3 6 2 2 2" xfId="14257" xr:uid="{00000000-0005-0000-0000-0000CC010000}"/>
    <cellStyle name="20% - Accent1 2 2 3 6 2 2 3" xfId="21358" xr:uid="{00000000-0005-0000-0000-0000CD010000}"/>
    <cellStyle name="20% - Accent1 2 2 3 6 2 2 4" xfId="28460" xr:uid="{00000000-0005-0000-0000-0000CE010000}"/>
    <cellStyle name="20% - Accent1 2 2 3 6 2 2 5" xfId="35562" xr:uid="{00000000-0005-0000-0000-0000CF010000}"/>
    <cellStyle name="20% - Accent1 2 2 3 6 2 3" xfId="9997" xr:uid="{00000000-0005-0000-0000-0000D0010000}"/>
    <cellStyle name="20% - Accent1 2 2 3 6 2 4" xfId="17098" xr:uid="{00000000-0005-0000-0000-0000D1010000}"/>
    <cellStyle name="20% - Accent1 2 2 3 6 2 5" xfId="24200" xr:uid="{00000000-0005-0000-0000-0000D2010000}"/>
    <cellStyle name="20% - Accent1 2 2 3 6 2 6" xfId="31302" xr:uid="{00000000-0005-0000-0000-0000D3010000}"/>
    <cellStyle name="20% - Accent1 2 2 3 6 2 7" xfId="35949" xr:uid="{00000000-0005-0000-0000-0000D4010000}"/>
    <cellStyle name="20% - Accent1 2 2 3 6 3" xfId="5736" xr:uid="{00000000-0005-0000-0000-0000D5010000}"/>
    <cellStyle name="20% - Accent1 2 2 3 6 3 2" xfId="12837" xr:uid="{00000000-0005-0000-0000-0000D6010000}"/>
    <cellStyle name="20% - Accent1 2 2 3 6 3 3" xfId="19938" xr:uid="{00000000-0005-0000-0000-0000D7010000}"/>
    <cellStyle name="20% - Accent1 2 2 3 6 3 4" xfId="27040" xr:uid="{00000000-0005-0000-0000-0000D8010000}"/>
    <cellStyle name="20% - Accent1 2 2 3 6 3 5" xfId="34142" xr:uid="{00000000-0005-0000-0000-0000D9010000}"/>
    <cellStyle name="20% - Accent1 2 2 3 6 4" xfId="4311" xr:uid="{00000000-0005-0000-0000-0000DA010000}"/>
    <cellStyle name="20% - Accent1 2 2 3 6 4 2" xfId="11417" xr:uid="{00000000-0005-0000-0000-0000DB010000}"/>
    <cellStyle name="20% - Accent1 2 2 3 6 4 3" xfId="18518" xr:uid="{00000000-0005-0000-0000-0000DC010000}"/>
    <cellStyle name="20% - Accent1 2 2 3 6 4 4" xfId="25620" xr:uid="{00000000-0005-0000-0000-0000DD010000}"/>
    <cellStyle name="20% - Accent1 2 2 3 6 4 5" xfId="32722" xr:uid="{00000000-0005-0000-0000-0000DE010000}"/>
    <cellStyle name="20% - Accent1 2 2 3 6 5" xfId="8577" xr:uid="{00000000-0005-0000-0000-0000DF010000}"/>
    <cellStyle name="20% - Accent1 2 2 3 6 6" xfId="15678" xr:uid="{00000000-0005-0000-0000-0000E0010000}"/>
    <cellStyle name="20% - Accent1 2 2 3 6 7" xfId="22780" xr:uid="{00000000-0005-0000-0000-0000E1010000}"/>
    <cellStyle name="20% - Accent1 2 2 3 6 8" xfId="29882" xr:uid="{00000000-0005-0000-0000-0000E2010000}"/>
    <cellStyle name="20% - Accent1 2 2 3 6 9" xfId="35950" xr:uid="{00000000-0005-0000-0000-0000E3010000}"/>
    <cellStyle name="20% - Accent1 2 2 3 7" xfId="1682" xr:uid="{00000000-0005-0000-0000-0000E4010000}"/>
    <cellStyle name="20% - Accent1 2 2 3 7 2" xfId="5950" xr:uid="{00000000-0005-0000-0000-0000E5010000}"/>
    <cellStyle name="20% - Accent1 2 2 3 7 2 2" xfId="13050" xr:uid="{00000000-0005-0000-0000-0000E6010000}"/>
    <cellStyle name="20% - Accent1 2 2 3 7 2 3" xfId="20151" xr:uid="{00000000-0005-0000-0000-0000E7010000}"/>
    <cellStyle name="20% - Accent1 2 2 3 7 2 4" xfId="27253" xr:uid="{00000000-0005-0000-0000-0000E8010000}"/>
    <cellStyle name="20% - Accent1 2 2 3 7 2 5" xfId="34355" xr:uid="{00000000-0005-0000-0000-0000E9010000}"/>
    <cellStyle name="20% - Accent1 2 2 3 7 3" xfId="8790" xr:uid="{00000000-0005-0000-0000-0000EA010000}"/>
    <cellStyle name="20% - Accent1 2 2 3 7 4" xfId="15891" xr:uid="{00000000-0005-0000-0000-0000EB010000}"/>
    <cellStyle name="20% - Accent1 2 2 3 7 5" xfId="22993" xr:uid="{00000000-0005-0000-0000-0000EC010000}"/>
    <cellStyle name="20% - Accent1 2 2 3 7 6" xfId="30095" xr:uid="{00000000-0005-0000-0000-0000ED010000}"/>
    <cellStyle name="20% - Accent1 2 2 3 7 7" xfId="35951" xr:uid="{00000000-0005-0000-0000-0000EE010000}"/>
    <cellStyle name="20% - Accent1 2 2 3 8" xfId="4529" xr:uid="{00000000-0005-0000-0000-0000EF010000}"/>
    <cellStyle name="20% - Accent1 2 2 3 8 2" xfId="11630" xr:uid="{00000000-0005-0000-0000-0000F0010000}"/>
    <cellStyle name="20% - Accent1 2 2 3 8 3" xfId="18731" xr:uid="{00000000-0005-0000-0000-0000F1010000}"/>
    <cellStyle name="20% - Accent1 2 2 3 8 4" xfId="25833" xr:uid="{00000000-0005-0000-0000-0000F2010000}"/>
    <cellStyle name="20% - Accent1 2 2 3 8 5" xfId="32935" xr:uid="{00000000-0005-0000-0000-0000F3010000}"/>
    <cellStyle name="20% - Accent1 2 2 3 9" xfId="3104" xr:uid="{00000000-0005-0000-0000-0000F4010000}"/>
    <cellStyle name="20% - Accent1 2 2 3 9 2" xfId="10210" xr:uid="{00000000-0005-0000-0000-0000F5010000}"/>
    <cellStyle name="20% - Accent1 2 2 3 9 3" xfId="17311" xr:uid="{00000000-0005-0000-0000-0000F6010000}"/>
    <cellStyle name="20% - Accent1 2 2 3 9 4" xfId="24413" xr:uid="{00000000-0005-0000-0000-0000F7010000}"/>
    <cellStyle name="20% - Accent1 2 2 3 9 5" xfId="31515" xr:uid="{00000000-0005-0000-0000-0000F8010000}"/>
    <cellStyle name="20% - Accent1 2 2 4" xfId="333" xr:uid="{00000000-0005-0000-0000-0000F9010000}"/>
    <cellStyle name="20% - Accent1 2 2 4 10" xfId="35952" xr:uid="{00000000-0005-0000-0000-0000FA010000}"/>
    <cellStyle name="20% - Accent1 2 2 4 2" xfId="1114" xr:uid="{00000000-0005-0000-0000-0000FB010000}"/>
    <cellStyle name="20% - Accent1 2 2 4 2 2" xfId="2605" xr:uid="{00000000-0005-0000-0000-0000FC010000}"/>
    <cellStyle name="20% - Accent1 2 2 4 2 2 2" xfId="6873" xr:uid="{00000000-0005-0000-0000-0000FD010000}"/>
    <cellStyle name="20% - Accent1 2 2 4 2 2 2 2" xfId="13973" xr:uid="{00000000-0005-0000-0000-0000FE010000}"/>
    <cellStyle name="20% - Accent1 2 2 4 2 2 2 3" xfId="21074" xr:uid="{00000000-0005-0000-0000-0000FF010000}"/>
    <cellStyle name="20% - Accent1 2 2 4 2 2 2 4" xfId="28176" xr:uid="{00000000-0005-0000-0000-000000020000}"/>
    <cellStyle name="20% - Accent1 2 2 4 2 2 2 5" xfId="35278" xr:uid="{00000000-0005-0000-0000-000001020000}"/>
    <cellStyle name="20% - Accent1 2 2 4 2 2 3" xfId="9713" xr:uid="{00000000-0005-0000-0000-000002020000}"/>
    <cellStyle name="20% - Accent1 2 2 4 2 2 4" xfId="16814" xr:uid="{00000000-0005-0000-0000-000003020000}"/>
    <cellStyle name="20% - Accent1 2 2 4 2 2 5" xfId="23916" xr:uid="{00000000-0005-0000-0000-000004020000}"/>
    <cellStyle name="20% - Accent1 2 2 4 2 2 6" xfId="31018" xr:uid="{00000000-0005-0000-0000-000005020000}"/>
    <cellStyle name="20% - Accent1 2 2 4 2 2 7" xfId="35953" xr:uid="{00000000-0005-0000-0000-000006020000}"/>
    <cellStyle name="20% - Accent1 2 2 4 2 3" xfId="5452" xr:uid="{00000000-0005-0000-0000-000007020000}"/>
    <cellStyle name="20% - Accent1 2 2 4 2 3 2" xfId="12553" xr:uid="{00000000-0005-0000-0000-000008020000}"/>
    <cellStyle name="20% - Accent1 2 2 4 2 3 3" xfId="19654" xr:uid="{00000000-0005-0000-0000-000009020000}"/>
    <cellStyle name="20% - Accent1 2 2 4 2 3 4" xfId="26756" xr:uid="{00000000-0005-0000-0000-00000A020000}"/>
    <cellStyle name="20% - Accent1 2 2 4 2 3 5" xfId="33858" xr:uid="{00000000-0005-0000-0000-00000B020000}"/>
    <cellStyle name="20% - Accent1 2 2 4 2 4" xfId="4027" xr:uid="{00000000-0005-0000-0000-00000C020000}"/>
    <cellStyle name="20% - Accent1 2 2 4 2 4 2" xfId="11133" xr:uid="{00000000-0005-0000-0000-00000D020000}"/>
    <cellStyle name="20% - Accent1 2 2 4 2 4 3" xfId="18234" xr:uid="{00000000-0005-0000-0000-00000E020000}"/>
    <cellStyle name="20% - Accent1 2 2 4 2 4 4" xfId="25336" xr:uid="{00000000-0005-0000-0000-00000F020000}"/>
    <cellStyle name="20% - Accent1 2 2 4 2 4 5" xfId="32438" xr:uid="{00000000-0005-0000-0000-000010020000}"/>
    <cellStyle name="20% - Accent1 2 2 4 2 5" xfId="8293" xr:uid="{00000000-0005-0000-0000-000011020000}"/>
    <cellStyle name="20% - Accent1 2 2 4 2 6" xfId="15394" xr:uid="{00000000-0005-0000-0000-000012020000}"/>
    <cellStyle name="20% - Accent1 2 2 4 2 7" xfId="22496" xr:uid="{00000000-0005-0000-0000-000013020000}"/>
    <cellStyle name="20% - Accent1 2 2 4 2 8" xfId="29598" xr:uid="{00000000-0005-0000-0000-000014020000}"/>
    <cellStyle name="20% - Accent1 2 2 4 2 9" xfId="35954" xr:uid="{00000000-0005-0000-0000-000015020000}"/>
    <cellStyle name="20% - Accent1 2 2 4 3" xfId="1824" xr:uid="{00000000-0005-0000-0000-000016020000}"/>
    <cellStyle name="20% - Accent1 2 2 4 3 2" xfId="6092" xr:uid="{00000000-0005-0000-0000-000017020000}"/>
    <cellStyle name="20% - Accent1 2 2 4 3 2 2" xfId="13192" xr:uid="{00000000-0005-0000-0000-000018020000}"/>
    <cellStyle name="20% - Accent1 2 2 4 3 2 3" xfId="20293" xr:uid="{00000000-0005-0000-0000-000019020000}"/>
    <cellStyle name="20% - Accent1 2 2 4 3 2 4" xfId="27395" xr:uid="{00000000-0005-0000-0000-00001A020000}"/>
    <cellStyle name="20% - Accent1 2 2 4 3 2 5" xfId="34497" xr:uid="{00000000-0005-0000-0000-00001B020000}"/>
    <cellStyle name="20% - Accent1 2 2 4 3 2 6" xfId="35955" xr:uid="{00000000-0005-0000-0000-00001C020000}"/>
    <cellStyle name="20% - Accent1 2 2 4 3 3" xfId="8932" xr:uid="{00000000-0005-0000-0000-00001D020000}"/>
    <cellStyle name="20% - Accent1 2 2 4 3 4" xfId="16033" xr:uid="{00000000-0005-0000-0000-00001E020000}"/>
    <cellStyle name="20% - Accent1 2 2 4 3 5" xfId="23135" xr:uid="{00000000-0005-0000-0000-00001F020000}"/>
    <cellStyle name="20% - Accent1 2 2 4 3 6" xfId="30237" xr:uid="{00000000-0005-0000-0000-000020020000}"/>
    <cellStyle name="20% - Accent1 2 2 4 3 7" xfId="35956" xr:uid="{00000000-0005-0000-0000-000021020000}"/>
    <cellStyle name="20% - Accent1 2 2 4 4" xfId="4671" xr:uid="{00000000-0005-0000-0000-000022020000}"/>
    <cellStyle name="20% - Accent1 2 2 4 4 2" xfId="11772" xr:uid="{00000000-0005-0000-0000-000023020000}"/>
    <cellStyle name="20% - Accent1 2 2 4 4 3" xfId="18873" xr:uid="{00000000-0005-0000-0000-000024020000}"/>
    <cellStyle name="20% - Accent1 2 2 4 4 4" xfId="25975" xr:uid="{00000000-0005-0000-0000-000025020000}"/>
    <cellStyle name="20% - Accent1 2 2 4 4 5" xfId="33077" xr:uid="{00000000-0005-0000-0000-000026020000}"/>
    <cellStyle name="20% - Accent1 2 2 4 4 6" xfId="35957" xr:uid="{00000000-0005-0000-0000-000027020000}"/>
    <cellStyle name="20% - Accent1 2 2 4 5" xfId="3246" xr:uid="{00000000-0005-0000-0000-000028020000}"/>
    <cellStyle name="20% - Accent1 2 2 4 5 2" xfId="10352" xr:uid="{00000000-0005-0000-0000-000029020000}"/>
    <cellStyle name="20% - Accent1 2 2 4 5 3" xfId="17453" xr:uid="{00000000-0005-0000-0000-00002A020000}"/>
    <cellStyle name="20% - Accent1 2 2 4 5 4" xfId="24555" xr:uid="{00000000-0005-0000-0000-00002B020000}"/>
    <cellStyle name="20% - Accent1 2 2 4 5 5" xfId="31657" xr:uid="{00000000-0005-0000-0000-00002C020000}"/>
    <cellStyle name="20% - Accent1 2 2 4 6" xfId="7512" xr:uid="{00000000-0005-0000-0000-00002D020000}"/>
    <cellStyle name="20% - Accent1 2 2 4 7" xfId="14613" xr:uid="{00000000-0005-0000-0000-00002E020000}"/>
    <cellStyle name="20% - Accent1 2 2 4 8" xfId="21715" xr:uid="{00000000-0005-0000-0000-00002F020000}"/>
    <cellStyle name="20% - Accent1 2 2 4 9" xfId="28817" xr:uid="{00000000-0005-0000-0000-000030020000}"/>
    <cellStyle name="20% - Accent1 2 2 5" xfId="546" xr:uid="{00000000-0005-0000-0000-000031020000}"/>
    <cellStyle name="20% - Accent1 2 2 5 2" xfId="2037" xr:uid="{00000000-0005-0000-0000-000032020000}"/>
    <cellStyle name="20% - Accent1 2 2 5 2 2" xfId="6305" xr:uid="{00000000-0005-0000-0000-000033020000}"/>
    <cellStyle name="20% - Accent1 2 2 5 2 2 2" xfId="13405" xr:uid="{00000000-0005-0000-0000-000034020000}"/>
    <cellStyle name="20% - Accent1 2 2 5 2 2 3" xfId="20506" xr:uid="{00000000-0005-0000-0000-000035020000}"/>
    <cellStyle name="20% - Accent1 2 2 5 2 2 4" xfId="27608" xr:uid="{00000000-0005-0000-0000-000036020000}"/>
    <cellStyle name="20% - Accent1 2 2 5 2 2 5" xfId="34710" xr:uid="{00000000-0005-0000-0000-000037020000}"/>
    <cellStyle name="20% - Accent1 2 2 5 2 2 6" xfId="35958" xr:uid="{00000000-0005-0000-0000-000038020000}"/>
    <cellStyle name="20% - Accent1 2 2 5 2 3" xfId="9145" xr:uid="{00000000-0005-0000-0000-000039020000}"/>
    <cellStyle name="20% - Accent1 2 2 5 2 4" xfId="16246" xr:uid="{00000000-0005-0000-0000-00003A020000}"/>
    <cellStyle name="20% - Accent1 2 2 5 2 5" xfId="23348" xr:uid="{00000000-0005-0000-0000-00003B020000}"/>
    <cellStyle name="20% - Accent1 2 2 5 2 6" xfId="30450" xr:uid="{00000000-0005-0000-0000-00003C020000}"/>
    <cellStyle name="20% - Accent1 2 2 5 2 7" xfId="35959" xr:uid="{00000000-0005-0000-0000-00003D020000}"/>
    <cellStyle name="20% - Accent1 2 2 5 3" xfId="4884" xr:uid="{00000000-0005-0000-0000-00003E020000}"/>
    <cellStyle name="20% - Accent1 2 2 5 3 2" xfId="11985" xr:uid="{00000000-0005-0000-0000-00003F020000}"/>
    <cellStyle name="20% - Accent1 2 2 5 3 2 2" xfId="35960" xr:uid="{00000000-0005-0000-0000-000040020000}"/>
    <cellStyle name="20% - Accent1 2 2 5 3 3" xfId="19086" xr:uid="{00000000-0005-0000-0000-000041020000}"/>
    <cellStyle name="20% - Accent1 2 2 5 3 4" xfId="26188" xr:uid="{00000000-0005-0000-0000-000042020000}"/>
    <cellStyle name="20% - Accent1 2 2 5 3 5" xfId="33290" xr:uid="{00000000-0005-0000-0000-000043020000}"/>
    <cellStyle name="20% - Accent1 2 2 5 3 6" xfId="35961" xr:uid="{00000000-0005-0000-0000-000044020000}"/>
    <cellStyle name="20% - Accent1 2 2 5 4" xfId="3459" xr:uid="{00000000-0005-0000-0000-000045020000}"/>
    <cellStyle name="20% - Accent1 2 2 5 4 2" xfId="10565" xr:uid="{00000000-0005-0000-0000-000046020000}"/>
    <cellStyle name="20% - Accent1 2 2 5 4 3" xfId="17666" xr:uid="{00000000-0005-0000-0000-000047020000}"/>
    <cellStyle name="20% - Accent1 2 2 5 4 4" xfId="24768" xr:uid="{00000000-0005-0000-0000-000048020000}"/>
    <cellStyle name="20% - Accent1 2 2 5 4 5" xfId="31870" xr:uid="{00000000-0005-0000-0000-000049020000}"/>
    <cellStyle name="20% - Accent1 2 2 5 4 6" xfId="35962" xr:uid="{00000000-0005-0000-0000-00004A020000}"/>
    <cellStyle name="20% - Accent1 2 2 5 5" xfId="7725" xr:uid="{00000000-0005-0000-0000-00004B020000}"/>
    <cellStyle name="20% - Accent1 2 2 5 6" xfId="14826" xr:uid="{00000000-0005-0000-0000-00004C020000}"/>
    <cellStyle name="20% - Accent1 2 2 5 7" xfId="21928" xr:uid="{00000000-0005-0000-0000-00004D020000}"/>
    <cellStyle name="20% - Accent1 2 2 5 8" xfId="29030" xr:uid="{00000000-0005-0000-0000-00004E020000}"/>
    <cellStyle name="20% - Accent1 2 2 5 9" xfId="35963" xr:uid="{00000000-0005-0000-0000-00004F020000}"/>
    <cellStyle name="20% - Accent1 2 2 6" xfId="759" xr:uid="{00000000-0005-0000-0000-000050020000}"/>
    <cellStyle name="20% - Accent1 2 2 6 2" xfId="2250" xr:uid="{00000000-0005-0000-0000-000051020000}"/>
    <cellStyle name="20% - Accent1 2 2 6 2 2" xfId="6518" xr:uid="{00000000-0005-0000-0000-000052020000}"/>
    <cellStyle name="20% - Accent1 2 2 6 2 2 2" xfId="13618" xr:uid="{00000000-0005-0000-0000-000053020000}"/>
    <cellStyle name="20% - Accent1 2 2 6 2 2 3" xfId="20719" xr:uid="{00000000-0005-0000-0000-000054020000}"/>
    <cellStyle name="20% - Accent1 2 2 6 2 2 4" xfId="27821" xr:uid="{00000000-0005-0000-0000-000055020000}"/>
    <cellStyle name="20% - Accent1 2 2 6 2 2 5" xfId="34923" xr:uid="{00000000-0005-0000-0000-000056020000}"/>
    <cellStyle name="20% - Accent1 2 2 6 2 2 6" xfId="35964" xr:uid="{00000000-0005-0000-0000-000057020000}"/>
    <cellStyle name="20% - Accent1 2 2 6 2 3" xfId="9358" xr:uid="{00000000-0005-0000-0000-000058020000}"/>
    <cellStyle name="20% - Accent1 2 2 6 2 4" xfId="16459" xr:uid="{00000000-0005-0000-0000-000059020000}"/>
    <cellStyle name="20% - Accent1 2 2 6 2 5" xfId="23561" xr:uid="{00000000-0005-0000-0000-00005A020000}"/>
    <cellStyle name="20% - Accent1 2 2 6 2 6" xfId="30663" xr:uid="{00000000-0005-0000-0000-00005B020000}"/>
    <cellStyle name="20% - Accent1 2 2 6 2 7" xfId="35965" xr:uid="{00000000-0005-0000-0000-00005C020000}"/>
    <cellStyle name="20% - Accent1 2 2 6 3" xfId="5097" xr:uid="{00000000-0005-0000-0000-00005D020000}"/>
    <cellStyle name="20% - Accent1 2 2 6 3 2" xfId="12198" xr:uid="{00000000-0005-0000-0000-00005E020000}"/>
    <cellStyle name="20% - Accent1 2 2 6 3 2 2" xfId="35966" xr:uid="{00000000-0005-0000-0000-00005F020000}"/>
    <cellStyle name="20% - Accent1 2 2 6 3 3" xfId="19299" xr:uid="{00000000-0005-0000-0000-000060020000}"/>
    <cellStyle name="20% - Accent1 2 2 6 3 4" xfId="26401" xr:uid="{00000000-0005-0000-0000-000061020000}"/>
    <cellStyle name="20% - Accent1 2 2 6 3 5" xfId="33503" xr:uid="{00000000-0005-0000-0000-000062020000}"/>
    <cellStyle name="20% - Accent1 2 2 6 3 6" xfId="35967" xr:uid="{00000000-0005-0000-0000-000063020000}"/>
    <cellStyle name="20% - Accent1 2 2 6 4" xfId="3672" xr:uid="{00000000-0005-0000-0000-000064020000}"/>
    <cellStyle name="20% - Accent1 2 2 6 4 2" xfId="10778" xr:uid="{00000000-0005-0000-0000-000065020000}"/>
    <cellStyle name="20% - Accent1 2 2 6 4 3" xfId="17879" xr:uid="{00000000-0005-0000-0000-000066020000}"/>
    <cellStyle name="20% - Accent1 2 2 6 4 4" xfId="24981" xr:uid="{00000000-0005-0000-0000-000067020000}"/>
    <cellStyle name="20% - Accent1 2 2 6 4 5" xfId="32083" xr:uid="{00000000-0005-0000-0000-000068020000}"/>
    <cellStyle name="20% - Accent1 2 2 6 4 6" xfId="35968" xr:uid="{00000000-0005-0000-0000-000069020000}"/>
    <cellStyle name="20% - Accent1 2 2 6 5" xfId="7938" xr:uid="{00000000-0005-0000-0000-00006A020000}"/>
    <cellStyle name="20% - Accent1 2 2 6 6" xfId="15039" xr:uid="{00000000-0005-0000-0000-00006B020000}"/>
    <cellStyle name="20% - Accent1 2 2 6 7" xfId="22141" xr:uid="{00000000-0005-0000-0000-00006C020000}"/>
    <cellStyle name="20% - Accent1 2 2 6 8" xfId="29243" xr:uid="{00000000-0005-0000-0000-00006D020000}"/>
    <cellStyle name="20% - Accent1 2 2 6 9" xfId="35969" xr:uid="{00000000-0005-0000-0000-00006E020000}"/>
    <cellStyle name="20% - Accent1 2 2 7" xfId="972" xr:uid="{00000000-0005-0000-0000-00006F020000}"/>
    <cellStyle name="20% - Accent1 2 2 7 2" xfId="2463" xr:uid="{00000000-0005-0000-0000-000070020000}"/>
    <cellStyle name="20% - Accent1 2 2 7 2 2" xfId="6731" xr:uid="{00000000-0005-0000-0000-000071020000}"/>
    <cellStyle name="20% - Accent1 2 2 7 2 2 2" xfId="13831" xr:uid="{00000000-0005-0000-0000-000072020000}"/>
    <cellStyle name="20% - Accent1 2 2 7 2 2 3" xfId="20932" xr:uid="{00000000-0005-0000-0000-000073020000}"/>
    <cellStyle name="20% - Accent1 2 2 7 2 2 4" xfId="28034" xr:uid="{00000000-0005-0000-0000-000074020000}"/>
    <cellStyle name="20% - Accent1 2 2 7 2 2 5" xfId="35136" xr:uid="{00000000-0005-0000-0000-000075020000}"/>
    <cellStyle name="20% - Accent1 2 2 7 2 3" xfId="9571" xr:uid="{00000000-0005-0000-0000-000076020000}"/>
    <cellStyle name="20% - Accent1 2 2 7 2 4" xfId="16672" xr:uid="{00000000-0005-0000-0000-000077020000}"/>
    <cellStyle name="20% - Accent1 2 2 7 2 5" xfId="23774" xr:uid="{00000000-0005-0000-0000-000078020000}"/>
    <cellStyle name="20% - Accent1 2 2 7 2 6" xfId="30876" xr:uid="{00000000-0005-0000-0000-000079020000}"/>
    <cellStyle name="20% - Accent1 2 2 7 2 7" xfId="35970" xr:uid="{00000000-0005-0000-0000-00007A020000}"/>
    <cellStyle name="20% - Accent1 2 2 7 3" xfId="5310" xr:uid="{00000000-0005-0000-0000-00007B020000}"/>
    <cellStyle name="20% - Accent1 2 2 7 3 2" xfId="12411" xr:uid="{00000000-0005-0000-0000-00007C020000}"/>
    <cellStyle name="20% - Accent1 2 2 7 3 3" xfId="19512" xr:uid="{00000000-0005-0000-0000-00007D020000}"/>
    <cellStyle name="20% - Accent1 2 2 7 3 4" xfId="26614" xr:uid="{00000000-0005-0000-0000-00007E020000}"/>
    <cellStyle name="20% - Accent1 2 2 7 3 5" xfId="33716" xr:uid="{00000000-0005-0000-0000-00007F020000}"/>
    <cellStyle name="20% - Accent1 2 2 7 4" xfId="3885" xr:uid="{00000000-0005-0000-0000-000080020000}"/>
    <cellStyle name="20% - Accent1 2 2 7 4 2" xfId="10991" xr:uid="{00000000-0005-0000-0000-000081020000}"/>
    <cellStyle name="20% - Accent1 2 2 7 4 3" xfId="18092" xr:uid="{00000000-0005-0000-0000-000082020000}"/>
    <cellStyle name="20% - Accent1 2 2 7 4 4" xfId="25194" xr:uid="{00000000-0005-0000-0000-000083020000}"/>
    <cellStyle name="20% - Accent1 2 2 7 4 5" xfId="32296" xr:uid="{00000000-0005-0000-0000-000084020000}"/>
    <cellStyle name="20% - Accent1 2 2 7 5" xfId="8151" xr:uid="{00000000-0005-0000-0000-000085020000}"/>
    <cellStyle name="20% - Accent1 2 2 7 6" xfId="15252" xr:uid="{00000000-0005-0000-0000-000086020000}"/>
    <cellStyle name="20% - Accent1 2 2 7 7" xfId="22354" xr:uid="{00000000-0005-0000-0000-000087020000}"/>
    <cellStyle name="20% - Accent1 2 2 7 8" xfId="29456" xr:uid="{00000000-0005-0000-0000-000088020000}"/>
    <cellStyle name="20% - Accent1 2 2 7 9" xfId="35971" xr:uid="{00000000-0005-0000-0000-000089020000}"/>
    <cellStyle name="20% - Accent1 2 2 8" xfId="1327" xr:uid="{00000000-0005-0000-0000-00008A020000}"/>
    <cellStyle name="20% - Accent1 2 2 8 2" xfId="2818" xr:uid="{00000000-0005-0000-0000-00008B020000}"/>
    <cellStyle name="20% - Accent1 2 2 8 2 2" xfId="7086" xr:uid="{00000000-0005-0000-0000-00008C020000}"/>
    <cellStyle name="20% - Accent1 2 2 8 2 2 2" xfId="14186" xr:uid="{00000000-0005-0000-0000-00008D020000}"/>
    <cellStyle name="20% - Accent1 2 2 8 2 2 3" xfId="21287" xr:uid="{00000000-0005-0000-0000-00008E020000}"/>
    <cellStyle name="20% - Accent1 2 2 8 2 2 4" xfId="28389" xr:uid="{00000000-0005-0000-0000-00008F020000}"/>
    <cellStyle name="20% - Accent1 2 2 8 2 2 5" xfId="35491" xr:uid="{00000000-0005-0000-0000-000090020000}"/>
    <cellStyle name="20% - Accent1 2 2 8 2 3" xfId="9926" xr:uid="{00000000-0005-0000-0000-000091020000}"/>
    <cellStyle name="20% - Accent1 2 2 8 2 4" xfId="17027" xr:uid="{00000000-0005-0000-0000-000092020000}"/>
    <cellStyle name="20% - Accent1 2 2 8 2 5" xfId="24129" xr:uid="{00000000-0005-0000-0000-000093020000}"/>
    <cellStyle name="20% - Accent1 2 2 8 2 6" xfId="31231" xr:uid="{00000000-0005-0000-0000-000094020000}"/>
    <cellStyle name="20% - Accent1 2 2 8 2 7" xfId="35972" xr:uid="{00000000-0005-0000-0000-000095020000}"/>
    <cellStyle name="20% - Accent1 2 2 8 3" xfId="5665" xr:uid="{00000000-0005-0000-0000-000096020000}"/>
    <cellStyle name="20% - Accent1 2 2 8 3 2" xfId="12766" xr:uid="{00000000-0005-0000-0000-000097020000}"/>
    <cellStyle name="20% - Accent1 2 2 8 3 3" xfId="19867" xr:uid="{00000000-0005-0000-0000-000098020000}"/>
    <cellStyle name="20% - Accent1 2 2 8 3 4" xfId="26969" xr:uid="{00000000-0005-0000-0000-000099020000}"/>
    <cellStyle name="20% - Accent1 2 2 8 3 5" xfId="34071" xr:uid="{00000000-0005-0000-0000-00009A020000}"/>
    <cellStyle name="20% - Accent1 2 2 8 4" xfId="4240" xr:uid="{00000000-0005-0000-0000-00009B020000}"/>
    <cellStyle name="20% - Accent1 2 2 8 4 2" xfId="11346" xr:uid="{00000000-0005-0000-0000-00009C020000}"/>
    <cellStyle name="20% - Accent1 2 2 8 4 3" xfId="18447" xr:uid="{00000000-0005-0000-0000-00009D020000}"/>
    <cellStyle name="20% - Accent1 2 2 8 4 4" xfId="25549" xr:uid="{00000000-0005-0000-0000-00009E020000}"/>
    <cellStyle name="20% - Accent1 2 2 8 4 5" xfId="32651" xr:uid="{00000000-0005-0000-0000-00009F020000}"/>
    <cellStyle name="20% - Accent1 2 2 8 5" xfId="8506" xr:uid="{00000000-0005-0000-0000-0000A0020000}"/>
    <cellStyle name="20% - Accent1 2 2 8 6" xfId="15607" xr:uid="{00000000-0005-0000-0000-0000A1020000}"/>
    <cellStyle name="20% - Accent1 2 2 8 7" xfId="22709" xr:uid="{00000000-0005-0000-0000-0000A2020000}"/>
    <cellStyle name="20% - Accent1 2 2 8 8" xfId="29811" xr:uid="{00000000-0005-0000-0000-0000A3020000}"/>
    <cellStyle name="20% - Accent1 2 2 8 9" xfId="35973" xr:uid="{00000000-0005-0000-0000-0000A4020000}"/>
    <cellStyle name="20% - Accent1 2 2 9" xfId="1611" xr:uid="{00000000-0005-0000-0000-0000A5020000}"/>
    <cellStyle name="20% - Accent1 2 2 9 2" xfId="5879" xr:uid="{00000000-0005-0000-0000-0000A6020000}"/>
    <cellStyle name="20% - Accent1 2 2 9 2 2" xfId="12979" xr:uid="{00000000-0005-0000-0000-0000A7020000}"/>
    <cellStyle name="20% - Accent1 2 2 9 2 3" xfId="20080" xr:uid="{00000000-0005-0000-0000-0000A8020000}"/>
    <cellStyle name="20% - Accent1 2 2 9 2 4" xfId="27182" xr:uid="{00000000-0005-0000-0000-0000A9020000}"/>
    <cellStyle name="20% - Accent1 2 2 9 2 5" xfId="34284" xr:uid="{00000000-0005-0000-0000-0000AA020000}"/>
    <cellStyle name="20% - Accent1 2 2 9 3" xfId="8719" xr:uid="{00000000-0005-0000-0000-0000AB020000}"/>
    <cellStyle name="20% - Accent1 2 2 9 4" xfId="15820" xr:uid="{00000000-0005-0000-0000-0000AC020000}"/>
    <cellStyle name="20% - Accent1 2 2 9 5" xfId="22922" xr:uid="{00000000-0005-0000-0000-0000AD020000}"/>
    <cellStyle name="20% - Accent1 2 2 9 6" xfId="30024" xr:uid="{00000000-0005-0000-0000-0000AE020000}"/>
    <cellStyle name="20% - Accent1 2 2 9 7" xfId="35974" xr:uid="{00000000-0005-0000-0000-0000AF020000}"/>
    <cellStyle name="20% - Accent1 2 3" xfId="231" xr:uid="{00000000-0005-0000-0000-0000B0020000}"/>
    <cellStyle name="20% - Accent1 2 3 10" xfId="7410" xr:uid="{00000000-0005-0000-0000-0000B1020000}"/>
    <cellStyle name="20% - Accent1 2 3 11" xfId="14511" xr:uid="{00000000-0005-0000-0000-0000B2020000}"/>
    <cellStyle name="20% - Accent1 2 3 12" xfId="21613" xr:uid="{00000000-0005-0000-0000-0000B3020000}"/>
    <cellStyle name="20% - Accent1 2 3 13" xfId="28715" xr:uid="{00000000-0005-0000-0000-0000B4020000}"/>
    <cellStyle name="20% - Accent1 2 3 14" xfId="35817" xr:uid="{00000000-0005-0000-0000-0000B5020000}"/>
    <cellStyle name="20% - Accent1 2 3 15" xfId="35975" xr:uid="{00000000-0005-0000-0000-0000B6020000}"/>
    <cellStyle name="20% - Accent1 2 3 2" xfId="444" xr:uid="{00000000-0005-0000-0000-0000B7020000}"/>
    <cellStyle name="20% - Accent1 2 3 2 10" xfId="35976" xr:uid="{00000000-0005-0000-0000-0000B8020000}"/>
    <cellStyle name="20% - Accent1 2 3 2 2" xfId="1225" xr:uid="{00000000-0005-0000-0000-0000B9020000}"/>
    <cellStyle name="20% - Accent1 2 3 2 2 2" xfId="2716" xr:uid="{00000000-0005-0000-0000-0000BA020000}"/>
    <cellStyle name="20% - Accent1 2 3 2 2 2 2" xfId="6984" xr:uid="{00000000-0005-0000-0000-0000BB020000}"/>
    <cellStyle name="20% - Accent1 2 3 2 2 2 2 2" xfId="14084" xr:uid="{00000000-0005-0000-0000-0000BC020000}"/>
    <cellStyle name="20% - Accent1 2 3 2 2 2 2 3" xfId="21185" xr:uid="{00000000-0005-0000-0000-0000BD020000}"/>
    <cellStyle name="20% - Accent1 2 3 2 2 2 2 4" xfId="28287" xr:uid="{00000000-0005-0000-0000-0000BE020000}"/>
    <cellStyle name="20% - Accent1 2 3 2 2 2 2 5" xfId="35389" xr:uid="{00000000-0005-0000-0000-0000BF020000}"/>
    <cellStyle name="20% - Accent1 2 3 2 2 2 3" xfId="9824" xr:uid="{00000000-0005-0000-0000-0000C0020000}"/>
    <cellStyle name="20% - Accent1 2 3 2 2 2 4" xfId="16925" xr:uid="{00000000-0005-0000-0000-0000C1020000}"/>
    <cellStyle name="20% - Accent1 2 3 2 2 2 5" xfId="24027" xr:uid="{00000000-0005-0000-0000-0000C2020000}"/>
    <cellStyle name="20% - Accent1 2 3 2 2 2 6" xfId="31129" xr:uid="{00000000-0005-0000-0000-0000C3020000}"/>
    <cellStyle name="20% - Accent1 2 3 2 2 2 7" xfId="35977" xr:uid="{00000000-0005-0000-0000-0000C4020000}"/>
    <cellStyle name="20% - Accent1 2 3 2 2 3" xfId="5563" xr:uid="{00000000-0005-0000-0000-0000C5020000}"/>
    <cellStyle name="20% - Accent1 2 3 2 2 3 2" xfId="12664" xr:uid="{00000000-0005-0000-0000-0000C6020000}"/>
    <cellStyle name="20% - Accent1 2 3 2 2 3 3" xfId="19765" xr:uid="{00000000-0005-0000-0000-0000C7020000}"/>
    <cellStyle name="20% - Accent1 2 3 2 2 3 4" xfId="26867" xr:uid="{00000000-0005-0000-0000-0000C8020000}"/>
    <cellStyle name="20% - Accent1 2 3 2 2 3 5" xfId="33969" xr:uid="{00000000-0005-0000-0000-0000C9020000}"/>
    <cellStyle name="20% - Accent1 2 3 2 2 4" xfId="4138" xr:uid="{00000000-0005-0000-0000-0000CA020000}"/>
    <cellStyle name="20% - Accent1 2 3 2 2 4 2" xfId="11244" xr:uid="{00000000-0005-0000-0000-0000CB020000}"/>
    <cellStyle name="20% - Accent1 2 3 2 2 4 3" xfId="18345" xr:uid="{00000000-0005-0000-0000-0000CC020000}"/>
    <cellStyle name="20% - Accent1 2 3 2 2 4 4" xfId="25447" xr:uid="{00000000-0005-0000-0000-0000CD020000}"/>
    <cellStyle name="20% - Accent1 2 3 2 2 4 5" xfId="32549" xr:uid="{00000000-0005-0000-0000-0000CE020000}"/>
    <cellStyle name="20% - Accent1 2 3 2 2 5" xfId="8404" xr:uid="{00000000-0005-0000-0000-0000CF020000}"/>
    <cellStyle name="20% - Accent1 2 3 2 2 6" xfId="15505" xr:uid="{00000000-0005-0000-0000-0000D0020000}"/>
    <cellStyle name="20% - Accent1 2 3 2 2 7" xfId="22607" xr:uid="{00000000-0005-0000-0000-0000D1020000}"/>
    <cellStyle name="20% - Accent1 2 3 2 2 8" xfId="29709" xr:uid="{00000000-0005-0000-0000-0000D2020000}"/>
    <cellStyle name="20% - Accent1 2 3 2 2 9" xfId="35978" xr:uid="{00000000-0005-0000-0000-0000D3020000}"/>
    <cellStyle name="20% - Accent1 2 3 2 3" xfId="1935" xr:uid="{00000000-0005-0000-0000-0000D4020000}"/>
    <cellStyle name="20% - Accent1 2 3 2 3 2" xfId="6203" xr:uid="{00000000-0005-0000-0000-0000D5020000}"/>
    <cellStyle name="20% - Accent1 2 3 2 3 2 2" xfId="13303" xr:uid="{00000000-0005-0000-0000-0000D6020000}"/>
    <cellStyle name="20% - Accent1 2 3 2 3 2 3" xfId="20404" xr:uid="{00000000-0005-0000-0000-0000D7020000}"/>
    <cellStyle name="20% - Accent1 2 3 2 3 2 4" xfId="27506" xr:uid="{00000000-0005-0000-0000-0000D8020000}"/>
    <cellStyle name="20% - Accent1 2 3 2 3 2 5" xfId="34608" xr:uid="{00000000-0005-0000-0000-0000D9020000}"/>
    <cellStyle name="20% - Accent1 2 3 2 3 2 6" xfId="35979" xr:uid="{00000000-0005-0000-0000-0000DA020000}"/>
    <cellStyle name="20% - Accent1 2 3 2 3 3" xfId="9043" xr:uid="{00000000-0005-0000-0000-0000DB020000}"/>
    <cellStyle name="20% - Accent1 2 3 2 3 4" xfId="16144" xr:uid="{00000000-0005-0000-0000-0000DC020000}"/>
    <cellStyle name="20% - Accent1 2 3 2 3 5" xfId="23246" xr:uid="{00000000-0005-0000-0000-0000DD020000}"/>
    <cellStyle name="20% - Accent1 2 3 2 3 6" xfId="30348" xr:uid="{00000000-0005-0000-0000-0000DE020000}"/>
    <cellStyle name="20% - Accent1 2 3 2 3 7" xfId="35980" xr:uid="{00000000-0005-0000-0000-0000DF020000}"/>
    <cellStyle name="20% - Accent1 2 3 2 4" xfId="4782" xr:uid="{00000000-0005-0000-0000-0000E0020000}"/>
    <cellStyle name="20% - Accent1 2 3 2 4 2" xfId="11883" xr:uid="{00000000-0005-0000-0000-0000E1020000}"/>
    <cellStyle name="20% - Accent1 2 3 2 4 3" xfId="18984" xr:uid="{00000000-0005-0000-0000-0000E2020000}"/>
    <cellStyle name="20% - Accent1 2 3 2 4 4" xfId="26086" xr:uid="{00000000-0005-0000-0000-0000E3020000}"/>
    <cellStyle name="20% - Accent1 2 3 2 4 5" xfId="33188" xr:uid="{00000000-0005-0000-0000-0000E4020000}"/>
    <cellStyle name="20% - Accent1 2 3 2 4 6" xfId="35981" xr:uid="{00000000-0005-0000-0000-0000E5020000}"/>
    <cellStyle name="20% - Accent1 2 3 2 5" xfId="3357" xr:uid="{00000000-0005-0000-0000-0000E6020000}"/>
    <cellStyle name="20% - Accent1 2 3 2 5 2" xfId="10463" xr:uid="{00000000-0005-0000-0000-0000E7020000}"/>
    <cellStyle name="20% - Accent1 2 3 2 5 3" xfId="17564" xr:uid="{00000000-0005-0000-0000-0000E8020000}"/>
    <cellStyle name="20% - Accent1 2 3 2 5 4" xfId="24666" xr:uid="{00000000-0005-0000-0000-0000E9020000}"/>
    <cellStyle name="20% - Accent1 2 3 2 5 5" xfId="31768" xr:uid="{00000000-0005-0000-0000-0000EA020000}"/>
    <cellStyle name="20% - Accent1 2 3 2 6" xfId="7623" xr:uid="{00000000-0005-0000-0000-0000EB020000}"/>
    <cellStyle name="20% - Accent1 2 3 2 7" xfId="14724" xr:uid="{00000000-0005-0000-0000-0000EC020000}"/>
    <cellStyle name="20% - Accent1 2 3 2 8" xfId="21826" xr:uid="{00000000-0005-0000-0000-0000ED020000}"/>
    <cellStyle name="20% - Accent1 2 3 2 9" xfId="28928" xr:uid="{00000000-0005-0000-0000-0000EE020000}"/>
    <cellStyle name="20% - Accent1 2 3 3" xfId="657" xr:uid="{00000000-0005-0000-0000-0000EF020000}"/>
    <cellStyle name="20% - Accent1 2 3 3 2" xfId="2148" xr:uid="{00000000-0005-0000-0000-0000F0020000}"/>
    <cellStyle name="20% - Accent1 2 3 3 2 2" xfId="6416" xr:uid="{00000000-0005-0000-0000-0000F1020000}"/>
    <cellStyle name="20% - Accent1 2 3 3 2 2 2" xfId="13516" xr:uid="{00000000-0005-0000-0000-0000F2020000}"/>
    <cellStyle name="20% - Accent1 2 3 3 2 2 3" xfId="20617" xr:uid="{00000000-0005-0000-0000-0000F3020000}"/>
    <cellStyle name="20% - Accent1 2 3 3 2 2 4" xfId="27719" xr:uid="{00000000-0005-0000-0000-0000F4020000}"/>
    <cellStyle name="20% - Accent1 2 3 3 2 2 5" xfId="34821" xr:uid="{00000000-0005-0000-0000-0000F5020000}"/>
    <cellStyle name="20% - Accent1 2 3 3 2 2 6" xfId="35982" xr:uid="{00000000-0005-0000-0000-0000F6020000}"/>
    <cellStyle name="20% - Accent1 2 3 3 2 3" xfId="9256" xr:uid="{00000000-0005-0000-0000-0000F7020000}"/>
    <cellStyle name="20% - Accent1 2 3 3 2 4" xfId="16357" xr:uid="{00000000-0005-0000-0000-0000F8020000}"/>
    <cellStyle name="20% - Accent1 2 3 3 2 5" xfId="23459" xr:uid="{00000000-0005-0000-0000-0000F9020000}"/>
    <cellStyle name="20% - Accent1 2 3 3 2 6" xfId="30561" xr:uid="{00000000-0005-0000-0000-0000FA020000}"/>
    <cellStyle name="20% - Accent1 2 3 3 2 7" xfId="35983" xr:uid="{00000000-0005-0000-0000-0000FB020000}"/>
    <cellStyle name="20% - Accent1 2 3 3 3" xfId="4995" xr:uid="{00000000-0005-0000-0000-0000FC020000}"/>
    <cellStyle name="20% - Accent1 2 3 3 3 2" xfId="12096" xr:uid="{00000000-0005-0000-0000-0000FD020000}"/>
    <cellStyle name="20% - Accent1 2 3 3 3 2 2" xfId="35984" xr:uid="{00000000-0005-0000-0000-0000FE020000}"/>
    <cellStyle name="20% - Accent1 2 3 3 3 3" xfId="19197" xr:uid="{00000000-0005-0000-0000-0000FF020000}"/>
    <cellStyle name="20% - Accent1 2 3 3 3 4" xfId="26299" xr:uid="{00000000-0005-0000-0000-000000030000}"/>
    <cellStyle name="20% - Accent1 2 3 3 3 5" xfId="33401" xr:uid="{00000000-0005-0000-0000-000001030000}"/>
    <cellStyle name="20% - Accent1 2 3 3 3 6" xfId="35985" xr:uid="{00000000-0005-0000-0000-000002030000}"/>
    <cellStyle name="20% - Accent1 2 3 3 4" xfId="3570" xr:uid="{00000000-0005-0000-0000-000003030000}"/>
    <cellStyle name="20% - Accent1 2 3 3 4 2" xfId="10676" xr:uid="{00000000-0005-0000-0000-000004030000}"/>
    <cellStyle name="20% - Accent1 2 3 3 4 3" xfId="17777" xr:uid="{00000000-0005-0000-0000-000005030000}"/>
    <cellStyle name="20% - Accent1 2 3 3 4 4" xfId="24879" xr:uid="{00000000-0005-0000-0000-000006030000}"/>
    <cellStyle name="20% - Accent1 2 3 3 4 5" xfId="31981" xr:uid="{00000000-0005-0000-0000-000007030000}"/>
    <cellStyle name="20% - Accent1 2 3 3 4 6" xfId="35986" xr:uid="{00000000-0005-0000-0000-000008030000}"/>
    <cellStyle name="20% - Accent1 2 3 3 5" xfId="7836" xr:uid="{00000000-0005-0000-0000-000009030000}"/>
    <cellStyle name="20% - Accent1 2 3 3 6" xfId="14937" xr:uid="{00000000-0005-0000-0000-00000A030000}"/>
    <cellStyle name="20% - Accent1 2 3 3 7" xfId="22039" xr:uid="{00000000-0005-0000-0000-00000B030000}"/>
    <cellStyle name="20% - Accent1 2 3 3 8" xfId="29141" xr:uid="{00000000-0005-0000-0000-00000C030000}"/>
    <cellStyle name="20% - Accent1 2 3 3 9" xfId="35987" xr:uid="{00000000-0005-0000-0000-00000D030000}"/>
    <cellStyle name="20% - Accent1 2 3 4" xfId="870" xr:uid="{00000000-0005-0000-0000-00000E030000}"/>
    <cellStyle name="20% - Accent1 2 3 4 2" xfId="2361" xr:uid="{00000000-0005-0000-0000-00000F030000}"/>
    <cellStyle name="20% - Accent1 2 3 4 2 2" xfId="6629" xr:uid="{00000000-0005-0000-0000-000010030000}"/>
    <cellStyle name="20% - Accent1 2 3 4 2 2 2" xfId="13729" xr:uid="{00000000-0005-0000-0000-000011030000}"/>
    <cellStyle name="20% - Accent1 2 3 4 2 2 3" xfId="20830" xr:uid="{00000000-0005-0000-0000-000012030000}"/>
    <cellStyle name="20% - Accent1 2 3 4 2 2 4" xfId="27932" xr:uid="{00000000-0005-0000-0000-000013030000}"/>
    <cellStyle name="20% - Accent1 2 3 4 2 2 5" xfId="35034" xr:uid="{00000000-0005-0000-0000-000014030000}"/>
    <cellStyle name="20% - Accent1 2 3 4 2 2 6" xfId="35988" xr:uid="{00000000-0005-0000-0000-000015030000}"/>
    <cellStyle name="20% - Accent1 2 3 4 2 3" xfId="9469" xr:uid="{00000000-0005-0000-0000-000016030000}"/>
    <cellStyle name="20% - Accent1 2 3 4 2 4" xfId="16570" xr:uid="{00000000-0005-0000-0000-000017030000}"/>
    <cellStyle name="20% - Accent1 2 3 4 2 5" xfId="23672" xr:uid="{00000000-0005-0000-0000-000018030000}"/>
    <cellStyle name="20% - Accent1 2 3 4 2 6" xfId="30774" xr:uid="{00000000-0005-0000-0000-000019030000}"/>
    <cellStyle name="20% - Accent1 2 3 4 2 7" xfId="35989" xr:uid="{00000000-0005-0000-0000-00001A030000}"/>
    <cellStyle name="20% - Accent1 2 3 4 3" xfId="5208" xr:uid="{00000000-0005-0000-0000-00001B030000}"/>
    <cellStyle name="20% - Accent1 2 3 4 3 2" xfId="12309" xr:uid="{00000000-0005-0000-0000-00001C030000}"/>
    <cellStyle name="20% - Accent1 2 3 4 3 2 2" xfId="35990" xr:uid="{00000000-0005-0000-0000-00001D030000}"/>
    <cellStyle name="20% - Accent1 2 3 4 3 3" xfId="19410" xr:uid="{00000000-0005-0000-0000-00001E030000}"/>
    <cellStyle name="20% - Accent1 2 3 4 3 4" xfId="26512" xr:uid="{00000000-0005-0000-0000-00001F030000}"/>
    <cellStyle name="20% - Accent1 2 3 4 3 5" xfId="33614" xr:uid="{00000000-0005-0000-0000-000020030000}"/>
    <cellStyle name="20% - Accent1 2 3 4 3 6" xfId="35991" xr:uid="{00000000-0005-0000-0000-000021030000}"/>
    <cellStyle name="20% - Accent1 2 3 4 4" xfId="3783" xr:uid="{00000000-0005-0000-0000-000022030000}"/>
    <cellStyle name="20% - Accent1 2 3 4 4 2" xfId="10889" xr:uid="{00000000-0005-0000-0000-000023030000}"/>
    <cellStyle name="20% - Accent1 2 3 4 4 3" xfId="17990" xr:uid="{00000000-0005-0000-0000-000024030000}"/>
    <cellStyle name="20% - Accent1 2 3 4 4 4" xfId="25092" xr:uid="{00000000-0005-0000-0000-000025030000}"/>
    <cellStyle name="20% - Accent1 2 3 4 4 5" xfId="32194" xr:uid="{00000000-0005-0000-0000-000026030000}"/>
    <cellStyle name="20% - Accent1 2 3 4 4 6" xfId="35992" xr:uid="{00000000-0005-0000-0000-000027030000}"/>
    <cellStyle name="20% - Accent1 2 3 4 5" xfId="8049" xr:uid="{00000000-0005-0000-0000-000028030000}"/>
    <cellStyle name="20% - Accent1 2 3 4 6" xfId="15150" xr:uid="{00000000-0005-0000-0000-000029030000}"/>
    <cellStyle name="20% - Accent1 2 3 4 7" xfId="22252" xr:uid="{00000000-0005-0000-0000-00002A030000}"/>
    <cellStyle name="20% - Accent1 2 3 4 8" xfId="29354" xr:uid="{00000000-0005-0000-0000-00002B030000}"/>
    <cellStyle name="20% - Accent1 2 3 4 9" xfId="35993" xr:uid="{00000000-0005-0000-0000-00002C030000}"/>
    <cellStyle name="20% - Accent1 2 3 5" xfId="1012" xr:uid="{00000000-0005-0000-0000-00002D030000}"/>
    <cellStyle name="20% - Accent1 2 3 5 2" xfId="2503" xr:uid="{00000000-0005-0000-0000-00002E030000}"/>
    <cellStyle name="20% - Accent1 2 3 5 2 2" xfId="6771" xr:uid="{00000000-0005-0000-0000-00002F030000}"/>
    <cellStyle name="20% - Accent1 2 3 5 2 2 2" xfId="13871" xr:uid="{00000000-0005-0000-0000-000030030000}"/>
    <cellStyle name="20% - Accent1 2 3 5 2 2 3" xfId="20972" xr:uid="{00000000-0005-0000-0000-000031030000}"/>
    <cellStyle name="20% - Accent1 2 3 5 2 2 4" xfId="28074" xr:uid="{00000000-0005-0000-0000-000032030000}"/>
    <cellStyle name="20% - Accent1 2 3 5 2 2 5" xfId="35176" xr:uid="{00000000-0005-0000-0000-000033030000}"/>
    <cellStyle name="20% - Accent1 2 3 5 2 3" xfId="9611" xr:uid="{00000000-0005-0000-0000-000034030000}"/>
    <cellStyle name="20% - Accent1 2 3 5 2 4" xfId="16712" xr:uid="{00000000-0005-0000-0000-000035030000}"/>
    <cellStyle name="20% - Accent1 2 3 5 2 5" xfId="23814" xr:uid="{00000000-0005-0000-0000-000036030000}"/>
    <cellStyle name="20% - Accent1 2 3 5 2 6" xfId="30916" xr:uid="{00000000-0005-0000-0000-000037030000}"/>
    <cellStyle name="20% - Accent1 2 3 5 2 7" xfId="35994" xr:uid="{00000000-0005-0000-0000-000038030000}"/>
    <cellStyle name="20% - Accent1 2 3 5 3" xfId="5350" xr:uid="{00000000-0005-0000-0000-000039030000}"/>
    <cellStyle name="20% - Accent1 2 3 5 3 2" xfId="12451" xr:uid="{00000000-0005-0000-0000-00003A030000}"/>
    <cellStyle name="20% - Accent1 2 3 5 3 3" xfId="19552" xr:uid="{00000000-0005-0000-0000-00003B030000}"/>
    <cellStyle name="20% - Accent1 2 3 5 3 4" xfId="26654" xr:uid="{00000000-0005-0000-0000-00003C030000}"/>
    <cellStyle name="20% - Accent1 2 3 5 3 5" xfId="33756" xr:uid="{00000000-0005-0000-0000-00003D030000}"/>
    <cellStyle name="20% - Accent1 2 3 5 4" xfId="3925" xr:uid="{00000000-0005-0000-0000-00003E030000}"/>
    <cellStyle name="20% - Accent1 2 3 5 4 2" xfId="11031" xr:uid="{00000000-0005-0000-0000-00003F030000}"/>
    <cellStyle name="20% - Accent1 2 3 5 4 3" xfId="18132" xr:uid="{00000000-0005-0000-0000-000040030000}"/>
    <cellStyle name="20% - Accent1 2 3 5 4 4" xfId="25234" xr:uid="{00000000-0005-0000-0000-000041030000}"/>
    <cellStyle name="20% - Accent1 2 3 5 4 5" xfId="32336" xr:uid="{00000000-0005-0000-0000-000042030000}"/>
    <cellStyle name="20% - Accent1 2 3 5 5" xfId="8191" xr:uid="{00000000-0005-0000-0000-000043030000}"/>
    <cellStyle name="20% - Accent1 2 3 5 6" xfId="15292" xr:uid="{00000000-0005-0000-0000-000044030000}"/>
    <cellStyle name="20% - Accent1 2 3 5 7" xfId="22394" xr:uid="{00000000-0005-0000-0000-000045030000}"/>
    <cellStyle name="20% - Accent1 2 3 5 8" xfId="29496" xr:uid="{00000000-0005-0000-0000-000046030000}"/>
    <cellStyle name="20% - Accent1 2 3 5 9" xfId="35995" xr:uid="{00000000-0005-0000-0000-000047030000}"/>
    <cellStyle name="20% - Accent1 2 3 6" xfId="1438" xr:uid="{00000000-0005-0000-0000-000048030000}"/>
    <cellStyle name="20% - Accent1 2 3 6 2" xfId="2929" xr:uid="{00000000-0005-0000-0000-000049030000}"/>
    <cellStyle name="20% - Accent1 2 3 6 2 2" xfId="7197" xr:uid="{00000000-0005-0000-0000-00004A030000}"/>
    <cellStyle name="20% - Accent1 2 3 6 2 2 2" xfId="14297" xr:uid="{00000000-0005-0000-0000-00004B030000}"/>
    <cellStyle name="20% - Accent1 2 3 6 2 2 3" xfId="21398" xr:uid="{00000000-0005-0000-0000-00004C030000}"/>
    <cellStyle name="20% - Accent1 2 3 6 2 2 4" xfId="28500" xr:uid="{00000000-0005-0000-0000-00004D030000}"/>
    <cellStyle name="20% - Accent1 2 3 6 2 2 5" xfId="35602" xr:uid="{00000000-0005-0000-0000-00004E030000}"/>
    <cellStyle name="20% - Accent1 2 3 6 2 3" xfId="10037" xr:uid="{00000000-0005-0000-0000-00004F030000}"/>
    <cellStyle name="20% - Accent1 2 3 6 2 4" xfId="17138" xr:uid="{00000000-0005-0000-0000-000050030000}"/>
    <cellStyle name="20% - Accent1 2 3 6 2 5" xfId="24240" xr:uid="{00000000-0005-0000-0000-000051030000}"/>
    <cellStyle name="20% - Accent1 2 3 6 2 6" xfId="31342" xr:uid="{00000000-0005-0000-0000-000052030000}"/>
    <cellStyle name="20% - Accent1 2 3 6 2 7" xfId="35996" xr:uid="{00000000-0005-0000-0000-000053030000}"/>
    <cellStyle name="20% - Accent1 2 3 6 3" xfId="5776" xr:uid="{00000000-0005-0000-0000-000054030000}"/>
    <cellStyle name="20% - Accent1 2 3 6 3 2" xfId="12877" xr:uid="{00000000-0005-0000-0000-000055030000}"/>
    <cellStyle name="20% - Accent1 2 3 6 3 3" xfId="19978" xr:uid="{00000000-0005-0000-0000-000056030000}"/>
    <cellStyle name="20% - Accent1 2 3 6 3 4" xfId="27080" xr:uid="{00000000-0005-0000-0000-000057030000}"/>
    <cellStyle name="20% - Accent1 2 3 6 3 5" xfId="34182" xr:uid="{00000000-0005-0000-0000-000058030000}"/>
    <cellStyle name="20% - Accent1 2 3 6 4" xfId="4351" xr:uid="{00000000-0005-0000-0000-000059030000}"/>
    <cellStyle name="20% - Accent1 2 3 6 4 2" xfId="11457" xr:uid="{00000000-0005-0000-0000-00005A030000}"/>
    <cellStyle name="20% - Accent1 2 3 6 4 3" xfId="18558" xr:uid="{00000000-0005-0000-0000-00005B030000}"/>
    <cellStyle name="20% - Accent1 2 3 6 4 4" xfId="25660" xr:uid="{00000000-0005-0000-0000-00005C030000}"/>
    <cellStyle name="20% - Accent1 2 3 6 4 5" xfId="32762" xr:uid="{00000000-0005-0000-0000-00005D030000}"/>
    <cellStyle name="20% - Accent1 2 3 6 5" xfId="8617" xr:uid="{00000000-0005-0000-0000-00005E030000}"/>
    <cellStyle name="20% - Accent1 2 3 6 6" xfId="15718" xr:uid="{00000000-0005-0000-0000-00005F030000}"/>
    <cellStyle name="20% - Accent1 2 3 6 7" xfId="22820" xr:uid="{00000000-0005-0000-0000-000060030000}"/>
    <cellStyle name="20% - Accent1 2 3 6 8" xfId="29922" xr:uid="{00000000-0005-0000-0000-000061030000}"/>
    <cellStyle name="20% - Accent1 2 3 6 9" xfId="35997" xr:uid="{00000000-0005-0000-0000-000062030000}"/>
    <cellStyle name="20% - Accent1 2 3 7" xfId="1722" xr:uid="{00000000-0005-0000-0000-000063030000}"/>
    <cellStyle name="20% - Accent1 2 3 7 2" xfId="5990" xr:uid="{00000000-0005-0000-0000-000064030000}"/>
    <cellStyle name="20% - Accent1 2 3 7 2 2" xfId="13090" xr:uid="{00000000-0005-0000-0000-000065030000}"/>
    <cellStyle name="20% - Accent1 2 3 7 2 3" xfId="20191" xr:uid="{00000000-0005-0000-0000-000066030000}"/>
    <cellStyle name="20% - Accent1 2 3 7 2 4" xfId="27293" xr:uid="{00000000-0005-0000-0000-000067030000}"/>
    <cellStyle name="20% - Accent1 2 3 7 2 5" xfId="34395" xr:uid="{00000000-0005-0000-0000-000068030000}"/>
    <cellStyle name="20% - Accent1 2 3 7 3" xfId="8830" xr:uid="{00000000-0005-0000-0000-000069030000}"/>
    <cellStyle name="20% - Accent1 2 3 7 4" xfId="15931" xr:uid="{00000000-0005-0000-0000-00006A030000}"/>
    <cellStyle name="20% - Accent1 2 3 7 5" xfId="23033" xr:uid="{00000000-0005-0000-0000-00006B030000}"/>
    <cellStyle name="20% - Accent1 2 3 7 6" xfId="30135" xr:uid="{00000000-0005-0000-0000-00006C030000}"/>
    <cellStyle name="20% - Accent1 2 3 7 7" xfId="35998" xr:uid="{00000000-0005-0000-0000-00006D030000}"/>
    <cellStyle name="20% - Accent1 2 3 8" xfId="4569" xr:uid="{00000000-0005-0000-0000-00006E030000}"/>
    <cellStyle name="20% - Accent1 2 3 8 2" xfId="11670" xr:uid="{00000000-0005-0000-0000-00006F030000}"/>
    <cellStyle name="20% - Accent1 2 3 8 3" xfId="18771" xr:uid="{00000000-0005-0000-0000-000070030000}"/>
    <cellStyle name="20% - Accent1 2 3 8 4" xfId="25873" xr:uid="{00000000-0005-0000-0000-000071030000}"/>
    <cellStyle name="20% - Accent1 2 3 8 5" xfId="32975" xr:uid="{00000000-0005-0000-0000-000072030000}"/>
    <cellStyle name="20% - Accent1 2 3 9" xfId="3144" xr:uid="{00000000-0005-0000-0000-000073030000}"/>
    <cellStyle name="20% - Accent1 2 3 9 2" xfId="10250" xr:uid="{00000000-0005-0000-0000-000074030000}"/>
    <cellStyle name="20% - Accent1 2 3 9 3" xfId="17351" xr:uid="{00000000-0005-0000-0000-000075030000}"/>
    <cellStyle name="20% - Accent1 2 3 9 4" xfId="24453" xr:uid="{00000000-0005-0000-0000-000076030000}"/>
    <cellStyle name="20% - Accent1 2 3 9 5" xfId="31555" xr:uid="{00000000-0005-0000-0000-000077030000}"/>
    <cellStyle name="20% - Accent1 2 4" xfId="160" xr:uid="{00000000-0005-0000-0000-000078030000}"/>
    <cellStyle name="20% - Accent1 2 4 10" xfId="7339" xr:uid="{00000000-0005-0000-0000-000079030000}"/>
    <cellStyle name="20% - Accent1 2 4 11" xfId="14440" xr:uid="{00000000-0005-0000-0000-00007A030000}"/>
    <cellStyle name="20% - Accent1 2 4 12" xfId="21542" xr:uid="{00000000-0005-0000-0000-00007B030000}"/>
    <cellStyle name="20% - Accent1 2 4 13" xfId="28644" xr:uid="{00000000-0005-0000-0000-00007C030000}"/>
    <cellStyle name="20% - Accent1 2 4 14" xfId="35746" xr:uid="{00000000-0005-0000-0000-00007D030000}"/>
    <cellStyle name="20% - Accent1 2 4 15" xfId="35999" xr:uid="{00000000-0005-0000-0000-00007E030000}"/>
    <cellStyle name="20% - Accent1 2 4 2" xfId="373" xr:uid="{00000000-0005-0000-0000-00007F030000}"/>
    <cellStyle name="20% - Accent1 2 4 2 2" xfId="1864" xr:uid="{00000000-0005-0000-0000-000080030000}"/>
    <cellStyle name="20% - Accent1 2 4 2 2 2" xfId="6132" xr:uid="{00000000-0005-0000-0000-000081030000}"/>
    <cellStyle name="20% - Accent1 2 4 2 2 2 2" xfId="13232" xr:uid="{00000000-0005-0000-0000-000082030000}"/>
    <cellStyle name="20% - Accent1 2 4 2 2 2 3" xfId="20333" xr:uid="{00000000-0005-0000-0000-000083030000}"/>
    <cellStyle name="20% - Accent1 2 4 2 2 2 4" xfId="27435" xr:uid="{00000000-0005-0000-0000-000084030000}"/>
    <cellStyle name="20% - Accent1 2 4 2 2 2 5" xfId="34537" xr:uid="{00000000-0005-0000-0000-000085030000}"/>
    <cellStyle name="20% - Accent1 2 4 2 2 2 6" xfId="36000" xr:uid="{00000000-0005-0000-0000-000086030000}"/>
    <cellStyle name="20% - Accent1 2 4 2 2 3" xfId="8972" xr:uid="{00000000-0005-0000-0000-000087030000}"/>
    <cellStyle name="20% - Accent1 2 4 2 2 4" xfId="16073" xr:uid="{00000000-0005-0000-0000-000088030000}"/>
    <cellStyle name="20% - Accent1 2 4 2 2 5" xfId="23175" xr:uid="{00000000-0005-0000-0000-000089030000}"/>
    <cellStyle name="20% - Accent1 2 4 2 2 6" xfId="30277" xr:uid="{00000000-0005-0000-0000-00008A030000}"/>
    <cellStyle name="20% - Accent1 2 4 2 2 7" xfId="36001" xr:uid="{00000000-0005-0000-0000-00008B030000}"/>
    <cellStyle name="20% - Accent1 2 4 2 3" xfId="4711" xr:uid="{00000000-0005-0000-0000-00008C030000}"/>
    <cellStyle name="20% - Accent1 2 4 2 3 2" xfId="11812" xr:uid="{00000000-0005-0000-0000-00008D030000}"/>
    <cellStyle name="20% - Accent1 2 4 2 3 2 2" xfId="36002" xr:uid="{00000000-0005-0000-0000-00008E030000}"/>
    <cellStyle name="20% - Accent1 2 4 2 3 3" xfId="18913" xr:uid="{00000000-0005-0000-0000-00008F030000}"/>
    <cellStyle name="20% - Accent1 2 4 2 3 4" xfId="26015" xr:uid="{00000000-0005-0000-0000-000090030000}"/>
    <cellStyle name="20% - Accent1 2 4 2 3 5" xfId="33117" xr:uid="{00000000-0005-0000-0000-000091030000}"/>
    <cellStyle name="20% - Accent1 2 4 2 3 6" xfId="36003" xr:uid="{00000000-0005-0000-0000-000092030000}"/>
    <cellStyle name="20% - Accent1 2 4 2 4" xfId="3286" xr:uid="{00000000-0005-0000-0000-000093030000}"/>
    <cellStyle name="20% - Accent1 2 4 2 4 2" xfId="10392" xr:uid="{00000000-0005-0000-0000-000094030000}"/>
    <cellStyle name="20% - Accent1 2 4 2 4 3" xfId="17493" xr:uid="{00000000-0005-0000-0000-000095030000}"/>
    <cellStyle name="20% - Accent1 2 4 2 4 4" xfId="24595" xr:uid="{00000000-0005-0000-0000-000096030000}"/>
    <cellStyle name="20% - Accent1 2 4 2 4 5" xfId="31697" xr:uid="{00000000-0005-0000-0000-000097030000}"/>
    <cellStyle name="20% - Accent1 2 4 2 4 6" xfId="36004" xr:uid="{00000000-0005-0000-0000-000098030000}"/>
    <cellStyle name="20% - Accent1 2 4 2 5" xfId="7552" xr:uid="{00000000-0005-0000-0000-000099030000}"/>
    <cellStyle name="20% - Accent1 2 4 2 6" xfId="14653" xr:uid="{00000000-0005-0000-0000-00009A030000}"/>
    <cellStyle name="20% - Accent1 2 4 2 7" xfId="21755" xr:uid="{00000000-0005-0000-0000-00009B030000}"/>
    <cellStyle name="20% - Accent1 2 4 2 8" xfId="28857" xr:uid="{00000000-0005-0000-0000-00009C030000}"/>
    <cellStyle name="20% - Accent1 2 4 2 9" xfId="36005" xr:uid="{00000000-0005-0000-0000-00009D030000}"/>
    <cellStyle name="20% - Accent1 2 4 3" xfId="586" xr:uid="{00000000-0005-0000-0000-00009E030000}"/>
    <cellStyle name="20% - Accent1 2 4 3 2" xfId="2077" xr:uid="{00000000-0005-0000-0000-00009F030000}"/>
    <cellStyle name="20% - Accent1 2 4 3 2 2" xfId="6345" xr:uid="{00000000-0005-0000-0000-0000A0030000}"/>
    <cellStyle name="20% - Accent1 2 4 3 2 2 2" xfId="13445" xr:uid="{00000000-0005-0000-0000-0000A1030000}"/>
    <cellStyle name="20% - Accent1 2 4 3 2 2 3" xfId="20546" xr:uid="{00000000-0005-0000-0000-0000A2030000}"/>
    <cellStyle name="20% - Accent1 2 4 3 2 2 4" xfId="27648" xr:uid="{00000000-0005-0000-0000-0000A3030000}"/>
    <cellStyle name="20% - Accent1 2 4 3 2 2 5" xfId="34750" xr:uid="{00000000-0005-0000-0000-0000A4030000}"/>
    <cellStyle name="20% - Accent1 2 4 3 2 2 6" xfId="36006" xr:uid="{00000000-0005-0000-0000-0000A5030000}"/>
    <cellStyle name="20% - Accent1 2 4 3 2 3" xfId="9185" xr:uid="{00000000-0005-0000-0000-0000A6030000}"/>
    <cellStyle name="20% - Accent1 2 4 3 2 4" xfId="16286" xr:uid="{00000000-0005-0000-0000-0000A7030000}"/>
    <cellStyle name="20% - Accent1 2 4 3 2 5" xfId="23388" xr:uid="{00000000-0005-0000-0000-0000A8030000}"/>
    <cellStyle name="20% - Accent1 2 4 3 2 6" xfId="30490" xr:uid="{00000000-0005-0000-0000-0000A9030000}"/>
    <cellStyle name="20% - Accent1 2 4 3 2 7" xfId="36007" xr:uid="{00000000-0005-0000-0000-0000AA030000}"/>
    <cellStyle name="20% - Accent1 2 4 3 3" xfId="4924" xr:uid="{00000000-0005-0000-0000-0000AB030000}"/>
    <cellStyle name="20% - Accent1 2 4 3 3 2" xfId="12025" xr:uid="{00000000-0005-0000-0000-0000AC030000}"/>
    <cellStyle name="20% - Accent1 2 4 3 3 2 2" xfId="36008" xr:uid="{00000000-0005-0000-0000-0000AD030000}"/>
    <cellStyle name="20% - Accent1 2 4 3 3 3" xfId="19126" xr:uid="{00000000-0005-0000-0000-0000AE030000}"/>
    <cellStyle name="20% - Accent1 2 4 3 3 4" xfId="26228" xr:uid="{00000000-0005-0000-0000-0000AF030000}"/>
    <cellStyle name="20% - Accent1 2 4 3 3 5" xfId="33330" xr:uid="{00000000-0005-0000-0000-0000B0030000}"/>
    <cellStyle name="20% - Accent1 2 4 3 3 6" xfId="36009" xr:uid="{00000000-0005-0000-0000-0000B1030000}"/>
    <cellStyle name="20% - Accent1 2 4 3 4" xfId="3499" xr:uid="{00000000-0005-0000-0000-0000B2030000}"/>
    <cellStyle name="20% - Accent1 2 4 3 4 2" xfId="10605" xr:uid="{00000000-0005-0000-0000-0000B3030000}"/>
    <cellStyle name="20% - Accent1 2 4 3 4 3" xfId="17706" xr:uid="{00000000-0005-0000-0000-0000B4030000}"/>
    <cellStyle name="20% - Accent1 2 4 3 4 4" xfId="24808" xr:uid="{00000000-0005-0000-0000-0000B5030000}"/>
    <cellStyle name="20% - Accent1 2 4 3 4 5" xfId="31910" xr:uid="{00000000-0005-0000-0000-0000B6030000}"/>
    <cellStyle name="20% - Accent1 2 4 3 4 6" xfId="36010" xr:uid="{00000000-0005-0000-0000-0000B7030000}"/>
    <cellStyle name="20% - Accent1 2 4 3 5" xfId="7765" xr:uid="{00000000-0005-0000-0000-0000B8030000}"/>
    <cellStyle name="20% - Accent1 2 4 3 6" xfId="14866" xr:uid="{00000000-0005-0000-0000-0000B9030000}"/>
    <cellStyle name="20% - Accent1 2 4 3 7" xfId="21968" xr:uid="{00000000-0005-0000-0000-0000BA030000}"/>
    <cellStyle name="20% - Accent1 2 4 3 8" xfId="29070" xr:uid="{00000000-0005-0000-0000-0000BB030000}"/>
    <cellStyle name="20% - Accent1 2 4 3 9" xfId="36011" xr:uid="{00000000-0005-0000-0000-0000BC030000}"/>
    <cellStyle name="20% - Accent1 2 4 4" xfId="799" xr:uid="{00000000-0005-0000-0000-0000BD030000}"/>
    <cellStyle name="20% - Accent1 2 4 4 2" xfId="2290" xr:uid="{00000000-0005-0000-0000-0000BE030000}"/>
    <cellStyle name="20% - Accent1 2 4 4 2 2" xfId="6558" xr:uid="{00000000-0005-0000-0000-0000BF030000}"/>
    <cellStyle name="20% - Accent1 2 4 4 2 2 2" xfId="13658" xr:uid="{00000000-0005-0000-0000-0000C0030000}"/>
    <cellStyle name="20% - Accent1 2 4 4 2 2 3" xfId="20759" xr:uid="{00000000-0005-0000-0000-0000C1030000}"/>
    <cellStyle name="20% - Accent1 2 4 4 2 2 4" xfId="27861" xr:uid="{00000000-0005-0000-0000-0000C2030000}"/>
    <cellStyle name="20% - Accent1 2 4 4 2 2 5" xfId="34963" xr:uid="{00000000-0005-0000-0000-0000C3030000}"/>
    <cellStyle name="20% - Accent1 2 4 4 2 2 6" xfId="36012" xr:uid="{00000000-0005-0000-0000-0000C4030000}"/>
    <cellStyle name="20% - Accent1 2 4 4 2 3" xfId="9398" xr:uid="{00000000-0005-0000-0000-0000C5030000}"/>
    <cellStyle name="20% - Accent1 2 4 4 2 4" xfId="16499" xr:uid="{00000000-0005-0000-0000-0000C6030000}"/>
    <cellStyle name="20% - Accent1 2 4 4 2 5" xfId="23601" xr:uid="{00000000-0005-0000-0000-0000C7030000}"/>
    <cellStyle name="20% - Accent1 2 4 4 2 6" xfId="30703" xr:uid="{00000000-0005-0000-0000-0000C8030000}"/>
    <cellStyle name="20% - Accent1 2 4 4 2 7" xfId="36013" xr:uid="{00000000-0005-0000-0000-0000C9030000}"/>
    <cellStyle name="20% - Accent1 2 4 4 3" xfId="5137" xr:uid="{00000000-0005-0000-0000-0000CA030000}"/>
    <cellStyle name="20% - Accent1 2 4 4 3 2" xfId="12238" xr:uid="{00000000-0005-0000-0000-0000CB030000}"/>
    <cellStyle name="20% - Accent1 2 4 4 3 2 2" xfId="36014" xr:uid="{00000000-0005-0000-0000-0000CC030000}"/>
    <cellStyle name="20% - Accent1 2 4 4 3 3" xfId="19339" xr:uid="{00000000-0005-0000-0000-0000CD030000}"/>
    <cellStyle name="20% - Accent1 2 4 4 3 4" xfId="26441" xr:uid="{00000000-0005-0000-0000-0000CE030000}"/>
    <cellStyle name="20% - Accent1 2 4 4 3 5" xfId="33543" xr:uid="{00000000-0005-0000-0000-0000CF030000}"/>
    <cellStyle name="20% - Accent1 2 4 4 3 6" xfId="36015" xr:uid="{00000000-0005-0000-0000-0000D0030000}"/>
    <cellStyle name="20% - Accent1 2 4 4 4" xfId="3712" xr:uid="{00000000-0005-0000-0000-0000D1030000}"/>
    <cellStyle name="20% - Accent1 2 4 4 4 2" xfId="10818" xr:uid="{00000000-0005-0000-0000-0000D2030000}"/>
    <cellStyle name="20% - Accent1 2 4 4 4 3" xfId="17919" xr:uid="{00000000-0005-0000-0000-0000D3030000}"/>
    <cellStyle name="20% - Accent1 2 4 4 4 4" xfId="25021" xr:uid="{00000000-0005-0000-0000-0000D4030000}"/>
    <cellStyle name="20% - Accent1 2 4 4 4 5" xfId="32123" xr:uid="{00000000-0005-0000-0000-0000D5030000}"/>
    <cellStyle name="20% - Accent1 2 4 4 4 6" xfId="36016" xr:uid="{00000000-0005-0000-0000-0000D6030000}"/>
    <cellStyle name="20% - Accent1 2 4 4 5" xfId="7978" xr:uid="{00000000-0005-0000-0000-0000D7030000}"/>
    <cellStyle name="20% - Accent1 2 4 4 6" xfId="15079" xr:uid="{00000000-0005-0000-0000-0000D8030000}"/>
    <cellStyle name="20% - Accent1 2 4 4 7" xfId="22181" xr:uid="{00000000-0005-0000-0000-0000D9030000}"/>
    <cellStyle name="20% - Accent1 2 4 4 8" xfId="29283" xr:uid="{00000000-0005-0000-0000-0000DA030000}"/>
    <cellStyle name="20% - Accent1 2 4 4 9" xfId="36017" xr:uid="{00000000-0005-0000-0000-0000DB030000}"/>
    <cellStyle name="20% - Accent1 2 4 5" xfId="1154" xr:uid="{00000000-0005-0000-0000-0000DC030000}"/>
    <cellStyle name="20% - Accent1 2 4 5 2" xfId="2645" xr:uid="{00000000-0005-0000-0000-0000DD030000}"/>
    <cellStyle name="20% - Accent1 2 4 5 2 2" xfId="6913" xr:uid="{00000000-0005-0000-0000-0000DE030000}"/>
    <cellStyle name="20% - Accent1 2 4 5 2 2 2" xfId="14013" xr:uid="{00000000-0005-0000-0000-0000DF030000}"/>
    <cellStyle name="20% - Accent1 2 4 5 2 2 3" xfId="21114" xr:uid="{00000000-0005-0000-0000-0000E0030000}"/>
    <cellStyle name="20% - Accent1 2 4 5 2 2 4" xfId="28216" xr:uid="{00000000-0005-0000-0000-0000E1030000}"/>
    <cellStyle name="20% - Accent1 2 4 5 2 2 5" xfId="35318" xr:uid="{00000000-0005-0000-0000-0000E2030000}"/>
    <cellStyle name="20% - Accent1 2 4 5 2 3" xfId="9753" xr:uid="{00000000-0005-0000-0000-0000E3030000}"/>
    <cellStyle name="20% - Accent1 2 4 5 2 4" xfId="16854" xr:uid="{00000000-0005-0000-0000-0000E4030000}"/>
    <cellStyle name="20% - Accent1 2 4 5 2 5" xfId="23956" xr:uid="{00000000-0005-0000-0000-0000E5030000}"/>
    <cellStyle name="20% - Accent1 2 4 5 2 6" xfId="31058" xr:uid="{00000000-0005-0000-0000-0000E6030000}"/>
    <cellStyle name="20% - Accent1 2 4 5 2 7" xfId="36018" xr:uid="{00000000-0005-0000-0000-0000E7030000}"/>
    <cellStyle name="20% - Accent1 2 4 5 3" xfId="5492" xr:uid="{00000000-0005-0000-0000-0000E8030000}"/>
    <cellStyle name="20% - Accent1 2 4 5 3 2" xfId="12593" xr:uid="{00000000-0005-0000-0000-0000E9030000}"/>
    <cellStyle name="20% - Accent1 2 4 5 3 3" xfId="19694" xr:uid="{00000000-0005-0000-0000-0000EA030000}"/>
    <cellStyle name="20% - Accent1 2 4 5 3 4" xfId="26796" xr:uid="{00000000-0005-0000-0000-0000EB030000}"/>
    <cellStyle name="20% - Accent1 2 4 5 3 5" xfId="33898" xr:uid="{00000000-0005-0000-0000-0000EC030000}"/>
    <cellStyle name="20% - Accent1 2 4 5 4" xfId="4067" xr:uid="{00000000-0005-0000-0000-0000ED030000}"/>
    <cellStyle name="20% - Accent1 2 4 5 4 2" xfId="11173" xr:uid="{00000000-0005-0000-0000-0000EE030000}"/>
    <cellStyle name="20% - Accent1 2 4 5 4 3" xfId="18274" xr:uid="{00000000-0005-0000-0000-0000EF030000}"/>
    <cellStyle name="20% - Accent1 2 4 5 4 4" xfId="25376" xr:uid="{00000000-0005-0000-0000-0000F0030000}"/>
    <cellStyle name="20% - Accent1 2 4 5 4 5" xfId="32478" xr:uid="{00000000-0005-0000-0000-0000F1030000}"/>
    <cellStyle name="20% - Accent1 2 4 5 5" xfId="8333" xr:uid="{00000000-0005-0000-0000-0000F2030000}"/>
    <cellStyle name="20% - Accent1 2 4 5 6" xfId="15434" xr:uid="{00000000-0005-0000-0000-0000F3030000}"/>
    <cellStyle name="20% - Accent1 2 4 5 7" xfId="22536" xr:uid="{00000000-0005-0000-0000-0000F4030000}"/>
    <cellStyle name="20% - Accent1 2 4 5 8" xfId="29638" xr:uid="{00000000-0005-0000-0000-0000F5030000}"/>
    <cellStyle name="20% - Accent1 2 4 5 9" xfId="36019" xr:uid="{00000000-0005-0000-0000-0000F6030000}"/>
    <cellStyle name="20% - Accent1 2 4 6" xfId="1367" xr:uid="{00000000-0005-0000-0000-0000F7030000}"/>
    <cellStyle name="20% - Accent1 2 4 6 2" xfId="2858" xr:uid="{00000000-0005-0000-0000-0000F8030000}"/>
    <cellStyle name="20% - Accent1 2 4 6 2 2" xfId="7126" xr:uid="{00000000-0005-0000-0000-0000F9030000}"/>
    <cellStyle name="20% - Accent1 2 4 6 2 2 2" xfId="14226" xr:uid="{00000000-0005-0000-0000-0000FA030000}"/>
    <cellStyle name="20% - Accent1 2 4 6 2 2 3" xfId="21327" xr:uid="{00000000-0005-0000-0000-0000FB030000}"/>
    <cellStyle name="20% - Accent1 2 4 6 2 2 4" xfId="28429" xr:uid="{00000000-0005-0000-0000-0000FC030000}"/>
    <cellStyle name="20% - Accent1 2 4 6 2 2 5" xfId="35531" xr:uid="{00000000-0005-0000-0000-0000FD030000}"/>
    <cellStyle name="20% - Accent1 2 4 6 2 3" xfId="9966" xr:uid="{00000000-0005-0000-0000-0000FE030000}"/>
    <cellStyle name="20% - Accent1 2 4 6 2 4" xfId="17067" xr:uid="{00000000-0005-0000-0000-0000FF030000}"/>
    <cellStyle name="20% - Accent1 2 4 6 2 5" xfId="24169" xr:uid="{00000000-0005-0000-0000-000000040000}"/>
    <cellStyle name="20% - Accent1 2 4 6 2 6" xfId="31271" xr:uid="{00000000-0005-0000-0000-000001040000}"/>
    <cellStyle name="20% - Accent1 2 4 6 2 7" xfId="36020" xr:uid="{00000000-0005-0000-0000-000002040000}"/>
    <cellStyle name="20% - Accent1 2 4 6 3" xfId="5705" xr:uid="{00000000-0005-0000-0000-000003040000}"/>
    <cellStyle name="20% - Accent1 2 4 6 3 2" xfId="12806" xr:uid="{00000000-0005-0000-0000-000004040000}"/>
    <cellStyle name="20% - Accent1 2 4 6 3 3" xfId="19907" xr:uid="{00000000-0005-0000-0000-000005040000}"/>
    <cellStyle name="20% - Accent1 2 4 6 3 4" xfId="27009" xr:uid="{00000000-0005-0000-0000-000006040000}"/>
    <cellStyle name="20% - Accent1 2 4 6 3 5" xfId="34111" xr:uid="{00000000-0005-0000-0000-000007040000}"/>
    <cellStyle name="20% - Accent1 2 4 6 4" xfId="4280" xr:uid="{00000000-0005-0000-0000-000008040000}"/>
    <cellStyle name="20% - Accent1 2 4 6 4 2" xfId="11386" xr:uid="{00000000-0005-0000-0000-000009040000}"/>
    <cellStyle name="20% - Accent1 2 4 6 4 3" xfId="18487" xr:uid="{00000000-0005-0000-0000-00000A040000}"/>
    <cellStyle name="20% - Accent1 2 4 6 4 4" xfId="25589" xr:uid="{00000000-0005-0000-0000-00000B040000}"/>
    <cellStyle name="20% - Accent1 2 4 6 4 5" xfId="32691" xr:uid="{00000000-0005-0000-0000-00000C040000}"/>
    <cellStyle name="20% - Accent1 2 4 6 5" xfId="8546" xr:uid="{00000000-0005-0000-0000-00000D040000}"/>
    <cellStyle name="20% - Accent1 2 4 6 6" xfId="15647" xr:uid="{00000000-0005-0000-0000-00000E040000}"/>
    <cellStyle name="20% - Accent1 2 4 6 7" xfId="22749" xr:uid="{00000000-0005-0000-0000-00000F040000}"/>
    <cellStyle name="20% - Accent1 2 4 6 8" xfId="29851" xr:uid="{00000000-0005-0000-0000-000010040000}"/>
    <cellStyle name="20% - Accent1 2 4 6 9" xfId="36021" xr:uid="{00000000-0005-0000-0000-000011040000}"/>
    <cellStyle name="20% - Accent1 2 4 7" xfId="1651" xr:uid="{00000000-0005-0000-0000-000012040000}"/>
    <cellStyle name="20% - Accent1 2 4 7 2" xfId="5919" xr:uid="{00000000-0005-0000-0000-000013040000}"/>
    <cellStyle name="20% - Accent1 2 4 7 2 2" xfId="13019" xr:uid="{00000000-0005-0000-0000-000014040000}"/>
    <cellStyle name="20% - Accent1 2 4 7 2 3" xfId="20120" xr:uid="{00000000-0005-0000-0000-000015040000}"/>
    <cellStyle name="20% - Accent1 2 4 7 2 4" xfId="27222" xr:uid="{00000000-0005-0000-0000-000016040000}"/>
    <cellStyle name="20% - Accent1 2 4 7 2 5" xfId="34324" xr:uid="{00000000-0005-0000-0000-000017040000}"/>
    <cellStyle name="20% - Accent1 2 4 7 3" xfId="8759" xr:uid="{00000000-0005-0000-0000-000018040000}"/>
    <cellStyle name="20% - Accent1 2 4 7 4" xfId="15860" xr:uid="{00000000-0005-0000-0000-000019040000}"/>
    <cellStyle name="20% - Accent1 2 4 7 5" xfId="22962" xr:uid="{00000000-0005-0000-0000-00001A040000}"/>
    <cellStyle name="20% - Accent1 2 4 7 6" xfId="30064" xr:uid="{00000000-0005-0000-0000-00001B040000}"/>
    <cellStyle name="20% - Accent1 2 4 7 7" xfId="36022" xr:uid="{00000000-0005-0000-0000-00001C040000}"/>
    <cellStyle name="20% - Accent1 2 4 8" xfId="4498" xr:uid="{00000000-0005-0000-0000-00001D040000}"/>
    <cellStyle name="20% - Accent1 2 4 8 2" xfId="11599" xr:uid="{00000000-0005-0000-0000-00001E040000}"/>
    <cellStyle name="20% - Accent1 2 4 8 3" xfId="18700" xr:uid="{00000000-0005-0000-0000-00001F040000}"/>
    <cellStyle name="20% - Accent1 2 4 8 4" xfId="25802" xr:uid="{00000000-0005-0000-0000-000020040000}"/>
    <cellStyle name="20% - Accent1 2 4 8 5" xfId="32904" xr:uid="{00000000-0005-0000-0000-000021040000}"/>
    <cellStyle name="20% - Accent1 2 4 9" xfId="3073" xr:uid="{00000000-0005-0000-0000-000022040000}"/>
    <cellStyle name="20% - Accent1 2 4 9 2" xfId="10179" xr:uid="{00000000-0005-0000-0000-000023040000}"/>
    <cellStyle name="20% - Accent1 2 4 9 3" xfId="17280" xr:uid="{00000000-0005-0000-0000-000024040000}"/>
    <cellStyle name="20% - Accent1 2 4 9 4" xfId="24382" xr:uid="{00000000-0005-0000-0000-000025040000}"/>
    <cellStyle name="20% - Accent1 2 4 9 5" xfId="31484" xr:uid="{00000000-0005-0000-0000-000026040000}"/>
    <cellStyle name="20% - Accent1 2 5" xfId="302" xr:uid="{00000000-0005-0000-0000-000027040000}"/>
    <cellStyle name="20% - Accent1 2 5 10" xfId="36023" xr:uid="{00000000-0005-0000-0000-000028040000}"/>
    <cellStyle name="20% - Accent1 2 5 2" xfId="1083" xr:uid="{00000000-0005-0000-0000-000029040000}"/>
    <cellStyle name="20% - Accent1 2 5 2 2" xfId="2574" xr:uid="{00000000-0005-0000-0000-00002A040000}"/>
    <cellStyle name="20% - Accent1 2 5 2 2 2" xfId="6842" xr:uid="{00000000-0005-0000-0000-00002B040000}"/>
    <cellStyle name="20% - Accent1 2 5 2 2 2 2" xfId="13942" xr:uid="{00000000-0005-0000-0000-00002C040000}"/>
    <cellStyle name="20% - Accent1 2 5 2 2 2 3" xfId="21043" xr:uid="{00000000-0005-0000-0000-00002D040000}"/>
    <cellStyle name="20% - Accent1 2 5 2 2 2 4" xfId="28145" xr:uid="{00000000-0005-0000-0000-00002E040000}"/>
    <cellStyle name="20% - Accent1 2 5 2 2 2 5" xfId="35247" xr:uid="{00000000-0005-0000-0000-00002F040000}"/>
    <cellStyle name="20% - Accent1 2 5 2 2 2 6" xfId="36024" xr:uid="{00000000-0005-0000-0000-000030040000}"/>
    <cellStyle name="20% - Accent1 2 5 2 2 3" xfId="9682" xr:uid="{00000000-0005-0000-0000-000031040000}"/>
    <cellStyle name="20% - Accent1 2 5 2 2 4" xfId="16783" xr:uid="{00000000-0005-0000-0000-000032040000}"/>
    <cellStyle name="20% - Accent1 2 5 2 2 5" xfId="23885" xr:uid="{00000000-0005-0000-0000-000033040000}"/>
    <cellStyle name="20% - Accent1 2 5 2 2 6" xfId="30987" xr:uid="{00000000-0005-0000-0000-000034040000}"/>
    <cellStyle name="20% - Accent1 2 5 2 2 7" xfId="36025" xr:uid="{00000000-0005-0000-0000-000035040000}"/>
    <cellStyle name="20% - Accent1 2 5 2 3" xfId="5421" xr:uid="{00000000-0005-0000-0000-000036040000}"/>
    <cellStyle name="20% - Accent1 2 5 2 3 2" xfId="12522" xr:uid="{00000000-0005-0000-0000-000037040000}"/>
    <cellStyle name="20% - Accent1 2 5 2 3 2 2" xfId="36026" xr:uid="{00000000-0005-0000-0000-000038040000}"/>
    <cellStyle name="20% - Accent1 2 5 2 3 3" xfId="19623" xr:uid="{00000000-0005-0000-0000-000039040000}"/>
    <cellStyle name="20% - Accent1 2 5 2 3 4" xfId="26725" xr:uid="{00000000-0005-0000-0000-00003A040000}"/>
    <cellStyle name="20% - Accent1 2 5 2 3 5" xfId="33827" xr:uid="{00000000-0005-0000-0000-00003B040000}"/>
    <cellStyle name="20% - Accent1 2 5 2 3 6" xfId="36027" xr:uid="{00000000-0005-0000-0000-00003C040000}"/>
    <cellStyle name="20% - Accent1 2 5 2 4" xfId="3996" xr:uid="{00000000-0005-0000-0000-00003D040000}"/>
    <cellStyle name="20% - Accent1 2 5 2 4 2" xfId="11102" xr:uid="{00000000-0005-0000-0000-00003E040000}"/>
    <cellStyle name="20% - Accent1 2 5 2 4 3" xfId="18203" xr:uid="{00000000-0005-0000-0000-00003F040000}"/>
    <cellStyle name="20% - Accent1 2 5 2 4 4" xfId="25305" xr:uid="{00000000-0005-0000-0000-000040040000}"/>
    <cellStyle name="20% - Accent1 2 5 2 4 5" xfId="32407" xr:uid="{00000000-0005-0000-0000-000041040000}"/>
    <cellStyle name="20% - Accent1 2 5 2 4 6" xfId="36028" xr:uid="{00000000-0005-0000-0000-000042040000}"/>
    <cellStyle name="20% - Accent1 2 5 2 5" xfId="8262" xr:uid="{00000000-0005-0000-0000-000043040000}"/>
    <cellStyle name="20% - Accent1 2 5 2 6" xfId="15363" xr:uid="{00000000-0005-0000-0000-000044040000}"/>
    <cellStyle name="20% - Accent1 2 5 2 7" xfId="22465" xr:uid="{00000000-0005-0000-0000-000045040000}"/>
    <cellStyle name="20% - Accent1 2 5 2 8" xfId="29567" xr:uid="{00000000-0005-0000-0000-000046040000}"/>
    <cellStyle name="20% - Accent1 2 5 2 9" xfId="36029" xr:uid="{00000000-0005-0000-0000-000047040000}"/>
    <cellStyle name="20% - Accent1 2 5 3" xfId="1793" xr:uid="{00000000-0005-0000-0000-000048040000}"/>
    <cellStyle name="20% - Accent1 2 5 3 2" xfId="6061" xr:uid="{00000000-0005-0000-0000-000049040000}"/>
    <cellStyle name="20% - Accent1 2 5 3 2 2" xfId="13161" xr:uid="{00000000-0005-0000-0000-00004A040000}"/>
    <cellStyle name="20% - Accent1 2 5 3 2 2 2" xfId="36030" xr:uid="{00000000-0005-0000-0000-00004B040000}"/>
    <cellStyle name="20% - Accent1 2 5 3 2 3" xfId="20262" xr:uid="{00000000-0005-0000-0000-00004C040000}"/>
    <cellStyle name="20% - Accent1 2 5 3 2 4" xfId="27364" xr:uid="{00000000-0005-0000-0000-00004D040000}"/>
    <cellStyle name="20% - Accent1 2 5 3 2 5" xfId="34466" xr:uid="{00000000-0005-0000-0000-00004E040000}"/>
    <cellStyle name="20% - Accent1 2 5 3 2 6" xfId="36031" xr:uid="{00000000-0005-0000-0000-00004F040000}"/>
    <cellStyle name="20% - Accent1 2 5 3 3" xfId="8901" xr:uid="{00000000-0005-0000-0000-000050040000}"/>
    <cellStyle name="20% - Accent1 2 5 3 3 2" xfId="36032" xr:uid="{00000000-0005-0000-0000-000051040000}"/>
    <cellStyle name="20% - Accent1 2 5 3 3 3" xfId="36033" xr:uid="{00000000-0005-0000-0000-000052040000}"/>
    <cellStyle name="20% - Accent1 2 5 3 4" xfId="16002" xr:uid="{00000000-0005-0000-0000-000053040000}"/>
    <cellStyle name="20% - Accent1 2 5 3 4 2" xfId="36034" xr:uid="{00000000-0005-0000-0000-000054040000}"/>
    <cellStyle name="20% - Accent1 2 5 3 5" xfId="23104" xr:uid="{00000000-0005-0000-0000-000055040000}"/>
    <cellStyle name="20% - Accent1 2 5 3 6" xfId="30206" xr:uid="{00000000-0005-0000-0000-000056040000}"/>
    <cellStyle name="20% - Accent1 2 5 3 7" xfId="36035" xr:uid="{00000000-0005-0000-0000-000057040000}"/>
    <cellStyle name="20% - Accent1 2 5 4" xfId="4640" xr:uid="{00000000-0005-0000-0000-000058040000}"/>
    <cellStyle name="20% - Accent1 2 5 4 2" xfId="11741" xr:uid="{00000000-0005-0000-0000-000059040000}"/>
    <cellStyle name="20% - Accent1 2 5 4 2 2" xfId="36036" xr:uid="{00000000-0005-0000-0000-00005A040000}"/>
    <cellStyle name="20% - Accent1 2 5 4 2 3" xfId="36037" xr:uid="{00000000-0005-0000-0000-00005B040000}"/>
    <cellStyle name="20% - Accent1 2 5 4 3" xfId="18842" xr:uid="{00000000-0005-0000-0000-00005C040000}"/>
    <cellStyle name="20% - Accent1 2 5 4 3 2" xfId="36038" xr:uid="{00000000-0005-0000-0000-00005D040000}"/>
    <cellStyle name="20% - Accent1 2 5 4 3 3" xfId="36039" xr:uid="{00000000-0005-0000-0000-00005E040000}"/>
    <cellStyle name="20% - Accent1 2 5 4 4" xfId="25944" xr:uid="{00000000-0005-0000-0000-00005F040000}"/>
    <cellStyle name="20% - Accent1 2 5 4 4 2" xfId="36040" xr:uid="{00000000-0005-0000-0000-000060040000}"/>
    <cellStyle name="20% - Accent1 2 5 4 5" xfId="33046" xr:uid="{00000000-0005-0000-0000-000061040000}"/>
    <cellStyle name="20% - Accent1 2 5 4 6" xfId="36041" xr:uid="{00000000-0005-0000-0000-000062040000}"/>
    <cellStyle name="20% - Accent1 2 5 5" xfId="3215" xr:uid="{00000000-0005-0000-0000-000063040000}"/>
    <cellStyle name="20% - Accent1 2 5 5 2" xfId="10321" xr:uid="{00000000-0005-0000-0000-000064040000}"/>
    <cellStyle name="20% - Accent1 2 5 5 2 2" xfId="36042" xr:uid="{00000000-0005-0000-0000-000065040000}"/>
    <cellStyle name="20% - Accent1 2 5 5 3" xfId="17422" xr:uid="{00000000-0005-0000-0000-000066040000}"/>
    <cellStyle name="20% - Accent1 2 5 5 4" xfId="24524" xr:uid="{00000000-0005-0000-0000-000067040000}"/>
    <cellStyle name="20% - Accent1 2 5 5 5" xfId="31626" xr:uid="{00000000-0005-0000-0000-000068040000}"/>
    <cellStyle name="20% - Accent1 2 5 5 6" xfId="36043" xr:uid="{00000000-0005-0000-0000-000069040000}"/>
    <cellStyle name="20% - Accent1 2 5 6" xfId="7481" xr:uid="{00000000-0005-0000-0000-00006A040000}"/>
    <cellStyle name="20% - Accent1 2 5 6 2" xfId="36044" xr:uid="{00000000-0005-0000-0000-00006B040000}"/>
    <cellStyle name="20% - Accent1 2 5 6 3" xfId="36045" xr:uid="{00000000-0005-0000-0000-00006C040000}"/>
    <cellStyle name="20% - Accent1 2 5 7" xfId="14582" xr:uid="{00000000-0005-0000-0000-00006D040000}"/>
    <cellStyle name="20% - Accent1 2 5 7 2" xfId="36046" xr:uid="{00000000-0005-0000-0000-00006E040000}"/>
    <cellStyle name="20% - Accent1 2 5 8" xfId="21684" xr:uid="{00000000-0005-0000-0000-00006F040000}"/>
    <cellStyle name="20% - Accent1 2 5 9" xfId="28786" xr:uid="{00000000-0005-0000-0000-000070040000}"/>
    <cellStyle name="20% - Accent1 2 6" xfId="515" xr:uid="{00000000-0005-0000-0000-000071040000}"/>
    <cellStyle name="20% - Accent1 2 6 2" xfId="2006" xr:uid="{00000000-0005-0000-0000-000072040000}"/>
    <cellStyle name="20% - Accent1 2 6 2 2" xfId="6274" xr:uid="{00000000-0005-0000-0000-000073040000}"/>
    <cellStyle name="20% - Accent1 2 6 2 2 2" xfId="13374" xr:uid="{00000000-0005-0000-0000-000074040000}"/>
    <cellStyle name="20% - Accent1 2 6 2 2 3" xfId="20475" xr:uid="{00000000-0005-0000-0000-000075040000}"/>
    <cellStyle name="20% - Accent1 2 6 2 2 4" xfId="27577" xr:uid="{00000000-0005-0000-0000-000076040000}"/>
    <cellStyle name="20% - Accent1 2 6 2 2 5" xfId="34679" xr:uid="{00000000-0005-0000-0000-000077040000}"/>
    <cellStyle name="20% - Accent1 2 6 2 2 6" xfId="36047" xr:uid="{00000000-0005-0000-0000-000078040000}"/>
    <cellStyle name="20% - Accent1 2 6 2 3" xfId="9114" xr:uid="{00000000-0005-0000-0000-000079040000}"/>
    <cellStyle name="20% - Accent1 2 6 2 4" xfId="16215" xr:uid="{00000000-0005-0000-0000-00007A040000}"/>
    <cellStyle name="20% - Accent1 2 6 2 5" xfId="23317" xr:uid="{00000000-0005-0000-0000-00007B040000}"/>
    <cellStyle name="20% - Accent1 2 6 2 6" xfId="30419" xr:uid="{00000000-0005-0000-0000-00007C040000}"/>
    <cellStyle name="20% - Accent1 2 6 2 7" xfId="36048" xr:uid="{00000000-0005-0000-0000-00007D040000}"/>
    <cellStyle name="20% - Accent1 2 6 3" xfId="4853" xr:uid="{00000000-0005-0000-0000-00007E040000}"/>
    <cellStyle name="20% - Accent1 2 6 3 2" xfId="11954" xr:uid="{00000000-0005-0000-0000-00007F040000}"/>
    <cellStyle name="20% - Accent1 2 6 3 2 2" xfId="36049" xr:uid="{00000000-0005-0000-0000-000080040000}"/>
    <cellStyle name="20% - Accent1 2 6 3 3" xfId="19055" xr:uid="{00000000-0005-0000-0000-000081040000}"/>
    <cellStyle name="20% - Accent1 2 6 3 4" xfId="26157" xr:uid="{00000000-0005-0000-0000-000082040000}"/>
    <cellStyle name="20% - Accent1 2 6 3 5" xfId="33259" xr:uid="{00000000-0005-0000-0000-000083040000}"/>
    <cellStyle name="20% - Accent1 2 6 3 6" xfId="36050" xr:uid="{00000000-0005-0000-0000-000084040000}"/>
    <cellStyle name="20% - Accent1 2 6 4" xfId="3428" xr:uid="{00000000-0005-0000-0000-000085040000}"/>
    <cellStyle name="20% - Accent1 2 6 4 2" xfId="10534" xr:uid="{00000000-0005-0000-0000-000086040000}"/>
    <cellStyle name="20% - Accent1 2 6 4 3" xfId="17635" xr:uid="{00000000-0005-0000-0000-000087040000}"/>
    <cellStyle name="20% - Accent1 2 6 4 4" xfId="24737" xr:uid="{00000000-0005-0000-0000-000088040000}"/>
    <cellStyle name="20% - Accent1 2 6 4 5" xfId="31839" xr:uid="{00000000-0005-0000-0000-000089040000}"/>
    <cellStyle name="20% - Accent1 2 6 4 6" xfId="36051" xr:uid="{00000000-0005-0000-0000-00008A040000}"/>
    <cellStyle name="20% - Accent1 2 6 5" xfId="7694" xr:uid="{00000000-0005-0000-0000-00008B040000}"/>
    <cellStyle name="20% - Accent1 2 6 6" xfId="14795" xr:uid="{00000000-0005-0000-0000-00008C040000}"/>
    <cellStyle name="20% - Accent1 2 6 7" xfId="21897" xr:uid="{00000000-0005-0000-0000-00008D040000}"/>
    <cellStyle name="20% - Accent1 2 6 8" xfId="28999" xr:uid="{00000000-0005-0000-0000-00008E040000}"/>
    <cellStyle name="20% - Accent1 2 6 9" xfId="36052" xr:uid="{00000000-0005-0000-0000-00008F040000}"/>
    <cellStyle name="20% - Accent1 2 7" xfId="728" xr:uid="{00000000-0005-0000-0000-000090040000}"/>
    <cellStyle name="20% - Accent1 2 7 2" xfId="2219" xr:uid="{00000000-0005-0000-0000-000091040000}"/>
    <cellStyle name="20% - Accent1 2 7 2 2" xfId="6487" xr:uid="{00000000-0005-0000-0000-000092040000}"/>
    <cellStyle name="20% - Accent1 2 7 2 2 2" xfId="13587" xr:uid="{00000000-0005-0000-0000-000093040000}"/>
    <cellStyle name="20% - Accent1 2 7 2 2 3" xfId="20688" xr:uid="{00000000-0005-0000-0000-000094040000}"/>
    <cellStyle name="20% - Accent1 2 7 2 2 4" xfId="27790" xr:uid="{00000000-0005-0000-0000-000095040000}"/>
    <cellStyle name="20% - Accent1 2 7 2 2 5" xfId="34892" xr:uid="{00000000-0005-0000-0000-000096040000}"/>
    <cellStyle name="20% - Accent1 2 7 2 2 6" xfId="36053" xr:uid="{00000000-0005-0000-0000-000097040000}"/>
    <cellStyle name="20% - Accent1 2 7 2 3" xfId="9327" xr:uid="{00000000-0005-0000-0000-000098040000}"/>
    <cellStyle name="20% - Accent1 2 7 2 4" xfId="16428" xr:uid="{00000000-0005-0000-0000-000099040000}"/>
    <cellStyle name="20% - Accent1 2 7 2 5" xfId="23530" xr:uid="{00000000-0005-0000-0000-00009A040000}"/>
    <cellStyle name="20% - Accent1 2 7 2 6" xfId="30632" xr:uid="{00000000-0005-0000-0000-00009B040000}"/>
    <cellStyle name="20% - Accent1 2 7 2 7" xfId="36054" xr:uid="{00000000-0005-0000-0000-00009C040000}"/>
    <cellStyle name="20% - Accent1 2 7 3" xfId="5066" xr:uid="{00000000-0005-0000-0000-00009D040000}"/>
    <cellStyle name="20% - Accent1 2 7 3 2" xfId="12167" xr:uid="{00000000-0005-0000-0000-00009E040000}"/>
    <cellStyle name="20% - Accent1 2 7 3 2 2" xfId="36055" xr:uid="{00000000-0005-0000-0000-00009F040000}"/>
    <cellStyle name="20% - Accent1 2 7 3 3" xfId="19268" xr:uid="{00000000-0005-0000-0000-0000A0040000}"/>
    <cellStyle name="20% - Accent1 2 7 3 4" xfId="26370" xr:uid="{00000000-0005-0000-0000-0000A1040000}"/>
    <cellStyle name="20% - Accent1 2 7 3 5" xfId="33472" xr:uid="{00000000-0005-0000-0000-0000A2040000}"/>
    <cellStyle name="20% - Accent1 2 7 3 6" xfId="36056" xr:uid="{00000000-0005-0000-0000-0000A3040000}"/>
    <cellStyle name="20% - Accent1 2 7 4" xfId="3641" xr:uid="{00000000-0005-0000-0000-0000A4040000}"/>
    <cellStyle name="20% - Accent1 2 7 4 2" xfId="10747" xr:uid="{00000000-0005-0000-0000-0000A5040000}"/>
    <cellStyle name="20% - Accent1 2 7 4 3" xfId="17848" xr:uid="{00000000-0005-0000-0000-0000A6040000}"/>
    <cellStyle name="20% - Accent1 2 7 4 4" xfId="24950" xr:uid="{00000000-0005-0000-0000-0000A7040000}"/>
    <cellStyle name="20% - Accent1 2 7 4 5" xfId="32052" xr:uid="{00000000-0005-0000-0000-0000A8040000}"/>
    <cellStyle name="20% - Accent1 2 7 4 6" xfId="36057" xr:uid="{00000000-0005-0000-0000-0000A9040000}"/>
    <cellStyle name="20% - Accent1 2 7 5" xfId="7907" xr:uid="{00000000-0005-0000-0000-0000AA040000}"/>
    <cellStyle name="20% - Accent1 2 7 6" xfId="15008" xr:uid="{00000000-0005-0000-0000-0000AB040000}"/>
    <cellStyle name="20% - Accent1 2 7 7" xfId="22110" xr:uid="{00000000-0005-0000-0000-0000AC040000}"/>
    <cellStyle name="20% - Accent1 2 7 8" xfId="29212" xr:uid="{00000000-0005-0000-0000-0000AD040000}"/>
    <cellStyle name="20% - Accent1 2 7 9" xfId="36058" xr:uid="{00000000-0005-0000-0000-0000AE040000}"/>
    <cellStyle name="20% - Accent1 2 8" xfId="941" xr:uid="{00000000-0005-0000-0000-0000AF040000}"/>
    <cellStyle name="20% - Accent1 2 8 2" xfId="2432" xr:uid="{00000000-0005-0000-0000-0000B0040000}"/>
    <cellStyle name="20% - Accent1 2 8 2 2" xfId="6700" xr:uid="{00000000-0005-0000-0000-0000B1040000}"/>
    <cellStyle name="20% - Accent1 2 8 2 2 2" xfId="13800" xr:uid="{00000000-0005-0000-0000-0000B2040000}"/>
    <cellStyle name="20% - Accent1 2 8 2 2 3" xfId="20901" xr:uid="{00000000-0005-0000-0000-0000B3040000}"/>
    <cellStyle name="20% - Accent1 2 8 2 2 4" xfId="28003" xr:uid="{00000000-0005-0000-0000-0000B4040000}"/>
    <cellStyle name="20% - Accent1 2 8 2 2 5" xfId="35105" xr:uid="{00000000-0005-0000-0000-0000B5040000}"/>
    <cellStyle name="20% - Accent1 2 8 2 2 6" xfId="36059" xr:uid="{00000000-0005-0000-0000-0000B6040000}"/>
    <cellStyle name="20% - Accent1 2 8 2 3" xfId="9540" xr:uid="{00000000-0005-0000-0000-0000B7040000}"/>
    <cellStyle name="20% - Accent1 2 8 2 4" xfId="16641" xr:uid="{00000000-0005-0000-0000-0000B8040000}"/>
    <cellStyle name="20% - Accent1 2 8 2 5" xfId="23743" xr:uid="{00000000-0005-0000-0000-0000B9040000}"/>
    <cellStyle name="20% - Accent1 2 8 2 6" xfId="30845" xr:uid="{00000000-0005-0000-0000-0000BA040000}"/>
    <cellStyle name="20% - Accent1 2 8 2 7" xfId="36060" xr:uid="{00000000-0005-0000-0000-0000BB040000}"/>
    <cellStyle name="20% - Accent1 2 8 3" xfId="5279" xr:uid="{00000000-0005-0000-0000-0000BC040000}"/>
    <cellStyle name="20% - Accent1 2 8 3 2" xfId="12380" xr:uid="{00000000-0005-0000-0000-0000BD040000}"/>
    <cellStyle name="20% - Accent1 2 8 3 2 2" xfId="36061" xr:uid="{00000000-0005-0000-0000-0000BE040000}"/>
    <cellStyle name="20% - Accent1 2 8 3 3" xfId="19481" xr:uid="{00000000-0005-0000-0000-0000BF040000}"/>
    <cellStyle name="20% - Accent1 2 8 3 4" xfId="26583" xr:uid="{00000000-0005-0000-0000-0000C0040000}"/>
    <cellStyle name="20% - Accent1 2 8 3 5" xfId="33685" xr:uid="{00000000-0005-0000-0000-0000C1040000}"/>
    <cellStyle name="20% - Accent1 2 8 3 6" xfId="36062" xr:uid="{00000000-0005-0000-0000-0000C2040000}"/>
    <cellStyle name="20% - Accent1 2 8 4" xfId="3854" xr:uid="{00000000-0005-0000-0000-0000C3040000}"/>
    <cellStyle name="20% - Accent1 2 8 4 2" xfId="10960" xr:uid="{00000000-0005-0000-0000-0000C4040000}"/>
    <cellStyle name="20% - Accent1 2 8 4 3" xfId="18061" xr:uid="{00000000-0005-0000-0000-0000C5040000}"/>
    <cellStyle name="20% - Accent1 2 8 4 4" xfId="25163" xr:uid="{00000000-0005-0000-0000-0000C6040000}"/>
    <cellStyle name="20% - Accent1 2 8 4 5" xfId="32265" xr:uid="{00000000-0005-0000-0000-0000C7040000}"/>
    <cellStyle name="20% - Accent1 2 8 4 6" xfId="36063" xr:uid="{00000000-0005-0000-0000-0000C8040000}"/>
    <cellStyle name="20% - Accent1 2 8 5" xfId="8120" xr:uid="{00000000-0005-0000-0000-0000C9040000}"/>
    <cellStyle name="20% - Accent1 2 8 6" xfId="15221" xr:uid="{00000000-0005-0000-0000-0000CA040000}"/>
    <cellStyle name="20% - Accent1 2 8 7" xfId="22323" xr:uid="{00000000-0005-0000-0000-0000CB040000}"/>
    <cellStyle name="20% - Accent1 2 8 8" xfId="29425" xr:uid="{00000000-0005-0000-0000-0000CC040000}"/>
    <cellStyle name="20% - Accent1 2 8 9" xfId="36064" xr:uid="{00000000-0005-0000-0000-0000CD040000}"/>
    <cellStyle name="20% - Accent1 2 9" xfId="1296" xr:uid="{00000000-0005-0000-0000-0000CE040000}"/>
    <cellStyle name="20% - Accent1 2 9 2" xfId="2787" xr:uid="{00000000-0005-0000-0000-0000CF040000}"/>
    <cellStyle name="20% - Accent1 2 9 2 2" xfId="7055" xr:uid="{00000000-0005-0000-0000-0000D0040000}"/>
    <cellStyle name="20% - Accent1 2 9 2 2 2" xfId="14155" xr:uid="{00000000-0005-0000-0000-0000D1040000}"/>
    <cellStyle name="20% - Accent1 2 9 2 2 3" xfId="21256" xr:uid="{00000000-0005-0000-0000-0000D2040000}"/>
    <cellStyle name="20% - Accent1 2 9 2 2 4" xfId="28358" xr:uid="{00000000-0005-0000-0000-0000D3040000}"/>
    <cellStyle name="20% - Accent1 2 9 2 2 5" xfId="35460" xr:uid="{00000000-0005-0000-0000-0000D4040000}"/>
    <cellStyle name="20% - Accent1 2 9 2 3" xfId="9895" xr:uid="{00000000-0005-0000-0000-0000D5040000}"/>
    <cellStyle name="20% - Accent1 2 9 2 4" xfId="16996" xr:uid="{00000000-0005-0000-0000-0000D6040000}"/>
    <cellStyle name="20% - Accent1 2 9 2 5" xfId="24098" xr:uid="{00000000-0005-0000-0000-0000D7040000}"/>
    <cellStyle name="20% - Accent1 2 9 2 6" xfId="31200" xr:uid="{00000000-0005-0000-0000-0000D8040000}"/>
    <cellStyle name="20% - Accent1 2 9 2 7" xfId="36065" xr:uid="{00000000-0005-0000-0000-0000D9040000}"/>
    <cellStyle name="20% - Accent1 2 9 3" xfId="5634" xr:uid="{00000000-0005-0000-0000-0000DA040000}"/>
    <cellStyle name="20% - Accent1 2 9 3 2" xfId="12735" xr:uid="{00000000-0005-0000-0000-0000DB040000}"/>
    <cellStyle name="20% - Accent1 2 9 3 3" xfId="19836" xr:uid="{00000000-0005-0000-0000-0000DC040000}"/>
    <cellStyle name="20% - Accent1 2 9 3 4" xfId="26938" xr:uid="{00000000-0005-0000-0000-0000DD040000}"/>
    <cellStyle name="20% - Accent1 2 9 3 5" xfId="34040" xr:uid="{00000000-0005-0000-0000-0000DE040000}"/>
    <cellStyle name="20% - Accent1 2 9 4" xfId="4209" xr:uid="{00000000-0005-0000-0000-0000DF040000}"/>
    <cellStyle name="20% - Accent1 2 9 4 2" xfId="11315" xr:uid="{00000000-0005-0000-0000-0000E0040000}"/>
    <cellStyle name="20% - Accent1 2 9 4 3" xfId="18416" xr:uid="{00000000-0005-0000-0000-0000E1040000}"/>
    <cellStyle name="20% - Accent1 2 9 4 4" xfId="25518" xr:uid="{00000000-0005-0000-0000-0000E2040000}"/>
    <cellStyle name="20% - Accent1 2 9 4 5" xfId="32620" xr:uid="{00000000-0005-0000-0000-0000E3040000}"/>
    <cellStyle name="20% - Accent1 2 9 5" xfId="8475" xr:uid="{00000000-0005-0000-0000-0000E4040000}"/>
    <cellStyle name="20% - Accent1 2 9 6" xfId="15576" xr:uid="{00000000-0005-0000-0000-0000E5040000}"/>
    <cellStyle name="20% - Accent1 2 9 7" xfId="22678" xr:uid="{00000000-0005-0000-0000-0000E6040000}"/>
    <cellStyle name="20% - Accent1 2 9 8" xfId="29780" xr:uid="{00000000-0005-0000-0000-0000E7040000}"/>
    <cellStyle name="20% - Accent1 2 9 9" xfId="36066" xr:uid="{00000000-0005-0000-0000-0000E8040000}"/>
    <cellStyle name="20% - Accent1 20" xfId="36067" xr:uid="{00000000-0005-0000-0000-0000E9040000}"/>
    <cellStyle name="20% - Accent1 21" xfId="36068" xr:uid="{00000000-0005-0000-0000-0000EA040000}"/>
    <cellStyle name="20% - Accent1 22" xfId="36069" xr:uid="{00000000-0005-0000-0000-0000EB040000}"/>
    <cellStyle name="20% - Accent1 23" xfId="36070" xr:uid="{00000000-0005-0000-0000-0000EC040000}"/>
    <cellStyle name="20% - Accent1 24" xfId="36071" xr:uid="{00000000-0005-0000-0000-0000ED040000}"/>
    <cellStyle name="20% - Accent1 25" xfId="36072" xr:uid="{00000000-0005-0000-0000-0000EE040000}"/>
    <cellStyle name="20% - Accent1 3" xfId="97" xr:uid="{00000000-0005-0000-0000-0000EF040000}"/>
    <cellStyle name="20% - Accent1 3 10" xfId="4441" xr:uid="{00000000-0005-0000-0000-0000F0040000}"/>
    <cellStyle name="20% - Accent1 3 10 2" xfId="11542" xr:uid="{00000000-0005-0000-0000-0000F1040000}"/>
    <cellStyle name="20% - Accent1 3 10 3" xfId="18643" xr:uid="{00000000-0005-0000-0000-0000F2040000}"/>
    <cellStyle name="20% - Accent1 3 10 4" xfId="25745" xr:uid="{00000000-0005-0000-0000-0000F3040000}"/>
    <cellStyle name="20% - Accent1 3 10 5" xfId="32847" xr:uid="{00000000-0005-0000-0000-0000F4040000}"/>
    <cellStyle name="20% - Accent1 3 11" xfId="3016" xr:uid="{00000000-0005-0000-0000-0000F5040000}"/>
    <cellStyle name="20% - Accent1 3 11 2" xfId="10122" xr:uid="{00000000-0005-0000-0000-0000F6040000}"/>
    <cellStyle name="20% - Accent1 3 11 3" xfId="17223" xr:uid="{00000000-0005-0000-0000-0000F7040000}"/>
    <cellStyle name="20% - Accent1 3 11 4" xfId="24325" xr:uid="{00000000-0005-0000-0000-0000F8040000}"/>
    <cellStyle name="20% - Accent1 3 11 5" xfId="31427" xr:uid="{00000000-0005-0000-0000-0000F9040000}"/>
    <cellStyle name="20% - Accent1 3 12" xfId="7282" xr:uid="{00000000-0005-0000-0000-0000FA040000}"/>
    <cellStyle name="20% - Accent1 3 13" xfId="14383" xr:uid="{00000000-0005-0000-0000-0000FB040000}"/>
    <cellStyle name="20% - Accent1 3 14" xfId="21485" xr:uid="{00000000-0005-0000-0000-0000FC040000}"/>
    <cellStyle name="20% - Accent1 3 15" xfId="28587" xr:uid="{00000000-0005-0000-0000-0000FD040000}"/>
    <cellStyle name="20% - Accent1 3 16" xfId="35689" xr:uid="{00000000-0005-0000-0000-0000FE040000}"/>
    <cellStyle name="20% - Accent1 3 17" xfId="36073" xr:uid="{00000000-0005-0000-0000-0000FF040000}"/>
    <cellStyle name="20% - Accent1 3 18" xfId="36074" xr:uid="{00000000-0005-0000-0000-000000050000}"/>
    <cellStyle name="20% - Accent1 3 2" xfId="245" xr:uid="{00000000-0005-0000-0000-000001050000}"/>
    <cellStyle name="20% - Accent1 3 2 10" xfId="7424" xr:uid="{00000000-0005-0000-0000-000002050000}"/>
    <cellStyle name="20% - Accent1 3 2 11" xfId="14525" xr:uid="{00000000-0005-0000-0000-000003050000}"/>
    <cellStyle name="20% - Accent1 3 2 12" xfId="21627" xr:uid="{00000000-0005-0000-0000-000004050000}"/>
    <cellStyle name="20% - Accent1 3 2 13" xfId="28729" xr:uid="{00000000-0005-0000-0000-000005050000}"/>
    <cellStyle name="20% - Accent1 3 2 14" xfId="35831" xr:uid="{00000000-0005-0000-0000-000006050000}"/>
    <cellStyle name="20% - Accent1 3 2 15" xfId="36075" xr:uid="{00000000-0005-0000-0000-000007050000}"/>
    <cellStyle name="20% - Accent1 3 2 2" xfId="458" xr:uid="{00000000-0005-0000-0000-000008050000}"/>
    <cellStyle name="20% - Accent1 3 2 2 10" xfId="36076" xr:uid="{00000000-0005-0000-0000-000009050000}"/>
    <cellStyle name="20% - Accent1 3 2 2 2" xfId="1239" xr:uid="{00000000-0005-0000-0000-00000A050000}"/>
    <cellStyle name="20% - Accent1 3 2 2 2 2" xfId="2730" xr:uid="{00000000-0005-0000-0000-00000B050000}"/>
    <cellStyle name="20% - Accent1 3 2 2 2 2 2" xfId="6998" xr:uid="{00000000-0005-0000-0000-00000C050000}"/>
    <cellStyle name="20% - Accent1 3 2 2 2 2 2 2" xfId="14098" xr:uid="{00000000-0005-0000-0000-00000D050000}"/>
    <cellStyle name="20% - Accent1 3 2 2 2 2 2 3" xfId="21199" xr:uid="{00000000-0005-0000-0000-00000E050000}"/>
    <cellStyle name="20% - Accent1 3 2 2 2 2 2 4" xfId="28301" xr:uid="{00000000-0005-0000-0000-00000F050000}"/>
    <cellStyle name="20% - Accent1 3 2 2 2 2 2 5" xfId="35403" xr:uid="{00000000-0005-0000-0000-000010050000}"/>
    <cellStyle name="20% - Accent1 3 2 2 2 2 3" xfId="9838" xr:uid="{00000000-0005-0000-0000-000011050000}"/>
    <cellStyle name="20% - Accent1 3 2 2 2 2 4" xfId="16939" xr:uid="{00000000-0005-0000-0000-000012050000}"/>
    <cellStyle name="20% - Accent1 3 2 2 2 2 5" xfId="24041" xr:uid="{00000000-0005-0000-0000-000013050000}"/>
    <cellStyle name="20% - Accent1 3 2 2 2 2 6" xfId="31143" xr:uid="{00000000-0005-0000-0000-000014050000}"/>
    <cellStyle name="20% - Accent1 3 2 2 2 2 7" xfId="36077" xr:uid="{00000000-0005-0000-0000-000015050000}"/>
    <cellStyle name="20% - Accent1 3 2 2 2 3" xfId="5577" xr:uid="{00000000-0005-0000-0000-000016050000}"/>
    <cellStyle name="20% - Accent1 3 2 2 2 3 2" xfId="12678" xr:uid="{00000000-0005-0000-0000-000017050000}"/>
    <cellStyle name="20% - Accent1 3 2 2 2 3 3" xfId="19779" xr:uid="{00000000-0005-0000-0000-000018050000}"/>
    <cellStyle name="20% - Accent1 3 2 2 2 3 4" xfId="26881" xr:uid="{00000000-0005-0000-0000-000019050000}"/>
    <cellStyle name="20% - Accent1 3 2 2 2 3 5" xfId="33983" xr:uid="{00000000-0005-0000-0000-00001A050000}"/>
    <cellStyle name="20% - Accent1 3 2 2 2 4" xfId="4152" xr:uid="{00000000-0005-0000-0000-00001B050000}"/>
    <cellStyle name="20% - Accent1 3 2 2 2 4 2" xfId="11258" xr:uid="{00000000-0005-0000-0000-00001C050000}"/>
    <cellStyle name="20% - Accent1 3 2 2 2 4 3" xfId="18359" xr:uid="{00000000-0005-0000-0000-00001D050000}"/>
    <cellStyle name="20% - Accent1 3 2 2 2 4 4" xfId="25461" xr:uid="{00000000-0005-0000-0000-00001E050000}"/>
    <cellStyle name="20% - Accent1 3 2 2 2 4 5" xfId="32563" xr:uid="{00000000-0005-0000-0000-00001F050000}"/>
    <cellStyle name="20% - Accent1 3 2 2 2 5" xfId="8418" xr:uid="{00000000-0005-0000-0000-000020050000}"/>
    <cellStyle name="20% - Accent1 3 2 2 2 6" xfId="15519" xr:uid="{00000000-0005-0000-0000-000021050000}"/>
    <cellStyle name="20% - Accent1 3 2 2 2 7" xfId="22621" xr:uid="{00000000-0005-0000-0000-000022050000}"/>
    <cellStyle name="20% - Accent1 3 2 2 2 8" xfId="29723" xr:uid="{00000000-0005-0000-0000-000023050000}"/>
    <cellStyle name="20% - Accent1 3 2 2 2 9" xfId="36078" xr:uid="{00000000-0005-0000-0000-000024050000}"/>
    <cellStyle name="20% - Accent1 3 2 2 3" xfId="1949" xr:uid="{00000000-0005-0000-0000-000025050000}"/>
    <cellStyle name="20% - Accent1 3 2 2 3 2" xfId="6217" xr:uid="{00000000-0005-0000-0000-000026050000}"/>
    <cellStyle name="20% - Accent1 3 2 2 3 2 2" xfId="13317" xr:uid="{00000000-0005-0000-0000-000027050000}"/>
    <cellStyle name="20% - Accent1 3 2 2 3 2 3" xfId="20418" xr:uid="{00000000-0005-0000-0000-000028050000}"/>
    <cellStyle name="20% - Accent1 3 2 2 3 2 4" xfId="27520" xr:uid="{00000000-0005-0000-0000-000029050000}"/>
    <cellStyle name="20% - Accent1 3 2 2 3 2 5" xfId="34622" xr:uid="{00000000-0005-0000-0000-00002A050000}"/>
    <cellStyle name="20% - Accent1 3 2 2 3 2 6" xfId="36079" xr:uid="{00000000-0005-0000-0000-00002B050000}"/>
    <cellStyle name="20% - Accent1 3 2 2 3 3" xfId="9057" xr:uid="{00000000-0005-0000-0000-00002C050000}"/>
    <cellStyle name="20% - Accent1 3 2 2 3 4" xfId="16158" xr:uid="{00000000-0005-0000-0000-00002D050000}"/>
    <cellStyle name="20% - Accent1 3 2 2 3 5" xfId="23260" xr:uid="{00000000-0005-0000-0000-00002E050000}"/>
    <cellStyle name="20% - Accent1 3 2 2 3 6" xfId="30362" xr:uid="{00000000-0005-0000-0000-00002F050000}"/>
    <cellStyle name="20% - Accent1 3 2 2 3 7" xfId="36080" xr:uid="{00000000-0005-0000-0000-000030050000}"/>
    <cellStyle name="20% - Accent1 3 2 2 4" xfId="4796" xr:uid="{00000000-0005-0000-0000-000031050000}"/>
    <cellStyle name="20% - Accent1 3 2 2 4 2" xfId="11897" xr:uid="{00000000-0005-0000-0000-000032050000}"/>
    <cellStyle name="20% - Accent1 3 2 2 4 3" xfId="18998" xr:uid="{00000000-0005-0000-0000-000033050000}"/>
    <cellStyle name="20% - Accent1 3 2 2 4 4" xfId="26100" xr:uid="{00000000-0005-0000-0000-000034050000}"/>
    <cellStyle name="20% - Accent1 3 2 2 4 5" xfId="33202" xr:uid="{00000000-0005-0000-0000-000035050000}"/>
    <cellStyle name="20% - Accent1 3 2 2 4 6" xfId="36081" xr:uid="{00000000-0005-0000-0000-000036050000}"/>
    <cellStyle name="20% - Accent1 3 2 2 5" xfId="3371" xr:uid="{00000000-0005-0000-0000-000037050000}"/>
    <cellStyle name="20% - Accent1 3 2 2 5 2" xfId="10477" xr:uid="{00000000-0005-0000-0000-000038050000}"/>
    <cellStyle name="20% - Accent1 3 2 2 5 3" xfId="17578" xr:uid="{00000000-0005-0000-0000-000039050000}"/>
    <cellStyle name="20% - Accent1 3 2 2 5 4" xfId="24680" xr:uid="{00000000-0005-0000-0000-00003A050000}"/>
    <cellStyle name="20% - Accent1 3 2 2 5 5" xfId="31782" xr:uid="{00000000-0005-0000-0000-00003B050000}"/>
    <cellStyle name="20% - Accent1 3 2 2 6" xfId="7637" xr:uid="{00000000-0005-0000-0000-00003C050000}"/>
    <cellStyle name="20% - Accent1 3 2 2 7" xfId="14738" xr:uid="{00000000-0005-0000-0000-00003D050000}"/>
    <cellStyle name="20% - Accent1 3 2 2 8" xfId="21840" xr:uid="{00000000-0005-0000-0000-00003E050000}"/>
    <cellStyle name="20% - Accent1 3 2 2 9" xfId="28942" xr:uid="{00000000-0005-0000-0000-00003F050000}"/>
    <cellStyle name="20% - Accent1 3 2 3" xfId="671" xr:uid="{00000000-0005-0000-0000-000040050000}"/>
    <cellStyle name="20% - Accent1 3 2 3 2" xfId="2162" xr:uid="{00000000-0005-0000-0000-000041050000}"/>
    <cellStyle name="20% - Accent1 3 2 3 2 2" xfId="6430" xr:uid="{00000000-0005-0000-0000-000042050000}"/>
    <cellStyle name="20% - Accent1 3 2 3 2 2 2" xfId="13530" xr:uid="{00000000-0005-0000-0000-000043050000}"/>
    <cellStyle name="20% - Accent1 3 2 3 2 2 3" xfId="20631" xr:uid="{00000000-0005-0000-0000-000044050000}"/>
    <cellStyle name="20% - Accent1 3 2 3 2 2 4" xfId="27733" xr:uid="{00000000-0005-0000-0000-000045050000}"/>
    <cellStyle name="20% - Accent1 3 2 3 2 2 5" xfId="34835" xr:uid="{00000000-0005-0000-0000-000046050000}"/>
    <cellStyle name="20% - Accent1 3 2 3 2 2 6" xfId="36082" xr:uid="{00000000-0005-0000-0000-000047050000}"/>
    <cellStyle name="20% - Accent1 3 2 3 2 3" xfId="9270" xr:uid="{00000000-0005-0000-0000-000048050000}"/>
    <cellStyle name="20% - Accent1 3 2 3 2 4" xfId="16371" xr:uid="{00000000-0005-0000-0000-000049050000}"/>
    <cellStyle name="20% - Accent1 3 2 3 2 5" xfId="23473" xr:uid="{00000000-0005-0000-0000-00004A050000}"/>
    <cellStyle name="20% - Accent1 3 2 3 2 6" xfId="30575" xr:uid="{00000000-0005-0000-0000-00004B050000}"/>
    <cellStyle name="20% - Accent1 3 2 3 2 7" xfId="36083" xr:uid="{00000000-0005-0000-0000-00004C050000}"/>
    <cellStyle name="20% - Accent1 3 2 3 3" xfId="5009" xr:uid="{00000000-0005-0000-0000-00004D050000}"/>
    <cellStyle name="20% - Accent1 3 2 3 3 2" xfId="12110" xr:uid="{00000000-0005-0000-0000-00004E050000}"/>
    <cellStyle name="20% - Accent1 3 2 3 3 2 2" xfId="36084" xr:uid="{00000000-0005-0000-0000-00004F050000}"/>
    <cellStyle name="20% - Accent1 3 2 3 3 3" xfId="19211" xr:uid="{00000000-0005-0000-0000-000050050000}"/>
    <cellStyle name="20% - Accent1 3 2 3 3 4" xfId="26313" xr:uid="{00000000-0005-0000-0000-000051050000}"/>
    <cellStyle name="20% - Accent1 3 2 3 3 5" xfId="33415" xr:uid="{00000000-0005-0000-0000-000052050000}"/>
    <cellStyle name="20% - Accent1 3 2 3 3 6" xfId="36085" xr:uid="{00000000-0005-0000-0000-000053050000}"/>
    <cellStyle name="20% - Accent1 3 2 3 4" xfId="3584" xr:uid="{00000000-0005-0000-0000-000054050000}"/>
    <cellStyle name="20% - Accent1 3 2 3 4 2" xfId="10690" xr:uid="{00000000-0005-0000-0000-000055050000}"/>
    <cellStyle name="20% - Accent1 3 2 3 4 3" xfId="17791" xr:uid="{00000000-0005-0000-0000-000056050000}"/>
    <cellStyle name="20% - Accent1 3 2 3 4 4" xfId="24893" xr:uid="{00000000-0005-0000-0000-000057050000}"/>
    <cellStyle name="20% - Accent1 3 2 3 4 5" xfId="31995" xr:uid="{00000000-0005-0000-0000-000058050000}"/>
    <cellStyle name="20% - Accent1 3 2 3 4 6" xfId="36086" xr:uid="{00000000-0005-0000-0000-000059050000}"/>
    <cellStyle name="20% - Accent1 3 2 3 5" xfId="7850" xr:uid="{00000000-0005-0000-0000-00005A050000}"/>
    <cellStyle name="20% - Accent1 3 2 3 6" xfId="14951" xr:uid="{00000000-0005-0000-0000-00005B050000}"/>
    <cellStyle name="20% - Accent1 3 2 3 7" xfId="22053" xr:uid="{00000000-0005-0000-0000-00005C050000}"/>
    <cellStyle name="20% - Accent1 3 2 3 8" xfId="29155" xr:uid="{00000000-0005-0000-0000-00005D050000}"/>
    <cellStyle name="20% - Accent1 3 2 3 9" xfId="36087" xr:uid="{00000000-0005-0000-0000-00005E050000}"/>
    <cellStyle name="20% - Accent1 3 2 4" xfId="884" xr:uid="{00000000-0005-0000-0000-00005F050000}"/>
    <cellStyle name="20% - Accent1 3 2 4 2" xfId="2375" xr:uid="{00000000-0005-0000-0000-000060050000}"/>
    <cellStyle name="20% - Accent1 3 2 4 2 2" xfId="6643" xr:uid="{00000000-0005-0000-0000-000061050000}"/>
    <cellStyle name="20% - Accent1 3 2 4 2 2 2" xfId="13743" xr:uid="{00000000-0005-0000-0000-000062050000}"/>
    <cellStyle name="20% - Accent1 3 2 4 2 2 3" xfId="20844" xr:uid="{00000000-0005-0000-0000-000063050000}"/>
    <cellStyle name="20% - Accent1 3 2 4 2 2 4" xfId="27946" xr:uid="{00000000-0005-0000-0000-000064050000}"/>
    <cellStyle name="20% - Accent1 3 2 4 2 2 5" xfId="35048" xr:uid="{00000000-0005-0000-0000-000065050000}"/>
    <cellStyle name="20% - Accent1 3 2 4 2 2 6" xfId="36088" xr:uid="{00000000-0005-0000-0000-000066050000}"/>
    <cellStyle name="20% - Accent1 3 2 4 2 3" xfId="9483" xr:uid="{00000000-0005-0000-0000-000067050000}"/>
    <cellStyle name="20% - Accent1 3 2 4 2 4" xfId="16584" xr:uid="{00000000-0005-0000-0000-000068050000}"/>
    <cellStyle name="20% - Accent1 3 2 4 2 5" xfId="23686" xr:uid="{00000000-0005-0000-0000-000069050000}"/>
    <cellStyle name="20% - Accent1 3 2 4 2 6" xfId="30788" xr:uid="{00000000-0005-0000-0000-00006A050000}"/>
    <cellStyle name="20% - Accent1 3 2 4 2 7" xfId="36089" xr:uid="{00000000-0005-0000-0000-00006B050000}"/>
    <cellStyle name="20% - Accent1 3 2 4 3" xfId="5222" xr:uid="{00000000-0005-0000-0000-00006C050000}"/>
    <cellStyle name="20% - Accent1 3 2 4 3 2" xfId="12323" xr:uid="{00000000-0005-0000-0000-00006D050000}"/>
    <cellStyle name="20% - Accent1 3 2 4 3 2 2" xfId="36090" xr:uid="{00000000-0005-0000-0000-00006E050000}"/>
    <cellStyle name="20% - Accent1 3 2 4 3 3" xfId="19424" xr:uid="{00000000-0005-0000-0000-00006F050000}"/>
    <cellStyle name="20% - Accent1 3 2 4 3 4" xfId="26526" xr:uid="{00000000-0005-0000-0000-000070050000}"/>
    <cellStyle name="20% - Accent1 3 2 4 3 5" xfId="33628" xr:uid="{00000000-0005-0000-0000-000071050000}"/>
    <cellStyle name="20% - Accent1 3 2 4 3 6" xfId="36091" xr:uid="{00000000-0005-0000-0000-000072050000}"/>
    <cellStyle name="20% - Accent1 3 2 4 4" xfId="3797" xr:uid="{00000000-0005-0000-0000-000073050000}"/>
    <cellStyle name="20% - Accent1 3 2 4 4 2" xfId="10903" xr:uid="{00000000-0005-0000-0000-000074050000}"/>
    <cellStyle name="20% - Accent1 3 2 4 4 3" xfId="18004" xr:uid="{00000000-0005-0000-0000-000075050000}"/>
    <cellStyle name="20% - Accent1 3 2 4 4 4" xfId="25106" xr:uid="{00000000-0005-0000-0000-000076050000}"/>
    <cellStyle name="20% - Accent1 3 2 4 4 5" xfId="32208" xr:uid="{00000000-0005-0000-0000-000077050000}"/>
    <cellStyle name="20% - Accent1 3 2 4 4 6" xfId="36092" xr:uid="{00000000-0005-0000-0000-000078050000}"/>
    <cellStyle name="20% - Accent1 3 2 4 5" xfId="8063" xr:uid="{00000000-0005-0000-0000-000079050000}"/>
    <cellStyle name="20% - Accent1 3 2 4 6" xfId="15164" xr:uid="{00000000-0005-0000-0000-00007A050000}"/>
    <cellStyle name="20% - Accent1 3 2 4 7" xfId="22266" xr:uid="{00000000-0005-0000-0000-00007B050000}"/>
    <cellStyle name="20% - Accent1 3 2 4 8" xfId="29368" xr:uid="{00000000-0005-0000-0000-00007C050000}"/>
    <cellStyle name="20% - Accent1 3 2 4 9" xfId="36093" xr:uid="{00000000-0005-0000-0000-00007D050000}"/>
    <cellStyle name="20% - Accent1 3 2 5" xfId="1026" xr:uid="{00000000-0005-0000-0000-00007E050000}"/>
    <cellStyle name="20% - Accent1 3 2 5 2" xfId="2517" xr:uid="{00000000-0005-0000-0000-00007F050000}"/>
    <cellStyle name="20% - Accent1 3 2 5 2 2" xfId="6785" xr:uid="{00000000-0005-0000-0000-000080050000}"/>
    <cellStyle name="20% - Accent1 3 2 5 2 2 2" xfId="13885" xr:uid="{00000000-0005-0000-0000-000081050000}"/>
    <cellStyle name="20% - Accent1 3 2 5 2 2 3" xfId="20986" xr:uid="{00000000-0005-0000-0000-000082050000}"/>
    <cellStyle name="20% - Accent1 3 2 5 2 2 4" xfId="28088" xr:uid="{00000000-0005-0000-0000-000083050000}"/>
    <cellStyle name="20% - Accent1 3 2 5 2 2 5" xfId="35190" xr:uid="{00000000-0005-0000-0000-000084050000}"/>
    <cellStyle name="20% - Accent1 3 2 5 2 3" xfId="9625" xr:uid="{00000000-0005-0000-0000-000085050000}"/>
    <cellStyle name="20% - Accent1 3 2 5 2 4" xfId="16726" xr:uid="{00000000-0005-0000-0000-000086050000}"/>
    <cellStyle name="20% - Accent1 3 2 5 2 5" xfId="23828" xr:uid="{00000000-0005-0000-0000-000087050000}"/>
    <cellStyle name="20% - Accent1 3 2 5 2 6" xfId="30930" xr:uid="{00000000-0005-0000-0000-000088050000}"/>
    <cellStyle name="20% - Accent1 3 2 5 2 7" xfId="36094" xr:uid="{00000000-0005-0000-0000-000089050000}"/>
    <cellStyle name="20% - Accent1 3 2 5 3" xfId="5364" xr:uid="{00000000-0005-0000-0000-00008A050000}"/>
    <cellStyle name="20% - Accent1 3 2 5 3 2" xfId="12465" xr:uid="{00000000-0005-0000-0000-00008B050000}"/>
    <cellStyle name="20% - Accent1 3 2 5 3 3" xfId="19566" xr:uid="{00000000-0005-0000-0000-00008C050000}"/>
    <cellStyle name="20% - Accent1 3 2 5 3 4" xfId="26668" xr:uid="{00000000-0005-0000-0000-00008D050000}"/>
    <cellStyle name="20% - Accent1 3 2 5 3 5" xfId="33770" xr:uid="{00000000-0005-0000-0000-00008E050000}"/>
    <cellStyle name="20% - Accent1 3 2 5 4" xfId="3939" xr:uid="{00000000-0005-0000-0000-00008F050000}"/>
    <cellStyle name="20% - Accent1 3 2 5 4 2" xfId="11045" xr:uid="{00000000-0005-0000-0000-000090050000}"/>
    <cellStyle name="20% - Accent1 3 2 5 4 3" xfId="18146" xr:uid="{00000000-0005-0000-0000-000091050000}"/>
    <cellStyle name="20% - Accent1 3 2 5 4 4" xfId="25248" xr:uid="{00000000-0005-0000-0000-000092050000}"/>
    <cellStyle name="20% - Accent1 3 2 5 4 5" xfId="32350" xr:uid="{00000000-0005-0000-0000-000093050000}"/>
    <cellStyle name="20% - Accent1 3 2 5 5" xfId="8205" xr:uid="{00000000-0005-0000-0000-000094050000}"/>
    <cellStyle name="20% - Accent1 3 2 5 6" xfId="15306" xr:uid="{00000000-0005-0000-0000-000095050000}"/>
    <cellStyle name="20% - Accent1 3 2 5 7" xfId="22408" xr:uid="{00000000-0005-0000-0000-000096050000}"/>
    <cellStyle name="20% - Accent1 3 2 5 8" xfId="29510" xr:uid="{00000000-0005-0000-0000-000097050000}"/>
    <cellStyle name="20% - Accent1 3 2 5 9" xfId="36095" xr:uid="{00000000-0005-0000-0000-000098050000}"/>
    <cellStyle name="20% - Accent1 3 2 6" xfId="1452" xr:uid="{00000000-0005-0000-0000-000099050000}"/>
    <cellStyle name="20% - Accent1 3 2 6 2" xfId="2943" xr:uid="{00000000-0005-0000-0000-00009A050000}"/>
    <cellStyle name="20% - Accent1 3 2 6 2 2" xfId="7211" xr:uid="{00000000-0005-0000-0000-00009B050000}"/>
    <cellStyle name="20% - Accent1 3 2 6 2 2 2" xfId="14311" xr:uid="{00000000-0005-0000-0000-00009C050000}"/>
    <cellStyle name="20% - Accent1 3 2 6 2 2 3" xfId="21412" xr:uid="{00000000-0005-0000-0000-00009D050000}"/>
    <cellStyle name="20% - Accent1 3 2 6 2 2 4" xfId="28514" xr:uid="{00000000-0005-0000-0000-00009E050000}"/>
    <cellStyle name="20% - Accent1 3 2 6 2 2 5" xfId="35616" xr:uid="{00000000-0005-0000-0000-00009F050000}"/>
    <cellStyle name="20% - Accent1 3 2 6 2 3" xfId="10051" xr:uid="{00000000-0005-0000-0000-0000A0050000}"/>
    <cellStyle name="20% - Accent1 3 2 6 2 4" xfId="17152" xr:uid="{00000000-0005-0000-0000-0000A1050000}"/>
    <cellStyle name="20% - Accent1 3 2 6 2 5" xfId="24254" xr:uid="{00000000-0005-0000-0000-0000A2050000}"/>
    <cellStyle name="20% - Accent1 3 2 6 2 6" xfId="31356" xr:uid="{00000000-0005-0000-0000-0000A3050000}"/>
    <cellStyle name="20% - Accent1 3 2 6 2 7" xfId="36096" xr:uid="{00000000-0005-0000-0000-0000A4050000}"/>
    <cellStyle name="20% - Accent1 3 2 6 3" xfId="5790" xr:uid="{00000000-0005-0000-0000-0000A5050000}"/>
    <cellStyle name="20% - Accent1 3 2 6 3 2" xfId="12891" xr:uid="{00000000-0005-0000-0000-0000A6050000}"/>
    <cellStyle name="20% - Accent1 3 2 6 3 3" xfId="19992" xr:uid="{00000000-0005-0000-0000-0000A7050000}"/>
    <cellStyle name="20% - Accent1 3 2 6 3 4" xfId="27094" xr:uid="{00000000-0005-0000-0000-0000A8050000}"/>
    <cellStyle name="20% - Accent1 3 2 6 3 5" xfId="34196" xr:uid="{00000000-0005-0000-0000-0000A9050000}"/>
    <cellStyle name="20% - Accent1 3 2 6 4" xfId="4365" xr:uid="{00000000-0005-0000-0000-0000AA050000}"/>
    <cellStyle name="20% - Accent1 3 2 6 4 2" xfId="11471" xr:uid="{00000000-0005-0000-0000-0000AB050000}"/>
    <cellStyle name="20% - Accent1 3 2 6 4 3" xfId="18572" xr:uid="{00000000-0005-0000-0000-0000AC050000}"/>
    <cellStyle name="20% - Accent1 3 2 6 4 4" xfId="25674" xr:uid="{00000000-0005-0000-0000-0000AD050000}"/>
    <cellStyle name="20% - Accent1 3 2 6 4 5" xfId="32776" xr:uid="{00000000-0005-0000-0000-0000AE050000}"/>
    <cellStyle name="20% - Accent1 3 2 6 5" xfId="8631" xr:uid="{00000000-0005-0000-0000-0000AF050000}"/>
    <cellStyle name="20% - Accent1 3 2 6 6" xfId="15732" xr:uid="{00000000-0005-0000-0000-0000B0050000}"/>
    <cellStyle name="20% - Accent1 3 2 6 7" xfId="22834" xr:uid="{00000000-0005-0000-0000-0000B1050000}"/>
    <cellStyle name="20% - Accent1 3 2 6 8" xfId="29936" xr:uid="{00000000-0005-0000-0000-0000B2050000}"/>
    <cellStyle name="20% - Accent1 3 2 6 9" xfId="36097" xr:uid="{00000000-0005-0000-0000-0000B3050000}"/>
    <cellStyle name="20% - Accent1 3 2 7" xfId="1736" xr:uid="{00000000-0005-0000-0000-0000B4050000}"/>
    <cellStyle name="20% - Accent1 3 2 7 2" xfId="6004" xr:uid="{00000000-0005-0000-0000-0000B5050000}"/>
    <cellStyle name="20% - Accent1 3 2 7 2 2" xfId="13104" xr:uid="{00000000-0005-0000-0000-0000B6050000}"/>
    <cellStyle name="20% - Accent1 3 2 7 2 3" xfId="20205" xr:uid="{00000000-0005-0000-0000-0000B7050000}"/>
    <cellStyle name="20% - Accent1 3 2 7 2 4" xfId="27307" xr:uid="{00000000-0005-0000-0000-0000B8050000}"/>
    <cellStyle name="20% - Accent1 3 2 7 2 5" xfId="34409" xr:uid="{00000000-0005-0000-0000-0000B9050000}"/>
    <cellStyle name="20% - Accent1 3 2 7 3" xfId="8844" xr:uid="{00000000-0005-0000-0000-0000BA050000}"/>
    <cellStyle name="20% - Accent1 3 2 7 4" xfId="15945" xr:uid="{00000000-0005-0000-0000-0000BB050000}"/>
    <cellStyle name="20% - Accent1 3 2 7 5" xfId="23047" xr:uid="{00000000-0005-0000-0000-0000BC050000}"/>
    <cellStyle name="20% - Accent1 3 2 7 6" xfId="30149" xr:uid="{00000000-0005-0000-0000-0000BD050000}"/>
    <cellStyle name="20% - Accent1 3 2 7 7" xfId="36098" xr:uid="{00000000-0005-0000-0000-0000BE050000}"/>
    <cellStyle name="20% - Accent1 3 2 8" xfId="4583" xr:uid="{00000000-0005-0000-0000-0000BF050000}"/>
    <cellStyle name="20% - Accent1 3 2 8 2" xfId="11684" xr:uid="{00000000-0005-0000-0000-0000C0050000}"/>
    <cellStyle name="20% - Accent1 3 2 8 3" xfId="18785" xr:uid="{00000000-0005-0000-0000-0000C1050000}"/>
    <cellStyle name="20% - Accent1 3 2 8 4" xfId="25887" xr:uid="{00000000-0005-0000-0000-0000C2050000}"/>
    <cellStyle name="20% - Accent1 3 2 8 5" xfId="32989" xr:uid="{00000000-0005-0000-0000-0000C3050000}"/>
    <cellStyle name="20% - Accent1 3 2 9" xfId="3158" xr:uid="{00000000-0005-0000-0000-0000C4050000}"/>
    <cellStyle name="20% - Accent1 3 2 9 2" xfId="10264" xr:uid="{00000000-0005-0000-0000-0000C5050000}"/>
    <cellStyle name="20% - Accent1 3 2 9 3" xfId="17365" xr:uid="{00000000-0005-0000-0000-0000C6050000}"/>
    <cellStyle name="20% - Accent1 3 2 9 4" xfId="24467" xr:uid="{00000000-0005-0000-0000-0000C7050000}"/>
    <cellStyle name="20% - Accent1 3 2 9 5" xfId="31569" xr:uid="{00000000-0005-0000-0000-0000C8050000}"/>
    <cellStyle name="20% - Accent1 3 3" xfId="174" xr:uid="{00000000-0005-0000-0000-0000C9050000}"/>
    <cellStyle name="20% - Accent1 3 3 10" xfId="7353" xr:uid="{00000000-0005-0000-0000-0000CA050000}"/>
    <cellStyle name="20% - Accent1 3 3 11" xfId="14454" xr:uid="{00000000-0005-0000-0000-0000CB050000}"/>
    <cellStyle name="20% - Accent1 3 3 12" xfId="21556" xr:uid="{00000000-0005-0000-0000-0000CC050000}"/>
    <cellStyle name="20% - Accent1 3 3 13" xfId="28658" xr:uid="{00000000-0005-0000-0000-0000CD050000}"/>
    <cellStyle name="20% - Accent1 3 3 14" xfId="35760" xr:uid="{00000000-0005-0000-0000-0000CE050000}"/>
    <cellStyle name="20% - Accent1 3 3 15" xfId="36099" xr:uid="{00000000-0005-0000-0000-0000CF050000}"/>
    <cellStyle name="20% - Accent1 3 3 2" xfId="387" xr:uid="{00000000-0005-0000-0000-0000D0050000}"/>
    <cellStyle name="20% - Accent1 3 3 2 2" xfId="1878" xr:uid="{00000000-0005-0000-0000-0000D1050000}"/>
    <cellStyle name="20% - Accent1 3 3 2 2 2" xfId="6146" xr:uid="{00000000-0005-0000-0000-0000D2050000}"/>
    <cellStyle name="20% - Accent1 3 3 2 2 2 2" xfId="13246" xr:uid="{00000000-0005-0000-0000-0000D3050000}"/>
    <cellStyle name="20% - Accent1 3 3 2 2 2 3" xfId="20347" xr:uid="{00000000-0005-0000-0000-0000D4050000}"/>
    <cellStyle name="20% - Accent1 3 3 2 2 2 4" xfId="27449" xr:uid="{00000000-0005-0000-0000-0000D5050000}"/>
    <cellStyle name="20% - Accent1 3 3 2 2 2 5" xfId="34551" xr:uid="{00000000-0005-0000-0000-0000D6050000}"/>
    <cellStyle name="20% - Accent1 3 3 2 2 2 6" xfId="36100" xr:uid="{00000000-0005-0000-0000-0000D7050000}"/>
    <cellStyle name="20% - Accent1 3 3 2 2 3" xfId="8986" xr:uid="{00000000-0005-0000-0000-0000D8050000}"/>
    <cellStyle name="20% - Accent1 3 3 2 2 4" xfId="16087" xr:uid="{00000000-0005-0000-0000-0000D9050000}"/>
    <cellStyle name="20% - Accent1 3 3 2 2 5" xfId="23189" xr:uid="{00000000-0005-0000-0000-0000DA050000}"/>
    <cellStyle name="20% - Accent1 3 3 2 2 6" xfId="30291" xr:uid="{00000000-0005-0000-0000-0000DB050000}"/>
    <cellStyle name="20% - Accent1 3 3 2 2 7" xfId="36101" xr:uid="{00000000-0005-0000-0000-0000DC050000}"/>
    <cellStyle name="20% - Accent1 3 3 2 3" xfId="4725" xr:uid="{00000000-0005-0000-0000-0000DD050000}"/>
    <cellStyle name="20% - Accent1 3 3 2 3 2" xfId="11826" xr:uid="{00000000-0005-0000-0000-0000DE050000}"/>
    <cellStyle name="20% - Accent1 3 3 2 3 2 2" xfId="36102" xr:uid="{00000000-0005-0000-0000-0000DF050000}"/>
    <cellStyle name="20% - Accent1 3 3 2 3 3" xfId="18927" xr:uid="{00000000-0005-0000-0000-0000E0050000}"/>
    <cellStyle name="20% - Accent1 3 3 2 3 4" xfId="26029" xr:uid="{00000000-0005-0000-0000-0000E1050000}"/>
    <cellStyle name="20% - Accent1 3 3 2 3 5" xfId="33131" xr:uid="{00000000-0005-0000-0000-0000E2050000}"/>
    <cellStyle name="20% - Accent1 3 3 2 3 6" xfId="36103" xr:uid="{00000000-0005-0000-0000-0000E3050000}"/>
    <cellStyle name="20% - Accent1 3 3 2 4" xfId="3300" xr:uid="{00000000-0005-0000-0000-0000E4050000}"/>
    <cellStyle name="20% - Accent1 3 3 2 4 2" xfId="10406" xr:uid="{00000000-0005-0000-0000-0000E5050000}"/>
    <cellStyle name="20% - Accent1 3 3 2 4 3" xfId="17507" xr:uid="{00000000-0005-0000-0000-0000E6050000}"/>
    <cellStyle name="20% - Accent1 3 3 2 4 4" xfId="24609" xr:uid="{00000000-0005-0000-0000-0000E7050000}"/>
    <cellStyle name="20% - Accent1 3 3 2 4 5" xfId="31711" xr:uid="{00000000-0005-0000-0000-0000E8050000}"/>
    <cellStyle name="20% - Accent1 3 3 2 4 6" xfId="36104" xr:uid="{00000000-0005-0000-0000-0000E9050000}"/>
    <cellStyle name="20% - Accent1 3 3 2 5" xfId="7566" xr:uid="{00000000-0005-0000-0000-0000EA050000}"/>
    <cellStyle name="20% - Accent1 3 3 2 6" xfId="14667" xr:uid="{00000000-0005-0000-0000-0000EB050000}"/>
    <cellStyle name="20% - Accent1 3 3 2 7" xfId="21769" xr:uid="{00000000-0005-0000-0000-0000EC050000}"/>
    <cellStyle name="20% - Accent1 3 3 2 8" xfId="28871" xr:uid="{00000000-0005-0000-0000-0000ED050000}"/>
    <cellStyle name="20% - Accent1 3 3 2 9" xfId="36105" xr:uid="{00000000-0005-0000-0000-0000EE050000}"/>
    <cellStyle name="20% - Accent1 3 3 3" xfId="600" xr:uid="{00000000-0005-0000-0000-0000EF050000}"/>
    <cellStyle name="20% - Accent1 3 3 3 2" xfId="2091" xr:uid="{00000000-0005-0000-0000-0000F0050000}"/>
    <cellStyle name="20% - Accent1 3 3 3 2 2" xfId="6359" xr:uid="{00000000-0005-0000-0000-0000F1050000}"/>
    <cellStyle name="20% - Accent1 3 3 3 2 2 2" xfId="13459" xr:uid="{00000000-0005-0000-0000-0000F2050000}"/>
    <cellStyle name="20% - Accent1 3 3 3 2 2 3" xfId="20560" xr:uid="{00000000-0005-0000-0000-0000F3050000}"/>
    <cellStyle name="20% - Accent1 3 3 3 2 2 4" xfId="27662" xr:uid="{00000000-0005-0000-0000-0000F4050000}"/>
    <cellStyle name="20% - Accent1 3 3 3 2 2 5" xfId="34764" xr:uid="{00000000-0005-0000-0000-0000F5050000}"/>
    <cellStyle name="20% - Accent1 3 3 3 2 2 6" xfId="36106" xr:uid="{00000000-0005-0000-0000-0000F6050000}"/>
    <cellStyle name="20% - Accent1 3 3 3 2 3" xfId="9199" xr:uid="{00000000-0005-0000-0000-0000F7050000}"/>
    <cellStyle name="20% - Accent1 3 3 3 2 4" xfId="16300" xr:uid="{00000000-0005-0000-0000-0000F8050000}"/>
    <cellStyle name="20% - Accent1 3 3 3 2 5" xfId="23402" xr:uid="{00000000-0005-0000-0000-0000F9050000}"/>
    <cellStyle name="20% - Accent1 3 3 3 2 6" xfId="30504" xr:uid="{00000000-0005-0000-0000-0000FA050000}"/>
    <cellStyle name="20% - Accent1 3 3 3 2 7" xfId="36107" xr:uid="{00000000-0005-0000-0000-0000FB050000}"/>
    <cellStyle name="20% - Accent1 3 3 3 3" xfId="4938" xr:uid="{00000000-0005-0000-0000-0000FC050000}"/>
    <cellStyle name="20% - Accent1 3 3 3 3 2" xfId="12039" xr:uid="{00000000-0005-0000-0000-0000FD050000}"/>
    <cellStyle name="20% - Accent1 3 3 3 3 2 2" xfId="36108" xr:uid="{00000000-0005-0000-0000-0000FE050000}"/>
    <cellStyle name="20% - Accent1 3 3 3 3 3" xfId="19140" xr:uid="{00000000-0005-0000-0000-0000FF050000}"/>
    <cellStyle name="20% - Accent1 3 3 3 3 4" xfId="26242" xr:uid="{00000000-0005-0000-0000-000000060000}"/>
    <cellStyle name="20% - Accent1 3 3 3 3 5" xfId="33344" xr:uid="{00000000-0005-0000-0000-000001060000}"/>
    <cellStyle name="20% - Accent1 3 3 3 3 6" xfId="36109" xr:uid="{00000000-0005-0000-0000-000002060000}"/>
    <cellStyle name="20% - Accent1 3 3 3 4" xfId="3513" xr:uid="{00000000-0005-0000-0000-000003060000}"/>
    <cellStyle name="20% - Accent1 3 3 3 4 2" xfId="10619" xr:uid="{00000000-0005-0000-0000-000004060000}"/>
    <cellStyle name="20% - Accent1 3 3 3 4 3" xfId="17720" xr:uid="{00000000-0005-0000-0000-000005060000}"/>
    <cellStyle name="20% - Accent1 3 3 3 4 4" xfId="24822" xr:uid="{00000000-0005-0000-0000-000006060000}"/>
    <cellStyle name="20% - Accent1 3 3 3 4 5" xfId="31924" xr:uid="{00000000-0005-0000-0000-000007060000}"/>
    <cellStyle name="20% - Accent1 3 3 3 4 6" xfId="36110" xr:uid="{00000000-0005-0000-0000-000008060000}"/>
    <cellStyle name="20% - Accent1 3 3 3 5" xfId="7779" xr:uid="{00000000-0005-0000-0000-000009060000}"/>
    <cellStyle name="20% - Accent1 3 3 3 6" xfId="14880" xr:uid="{00000000-0005-0000-0000-00000A060000}"/>
    <cellStyle name="20% - Accent1 3 3 3 7" xfId="21982" xr:uid="{00000000-0005-0000-0000-00000B060000}"/>
    <cellStyle name="20% - Accent1 3 3 3 8" xfId="29084" xr:uid="{00000000-0005-0000-0000-00000C060000}"/>
    <cellStyle name="20% - Accent1 3 3 3 9" xfId="36111" xr:uid="{00000000-0005-0000-0000-00000D060000}"/>
    <cellStyle name="20% - Accent1 3 3 4" xfId="813" xr:uid="{00000000-0005-0000-0000-00000E060000}"/>
    <cellStyle name="20% - Accent1 3 3 4 2" xfId="2304" xr:uid="{00000000-0005-0000-0000-00000F060000}"/>
    <cellStyle name="20% - Accent1 3 3 4 2 2" xfId="6572" xr:uid="{00000000-0005-0000-0000-000010060000}"/>
    <cellStyle name="20% - Accent1 3 3 4 2 2 2" xfId="13672" xr:uid="{00000000-0005-0000-0000-000011060000}"/>
    <cellStyle name="20% - Accent1 3 3 4 2 2 3" xfId="20773" xr:uid="{00000000-0005-0000-0000-000012060000}"/>
    <cellStyle name="20% - Accent1 3 3 4 2 2 4" xfId="27875" xr:uid="{00000000-0005-0000-0000-000013060000}"/>
    <cellStyle name="20% - Accent1 3 3 4 2 2 5" xfId="34977" xr:uid="{00000000-0005-0000-0000-000014060000}"/>
    <cellStyle name="20% - Accent1 3 3 4 2 2 6" xfId="36112" xr:uid="{00000000-0005-0000-0000-000015060000}"/>
    <cellStyle name="20% - Accent1 3 3 4 2 3" xfId="9412" xr:uid="{00000000-0005-0000-0000-000016060000}"/>
    <cellStyle name="20% - Accent1 3 3 4 2 4" xfId="16513" xr:uid="{00000000-0005-0000-0000-000017060000}"/>
    <cellStyle name="20% - Accent1 3 3 4 2 5" xfId="23615" xr:uid="{00000000-0005-0000-0000-000018060000}"/>
    <cellStyle name="20% - Accent1 3 3 4 2 6" xfId="30717" xr:uid="{00000000-0005-0000-0000-000019060000}"/>
    <cellStyle name="20% - Accent1 3 3 4 2 7" xfId="36113" xr:uid="{00000000-0005-0000-0000-00001A060000}"/>
    <cellStyle name="20% - Accent1 3 3 4 3" xfId="5151" xr:uid="{00000000-0005-0000-0000-00001B060000}"/>
    <cellStyle name="20% - Accent1 3 3 4 3 2" xfId="12252" xr:uid="{00000000-0005-0000-0000-00001C060000}"/>
    <cellStyle name="20% - Accent1 3 3 4 3 2 2" xfId="36114" xr:uid="{00000000-0005-0000-0000-00001D060000}"/>
    <cellStyle name="20% - Accent1 3 3 4 3 3" xfId="19353" xr:uid="{00000000-0005-0000-0000-00001E060000}"/>
    <cellStyle name="20% - Accent1 3 3 4 3 4" xfId="26455" xr:uid="{00000000-0005-0000-0000-00001F060000}"/>
    <cellStyle name="20% - Accent1 3 3 4 3 5" xfId="33557" xr:uid="{00000000-0005-0000-0000-000020060000}"/>
    <cellStyle name="20% - Accent1 3 3 4 3 6" xfId="36115" xr:uid="{00000000-0005-0000-0000-000021060000}"/>
    <cellStyle name="20% - Accent1 3 3 4 4" xfId="3726" xr:uid="{00000000-0005-0000-0000-000022060000}"/>
    <cellStyle name="20% - Accent1 3 3 4 4 2" xfId="10832" xr:uid="{00000000-0005-0000-0000-000023060000}"/>
    <cellStyle name="20% - Accent1 3 3 4 4 3" xfId="17933" xr:uid="{00000000-0005-0000-0000-000024060000}"/>
    <cellStyle name="20% - Accent1 3 3 4 4 4" xfId="25035" xr:uid="{00000000-0005-0000-0000-000025060000}"/>
    <cellStyle name="20% - Accent1 3 3 4 4 5" xfId="32137" xr:uid="{00000000-0005-0000-0000-000026060000}"/>
    <cellStyle name="20% - Accent1 3 3 4 4 6" xfId="36116" xr:uid="{00000000-0005-0000-0000-000027060000}"/>
    <cellStyle name="20% - Accent1 3 3 4 5" xfId="7992" xr:uid="{00000000-0005-0000-0000-000028060000}"/>
    <cellStyle name="20% - Accent1 3 3 4 6" xfId="15093" xr:uid="{00000000-0005-0000-0000-000029060000}"/>
    <cellStyle name="20% - Accent1 3 3 4 7" xfId="22195" xr:uid="{00000000-0005-0000-0000-00002A060000}"/>
    <cellStyle name="20% - Accent1 3 3 4 8" xfId="29297" xr:uid="{00000000-0005-0000-0000-00002B060000}"/>
    <cellStyle name="20% - Accent1 3 3 4 9" xfId="36117" xr:uid="{00000000-0005-0000-0000-00002C060000}"/>
    <cellStyle name="20% - Accent1 3 3 5" xfId="1168" xr:uid="{00000000-0005-0000-0000-00002D060000}"/>
    <cellStyle name="20% - Accent1 3 3 5 2" xfId="2659" xr:uid="{00000000-0005-0000-0000-00002E060000}"/>
    <cellStyle name="20% - Accent1 3 3 5 2 2" xfId="6927" xr:uid="{00000000-0005-0000-0000-00002F060000}"/>
    <cellStyle name="20% - Accent1 3 3 5 2 2 2" xfId="14027" xr:uid="{00000000-0005-0000-0000-000030060000}"/>
    <cellStyle name="20% - Accent1 3 3 5 2 2 3" xfId="21128" xr:uid="{00000000-0005-0000-0000-000031060000}"/>
    <cellStyle name="20% - Accent1 3 3 5 2 2 4" xfId="28230" xr:uid="{00000000-0005-0000-0000-000032060000}"/>
    <cellStyle name="20% - Accent1 3 3 5 2 2 5" xfId="35332" xr:uid="{00000000-0005-0000-0000-000033060000}"/>
    <cellStyle name="20% - Accent1 3 3 5 2 3" xfId="9767" xr:uid="{00000000-0005-0000-0000-000034060000}"/>
    <cellStyle name="20% - Accent1 3 3 5 2 4" xfId="16868" xr:uid="{00000000-0005-0000-0000-000035060000}"/>
    <cellStyle name="20% - Accent1 3 3 5 2 5" xfId="23970" xr:uid="{00000000-0005-0000-0000-000036060000}"/>
    <cellStyle name="20% - Accent1 3 3 5 2 6" xfId="31072" xr:uid="{00000000-0005-0000-0000-000037060000}"/>
    <cellStyle name="20% - Accent1 3 3 5 2 7" xfId="36118" xr:uid="{00000000-0005-0000-0000-000038060000}"/>
    <cellStyle name="20% - Accent1 3 3 5 3" xfId="5506" xr:uid="{00000000-0005-0000-0000-000039060000}"/>
    <cellStyle name="20% - Accent1 3 3 5 3 2" xfId="12607" xr:uid="{00000000-0005-0000-0000-00003A060000}"/>
    <cellStyle name="20% - Accent1 3 3 5 3 3" xfId="19708" xr:uid="{00000000-0005-0000-0000-00003B060000}"/>
    <cellStyle name="20% - Accent1 3 3 5 3 4" xfId="26810" xr:uid="{00000000-0005-0000-0000-00003C060000}"/>
    <cellStyle name="20% - Accent1 3 3 5 3 5" xfId="33912" xr:uid="{00000000-0005-0000-0000-00003D060000}"/>
    <cellStyle name="20% - Accent1 3 3 5 4" xfId="4081" xr:uid="{00000000-0005-0000-0000-00003E060000}"/>
    <cellStyle name="20% - Accent1 3 3 5 4 2" xfId="11187" xr:uid="{00000000-0005-0000-0000-00003F060000}"/>
    <cellStyle name="20% - Accent1 3 3 5 4 3" xfId="18288" xr:uid="{00000000-0005-0000-0000-000040060000}"/>
    <cellStyle name="20% - Accent1 3 3 5 4 4" xfId="25390" xr:uid="{00000000-0005-0000-0000-000041060000}"/>
    <cellStyle name="20% - Accent1 3 3 5 4 5" xfId="32492" xr:uid="{00000000-0005-0000-0000-000042060000}"/>
    <cellStyle name="20% - Accent1 3 3 5 5" xfId="8347" xr:uid="{00000000-0005-0000-0000-000043060000}"/>
    <cellStyle name="20% - Accent1 3 3 5 6" xfId="15448" xr:uid="{00000000-0005-0000-0000-000044060000}"/>
    <cellStyle name="20% - Accent1 3 3 5 7" xfId="22550" xr:uid="{00000000-0005-0000-0000-000045060000}"/>
    <cellStyle name="20% - Accent1 3 3 5 8" xfId="29652" xr:uid="{00000000-0005-0000-0000-000046060000}"/>
    <cellStyle name="20% - Accent1 3 3 5 9" xfId="36119" xr:uid="{00000000-0005-0000-0000-000047060000}"/>
    <cellStyle name="20% - Accent1 3 3 6" xfId="1381" xr:uid="{00000000-0005-0000-0000-000048060000}"/>
    <cellStyle name="20% - Accent1 3 3 6 2" xfId="2872" xr:uid="{00000000-0005-0000-0000-000049060000}"/>
    <cellStyle name="20% - Accent1 3 3 6 2 2" xfId="7140" xr:uid="{00000000-0005-0000-0000-00004A060000}"/>
    <cellStyle name="20% - Accent1 3 3 6 2 2 2" xfId="14240" xr:uid="{00000000-0005-0000-0000-00004B060000}"/>
    <cellStyle name="20% - Accent1 3 3 6 2 2 3" xfId="21341" xr:uid="{00000000-0005-0000-0000-00004C060000}"/>
    <cellStyle name="20% - Accent1 3 3 6 2 2 4" xfId="28443" xr:uid="{00000000-0005-0000-0000-00004D060000}"/>
    <cellStyle name="20% - Accent1 3 3 6 2 2 5" xfId="35545" xr:uid="{00000000-0005-0000-0000-00004E060000}"/>
    <cellStyle name="20% - Accent1 3 3 6 2 3" xfId="9980" xr:uid="{00000000-0005-0000-0000-00004F060000}"/>
    <cellStyle name="20% - Accent1 3 3 6 2 4" xfId="17081" xr:uid="{00000000-0005-0000-0000-000050060000}"/>
    <cellStyle name="20% - Accent1 3 3 6 2 5" xfId="24183" xr:uid="{00000000-0005-0000-0000-000051060000}"/>
    <cellStyle name="20% - Accent1 3 3 6 2 6" xfId="31285" xr:uid="{00000000-0005-0000-0000-000052060000}"/>
    <cellStyle name="20% - Accent1 3 3 6 2 7" xfId="36120" xr:uid="{00000000-0005-0000-0000-000053060000}"/>
    <cellStyle name="20% - Accent1 3 3 6 3" xfId="5719" xr:uid="{00000000-0005-0000-0000-000054060000}"/>
    <cellStyle name="20% - Accent1 3 3 6 3 2" xfId="12820" xr:uid="{00000000-0005-0000-0000-000055060000}"/>
    <cellStyle name="20% - Accent1 3 3 6 3 3" xfId="19921" xr:uid="{00000000-0005-0000-0000-000056060000}"/>
    <cellStyle name="20% - Accent1 3 3 6 3 4" xfId="27023" xr:uid="{00000000-0005-0000-0000-000057060000}"/>
    <cellStyle name="20% - Accent1 3 3 6 3 5" xfId="34125" xr:uid="{00000000-0005-0000-0000-000058060000}"/>
    <cellStyle name="20% - Accent1 3 3 6 4" xfId="4294" xr:uid="{00000000-0005-0000-0000-000059060000}"/>
    <cellStyle name="20% - Accent1 3 3 6 4 2" xfId="11400" xr:uid="{00000000-0005-0000-0000-00005A060000}"/>
    <cellStyle name="20% - Accent1 3 3 6 4 3" xfId="18501" xr:uid="{00000000-0005-0000-0000-00005B060000}"/>
    <cellStyle name="20% - Accent1 3 3 6 4 4" xfId="25603" xr:uid="{00000000-0005-0000-0000-00005C060000}"/>
    <cellStyle name="20% - Accent1 3 3 6 4 5" xfId="32705" xr:uid="{00000000-0005-0000-0000-00005D060000}"/>
    <cellStyle name="20% - Accent1 3 3 6 5" xfId="8560" xr:uid="{00000000-0005-0000-0000-00005E060000}"/>
    <cellStyle name="20% - Accent1 3 3 6 6" xfId="15661" xr:uid="{00000000-0005-0000-0000-00005F060000}"/>
    <cellStyle name="20% - Accent1 3 3 6 7" xfId="22763" xr:uid="{00000000-0005-0000-0000-000060060000}"/>
    <cellStyle name="20% - Accent1 3 3 6 8" xfId="29865" xr:uid="{00000000-0005-0000-0000-000061060000}"/>
    <cellStyle name="20% - Accent1 3 3 6 9" xfId="36121" xr:uid="{00000000-0005-0000-0000-000062060000}"/>
    <cellStyle name="20% - Accent1 3 3 7" xfId="1665" xr:uid="{00000000-0005-0000-0000-000063060000}"/>
    <cellStyle name="20% - Accent1 3 3 7 2" xfId="5933" xr:uid="{00000000-0005-0000-0000-000064060000}"/>
    <cellStyle name="20% - Accent1 3 3 7 2 2" xfId="13033" xr:uid="{00000000-0005-0000-0000-000065060000}"/>
    <cellStyle name="20% - Accent1 3 3 7 2 3" xfId="20134" xr:uid="{00000000-0005-0000-0000-000066060000}"/>
    <cellStyle name="20% - Accent1 3 3 7 2 4" xfId="27236" xr:uid="{00000000-0005-0000-0000-000067060000}"/>
    <cellStyle name="20% - Accent1 3 3 7 2 5" xfId="34338" xr:uid="{00000000-0005-0000-0000-000068060000}"/>
    <cellStyle name="20% - Accent1 3 3 7 3" xfId="8773" xr:uid="{00000000-0005-0000-0000-000069060000}"/>
    <cellStyle name="20% - Accent1 3 3 7 4" xfId="15874" xr:uid="{00000000-0005-0000-0000-00006A060000}"/>
    <cellStyle name="20% - Accent1 3 3 7 5" xfId="22976" xr:uid="{00000000-0005-0000-0000-00006B060000}"/>
    <cellStyle name="20% - Accent1 3 3 7 6" xfId="30078" xr:uid="{00000000-0005-0000-0000-00006C060000}"/>
    <cellStyle name="20% - Accent1 3 3 7 7" xfId="36122" xr:uid="{00000000-0005-0000-0000-00006D060000}"/>
    <cellStyle name="20% - Accent1 3 3 8" xfId="4512" xr:uid="{00000000-0005-0000-0000-00006E060000}"/>
    <cellStyle name="20% - Accent1 3 3 8 2" xfId="11613" xr:uid="{00000000-0005-0000-0000-00006F060000}"/>
    <cellStyle name="20% - Accent1 3 3 8 3" xfId="18714" xr:uid="{00000000-0005-0000-0000-000070060000}"/>
    <cellStyle name="20% - Accent1 3 3 8 4" xfId="25816" xr:uid="{00000000-0005-0000-0000-000071060000}"/>
    <cellStyle name="20% - Accent1 3 3 8 5" xfId="32918" xr:uid="{00000000-0005-0000-0000-000072060000}"/>
    <cellStyle name="20% - Accent1 3 3 9" xfId="3087" xr:uid="{00000000-0005-0000-0000-000073060000}"/>
    <cellStyle name="20% - Accent1 3 3 9 2" xfId="10193" xr:uid="{00000000-0005-0000-0000-000074060000}"/>
    <cellStyle name="20% - Accent1 3 3 9 3" xfId="17294" xr:uid="{00000000-0005-0000-0000-000075060000}"/>
    <cellStyle name="20% - Accent1 3 3 9 4" xfId="24396" xr:uid="{00000000-0005-0000-0000-000076060000}"/>
    <cellStyle name="20% - Accent1 3 3 9 5" xfId="31498" xr:uid="{00000000-0005-0000-0000-000077060000}"/>
    <cellStyle name="20% - Accent1 3 4" xfId="316" xr:uid="{00000000-0005-0000-0000-000078060000}"/>
    <cellStyle name="20% - Accent1 3 4 10" xfId="36123" xr:uid="{00000000-0005-0000-0000-000079060000}"/>
    <cellStyle name="20% - Accent1 3 4 2" xfId="1097" xr:uid="{00000000-0005-0000-0000-00007A060000}"/>
    <cellStyle name="20% - Accent1 3 4 2 2" xfId="2588" xr:uid="{00000000-0005-0000-0000-00007B060000}"/>
    <cellStyle name="20% - Accent1 3 4 2 2 2" xfId="6856" xr:uid="{00000000-0005-0000-0000-00007C060000}"/>
    <cellStyle name="20% - Accent1 3 4 2 2 2 2" xfId="13956" xr:uid="{00000000-0005-0000-0000-00007D060000}"/>
    <cellStyle name="20% - Accent1 3 4 2 2 2 3" xfId="21057" xr:uid="{00000000-0005-0000-0000-00007E060000}"/>
    <cellStyle name="20% - Accent1 3 4 2 2 2 4" xfId="28159" xr:uid="{00000000-0005-0000-0000-00007F060000}"/>
    <cellStyle name="20% - Accent1 3 4 2 2 2 5" xfId="35261" xr:uid="{00000000-0005-0000-0000-000080060000}"/>
    <cellStyle name="20% - Accent1 3 4 2 2 3" xfId="9696" xr:uid="{00000000-0005-0000-0000-000081060000}"/>
    <cellStyle name="20% - Accent1 3 4 2 2 4" xfId="16797" xr:uid="{00000000-0005-0000-0000-000082060000}"/>
    <cellStyle name="20% - Accent1 3 4 2 2 5" xfId="23899" xr:uid="{00000000-0005-0000-0000-000083060000}"/>
    <cellStyle name="20% - Accent1 3 4 2 2 6" xfId="31001" xr:uid="{00000000-0005-0000-0000-000084060000}"/>
    <cellStyle name="20% - Accent1 3 4 2 2 7" xfId="36124" xr:uid="{00000000-0005-0000-0000-000085060000}"/>
    <cellStyle name="20% - Accent1 3 4 2 3" xfId="5435" xr:uid="{00000000-0005-0000-0000-000086060000}"/>
    <cellStyle name="20% - Accent1 3 4 2 3 2" xfId="12536" xr:uid="{00000000-0005-0000-0000-000087060000}"/>
    <cellStyle name="20% - Accent1 3 4 2 3 3" xfId="19637" xr:uid="{00000000-0005-0000-0000-000088060000}"/>
    <cellStyle name="20% - Accent1 3 4 2 3 4" xfId="26739" xr:uid="{00000000-0005-0000-0000-000089060000}"/>
    <cellStyle name="20% - Accent1 3 4 2 3 5" xfId="33841" xr:uid="{00000000-0005-0000-0000-00008A060000}"/>
    <cellStyle name="20% - Accent1 3 4 2 4" xfId="4010" xr:uid="{00000000-0005-0000-0000-00008B060000}"/>
    <cellStyle name="20% - Accent1 3 4 2 4 2" xfId="11116" xr:uid="{00000000-0005-0000-0000-00008C060000}"/>
    <cellStyle name="20% - Accent1 3 4 2 4 3" xfId="18217" xr:uid="{00000000-0005-0000-0000-00008D060000}"/>
    <cellStyle name="20% - Accent1 3 4 2 4 4" xfId="25319" xr:uid="{00000000-0005-0000-0000-00008E060000}"/>
    <cellStyle name="20% - Accent1 3 4 2 4 5" xfId="32421" xr:uid="{00000000-0005-0000-0000-00008F060000}"/>
    <cellStyle name="20% - Accent1 3 4 2 5" xfId="8276" xr:uid="{00000000-0005-0000-0000-000090060000}"/>
    <cellStyle name="20% - Accent1 3 4 2 6" xfId="15377" xr:uid="{00000000-0005-0000-0000-000091060000}"/>
    <cellStyle name="20% - Accent1 3 4 2 7" xfId="22479" xr:uid="{00000000-0005-0000-0000-000092060000}"/>
    <cellStyle name="20% - Accent1 3 4 2 8" xfId="29581" xr:uid="{00000000-0005-0000-0000-000093060000}"/>
    <cellStyle name="20% - Accent1 3 4 2 9" xfId="36125" xr:uid="{00000000-0005-0000-0000-000094060000}"/>
    <cellStyle name="20% - Accent1 3 4 3" xfId="1807" xr:uid="{00000000-0005-0000-0000-000095060000}"/>
    <cellStyle name="20% - Accent1 3 4 3 2" xfId="6075" xr:uid="{00000000-0005-0000-0000-000096060000}"/>
    <cellStyle name="20% - Accent1 3 4 3 2 2" xfId="13175" xr:uid="{00000000-0005-0000-0000-000097060000}"/>
    <cellStyle name="20% - Accent1 3 4 3 2 3" xfId="20276" xr:uid="{00000000-0005-0000-0000-000098060000}"/>
    <cellStyle name="20% - Accent1 3 4 3 2 4" xfId="27378" xr:uid="{00000000-0005-0000-0000-000099060000}"/>
    <cellStyle name="20% - Accent1 3 4 3 2 5" xfId="34480" xr:uid="{00000000-0005-0000-0000-00009A060000}"/>
    <cellStyle name="20% - Accent1 3 4 3 2 6" xfId="36126" xr:uid="{00000000-0005-0000-0000-00009B060000}"/>
    <cellStyle name="20% - Accent1 3 4 3 3" xfId="8915" xr:uid="{00000000-0005-0000-0000-00009C060000}"/>
    <cellStyle name="20% - Accent1 3 4 3 4" xfId="16016" xr:uid="{00000000-0005-0000-0000-00009D060000}"/>
    <cellStyle name="20% - Accent1 3 4 3 5" xfId="23118" xr:uid="{00000000-0005-0000-0000-00009E060000}"/>
    <cellStyle name="20% - Accent1 3 4 3 6" xfId="30220" xr:uid="{00000000-0005-0000-0000-00009F060000}"/>
    <cellStyle name="20% - Accent1 3 4 3 7" xfId="36127" xr:uid="{00000000-0005-0000-0000-0000A0060000}"/>
    <cellStyle name="20% - Accent1 3 4 4" xfId="4654" xr:uid="{00000000-0005-0000-0000-0000A1060000}"/>
    <cellStyle name="20% - Accent1 3 4 4 2" xfId="11755" xr:uid="{00000000-0005-0000-0000-0000A2060000}"/>
    <cellStyle name="20% - Accent1 3 4 4 3" xfId="18856" xr:uid="{00000000-0005-0000-0000-0000A3060000}"/>
    <cellStyle name="20% - Accent1 3 4 4 4" xfId="25958" xr:uid="{00000000-0005-0000-0000-0000A4060000}"/>
    <cellStyle name="20% - Accent1 3 4 4 5" xfId="33060" xr:uid="{00000000-0005-0000-0000-0000A5060000}"/>
    <cellStyle name="20% - Accent1 3 4 4 6" xfId="36128" xr:uid="{00000000-0005-0000-0000-0000A6060000}"/>
    <cellStyle name="20% - Accent1 3 4 5" xfId="3229" xr:uid="{00000000-0005-0000-0000-0000A7060000}"/>
    <cellStyle name="20% - Accent1 3 4 5 2" xfId="10335" xr:uid="{00000000-0005-0000-0000-0000A8060000}"/>
    <cellStyle name="20% - Accent1 3 4 5 3" xfId="17436" xr:uid="{00000000-0005-0000-0000-0000A9060000}"/>
    <cellStyle name="20% - Accent1 3 4 5 4" xfId="24538" xr:uid="{00000000-0005-0000-0000-0000AA060000}"/>
    <cellStyle name="20% - Accent1 3 4 5 5" xfId="31640" xr:uid="{00000000-0005-0000-0000-0000AB060000}"/>
    <cellStyle name="20% - Accent1 3 4 6" xfId="7495" xr:uid="{00000000-0005-0000-0000-0000AC060000}"/>
    <cellStyle name="20% - Accent1 3 4 7" xfId="14596" xr:uid="{00000000-0005-0000-0000-0000AD060000}"/>
    <cellStyle name="20% - Accent1 3 4 8" xfId="21698" xr:uid="{00000000-0005-0000-0000-0000AE060000}"/>
    <cellStyle name="20% - Accent1 3 4 9" xfId="28800" xr:uid="{00000000-0005-0000-0000-0000AF060000}"/>
    <cellStyle name="20% - Accent1 3 5" xfId="529" xr:uid="{00000000-0005-0000-0000-0000B0060000}"/>
    <cellStyle name="20% - Accent1 3 5 2" xfId="2020" xr:uid="{00000000-0005-0000-0000-0000B1060000}"/>
    <cellStyle name="20% - Accent1 3 5 2 2" xfId="6288" xr:uid="{00000000-0005-0000-0000-0000B2060000}"/>
    <cellStyle name="20% - Accent1 3 5 2 2 2" xfId="13388" xr:uid="{00000000-0005-0000-0000-0000B3060000}"/>
    <cellStyle name="20% - Accent1 3 5 2 2 3" xfId="20489" xr:uid="{00000000-0005-0000-0000-0000B4060000}"/>
    <cellStyle name="20% - Accent1 3 5 2 2 4" xfId="27591" xr:uid="{00000000-0005-0000-0000-0000B5060000}"/>
    <cellStyle name="20% - Accent1 3 5 2 2 5" xfId="34693" xr:uid="{00000000-0005-0000-0000-0000B6060000}"/>
    <cellStyle name="20% - Accent1 3 5 2 2 6" xfId="36129" xr:uid="{00000000-0005-0000-0000-0000B7060000}"/>
    <cellStyle name="20% - Accent1 3 5 2 3" xfId="9128" xr:uid="{00000000-0005-0000-0000-0000B8060000}"/>
    <cellStyle name="20% - Accent1 3 5 2 4" xfId="16229" xr:uid="{00000000-0005-0000-0000-0000B9060000}"/>
    <cellStyle name="20% - Accent1 3 5 2 5" xfId="23331" xr:uid="{00000000-0005-0000-0000-0000BA060000}"/>
    <cellStyle name="20% - Accent1 3 5 2 6" xfId="30433" xr:uid="{00000000-0005-0000-0000-0000BB060000}"/>
    <cellStyle name="20% - Accent1 3 5 2 7" xfId="36130" xr:uid="{00000000-0005-0000-0000-0000BC060000}"/>
    <cellStyle name="20% - Accent1 3 5 3" xfId="4867" xr:uid="{00000000-0005-0000-0000-0000BD060000}"/>
    <cellStyle name="20% - Accent1 3 5 3 2" xfId="11968" xr:uid="{00000000-0005-0000-0000-0000BE060000}"/>
    <cellStyle name="20% - Accent1 3 5 3 2 2" xfId="36131" xr:uid="{00000000-0005-0000-0000-0000BF060000}"/>
    <cellStyle name="20% - Accent1 3 5 3 3" xfId="19069" xr:uid="{00000000-0005-0000-0000-0000C0060000}"/>
    <cellStyle name="20% - Accent1 3 5 3 4" xfId="26171" xr:uid="{00000000-0005-0000-0000-0000C1060000}"/>
    <cellStyle name="20% - Accent1 3 5 3 5" xfId="33273" xr:uid="{00000000-0005-0000-0000-0000C2060000}"/>
    <cellStyle name="20% - Accent1 3 5 3 6" xfId="36132" xr:uid="{00000000-0005-0000-0000-0000C3060000}"/>
    <cellStyle name="20% - Accent1 3 5 4" xfId="3442" xr:uid="{00000000-0005-0000-0000-0000C4060000}"/>
    <cellStyle name="20% - Accent1 3 5 4 2" xfId="10548" xr:uid="{00000000-0005-0000-0000-0000C5060000}"/>
    <cellStyle name="20% - Accent1 3 5 4 3" xfId="17649" xr:uid="{00000000-0005-0000-0000-0000C6060000}"/>
    <cellStyle name="20% - Accent1 3 5 4 4" xfId="24751" xr:uid="{00000000-0005-0000-0000-0000C7060000}"/>
    <cellStyle name="20% - Accent1 3 5 4 5" xfId="31853" xr:uid="{00000000-0005-0000-0000-0000C8060000}"/>
    <cellStyle name="20% - Accent1 3 5 4 6" xfId="36133" xr:uid="{00000000-0005-0000-0000-0000C9060000}"/>
    <cellStyle name="20% - Accent1 3 5 5" xfId="7708" xr:uid="{00000000-0005-0000-0000-0000CA060000}"/>
    <cellStyle name="20% - Accent1 3 5 6" xfId="14809" xr:uid="{00000000-0005-0000-0000-0000CB060000}"/>
    <cellStyle name="20% - Accent1 3 5 7" xfId="21911" xr:uid="{00000000-0005-0000-0000-0000CC060000}"/>
    <cellStyle name="20% - Accent1 3 5 8" xfId="29013" xr:uid="{00000000-0005-0000-0000-0000CD060000}"/>
    <cellStyle name="20% - Accent1 3 5 9" xfId="36134" xr:uid="{00000000-0005-0000-0000-0000CE060000}"/>
    <cellStyle name="20% - Accent1 3 6" xfId="742" xr:uid="{00000000-0005-0000-0000-0000CF060000}"/>
    <cellStyle name="20% - Accent1 3 6 2" xfId="2233" xr:uid="{00000000-0005-0000-0000-0000D0060000}"/>
    <cellStyle name="20% - Accent1 3 6 2 2" xfId="6501" xr:uid="{00000000-0005-0000-0000-0000D1060000}"/>
    <cellStyle name="20% - Accent1 3 6 2 2 2" xfId="13601" xr:uid="{00000000-0005-0000-0000-0000D2060000}"/>
    <cellStyle name="20% - Accent1 3 6 2 2 3" xfId="20702" xr:uid="{00000000-0005-0000-0000-0000D3060000}"/>
    <cellStyle name="20% - Accent1 3 6 2 2 4" xfId="27804" xr:uid="{00000000-0005-0000-0000-0000D4060000}"/>
    <cellStyle name="20% - Accent1 3 6 2 2 5" xfId="34906" xr:uid="{00000000-0005-0000-0000-0000D5060000}"/>
    <cellStyle name="20% - Accent1 3 6 2 2 6" xfId="36135" xr:uid="{00000000-0005-0000-0000-0000D6060000}"/>
    <cellStyle name="20% - Accent1 3 6 2 3" xfId="9341" xr:uid="{00000000-0005-0000-0000-0000D7060000}"/>
    <cellStyle name="20% - Accent1 3 6 2 4" xfId="16442" xr:uid="{00000000-0005-0000-0000-0000D8060000}"/>
    <cellStyle name="20% - Accent1 3 6 2 5" xfId="23544" xr:uid="{00000000-0005-0000-0000-0000D9060000}"/>
    <cellStyle name="20% - Accent1 3 6 2 6" xfId="30646" xr:uid="{00000000-0005-0000-0000-0000DA060000}"/>
    <cellStyle name="20% - Accent1 3 6 2 7" xfId="36136" xr:uid="{00000000-0005-0000-0000-0000DB060000}"/>
    <cellStyle name="20% - Accent1 3 6 3" xfId="5080" xr:uid="{00000000-0005-0000-0000-0000DC060000}"/>
    <cellStyle name="20% - Accent1 3 6 3 2" xfId="12181" xr:uid="{00000000-0005-0000-0000-0000DD060000}"/>
    <cellStyle name="20% - Accent1 3 6 3 2 2" xfId="36137" xr:uid="{00000000-0005-0000-0000-0000DE060000}"/>
    <cellStyle name="20% - Accent1 3 6 3 3" xfId="19282" xr:uid="{00000000-0005-0000-0000-0000DF060000}"/>
    <cellStyle name="20% - Accent1 3 6 3 4" xfId="26384" xr:uid="{00000000-0005-0000-0000-0000E0060000}"/>
    <cellStyle name="20% - Accent1 3 6 3 5" xfId="33486" xr:uid="{00000000-0005-0000-0000-0000E1060000}"/>
    <cellStyle name="20% - Accent1 3 6 3 6" xfId="36138" xr:uid="{00000000-0005-0000-0000-0000E2060000}"/>
    <cellStyle name="20% - Accent1 3 6 4" xfId="3655" xr:uid="{00000000-0005-0000-0000-0000E3060000}"/>
    <cellStyle name="20% - Accent1 3 6 4 2" xfId="10761" xr:uid="{00000000-0005-0000-0000-0000E4060000}"/>
    <cellStyle name="20% - Accent1 3 6 4 3" xfId="17862" xr:uid="{00000000-0005-0000-0000-0000E5060000}"/>
    <cellStyle name="20% - Accent1 3 6 4 4" xfId="24964" xr:uid="{00000000-0005-0000-0000-0000E6060000}"/>
    <cellStyle name="20% - Accent1 3 6 4 5" xfId="32066" xr:uid="{00000000-0005-0000-0000-0000E7060000}"/>
    <cellStyle name="20% - Accent1 3 6 4 6" xfId="36139" xr:uid="{00000000-0005-0000-0000-0000E8060000}"/>
    <cellStyle name="20% - Accent1 3 6 5" xfId="7921" xr:uid="{00000000-0005-0000-0000-0000E9060000}"/>
    <cellStyle name="20% - Accent1 3 6 6" xfId="15022" xr:uid="{00000000-0005-0000-0000-0000EA060000}"/>
    <cellStyle name="20% - Accent1 3 6 7" xfId="22124" xr:uid="{00000000-0005-0000-0000-0000EB060000}"/>
    <cellStyle name="20% - Accent1 3 6 8" xfId="29226" xr:uid="{00000000-0005-0000-0000-0000EC060000}"/>
    <cellStyle name="20% - Accent1 3 6 9" xfId="36140" xr:uid="{00000000-0005-0000-0000-0000ED060000}"/>
    <cellStyle name="20% - Accent1 3 7" xfId="955" xr:uid="{00000000-0005-0000-0000-0000EE060000}"/>
    <cellStyle name="20% - Accent1 3 7 2" xfId="2446" xr:uid="{00000000-0005-0000-0000-0000EF060000}"/>
    <cellStyle name="20% - Accent1 3 7 2 2" xfId="6714" xr:uid="{00000000-0005-0000-0000-0000F0060000}"/>
    <cellStyle name="20% - Accent1 3 7 2 2 2" xfId="13814" xr:uid="{00000000-0005-0000-0000-0000F1060000}"/>
    <cellStyle name="20% - Accent1 3 7 2 2 3" xfId="20915" xr:uid="{00000000-0005-0000-0000-0000F2060000}"/>
    <cellStyle name="20% - Accent1 3 7 2 2 4" xfId="28017" xr:uid="{00000000-0005-0000-0000-0000F3060000}"/>
    <cellStyle name="20% - Accent1 3 7 2 2 5" xfId="35119" xr:uid="{00000000-0005-0000-0000-0000F4060000}"/>
    <cellStyle name="20% - Accent1 3 7 2 3" xfId="9554" xr:uid="{00000000-0005-0000-0000-0000F5060000}"/>
    <cellStyle name="20% - Accent1 3 7 2 4" xfId="16655" xr:uid="{00000000-0005-0000-0000-0000F6060000}"/>
    <cellStyle name="20% - Accent1 3 7 2 5" xfId="23757" xr:uid="{00000000-0005-0000-0000-0000F7060000}"/>
    <cellStyle name="20% - Accent1 3 7 2 6" xfId="30859" xr:uid="{00000000-0005-0000-0000-0000F8060000}"/>
    <cellStyle name="20% - Accent1 3 7 2 7" xfId="36141" xr:uid="{00000000-0005-0000-0000-0000F9060000}"/>
    <cellStyle name="20% - Accent1 3 7 3" xfId="5293" xr:uid="{00000000-0005-0000-0000-0000FA060000}"/>
    <cellStyle name="20% - Accent1 3 7 3 2" xfId="12394" xr:uid="{00000000-0005-0000-0000-0000FB060000}"/>
    <cellStyle name="20% - Accent1 3 7 3 3" xfId="19495" xr:uid="{00000000-0005-0000-0000-0000FC060000}"/>
    <cellStyle name="20% - Accent1 3 7 3 4" xfId="26597" xr:uid="{00000000-0005-0000-0000-0000FD060000}"/>
    <cellStyle name="20% - Accent1 3 7 3 5" xfId="33699" xr:uid="{00000000-0005-0000-0000-0000FE060000}"/>
    <cellStyle name="20% - Accent1 3 7 4" xfId="3868" xr:uid="{00000000-0005-0000-0000-0000FF060000}"/>
    <cellStyle name="20% - Accent1 3 7 4 2" xfId="10974" xr:uid="{00000000-0005-0000-0000-000000070000}"/>
    <cellStyle name="20% - Accent1 3 7 4 3" xfId="18075" xr:uid="{00000000-0005-0000-0000-000001070000}"/>
    <cellStyle name="20% - Accent1 3 7 4 4" xfId="25177" xr:uid="{00000000-0005-0000-0000-000002070000}"/>
    <cellStyle name="20% - Accent1 3 7 4 5" xfId="32279" xr:uid="{00000000-0005-0000-0000-000003070000}"/>
    <cellStyle name="20% - Accent1 3 7 5" xfId="8134" xr:uid="{00000000-0005-0000-0000-000004070000}"/>
    <cellStyle name="20% - Accent1 3 7 6" xfId="15235" xr:uid="{00000000-0005-0000-0000-000005070000}"/>
    <cellStyle name="20% - Accent1 3 7 7" xfId="22337" xr:uid="{00000000-0005-0000-0000-000006070000}"/>
    <cellStyle name="20% - Accent1 3 7 8" xfId="29439" xr:uid="{00000000-0005-0000-0000-000007070000}"/>
    <cellStyle name="20% - Accent1 3 7 9" xfId="36142" xr:uid="{00000000-0005-0000-0000-000008070000}"/>
    <cellStyle name="20% - Accent1 3 8" xfId="1310" xr:uid="{00000000-0005-0000-0000-000009070000}"/>
    <cellStyle name="20% - Accent1 3 8 2" xfId="2801" xr:uid="{00000000-0005-0000-0000-00000A070000}"/>
    <cellStyle name="20% - Accent1 3 8 2 2" xfId="7069" xr:uid="{00000000-0005-0000-0000-00000B070000}"/>
    <cellStyle name="20% - Accent1 3 8 2 2 2" xfId="14169" xr:uid="{00000000-0005-0000-0000-00000C070000}"/>
    <cellStyle name="20% - Accent1 3 8 2 2 3" xfId="21270" xr:uid="{00000000-0005-0000-0000-00000D070000}"/>
    <cellStyle name="20% - Accent1 3 8 2 2 4" xfId="28372" xr:uid="{00000000-0005-0000-0000-00000E070000}"/>
    <cellStyle name="20% - Accent1 3 8 2 2 5" xfId="35474" xr:uid="{00000000-0005-0000-0000-00000F070000}"/>
    <cellStyle name="20% - Accent1 3 8 2 3" xfId="9909" xr:uid="{00000000-0005-0000-0000-000010070000}"/>
    <cellStyle name="20% - Accent1 3 8 2 4" xfId="17010" xr:uid="{00000000-0005-0000-0000-000011070000}"/>
    <cellStyle name="20% - Accent1 3 8 2 5" xfId="24112" xr:uid="{00000000-0005-0000-0000-000012070000}"/>
    <cellStyle name="20% - Accent1 3 8 2 6" xfId="31214" xr:uid="{00000000-0005-0000-0000-000013070000}"/>
    <cellStyle name="20% - Accent1 3 8 2 7" xfId="36143" xr:uid="{00000000-0005-0000-0000-000014070000}"/>
    <cellStyle name="20% - Accent1 3 8 3" xfId="5648" xr:uid="{00000000-0005-0000-0000-000015070000}"/>
    <cellStyle name="20% - Accent1 3 8 3 2" xfId="12749" xr:uid="{00000000-0005-0000-0000-000016070000}"/>
    <cellStyle name="20% - Accent1 3 8 3 3" xfId="19850" xr:uid="{00000000-0005-0000-0000-000017070000}"/>
    <cellStyle name="20% - Accent1 3 8 3 4" xfId="26952" xr:uid="{00000000-0005-0000-0000-000018070000}"/>
    <cellStyle name="20% - Accent1 3 8 3 5" xfId="34054" xr:uid="{00000000-0005-0000-0000-000019070000}"/>
    <cellStyle name="20% - Accent1 3 8 4" xfId="4223" xr:uid="{00000000-0005-0000-0000-00001A070000}"/>
    <cellStyle name="20% - Accent1 3 8 4 2" xfId="11329" xr:uid="{00000000-0005-0000-0000-00001B070000}"/>
    <cellStyle name="20% - Accent1 3 8 4 3" xfId="18430" xr:uid="{00000000-0005-0000-0000-00001C070000}"/>
    <cellStyle name="20% - Accent1 3 8 4 4" xfId="25532" xr:uid="{00000000-0005-0000-0000-00001D070000}"/>
    <cellStyle name="20% - Accent1 3 8 4 5" xfId="32634" xr:uid="{00000000-0005-0000-0000-00001E070000}"/>
    <cellStyle name="20% - Accent1 3 8 5" xfId="8489" xr:uid="{00000000-0005-0000-0000-00001F070000}"/>
    <cellStyle name="20% - Accent1 3 8 6" xfId="15590" xr:uid="{00000000-0005-0000-0000-000020070000}"/>
    <cellStyle name="20% - Accent1 3 8 7" xfId="22692" xr:uid="{00000000-0005-0000-0000-000021070000}"/>
    <cellStyle name="20% - Accent1 3 8 8" xfId="29794" xr:uid="{00000000-0005-0000-0000-000022070000}"/>
    <cellStyle name="20% - Accent1 3 8 9" xfId="36144" xr:uid="{00000000-0005-0000-0000-000023070000}"/>
    <cellStyle name="20% - Accent1 3 9" xfId="1592" xr:uid="{00000000-0005-0000-0000-000024070000}"/>
    <cellStyle name="20% - Accent1 3 9 2" xfId="5862" xr:uid="{00000000-0005-0000-0000-000025070000}"/>
    <cellStyle name="20% - Accent1 3 9 2 2" xfId="12962" xr:uid="{00000000-0005-0000-0000-000026070000}"/>
    <cellStyle name="20% - Accent1 3 9 2 3" xfId="20063" xr:uid="{00000000-0005-0000-0000-000027070000}"/>
    <cellStyle name="20% - Accent1 3 9 2 4" xfId="27165" xr:uid="{00000000-0005-0000-0000-000028070000}"/>
    <cellStyle name="20% - Accent1 3 9 2 5" xfId="34267" xr:uid="{00000000-0005-0000-0000-000029070000}"/>
    <cellStyle name="20% - Accent1 3 9 3" xfId="8702" xr:uid="{00000000-0005-0000-0000-00002A070000}"/>
    <cellStyle name="20% - Accent1 3 9 4" xfId="15803" xr:uid="{00000000-0005-0000-0000-00002B070000}"/>
    <cellStyle name="20% - Accent1 3 9 5" xfId="22905" xr:uid="{00000000-0005-0000-0000-00002C070000}"/>
    <cellStyle name="20% - Accent1 3 9 6" xfId="30007" xr:uid="{00000000-0005-0000-0000-00002D070000}"/>
    <cellStyle name="20% - Accent1 3 9 7" xfId="36145" xr:uid="{00000000-0005-0000-0000-00002E070000}"/>
    <cellStyle name="20% - Accent1 4" xfId="132" xr:uid="{00000000-0005-0000-0000-00002F070000}"/>
    <cellStyle name="20% - Accent1 4 10" xfId="4472" xr:uid="{00000000-0005-0000-0000-000030070000}"/>
    <cellStyle name="20% - Accent1 4 10 2" xfId="11573" xr:uid="{00000000-0005-0000-0000-000031070000}"/>
    <cellStyle name="20% - Accent1 4 10 3" xfId="18674" xr:uid="{00000000-0005-0000-0000-000032070000}"/>
    <cellStyle name="20% - Accent1 4 10 4" xfId="25776" xr:uid="{00000000-0005-0000-0000-000033070000}"/>
    <cellStyle name="20% - Accent1 4 10 5" xfId="32878" xr:uid="{00000000-0005-0000-0000-000034070000}"/>
    <cellStyle name="20% - Accent1 4 11" xfId="3047" xr:uid="{00000000-0005-0000-0000-000035070000}"/>
    <cellStyle name="20% - Accent1 4 11 2" xfId="10153" xr:uid="{00000000-0005-0000-0000-000036070000}"/>
    <cellStyle name="20% - Accent1 4 11 3" xfId="17254" xr:uid="{00000000-0005-0000-0000-000037070000}"/>
    <cellStyle name="20% - Accent1 4 11 4" xfId="24356" xr:uid="{00000000-0005-0000-0000-000038070000}"/>
    <cellStyle name="20% - Accent1 4 11 5" xfId="31458" xr:uid="{00000000-0005-0000-0000-000039070000}"/>
    <cellStyle name="20% - Accent1 4 12" xfId="7313" xr:uid="{00000000-0005-0000-0000-00003A070000}"/>
    <cellStyle name="20% - Accent1 4 13" xfId="14414" xr:uid="{00000000-0005-0000-0000-00003B070000}"/>
    <cellStyle name="20% - Accent1 4 14" xfId="21516" xr:uid="{00000000-0005-0000-0000-00003C070000}"/>
    <cellStyle name="20% - Accent1 4 15" xfId="28618" xr:uid="{00000000-0005-0000-0000-00003D070000}"/>
    <cellStyle name="20% - Accent1 4 16" xfId="35720" xr:uid="{00000000-0005-0000-0000-00003E070000}"/>
    <cellStyle name="20% - Accent1 4 17" xfId="36146" xr:uid="{00000000-0005-0000-0000-00003F070000}"/>
    <cellStyle name="20% - Accent1 4 18" xfId="36147" xr:uid="{00000000-0005-0000-0000-000040070000}"/>
    <cellStyle name="20% - Accent1 4 2" xfId="276" xr:uid="{00000000-0005-0000-0000-000041070000}"/>
    <cellStyle name="20% - Accent1 4 2 10" xfId="7455" xr:uid="{00000000-0005-0000-0000-000042070000}"/>
    <cellStyle name="20% - Accent1 4 2 11" xfId="14556" xr:uid="{00000000-0005-0000-0000-000043070000}"/>
    <cellStyle name="20% - Accent1 4 2 12" xfId="21658" xr:uid="{00000000-0005-0000-0000-000044070000}"/>
    <cellStyle name="20% - Accent1 4 2 13" xfId="28760" xr:uid="{00000000-0005-0000-0000-000045070000}"/>
    <cellStyle name="20% - Accent1 4 2 14" xfId="35862" xr:uid="{00000000-0005-0000-0000-000046070000}"/>
    <cellStyle name="20% - Accent1 4 2 15" xfId="36148" xr:uid="{00000000-0005-0000-0000-000047070000}"/>
    <cellStyle name="20% - Accent1 4 2 2" xfId="489" xr:uid="{00000000-0005-0000-0000-000048070000}"/>
    <cellStyle name="20% - Accent1 4 2 2 10" xfId="36149" xr:uid="{00000000-0005-0000-0000-000049070000}"/>
    <cellStyle name="20% - Accent1 4 2 2 2" xfId="1270" xr:uid="{00000000-0005-0000-0000-00004A070000}"/>
    <cellStyle name="20% - Accent1 4 2 2 2 2" xfId="2761" xr:uid="{00000000-0005-0000-0000-00004B070000}"/>
    <cellStyle name="20% - Accent1 4 2 2 2 2 2" xfId="7029" xr:uid="{00000000-0005-0000-0000-00004C070000}"/>
    <cellStyle name="20% - Accent1 4 2 2 2 2 2 2" xfId="14129" xr:uid="{00000000-0005-0000-0000-00004D070000}"/>
    <cellStyle name="20% - Accent1 4 2 2 2 2 2 3" xfId="21230" xr:uid="{00000000-0005-0000-0000-00004E070000}"/>
    <cellStyle name="20% - Accent1 4 2 2 2 2 2 4" xfId="28332" xr:uid="{00000000-0005-0000-0000-00004F070000}"/>
    <cellStyle name="20% - Accent1 4 2 2 2 2 2 5" xfId="35434" xr:uid="{00000000-0005-0000-0000-000050070000}"/>
    <cellStyle name="20% - Accent1 4 2 2 2 2 3" xfId="9869" xr:uid="{00000000-0005-0000-0000-000051070000}"/>
    <cellStyle name="20% - Accent1 4 2 2 2 2 4" xfId="16970" xr:uid="{00000000-0005-0000-0000-000052070000}"/>
    <cellStyle name="20% - Accent1 4 2 2 2 2 5" xfId="24072" xr:uid="{00000000-0005-0000-0000-000053070000}"/>
    <cellStyle name="20% - Accent1 4 2 2 2 2 6" xfId="31174" xr:uid="{00000000-0005-0000-0000-000054070000}"/>
    <cellStyle name="20% - Accent1 4 2 2 2 2 7" xfId="36150" xr:uid="{00000000-0005-0000-0000-000055070000}"/>
    <cellStyle name="20% - Accent1 4 2 2 2 3" xfId="5608" xr:uid="{00000000-0005-0000-0000-000056070000}"/>
    <cellStyle name="20% - Accent1 4 2 2 2 3 2" xfId="12709" xr:uid="{00000000-0005-0000-0000-000057070000}"/>
    <cellStyle name="20% - Accent1 4 2 2 2 3 3" xfId="19810" xr:uid="{00000000-0005-0000-0000-000058070000}"/>
    <cellStyle name="20% - Accent1 4 2 2 2 3 4" xfId="26912" xr:uid="{00000000-0005-0000-0000-000059070000}"/>
    <cellStyle name="20% - Accent1 4 2 2 2 3 5" xfId="34014" xr:uid="{00000000-0005-0000-0000-00005A070000}"/>
    <cellStyle name="20% - Accent1 4 2 2 2 4" xfId="4183" xr:uid="{00000000-0005-0000-0000-00005B070000}"/>
    <cellStyle name="20% - Accent1 4 2 2 2 4 2" xfId="11289" xr:uid="{00000000-0005-0000-0000-00005C070000}"/>
    <cellStyle name="20% - Accent1 4 2 2 2 4 3" xfId="18390" xr:uid="{00000000-0005-0000-0000-00005D070000}"/>
    <cellStyle name="20% - Accent1 4 2 2 2 4 4" xfId="25492" xr:uid="{00000000-0005-0000-0000-00005E070000}"/>
    <cellStyle name="20% - Accent1 4 2 2 2 4 5" xfId="32594" xr:uid="{00000000-0005-0000-0000-00005F070000}"/>
    <cellStyle name="20% - Accent1 4 2 2 2 5" xfId="8449" xr:uid="{00000000-0005-0000-0000-000060070000}"/>
    <cellStyle name="20% - Accent1 4 2 2 2 6" xfId="15550" xr:uid="{00000000-0005-0000-0000-000061070000}"/>
    <cellStyle name="20% - Accent1 4 2 2 2 7" xfId="22652" xr:uid="{00000000-0005-0000-0000-000062070000}"/>
    <cellStyle name="20% - Accent1 4 2 2 2 8" xfId="29754" xr:uid="{00000000-0005-0000-0000-000063070000}"/>
    <cellStyle name="20% - Accent1 4 2 2 2 9" xfId="36151" xr:uid="{00000000-0005-0000-0000-000064070000}"/>
    <cellStyle name="20% - Accent1 4 2 2 3" xfId="1980" xr:uid="{00000000-0005-0000-0000-000065070000}"/>
    <cellStyle name="20% - Accent1 4 2 2 3 2" xfId="6248" xr:uid="{00000000-0005-0000-0000-000066070000}"/>
    <cellStyle name="20% - Accent1 4 2 2 3 2 2" xfId="13348" xr:uid="{00000000-0005-0000-0000-000067070000}"/>
    <cellStyle name="20% - Accent1 4 2 2 3 2 3" xfId="20449" xr:uid="{00000000-0005-0000-0000-000068070000}"/>
    <cellStyle name="20% - Accent1 4 2 2 3 2 4" xfId="27551" xr:uid="{00000000-0005-0000-0000-000069070000}"/>
    <cellStyle name="20% - Accent1 4 2 2 3 2 5" xfId="34653" xr:uid="{00000000-0005-0000-0000-00006A070000}"/>
    <cellStyle name="20% - Accent1 4 2 2 3 2 6" xfId="36152" xr:uid="{00000000-0005-0000-0000-00006B070000}"/>
    <cellStyle name="20% - Accent1 4 2 2 3 3" xfId="9088" xr:uid="{00000000-0005-0000-0000-00006C070000}"/>
    <cellStyle name="20% - Accent1 4 2 2 3 4" xfId="16189" xr:uid="{00000000-0005-0000-0000-00006D070000}"/>
    <cellStyle name="20% - Accent1 4 2 2 3 5" xfId="23291" xr:uid="{00000000-0005-0000-0000-00006E070000}"/>
    <cellStyle name="20% - Accent1 4 2 2 3 6" xfId="30393" xr:uid="{00000000-0005-0000-0000-00006F070000}"/>
    <cellStyle name="20% - Accent1 4 2 2 3 7" xfId="36153" xr:uid="{00000000-0005-0000-0000-000070070000}"/>
    <cellStyle name="20% - Accent1 4 2 2 4" xfId="4827" xr:uid="{00000000-0005-0000-0000-000071070000}"/>
    <cellStyle name="20% - Accent1 4 2 2 4 2" xfId="11928" xr:uid="{00000000-0005-0000-0000-000072070000}"/>
    <cellStyle name="20% - Accent1 4 2 2 4 3" xfId="19029" xr:uid="{00000000-0005-0000-0000-000073070000}"/>
    <cellStyle name="20% - Accent1 4 2 2 4 4" xfId="26131" xr:uid="{00000000-0005-0000-0000-000074070000}"/>
    <cellStyle name="20% - Accent1 4 2 2 4 5" xfId="33233" xr:uid="{00000000-0005-0000-0000-000075070000}"/>
    <cellStyle name="20% - Accent1 4 2 2 4 6" xfId="36154" xr:uid="{00000000-0005-0000-0000-000076070000}"/>
    <cellStyle name="20% - Accent1 4 2 2 5" xfId="3402" xr:uid="{00000000-0005-0000-0000-000077070000}"/>
    <cellStyle name="20% - Accent1 4 2 2 5 2" xfId="10508" xr:uid="{00000000-0005-0000-0000-000078070000}"/>
    <cellStyle name="20% - Accent1 4 2 2 5 3" xfId="17609" xr:uid="{00000000-0005-0000-0000-000079070000}"/>
    <cellStyle name="20% - Accent1 4 2 2 5 4" xfId="24711" xr:uid="{00000000-0005-0000-0000-00007A070000}"/>
    <cellStyle name="20% - Accent1 4 2 2 5 5" xfId="31813" xr:uid="{00000000-0005-0000-0000-00007B070000}"/>
    <cellStyle name="20% - Accent1 4 2 2 6" xfId="7668" xr:uid="{00000000-0005-0000-0000-00007C070000}"/>
    <cellStyle name="20% - Accent1 4 2 2 7" xfId="14769" xr:uid="{00000000-0005-0000-0000-00007D070000}"/>
    <cellStyle name="20% - Accent1 4 2 2 8" xfId="21871" xr:uid="{00000000-0005-0000-0000-00007E070000}"/>
    <cellStyle name="20% - Accent1 4 2 2 9" xfId="28973" xr:uid="{00000000-0005-0000-0000-00007F070000}"/>
    <cellStyle name="20% - Accent1 4 2 3" xfId="702" xr:uid="{00000000-0005-0000-0000-000080070000}"/>
    <cellStyle name="20% - Accent1 4 2 3 2" xfId="2193" xr:uid="{00000000-0005-0000-0000-000081070000}"/>
    <cellStyle name="20% - Accent1 4 2 3 2 2" xfId="6461" xr:uid="{00000000-0005-0000-0000-000082070000}"/>
    <cellStyle name="20% - Accent1 4 2 3 2 2 2" xfId="13561" xr:uid="{00000000-0005-0000-0000-000083070000}"/>
    <cellStyle name="20% - Accent1 4 2 3 2 2 3" xfId="20662" xr:uid="{00000000-0005-0000-0000-000084070000}"/>
    <cellStyle name="20% - Accent1 4 2 3 2 2 4" xfId="27764" xr:uid="{00000000-0005-0000-0000-000085070000}"/>
    <cellStyle name="20% - Accent1 4 2 3 2 2 5" xfId="34866" xr:uid="{00000000-0005-0000-0000-000086070000}"/>
    <cellStyle name="20% - Accent1 4 2 3 2 2 6" xfId="36155" xr:uid="{00000000-0005-0000-0000-000087070000}"/>
    <cellStyle name="20% - Accent1 4 2 3 2 3" xfId="9301" xr:uid="{00000000-0005-0000-0000-000088070000}"/>
    <cellStyle name="20% - Accent1 4 2 3 2 4" xfId="16402" xr:uid="{00000000-0005-0000-0000-000089070000}"/>
    <cellStyle name="20% - Accent1 4 2 3 2 5" xfId="23504" xr:uid="{00000000-0005-0000-0000-00008A070000}"/>
    <cellStyle name="20% - Accent1 4 2 3 2 6" xfId="30606" xr:uid="{00000000-0005-0000-0000-00008B070000}"/>
    <cellStyle name="20% - Accent1 4 2 3 2 7" xfId="36156" xr:uid="{00000000-0005-0000-0000-00008C070000}"/>
    <cellStyle name="20% - Accent1 4 2 3 3" xfId="5040" xr:uid="{00000000-0005-0000-0000-00008D070000}"/>
    <cellStyle name="20% - Accent1 4 2 3 3 2" xfId="12141" xr:uid="{00000000-0005-0000-0000-00008E070000}"/>
    <cellStyle name="20% - Accent1 4 2 3 3 2 2" xfId="36157" xr:uid="{00000000-0005-0000-0000-00008F070000}"/>
    <cellStyle name="20% - Accent1 4 2 3 3 3" xfId="19242" xr:uid="{00000000-0005-0000-0000-000090070000}"/>
    <cellStyle name="20% - Accent1 4 2 3 3 4" xfId="26344" xr:uid="{00000000-0005-0000-0000-000091070000}"/>
    <cellStyle name="20% - Accent1 4 2 3 3 5" xfId="33446" xr:uid="{00000000-0005-0000-0000-000092070000}"/>
    <cellStyle name="20% - Accent1 4 2 3 3 6" xfId="36158" xr:uid="{00000000-0005-0000-0000-000093070000}"/>
    <cellStyle name="20% - Accent1 4 2 3 4" xfId="3615" xr:uid="{00000000-0005-0000-0000-000094070000}"/>
    <cellStyle name="20% - Accent1 4 2 3 4 2" xfId="10721" xr:uid="{00000000-0005-0000-0000-000095070000}"/>
    <cellStyle name="20% - Accent1 4 2 3 4 3" xfId="17822" xr:uid="{00000000-0005-0000-0000-000096070000}"/>
    <cellStyle name="20% - Accent1 4 2 3 4 4" xfId="24924" xr:uid="{00000000-0005-0000-0000-000097070000}"/>
    <cellStyle name="20% - Accent1 4 2 3 4 5" xfId="32026" xr:uid="{00000000-0005-0000-0000-000098070000}"/>
    <cellStyle name="20% - Accent1 4 2 3 4 6" xfId="36159" xr:uid="{00000000-0005-0000-0000-000099070000}"/>
    <cellStyle name="20% - Accent1 4 2 3 5" xfId="7881" xr:uid="{00000000-0005-0000-0000-00009A070000}"/>
    <cellStyle name="20% - Accent1 4 2 3 6" xfId="14982" xr:uid="{00000000-0005-0000-0000-00009B070000}"/>
    <cellStyle name="20% - Accent1 4 2 3 7" xfId="22084" xr:uid="{00000000-0005-0000-0000-00009C070000}"/>
    <cellStyle name="20% - Accent1 4 2 3 8" xfId="29186" xr:uid="{00000000-0005-0000-0000-00009D070000}"/>
    <cellStyle name="20% - Accent1 4 2 3 9" xfId="36160" xr:uid="{00000000-0005-0000-0000-00009E070000}"/>
    <cellStyle name="20% - Accent1 4 2 4" xfId="915" xr:uid="{00000000-0005-0000-0000-00009F070000}"/>
    <cellStyle name="20% - Accent1 4 2 4 2" xfId="2406" xr:uid="{00000000-0005-0000-0000-0000A0070000}"/>
    <cellStyle name="20% - Accent1 4 2 4 2 2" xfId="6674" xr:uid="{00000000-0005-0000-0000-0000A1070000}"/>
    <cellStyle name="20% - Accent1 4 2 4 2 2 2" xfId="13774" xr:uid="{00000000-0005-0000-0000-0000A2070000}"/>
    <cellStyle name="20% - Accent1 4 2 4 2 2 3" xfId="20875" xr:uid="{00000000-0005-0000-0000-0000A3070000}"/>
    <cellStyle name="20% - Accent1 4 2 4 2 2 4" xfId="27977" xr:uid="{00000000-0005-0000-0000-0000A4070000}"/>
    <cellStyle name="20% - Accent1 4 2 4 2 2 5" xfId="35079" xr:uid="{00000000-0005-0000-0000-0000A5070000}"/>
    <cellStyle name="20% - Accent1 4 2 4 2 2 6" xfId="36161" xr:uid="{00000000-0005-0000-0000-0000A6070000}"/>
    <cellStyle name="20% - Accent1 4 2 4 2 3" xfId="9514" xr:uid="{00000000-0005-0000-0000-0000A7070000}"/>
    <cellStyle name="20% - Accent1 4 2 4 2 4" xfId="16615" xr:uid="{00000000-0005-0000-0000-0000A8070000}"/>
    <cellStyle name="20% - Accent1 4 2 4 2 5" xfId="23717" xr:uid="{00000000-0005-0000-0000-0000A9070000}"/>
    <cellStyle name="20% - Accent1 4 2 4 2 6" xfId="30819" xr:uid="{00000000-0005-0000-0000-0000AA070000}"/>
    <cellStyle name="20% - Accent1 4 2 4 2 7" xfId="36162" xr:uid="{00000000-0005-0000-0000-0000AB070000}"/>
    <cellStyle name="20% - Accent1 4 2 4 3" xfId="5253" xr:uid="{00000000-0005-0000-0000-0000AC070000}"/>
    <cellStyle name="20% - Accent1 4 2 4 3 2" xfId="12354" xr:uid="{00000000-0005-0000-0000-0000AD070000}"/>
    <cellStyle name="20% - Accent1 4 2 4 3 2 2" xfId="36163" xr:uid="{00000000-0005-0000-0000-0000AE070000}"/>
    <cellStyle name="20% - Accent1 4 2 4 3 3" xfId="19455" xr:uid="{00000000-0005-0000-0000-0000AF070000}"/>
    <cellStyle name="20% - Accent1 4 2 4 3 4" xfId="26557" xr:uid="{00000000-0005-0000-0000-0000B0070000}"/>
    <cellStyle name="20% - Accent1 4 2 4 3 5" xfId="33659" xr:uid="{00000000-0005-0000-0000-0000B1070000}"/>
    <cellStyle name="20% - Accent1 4 2 4 3 6" xfId="36164" xr:uid="{00000000-0005-0000-0000-0000B2070000}"/>
    <cellStyle name="20% - Accent1 4 2 4 4" xfId="3828" xr:uid="{00000000-0005-0000-0000-0000B3070000}"/>
    <cellStyle name="20% - Accent1 4 2 4 4 2" xfId="10934" xr:uid="{00000000-0005-0000-0000-0000B4070000}"/>
    <cellStyle name="20% - Accent1 4 2 4 4 3" xfId="18035" xr:uid="{00000000-0005-0000-0000-0000B5070000}"/>
    <cellStyle name="20% - Accent1 4 2 4 4 4" xfId="25137" xr:uid="{00000000-0005-0000-0000-0000B6070000}"/>
    <cellStyle name="20% - Accent1 4 2 4 4 5" xfId="32239" xr:uid="{00000000-0005-0000-0000-0000B7070000}"/>
    <cellStyle name="20% - Accent1 4 2 4 4 6" xfId="36165" xr:uid="{00000000-0005-0000-0000-0000B8070000}"/>
    <cellStyle name="20% - Accent1 4 2 4 5" xfId="8094" xr:uid="{00000000-0005-0000-0000-0000B9070000}"/>
    <cellStyle name="20% - Accent1 4 2 4 6" xfId="15195" xr:uid="{00000000-0005-0000-0000-0000BA070000}"/>
    <cellStyle name="20% - Accent1 4 2 4 7" xfId="22297" xr:uid="{00000000-0005-0000-0000-0000BB070000}"/>
    <cellStyle name="20% - Accent1 4 2 4 8" xfId="29399" xr:uid="{00000000-0005-0000-0000-0000BC070000}"/>
    <cellStyle name="20% - Accent1 4 2 4 9" xfId="36166" xr:uid="{00000000-0005-0000-0000-0000BD070000}"/>
    <cellStyle name="20% - Accent1 4 2 5" xfId="1057" xr:uid="{00000000-0005-0000-0000-0000BE070000}"/>
    <cellStyle name="20% - Accent1 4 2 5 2" xfId="2548" xr:uid="{00000000-0005-0000-0000-0000BF070000}"/>
    <cellStyle name="20% - Accent1 4 2 5 2 2" xfId="6816" xr:uid="{00000000-0005-0000-0000-0000C0070000}"/>
    <cellStyle name="20% - Accent1 4 2 5 2 2 2" xfId="13916" xr:uid="{00000000-0005-0000-0000-0000C1070000}"/>
    <cellStyle name="20% - Accent1 4 2 5 2 2 3" xfId="21017" xr:uid="{00000000-0005-0000-0000-0000C2070000}"/>
    <cellStyle name="20% - Accent1 4 2 5 2 2 4" xfId="28119" xr:uid="{00000000-0005-0000-0000-0000C3070000}"/>
    <cellStyle name="20% - Accent1 4 2 5 2 2 5" xfId="35221" xr:uid="{00000000-0005-0000-0000-0000C4070000}"/>
    <cellStyle name="20% - Accent1 4 2 5 2 3" xfId="9656" xr:uid="{00000000-0005-0000-0000-0000C5070000}"/>
    <cellStyle name="20% - Accent1 4 2 5 2 4" xfId="16757" xr:uid="{00000000-0005-0000-0000-0000C6070000}"/>
    <cellStyle name="20% - Accent1 4 2 5 2 5" xfId="23859" xr:uid="{00000000-0005-0000-0000-0000C7070000}"/>
    <cellStyle name="20% - Accent1 4 2 5 2 6" xfId="30961" xr:uid="{00000000-0005-0000-0000-0000C8070000}"/>
    <cellStyle name="20% - Accent1 4 2 5 2 7" xfId="36167" xr:uid="{00000000-0005-0000-0000-0000C9070000}"/>
    <cellStyle name="20% - Accent1 4 2 5 3" xfId="5395" xr:uid="{00000000-0005-0000-0000-0000CA070000}"/>
    <cellStyle name="20% - Accent1 4 2 5 3 2" xfId="12496" xr:uid="{00000000-0005-0000-0000-0000CB070000}"/>
    <cellStyle name="20% - Accent1 4 2 5 3 3" xfId="19597" xr:uid="{00000000-0005-0000-0000-0000CC070000}"/>
    <cellStyle name="20% - Accent1 4 2 5 3 4" xfId="26699" xr:uid="{00000000-0005-0000-0000-0000CD070000}"/>
    <cellStyle name="20% - Accent1 4 2 5 3 5" xfId="33801" xr:uid="{00000000-0005-0000-0000-0000CE070000}"/>
    <cellStyle name="20% - Accent1 4 2 5 4" xfId="3970" xr:uid="{00000000-0005-0000-0000-0000CF070000}"/>
    <cellStyle name="20% - Accent1 4 2 5 4 2" xfId="11076" xr:uid="{00000000-0005-0000-0000-0000D0070000}"/>
    <cellStyle name="20% - Accent1 4 2 5 4 3" xfId="18177" xr:uid="{00000000-0005-0000-0000-0000D1070000}"/>
    <cellStyle name="20% - Accent1 4 2 5 4 4" xfId="25279" xr:uid="{00000000-0005-0000-0000-0000D2070000}"/>
    <cellStyle name="20% - Accent1 4 2 5 4 5" xfId="32381" xr:uid="{00000000-0005-0000-0000-0000D3070000}"/>
    <cellStyle name="20% - Accent1 4 2 5 5" xfId="8236" xr:uid="{00000000-0005-0000-0000-0000D4070000}"/>
    <cellStyle name="20% - Accent1 4 2 5 6" xfId="15337" xr:uid="{00000000-0005-0000-0000-0000D5070000}"/>
    <cellStyle name="20% - Accent1 4 2 5 7" xfId="22439" xr:uid="{00000000-0005-0000-0000-0000D6070000}"/>
    <cellStyle name="20% - Accent1 4 2 5 8" xfId="29541" xr:uid="{00000000-0005-0000-0000-0000D7070000}"/>
    <cellStyle name="20% - Accent1 4 2 5 9" xfId="36168" xr:uid="{00000000-0005-0000-0000-0000D8070000}"/>
    <cellStyle name="20% - Accent1 4 2 6" xfId="1483" xr:uid="{00000000-0005-0000-0000-0000D9070000}"/>
    <cellStyle name="20% - Accent1 4 2 6 2" xfId="2974" xr:uid="{00000000-0005-0000-0000-0000DA070000}"/>
    <cellStyle name="20% - Accent1 4 2 6 2 2" xfId="7242" xr:uid="{00000000-0005-0000-0000-0000DB070000}"/>
    <cellStyle name="20% - Accent1 4 2 6 2 2 2" xfId="14342" xr:uid="{00000000-0005-0000-0000-0000DC070000}"/>
    <cellStyle name="20% - Accent1 4 2 6 2 2 3" xfId="21443" xr:uid="{00000000-0005-0000-0000-0000DD070000}"/>
    <cellStyle name="20% - Accent1 4 2 6 2 2 4" xfId="28545" xr:uid="{00000000-0005-0000-0000-0000DE070000}"/>
    <cellStyle name="20% - Accent1 4 2 6 2 2 5" xfId="35647" xr:uid="{00000000-0005-0000-0000-0000DF070000}"/>
    <cellStyle name="20% - Accent1 4 2 6 2 3" xfId="10082" xr:uid="{00000000-0005-0000-0000-0000E0070000}"/>
    <cellStyle name="20% - Accent1 4 2 6 2 4" xfId="17183" xr:uid="{00000000-0005-0000-0000-0000E1070000}"/>
    <cellStyle name="20% - Accent1 4 2 6 2 5" xfId="24285" xr:uid="{00000000-0005-0000-0000-0000E2070000}"/>
    <cellStyle name="20% - Accent1 4 2 6 2 6" xfId="31387" xr:uid="{00000000-0005-0000-0000-0000E3070000}"/>
    <cellStyle name="20% - Accent1 4 2 6 2 7" xfId="36169" xr:uid="{00000000-0005-0000-0000-0000E4070000}"/>
    <cellStyle name="20% - Accent1 4 2 6 3" xfId="5821" xr:uid="{00000000-0005-0000-0000-0000E5070000}"/>
    <cellStyle name="20% - Accent1 4 2 6 3 2" xfId="12922" xr:uid="{00000000-0005-0000-0000-0000E6070000}"/>
    <cellStyle name="20% - Accent1 4 2 6 3 3" xfId="20023" xr:uid="{00000000-0005-0000-0000-0000E7070000}"/>
    <cellStyle name="20% - Accent1 4 2 6 3 4" xfId="27125" xr:uid="{00000000-0005-0000-0000-0000E8070000}"/>
    <cellStyle name="20% - Accent1 4 2 6 3 5" xfId="34227" xr:uid="{00000000-0005-0000-0000-0000E9070000}"/>
    <cellStyle name="20% - Accent1 4 2 6 4" xfId="4396" xr:uid="{00000000-0005-0000-0000-0000EA070000}"/>
    <cellStyle name="20% - Accent1 4 2 6 4 2" xfId="11502" xr:uid="{00000000-0005-0000-0000-0000EB070000}"/>
    <cellStyle name="20% - Accent1 4 2 6 4 3" xfId="18603" xr:uid="{00000000-0005-0000-0000-0000EC070000}"/>
    <cellStyle name="20% - Accent1 4 2 6 4 4" xfId="25705" xr:uid="{00000000-0005-0000-0000-0000ED070000}"/>
    <cellStyle name="20% - Accent1 4 2 6 4 5" xfId="32807" xr:uid="{00000000-0005-0000-0000-0000EE070000}"/>
    <cellStyle name="20% - Accent1 4 2 6 5" xfId="8662" xr:uid="{00000000-0005-0000-0000-0000EF070000}"/>
    <cellStyle name="20% - Accent1 4 2 6 6" xfId="15763" xr:uid="{00000000-0005-0000-0000-0000F0070000}"/>
    <cellStyle name="20% - Accent1 4 2 6 7" xfId="22865" xr:uid="{00000000-0005-0000-0000-0000F1070000}"/>
    <cellStyle name="20% - Accent1 4 2 6 8" xfId="29967" xr:uid="{00000000-0005-0000-0000-0000F2070000}"/>
    <cellStyle name="20% - Accent1 4 2 6 9" xfId="36170" xr:uid="{00000000-0005-0000-0000-0000F3070000}"/>
    <cellStyle name="20% - Accent1 4 2 7" xfId="1767" xr:uid="{00000000-0005-0000-0000-0000F4070000}"/>
    <cellStyle name="20% - Accent1 4 2 7 2" xfId="6035" xr:uid="{00000000-0005-0000-0000-0000F5070000}"/>
    <cellStyle name="20% - Accent1 4 2 7 2 2" xfId="13135" xr:uid="{00000000-0005-0000-0000-0000F6070000}"/>
    <cellStyle name="20% - Accent1 4 2 7 2 3" xfId="20236" xr:uid="{00000000-0005-0000-0000-0000F7070000}"/>
    <cellStyle name="20% - Accent1 4 2 7 2 4" xfId="27338" xr:uid="{00000000-0005-0000-0000-0000F8070000}"/>
    <cellStyle name="20% - Accent1 4 2 7 2 5" xfId="34440" xr:uid="{00000000-0005-0000-0000-0000F9070000}"/>
    <cellStyle name="20% - Accent1 4 2 7 3" xfId="8875" xr:uid="{00000000-0005-0000-0000-0000FA070000}"/>
    <cellStyle name="20% - Accent1 4 2 7 4" xfId="15976" xr:uid="{00000000-0005-0000-0000-0000FB070000}"/>
    <cellStyle name="20% - Accent1 4 2 7 5" xfId="23078" xr:uid="{00000000-0005-0000-0000-0000FC070000}"/>
    <cellStyle name="20% - Accent1 4 2 7 6" xfId="30180" xr:uid="{00000000-0005-0000-0000-0000FD070000}"/>
    <cellStyle name="20% - Accent1 4 2 7 7" xfId="36171" xr:uid="{00000000-0005-0000-0000-0000FE070000}"/>
    <cellStyle name="20% - Accent1 4 2 8" xfId="4614" xr:uid="{00000000-0005-0000-0000-0000FF070000}"/>
    <cellStyle name="20% - Accent1 4 2 8 2" xfId="11715" xr:uid="{00000000-0005-0000-0000-000000080000}"/>
    <cellStyle name="20% - Accent1 4 2 8 3" xfId="18816" xr:uid="{00000000-0005-0000-0000-000001080000}"/>
    <cellStyle name="20% - Accent1 4 2 8 4" xfId="25918" xr:uid="{00000000-0005-0000-0000-000002080000}"/>
    <cellStyle name="20% - Accent1 4 2 8 5" xfId="33020" xr:uid="{00000000-0005-0000-0000-000003080000}"/>
    <cellStyle name="20% - Accent1 4 2 9" xfId="3189" xr:uid="{00000000-0005-0000-0000-000004080000}"/>
    <cellStyle name="20% - Accent1 4 2 9 2" xfId="10295" xr:uid="{00000000-0005-0000-0000-000005080000}"/>
    <cellStyle name="20% - Accent1 4 2 9 3" xfId="17396" xr:uid="{00000000-0005-0000-0000-000006080000}"/>
    <cellStyle name="20% - Accent1 4 2 9 4" xfId="24498" xr:uid="{00000000-0005-0000-0000-000007080000}"/>
    <cellStyle name="20% - Accent1 4 2 9 5" xfId="31600" xr:uid="{00000000-0005-0000-0000-000008080000}"/>
    <cellStyle name="20% - Accent1 4 3" xfId="205" xr:uid="{00000000-0005-0000-0000-000009080000}"/>
    <cellStyle name="20% - Accent1 4 3 10" xfId="7384" xr:uid="{00000000-0005-0000-0000-00000A080000}"/>
    <cellStyle name="20% - Accent1 4 3 11" xfId="14485" xr:uid="{00000000-0005-0000-0000-00000B080000}"/>
    <cellStyle name="20% - Accent1 4 3 12" xfId="21587" xr:uid="{00000000-0005-0000-0000-00000C080000}"/>
    <cellStyle name="20% - Accent1 4 3 13" xfId="28689" xr:uid="{00000000-0005-0000-0000-00000D080000}"/>
    <cellStyle name="20% - Accent1 4 3 14" xfId="35791" xr:uid="{00000000-0005-0000-0000-00000E080000}"/>
    <cellStyle name="20% - Accent1 4 3 15" xfId="36172" xr:uid="{00000000-0005-0000-0000-00000F080000}"/>
    <cellStyle name="20% - Accent1 4 3 2" xfId="418" xr:uid="{00000000-0005-0000-0000-000010080000}"/>
    <cellStyle name="20% - Accent1 4 3 2 2" xfId="1909" xr:uid="{00000000-0005-0000-0000-000011080000}"/>
    <cellStyle name="20% - Accent1 4 3 2 2 2" xfId="6177" xr:uid="{00000000-0005-0000-0000-000012080000}"/>
    <cellStyle name="20% - Accent1 4 3 2 2 2 2" xfId="13277" xr:uid="{00000000-0005-0000-0000-000013080000}"/>
    <cellStyle name="20% - Accent1 4 3 2 2 2 3" xfId="20378" xr:uid="{00000000-0005-0000-0000-000014080000}"/>
    <cellStyle name="20% - Accent1 4 3 2 2 2 4" xfId="27480" xr:uid="{00000000-0005-0000-0000-000015080000}"/>
    <cellStyle name="20% - Accent1 4 3 2 2 2 5" xfId="34582" xr:uid="{00000000-0005-0000-0000-000016080000}"/>
    <cellStyle name="20% - Accent1 4 3 2 2 2 6" xfId="36173" xr:uid="{00000000-0005-0000-0000-000017080000}"/>
    <cellStyle name="20% - Accent1 4 3 2 2 3" xfId="9017" xr:uid="{00000000-0005-0000-0000-000018080000}"/>
    <cellStyle name="20% - Accent1 4 3 2 2 4" xfId="16118" xr:uid="{00000000-0005-0000-0000-000019080000}"/>
    <cellStyle name="20% - Accent1 4 3 2 2 5" xfId="23220" xr:uid="{00000000-0005-0000-0000-00001A080000}"/>
    <cellStyle name="20% - Accent1 4 3 2 2 6" xfId="30322" xr:uid="{00000000-0005-0000-0000-00001B080000}"/>
    <cellStyle name="20% - Accent1 4 3 2 2 7" xfId="36174" xr:uid="{00000000-0005-0000-0000-00001C080000}"/>
    <cellStyle name="20% - Accent1 4 3 2 3" xfId="4756" xr:uid="{00000000-0005-0000-0000-00001D080000}"/>
    <cellStyle name="20% - Accent1 4 3 2 3 2" xfId="11857" xr:uid="{00000000-0005-0000-0000-00001E080000}"/>
    <cellStyle name="20% - Accent1 4 3 2 3 2 2" xfId="36175" xr:uid="{00000000-0005-0000-0000-00001F080000}"/>
    <cellStyle name="20% - Accent1 4 3 2 3 3" xfId="18958" xr:uid="{00000000-0005-0000-0000-000020080000}"/>
    <cellStyle name="20% - Accent1 4 3 2 3 4" xfId="26060" xr:uid="{00000000-0005-0000-0000-000021080000}"/>
    <cellStyle name="20% - Accent1 4 3 2 3 5" xfId="33162" xr:uid="{00000000-0005-0000-0000-000022080000}"/>
    <cellStyle name="20% - Accent1 4 3 2 3 6" xfId="36176" xr:uid="{00000000-0005-0000-0000-000023080000}"/>
    <cellStyle name="20% - Accent1 4 3 2 4" xfId="3331" xr:uid="{00000000-0005-0000-0000-000024080000}"/>
    <cellStyle name="20% - Accent1 4 3 2 4 2" xfId="10437" xr:uid="{00000000-0005-0000-0000-000025080000}"/>
    <cellStyle name="20% - Accent1 4 3 2 4 3" xfId="17538" xr:uid="{00000000-0005-0000-0000-000026080000}"/>
    <cellStyle name="20% - Accent1 4 3 2 4 4" xfId="24640" xr:uid="{00000000-0005-0000-0000-000027080000}"/>
    <cellStyle name="20% - Accent1 4 3 2 4 5" xfId="31742" xr:uid="{00000000-0005-0000-0000-000028080000}"/>
    <cellStyle name="20% - Accent1 4 3 2 4 6" xfId="36177" xr:uid="{00000000-0005-0000-0000-000029080000}"/>
    <cellStyle name="20% - Accent1 4 3 2 5" xfId="7597" xr:uid="{00000000-0005-0000-0000-00002A080000}"/>
    <cellStyle name="20% - Accent1 4 3 2 6" xfId="14698" xr:uid="{00000000-0005-0000-0000-00002B080000}"/>
    <cellStyle name="20% - Accent1 4 3 2 7" xfId="21800" xr:uid="{00000000-0005-0000-0000-00002C080000}"/>
    <cellStyle name="20% - Accent1 4 3 2 8" xfId="28902" xr:uid="{00000000-0005-0000-0000-00002D080000}"/>
    <cellStyle name="20% - Accent1 4 3 2 9" xfId="36178" xr:uid="{00000000-0005-0000-0000-00002E080000}"/>
    <cellStyle name="20% - Accent1 4 3 3" xfId="631" xr:uid="{00000000-0005-0000-0000-00002F080000}"/>
    <cellStyle name="20% - Accent1 4 3 3 2" xfId="2122" xr:uid="{00000000-0005-0000-0000-000030080000}"/>
    <cellStyle name="20% - Accent1 4 3 3 2 2" xfId="6390" xr:uid="{00000000-0005-0000-0000-000031080000}"/>
    <cellStyle name="20% - Accent1 4 3 3 2 2 2" xfId="13490" xr:uid="{00000000-0005-0000-0000-000032080000}"/>
    <cellStyle name="20% - Accent1 4 3 3 2 2 3" xfId="20591" xr:uid="{00000000-0005-0000-0000-000033080000}"/>
    <cellStyle name="20% - Accent1 4 3 3 2 2 4" xfId="27693" xr:uid="{00000000-0005-0000-0000-000034080000}"/>
    <cellStyle name="20% - Accent1 4 3 3 2 2 5" xfId="34795" xr:uid="{00000000-0005-0000-0000-000035080000}"/>
    <cellStyle name="20% - Accent1 4 3 3 2 2 6" xfId="36179" xr:uid="{00000000-0005-0000-0000-000036080000}"/>
    <cellStyle name="20% - Accent1 4 3 3 2 3" xfId="9230" xr:uid="{00000000-0005-0000-0000-000037080000}"/>
    <cellStyle name="20% - Accent1 4 3 3 2 4" xfId="16331" xr:uid="{00000000-0005-0000-0000-000038080000}"/>
    <cellStyle name="20% - Accent1 4 3 3 2 5" xfId="23433" xr:uid="{00000000-0005-0000-0000-000039080000}"/>
    <cellStyle name="20% - Accent1 4 3 3 2 6" xfId="30535" xr:uid="{00000000-0005-0000-0000-00003A080000}"/>
    <cellStyle name="20% - Accent1 4 3 3 2 7" xfId="36180" xr:uid="{00000000-0005-0000-0000-00003B080000}"/>
    <cellStyle name="20% - Accent1 4 3 3 3" xfId="4969" xr:uid="{00000000-0005-0000-0000-00003C080000}"/>
    <cellStyle name="20% - Accent1 4 3 3 3 2" xfId="12070" xr:uid="{00000000-0005-0000-0000-00003D080000}"/>
    <cellStyle name="20% - Accent1 4 3 3 3 2 2" xfId="36181" xr:uid="{00000000-0005-0000-0000-00003E080000}"/>
    <cellStyle name="20% - Accent1 4 3 3 3 3" xfId="19171" xr:uid="{00000000-0005-0000-0000-00003F080000}"/>
    <cellStyle name="20% - Accent1 4 3 3 3 4" xfId="26273" xr:uid="{00000000-0005-0000-0000-000040080000}"/>
    <cellStyle name="20% - Accent1 4 3 3 3 5" xfId="33375" xr:uid="{00000000-0005-0000-0000-000041080000}"/>
    <cellStyle name="20% - Accent1 4 3 3 3 6" xfId="36182" xr:uid="{00000000-0005-0000-0000-000042080000}"/>
    <cellStyle name="20% - Accent1 4 3 3 4" xfId="3544" xr:uid="{00000000-0005-0000-0000-000043080000}"/>
    <cellStyle name="20% - Accent1 4 3 3 4 2" xfId="10650" xr:uid="{00000000-0005-0000-0000-000044080000}"/>
    <cellStyle name="20% - Accent1 4 3 3 4 3" xfId="17751" xr:uid="{00000000-0005-0000-0000-000045080000}"/>
    <cellStyle name="20% - Accent1 4 3 3 4 4" xfId="24853" xr:uid="{00000000-0005-0000-0000-000046080000}"/>
    <cellStyle name="20% - Accent1 4 3 3 4 5" xfId="31955" xr:uid="{00000000-0005-0000-0000-000047080000}"/>
    <cellStyle name="20% - Accent1 4 3 3 4 6" xfId="36183" xr:uid="{00000000-0005-0000-0000-000048080000}"/>
    <cellStyle name="20% - Accent1 4 3 3 5" xfId="7810" xr:uid="{00000000-0005-0000-0000-000049080000}"/>
    <cellStyle name="20% - Accent1 4 3 3 6" xfId="14911" xr:uid="{00000000-0005-0000-0000-00004A080000}"/>
    <cellStyle name="20% - Accent1 4 3 3 7" xfId="22013" xr:uid="{00000000-0005-0000-0000-00004B080000}"/>
    <cellStyle name="20% - Accent1 4 3 3 8" xfId="29115" xr:uid="{00000000-0005-0000-0000-00004C080000}"/>
    <cellStyle name="20% - Accent1 4 3 3 9" xfId="36184" xr:uid="{00000000-0005-0000-0000-00004D080000}"/>
    <cellStyle name="20% - Accent1 4 3 4" xfId="844" xr:uid="{00000000-0005-0000-0000-00004E080000}"/>
    <cellStyle name="20% - Accent1 4 3 4 2" xfId="2335" xr:uid="{00000000-0005-0000-0000-00004F080000}"/>
    <cellStyle name="20% - Accent1 4 3 4 2 2" xfId="6603" xr:uid="{00000000-0005-0000-0000-000050080000}"/>
    <cellStyle name="20% - Accent1 4 3 4 2 2 2" xfId="13703" xr:uid="{00000000-0005-0000-0000-000051080000}"/>
    <cellStyle name="20% - Accent1 4 3 4 2 2 3" xfId="20804" xr:uid="{00000000-0005-0000-0000-000052080000}"/>
    <cellStyle name="20% - Accent1 4 3 4 2 2 4" xfId="27906" xr:uid="{00000000-0005-0000-0000-000053080000}"/>
    <cellStyle name="20% - Accent1 4 3 4 2 2 5" xfId="35008" xr:uid="{00000000-0005-0000-0000-000054080000}"/>
    <cellStyle name="20% - Accent1 4 3 4 2 2 6" xfId="36185" xr:uid="{00000000-0005-0000-0000-000055080000}"/>
    <cellStyle name="20% - Accent1 4 3 4 2 3" xfId="9443" xr:uid="{00000000-0005-0000-0000-000056080000}"/>
    <cellStyle name="20% - Accent1 4 3 4 2 4" xfId="16544" xr:uid="{00000000-0005-0000-0000-000057080000}"/>
    <cellStyle name="20% - Accent1 4 3 4 2 5" xfId="23646" xr:uid="{00000000-0005-0000-0000-000058080000}"/>
    <cellStyle name="20% - Accent1 4 3 4 2 6" xfId="30748" xr:uid="{00000000-0005-0000-0000-000059080000}"/>
    <cellStyle name="20% - Accent1 4 3 4 2 7" xfId="36186" xr:uid="{00000000-0005-0000-0000-00005A080000}"/>
    <cellStyle name="20% - Accent1 4 3 4 3" xfId="5182" xr:uid="{00000000-0005-0000-0000-00005B080000}"/>
    <cellStyle name="20% - Accent1 4 3 4 3 2" xfId="12283" xr:uid="{00000000-0005-0000-0000-00005C080000}"/>
    <cellStyle name="20% - Accent1 4 3 4 3 2 2" xfId="36187" xr:uid="{00000000-0005-0000-0000-00005D080000}"/>
    <cellStyle name="20% - Accent1 4 3 4 3 3" xfId="19384" xr:uid="{00000000-0005-0000-0000-00005E080000}"/>
    <cellStyle name="20% - Accent1 4 3 4 3 4" xfId="26486" xr:uid="{00000000-0005-0000-0000-00005F080000}"/>
    <cellStyle name="20% - Accent1 4 3 4 3 5" xfId="33588" xr:uid="{00000000-0005-0000-0000-000060080000}"/>
    <cellStyle name="20% - Accent1 4 3 4 3 6" xfId="36188" xr:uid="{00000000-0005-0000-0000-000061080000}"/>
    <cellStyle name="20% - Accent1 4 3 4 4" xfId="3757" xr:uid="{00000000-0005-0000-0000-000062080000}"/>
    <cellStyle name="20% - Accent1 4 3 4 4 2" xfId="10863" xr:uid="{00000000-0005-0000-0000-000063080000}"/>
    <cellStyle name="20% - Accent1 4 3 4 4 3" xfId="17964" xr:uid="{00000000-0005-0000-0000-000064080000}"/>
    <cellStyle name="20% - Accent1 4 3 4 4 4" xfId="25066" xr:uid="{00000000-0005-0000-0000-000065080000}"/>
    <cellStyle name="20% - Accent1 4 3 4 4 5" xfId="32168" xr:uid="{00000000-0005-0000-0000-000066080000}"/>
    <cellStyle name="20% - Accent1 4 3 4 4 6" xfId="36189" xr:uid="{00000000-0005-0000-0000-000067080000}"/>
    <cellStyle name="20% - Accent1 4 3 4 5" xfId="8023" xr:uid="{00000000-0005-0000-0000-000068080000}"/>
    <cellStyle name="20% - Accent1 4 3 4 6" xfId="15124" xr:uid="{00000000-0005-0000-0000-000069080000}"/>
    <cellStyle name="20% - Accent1 4 3 4 7" xfId="22226" xr:uid="{00000000-0005-0000-0000-00006A080000}"/>
    <cellStyle name="20% - Accent1 4 3 4 8" xfId="29328" xr:uid="{00000000-0005-0000-0000-00006B080000}"/>
    <cellStyle name="20% - Accent1 4 3 4 9" xfId="36190" xr:uid="{00000000-0005-0000-0000-00006C080000}"/>
    <cellStyle name="20% - Accent1 4 3 5" xfId="1199" xr:uid="{00000000-0005-0000-0000-00006D080000}"/>
    <cellStyle name="20% - Accent1 4 3 5 2" xfId="2690" xr:uid="{00000000-0005-0000-0000-00006E080000}"/>
    <cellStyle name="20% - Accent1 4 3 5 2 2" xfId="6958" xr:uid="{00000000-0005-0000-0000-00006F080000}"/>
    <cellStyle name="20% - Accent1 4 3 5 2 2 2" xfId="14058" xr:uid="{00000000-0005-0000-0000-000070080000}"/>
    <cellStyle name="20% - Accent1 4 3 5 2 2 3" xfId="21159" xr:uid="{00000000-0005-0000-0000-000071080000}"/>
    <cellStyle name="20% - Accent1 4 3 5 2 2 4" xfId="28261" xr:uid="{00000000-0005-0000-0000-000072080000}"/>
    <cellStyle name="20% - Accent1 4 3 5 2 2 5" xfId="35363" xr:uid="{00000000-0005-0000-0000-000073080000}"/>
    <cellStyle name="20% - Accent1 4 3 5 2 3" xfId="9798" xr:uid="{00000000-0005-0000-0000-000074080000}"/>
    <cellStyle name="20% - Accent1 4 3 5 2 4" xfId="16899" xr:uid="{00000000-0005-0000-0000-000075080000}"/>
    <cellStyle name="20% - Accent1 4 3 5 2 5" xfId="24001" xr:uid="{00000000-0005-0000-0000-000076080000}"/>
    <cellStyle name="20% - Accent1 4 3 5 2 6" xfId="31103" xr:uid="{00000000-0005-0000-0000-000077080000}"/>
    <cellStyle name="20% - Accent1 4 3 5 2 7" xfId="36191" xr:uid="{00000000-0005-0000-0000-000078080000}"/>
    <cellStyle name="20% - Accent1 4 3 5 3" xfId="5537" xr:uid="{00000000-0005-0000-0000-000079080000}"/>
    <cellStyle name="20% - Accent1 4 3 5 3 2" xfId="12638" xr:uid="{00000000-0005-0000-0000-00007A080000}"/>
    <cellStyle name="20% - Accent1 4 3 5 3 3" xfId="19739" xr:uid="{00000000-0005-0000-0000-00007B080000}"/>
    <cellStyle name="20% - Accent1 4 3 5 3 4" xfId="26841" xr:uid="{00000000-0005-0000-0000-00007C080000}"/>
    <cellStyle name="20% - Accent1 4 3 5 3 5" xfId="33943" xr:uid="{00000000-0005-0000-0000-00007D080000}"/>
    <cellStyle name="20% - Accent1 4 3 5 4" xfId="4112" xr:uid="{00000000-0005-0000-0000-00007E080000}"/>
    <cellStyle name="20% - Accent1 4 3 5 4 2" xfId="11218" xr:uid="{00000000-0005-0000-0000-00007F080000}"/>
    <cellStyle name="20% - Accent1 4 3 5 4 3" xfId="18319" xr:uid="{00000000-0005-0000-0000-000080080000}"/>
    <cellStyle name="20% - Accent1 4 3 5 4 4" xfId="25421" xr:uid="{00000000-0005-0000-0000-000081080000}"/>
    <cellStyle name="20% - Accent1 4 3 5 4 5" xfId="32523" xr:uid="{00000000-0005-0000-0000-000082080000}"/>
    <cellStyle name="20% - Accent1 4 3 5 5" xfId="8378" xr:uid="{00000000-0005-0000-0000-000083080000}"/>
    <cellStyle name="20% - Accent1 4 3 5 6" xfId="15479" xr:uid="{00000000-0005-0000-0000-000084080000}"/>
    <cellStyle name="20% - Accent1 4 3 5 7" xfId="22581" xr:uid="{00000000-0005-0000-0000-000085080000}"/>
    <cellStyle name="20% - Accent1 4 3 5 8" xfId="29683" xr:uid="{00000000-0005-0000-0000-000086080000}"/>
    <cellStyle name="20% - Accent1 4 3 5 9" xfId="36192" xr:uid="{00000000-0005-0000-0000-000087080000}"/>
    <cellStyle name="20% - Accent1 4 3 6" xfId="1412" xr:uid="{00000000-0005-0000-0000-000088080000}"/>
    <cellStyle name="20% - Accent1 4 3 6 2" xfId="2903" xr:uid="{00000000-0005-0000-0000-000089080000}"/>
    <cellStyle name="20% - Accent1 4 3 6 2 2" xfId="7171" xr:uid="{00000000-0005-0000-0000-00008A080000}"/>
    <cellStyle name="20% - Accent1 4 3 6 2 2 2" xfId="14271" xr:uid="{00000000-0005-0000-0000-00008B080000}"/>
    <cellStyle name="20% - Accent1 4 3 6 2 2 3" xfId="21372" xr:uid="{00000000-0005-0000-0000-00008C080000}"/>
    <cellStyle name="20% - Accent1 4 3 6 2 2 4" xfId="28474" xr:uid="{00000000-0005-0000-0000-00008D080000}"/>
    <cellStyle name="20% - Accent1 4 3 6 2 2 5" xfId="35576" xr:uid="{00000000-0005-0000-0000-00008E080000}"/>
    <cellStyle name="20% - Accent1 4 3 6 2 3" xfId="10011" xr:uid="{00000000-0005-0000-0000-00008F080000}"/>
    <cellStyle name="20% - Accent1 4 3 6 2 4" xfId="17112" xr:uid="{00000000-0005-0000-0000-000090080000}"/>
    <cellStyle name="20% - Accent1 4 3 6 2 5" xfId="24214" xr:uid="{00000000-0005-0000-0000-000091080000}"/>
    <cellStyle name="20% - Accent1 4 3 6 2 6" xfId="31316" xr:uid="{00000000-0005-0000-0000-000092080000}"/>
    <cellStyle name="20% - Accent1 4 3 6 2 7" xfId="36193" xr:uid="{00000000-0005-0000-0000-000093080000}"/>
    <cellStyle name="20% - Accent1 4 3 6 3" xfId="5750" xr:uid="{00000000-0005-0000-0000-000094080000}"/>
    <cellStyle name="20% - Accent1 4 3 6 3 2" xfId="12851" xr:uid="{00000000-0005-0000-0000-000095080000}"/>
    <cellStyle name="20% - Accent1 4 3 6 3 3" xfId="19952" xr:uid="{00000000-0005-0000-0000-000096080000}"/>
    <cellStyle name="20% - Accent1 4 3 6 3 4" xfId="27054" xr:uid="{00000000-0005-0000-0000-000097080000}"/>
    <cellStyle name="20% - Accent1 4 3 6 3 5" xfId="34156" xr:uid="{00000000-0005-0000-0000-000098080000}"/>
    <cellStyle name="20% - Accent1 4 3 6 4" xfId="4325" xr:uid="{00000000-0005-0000-0000-000099080000}"/>
    <cellStyle name="20% - Accent1 4 3 6 4 2" xfId="11431" xr:uid="{00000000-0005-0000-0000-00009A080000}"/>
    <cellStyle name="20% - Accent1 4 3 6 4 3" xfId="18532" xr:uid="{00000000-0005-0000-0000-00009B080000}"/>
    <cellStyle name="20% - Accent1 4 3 6 4 4" xfId="25634" xr:uid="{00000000-0005-0000-0000-00009C080000}"/>
    <cellStyle name="20% - Accent1 4 3 6 4 5" xfId="32736" xr:uid="{00000000-0005-0000-0000-00009D080000}"/>
    <cellStyle name="20% - Accent1 4 3 6 5" xfId="8591" xr:uid="{00000000-0005-0000-0000-00009E080000}"/>
    <cellStyle name="20% - Accent1 4 3 6 6" xfId="15692" xr:uid="{00000000-0005-0000-0000-00009F080000}"/>
    <cellStyle name="20% - Accent1 4 3 6 7" xfId="22794" xr:uid="{00000000-0005-0000-0000-0000A0080000}"/>
    <cellStyle name="20% - Accent1 4 3 6 8" xfId="29896" xr:uid="{00000000-0005-0000-0000-0000A1080000}"/>
    <cellStyle name="20% - Accent1 4 3 6 9" xfId="36194" xr:uid="{00000000-0005-0000-0000-0000A2080000}"/>
    <cellStyle name="20% - Accent1 4 3 7" xfId="1696" xr:uid="{00000000-0005-0000-0000-0000A3080000}"/>
    <cellStyle name="20% - Accent1 4 3 7 2" xfId="5964" xr:uid="{00000000-0005-0000-0000-0000A4080000}"/>
    <cellStyle name="20% - Accent1 4 3 7 2 2" xfId="13064" xr:uid="{00000000-0005-0000-0000-0000A5080000}"/>
    <cellStyle name="20% - Accent1 4 3 7 2 3" xfId="20165" xr:uid="{00000000-0005-0000-0000-0000A6080000}"/>
    <cellStyle name="20% - Accent1 4 3 7 2 4" xfId="27267" xr:uid="{00000000-0005-0000-0000-0000A7080000}"/>
    <cellStyle name="20% - Accent1 4 3 7 2 5" xfId="34369" xr:uid="{00000000-0005-0000-0000-0000A8080000}"/>
    <cellStyle name="20% - Accent1 4 3 7 3" xfId="8804" xr:uid="{00000000-0005-0000-0000-0000A9080000}"/>
    <cellStyle name="20% - Accent1 4 3 7 4" xfId="15905" xr:uid="{00000000-0005-0000-0000-0000AA080000}"/>
    <cellStyle name="20% - Accent1 4 3 7 5" xfId="23007" xr:uid="{00000000-0005-0000-0000-0000AB080000}"/>
    <cellStyle name="20% - Accent1 4 3 7 6" xfId="30109" xr:uid="{00000000-0005-0000-0000-0000AC080000}"/>
    <cellStyle name="20% - Accent1 4 3 7 7" xfId="36195" xr:uid="{00000000-0005-0000-0000-0000AD080000}"/>
    <cellStyle name="20% - Accent1 4 3 8" xfId="4543" xr:uid="{00000000-0005-0000-0000-0000AE080000}"/>
    <cellStyle name="20% - Accent1 4 3 8 2" xfId="11644" xr:uid="{00000000-0005-0000-0000-0000AF080000}"/>
    <cellStyle name="20% - Accent1 4 3 8 3" xfId="18745" xr:uid="{00000000-0005-0000-0000-0000B0080000}"/>
    <cellStyle name="20% - Accent1 4 3 8 4" xfId="25847" xr:uid="{00000000-0005-0000-0000-0000B1080000}"/>
    <cellStyle name="20% - Accent1 4 3 8 5" xfId="32949" xr:uid="{00000000-0005-0000-0000-0000B2080000}"/>
    <cellStyle name="20% - Accent1 4 3 9" xfId="3118" xr:uid="{00000000-0005-0000-0000-0000B3080000}"/>
    <cellStyle name="20% - Accent1 4 3 9 2" xfId="10224" xr:uid="{00000000-0005-0000-0000-0000B4080000}"/>
    <cellStyle name="20% - Accent1 4 3 9 3" xfId="17325" xr:uid="{00000000-0005-0000-0000-0000B5080000}"/>
    <cellStyle name="20% - Accent1 4 3 9 4" xfId="24427" xr:uid="{00000000-0005-0000-0000-0000B6080000}"/>
    <cellStyle name="20% - Accent1 4 3 9 5" xfId="31529" xr:uid="{00000000-0005-0000-0000-0000B7080000}"/>
    <cellStyle name="20% - Accent1 4 4" xfId="347" xr:uid="{00000000-0005-0000-0000-0000B8080000}"/>
    <cellStyle name="20% - Accent1 4 4 10" xfId="36196" xr:uid="{00000000-0005-0000-0000-0000B9080000}"/>
    <cellStyle name="20% - Accent1 4 4 2" xfId="1128" xr:uid="{00000000-0005-0000-0000-0000BA080000}"/>
    <cellStyle name="20% - Accent1 4 4 2 2" xfId="2619" xr:uid="{00000000-0005-0000-0000-0000BB080000}"/>
    <cellStyle name="20% - Accent1 4 4 2 2 2" xfId="6887" xr:uid="{00000000-0005-0000-0000-0000BC080000}"/>
    <cellStyle name="20% - Accent1 4 4 2 2 2 2" xfId="13987" xr:uid="{00000000-0005-0000-0000-0000BD080000}"/>
    <cellStyle name="20% - Accent1 4 4 2 2 2 3" xfId="21088" xr:uid="{00000000-0005-0000-0000-0000BE080000}"/>
    <cellStyle name="20% - Accent1 4 4 2 2 2 4" xfId="28190" xr:uid="{00000000-0005-0000-0000-0000BF080000}"/>
    <cellStyle name="20% - Accent1 4 4 2 2 2 5" xfId="35292" xr:uid="{00000000-0005-0000-0000-0000C0080000}"/>
    <cellStyle name="20% - Accent1 4 4 2 2 3" xfId="9727" xr:uid="{00000000-0005-0000-0000-0000C1080000}"/>
    <cellStyle name="20% - Accent1 4 4 2 2 4" xfId="16828" xr:uid="{00000000-0005-0000-0000-0000C2080000}"/>
    <cellStyle name="20% - Accent1 4 4 2 2 5" xfId="23930" xr:uid="{00000000-0005-0000-0000-0000C3080000}"/>
    <cellStyle name="20% - Accent1 4 4 2 2 6" xfId="31032" xr:uid="{00000000-0005-0000-0000-0000C4080000}"/>
    <cellStyle name="20% - Accent1 4 4 2 2 7" xfId="36197" xr:uid="{00000000-0005-0000-0000-0000C5080000}"/>
    <cellStyle name="20% - Accent1 4 4 2 3" xfId="5466" xr:uid="{00000000-0005-0000-0000-0000C6080000}"/>
    <cellStyle name="20% - Accent1 4 4 2 3 2" xfId="12567" xr:uid="{00000000-0005-0000-0000-0000C7080000}"/>
    <cellStyle name="20% - Accent1 4 4 2 3 3" xfId="19668" xr:uid="{00000000-0005-0000-0000-0000C8080000}"/>
    <cellStyle name="20% - Accent1 4 4 2 3 4" xfId="26770" xr:uid="{00000000-0005-0000-0000-0000C9080000}"/>
    <cellStyle name="20% - Accent1 4 4 2 3 5" xfId="33872" xr:uid="{00000000-0005-0000-0000-0000CA080000}"/>
    <cellStyle name="20% - Accent1 4 4 2 4" xfId="4041" xr:uid="{00000000-0005-0000-0000-0000CB080000}"/>
    <cellStyle name="20% - Accent1 4 4 2 4 2" xfId="11147" xr:uid="{00000000-0005-0000-0000-0000CC080000}"/>
    <cellStyle name="20% - Accent1 4 4 2 4 3" xfId="18248" xr:uid="{00000000-0005-0000-0000-0000CD080000}"/>
    <cellStyle name="20% - Accent1 4 4 2 4 4" xfId="25350" xr:uid="{00000000-0005-0000-0000-0000CE080000}"/>
    <cellStyle name="20% - Accent1 4 4 2 4 5" xfId="32452" xr:uid="{00000000-0005-0000-0000-0000CF080000}"/>
    <cellStyle name="20% - Accent1 4 4 2 5" xfId="8307" xr:uid="{00000000-0005-0000-0000-0000D0080000}"/>
    <cellStyle name="20% - Accent1 4 4 2 6" xfId="15408" xr:uid="{00000000-0005-0000-0000-0000D1080000}"/>
    <cellStyle name="20% - Accent1 4 4 2 7" xfId="22510" xr:uid="{00000000-0005-0000-0000-0000D2080000}"/>
    <cellStyle name="20% - Accent1 4 4 2 8" xfId="29612" xr:uid="{00000000-0005-0000-0000-0000D3080000}"/>
    <cellStyle name="20% - Accent1 4 4 2 9" xfId="36198" xr:uid="{00000000-0005-0000-0000-0000D4080000}"/>
    <cellStyle name="20% - Accent1 4 4 3" xfId="1838" xr:uid="{00000000-0005-0000-0000-0000D5080000}"/>
    <cellStyle name="20% - Accent1 4 4 3 2" xfId="6106" xr:uid="{00000000-0005-0000-0000-0000D6080000}"/>
    <cellStyle name="20% - Accent1 4 4 3 2 2" xfId="13206" xr:uid="{00000000-0005-0000-0000-0000D7080000}"/>
    <cellStyle name="20% - Accent1 4 4 3 2 3" xfId="20307" xr:uid="{00000000-0005-0000-0000-0000D8080000}"/>
    <cellStyle name="20% - Accent1 4 4 3 2 4" xfId="27409" xr:uid="{00000000-0005-0000-0000-0000D9080000}"/>
    <cellStyle name="20% - Accent1 4 4 3 2 5" xfId="34511" xr:uid="{00000000-0005-0000-0000-0000DA080000}"/>
    <cellStyle name="20% - Accent1 4 4 3 2 6" xfId="36199" xr:uid="{00000000-0005-0000-0000-0000DB080000}"/>
    <cellStyle name="20% - Accent1 4 4 3 3" xfId="8946" xr:uid="{00000000-0005-0000-0000-0000DC080000}"/>
    <cellStyle name="20% - Accent1 4 4 3 4" xfId="16047" xr:uid="{00000000-0005-0000-0000-0000DD080000}"/>
    <cellStyle name="20% - Accent1 4 4 3 5" xfId="23149" xr:uid="{00000000-0005-0000-0000-0000DE080000}"/>
    <cellStyle name="20% - Accent1 4 4 3 6" xfId="30251" xr:uid="{00000000-0005-0000-0000-0000DF080000}"/>
    <cellStyle name="20% - Accent1 4 4 3 7" xfId="36200" xr:uid="{00000000-0005-0000-0000-0000E0080000}"/>
    <cellStyle name="20% - Accent1 4 4 4" xfId="4685" xr:uid="{00000000-0005-0000-0000-0000E1080000}"/>
    <cellStyle name="20% - Accent1 4 4 4 2" xfId="11786" xr:uid="{00000000-0005-0000-0000-0000E2080000}"/>
    <cellStyle name="20% - Accent1 4 4 4 3" xfId="18887" xr:uid="{00000000-0005-0000-0000-0000E3080000}"/>
    <cellStyle name="20% - Accent1 4 4 4 4" xfId="25989" xr:uid="{00000000-0005-0000-0000-0000E4080000}"/>
    <cellStyle name="20% - Accent1 4 4 4 5" xfId="33091" xr:uid="{00000000-0005-0000-0000-0000E5080000}"/>
    <cellStyle name="20% - Accent1 4 4 4 6" xfId="36201" xr:uid="{00000000-0005-0000-0000-0000E6080000}"/>
    <cellStyle name="20% - Accent1 4 4 5" xfId="3260" xr:uid="{00000000-0005-0000-0000-0000E7080000}"/>
    <cellStyle name="20% - Accent1 4 4 5 2" xfId="10366" xr:uid="{00000000-0005-0000-0000-0000E8080000}"/>
    <cellStyle name="20% - Accent1 4 4 5 3" xfId="17467" xr:uid="{00000000-0005-0000-0000-0000E9080000}"/>
    <cellStyle name="20% - Accent1 4 4 5 4" xfId="24569" xr:uid="{00000000-0005-0000-0000-0000EA080000}"/>
    <cellStyle name="20% - Accent1 4 4 5 5" xfId="31671" xr:uid="{00000000-0005-0000-0000-0000EB080000}"/>
    <cellStyle name="20% - Accent1 4 4 6" xfId="7526" xr:uid="{00000000-0005-0000-0000-0000EC080000}"/>
    <cellStyle name="20% - Accent1 4 4 7" xfId="14627" xr:uid="{00000000-0005-0000-0000-0000ED080000}"/>
    <cellStyle name="20% - Accent1 4 4 8" xfId="21729" xr:uid="{00000000-0005-0000-0000-0000EE080000}"/>
    <cellStyle name="20% - Accent1 4 4 9" xfId="28831" xr:uid="{00000000-0005-0000-0000-0000EF080000}"/>
    <cellStyle name="20% - Accent1 4 5" xfId="560" xr:uid="{00000000-0005-0000-0000-0000F0080000}"/>
    <cellStyle name="20% - Accent1 4 5 2" xfId="2051" xr:uid="{00000000-0005-0000-0000-0000F1080000}"/>
    <cellStyle name="20% - Accent1 4 5 2 2" xfId="6319" xr:uid="{00000000-0005-0000-0000-0000F2080000}"/>
    <cellStyle name="20% - Accent1 4 5 2 2 2" xfId="13419" xr:uid="{00000000-0005-0000-0000-0000F3080000}"/>
    <cellStyle name="20% - Accent1 4 5 2 2 3" xfId="20520" xr:uid="{00000000-0005-0000-0000-0000F4080000}"/>
    <cellStyle name="20% - Accent1 4 5 2 2 4" xfId="27622" xr:uid="{00000000-0005-0000-0000-0000F5080000}"/>
    <cellStyle name="20% - Accent1 4 5 2 2 5" xfId="34724" xr:uid="{00000000-0005-0000-0000-0000F6080000}"/>
    <cellStyle name="20% - Accent1 4 5 2 2 6" xfId="36202" xr:uid="{00000000-0005-0000-0000-0000F7080000}"/>
    <cellStyle name="20% - Accent1 4 5 2 3" xfId="9159" xr:uid="{00000000-0005-0000-0000-0000F8080000}"/>
    <cellStyle name="20% - Accent1 4 5 2 4" xfId="16260" xr:uid="{00000000-0005-0000-0000-0000F9080000}"/>
    <cellStyle name="20% - Accent1 4 5 2 5" xfId="23362" xr:uid="{00000000-0005-0000-0000-0000FA080000}"/>
    <cellStyle name="20% - Accent1 4 5 2 6" xfId="30464" xr:uid="{00000000-0005-0000-0000-0000FB080000}"/>
    <cellStyle name="20% - Accent1 4 5 2 7" xfId="36203" xr:uid="{00000000-0005-0000-0000-0000FC080000}"/>
    <cellStyle name="20% - Accent1 4 5 3" xfId="4898" xr:uid="{00000000-0005-0000-0000-0000FD080000}"/>
    <cellStyle name="20% - Accent1 4 5 3 2" xfId="11999" xr:uid="{00000000-0005-0000-0000-0000FE080000}"/>
    <cellStyle name="20% - Accent1 4 5 3 2 2" xfId="36204" xr:uid="{00000000-0005-0000-0000-0000FF080000}"/>
    <cellStyle name="20% - Accent1 4 5 3 3" xfId="19100" xr:uid="{00000000-0005-0000-0000-000000090000}"/>
    <cellStyle name="20% - Accent1 4 5 3 4" xfId="26202" xr:uid="{00000000-0005-0000-0000-000001090000}"/>
    <cellStyle name="20% - Accent1 4 5 3 5" xfId="33304" xr:uid="{00000000-0005-0000-0000-000002090000}"/>
    <cellStyle name="20% - Accent1 4 5 3 6" xfId="36205" xr:uid="{00000000-0005-0000-0000-000003090000}"/>
    <cellStyle name="20% - Accent1 4 5 4" xfId="3473" xr:uid="{00000000-0005-0000-0000-000004090000}"/>
    <cellStyle name="20% - Accent1 4 5 4 2" xfId="10579" xr:uid="{00000000-0005-0000-0000-000005090000}"/>
    <cellStyle name="20% - Accent1 4 5 4 3" xfId="17680" xr:uid="{00000000-0005-0000-0000-000006090000}"/>
    <cellStyle name="20% - Accent1 4 5 4 4" xfId="24782" xr:uid="{00000000-0005-0000-0000-000007090000}"/>
    <cellStyle name="20% - Accent1 4 5 4 5" xfId="31884" xr:uid="{00000000-0005-0000-0000-000008090000}"/>
    <cellStyle name="20% - Accent1 4 5 4 6" xfId="36206" xr:uid="{00000000-0005-0000-0000-000009090000}"/>
    <cellStyle name="20% - Accent1 4 5 5" xfId="7739" xr:uid="{00000000-0005-0000-0000-00000A090000}"/>
    <cellStyle name="20% - Accent1 4 5 6" xfId="14840" xr:uid="{00000000-0005-0000-0000-00000B090000}"/>
    <cellStyle name="20% - Accent1 4 5 7" xfId="21942" xr:uid="{00000000-0005-0000-0000-00000C090000}"/>
    <cellStyle name="20% - Accent1 4 5 8" xfId="29044" xr:uid="{00000000-0005-0000-0000-00000D090000}"/>
    <cellStyle name="20% - Accent1 4 5 9" xfId="36207" xr:uid="{00000000-0005-0000-0000-00000E090000}"/>
    <cellStyle name="20% - Accent1 4 6" xfId="773" xr:uid="{00000000-0005-0000-0000-00000F090000}"/>
    <cellStyle name="20% - Accent1 4 6 2" xfId="2264" xr:uid="{00000000-0005-0000-0000-000010090000}"/>
    <cellStyle name="20% - Accent1 4 6 2 2" xfId="6532" xr:uid="{00000000-0005-0000-0000-000011090000}"/>
    <cellStyle name="20% - Accent1 4 6 2 2 2" xfId="13632" xr:uid="{00000000-0005-0000-0000-000012090000}"/>
    <cellStyle name="20% - Accent1 4 6 2 2 3" xfId="20733" xr:uid="{00000000-0005-0000-0000-000013090000}"/>
    <cellStyle name="20% - Accent1 4 6 2 2 4" xfId="27835" xr:uid="{00000000-0005-0000-0000-000014090000}"/>
    <cellStyle name="20% - Accent1 4 6 2 2 5" xfId="34937" xr:uid="{00000000-0005-0000-0000-000015090000}"/>
    <cellStyle name="20% - Accent1 4 6 2 2 6" xfId="36208" xr:uid="{00000000-0005-0000-0000-000016090000}"/>
    <cellStyle name="20% - Accent1 4 6 2 3" xfId="9372" xr:uid="{00000000-0005-0000-0000-000017090000}"/>
    <cellStyle name="20% - Accent1 4 6 2 4" xfId="16473" xr:uid="{00000000-0005-0000-0000-000018090000}"/>
    <cellStyle name="20% - Accent1 4 6 2 5" xfId="23575" xr:uid="{00000000-0005-0000-0000-000019090000}"/>
    <cellStyle name="20% - Accent1 4 6 2 6" xfId="30677" xr:uid="{00000000-0005-0000-0000-00001A090000}"/>
    <cellStyle name="20% - Accent1 4 6 2 7" xfId="36209" xr:uid="{00000000-0005-0000-0000-00001B090000}"/>
    <cellStyle name="20% - Accent1 4 6 3" xfId="5111" xr:uid="{00000000-0005-0000-0000-00001C090000}"/>
    <cellStyle name="20% - Accent1 4 6 3 2" xfId="12212" xr:uid="{00000000-0005-0000-0000-00001D090000}"/>
    <cellStyle name="20% - Accent1 4 6 3 2 2" xfId="36210" xr:uid="{00000000-0005-0000-0000-00001E090000}"/>
    <cellStyle name="20% - Accent1 4 6 3 3" xfId="19313" xr:uid="{00000000-0005-0000-0000-00001F090000}"/>
    <cellStyle name="20% - Accent1 4 6 3 4" xfId="26415" xr:uid="{00000000-0005-0000-0000-000020090000}"/>
    <cellStyle name="20% - Accent1 4 6 3 5" xfId="33517" xr:uid="{00000000-0005-0000-0000-000021090000}"/>
    <cellStyle name="20% - Accent1 4 6 3 6" xfId="36211" xr:uid="{00000000-0005-0000-0000-000022090000}"/>
    <cellStyle name="20% - Accent1 4 6 4" xfId="3686" xr:uid="{00000000-0005-0000-0000-000023090000}"/>
    <cellStyle name="20% - Accent1 4 6 4 2" xfId="10792" xr:uid="{00000000-0005-0000-0000-000024090000}"/>
    <cellStyle name="20% - Accent1 4 6 4 3" xfId="17893" xr:uid="{00000000-0005-0000-0000-000025090000}"/>
    <cellStyle name="20% - Accent1 4 6 4 4" xfId="24995" xr:uid="{00000000-0005-0000-0000-000026090000}"/>
    <cellStyle name="20% - Accent1 4 6 4 5" xfId="32097" xr:uid="{00000000-0005-0000-0000-000027090000}"/>
    <cellStyle name="20% - Accent1 4 6 4 6" xfId="36212" xr:uid="{00000000-0005-0000-0000-000028090000}"/>
    <cellStyle name="20% - Accent1 4 6 5" xfId="7952" xr:uid="{00000000-0005-0000-0000-000029090000}"/>
    <cellStyle name="20% - Accent1 4 6 6" xfId="15053" xr:uid="{00000000-0005-0000-0000-00002A090000}"/>
    <cellStyle name="20% - Accent1 4 6 7" xfId="22155" xr:uid="{00000000-0005-0000-0000-00002B090000}"/>
    <cellStyle name="20% - Accent1 4 6 8" xfId="29257" xr:uid="{00000000-0005-0000-0000-00002C090000}"/>
    <cellStyle name="20% - Accent1 4 6 9" xfId="36213" xr:uid="{00000000-0005-0000-0000-00002D090000}"/>
    <cellStyle name="20% - Accent1 4 7" xfId="986" xr:uid="{00000000-0005-0000-0000-00002E090000}"/>
    <cellStyle name="20% - Accent1 4 7 2" xfId="2477" xr:uid="{00000000-0005-0000-0000-00002F090000}"/>
    <cellStyle name="20% - Accent1 4 7 2 2" xfId="6745" xr:uid="{00000000-0005-0000-0000-000030090000}"/>
    <cellStyle name="20% - Accent1 4 7 2 2 2" xfId="13845" xr:uid="{00000000-0005-0000-0000-000031090000}"/>
    <cellStyle name="20% - Accent1 4 7 2 2 3" xfId="20946" xr:uid="{00000000-0005-0000-0000-000032090000}"/>
    <cellStyle name="20% - Accent1 4 7 2 2 4" xfId="28048" xr:uid="{00000000-0005-0000-0000-000033090000}"/>
    <cellStyle name="20% - Accent1 4 7 2 2 5" xfId="35150" xr:uid="{00000000-0005-0000-0000-000034090000}"/>
    <cellStyle name="20% - Accent1 4 7 2 3" xfId="9585" xr:uid="{00000000-0005-0000-0000-000035090000}"/>
    <cellStyle name="20% - Accent1 4 7 2 4" xfId="16686" xr:uid="{00000000-0005-0000-0000-000036090000}"/>
    <cellStyle name="20% - Accent1 4 7 2 5" xfId="23788" xr:uid="{00000000-0005-0000-0000-000037090000}"/>
    <cellStyle name="20% - Accent1 4 7 2 6" xfId="30890" xr:uid="{00000000-0005-0000-0000-000038090000}"/>
    <cellStyle name="20% - Accent1 4 7 2 7" xfId="36214" xr:uid="{00000000-0005-0000-0000-000039090000}"/>
    <cellStyle name="20% - Accent1 4 7 3" xfId="5324" xr:uid="{00000000-0005-0000-0000-00003A090000}"/>
    <cellStyle name="20% - Accent1 4 7 3 2" xfId="12425" xr:uid="{00000000-0005-0000-0000-00003B090000}"/>
    <cellStyle name="20% - Accent1 4 7 3 3" xfId="19526" xr:uid="{00000000-0005-0000-0000-00003C090000}"/>
    <cellStyle name="20% - Accent1 4 7 3 4" xfId="26628" xr:uid="{00000000-0005-0000-0000-00003D090000}"/>
    <cellStyle name="20% - Accent1 4 7 3 5" xfId="33730" xr:uid="{00000000-0005-0000-0000-00003E090000}"/>
    <cellStyle name="20% - Accent1 4 7 4" xfId="3899" xr:uid="{00000000-0005-0000-0000-00003F090000}"/>
    <cellStyle name="20% - Accent1 4 7 4 2" xfId="11005" xr:uid="{00000000-0005-0000-0000-000040090000}"/>
    <cellStyle name="20% - Accent1 4 7 4 3" xfId="18106" xr:uid="{00000000-0005-0000-0000-000041090000}"/>
    <cellStyle name="20% - Accent1 4 7 4 4" xfId="25208" xr:uid="{00000000-0005-0000-0000-000042090000}"/>
    <cellStyle name="20% - Accent1 4 7 4 5" xfId="32310" xr:uid="{00000000-0005-0000-0000-000043090000}"/>
    <cellStyle name="20% - Accent1 4 7 5" xfId="8165" xr:uid="{00000000-0005-0000-0000-000044090000}"/>
    <cellStyle name="20% - Accent1 4 7 6" xfId="15266" xr:uid="{00000000-0005-0000-0000-000045090000}"/>
    <cellStyle name="20% - Accent1 4 7 7" xfId="22368" xr:uid="{00000000-0005-0000-0000-000046090000}"/>
    <cellStyle name="20% - Accent1 4 7 8" xfId="29470" xr:uid="{00000000-0005-0000-0000-000047090000}"/>
    <cellStyle name="20% - Accent1 4 7 9" xfId="36215" xr:uid="{00000000-0005-0000-0000-000048090000}"/>
    <cellStyle name="20% - Accent1 4 8" xfId="1341" xr:uid="{00000000-0005-0000-0000-000049090000}"/>
    <cellStyle name="20% - Accent1 4 8 2" xfId="2832" xr:uid="{00000000-0005-0000-0000-00004A090000}"/>
    <cellStyle name="20% - Accent1 4 8 2 2" xfId="7100" xr:uid="{00000000-0005-0000-0000-00004B090000}"/>
    <cellStyle name="20% - Accent1 4 8 2 2 2" xfId="14200" xr:uid="{00000000-0005-0000-0000-00004C090000}"/>
    <cellStyle name="20% - Accent1 4 8 2 2 3" xfId="21301" xr:uid="{00000000-0005-0000-0000-00004D090000}"/>
    <cellStyle name="20% - Accent1 4 8 2 2 4" xfId="28403" xr:uid="{00000000-0005-0000-0000-00004E090000}"/>
    <cellStyle name="20% - Accent1 4 8 2 2 5" xfId="35505" xr:uid="{00000000-0005-0000-0000-00004F090000}"/>
    <cellStyle name="20% - Accent1 4 8 2 3" xfId="9940" xr:uid="{00000000-0005-0000-0000-000050090000}"/>
    <cellStyle name="20% - Accent1 4 8 2 4" xfId="17041" xr:uid="{00000000-0005-0000-0000-000051090000}"/>
    <cellStyle name="20% - Accent1 4 8 2 5" xfId="24143" xr:uid="{00000000-0005-0000-0000-000052090000}"/>
    <cellStyle name="20% - Accent1 4 8 2 6" xfId="31245" xr:uid="{00000000-0005-0000-0000-000053090000}"/>
    <cellStyle name="20% - Accent1 4 8 2 7" xfId="36216" xr:uid="{00000000-0005-0000-0000-000054090000}"/>
    <cellStyle name="20% - Accent1 4 8 3" xfId="5679" xr:uid="{00000000-0005-0000-0000-000055090000}"/>
    <cellStyle name="20% - Accent1 4 8 3 2" xfId="12780" xr:uid="{00000000-0005-0000-0000-000056090000}"/>
    <cellStyle name="20% - Accent1 4 8 3 3" xfId="19881" xr:uid="{00000000-0005-0000-0000-000057090000}"/>
    <cellStyle name="20% - Accent1 4 8 3 4" xfId="26983" xr:uid="{00000000-0005-0000-0000-000058090000}"/>
    <cellStyle name="20% - Accent1 4 8 3 5" xfId="34085" xr:uid="{00000000-0005-0000-0000-000059090000}"/>
    <cellStyle name="20% - Accent1 4 8 4" xfId="4254" xr:uid="{00000000-0005-0000-0000-00005A090000}"/>
    <cellStyle name="20% - Accent1 4 8 4 2" xfId="11360" xr:uid="{00000000-0005-0000-0000-00005B090000}"/>
    <cellStyle name="20% - Accent1 4 8 4 3" xfId="18461" xr:uid="{00000000-0005-0000-0000-00005C090000}"/>
    <cellStyle name="20% - Accent1 4 8 4 4" xfId="25563" xr:uid="{00000000-0005-0000-0000-00005D090000}"/>
    <cellStyle name="20% - Accent1 4 8 4 5" xfId="32665" xr:uid="{00000000-0005-0000-0000-00005E090000}"/>
    <cellStyle name="20% - Accent1 4 8 5" xfId="8520" xr:uid="{00000000-0005-0000-0000-00005F090000}"/>
    <cellStyle name="20% - Accent1 4 8 6" xfId="15621" xr:uid="{00000000-0005-0000-0000-000060090000}"/>
    <cellStyle name="20% - Accent1 4 8 7" xfId="22723" xr:uid="{00000000-0005-0000-0000-000061090000}"/>
    <cellStyle name="20% - Accent1 4 8 8" xfId="29825" xr:uid="{00000000-0005-0000-0000-000062090000}"/>
    <cellStyle name="20% - Accent1 4 8 9" xfId="36217" xr:uid="{00000000-0005-0000-0000-000063090000}"/>
    <cellStyle name="20% - Accent1 4 9" xfId="1625" xr:uid="{00000000-0005-0000-0000-000064090000}"/>
    <cellStyle name="20% - Accent1 4 9 2" xfId="5893" xr:uid="{00000000-0005-0000-0000-000065090000}"/>
    <cellStyle name="20% - Accent1 4 9 2 2" xfId="12993" xr:uid="{00000000-0005-0000-0000-000066090000}"/>
    <cellStyle name="20% - Accent1 4 9 2 3" xfId="20094" xr:uid="{00000000-0005-0000-0000-000067090000}"/>
    <cellStyle name="20% - Accent1 4 9 2 4" xfId="27196" xr:uid="{00000000-0005-0000-0000-000068090000}"/>
    <cellStyle name="20% - Accent1 4 9 2 5" xfId="34298" xr:uid="{00000000-0005-0000-0000-000069090000}"/>
    <cellStyle name="20% - Accent1 4 9 3" xfId="8733" xr:uid="{00000000-0005-0000-0000-00006A090000}"/>
    <cellStyle name="20% - Accent1 4 9 4" xfId="15834" xr:uid="{00000000-0005-0000-0000-00006B090000}"/>
    <cellStyle name="20% - Accent1 4 9 5" xfId="22936" xr:uid="{00000000-0005-0000-0000-00006C090000}"/>
    <cellStyle name="20% - Accent1 4 9 6" xfId="30038" xr:uid="{00000000-0005-0000-0000-00006D090000}"/>
    <cellStyle name="20% - Accent1 4 9 7" xfId="36218" xr:uid="{00000000-0005-0000-0000-00006E090000}"/>
    <cellStyle name="20% - Accent1 5" xfId="217" xr:uid="{00000000-0005-0000-0000-00006F090000}"/>
    <cellStyle name="20% - Accent1 5 10" xfId="7396" xr:uid="{00000000-0005-0000-0000-000070090000}"/>
    <cellStyle name="20% - Accent1 5 11" xfId="14497" xr:uid="{00000000-0005-0000-0000-000071090000}"/>
    <cellStyle name="20% - Accent1 5 12" xfId="21599" xr:uid="{00000000-0005-0000-0000-000072090000}"/>
    <cellStyle name="20% - Accent1 5 13" xfId="28701" xr:uid="{00000000-0005-0000-0000-000073090000}"/>
    <cellStyle name="20% - Accent1 5 14" xfId="35803" xr:uid="{00000000-0005-0000-0000-000074090000}"/>
    <cellStyle name="20% - Accent1 5 15" xfId="36219" xr:uid="{00000000-0005-0000-0000-000075090000}"/>
    <cellStyle name="20% - Accent1 5 2" xfId="430" xr:uid="{00000000-0005-0000-0000-000076090000}"/>
    <cellStyle name="20% - Accent1 5 2 10" xfId="36220" xr:uid="{00000000-0005-0000-0000-000077090000}"/>
    <cellStyle name="20% - Accent1 5 2 2" xfId="1211" xr:uid="{00000000-0005-0000-0000-000078090000}"/>
    <cellStyle name="20% - Accent1 5 2 2 2" xfId="2702" xr:uid="{00000000-0005-0000-0000-000079090000}"/>
    <cellStyle name="20% - Accent1 5 2 2 2 2" xfId="6970" xr:uid="{00000000-0005-0000-0000-00007A090000}"/>
    <cellStyle name="20% - Accent1 5 2 2 2 2 2" xfId="14070" xr:uid="{00000000-0005-0000-0000-00007B090000}"/>
    <cellStyle name="20% - Accent1 5 2 2 2 2 3" xfId="21171" xr:uid="{00000000-0005-0000-0000-00007C090000}"/>
    <cellStyle name="20% - Accent1 5 2 2 2 2 4" xfId="28273" xr:uid="{00000000-0005-0000-0000-00007D090000}"/>
    <cellStyle name="20% - Accent1 5 2 2 2 2 5" xfId="35375" xr:uid="{00000000-0005-0000-0000-00007E090000}"/>
    <cellStyle name="20% - Accent1 5 2 2 2 3" xfId="9810" xr:uid="{00000000-0005-0000-0000-00007F090000}"/>
    <cellStyle name="20% - Accent1 5 2 2 2 4" xfId="16911" xr:uid="{00000000-0005-0000-0000-000080090000}"/>
    <cellStyle name="20% - Accent1 5 2 2 2 5" xfId="24013" xr:uid="{00000000-0005-0000-0000-000081090000}"/>
    <cellStyle name="20% - Accent1 5 2 2 2 6" xfId="31115" xr:uid="{00000000-0005-0000-0000-000082090000}"/>
    <cellStyle name="20% - Accent1 5 2 2 2 7" xfId="36221" xr:uid="{00000000-0005-0000-0000-000083090000}"/>
    <cellStyle name="20% - Accent1 5 2 2 3" xfId="5549" xr:uid="{00000000-0005-0000-0000-000084090000}"/>
    <cellStyle name="20% - Accent1 5 2 2 3 2" xfId="12650" xr:uid="{00000000-0005-0000-0000-000085090000}"/>
    <cellStyle name="20% - Accent1 5 2 2 3 3" xfId="19751" xr:uid="{00000000-0005-0000-0000-000086090000}"/>
    <cellStyle name="20% - Accent1 5 2 2 3 4" xfId="26853" xr:uid="{00000000-0005-0000-0000-000087090000}"/>
    <cellStyle name="20% - Accent1 5 2 2 3 5" xfId="33955" xr:uid="{00000000-0005-0000-0000-000088090000}"/>
    <cellStyle name="20% - Accent1 5 2 2 4" xfId="4124" xr:uid="{00000000-0005-0000-0000-000089090000}"/>
    <cellStyle name="20% - Accent1 5 2 2 4 2" xfId="11230" xr:uid="{00000000-0005-0000-0000-00008A090000}"/>
    <cellStyle name="20% - Accent1 5 2 2 4 3" xfId="18331" xr:uid="{00000000-0005-0000-0000-00008B090000}"/>
    <cellStyle name="20% - Accent1 5 2 2 4 4" xfId="25433" xr:uid="{00000000-0005-0000-0000-00008C090000}"/>
    <cellStyle name="20% - Accent1 5 2 2 4 5" xfId="32535" xr:uid="{00000000-0005-0000-0000-00008D090000}"/>
    <cellStyle name="20% - Accent1 5 2 2 5" xfId="8390" xr:uid="{00000000-0005-0000-0000-00008E090000}"/>
    <cellStyle name="20% - Accent1 5 2 2 6" xfId="15491" xr:uid="{00000000-0005-0000-0000-00008F090000}"/>
    <cellStyle name="20% - Accent1 5 2 2 7" xfId="22593" xr:uid="{00000000-0005-0000-0000-000090090000}"/>
    <cellStyle name="20% - Accent1 5 2 2 8" xfId="29695" xr:uid="{00000000-0005-0000-0000-000091090000}"/>
    <cellStyle name="20% - Accent1 5 2 2 9" xfId="36222" xr:uid="{00000000-0005-0000-0000-000092090000}"/>
    <cellStyle name="20% - Accent1 5 2 3" xfId="1921" xr:uid="{00000000-0005-0000-0000-000093090000}"/>
    <cellStyle name="20% - Accent1 5 2 3 2" xfId="6189" xr:uid="{00000000-0005-0000-0000-000094090000}"/>
    <cellStyle name="20% - Accent1 5 2 3 2 2" xfId="13289" xr:uid="{00000000-0005-0000-0000-000095090000}"/>
    <cellStyle name="20% - Accent1 5 2 3 2 3" xfId="20390" xr:uid="{00000000-0005-0000-0000-000096090000}"/>
    <cellStyle name="20% - Accent1 5 2 3 2 4" xfId="27492" xr:uid="{00000000-0005-0000-0000-000097090000}"/>
    <cellStyle name="20% - Accent1 5 2 3 2 5" xfId="34594" xr:uid="{00000000-0005-0000-0000-000098090000}"/>
    <cellStyle name="20% - Accent1 5 2 3 2 6" xfId="36223" xr:uid="{00000000-0005-0000-0000-000099090000}"/>
    <cellStyle name="20% - Accent1 5 2 3 3" xfId="9029" xr:uid="{00000000-0005-0000-0000-00009A090000}"/>
    <cellStyle name="20% - Accent1 5 2 3 4" xfId="16130" xr:uid="{00000000-0005-0000-0000-00009B090000}"/>
    <cellStyle name="20% - Accent1 5 2 3 5" xfId="23232" xr:uid="{00000000-0005-0000-0000-00009C090000}"/>
    <cellStyle name="20% - Accent1 5 2 3 6" xfId="30334" xr:uid="{00000000-0005-0000-0000-00009D090000}"/>
    <cellStyle name="20% - Accent1 5 2 3 7" xfId="36224" xr:uid="{00000000-0005-0000-0000-00009E090000}"/>
    <cellStyle name="20% - Accent1 5 2 4" xfId="4768" xr:uid="{00000000-0005-0000-0000-00009F090000}"/>
    <cellStyle name="20% - Accent1 5 2 4 2" xfId="11869" xr:uid="{00000000-0005-0000-0000-0000A0090000}"/>
    <cellStyle name="20% - Accent1 5 2 4 3" xfId="18970" xr:uid="{00000000-0005-0000-0000-0000A1090000}"/>
    <cellStyle name="20% - Accent1 5 2 4 4" xfId="26072" xr:uid="{00000000-0005-0000-0000-0000A2090000}"/>
    <cellStyle name="20% - Accent1 5 2 4 5" xfId="33174" xr:uid="{00000000-0005-0000-0000-0000A3090000}"/>
    <cellStyle name="20% - Accent1 5 2 4 6" xfId="36225" xr:uid="{00000000-0005-0000-0000-0000A4090000}"/>
    <cellStyle name="20% - Accent1 5 2 5" xfId="3343" xr:uid="{00000000-0005-0000-0000-0000A5090000}"/>
    <cellStyle name="20% - Accent1 5 2 5 2" xfId="10449" xr:uid="{00000000-0005-0000-0000-0000A6090000}"/>
    <cellStyle name="20% - Accent1 5 2 5 3" xfId="17550" xr:uid="{00000000-0005-0000-0000-0000A7090000}"/>
    <cellStyle name="20% - Accent1 5 2 5 4" xfId="24652" xr:uid="{00000000-0005-0000-0000-0000A8090000}"/>
    <cellStyle name="20% - Accent1 5 2 5 5" xfId="31754" xr:uid="{00000000-0005-0000-0000-0000A9090000}"/>
    <cellStyle name="20% - Accent1 5 2 6" xfId="7609" xr:uid="{00000000-0005-0000-0000-0000AA090000}"/>
    <cellStyle name="20% - Accent1 5 2 7" xfId="14710" xr:uid="{00000000-0005-0000-0000-0000AB090000}"/>
    <cellStyle name="20% - Accent1 5 2 8" xfId="21812" xr:uid="{00000000-0005-0000-0000-0000AC090000}"/>
    <cellStyle name="20% - Accent1 5 2 9" xfId="28914" xr:uid="{00000000-0005-0000-0000-0000AD090000}"/>
    <cellStyle name="20% - Accent1 5 3" xfId="643" xr:uid="{00000000-0005-0000-0000-0000AE090000}"/>
    <cellStyle name="20% - Accent1 5 3 2" xfId="2134" xr:uid="{00000000-0005-0000-0000-0000AF090000}"/>
    <cellStyle name="20% - Accent1 5 3 2 2" xfId="6402" xr:uid="{00000000-0005-0000-0000-0000B0090000}"/>
    <cellStyle name="20% - Accent1 5 3 2 2 2" xfId="13502" xr:uid="{00000000-0005-0000-0000-0000B1090000}"/>
    <cellStyle name="20% - Accent1 5 3 2 2 3" xfId="20603" xr:uid="{00000000-0005-0000-0000-0000B2090000}"/>
    <cellStyle name="20% - Accent1 5 3 2 2 4" xfId="27705" xr:uid="{00000000-0005-0000-0000-0000B3090000}"/>
    <cellStyle name="20% - Accent1 5 3 2 2 5" xfId="34807" xr:uid="{00000000-0005-0000-0000-0000B4090000}"/>
    <cellStyle name="20% - Accent1 5 3 2 2 6" xfId="36226" xr:uid="{00000000-0005-0000-0000-0000B5090000}"/>
    <cellStyle name="20% - Accent1 5 3 2 3" xfId="9242" xr:uid="{00000000-0005-0000-0000-0000B6090000}"/>
    <cellStyle name="20% - Accent1 5 3 2 4" xfId="16343" xr:uid="{00000000-0005-0000-0000-0000B7090000}"/>
    <cellStyle name="20% - Accent1 5 3 2 5" xfId="23445" xr:uid="{00000000-0005-0000-0000-0000B8090000}"/>
    <cellStyle name="20% - Accent1 5 3 2 6" xfId="30547" xr:uid="{00000000-0005-0000-0000-0000B9090000}"/>
    <cellStyle name="20% - Accent1 5 3 2 7" xfId="36227" xr:uid="{00000000-0005-0000-0000-0000BA090000}"/>
    <cellStyle name="20% - Accent1 5 3 3" xfId="4981" xr:uid="{00000000-0005-0000-0000-0000BB090000}"/>
    <cellStyle name="20% - Accent1 5 3 3 2" xfId="12082" xr:uid="{00000000-0005-0000-0000-0000BC090000}"/>
    <cellStyle name="20% - Accent1 5 3 3 2 2" xfId="36228" xr:uid="{00000000-0005-0000-0000-0000BD090000}"/>
    <cellStyle name="20% - Accent1 5 3 3 3" xfId="19183" xr:uid="{00000000-0005-0000-0000-0000BE090000}"/>
    <cellStyle name="20% - Accent1 5 3 3 4" xfId="26285" xr:uid="{00000000-0005-0000-0000-0000BF090000}"/>
    <cellStyle name="20% - Accent1 5 3 3 5" xfId="33387" xr:uid="{00000000-0005-0000-0000-0000C0090000}"/>
    <cellStyle name="20% - Accent1 5 3 3 6" xfId="36229" xr:uid="{00000000-0005-0000-0000-0000C1090000}"/>
    <cellStyle name="20% - Accent1 5 3 4" xfId="3556" xr:uid="{00000000-0005-0000-0000-0000C2090000}"/>
    <cellStyle name="20% - Accent1 5 3 4 2" xfId="10662" xr:uid="{00000000-0005-0000-0000-0000C3090000}"/>
    <cellStyle name="20% - Accent1 5 3 4 3" xfId="17763" xr:uid="{00000000-0005-0000-0000-0000C4090000}"/>
    <cellStyle name="20% - Accent1 5 3 4 4" xfId="24865" xr:uid="{00000000-0005-0000-0000-0000C5090000}"/>
    <cellStyle name="20% - Accent1 5 3 4 5" xfId="31967" xr:uid="{00000000-0005-0000-0000-0000C6090000}"/>
    <cellStyle name="20% - Accent1 5 3 4 6" xfId="36230" xr:uid="{00000000-0005-0000-0000-0000C7090000}"/>
    <cellStyle name="20% - Accent1 5 3 5" xfId="7822" xr:uid="{00000000-0005-0000-0000-0000C8090000}"/>
    <cellStyle name="20% - Accent1 5 3 6" xfId="14923" xr:uid="{00000000-0005-0000-0000-0000C9090000}"/>
    <cellStyle name="20% - Accent1 5 3 7" xfId="22025" xr:uid="{00000000-0005-0000-0000-0000CA090000}"/>
    <cellStyle name="20% - Accent1 5 3 8" xfId="29127" xr:uid="{00000000-0005-0000-0000-0000CB090000}"/>
    <cellStyle name="20% - Accent1 5 3 9" xfId="36231" xr:uid="{00000000-0005-0000-0000-0000CC090000}"/>
    <cellStyle name="20% - Accent1 5 4" xfId="856" xr:uid="{00000000-0005-0000-0000-0000CD090000}"/>
    <cellStyle name="20% - Accent1 5 4 2" xfId="2347" xr:uid="{00000000-0005-0000-0000-0000CE090000}"/>
    <cellStyle name="20% - Accent1 5 4 2 2" xfId="6615" xr:uid="{00000000-0005-0000-0000-0000CF090000}"/>
    <cellStyle name="20% - Accent1 5 4 2 2 2" xfId="13715" xr:uid="{00000000-0005-0000-0000-0000D0090000}"/>
    <cellStyle name="20% - Accent1 5 4 2 2 3" xfId="20816" xr:uid="{00000000-0005-0000-0000-0000D1090000}"/>
    <cellStyle name="20% - Accent1 5 4 2 2 4" xfId="27918" xr:uid="{00000000-0005-0000-0000-0000D2090000}"/>
    <cellStyle name="20% - Accent1 5 4 2 2 5" xfId="35020" xr:uid="{00000000-0005-0000-0000-0000D3090000}"/>
    <cellStyle name="20% - Accent1 5 4 2 2 6" xfId="36232" xr:uid="{00000000-0005-0000-0000-0000D4090000}"/>
    <cellStyle name="20% - Accent1 5 4 2 3" xfId="9455" xr:uid="{00000000-0005-0000-0000-0000D5090000}"/>
    <cellStyle name="20% - Accent1 5 4 2 4" xfId="16556" xr:uid="{00000000-0005-0000-0000-0000D6090000}"/>
    <cellStyle name="20% - Accent1 5 4 2 5" xfId="23658" xr:uid="{00000000-0005-0000-0000-0000D7090000}"/>
    <cellStyle name="20% - Accent1 5 4 2 6" xfId="30760" xr:uid="{00000000-0005-0000-0000-0000D8090000}"/>
    <cellStyle name="20% - Accent1 5 4 2 7" xfId="36233" xr:uid="{00000000-0005-0000-0000-0000D9090000}"/>
    <cellStyle name="20% - Accent1 5 4 3" xfId="5194" xr:uid="{00000000-0005-0000-0000-0000DA090000}"/>
    <cellStyle name="20% - Accent1 5 4 3 2" xfId="12295" xr:uid="{00000000-0005-0000-0000-0000DB090000}"/>
    <cellStyle name="20% - Accent1 5 4 3 2 2" xfId="36234" xr:uid="{00000000-0005-0000-0000-0000DC090000}"/>
    <cellStyle name="20% - Accent1 5 4 3 3" xfId="19396" xr:uid="{00000000-0005-0000-0000-0000DD090000}"/>
    <cellStyle name="20% - Accent1 5 4 3 4" xfId="26498" xr:uid="{00000000-0005-0000-0000-0000DE090000}"/>
    <cellStyle name="20% - Accent1 5 4 3 5" xfId="33600" xr:uid="{00000000-0005-0000-0000-0000DF090000}"/>
    <cellStyle name="20% - Accent1 5 4 3 6" xfId="36235" xr:uid="{00000000-0005-0000-0000-0000E0090000}"/>
    <cellStyle name="20% - Accent1 5 4 4" xfId="3769" xr:uid="{00000000-0005-0000-0000-0000E1090000}"/>
    <cellStyle name="20% - Accent1 5 4 4 2" xfId="10875" xr:uid="{00000000-0005-0000-0000-0000E2090000}"/>
    <cellStyle name="20% - Accent1 5 4 4 3" xfId="17976" xr:uid="{00000000-0005-0000-0000-0000E3090000}"/>
    <cellStyle name="20% - Accent1 5 4 4 4" xfId="25078" xr:uid="{00000000-0005-0000-0000-0000E4090000}"/>
    <cellStyle name="20% - Accent1 5 4 4 5" xfId="32180" xr:uid="{00000000-0005-0000-0000-0000E5090000}"/>
    <cellStyle name="20% - Accent1 5 4 4 6" xfId="36236" xr:uid="{00000000-0005-0000-0000-0000E6090000}"/>
    <cellStyle name="20% - Accent1 5 4 5" xfId="8035" xr:uid="{00000000-0005-0000-0000-0000E7090000}"/>
    <cellStyle name="20% - Accent1 5 4 6" xfId="15136" xr:uid="{00000000-0005-0000-0000-0000E8090000}"/>
    <cellStyle name="20% - Accent1 5 4 7" xfId="22238" xr:uid="{00000000-0005-0000-0000-0000E9090000}"/>
    <cellStyle name="20% - Accent1 5 4 8" xfId="29340" xr:uid="{00000000-0005-0000-0000-0000EA090000}"/>
    <cellStyle name="20% - Accent1 5 4 9" xfId="36237" xr:uid="{00000000-0005-0000-0000-0000EB090000}"/>
    <cellStyle name="20% - Accent1 5 5" xfId="998" xr:uid="{00000000-0005-0000-0000-0000EC090000}"/>
    <cellStyle name="20% - Accent1 5 5 2" xfId="2489" xr:uid="{00000000-0005-0000-0000-0000ED090000}"/>
    <cellStyle name="20% - Accent1 5 5 2 2" xfId="6757" xr:uid="{00000000-0005-0000-0000-0000EE090000}"/>
    <cellStyle name="20% - Accent1 5 5 2 2 2" xfId="13857" xr:uid="{00000000-0005-0000-0000-0000EF090000}"/>
    <cellStyle name="20% - Accent1 5 5 2 2 3" xfId="20958" xr:uid="{00000000-0005-0000-0000-0000F0090000}"/>
    <cellStyle name="20% - Accent1 5 5 2 2 4" xfId="28060" xr:uid="{00000000-0005-0000-0000-0000F1090000}"/>
    <cellStyle name="20% - Accent1 5 5 2 2 5" xfId="35162" xr:uid="{00000000-0005-0000-0000-0000F2090000}"/>
    <cellStyle name="20% - Accent1 5 5 2 3" xfId="9597" xr:uid="{00000000-0005-0000-0000-0000F3090000}"/>
    <cellStyle name="20% - Accent1 5 5 2 4" xfId="16698" xr:uid="{00000000-0005-0000-0000-0000F4090000}"/>
    <cellStyle name="20% - Accent1 5 5 2 5" xfId="23800" xr:uid="{00000000-0005-0000-0000-0000F5090000}"/>
    <cellStyle name="20% - Accent1 5 5 2 6" xfId="30902" xr:uid="{00000000-0005-0000-0000-0000F6090000}"/>
    <cellStyle name="20% - Accent1 5 5 2 7" xfId="36238" xr:uid="{00000000-0005-0000-0000-0000F7090000}"/>
    <cellStyle name="20% - Accent1 5 5 3" xfId="5336" xr:uid="{00000000-0005-0000-0000-0000F8090000}"/>
    <cellStyle name="20% - Accent1 5 5 3 2" xfId="12437" xr:uid="{00000000-0005-0000-0000-0000F9090000}"/>
    <cellStyle name="20% - Accent1 5 5 3 3" xfId="19538" xr:uid="{00000000-0005-0000-0000-0000FA090000}"/>
    <cellStyle name="20% - Accent1 5 5 3 4" xfId="26640" xr:uid="{00000000-0005-0000-0000-0000FB090000}"/>
    <cellStyle name="20% - Accent1 5 5 3 5" xfId="33742" xr:uid="{00000000-0005-0000-0000-0000FC090000}"/>
    <cellStyle name="20% - Accent1 5 5 4" xfId="3911" xr:uid="{00000000-0005-0000-0000-0000FD090000}"/>
    <cellStyle name="20% - Accent1 5 5 4 2" xfId="11017" xr:uid="{00000000-0005-0000-0000-0000FE090000}"/>
    <cellStyle name="20% - Accent1 5 5 4 3" xfId="18118" xr:uid="{00000000-0005-0000-0000-0000FF090000}"/>
    <cellStyle name="20% - Accent1 5 5 4 4" xfId="25220" xr:uid="{00000000-0005-0000-0000-0000000A0000}"/>
    <cellStyle name="20% - Accent1 5 5 4 5" xfId="32322" xr:uid="{00000000-0005-0000-0000-0000010A0000}"/>
    <cellStyle name="20% - Accent1 5 5 5" xfId="8177" xr:uid="{00000000-0005-0000-0000-0000020A0000}"/>
    <cellStyle name="20% - Accent1 5 5 6" xfId="15278" xr:uid="{00000000-0005-0000-0000-0000030A0000}"/>
    <cellStyle name="20% - Accent1 5 5 7" xfId="22380" xr:uid="{00000000-0005-0000-0000-0000040A0000}"/>
    <cellStyle name="20% - Accent1 5 5 8" xfId="29482" xr:uid="{00000000-0005-0000-0000-0000050A0000}"/>
    <cellStyle name="20% - Accent1 5 5 9" xfId="36239" xr:uid="{00000000-0005-0000-0000-0000060A0000}"/>
    <cellStyle name="20% - Accent1 5 6" xfId="1424" xr:uid="{00000000-0005-0000-0000-0000070A0000}"/>
    <cellStyle name="20% - Accent1 5 6 2" xfId="2915" xr:uid="{00000000-0005-0000-0000-0000080A0000}"/>
    <cellStyle name="20% - Accent1 5 6 2 2" xfId="7183" xr:uid="{00000000-0005-0000-0000-0000090A0000}"/>
    <cellStyle name="20% - Accent1 5 6 2 2 2" xfId="14283" xr:uid="{00000000-0005-0000-0000-00000A0A0000}"/>
    <cellStyle name="20% - Accent1 5 6 2 2 3" xfId="21384" xr:uid="{00000000-0005-0000-0000-00000B0A0000}"/>
    <cellStyle name="20% - Accent1 5 6 2 2 4" xfId="28486" xr:uid="{00000000-0005-0000-0000-00000C0A0000}"/>
    <cellStyle name="20% - Accent1 5 6 2 2 5" xfId="35588" xr:uid="{00000000-0005-0000-0000-00000D0A0000}"/>
    <cellStyle name="20% - Accent1 5 6 2 3" xfId="10023" xr:uid="{00000000-0005-0000-0000-00000E0A0000}"/>
    <cellStyle name="20% - Accent1 5 6 2 4" xfId="17124" xr:uid="{00000000-0005-0000-0000-00000F0A0000}"/>
    <cellStyle name="20% - Accent1 5 6 2 5" xfId="24226" xr:uid="{00000000-0005-0000-0000-0000100A0000}"/>
    <cellStyle name="20% - Accent1 5 6 2 6" xfId="31328" xr:uid="{00000000-0005-0000-0000-0000110A0000}"/>
    <cellStyle name="20% - Accent1 5 6 2 7" xfId="36240" xr:uid="{00000000-0005-0000-0000-0000120A0000}"/>
    <cellStyle name="20% - Accent1 5 6 3" xfId="5762" xr:uid="{00000000-0005-0000-0000-0000130A0000}"/>
    <cellStyle name="20% - Accent1 5 6 3 2" xfId="12863" xr:uid="{00000000-0005-0000-0000-0000140A0000}"/>
    <cellStyle name="20% - Accent1 5 6 3 3" xfId="19964" xr:uid="{00000000-0005-0000-0000-0000150A0000}"/>
    <cellStyle name="20% - Accent1 5 6 3 4" xfId="27066" xr:uid="{00000000-0005-0000-0000-0000160A0000}"/>
    <cellStyle name="20% - Accent1 5 6 3 5" xfId="34168" xr:uid="{00000000-0005-0000-0000-0000170A0000}"/>
    <cellStyle name="20% - Accent1 5 6 4" xfId="4337" xr:uid="{00000000-0005-0000-0000-0000180A0000}"/>
    <cellStyle name="20% - Accent1 5 6 4 2" xfId="11443" xr:uid="{00000000-0005-0000-0000-0000190A0000}"/>
    <cellStyle name="20% - Accent1 5 6 4 3" xfId="18544" xr:uid="{00000000-0005-0000-0000-00001A0A0000}"/>
    <cellStyle name="20% - Accent1 5 6 4 4" xfId="25646" xr:uid="{00000000-0005-0000-0000-00001B0A0000}"/>
    <cellStyle name="20% - Accent1 5 6 4 5" xfId="32748" xr:uid="{00000000-0005-0000-0000-00001C0A0000}"/>
    <cellStyle name="20% - Accent1 5 6 5" xfId="8603" xr:uid="{00000000-0005-0000-0000-00001D0A0000}"/>
    <cellStyle name="20% - Accent1 5 6 6" xfId="15704" xr:uid="{00000000-0005-0000-0000-00001E0A0000}"/>
    <cellStyle name="20% - Accent1 5 6 7" xfId="22806" xr:uid="{00000000-0005-0000-0000-00001F0A0000}"/>
    <cellStyle name="20% - Accent1 5 6 8" xfId="29908" xr:uid="{00000000-0005-0000-0000-0000200A0000}"/>
    <cellStyle name="20% - Accent1 5 6 9" xfId="36241" xr:uid="{00000000-0005-0000-0000-0000210A0000}"/>
    <cellStyle name="20% - Accent1 5 7" xfId="1708" xr:uid="{00000000-0005-0000-0000-0000220A0000}"/>
    <cellStyle name="20% - Accent1 5 7 2" xfId="5976" xr:uid="{00000000-0005-0000-0000-0000230A0000}"/>
    <cellStyle name="20% - Accent1 5 7 2 2" xfId="13076" xr:uid="{00000000-0005-0000-0000-0000240A0000}"/>
    <cellStyle name="20% - Accent1 5 7 2 3" xfId="20177" xr:uid="{00000000-0005-0000-0000-0000250A0000}"/>
    <cellStyle name="20% - Accent1 5 7 2 4" xfId="27279" xr:uid="{00000000-0005-0000-0000-0000260A0000}"/>
    <cellStyle name="20% - Accent1 5 7 2 5" xfId="34381" xr:uid="{00000000-0005-0000-0000-0000270A0000}"/>
    <cellStyle name="20% - Accent1 5 7 3" xfId="8816" xr:uid="{00000000-0005-0000-0000-0000280A0000}"/>
    <cellStyle name="20% - Accent1 5 7 4" xfId="15917" xr:uid="{00000000-0005-0000-0000-0000290A0000}"/>
    <cellStyle name="20% - Accent1 5 7 5" xfId="23019" xr:uid="{00000000-0005-0000-0000-00002A0A0000}"/>
    <cellStyle name="20% - Accent1 5 7 6" xfId="30121" xr:uid="{00000000-0005-0000-0000-00002B0A0000}"/>
    <cellStyle name="20% - Accent1 5 7 7" xfId="36242" xr:uid="{00000000-0005-0000-0000-00002C0A0000}"/>
    <cellStyle name="20% - Accent1 5 8" xfId="4555" xr:uid="{00000000-0005-0000-0000-00002D0A0000}"/>
    <cellStyle name="20% - Accent1 5 8 2" xfId="11656" xr:uid="{00000000-0005-0000-0000-00002E0A0000}"/>
    <cellStyle name="20% - Accent1 5 8 3" xfId="18757" xr:uid="{00000000-0005-0000-0000-00002F0A0000}"/>
    <cellStyle name="20% - Accent1 5 8 4" xfId="25859" xr:uid="{00000000-0005-0000-0000-0000300A0000}"/>
    <cellStyle name="20% - Accent1 5 8 5" xfId="32961" xr:uid="{00000000-0005-0000-0000-0000310A0000}"/>
    <cellStyle name="20% - Accent1 5 9" xfId="3130" xr:uid="{00000000-0005-0000-0000-0000320A0000}"/>
    <cellStyle name="20% - Accent1 5 9 2" xfId="10236" xr:uid="{00000000-0005-0000-0000-0000330A0000}"/>
    <cellStyle name="20% - Accent1 5 9 3" xfId="17337" xr:uid="{00000000-0005-0000-0000-0000340A0000}"/>
    <cellStyle name="20% - Accent1 5 9 4" xfId="24439" xr:uid="{00000000-0005-0000-0000-0000350A0000}"/>
    <cellStyle name="20% - Accent1 5 9 5" xfId="31541" xr:uid="{00000000-0005-0000-0000-0000360A0000}"/>
    <cellStyle name="20% - Accent1 6" xfId="145" xr:uid="{00000000-0005-0000-0000-0000370A0000}"/>
    <cellStyle name="20% - Accent1 6 10" xfId="7325" xr:uid="{00000000-0005-0000-0000-0000380A0000}"/>
    <cellStyle name="20% - Accent1 6 11" xfId="14426" xr:uid="{00000000-0005-0000-0000-0000390A0000}"/>
    <cellStyle name="20% - Accent1 6 12" xfId="21528" xr:uid="{00000000-0005-0000-0000-00003A0A0000}"/>
    <cellStyle name="20% - Accent1 6 13" xfId="28630" xr:uid="{00000000-0005-0000-0000-00003B0A0000}"/>
    <cellStyle name="20% - Accent1 6 14" xfId="35732" xr:uid="{00000000-0005-0000-0000-00003C0A0000}"/>
    <cellStyle name="20% - Accent1 6 15" xfId="36243" xr:uid="{00000000-0005-0000-0000-00003D0A0000}"/>
    <cellStyle name="20% - Accent1 6 2" xfId="359" xr:uid="{00000000-0005-0000-0000-00003E0A0000}"/>
    <cellStyle name="20% - Accent1 6 2 2" xfId="1850" xr:uid="{00000000-0005-0000-0000-00003F0A0000}"/>
    <cellStyle name="20% - Accent1 6 2 2 2" xfId="6118" xr:uid="{00000000-0005-0000-0000-0000400A0000}"/>
    <cellStyle name="20% - Accent1 6 2 2 2 2" xfId="13218" xr:uid="{00000000-0005-0000-0000-0000410A0000}"/>
    <cellStyle name="20% - Accent1 6 2 2 2 3" xfId="20319" xr:uid="{00000000-0005-0000-0000-0000420A0000}"/>
    <cellStyle name="20% - Accent1 6 2 2 2 4" xfId="27421" xr:uid="{00000000-0005-0000-0000-0000430A0000}"/>
    <cellStyle name="20% - Accent1 6 2 2 2 5" xfId="34523" xr:uid="{00000000-0005-0000-0000-0000440A0000}"/>
    <cellStyle name="20% - Accent1 6 2 2 2 6" xfId="36244" xr:uid="{00000000-0005-0000-0000-0000450A0000}"/>
    <cellStyle name="20% - Accent1 6 2 2 3" xfId="8958" xr:uid="{00000000-0005-0000-0000-0000460A0000}"/>
    <cellStyle name="20% - Accent1 6 2 2 4" xfId="16059" xr:uid="{00000000-0005-0000-0000-0000470A0000}"/>
    <cellStyle name="20% - Accent1 6 2 2 5" xfId="23161" xr:uid="{00000000-0005-0000-0000-0000480A0000}"/>
    <cellStyle name="20% - Accent1 6 2 2 6" xfId="30263" xr:uid="{00000000-0005-0000-0000-0000490A0000}"/>
    <cellStyle name="20% - Accent1 6 2 2 7" xfId="36245" xr:uid="{00000000-0005-0000-0000-00004A0A0000}"/>
    <cellStyle name="20% - Accent1 6 2 3" xfId="4697" xr:uid="{00000000-0005-0000-0000-00004B0A0000}"/>
    <cellStyle name="20% - Accent1 6 2 3 2" xfId="11798" xr:uid="{00000000-0005-0000-0000-00004C0A0000}"/>
    <cellStyle name="20% - Accent1 6 2 3 2 2" xfId="36246" xr:uid="{00000000-0005-0000-0000-00004D0A0000}"/>
    <cellStyle name="20% - Accent1 6 2 3 3" xfId="18899" xr:uid="{00000000-0005-0000-0000-00004E0A0000}"/>
    <cellStyle name="20% - Accent1 6 2 3 4" xfId="26001" xr:uid="{00000000-0005-0000-0000-00004F0A0000}"/>
    <cellStyle name="20% - Accent1 6 2 3 5" xfId="33103" xr:uid="{00000000-0005-0000-0000-0000500A0000}"/>
    <cellStyle name="20% - Accent1 6 2 3 6" xfId="36247" xr:uid="{00000000-0005-0000-0000-0000510A0000}"/>
    <cellStyle name="20% - Accent1 6 2 4" xfId="3272" xr:uid="{00000000-0005-0000-0000-0000520A0000}"/>
    <cellStyle name="20% - Accent1 6 2 4 2" xfId="10378" xr:uid="{00000000-0005-0000-0000-0000530A0000}"/>
    <cellStyle name="20% - Accent1 6 2 4 3" xfId="17479" xr:uid="{00000000-0005-0000-0000-0000540A0000}"/>
    <cellStyle name="20% - Accent1 6 2 4 4" xfId="24581" xr:uid="{00000000-0005-0000-0000-0000550A0000}"/>
    <cellStyle name="20% - Accent1 6 2 4 5" xfId="31683" xr:uid="{00000000-0005-0000-0000-0000560A0000}"/>
    <cellStyle name="20% - Accent1 6 2 4 6" xfId="36248" xr:uid="{00000000-0005-0000-0000-0000570A0000}"/>
    <cellStyle name="20% - Accent1 6 2 5" xfId="7538" xr:uid="{00000000-0005-0000-0000-0000580A0000}"/>
    <cellStyle name="20% - Accent1 6 2 6" xfId="14639" xr:uid="{00000000-0005-0000-0000-0000590A0000}"/>
    <cellStyle name="20% - Accent1 6 2 7" xfId="21741" xr:uid="{00000000-0005-0000-0000-00005A0A0000}"/>
    <cellStyle name="20% - Accent1 6 2 8" xfId="28843" xr:uid="{00000000-0005-0000-0000-00005B0A0000}"/>
    <cellStyle name="20% - Accent1 6 2 9" xfId="36249" xr:uid="{00000000-0005-0000-0000-00005C0A0000}"/>
    <cellStyle name="20% - Accent1 6 3" xfId="572" xr:uid="{00000000-0005-0000-0000-00005D0A0000}"/>
    <cellStyle name="20% - Accent1 6 3 2" xfId="2063" xr:uid="{00000000-0005-0000-0000-00005E0A0000}"/>
    <cellStyle name="20% - Accent1 6 3 2 2" xfId="6331" xr:uid="{00000000-0005-0000-0000-00005F0A0000}"/>
    <cellStyle name="20% - Accent1 6 3 2 2 2" xfId="13431" xr:uid="{00000000-0005-0000-0000-0000600A0000}"/>
    <cellStyle name="20% - Accent1 6 3 2 2 3" xfId="20532" xr:uid="{00000000-0005-0000-0000-0000610A0000}"/>
    <cellStyle name="20% - Accent1 6 3 2 2 4" xfId="27634" xr:uid="{00000000-0005-0000-0000-0000620A0000}"/>
    <cellStyle name="20% - Accent1 6 3 2 2 5" xfId="34736" xr:uid="{00000000-0005-0000-0000-0000630A0000}"/>
    <cellStyle name="20% - Accent1 6 3 2 2 6" xfId="36250" xr:uid="{00000000-0005-0000-0000-0000640A0000}"/>
    <cellStyle name="20% - Accent1 6 3 2 3" xfId="9171" xr:uid="{00000000-0005-0000-0000-0000650A0000}"/>
    <cellStyle name="20% - Accent1 6 3 2 4" xfId="16272" xr:uid="{00000000-0005-0000-0000-0000660A0000}"/>
    <cellStyle name="20% - Accent1 6 3 2 5" xfId="23374" xr:uid="{00000000-0005-0000-0000-0000670A0000}"/>
    <cellStyle name="20% - Accent1 6 3 2 6" xfId="30476" xr:uid="{00000000-0005-0000-0000-0000680A0000}"/>
    <cellStyle name="20% - Accent1 6 3 2 7" xfId="36251" xr:uid="{00000000-0005-0000-0000-0000690A0000}"/>
    <cellStyle name="20% - Accent1 6 3 3" xfId="4910" xr:uid="{00000000-0005-0000-0000-00006A0A0000}"/>
    <cellStyle name="20% - Accent1 6 3 3 2" xfId="12011" xr:uid="{00000000-0005-0000-0000-00006B0A0000}"/>
    <cellStyle name="20% - Accent1 6 3 3 2 2" xfId="36252" xr:uid="{00000000-0005-0000-0000-00006C0A0000}"/>
    <cellStyle name="20% - Accent1 6 3 3 3" xfId="19112" xr:uid="{00000000-0005-0000-0000-00006D0A0000}"/>
    <cellStyle name="20% - Accent1 6 3 3 4" xfId="26214" xr:uid="{00000000-0005-0000-0000-00006E0A0000}"/>
    <cellStyle name="20% - Accent1 6 3 3 5" xfId="33316" xr:uid="{00000000-0005-0000-0000-00006F0A0000}"/>
    <cellStyle name="20% - Accent1 6 3 3 6" xfId="36253" xr:uid="{00000000-0005-0000-0000-0000700A0000}"/>
    <cellStyle name="20% - Accent1 6 3 4" xfId="3485" xr:uid="{00000000-0005-0000-0000-0000710A0000}"/>
    <cellStyle name="20% - Accent1 6 3 4 2" xfId="10591" xr:uid="{00000000-0005-0000-0000-0000720A0000}"/>
    <cellStyle name="20% - Accent1 6 3 4 3" xfId="17692" xr:uid="{00000000-0005-0000-0000-0000730A0000}"/>
    <cellStyle name="20% - Accent1 6 3 4 4" xfId="24794" xr:uid="{00000000-0005-0000-0000-0000740A0000}"/>
    <cellStyle name="20% - Accent1 6 3 4 5" xfId="31896" xr:uid="{00000000-0005-0000-0000-0000750A0000}"/>
    <cellStyle name="20% - Accent1 6 3 4 6" xfId="36254" xr:uid="{00000000-0005-0000-0000-0000760A0000}"/>
    <cellStyle name="20% - Accent1 6 3 5" xfId="7751" xr:uid="{00000000-0005-0000-0000-0000770A0000}"/>
    <cellStyle name="20% - Accent1 6 3 6" xfId="14852" xr:uid="{00000000-0005-0000-0000-0000780A0000}"/>
    <cellStyle name="20% - Accent1 6 3 7" xfId="21954" xr:uid="{00000000-0005-0000-0000-0000790A0000}"/>
    <cellStyle name="20% - Accent1 6 3 8" xfId="29056" xr:uid="{00000000-0005-0000-0000-00007A0A0000}"/>
    <cellStyle name="20% - Accent1 6 3 9" xfId="36255" xr:uid="{00000000-0005-0000-0000-00007B0A0000}"/>
    <cellStyle name="20% - Accent1 6 4" xfId="785" xr:uid="{00000000-0005-0000-0000-00007C0A0000}"/>
    <cellStyle name="20% - Accent1 6 4 2" xfId="2276" xr:uid="{00000000-0005-0000-0000-00007D0A0000}"/>
    <cellStyle name="20% - Accent1 6 4 2 2" xfId="6544" xr:uid="{00000000-0005-0000-0000-00007E0A0000}"/>
    <cellStyle name="20% - Accent1 6 4 2 2 2" xfId="13644" xr:uid="{00000000-0005-0000-0000-00007F0A0000}"/>
    <cellStyle name="20% - Accent1 6 4 2 2 3" xfId="20745" xr:uid="{00000000-0005-0000-0000-0000800A0000}"/>
    <cellStyle name="20% - Accent1 6 4 2 2 4" xfId="27847" xr:uid="{00000000-0005-0000-0000-0000810A0000}"/>
    <cellStyle name="20% - Accent1 6 4 2 2 5" xfId="34949" xr:uid="{00000000-0005-0000-0000-0000820A0000}"/>
    <cellStyle name="20% - Accent1 6 4 2 2 6" xfId="36256" xr:uid="{00000000-0005-0000-0000-0000830A0000}"/>
    <cellStyle name="20% - Accent1 6 4 2 3" xfId="9384" xr:uid="{00000000-0005-0000-0000-0000840A0000}"/>
    <cellStyle name="20% - Accent1 6 4 2 4" xfId="16485" xr:uid="{00000000-0005-0000-0000-0000850A0000}"/>
    <cellStyle name="20% - Accent1 6 4 2 5" xfId="23587" xr:uid="{00000000-0005-0000-0000-0000860A0000}"/>
    <cellStyle name="20% - Accent1 6 4 2 6" xfId="30689" xr:uid="{00000000-0005-0000-0000-0000870A0000}"/>
    <cellStyle name="20% - Accent1 6 4 2 7" xfId="36257" xr:uid="{00000000-0005-0000-0000-0000880A0000}"/>
    <cellStyle name="20% - Accent1 6 4 3" xfId="5123" xr:uid="{00000000-0005-0000-0000-0000890A0000}"/>
    <cellStyle name="20% - Accent1 6 4 3 2" xfId="12224" xr:uid="{00000000-0005-0000-0000-00008A0A0000}"/>
    <cellStyle name="20% - Accent1 6 4 3 2 2" xfId="36258" xr:uid="{00000000-0005-0000-0000-00008B0A0000}"/>
    <cellStyle name="20% - Accent1 6 4 3 3" xfId="19325" xr:uid="{00000000-0005-0000-0000-00008C0A0000}"/>
    <cellStyle name="20% - Accent1 6 4 3 4" xfId="26427" xr:uid="{00000000-0005-0000-0000-00008D0A0000}"/>
    <cellStyle name="20% - Accent1 6 4 3 5" xfId="33529" xr:uid="{00000000-0005-0000-0000-00008E0A0000}"/>
    <cellStyle name="20% - Accent1 6 4 3 6" xfId="36259" xr:uid="{00000000-0005-0000-0000-00008F0A0000}"/>
    <cellStyle name="20% - Accent1 6 4 4" xfId="3698" xr:uid="{00000000-0005-0000-0000-0000900A0000}"/>
    <cellStyle name="20% - Accent1 6 4 4 2" xfId="10804" xr:uid="{00000000-0005-0000-0000-0000910A0000}"/>
    <cellStyle name="20% - Accent1 6 4 4 3" xfId="17905" xr:uid="{00000000-0005-0000-0000-0000920A0000}"/>
    <cellStyle name="20% - Accent1 6 4 4 4" xfId="25007" xr:uid="{00000000-0005-0000-0000-0000930A0000}"/>
    <cellStyle name="20% - Accent1 6 4 4 5" xfId="32109" xr:uid="{00000000-0005-0000-0000-0000940A0000}"/>
    <cellStyle name="20% - Accent1 6 4 4 6" xfId="36260" xr:uid="{00000000-0005-0000-0000-0000950A0000}"/>
    <cellStyle name="20% - Accent1 6 4 5" xfId="7964" xr:uid="{00000000-0005-0000-0000-0000960A0000}"/>
    <cellStyle name="20% - Accent1 6 4 6" xfId="15065" xr:uid="{00000000-0005-0000-0000-0000970A0000}"/>
    <cellStyle name="20% - Accent1 6 4 7" xfId="22167" xr:uid="{00000000-0005-0000-0000-0000980A0000}"/>
    <cellStyle name="20% - Accent1 6 4 8" xfId="29269" xr:uid="{00000000-0005-0000-0000-0000990A0000}"/>
    <cellStyle name="20% - Accent1 6 4 9" xfId="36261" xr:uid="{00000000-0005-0000-0000-00009A0A0000}"/>
    <cellStyle name="20% - Accent1 6 5" xfId="1140" xr:uid="{00000000-0005-0000-0000-00009B0A0000}"/>
    <cellStyle name="20% - Accent1 6 5 2" xfId="2631" xr:uid="{00000000-0005-0000-0000-00009C0A0000}"/>
    <cellStyle name="20% - Accent1 6 5 2 2" xfId="6899" xr:uid="{00000000-0005-0000-0000-00009D0A0000}"/>
    <cellStyle name="20% - Accent1 6 5 2 2 2" xfId="13999" xr:uid="{00000000-0005-0000-0000-00009E0A0000}"/>
    <cellStyle name="20% - Accent1 6 5 2 2 3" xfId="21100" xr:uid="{00000000-0005-0000-0000-00009F0A0000}"/>
    <cellStyle name="20% - Accent1 6 5 2 2 4" xfId="28202" xr:uid="{00000000-0005-0000-0000-0000A00A0000}"/>
    <cellStyle name="20% - Accent1 6 5 2 2 5" xfId="35304" xr:uid="{00000000-0005-0000-0000-0000A10A0000}"/>
    <cellStyle name="20% - Accent1 6 5 2 3" xfId="9739" xr:uid="{00000000-0005-0000-0000-0000A20A0000}"/>
    <cellStyle name="20% - Accent1 6 5 2 4" xfId="16840" xr:uid="{00000000-0005-0000-0000-0000A30A0000}"/>
    <cellStyle name="20% - Accent1 6 5 2 5" xfId="23942" xr:uid="{00000000-0005-0000-0000-0000A40A0000}"/>
    <cellStyle name="20% - Accent1 6 5 2 6" xfId="31044" xr:uid="{00000000-0005-0000-0000-0000A50A0000}"/>
    <cellStyle name="20% - Accent1 6 5 2 7" xfId="36262" xr:uid="{00000000-0005-0000-0000-0000A60A0000}"/>
    <cellStyle name="20% - Accent1 6 5 3" xfId="5478" xr:uid="{00000000-0005-0000-0000-0000A70A0000}"/>
    <cellStyle name="20% - Accent1 6 5 3 2" xfId="12579" xr:uid="{00000000-0005-0000-0000-0000A80A0000}"/>
    <cellStyle name="20% - Accent1 6 5 3 3" xfId="19680" xr:uid="{00000000-0005-0000-0000-0000A90A0000}"/>
    <cellStyle name="20% - Accent1 6 5 3 4" xfId="26782" xr:uid="{00000000-0005-0000-0000-0000AA0A0000}"/>
    <cellStyle name="20% - Accent1 6 5 3 5" xfId="33884" xr:uid="{00000000-0005-0000-0000-0000AB0A0000}"/>
    <cellStyle name="20% - Accent1 6 5 4" xfId="4053" xr:uid="{00000000-0005-0000-0000-0000AC0A0000}"/>
    <cellStyle name="20% - Accent1 6 5 4 2" xfId="11159" xr:uid="{00000000-0005-0000-0000-0000AD0A0000}"/>
    <cellStyle name="20% - Accent1 6 5 4 3" xfId="18260" xr:uid="{00000000-0005-0000-0000-0000AE0A0000}"/>
    <cellStyle name="20% - Accent1 6 5 4 4" xfId="25362" xr:uid="{00000000-0005-0000-0000-0000AF0A0000}"/>
    <cellStyle name="20% - Accent1 6 5 4 5" xfId="32464" xr:uid="{00000000-0005-0000-0000-0000B00A0000}"/>
    <cellStyle name="20% - Accent1 6 5 5" xfId="8319" xr:uid="{00000000-0005-0000-0000-0000B10A0000}"/>
    <cellStyle name="20% - Accent1 6 5 6" xfId="15420" xr:uid="{00000000-0005-0000-0000-0000B20A0000}"/>
    <cellStyle name="20% - Accent1 6 5 7" xfId="22522" xr:uid="{00000000-0005-0000-0000-0000B30A0000}"/>
    <cellStyle name="20% - Accent1 6 5 8" xfId="29624" xr:uid="{00000000-0005-0000-0000-0000B40A0000}"/>
    <cellStyle name="20% - Accent1 6 5 9" xfId="36263" xr:uid="{00000000-0005-0000-0000-0000B50A0000}"/>
    <cellStyle name="20% - Accent1 6 6" xfId="1353" xr:uid="{00000000-0005-0000-0000-0000B60A0000}"/>
    <cellStyle name="20% - Accent1 6 6 2" xfId="2844" xr:uid="{00000000-0005-0000-0000-0000B70A0000}"/>
    <cellStyle name="20% - Accent1 6 6 2 2" xfId="7112" xr:uid="{00000000-0005-0000-0000-0000B80A0000}"/>
    <cellStyle name="20% - Accent1 6 6 2 2 2" xfId="14212" xr:uid="{00000000-0005-0000-0000-0000B90A0000}"/>
    <cellStyle name="20% - Accent1 6 6 2 2 3" xfId="21313" xr:uid="{00000000-0005-0000-0000-0000BA0A0000}"/>
    <cellStyle name="20% - Accent1 6 6 2 2 4" xfId="28415" xr:uid="{00000000-0005-0000-0000-0000BB0A0000}"/>
    <cellStyle name="20% - Accent1 6 6 2 2 5" xfId="35517" xr:uid="{00000000-0005-0000-0000-0000BC0A0000}"/>
    <cellStyle name="20% - Accent1 6 6 2 3" xfId="9952" xr:uid="{00000000-0005-0000-0000-0000BD0A0000}"/>
    <cellStyle name="20% - Accent1 6 6 2 4" xfId="17053" xr:uid="{00000000-0005-0000-0000-0000BE0A0000}"/>
    <cellStyle name="20% - Accent1 6 6 2 5" xfId="24155" xr:uid="{00000000-0005-0000-0000-0000BF0A0000}"/>
    <cellStyle name="20% - Accent1 6 6 2 6" xfId="31257" xr:uid="{00000000-0005-0000-0000-0000C00A0000}"/>
    <cellStyle name="20% - Accent1 6 6 2 7" xfId="36264" xr:uid="{00000000-0005-0000-0000-0000C10A0000}"/>
    <cellStyle name="20% - Accent1 6 6 3" xfId="5691" xr:uid="{00000000-0005-0000-0000-0000C20A0000}"/>
    <cellStyle name="20% - Accent1 6 6 3 2" xfId="12792" xr:uid="{00000000-0005-0000-0000-0000C30A0000}"/>
    <cellStyle name="20% - Accent1 6 6 3 3" xfId="19893" xr:uid="{00000000-0005-0000-0000-0000C40A0000}"/>
    <cellStyle name="20% - Accent1 6 6 3 4" xfId="26995" xr:uid="{00000000-0005-0000-0000-0000C50A0000}"/>
    <cellStyle name="20% - Accent1 6 6 3 5" xfId="34097" xr:uid="{00000000-0005-0000-0000-0000C60A0000}"/>
    <cellStyle name="20% - Accent1 6 6 4" xfId="4266" xr:uid="{00000000-0005-0000-0000-0000C70A0000}"/>
    <cellStyle name="20% - Accent1 6 6 4 2" xfId="11372" xr:uid="{00000000-0005-0000-0000-0000C80A0000}"/>
    <cellStyle name="20% - Accent1 6 6 4 3" xfId="18473" xr:uid="{00000000-0005-0000-0000-0000C90A0000}"/>
    <cellStyle name="20% - Accent1 6 6 4 4" xfId="25575" xr:uid="{00000000-0005-0000-0000-0000CA0A0000}"/>
    <cellStyle name="20% - Accent1 6 6 4 5" xfId="32677" xr:uid="{00000000-0005-0000-0000-0000CB0A0000}"/>
    <cellStyle name="20% - Accent1 6 6 5" xfId="8532" xr:uid="{00000000-0005-0000-0000-0000CC0A0000}"/>
    <cellStyle name="20% - Accent1 6 6 6" xfId="15633" xr:uid="{00000000-0005-0000-0000-0000CD0A0000}"/>
    <cellStyle name="20% - Accent1 6 6 7" xfId="22735" xr:uid="{00000000-0005-0000-0000-0000CE0A0000}"/>
    <cellStyle name="20% - Accent1 6 6 8" xfId="29837" xr:uid="{00000000-0005-0000-0000-0000CF0A0000}"/>
    <cellStyle name="20% - Accent1 6 6 9" xfId="36265" xr:uid="{00000000-0005-0000-0000-0000D00A0000}"/>
    <cellStyle name="20% - Accent1 6 7" xfId="1637" xr:uid="{00000000-0005-0000-0000-0000D10A0000}"/>
    <cellStyle name="20% - Accent1 6 7 2" xfId="5905" xr:uid="{00000000-0005-0000-0000-0000D20A0000}"/>
    <cellStyle name="20% - Accent1 6 7 2 2" xfId="13005" xr:uid="{00000000-0005-0000-0000-0000D30A0000}"/>
    <cellStyle name="20% - Accent1 6 7 2 3" xfId="20106" xr:uid="{00000000-0005-0000-0000-0000D40A0000}"/>
    <cellStyle name="20% - Accent1 6 7 2 4" xfId="27208" xr:uid="{00000000-0005-0000-0000-0000D50A0000}"/>
    <cellStyle name="20% - Accent1 6 7 2 5" xfId="34310" xr:uid="{00000000-0005-0000-0000-0000D60A0000}"/>
    <cellStyle name="20% - Accent1 6 7 3" xfId="8745" xr:uid="{00000000-0005-0000-0000-0000D70A0000}"/>
    <cellStyle name="20% - Accent1 6 7 4" xfId="15846" xr:uid="{00000000-0005-0000-0000-0000D80A0000}"/>
    <cellStyle name="20% - Accent1 6 7 5" xfId="22948" xr:uid="{00000000-0005-0000-0000-0000D90A0000}"/>
    <cellStyle name="20% - Accent1 6 7 6" xfId="30050" xr:uid="{00000000-0005-0000-0000-0000DA0A0000}"/>
    <cellStyle name="20% - Accent1 6 7 7" xfId="36266" xr:uid="{00000000-0005-0000-0000-0000DB0A0000}"/>
    <cellStyle name="20% - Accent1 6 8" xfId="4484" xr:uid="{00000000-0005-0000-0000-0000DC0A0000}"/>
    <cellStyle name="20% - Accent1 6 8 2" xfId="11585" xr:uid="{00000000-0005-0000-0000-0000DD0A0000}"/>
    <cellStyle name="20% - Accent1 6 8 3" xfId="18686" xr:uid="{00000000-0005-0000-0000-0000DE0A0000}"/>
    <cellStyle name="20% - Accent1 6 8 4" xfId="25788" xr:uid="{00000000-0005-0000-0000-0000DF0A0000}"/>
    <cellStyle name="20% - Accent1 6 8 5" xfId="32890" xr:uid="{00000000-0005-0000-0000-0000E00A0000}"/>
    <cellStyle name="20% - Accent1 6 9" xfId="3059" xr:uid="{00000000-0005-0000-0000-0000E10A0000}"/>
    <cellStyle name="20% - Accent1 6 9 2" xfId="10165" xr:uid="{00000000-0005-0000-0000-0000E20A0000}"/>
    <cellStyle name="20% - Accent1 6 9 3" xfId="17266" xr:uid="{00000000-0005-0000-0000-0000E30A0000}"/>
    <cellStyle name="20% - Accent1 6 9 4" xfId="24368" xr:uid="{00000000-0005-0000-0000-0000E40A0000}"/>
    <cellStyle name="20% - Accent1 6 9 5" xfId="31470" xr:uid="{00000000-0005-0000-0000-0000E50A0000}"/>
    <cellStyle name="20% - Accent1 7" xfId="288" xr:uid="{00000000-0005-0000-0000-0000E60A0000}"/>
    <cellStyle name="20% - Accent1 7 10" xfId="36267" xr:uid="{00000000-0005-0000-0000-0000E70A0000}"/>
    <cellStyle name="20% - Accent1 7 2" xfId="1069" xr:uid="{00000000-0005-0000-0000-0000E80A0000}"/>
    <cellStyle name="20% - Accent1 7 2 2" xfId="2560" xr:uid="{00000000-0005-0000-0000-0000E90A0000}"/>
    <cellStyle name="20% - Accent1 7 2 2 2" xfId="6828" xr:uid="{00000000-0005-0000-0000-0000EA0A0000}"/>
    <cellStyle name="20% - Accent1 7 2 2 2 2" xfId="13928" xr:uid="{00000000-0005-0000-0000-0000EB0A0000}"/>
    <cellStyle name="20% - Accent1 7 2 2 2 3" xfId="21029" xr:uid="{00000000-0005-0000-0000-0000EC0A0000}"/>
    <cellStyle name="20% - Accent1 7 2 2 2 4" xfId="28131" xr:uid="{00000000-0005-0000-0000-0000ED0A0000}"/>
    <cellStyle name="20% - Accent1 7 2 2 2 5" xfId="35233" xr:uid="{00000000-0005-0000-0000-0000EE0A0000}"/>
    <cellStyle name="20% - Accent1 7 2 2 3" xfId="9668" xr:uid="{00000000-0005-0000-0000-0000EF0A0000}"/>
    <cellStyle name="20% - Accent1 7 2 2 4" xfId="16769" xr:uid="{00000000-0005-0000-0000-0000F00A0000}"/>
    <cellStyle name="20% - Accent1 7 2 2 5" xfId="23871" xr:uid="{00000000-0005-0000-0000-0000F10A0000}"/>
    <cellStyle name="20% - Accent1 7 2 2 6" xfId="30973" xr:uid="{00000000-0005-0000-0000-0000F20A0000}"/>
    <cellStyle name="20% - Accent1 7 2 2 7" xfId="36268" xr:uid="{00000000-0005-0000-0000-0000F30A0000}"/>
    <cellStyle name="20% - Accent1 7 2 3" xfId="5407" xr:uid="{00000000-0005-0000-0000-0000F40A0000}"/>
    <cellStyle name="20% - Accent1 7 2 3 2" xfId="12508" xr:uid="{00000000-0005-0000-0000-0000F50A0000}"/>
    <cellStyle name="20% - Accent1 7 2 3 3" xfId="19609" xr:uid="{00000000-0005-0000-0000-0000F60A0000}"/>
    <cellStyle name="20% - Accent1 7 2 3 4" xfId="26711" xr:uid="{00000000-0005-0000-0000-0000F70A0000}"/>
    <cellStyle name="20% - Accent1 7 2 3 5" xfId="33813" xr:uid="{00000000-0005-0000-0000-0000F80A0000}"/>
    <cellStyle name="20% - Accent1 7 2 4" xfId="3982" xr:uid="{00000000-0005-0000-0000-0000F90A0000}"/>
    <cellStyle name="20% - Accent1 7 2 4 2" xfId="11088" xr:uid="{00000000-0005-0000-0000-0000FA0A0000}"/>
    <cellStyle name="20% - Accent1 7 2 4 3" xfId="18189" xr:uid="{00000000-0005-0000-0000-0000FB0A0000}"/>
    <cellStyle name="20% - Accent1 7 2 4 4" xfId="25291" xr:uid="{00000000-0005-0000-0000-0000FC0A0000}"/>
    <cellStyle name="20% - Accent1 7 2 4 5" xfId="32393" xr:uid="{00000000-0005-0000-0000-0000FD0A0000}"/>
    <cellStyle name="20% - Accent1 7 2 5" xfId="8248" xr:uid="{00000000-0005-0000-0000-0000FE0A0000}"/>
    <cellStyle name="20% - Accent1 7 2 6" xfId="15349" xr:uid="{00000000-0005-0000-0000-0000FF0A0000}"/>
    <cellStyle name="20% - Accent1 7 2 7" xfId="22451" xr:uid="{00000000-0005-0000-0000-0000000B0000}"/>
    <cellStyle name="20% - Accent1 7 2 8" xfId="29553" xr:uid="{00000000-0005-0000-0000-0000010B0000}"/>
    <cellStyle name="20% - Accent1 7 2 9" xfId="36269" xr:uid="{00000000-0005-0000-0000-0000020B0000}"/>
    <cellStyle name="20% - Accent1 7 3" xfId="1779" xr:uid="{00000000-0005-0000-0000-0000030B0000}"/>
    <cellStyle name="20% - Accent1 7 3 2" xfId="6047" xr:uid="{00000000-0005-0000-0000-0000040B0000}"/>
    <cellStyle name="20% - Accent1 7 3 2 2" xfId="13147" xr:uid="{00000000-0005-0000-0000-0000050B0000}"/>
    <cellStyle name="20% - Accent1 7 3 2 3" xfId="20248" xr:uid="{00000000-0005-0000-0000-0000060B0000}"/>
    <cellStyle name="20% - Accent1 7 3 2 4" xfId="27350" xr:uid="{00000000-0005-0000-0000-0000070B0000}"/>
    <cellStyle name="20% - Accent1 7 3 2 5" xfId="34452" xr:uid="{00000000-0005-0000-0000-0000080B0000}"/>
    <cellStyle name="20% - Accent1 7 3 2 6" xfId="36270" xr:uid="{00000000-0005-0000-0000-0000090B0000}"/>
    <cellStyle name="20% - Accent1 7 3 3" xfId="8887" xr:uid="{00000000-0005-0000-0000-00000A0B0000}"/>
    <cellStyle name="20% - Accent1 7 3 4" xfId="15988" xr:uid="{00000000-0005-0000-0000-00000B0B0000}"/>
    <cellStyle name="20% - Accent1 7 3 5" xfId="23090" xr:uid="{00000000-0005-0000-0000-00000C0B0000}"/>
    <cellStyle name="20% - Accent1 7 3 6" xfId="30192" xr:uid="{00000000-0005-0000-0000-00000D0B0000}"/>
    <cellStyle name="20% - Accent1 7 3 7" xfId="36271" xr:uid="{00000000-0005-0000-0000-00000E0B0000}"/>
    <cellStyle name="20% - Accent1 7 4" xfId="4626" xr:uid="{00000000-0005-0000-0000-00000F0B0000}"/>
    <cellStyle name="20% - Accent1 7 4 2" xfId="11727" xr:uid="{00000000-0005-0000-0000-0000100B0000}"/>
    <cellStyle name="20% - Accent1 7 4 3" xfId="18828" xr:uid="{00000000-0005-0000-0000-0000110B0000}"/>
    <cellStyle name="20% - Accent1 7 4 4" xfId="25930" xr:uid="{00000000-0005-0000-0000-0000120B0000}"/>
    <cellStyle name="20% - Accent1 7 4 5" xfId="33032" xr:uid="{00000000-0005-0000-0000-0000130B0000}"/>
    <cellStyle name="20% - Accent1 7 4 6" xfId="36272" xr:uid="{00000000-0005-0000-0000-0000140B0000}"/>
    <cellStyle name="20% - Accent1 7 5" xfId="3201" xr:uid="{00000000-0005-0000-0000-0000150B0000}"/>
    <cellStyle name="20% - Accent1 7 5 2" xfId="10307" xr:uid="{00000000-0005-0000-0000-0000160B0000}"/>
    <cellStyle name="20% - Accent1 7 5 3" xfId="17408" xr:uid="{00000000-0005-0000-0000-0000170B0000}"/>
    <cellStyle name="20% - Accent1 7 5 4" xfId="24510" xr:uid="{00000000-0005-0000-0000-0000180B0000}"/>
    <cellStyle name="20% - Accent1 7 5 5" xfId="31612" xr:uid="{00000000-0005-0000-0000-0000190B0000}"/>
    <cellStyle name="20% - Accent1 7 6" xfId="7467" xr:uid="{00000000-0005-0000-0000-00001A0B0000}"/>
    <cellStyle name="20% - Accent1 7 7" xfId="14568" xr:uid="{00000000-0005-0000-0000-00001B0B0000}"/>
    <cellStyle name="20% - Accent1 7 8" xfId="21670" xr:uid="{00000000-0005-0000-0000-00001C0B0000}"/>
    <cellStyle name="20% - Accent1 7 9" xfId="28772" xr:uid="{00000000-0005-0000-0000-00001D0B0000}"/>
    <cellStyle name="20% - Accent1 8" xfId="501" xr:uid="{00000000-0005-0000-0000-00001E0B0000}"/>
    <cellStyle name="20% - Accent1 8 2" xfId="1992" xr:uid="{00000000-0005-0000-0000-00001F0B0000}"/>
    <cellStyle name="20% - Accent1 8 2 2" xfId="6260" xr:uid="{00000000-0005-0000-0000-0000200B0000}"/>
    <cellStyle name="20% - Accent1 8 2 2 2" xfId="13360" xr:uid="{00000000-0005-0000-0000-0000210B0000}"/>
    <cellStyle name="20% - Accent1 8 2 2 3" xfId="20461" xr:uid="{00000000-0005-0000-0000-0000220B0000}"/>
    <cellStyle name="20% - Accent1 8 2 2 4" xfId="27563" xr:uid="{00000000-0005-0000-0000-0000230B0000}"/>
    <cellStyle name="20% - Accent1 8 2 2 5" xfId="34665" xr:uid="{00000000-0005-0000-0000-0000240B0000}"/>
    <cellStyle name="20% - Accent1 8 2 2 6" xfId="36273" xr:uid="{00000000-0005-0000-0000-0000250B0000}"/>
    <cellStyle name="20% - Accent1 8 2 3" xfId="9100" xr:uid="{00000000-0005-0000-0000-0000260B0000}"/>
    <cellStyle name="20% - Accent1 8 2 4" xfId="16201" xr:uid="{00000000-0005-0000-0000-0000270B0000}"/>
    <cellStyle name="20% - Accent1 8 2 5" xfId="23303" xr:uid="{00000000-0005-0000-0000-0000280B0000}"/>
    <cellStyle name="20% - Accent1 8 2 6" xfId="30405" xr:uid="{00000000-0005-0000-0000-0000290B0000}"/>
    <cellStyle name="20% - Accent1 8 2 7" xfId="36274" xr:uid="{00000000-0005-0000-0000-00002A0B0000}"/>
    <cellStyle name="20% - Accent1 8 3" xfId="4839" xr:uid="{00000000-0005-0000-0000-00002B0B0000}"/>
    <cellStyle name="20% - Accent1 8 3 2" xfId="11940" xr:uid="{00000000-0005-0000-0000-00002C0B0000}"/>
    <cellStyle name="20% - Accent1 8 3 2 2" xfId="36275" xr:uid="{00000000-0005-0000-0000-00002D0B0000}"/>
    <cellStyle name="20% - Accent1 8 3 3" xfId="19041" xr:uid="{00000000-0005-0000-0000-00002E0B0000}"/>
    <cellStyle name="20% - Accent1 8 3 4" xfId="26143" xr:uid="{00000000-0005-0000-0000-00002F0B0000}"/>
    <cellStyle name="20% - Accent1 8 3 5" xfId="33245" xr:uid="{00000000-0005-0000-0000-0000300B0000}"/>
    <cellStyle name="20% - Accent1 8 3 6" xfId="36276" xr:uid="{00000000-0005-0000-0000-0000310B0000}"/>
    <cellStyle name="20% - Accent1 8 4" xfId="3414" xr:uid="{00000000-0005-0000-0000-0000320B0000}"/>
    <cellStyle name="20% - Accent1 8 4 2" xfId="10520" xr:uid="{00000000-0005-0000-0000-0000330B0000}"/>
    <cellStyle name="20% - Accent1 8 4 3" xfId="17621" xr:uid="{00000000-0005-0000-0000-0000340B0000}"/>
    <cellStyle name="20% - Accent1 8 4 4" xfId="24723" xr:uid="{00000000-0005-0000-0000-0000350B0000}"/>
    <cellStyle name="20% - Accent1 8 4 5" xfId="31825" xr:uid="{00000000-0005-0000-0000-0000360B0000}"/>
    <cellStyle name="20% - Accent1 8 4 6" xfId="36277" xr:uid="{00000000-0005-0000-0000-0000370B0000}"/>
    <cellStyle name="20% - Accent1 8 5" xfId="7680" xr:uid="{00000000-0005-0000-0000-0000380B0000}"/>
    <cellStyle name="20% - Accent1 8 6" xfId="14781" xr:uid="{00000000-0005-0000-0000-0000390B0000}"/>
    <cellStyle name="20% - Accent1 8 7" xfId="21883" xr:uid="{00000000-0005-0000-0000-00003A0B0000}"/>
    <cellStyle name="20% - Accent1 8 8" xfId="28985" xr:uid="{00000000-0005-0000-0000-00003B0B0000}"/>
    <cellStyle name="20% - Accent1 8 9" xfId="36278" xr:uid="{00000000-0005-0000-0000-00003C0B0000}"/>
    <cellStyle name="20% - Accent1 9" xfId="714" xr:uid="{00000000-0005-0000-0000-00003D0B0000}"/>
    <cellStyle name="20% - Accent1 9 2" xfId="2205" xr:uid="{00000000-0005-0000-0000-00003E0B0000}"/>
    <cellStyle name="20% - Accent1 9 2 2" xfId="6473" xr:uid="{00000000-0005-0000-0000-00003F0B0000}"/>
    <cellStyle name="20% - Accent1 9 2 2 2" xfId="13573" xr:uid="{00000000-0005-0000-0000-0000400B0000}"/>
    <cellStyle name="20% - Accent1 9 2 2 3" xfId="20674" xr:uid="{00000000-0005-0000-0000-0000410B0000}"/>
    <cellStyle name="20% - Accent1 9 2 2 4" xfId="27776" xr:uid="{00000000-0005-0000-0000-0000420B0000}"/>
    <cellStyle name="20% - Accent1 9 2 2 5" xfId="34878" xr:uid="{00000000-0005-0000-0000-0000430B0000}"/>
    <cellStyle name="20% - Accent1 9 2 2 6" xfId="36279" xr:uid="{00000000-0005-0000-0000-0000440B0000}"/>
    <cellStyle name="20% - Accent1 9 2 3" xfId="9313" xr:uid="{00000000-0005-0000-0000-0000450B0000}"/>
    <cellStyle name="20% - Accent1 9 2 4" xfId="16414" xr:uid="{00000000-0005-0000-0000-0000460B0000}"/>
    <cellStyle name="20% - Accent1 9 2 5" xfId="23516" xr:uid="{00000000-0005-0000-0000-0000470B0000}"/>
    <cellStyle name="20% - Accent1 9 2 6" xfId="30618" xr:uid="{00000000-0005-0000-0000-0000480B0000}"/>
    <cellStyle name="20% - Accent1 9 2 7" xfId="36280" xr:uid="{00000000-0005-0000-0000-0000490B0000}"/>
    <cellStyle name="20% - Accent1 9 3" xfId="5052" xr:uid="{00000000-0005-0000-0000-00004A0B0000}"/>
    <cellStyle name="20% - Accent1 9 3 2" xfId="12153" xr:uid="{00000000-0005-0000-0000-00004B0B0000}"/>
    <cellStyle name="20% - Accent1 9 3 2 2" xfId="36281" xr:uid="{00000000-0005-0000-0000-00004C0B0000}"/>
    <cellStyle name="20% - Accent1 9 3 3" xfId="19254" xr:uid="{00000000-0005-0000-0000-00004D0B0000}"/>
    <cellStyle name="20% - Accent1 9 3 4" xfId="26356" xr:uid="{00000000-0005-0000-0000-00004E0B0000}"/>
    <cellStyle name="20% - Accent1 9 3 5" xfId="33458" xr:uid="{00000000-0005-0000-0000-00004F0B0000}"/>
    <cellStyle name="20% - Accent1 9 3 6" xfId="36282" xr:uid="{00000000-0005-0000-0000-0000500B0000}"/>
    <cellStyle name="20% - Accent1 9 4" xfId="3627" xr:uid="{00000000-0005-0000-0000-0000510B0000}"/>
    <cellStyle name="20% - Accent1 9 4 2" xfId="10733" xr:uid="{00000000-0005-0000-0000-0000520B0000}"/>
    <cellStyle name="20% - Accent1 9 4 3" xfId="17834" xr:uid="{00000000-0005-0000-0000-0000530B0000}"/>
    <cellStyle name="20% - Accent1 9 4 4" xfId="24936" xr:uid="{00000000-0005-0000-0000-0000540B0000}"/>
    <cellStyle name="20% - Accent1 9 4 5" xfId="32038" xr:uid="{00000000-0005-0000-0000-0000550B0000}"/>
    <cellStyle name="20% - Accent1 9 4 6" xfId="36283" xr:uid="{00000000-0005-0000-0000-0000560B0000}"/>
    <cellStyle name="20% - Accent1 9 5" xfId="7893" xr:uid="{00000000-0005-0000-0000-0000570B0000}"/>
    <cellStyle name="20% - Accent1 9 6" xfId="14994" xr:uid="{00000000-0005-0000-0000-0000580B0000}"/>
    <cellStyle name="20% - Accent1 9 7" xfId="22096" xr:uid="{00000000-0005-0000-0000-0000590B0000}"/>
    <cellStyle name="20% - Accent1 9 8" xfId="29198" xr:uid="{00000000-0005-0000-0000-00005A0B0000}"/>
    <cellStyle name="20% - Accent1 9 9" xfId="36284" xr:uid="{00000000-0005-0000-0000-00005B0B0000}"/>
    <cellStyle name="20% - Accent2" xfId="46" builtinId="34" customBuiltin="1"/>
    <cellStyle name="20% - Accent2 10" xfId="929" xr:uid="{00000000-0005-0000-0000-00005D0B0000}"/>
    <cellStyle name="20% - Accent2 10 2" xfId="2420" xr:uid="{00000000-0005-0000-0000-00005E0B0000}"/>
    <cellStyle name="20% - Accent2 10 2 2" xfId="6688" xr:uid="{00000000-0005-0000-0000-00005F0B0000}"/>
    <cellStyle name="20% - Accent2 10 2 2 2" xfId="13788" xr:uid="{00000000-0005-0000-0000-0000600B0000}"/>
    <cellStyle name="20% - Accent2 10 2 2 3" xfId="20889" xr:uid="{00000000-0005-0000-0000-0000610B0000}"/>
    <cellStyle name="20% - Accent2 10 2 2 4" xfId="27991" xr:uid="{00000000-0005-0000-0000-0000620B0000}"/>
    <cellStyle name="20% - Accent2 10 2 2 5" xfId="35093" xr:uid="{00000000-0005-0000-0000-0000630B0000}"/>
    <cellStyle name="20% - Accent2 10 2 3" xfId="9528" xr:uid="{00000000-0005-0000-0000-0000640B0000}"/>
    <cellStyle name="20% - Accent2 10 2 4" xfId="16629" xr:uid="{00000000-0005-0000-0000-0000650B0000}"/>
    <cellStyle name="20% - Accent2 10 2 5" xfId="23731" xr:uid="{00000000-0005-0000-0000-0000660B0000}"/>
    <cellStyle name="20% - Accent2 10 2 6" xfId="30833" xr:uid="{00000000-0005-0000-0000-0000670B0000}"/>
    <cellStyle name="20% - Accent2 10 2 7" xfId="36285" xr:uid="{00000000-0005-0000-0000-0000680B0000}"/>
    <cellStyle name="20% - Accent2 10 3" xfId="5267" xr:uid="{00000000-0005-0000-0000-0000690B0000}"/>
    <cellStyle name="20% - Accent2 10 3 2" xfId="12368" xr:uid="{00000000-0005-0000-0000-00006A0B0000}"/>
    <cellStyle name="20% - Accent2 10 3 3" xfId="19469" xr:uid="{00000000-0005-0000-0000-00006B0B0000}"/>
    <cellStyle name="20% - Accent2 10 3 4" xfId="26571" xr:uid="{00000000-0005-0000-0000-00006C0B0000}"/>
    <cellStyle name="20% - Accent2 10 3 5" xfId="33673" xr:uid="{00000000-0005-0000-0000-00006D0B0000}"/>
    <cellStyle name="20% - Accent2 10 4" xfId="3842" xr:uid="{00000000-0005-0000-0000-00006E0B0000}"/>
    <cellStyle name="20% - Accent2 10 4 2" xfId="10948" xr:uid="{00000000-0005-0000-0000-00006F0B0000}"/>
    <cellStyle name="20% - Accent2 10 4 3" xfId="18049" xr:uid="{00000000-0005-0000-0000-0000700B0000}"/>
    <cellStyle name="20% - Accent2 10 4 4" xfId="25151" xr:uid="{00000000-0005-0000-0000-0000710B0000}"/>
    <cellStyle name="20% - Accent2 10 4 5" xfId="32253" xr:uid="{00000000-0005-0000-0000-0000720B0000}"/>
    <cellStyle name="20% - Accent2 10 5" xfId="8108" xr:uid="{00000000-0005-0000-0000-0000730B0000}"/>
    <cellStyle name="20% - Accent2 10 6" xfId="15209" xr:uid="{00000000-0005-0000-0000-0000740B0000}"/>
    <cellStyle name="20% - Accent2 10 7" xfId="22311" xr:uid="{00000000-0005-0000-0000-0000750B0000}"/>
    <cellStyle name="20% - Accent2 10 8" xfId="29413" xr:uid="{00000000-0005-0000-0000-0000760B0000}"/>
    <cellStyle name="20% - Accent2 10 9" xfId="36286" xr:uid="{00000000-0005-0000-0000-0000770B0000}"/>
    <cellStyle name="20% - Accent2 11" xfId="1284" xr:uid="{00000000-0005-0000-0000-0000780B0000}"/>
    <cellStyle name="20% - Accent2 11 2" xfId="2775" xr:uid="{00000000-0005-0000-0000-0000790B0000}"/>
    <cellStyle name="20% - Accent2 11 2 2" xfId="7043" xr:uid="{00000000-0005-0000-0000-00007A0B0000}"/>
    <cellStyle name="20% - Accent2 11 2 2 2" xfId="14143" xr:uid="{00000000-0005-0000-0000-00007B0B0000}"/>
    <cellStyle name="20% - Accent2 11 2 2 3" xfId="21244" xr:uid="{00000000-0005-0000-0000-00007C0B0000}"/>
    <cellStyle name="20% - Accent2 11 2 2 4" xfId="28346" xr:uid="{00000000-0005-0000-0000-00007D0B0000}"/>
    <cellStyle name="20% - Accent2 11 2 2 5" xfId="35448" xr:uid="{00000000-0005-0000-0000-00007E0B0000}"/>
    <cellStyle name="20% - Accent2 11 2 3" xfId="9883" xr:uid="{00000000-0005-0000-0000-00007F0B0000}"/>
    <cellStyle name="20% - Accent2 11 2 4" xfId="16984" xr:uid="{00000000-0005-0000-0000-0000800B0000}"/>
    <cellStyle name="20% - Accent2 11 2 5" xfId="24086" xr:uid="{00000000-0005-0000-0000-0000810B0000}"/>
    <cellStyle name="20% - Accent2 11 2 6" xfId="31188" xr:uid="{00000000-0005-0000-0000-0000820B0000}"/>
    <cellStyle name="20% - Accent2 11 2 7" xfId="36287" xr:uid="{00000000-0005-0000-0000-0000830B0000}"/>
    <cellStyle name="20% - Accent2 11 3" xfId="5622" xr:uid="{00000000-0005-0000-0000-0000840B0000}"/>
    <cellStyle name="20% - Accent2 11 3 2" xfId="12723" xr:uid="{00000000-0005-0000-0000-0000850B0000}"/>
    <cellStyle name="20% - Accent2 11 3 3" xfId="19824" xr:uid="{00000000-0005-0000-0000-0000860B0000}"/>
    <cellStyle name="20% - Accent2 11 3 4" xfId="26926" xr:uid="{00000000-0005-0000-0000-0000870B0000}"/>
    <cellStyle name="20% - Accent2 11 3 5" xfId="34028" xr:uid="{00000000-0005-0000-0000-0000880B0000}"/>
    <cellStyle name="20% - Accent2 11 4" xfId="4197" xr:uid="{00000000-0005-0000-0000-0000890B0000}"/>
    <cellStyle name="20% - Accent2 11 4 2" xfId="11303" xr:uid="{00000000-0005-0000-0000-00008A0B0000}"/>
    <cellStyle name="20% - Accent2 11 4 3" xfId="18404" xr:uid="{00000000-0005-0000-0000-00008B0B0000}"/>
    <cellStyle name="20% - Accent2 11 4 4" xfId="25506" xr:uid="{00000000-0005-0000-0000-00008C0B0000}"/>
    <cellStyle name="20% - Accent2 11 4 5" xfId="32608" xr:uid="{00000000-0005-0000-0000-00008D0B0000}"/>
    <cellStyle name="20% - Accent2 11 5" xfId="8463" xr:uid="{00000000-0005-0000-0000-00008E0B0000}"/>
    <cellStyle name="20% - Accent2 11 6" xfId="15564" xr:uid="{00000000-0005-0000-0000-00008F0B0000}"/>
    <cellStyle name="20% - Accent2 11 7" xfId="22666" xr:uid="{00000000-0005-0000-0000-0000900B0000}"/>
    <cellStyle name="20% - Accent2 11 8" xfId="29768" xr:uid="{00000000-0005-0000-0000-0000910B0000}"/>
    <cellStyle name="20% - Accent2 11 9" xfId="36288" xr:uid="{00000000-0005-0000-0000-0000920B0000}"/>
    <cellStyle name="20% - Accent2 12" xfId="1552" xr:uid="{00000000-0005-0000-0000-0000930B0000}"/>
    <cellStyle name="20% - Accent2 12 2" xfId="5835" xr:uid="{00000000-0005-0000-0000-0000940B0000}"/>
    <cellStyle name="20% - Accent2 12 2 2" xfId="12936" xr:uid="{00000000-0005-0000-0000-0000950B0000}"/>
    <cellStyle name="20% - Accent2 12 2 3" xfId="20037" xr:uid="{00000000-0005-0000-0000-0000960B0000}"/>
    <cellStyle name="20% - Accent2 12 2 4" xfId="27139" xr:uid="{00000000-0005-0000-0000-0000970B0000}"/>
    <cellStyle name="20% - Accent2 12 2 5" xfId="34241" xr:uid="{00000000-0005-0000-0000-0000980B0000}"/>
    <cellStyle name="20% - Accent2 12 3" xfId="8676" xr:uid="{00000000-0005-0000-0000-0000990B0000}"/>
    <cellStyle name="20% - Accent2 12 4" xfId="15777" xr:uid="{00000000-0005-0000-0000-00009A0B0000}"/>
    <cellStyle name="20% - Accent2 12 5" xfId="22879" xr:uid="{00000000-0005-0000-0000-00009B0B0000}"/>
    <cellStyle name="20% - Accent2 12 6" xfId="29981" xr:uid="{00000000-0005-0000-0000-00009C0B0000}"/>
    <cellStyle name="20% - Accent2 12 7" xfId="36289" xr:uid="{00000000-0005-0000-0000-00009D0B0000}"/>
    <cellStyle name="20% - Accent2 13" xfId="4415" xr:uid="{00000000-0005-0000-0000-00009E0B0000}"/>
    <cellStyle name="20% - Accent2 13 2" xfId="11516" xr:uid="{00000000-0005-0000-0000-00009F0B0000}"/>
    <cellStyle name="20% - Accent2 13 3" xfId="18617" xr:uid="{00000000-0005-0000-0000-0000A00B0000}"/>
    <cellStyle name="20% - Accent2 13 4" xfId="25719" xr:uid="{00000000-0005-0000-0000-0000A10B0000}"/>
    <cellStyle name="20% - Accent2 13 5" xfId="32821" xr:uid="{00000000-0005-0000-0000-0000A20B0000}"/>
    <cellStyle name="20% - Accent2 14" xfId="2990" xr:uid="{00000000-0005-0000-0000-0000A30B0000}"/>
    <cellStyle name="20% - Accent2 14 2" xfId="10096" xr:uid="{00000000-0005-0000-0000-0000A40B0000}"/>
    <cellStyle name="20% - Accent2 14 3" xfId="17197" xr:uid="{00000000-0005-0000-0000-0000A50B0000}"/>
    <cellStyle name="20% - Accent2 14 4" xfId="24299" xr:uid="{00000000-0005-0000-0000-0000A60B0000}"/>
    <cellStyle name="20% - Accent2 14 5" xfId="31401" xr:uid="{00000000-0005-0000-0000-0000A70B0000}"/>
    <cellStyle name="20% - Accent2 15" xfId="7256" xr:uid="{00000000-0005-0000-0000-0000A80B0000}"/>
    <cellStyle name="20% - Accent2 16" xfId="14357" xr:uid="{00000000-0005-0000-0000-0000A90B0000}"/>
    <cellStyle name="20% - Accent2 17" xfId="21459" xr:uid="{00000000-0005-0000-0000-0000AA0B0000}"/>
    <cellStyle name="20% - Accent2 18" xfId="28561" xr:uid="{00000000-0005-0000-0000-0000AB0B0000}"/>
    <cellStyle name="20% - Accent2 19" xfId="35663" xr:uid="{00000000-0005-0000-0000-0000AC0B0000}"/>
    <cellStyle name="20% - Accent2 2" xfId="75" xr:uid="{00000000-0005-0000-0000-0000AD0B0000}"/>
    <cellStyle name="20% - Accent2 2 10" xfId="1576" xr:uid="{00000000-0005-0000-0000-0000AE0B0000}"/>
    <cellStyle name="20% - Accent2 2 10 2" xfId="5850" xr:uid="{00000000-0005-0000-0000-0000AF0B0000}"/>
    <cellStyle name="20% - Accent2 2 10 2 2" xfId="12950" xr:uid="{00000000-0005-0000-0000-0000B00B0000}"/>
    <cellStyle name="20% - Accent2 2 10 2 3" xfId="20051" xr:uid="{00000000-0005-0000-0000-0000B10B0000}"/>
    <cellStyle name="20% - Accent2 2 10 2 4" xfId="27153" xr:uid="{00000000-0005-0000-0000-0000B20B0000}"/>
    <cellStyle name="20% - Accent2 2 10 2 5" xfId="34255" xr:uid="{00000000-0005-0000-0000-0000B30B0000}"/>
    <cellStyle name="20% - Accent2 2 10 2 6" xfId="36290" xr:uid="{00000000-0005-0000-0000-0000B40B0000}"/>
    <cellStyle name="20% - Accent2 2 10 3" xfId="8690" xr:uid="{00000000-0005-0000-0000-0000B50B0000}"/>
    <cellStyle name="20% - Accent2 2 10 4" xfId="15791" xr:uid="{00000000-0005-0000-0000-0000B60B0000}"/>
    <cellStyle name="20% - Accent2 2 10 5" xfId="22893" xr:uid="{00000000-0005-0000-0000-0000B70B0000}"/>
    <cellStyle name="20% - Accent2 2 10 6" xfId="29995" xr:uid="{00000000-0005-0000-0000-0000B80B0000}"/>
    <cellStyle name="20% - Accent2 2 10 7" xfId="36291" xr:uid="{00000000-0005-0000-0000-0000B90B0000}"/>
    <cellStyle name="20% - Accent2 2 11" xfId="4429" xr:uid="{00000000-0005-0000-0000-0000BA0B0000}"/>
    <cellStyle name="20% - Accent2 2 11 2" xfId="11530" xr:uid="{00000000-0005-0000-0000-0000BB0B0000}"/>
    <cellStyle name="20% - Accent2 2 11 3" xfId="18631" xr:uid="{00000000-0005-0000-0000-0000BC0B0000}"/>
    <cellStyle name="20% - Accent2 2 11 4" xfId="25733" xr:uid="{00000000-0005-0000-0000-0000BD0B0000}"/>
    <cellStyle name="20% - Accent2 2 11 5" xfId="32835" xr:uid="{00000000-0005-0000-0000-0000BE0B0000}"/>
    <cellStyle name="20% - Accent2 2 11 6" xfId="36292" xr:uid="{00000000-0005-0000-0000-0000BF0B0000}"/>
    <cellStyle name="20% - Accent2 2 12" xfId="3004" xr:uid="{00000000-0005-0000-0000-0000C00B0000}"/>
    <cellStyle name="20% - Accent2 2 12 2" xfId="10110" xr:uid="{00000000-0005-0000-0000-0000C10B0000}"/>
    <cellStyle name="20% - Accent2 2 12 3" xfId="17211" xr:uid="{00000000-0005-0000-0000-0000C20B0000}"/>
    <cellStyle name="20% - Accent2 2 12 4" xfId="24313" xr:uid="{00000000-0005-0000-0000-0000C30B0000}"/>
    <cellStyle name="20% - Accent2 2 12 5" xfId="31415" xr:uid="{00000000-0005-0000-0000-0000C40B0000}"/>
    <cellStyle name="20% - Accent2 2 13" xfId="7270" xr:uid="{00000000-0005-0000-0000-0000C50B0000}"/>
    <cellStyle name="20% - Accent2 2 14" xfId="14371" xr:uid="{00000000-0005-0000-0000-0000C60B0000}"/>
    <cellStyle name="20% - Accent2 2 15" xfId="21473" xr:uid="{00000000-0005-0000-0000-0000C70B0000}"/>
    <cellStyle name="20% - Accent2 2 16" xfId="28575" xr:uid="{00000000-0005-0000-0000-0000C80B0000}"/>
    <cellStyle name="20% - Accent2 2 17" xfId="35677" xr:uid="{00000000-0005-0000-0000-0000C90B0000}"/>
    <cellStyle name="20% - Accent2 2 18" xfId="36293" xr:uid="{00000000-0005-0000-0000-0000CA0B0000}"/>
    <cellStyle name="20% - Accent2 2 19" xfId="36294" xr:uid="{00000000-0005-0000-0000-0000CB0B0000}"/>
    <cellStyle name="20% - Accent2 2 2" xfId="120" xr:uid="{00000000-0005-0000-0000-0000CC0B0000}"/>
    <cellStyle name="20% - Accent2 2 2 10" xfId="4460" xr:uid="{00000000-0005-0000-0000-0000CD0B0000}"/>
    <cellStyle name="20% - Accent2 2 2 10 2" xfId="11561" xr:uid="{00000000-0005-0000-0000-0000CE0B0000}"/>
    <cellStyle name="20% - Accent2 2 2 10 3" xfId="18662" xr:uid="{00000000-0005-0000-0000-0000CF0B0000}"/>
    <cellStyle name="20% - Accent2 2 2 10 4" xfId="25764" xr:uid="{00000000-0005-0000-0000-0000D00B0000}"/>
    <cellStyle name="20% - Accent2 2 2 10 5" xfId="32866" xr:uid="{00000000-0005-0000-0000-0000D10B0000}"/>
    <cellStyle name="20% - Accent2 2 2 11" xfId="3035" xr:uid="{00000000-0005-0000-0000-0000D20B0000}"/>
    <cellStyle name="20% - Accent2 2 2 11 2" xfId="10141" xr:uid="{00000000-0005-0000-0000-0000D30B0000}"/>
    <cellStyle name="20% - Accent2 2 2 11 3" xfId="17242" xr:uid="{00000000-0005-0000-0000-0000D40B0000}"/>
    <cellStyle name="20% - Accent2 2 2 11 4" xfId="24344" xr:uid="{00000000-0005-0000-0000-0000D50B0000}"/>
    <cellStyle name="20% - Accent2 2 2 11 5" xfId="31446" xr:uid="{00000000-0005-0000-0000-0000D60B0000}"/>
    <cellStyle name="20% - Accent2 2 2 12" xfId="7301" xr:uid="{00000000-0005-0000-0000-0000D70B0000}"/>
    <cellStyle name="20% - Accent2 2 2 13" xfId="14402" xr:uid="{00000000-0005-0000-0000-0000D80B0000}"/>
    <cellStyle name="20% - Accent2 2 2 14" xfId="21504" xr:uid="{00000000-0005-0000-0000-0000D90B0000}"/>
    <cellStyle name="20% - Accent2 2 2 15" xfId="28606" xr:uid="{00000000-0005-0000-0000-0000DA0B0000}"/>
    <cellStyle name="20% - Accent2 2 2 16" xfId="35708" xr:uid="{00000000-0005-0000-0000-0000DB0B0000}"/>
    <cellStyle name="20% - Accent2 2 2 17" xfId="36295" xr:uid="{00000000-0005-0000-0000-0000DC0B0000}"/>
    <cellStyle name="20% - Accent2 2 2 18" xfId="36296" xr:uid="{00000000-0005-0000-0000-0000DD0B0000}"/>
    <cellStyle name="20% - Accent2 2 2 2" xfId="264" xr:uid="{00000000-0005-0000-0000-0000DE0B0000}"/>
    <cellStyle name="20% - Accent2 2 2 2 10" xfId="7443" xr:uid="{00000000-0005-0000-0000-0000DF0B0000}"/>
    <cellStyle name="20% - Accent2 2 2 2 11" xfId="14544" xr:uid="{00000000-0005-0000-0000-0000E00B0000}"/>
    <cellStyle name="20% - Accent2 2 2 2 12" xfId="21646" xr:uid="{00000000-0005-0000-0000-0000E10B0000}"/>
    <cellStyle name="20% - Accent2 2 2 2 13" xfId="28748" xr:uid="{00000000-0005-0000-0000-0000E20B0000}"/>
    <cellStyle name="20% - Accent2 2 2 2 14" xfId="35850" xr:uid="{00000000-0005-0000-0000-0000E30B0000}"/>
    <cellStyle name="20% - Accent2 2 2 2 15" xfId="36297" xr:uid="{00000000-0005-0000-0000-0000E40B0000}"/>
    <cellStyle name="20% - Accent2 2 2 2 2" xfId="477" xr:uid="{00000000-0005-0000-0000-0000E50B0000}"/>
    <cellStyle name="20% - Accent2 2 2 2 2 10" xfId="36298" xr:uid="{00000000-0005-0000-0000-0000E60B0000}"/>
    <cellStyle name="20% - Accent2 2 2 2 2 2" xfId="1258" xr:uid="{00000000-0005-0000-0000-0000E70B0000}"/>
    <cellStyle name="20% - Accent2 2 2 2 2 2 2" xfId="2749" xr:uid="{00000000-0005-0000-0000-0000E80B0000}"/>
    <cellStyle name="20% - Accent2 2 2 2 2 2 2 2" xfId="7017" xr:uid="{00000000-0005-0000-0000-0000E90B0000}"/>
    <cellStyle name="20% - Accent2 2 2 2 2 2 2 2 2" xfId="14117" xr:uid="{00000000-0005-0000-0000-0000EA0B0000}"/>
    <cellStyle name="20% - Accent2 2 2 2 2 2 2 2 3" xfId="21218" xr:uid="{00000000-0005-0000-0000-0000EB0B0000}"/>
    <cellStyle name="20% - Accent2 2 2 2 2 2 2 2 4" xfId="28320" xr:uid="{00000000-0005-0000-0000-0000EC0B0000}"/>
    <cellStyle name="20% - Accent2 2 2 2 2 2 2 2 5" xfId="35422" xr:uid="{00000000-0005-0000-0000-0000ED0B0000}"/>
    <cellStyle name="20% - Accent2 2 2 2 2 2 2 3" xfId="9857" xr:uid="{00000000-0005-0000-0000-0000EE0B0000}"/>
    <cellStyle name="20% - Accent2 2 2 2 2 2 2 4" xfId="16958" xr:uid="{00000000-0005-0000-0000-0000EF0B0000}"/>
    <cellStyle name="20% - Accent2 2 2 2 2 2 2 5" xfId="24060" xr:uid="{00000000-0005-0000-0000-0000F00B0000}"/>
    <cellStyle name="20% - Accent2 2 2 2 2 2 2 6" xfId="31162" xr:uid="{00000000-0005-0000-0000-0000F10B0000}"/>
    <cellStyle name="20% - Accent2 2 2 2 2 2 2 7" xfId="36299" xr:uid="{00000000-0005-0000-0000-0000F20B0000}"/>
    <cellStyle name="20% - Accent2 2 2 2 2 2 3" xfId="5596" xr:uid="{00000000-0005-0000-0000-0000F30B0000}"/>
    <cellStyle name="20% - Accent2 2 2 2 2 2 3 2" xfId="12697" xr:uid="{00000000-0005-0000-0000-0000F40B0000}"/>
    <cellStyle name="20% - Accent2 2 2 2 2 2 3 3" xfId="19798" xr:uid="{00000000-0005-0000-0000-0000F50B0000}"/>
    <cellStyle name="20% - Accent2 2 2 2 2 2 3 4" xfId="26900" xr:uid="{00000000-0005-0000-0000-0000F60B0000}"/>
    <cellStyle name="20% - Accent2 2 2 2 2 2 3 5" xfId="34002" xr:uid="{00000000-0005-0000-0000-0000F70B0000}"/>
    <cellStyle name="20% - Accent2 2 2 2 2 2 4" xfId="4171" xr:uid="{00000000-0005-0000-0000-0000F80B0000}"/>
    <cellStyle name="20% - Accent2 2 2 2 2 2 4 2" xfId="11277" xr:uid="{00000000-0005-0000-0000-0000F90B0000}"/>
    <cellStyle name="20% - Accent2 2 2 2 2 2 4 3" xfId="18378" xr:uid="{00000000-0005-0000-0000-0000FA0B0000}"/>
    <cellStyle name="20% - Accent2 2 2 2 2 2 4 4" xfId="25480" xr:uid="{00000000-0005-0000-0000-0000FB0B0000}"/>
    <cellStyle name="20% - Accent2 2 2 2 2 2 4 5" xfId="32582" xr:uid="{00000000-0005-0000-0000-0000FC0B0000}"/>
    <cellStyle name="20% - Accent2 2 2 2 2 2 5" xfId="8437" xr:uid="{00000000-0005-0000-0000-0000FD0B0000}"/>
    <cellStyle name="20% - Accent2 2 2 2 2 2 6" xfId="15538" xr:uid="{00000000-0005-0000-0000-0000FE0B0000}"/>
    <cellStyle name="20% - Accent2 2 2 2 2 2 7" xfId="22640" xr:uid="{00000000-0005-0000-0000-0000FF0B0000}"/>
    <cellStyle name="20% - Accent2 2 2 2 2 2 8" xfId="29742" xr:uid="{00000000-0005-0000-0000-0000000C0000}"/>
    <cellStyle name="20% - Accent2 2 2 2 2 2 9" xfId="36300" xr:uid="{00000000-0005-0000-0000-0000010C0000}"/>
    <cellStyle name="20% - Accent2 2 2 2 2 3" xfId="1968" xr:uid="{00000000-0005-0000-0000-0000020C0000}"/>
    <cellStyle name="20% - Accent2 2 2 2 2 3 2" xfId="6236" xr:uid="{00000000-0005-0000-0000-0000030C0000}"/>
    <cellStyle name="20% - Accent2 2 2 2 2 3 2 2" xfId="13336" xr:uid="{00000000-0005-0000-0000-0000040C0000}"/>
    <cellStyle name="20% - Accent2 2 2 2 2 3 2 3" xfId="20437" xr:uid="{00000000-0005-0000-0000-0000050C0000}"/>
    <cellStyle name="20% - Accent2 2 2 2 2 3 2 4" xfId="27539" xr:uid="{00000000-0005-0000-0000-0000060C0000}"/>
    <cellStyle name="20% - Accent2 2 2 2 2 3 2 5" xfId="34641" xr:uid="{00000000-0005-0000-0000-0000070C0000}"/>
    <cellStyle name="20% - Accent2 2 2 2 2 3 2 6" xfId="36301" xr:uid="{00000000-0005-0000-0000-0000080C0000}"/>
    <cellStyle name="20% - Accent2 2 2 2 2 3 3" xfId="9076" xr:uid="{00000000-0005-0000-0000-0000090C0000}"/>
    <cellStyle name="20% - Accent2 2 2 2 2 3 4" xfId="16177" xr:uid="{00000000-0005-0000-0000-00000A0C0000}"/>
    <cellStyle name="20% - Accent2 2 2 2 2 3 5" xfId="23279" xr:uid="{00000000-0005-0000-0000-00000B0C0000}"/>
    <cellStyle name="20% - Accent2 2 2 2 2 3 6" xfId="30381" xr:uid="{00000000-0005-0000-0000-00000C0C0000}"/>
    <cellStyle name="20% - Accent2 2 2 2 2 3 7" xfId="36302" xr:uid="{00000000-0005-0000-0000-00000D0C0000}"/>
    <cellStyle name="20% - Accent2 2 2 2 2 4" xfId="4815" xr:uid="{00000000-0005-0000-0000-00000E0C0000}"/>
    <cellStyle name="20% - Accent2 2 2 2 2 4 2" xfId="11916" xr:uid="{00000000-0005-0000-0000-00000F0C0000}"/>
    <cellStyle name="20% - Accent2 2 2 2 2 4 3" xfId="19017" xr:uid="{00000000-0005-0000-0000-0000100C0000}"/>
    <cellStyle name="20% - Accent2 2 2 2 2 4 4" xfId="26119" xr:uid="{00000000-0005-0000-0000-0000110C0000}"/>
    <cellStyle name="20% - Accent2 2 2 2 2 4 5" xfId="33221" xr:uid="{00000000-0005-0000-0000-0000120C0000}"/>
    <cellStyle name="20% - Accent2 2 2 2 2 4 6" xfId="36303" xr:uid="{00000000-0005-0000-0000-0000130C0000}"/>
    <cellStyle name="20% - Accent2 2 2 2 2 5" xfId="3390" xr:uid="{00000000-0005-0000-0000-0000140C0000}"/>
    <cellStyle name="20% - Accent2 2 2 2 2 5 2" xfId="10496" xr:uid="{00000000-0005-0000-0000-0000150C0000}"/>
    <cellStyle name="20% - Accent2 2 2 2 2 5 3" xfId="17597" xr:uid="{00000000-0005-0000-0000-0000160C0000}"/>
    <cellStyle name="20% - Accent2 2 2 2 2 5 4" xfId="24699" xr:uid="{00000000-0005-0000-0000-0000170C0000}"/>
    <cellStyle name="20% - Accent2 2 2 2 2 5 5" xfId="31801" xr:uid="{00000000-0005-0000-0000-0000180C0000}"/>
    <cellStyle name="20% - Accent2 2 2 2 2 6" xfId="7656" xr:uid="{00000000-0005-0000-0000-0000190C0000}"/>
    <cellStyle name="20% - Accent2 2 2 2 2 7" xfId="14757" xr:uid="{00000000-0005-0000-0000-00001A0C0000}"/>
    <cellStyle name="20% - Accent2 2 2 2 2 8" xfId="21859" xr:uid="{00000000-0005-0000-0000-00001B0C0000}"/>
    <cellStyle name="20% - Accent2 2 2 2 2 9" xfId="28961" xr:uid="{00000000-0005-0000-0000-00001C0C0000}"/>
    <cellStyle name="20% - Accent2 2 2 2 3" xfId="690" xr:uid="{00000000-0005-0000-0000-00001D0C0000}"/>
    <cellStyle name="20% - Accent2 2 2 2 3 2" xfId="2181" xr:uid="{00000000-0005-0000-0000-00001E0C0000}"/>
    <cellStyle name="20% - Accent2 2 2 2 3 2 2" xfId="6449" xr:uid="{00000000-0005-0000-0000-00001F0C0000}"/>
    <cellStyle name="20% - Accent2 2 2 2 3 2 2 2" xfId="13549" xr:uid="{00000000-0005-0000-0000-0000200C0000}"/>
    <cellStyle name="20% - Accent2 2 2 2 3 2 2 3" xfId="20650" xr:uid="{00000000-0005-0000-0000-0000210C0000}"/>
    <cellStyle name="20% - Accent2 2 2 2 3 2 2 4" xfId="27752" xr:uid="{00000000-0005-0000-0000-0000220C0000}"/>
    <cellStyle name="20% - Accent2 2 2 2 3 2 2 5" xfId="34854" xr:uid="{00000000-0005-0000-0000-0000230C0000}"/>
    <cellStyle name="20% - Accent2 2 2 2 3 2 2 6" xfId="36304" xr:uid="{00000000-0005-0000-0000-0000240C0000}"/>
    <cellStyle name="20% - Accent2 2 2 2 3 2 3" xfId="9289" xr:uid="{00000000-0005-0000-0000-0000250C0000}"/>
    <cellStyle name="20% - Accent2 2 2 2 3 2 4" xfId="16390" xr:uid="{00000000-0005-0000-0000-0000260C0000}"/>
    <cellStyle name="20% - Accent2 2 2 2 3 2 5" xfId="23492" xr:uid="{00000000-0005-0000-0000-0000270C0000}"/>
    <cellStyle name="20% - Accent2 2 2 2 3 2 6" xfId="30594" xr:uid="{00000000-0005-0000-0000-0000280C0000}"/>
    <cellStyle name="20% - Accent2 2 2 2 3 2 7" xfId="36305" xr:uid="{00000000-0005-0000-0000-0000290C0000}"/>
    <cellStyle name="20% - Accent2 2 2 2 3 3" xfId="5028" xr:uid="{00000000-0005-0000-0000-00002A0C0000}"/>
    <cellStyle name="20% - Accent2 2 2 2 3 3 2" xfId="12129" xr:uid="{00000000-0005-0000-0000-00002B0C0000}"/>
    <cellStyle name="20% - Accent2 2 2 2 3 3 2 2" xfId="36306" xr:uid="{00000000-0005-0000-0000-00002C0C0000}"/>
    <cellStyle name="20% - Accent2 2 2 2 3 3 3" xfId="19230" xr:uid="{00000000-0005-0000-0000-00002D0C0000}"/>
    <cellStyle name="20% - Accent2 2 2 2 3 3 4" xfId="26332" xr:uid="{00000000-0005-0000-0000-00002E0C0000}"/>
    <cellStyle name="20% - Accent2 2 2 2 3 3 5" xfId="33434" xr:uid="{00000000-0005-0000-0000-00002F0C0000}"/>
    <cellStyle name="20% - Accent2 2 2 2 3 3 6" xfId="36307" xr:uid="{00000000-0005-0000-0000-0000300C0000}"/>
    <cellStyle name="20% - Accent2 2 2 2 3 4" xfId="3603" xr:uid="{00000000-0005-0000-0000-0000310C0000}"/>
    <cellStyle name="20% - Accent2 2 2 2 3 4 2" xfId="10709" xr:uid="{00000000-0005-0000-0000-0000320C0000}"/>
    <cellStyle name="20% - Accent2 2 2 2 3 4 3" xfId="17810" xr:uid="{00000000-0005-0000-0000-0000330C0000}"/>
    <cellStyle name="20% - Accent2 2 2 2 3 4 4" xfId="24912" xr:uid="{00000000-0005-0000-0000-0000340C0000}"/>
    <cellStyle name="20% - Accent2 2 2 2 3 4 5" xfId="32014" xr:uid="{00000000-0005-0000-0000-0000350C0000}"/>
    <cellStyle name="20% - Accent2 2 2 2 3 4 6" xfId="36308" xr:uid="{00000000-0005-0000-0000-0000360C0000}"/>
    <cellStyle name="20% - Accent2 2 2 2 3 5" xfId="7869" xr:uid="{00000000-0005-0000-0000-0000370C0000}"/>
    <cellStyle name="20% - Accent2 2 2 2 3 6" xfId="14970" xr:uid="{00000000-0005-0000-0000-0000380C0000}"/>
    <cellStyle name="20% - Accent2 2 2 2 3 7" xfId="22072" xr:uid="{00000000-0005-0000-0000-0000390C0000}"/>
    <cellStyle name="20% - Accent2 2 2 2 3 8" xfId="29174" xr:uid="{00000000-0005-0000-0000-00003A0C0000}"/>
    <cellStyle name="20% - Accent2 2 2 2 3 9" xfId="36309" xr:uid="{00000000-0005-0000-0000-00003B0C0000}"/>
    <cellStyle name="20% - Accent2 2 2 2 4" xfId="903" xr:uid="{00000000-0005-0000-0000-00003C0C0000}"/>
    <cellStyle name="20% - Accent2 2 2 2 4 2" xfId="2394" xr:uid="{00000000-0005-0000-0000-00003D0C0000}"/>
    <cellStyle name="20% - Accent2 2 2 2 4 2 2" xfId="6662" xr:uid="{00000000-0005-0000-0000-00003E0C0000}"/>
    <cellStyle name="20% - Accent2 2 2 2 4 2 2 2" xfId="13762" xr:uid="{00000000-0005-0000-0000-00003F0C0000}"/>
    <cellStyle name="20% - Accent2 2 2 2 4 2 2 3" xfId="20863" xr:uid="{00000000-0005-0000-0000-0000400C0000}"/>
    <cellStyle name="20% - Accent2 2 2 2 4 2 2 4" xfId="27965" xr:uid="{00000000-0005-0000-0000-0000410C0000}"/>
    <cellStyle name="20% - Accent2 2 2 2 4 2 2 5" xfId="35067" xr:uid="{00000000-0005-0000-0000-0000420C0000}"/>
    <cellStyle name="20% - Accent2 2 2 2 4 2 2 6" xfId="36310" xr:uid="{00000000-0005-0000-0000-0000430C0000}"/>
    <cellStyle name="20% - Accent2 2 2 2 4 2 3" xfId="9502" xr:uid="{00000000-0005-0000-0000-0000440C0000}"/>
    <cellStyle name="20% - Accent2 2 2 2 4 2 4" xfId="16603" xr:uid="{00000000-0005-0000-0000-0000450C0000}"/>
    <cellStyle name="20% - Accent2 2 2 2 4 2 5" xfId="23705" xr:uid="{00000000-0005-0000-0000-0000460C0000}"/>
    <cellStyle name="20% - Accent2 2 2 2 4 2 6" xfId="30807" xr:uid="{00000000-0005-0000-0000-0000470C0000}"/>
    <cellStyle name="20% - Accent2 2 2 2 4 2 7" xfId="36311" xr:uid="{00000000-0005-0000-0000-0000480C0000}"/>
    <cellStyle name="20% - Accent2 2 2 2 4 3" xfId="5241" xr:uid="{00000000-0005-0000-0000-0000490C0000}"/>
    <cellStyle name="20% - Accent2 2 2 2 4 3 2" xfId="12342" xr:uid="{00000000-0005-0000-0000-00004A0C0000}"/>
    <cellStyle name="20% - Accent2 2 2 2 4 3 2 2" xfId="36312" xr:uid="{00000000-0005-0000-0000-00004B0C0000}"/>
    <cellStyle name="20% - Accent2 2 2 2 4 3 3" xfId="19443" xr:uid="{00000000-0005-0000-0000-00004C0C0000}"/>
    <cellStyle name="20% - Accent2 2 2 2 4 3 4" xfId="26545" xr:uid="{00000000-0005-0000-0000-00004D0C0000}"/>
    <cellStyle name="20% - Accent2 2 2 2 4 3 5" xfId="33647" xr:uid="{00000000-0005-0000-0000-00004E0C0000}"/>
    <cellStyle name="20% - Accent2 2 2 2 4 3 6" xfId="36313" xr:uid="{00000000-0005-0000-0000-00004F0C0000}"/>
    <cellStyle name="20% - Accent2 2 2 2 4 4" xfId="3816" xr:uid="{00000000-0005-0000-0000-0000500C0000}"/>
    <cellStyle name="20% - Accent2 2 2 2 4 4 2" xfId="10922" xr:uid="{00000000-0005-0000-0000-0000510C0000}"/>
    <cellStyle name="20% - Accent2 2 2 2 4 4 3" xfId="18023" xr:uid="{00000000-0005-0000-0000-0000520C0000}"/>
    <cellStyle name="20% - Accent2 2 2 2 4 4 4" xfId="25125" xr:uid="{00000000-0005-0000-0000-0000530C0000}"/>
    <cellStyle name="20% - Accent2 2 2 2 4 4 5" xfId="32227" xr:uid="{00000000-0005-0000-0000-0000540C0000}"/>
    <cellStyle name="20% - Accent2 2 2 2 4 4 6" xfId="36314" xr:uid="{00000000-0005-0000-0000-0000550C0000}"/>
    <cellStyle name="20% - Accent2 2 2 2 4 5" xfId="8082" xr:uid="{00000000-0005-0000-0000-0000560C0000}"/>
    <cellStyle name="20% - Accent2 2 2 2 4 6" xfId="15183" xr:uid="{00000000-0005-0000-0000-0000570C0000}"/>
    <cellStyle name="20% - Accent2 2 2 2 4 7" xfId="22285" xr:uid="{00000000-0005-0000-0000-0000580C0000}"/>
    <cellStyle name="20% - Accent2 2 2 2 4 8" xfId="29387" xr:uid="{00000000-0005-0000-0000-0000590C0000}"/>
    <cellStyle name="20% - Accent2 2 2 2 4 9" xfId="36315" xr:uid="{00000000-0005-0000-0000-00005A0C0000}"/>
    <cellStyle name="20% - Accent2 2 2 2 5" xfId="1045" xr:uid="{00000000-0005-0000-0000-00005B0C0000}"/>
    <cellStyle name="20% - Accent2 2 2 2 5 2" xfId="2536" xr:uid="{00000000-0005-0000-0000-00005C0C0000}"/>
    <cellStyle name="20% - Accent2 2 2 2 5 2 2" xfId="6804" xr:uid="{00000000-0005-0000-0000-00005D0C0000}"/>
    <cellStyle name="20% - Accent2 2 2 2 5 2 2 2" xfId="13904" xr:uid="{00000000-0005-0000-0000-00005E0C0000}"/>
    <cellStyle name="20% - Accent2 2 2 2 5 2 2 3" xfId="21005" xr:uid="{00000000-0005-0000-0000-00005F0C0000}"/>
    <cellStyle name="20% - Accent2 2 2 2 5 2 2 4" xfId="28107" xr:uid="{00000000-0005-0000-0000-0000600C0000}"/>
    <cellStyle name="20% - Accent2 2 2 2 5 2 2 5" xfId="35209" xr:uid="{00000000-0005-0000-0000-0000610C0000}"/>
    <cellStyle name="20% - Accent2 2 2 2 5 2 3" xfId="9644" xr:uid="{00000000-0005-0000-0000-0000620C0000}"/>
    <cellStyle name="20% - Accent2 2 2 2 5 2 4" xfId="16745" xr:uid="{00000000-0005-0000-0000-0000630C0000}"/>
    <cellStyle name="20% - Accent2 2 2 2 5 2 5" xfId="23847" xr:uid="{00000000-0005-0000-0000-0000640C0000}"/>
    <cellStyle name="20% - Accent2 2 2 2 5 2 6" xfId="30949" xr:uid="{00000000-0005-0000-0000-0000650C0000}"/>
    <cellStyle name="20% - Accent2 2 2 2 5 2 7" xfId="36316" xr:uid="{00000000-0005-0000-0000-0000660C0000}"/>
    <cellStyle name="20% - Accent2 2 2 2 5 3" xfId="5383" xr:uid="{00000000-0005-0000-0000-0000670C0000}"/>
    <cellStyle name="20% - Accent2 2 2 2 5 3 2" xfId="12484" xr:uid="{00000000-0005-0000-0000-0000680C0000}"/>
    <cellStyle name="20% - Accent2 2 2 2 5 3 3" xfId="19585" xr:uid="{00000000-0005-0000-0000-0000690C0000}"/>
    <cellStyle name="20% - Accent2 2 2 2 5 3 4" xfId="26687" xr:uid="{00000000-0005-0000-0000-00006A0C0000}"/>
    <cellStyle name="20% - Accent2 2 2 2 5 3 5" xfId="33789" xr:uid="{00000000-0005-0000-0000-00006B0C0000}"/>
    <cellStyle name="20% - Accent2 2 2 2 5 4" xfId="3958" xr:uid="{00000000-0005-0000-0000-00006C0C0000}"/>
    <cellStyle name="20% - Accent2 2 2 2 5 4 2" xfId="11064" xr:uid="{00000000-0005-0000-0000-00006D0C0000}"/>
    <cellStyle name="20% - Accent2 2 2 2 5 4 3" xfId="18165" xr:uid="{00000000-0005-0000-0000-00006E0C0000}"/>
    <cellStyle name="20% - Accent2 2 2 2 5 4 4" xfId="25267" xr:uid="{00000000-0005-0000-0000-00006F0C0000}"/>
    <cellStyle name="20% - Accent2 2 2 2 5 4 5" xfId="32369" xr:uid="{00000000-0005-0000-0000-0000700C0000}"/>
    <cellStyle name="20% - Accent2 2 2 2 5 5" xfId="8224" xr:uid="{00000000-0005-0000-0000-0000710C0000}"/>
    <cellStyle name="20% - Accent2 2 2 2 5 6" xfId="15325" xr:uid="{00000000-0005-0000-0000-0000720C0000}"/>
    <cellStyle name="20% - Accent2 2 2 2 5 7" xfId="22427" xr:uid="{00000000-0005-0000-0000-0000730C0000}"/>
    <cellStyle name="20% - Accent2 2 2 2 5 8" xfId="29529" xr:uid="{00000000-0005-0000-0000-0000740C0000}"/>
    <cellStyle name="20% - Accent2 2 2 2 5 9" xfId="36317" xr:uid="{00000000-0005-0000-0000-0000750C0000}"/>
    <cellStyle name="20% - Accent2 2 2 2 6" xfId="1471" xr:uid="{00000000-0005-0000-0000-0000760C0000}"/>
    <cellStyle name="20% - Accent2 2 2 2 6 2" xfId="2962" xr:uid="{00000000-0005-0000-0000-0000770C0000}"/>
    <cellStyle name="20% - Accent2 2 2 2 6 2 2" xfId="7230" xr:uid="{00000000-0005-0000-0000-0000780C0000}"/>
    <cellStyle name="20% - Accent2 2 2 2 6 2 2 2" xfId="14330" xr:uid="{00000000-0005-0000-0000-0000790C0000}"/>
    <cellStyle name="20% - Accent2 2 2 2 6 2 2 3" xfId="21431" xr:uid="{00000000-0005-0000-0000-00007A0C0000}"/>
    <cellStyle name="20% - Accent2 2 2 2 6 2 2 4" xfId="28533" xr:uid="{00000000-0005-0000-0000-00007B0C0000}"/>
    <cellStyle name="20% - Accent2 2 2 2 6 2 2 5" xfId="35635" xr:uid="{00000000-0005-0000-0000-00007C0C0000}"/>
    <cellStyle name="20% - Accent2 2 2 2 6 2 3" xfId="10070" xr:uid="{00000000-0005-0000-0000-00007D0C0000}"/>
    <cellStyle name="20% - Accent2 2 2 2 6 2 4" xfId="17171" xr:uid="{00000000-0005-0000-0000-00007E0C0000}"/>
    <cellStyle name="20% - Accent2 2 2 2 6 2 5" xfId="24273" xr:uid="{00000000-0005-0000-0000-00007F0C0000}"/>
    <cellStyle name="20% - Accent2 2 2 2 6 2 6" xfId="31375" xr:uid="{00000000-0005-0000-0000-0000800C0000}"/>
    <cellStyle name="20% - Accent2 2 2 2 6 2 7" xfId="36318" xr:uid="{00000000-0005-0000-0000-0000810C0000}"/>
    <cellStyle name="20% - Accent2 2 2 2 6 3" xfId="5809" xr:uid="{00000000-0005-0000-0000-0000820C0000}"/>
    <cellStyle name="20% - Accent2 2 2 2 6 3 2" xfId="12910" xr:uid="{00000000-0005-0000-0000-0000830C0000}"/>
    <cellStyle name="20% - Accent2 2 2 2 6 3 3" xfId="20011" xr:uid="{00000000-0005-0000-0000-0000840C0000}"/>
    <cellStyle name="20% - Accent2 2 2 2 6 3 4" xfId="27113" xr:uid="{00000000-0005-0000-0000-0000850C0000}"/>
    <cellStyle name="20% - Accent2 2 2 2 6 3 5" xfId="34215" xr:uid="{00000000-0005-0000-0000-0000860C0000}"/>
    <cellStyle name="20% - Accent2 2 2 2 6 4" xfId="4384" xr:uid="{00000000-0005-0000-0000-0000870C0000}"/>
    <cellStyle name="20% - Accent2 2 2 2 6 4 2" xfId="11490" xr:uid="{00000000-0005-0000-0000-0000880C0000}"/>
    <cellStyle name="20% - Accent2 2 2 2 6 4 3" xfId="18591" xr:uid="{00000000-0005-0000-0000-0000890C0000}"/>
    <cellStyle name="20% - Accent2 2 2 2 6 4 4" xfId="25693" xr:uid="{00000000-0005-0000-0000-00008A0C0000}"/>
    <cellStyle name="20% - Accent2 2 2 2 6 4 5" xfId="32795" xr:uid="{00000000-0005-0000-0000-00008B0C0000}"/>
    <cellStyle name="20% - Accent2 2 2 2 6 5" xfId="8650" xr:uid="{00000000-0005-0000-0000-00008C0C0000}"/>
    <cellStyle name="20% - Accent2 2 2 2 6 6" xfId="15751" xr:uid="{00000000-0005-0000-0000-00008D0C0000}"/>
    <cellStyle name="20% - Accent2 2 2 2 6 7" xfId="22853" xr:uid="{00000000-0005-0000-0000-00008E0C0000}"/>
    <cellStyle name="20% - Accent2 2 2 2 6 8" xfId="29955" xr:uid="{00000000-0005-0000-0000-00008F0C0000}"/>
    <cellStyle name="20% - Accent2 2 2 2 6 9" xfId="36319" xr:uid="{00000000-0005-0000-0000-0000900C0000}"/>
    <cellStyle name="20% - Accent2 2 2 2 7" xfId="1755" xr:uid="{00000000-0005-0000-0000-0000910C0000}"/>
    <cellStyle name="20% - Accent2 2 2 2 7 2" xfId="6023" xr:uid="{00000000-0005-0000-0000-0000920C0000}"/>
    <cellStyle name="20% - Accent2 2 2 2 7 2 2" xfId="13123" xr:uid="{00000000-0005-0000-0000-0000930C0000}"/>
    <cellStyle name="20% - Accent2 2 2 2 7 2 3" xfId="20224" xr:uid="{00000000-0005-0000-0000-0000940C0000}"/>
    <cellStyle name="20% - Accent2 2 2 2 7 2 4" xfId="27326" xr:uid="{00000000-0005-0000-0000-0000950C0000}"/>
    <cellStyle name="20% - Accent2 2 2 2 7 2 5" xfId="34428" xr:uid="{00000000-0005-0000-0000-0000960C0000}"/>
    <cellStyle name="20% - Accent2 2 2 2 7 3" xfId="8863" xr:uid="{00000000-0005-0000-0000-0000970C0000}"/>
    <cellStyle name="20% - Accent2 2 2 2 7 4" xfId="15964" xr:uid="{00000000-0005-0000-0000-0000980C0000}"/>
    <cellStyle name="20% - Accent2 2 2 2 7 5" xfId="23066" xr:uid="{00000000-0005-0000-0000-0000990C0000}"/>
    <cellStyle name="20% - Accent2 2 2 2 7 6" xfId="30168" xr:uid="{00000000-0005-0000-0000-00009A0C0000}"/>
    <cellStyle name="20% - Accent2 2 2 2 7 7" xfId="36320" xr:uid="{00000000-0005-0000-0000-00009B0C0000}"/>
    <cellStyle name="20% - Accent2 2 2 2 8" xfId="4602" xr:uid="{00000000-0005-0000-0000-00009C0C0000}"/>
    <cellStyle name="20% - Accent2 2 2 2 8 2" xfId="11703" xr:uid="{00000000-0005-0000-0000-00009D0C0000}"/>
    <cellStyle name="20% - Accent2 2 2 2 8 3" xfId="18804" xr:uid="{00000000-0005-0000-0000-00009E0C0000}"/>
    <cellStyle name="20% - Accent2 2 2 2 8 4" xfId="25906" xr:uid="{00000000-0005-0000-0000-00009F0C0000}"/>
    <cellStyle name="20% - Accent2 2 2 2 8 5" xfId="33008" xr:uid="{00000000-0005-0000-0000-0000A00C0000}"/>
    <cellStyle name="20% - Accent2 2 2 2 9" xfId="3177" xr:uid="{00000000-0005-0000-0000-0000A10C0000}"/>
    <cellStyle name="20% - Accent2 2 2 2 9 2" xfId="10283" xr:uid="{00000000-0005-0000-0000-0000A20C0000}"/>
    <cellStyle name="20% - Accent2 2 2 2 9 3" xfId="17384" xr:uid="{00000000-0005-0000-0000-0000A30C0000}"/>
    <cellStyle name="20% - Accent2 2 2 2 9 4" xfId="24486" xr:uid="{00000000-0005-0000-0000-0000A40C0000}"/>
    <cellStyle name="20% - Accent2 2 2 2 9 5" xfId="31588" xr:uid="{00000000-0005-0000-0000-0000A50C0000}"/>
    <cellStyle name="20% - Accent2 2 2 3" xfId="193" xr:uid="{00000000-0005-0000-0000-0000A60C0000}"/>
    <cellStyle name="20% - Accent2 2 2 3 10" xfId="7372" xr:uid="{00000000-0005-0000-0000-0000A70C0000}"/>
    <cellStyle name="20% - Accent2 2 2 3 11" xfId="14473" xr:uid="{00000000-0005-0000-0000-0000A80C0000}"/>
    <cellStyle name="20% - Accent2 2 2 3 12" xfId="21575" xr:uid="{00000000-0005-0000-0000-0000A90C0000}"/>
    <cellStyle name="20% - Accent2 2 2 3 13" xfId="28677" xr:uid="{00000000-0005-0000-0000-0000AA0C0000}"/>
    <cellStyle name="20% - Accent2 2 2 3 14" xfId="35779" xr:uid="{00000000-0005-0000-0000-0000AB0C0000}"/>
    <cellStyle name="20% - Accent2 2 2 3 15" xfId="36321" xr:uid="{00000000-0005-0000-0000-0000AC0C0000}"/>
    <cellStyle name="20% - Accent2 2 2 3 2" xfId="406" xr:uid="{00000000-0005-0000-0000-0000AD0C0000}"/>
    <cellStyle name="20% - Accent2 2 2 3 2 2" xfId="1897" xr:uid="{00000000-0005-0000-0000-0000AE0C0000}"/>
    <cellStyle name="20% - Accent2 2 2 3 2 2 2" xfId="6165" xr:uid="{00000000-0005-0000-0000-0000AF0C0000}"/>
    <cellStyle name="20% - Accent2 2 2 3 2 2 2 2" xfId="13265" xr:uid="{00000000-0005-0000-0000-0000B00C0000}"/>
    <cellStyle name="20% - Accent2 2 2 3 2 2 2 3" xfId="20366" xr:uid="{00000000-0005-0000-0000-0000B10C0000}"/>
    <cellStyle name="20% - Accent2 2 2 3 2 2 2 4" xfId="27468" xr:uid="{00000000-0005-0000-0000-0000B20C0000}"/>
    <cellStyle name="20% - Accent2 2 2 3 2 2 2 5" xfId="34570" xr:uid="{00000000-0005-0000-0000-0000B30C0000}"/>
    <cellStyle name="20% - Accent2 2 2 3 2 2 2 6" xfId="36322" xr:uid="{00000000-0005-0000-0000-0000B40C0000}"/>
    <cellStyle name="20% - Accent2 2 2 3 2 2 3" xfId="9005" xr:uid="{00000000-0005-0000-0000-0000B50C0000}"/>
    <cellStyle name="20% - Accent2 2 2 3 2 2 4" xfId="16106" xr:uid="{00000000-0005-0000-0000-0000B60C0000}"/>
    <cellStyle name="20% - Accent2 2 2 3 2 2 5" xfId="23208" xr:uid="{00000000-0005-0000-0000-0000B70C0000}"/>
    <cellStyle name="20% - Accent2 2 2 3 2 2 6" xfId="30310" xr:uid="{00000000-0005-0000-0000-0000B80C0000}"/>
    <cellStyle name="20% - Accent2 2 2 3 2 2 7" xfId="36323" xr:uid="{00000000-0005-0000-0000-0000B90C0000}"/>
    <cellStyle name="20% - Accent2 2 2 3 2 3" xfId="4744" xr:uid="{00000000-0005-0000-0000-0000BA0C0000}"/>
    <cellStyle name="20% - Accent2 2 2 3 2 3 2" xfId="11845" xr:uid="{00000000-0005-0000-0000-0000BB0C0000}"/>
    <cellStyle name="20% - Accent2 2 2 3 2 3 2 2" xfId="36324" xr:uid="{00000000-0005-0000-0000-0000BC0C0000}"/>
    <cellStyle name="20% - Accent2 2 2 3 2 3 3" xfId="18946" xr:uid="{00000000-0005-0000-0000-0000BD0C0000}"/>
    <cellStyle name="20% - Accent2 2 2 3 2 3 4" xfId="26048" xr:uid="{00000000-0005-0000-0000-0000BE0C0000}"/>
    <cellStyle name="20% - Accent2 2 2 3 2 3 5" xfId="33150" xr:uid="{00000000-0005-0000-0000-0000BF0C0000}"/>
    <cellStyle name="20% - Accent2 2 2 3 2 3 6" xfId="36325" xr:uid="{00000000-0005-0000-0000-0000C00C0000}"/>
    <cellStyle name="20% - Accent2 2 2 3 2 4" xfId="3319" xr:uid="{00000000-0005-0000-0000-0000C10C0000}"/>
    <cellStyle name="20% - Accent2 2 2 3 2 4 2" xfId="10425" xr:uid="{00000000-0005-0000-0000-0000C20C0000}"/>
    <cellStyle name="20% - Accent2 2 2 3 2 4 3" xfId="17526" xr:uid="{00000000-0005-0000-0000-0000C30C0000}"/>
    <cellStyle name="20% - Accent2 2 2 3 2 4 4" xfId="24628" xr:uid="{00000000-0005-0000-0000-0000C40C0000}"/>
    <cellStyle name="20% - Accent2 2 2 3 2 4 5" xfId="31730" xr:uid="{00000000-0005-0000-0000-0000C50C0000}"/>
    <cellStyle name="20% - Accent2 2 2 3 2 4 6" xfId="36326" xr:uid="{00000000-0005-0000-0000-0000C60C0000}"/>
    <cellStyle name="20% - Accent2 2 2 3 2 5" xfId="7585" xr:uid="{00000000-0005-0000-0000-0000C70C0000}"/>
    <cellStyle name="20% - Accent2 2 2 3 2 6" xfId="14686" xr:uid="{00000000-0005-0000-0000-0000C80C0000}"/>
    <cellStyle name="20% - Accent2 2 2 3 2 7" xfId="21788" xr:uid="{00000000-0005-0000-0000-0000C90C0000}"/>
    <cellStyle name="20% - Accent2 2 2 3 2 8" xfId="28890" xr:uid="{00000000-0005-0000-0000-0000CA0C0000}"/>
    <cellStyle name="20% - Accent2 2 2 3 2 9" xfId="36327" xr:uid="{00000000-0005-0000-0000-0000CB0C0000}"/>
    <cellStyle name="20% - Accent2 2 2 3 3" xfId="619" xr:uid="{00000000-0005-0000-0000-0000CC0C0000}"/>
    <cellStyle name="20% - Accent2 2 2 3 3 2" xfId="2110" xr:uid="{00000000-0005-0000-0000-0000CD0C0000}"/>
    <cellStyle name="20% - Accent2 2 2 3 3 2 2" xfId="6378" xr:uid="{00000000-0005-0000-0000-0000CE0C0000}"/>
    <cellStyle name="20% - Accent2 2 2 3 3 2 2 2" xfId="13478" xr:uid="{00000000-0005-0000-0000-0000CF0C0000}"/>
    <cellStyle name="20% - Accent2 2 2 3 3 2 2 3" xfId="20579" xr:uid="{00000000-0005-0000-0000-0000D00C0000}"/>
    <cellStyle name="20% - Accent2 2 2 3 3 2 2 4" xfId="27681" xr:uid="{00000000-0005-0000-0000-0000D10C0000}"/>
    <cellStyle name="20% - Accent2 2 2 3 3 2 2 5" xfId="34783" xr:uid="{00000000-0005-0000-0000-0000D20C0000}"/>
    <cellStyle name="20% - Accent2 2 2 3 3 2 2 6" xfId="36328" xr:uid="{00000000-0005-0000-0000-0000D30C0000}"/>
    <cellStyle name="20% - Accent2 2 2 3 3 2 3" xfId="9218" xr:uid="{00000000-0005-0000-0000-0000D40C0000}"/>
    <cellStyle name="20% - Accent2 2 2 3 3 2 4" xfId="16319" xr:uid="{00000000-0005-0000-0000-0000D50C0000}"/>
    <cellStyle name="20% - Accent2 2 2 3 3 2 5" xfId="23421" xr:uid="{00000000-0005-0000-0000-0000D60C0000}"/>
    <cellStyle name="20% - Accent2 2 2 3 3 2 6" xfId="30523" xr:uid="{00000000-0005-0000-0000-0000D70C0000}"/>
    <cellStyle name="20% - Accent2 2 2 3 3 2 7" xfId="36329" xr:uid="{00000000-0005-0000-0000-0000D80C0000}"/>
    <cellStyle name="20% - Accent2 2 2 3 3 3" xfId="4957" xr:uid="{00000000-0005-0000-0000-0000D90C0000}"/>
    <cellStyle name="20% - Accent2 2 2 3 3 3 2" xfId="12058" xr:uid="{00000000-0005-0000-0000-0000DA0C0000}"/>
    <cellStyle name="20% - Accent2 2 2 3 3 3 2 2" xfId="36330" xr:uid="{00000000-0005-0000-0000-0000DB0C0000}"/>
    <cellStyle name="20% - Accent2 2 2 3 3 3 3" xfId="19159" xr:uid="{00000000-0005-0000-0000-0000DC0C0000}"/>
    <cellStyle name="20% - Accent2 2 2 3 3 3 4" xfId="26261" xr:uid="{00000000-0005-0000-0000-0000DD0C0000}"/>
    <cellStyle name="20% - Accent2 2 2 3 3 3 5" xfId="33363" xr:uid="{00000000-0005-0000-0000-0000DE0C0000}"/>
    <cellStyle name="20% - Accent2 2 2 3 3 3 6" xfId="36331" xr:uid="{00000000-0005-0000-0000-0000DF0C0000}"/>
    <cellStyle name="20% - Accent2 2 2 3 3 4" xfId="3532" xr:uid="{00000000-0005-0000-0000-0000E00C0000}"/>
    <cellStyle name="20% - Accent2 2 2 3 3 4 2" xfId="10638" xr:uid="{00000000-0005-0000-0000-0000E10C0000}"/>
    <cellStyle name="20% - Accent2 2 2 3 3 4 3" xfId="17739" xr:uid="{00000000-0005-0000-0000-0000E20C0000}"/>
    <cellStyle name="20% - Accent2 2 2 3 3 4 4" xfId="24841" xr:uid="{00000000-0005-0000-0000-0000E30C0000}"/>
    <cellStyle name="20% - Accent2 2 2 3 3 4 5" xfId="31943" xr:uid="{00000000-0005-0000-0000-0000E40C0000}"/>
    <cellStyle name="20% - Accent2 2 2 3 3 4 6" xfId="36332" xr:uid="{00000000-0005-0000-0000-0000E50C0000}"/>
    <cellStyle name="20% - Accent2 2 2 3 3 5" xfId="7798" xr:uid="{00000000-0005-0000-0000-0000E60C0000}"/>
    <cellStyle name="20% - Accent2 2 2 3 3 6" xfId="14899" xr:uid="{00000000-0005-0000-0000-0000E70C0000}"/>
    <cellStyle name="20% - Accent2 2 2 3 3 7" xfId="22001" xr:uid="{00000000-0005-0000-0000-0000E80C0000}"/>
    <cellStyle name="20% - Accent2 2 2 3 3 8" xfId="29103" xr:uid="{00000000-0005-0000-0000-0000E90C0000}"/>
    <cellStyle name="20% - Accent2 2 2 3 3 9" xfId="36333" xr:uid="{00000000-0005-0000-0000-0000EA0C0000}"/>
    <cellStyle name="20% - Accent2 2 2 3 4" xfId="832" xr:uid="{00000000-0005-0000-0000-0000EB0C0000}"/>
    <cellStyle name="20% - Accent2 2 2 3 4 2" xfId="2323" xr:uid="{00000000-0005-0000-0000-0000EC0C0000}"/>
    <cellStyle name="20% - Accent2 2 2 3 4 2 2" xfId="6591" xr:uid="{00000000-0005-0000-0000-0000ED0C0000}"/>
    <cellStyle name="20% - Accent2 2 2 3 4 2 2 2" xfId="13691" xr:uid="{00000000-0005-0000-0000-0000EE0C0000}"/>
    <cellStyle name="20% - Accent2 2 2 3 4 2 2 3" xfId="20792" xr:uid="{00000000-0005-0000-0000-0000EF0C0000}"/>
    <cellStyle name="20% - Accent2 2 2 3 4 2 2 4" xfId="27894" xr:uid="{00000000-0005-0000-0000-0000F00C0000}"/>
    <cellStyle name="20% - Accent2 2 2 3 4 2 2 5" xfId="34996" xr:uid="{00000000-0005-0000-0000-0000F10C0000}"/>
    <cellStyle name="20% - Accent2 2 2 3 4 2 2 6" xfId="36334" xr:uid="{00000000-0005-0000-0000-0000F20C0000}"/>
    <cellStyle name="20% - Accent2 2 2 3 4 2 3" xfId="9431" xr:uid="{00000000-0005-0000-0000-0000F30C0000}"/>
    <cellStyle name="20% - Accent2 2 2 3 4 2 4" xfId="16532" xr:uid="{00000000-0005-0000-0000-0000F40C0000}"/>
    <cellStyle name="20% - Accent2 2 2 3 4 2 5" xfId="23634" xr:uid="{00000000-0005-0000-0000-0000F50C0000}"/>
    <cellStyle name="20% - Accent2 2 2 3 4 2 6" xfId="30736" xr:uid="{00000000-0005-0000-0000-0000F60C0000}"/>
    <cellStyle name="20% - Accent2 2 2 3 4 2 7" xfId="36335" xr:uid="{00000000-0005-0000-0000-0000F70C0000}"/>
    <cellStyle name="20% - Accent2 2 2 3 4 3" xfId="5170" xr:uid="{00000000-0005-0000-0000-0000F80C0000}"/>
    <cellStyle name="20% - Accent2 2 2 3 4 3 2" xfId="12271" xr:uid="{00000000-0005-0000-0000-0000F90C0000}"/>
    <cellStyle name="20% - Accent2 2 2 3 4 3 2 2" xfId="36336" xr:uid="{00000000-0005-0000-0000-0000FA0C0000}"/>
    <cellStyle name="20% - Accent2 2 2 3 4 3 3" xfId="19372" xr:uid="{00000000-0005-0000-0000-0000FB0C0000}"/>
    <cellStyle name="20% - Accent2 2 2 3 4 3 4" xfId="26474" xr:uid="{00000000-0005-0000-0000-0000FC0C0000}"/>
    <cellStyle name="20% - Accent2 2 2 3 4 3 5" xfId="33576" xr:uid="{00000000-0005-0000-0000-0000FD0C0000}"/>
    <cellStyle name="20% - Accent2 2 2 3 4 3 6" xfId="36337" xr:uid="{00000000-0005-0000-0000-0000FE0C0000}"/>
    <cellStyle name="20% - Accent2 2 2 3 4 4" xfId="3745" xr:uid="{00000000-0005-0000-0000-0000FF0C0000}"/>
    <cellStyle name="20% - Accent2 2 2 3 4 4 2" xfId="10851" xr:uid="{00000000-0005-0000-0000-0000000D0000}"/>
    <cellStyle name="20% - Accent2 2 2 3 4 4 3" xfId="17952" xr:uid="{00000000-0005-0000-0000-0000010D0000}"/>
    <cellStyle name="20% - Accent2 2 2 3 4 4 4" xfId="25054" xr:uid="{00000000-0005-0000-0000-0000020D0000}"/>
    <cellStyle name="20% - Accent2 2 2 3 4 4 5" xfId="32156" xr:uid="{00000000-0005-0000-0000-0000030D0000}"/>
    <cellStyle name="20% - Accent2 2 2 3 4 4 6" xfId="36338" xr:uid="{00000000-0005-0000-0000-0000040D0000}"/>
    <cellStyle name="20% - Accent2 2 2 3 4 5" xfId="8011" xr:uid="{00000000-0005-0000-0000-0000050D0000}"/>
    <cellStyle name="20% - Accent2 2 2 3 4 6" xfId="15112" xr:uid="{00000000-0005-0000-0000-0000060D0000}"/>
    <cellStyle name="20% - Accent2 2 2 3 4 7" xfId="22214" xr:uid="{00000000-0005-0000-0000-0000070D0000}"/>
    <cellStyle name="20% - Accent2 2 2 3 4 8" xfId="29316" xr:uid="{00000000-0005-0000-0000-0000080D0000}"/>
    <cellStyle name="20% - Accent2 2 2 3 4 9" xfId="36339" xr:uid="{00000000-0005-0000-0000-0000090D0000}"/>
    <cellStyle name="20% - Accent2 2 2 3 5" xfId="1187" xr:uid="{00000000-0005-0000-0000-00000A0D0000}"/>
    <cellStyle name="20% - Accent2 2 2 3 5 2" xfId="2678" xr:uid="{00000000-0005-0000-0000-00000B0D0000}"/>
    <cellStyle name="20% - Accent2 2 2 3 5 2 2" xfId="6946" xr:uid="{00000000-0005-0000-0000-00000C0D0000}"/>
    <cellStyle name="20% - Accent2 2 2 3 5 2 2 2" xfId="14046" xr:uid="{00000000-0005-0000-0000-00000D0D0000}"/>
    <cellStyle name="20% - Accent2 2 2 3 5 2 2 3" xfId="21147" xr:uid="{00000000-0005-0000-0000-00000E0D0000}"/>
    <cellStyle name="20% - Accent2 2 2 3 5 2 2 4" xfId="28249" xr:uid="{00000000-0005-0000-0000-00000F0D0000}"/>
    <cellStyle name="20% - Accent2 2 2 3 5 2 2 5" xfId="35351" xr:uid="{00000000-0005-0000-0000-0000100D0000}"/>
    <cellStyle name="20% - Accent2 2 2 3 5 2 3" xfId="9786" xr:uid="{00000000-0005-0000-0000-0000110D0000}"/>
    <cellStyle name="20% - Accent2 2 2 3 5 2 4" xfId="16887" xr:uid="{00000000-0005-0000-0000-0000120D0000}"/>
    <cellStyle name="20% - Accent2 2 2 3 5 2 5" xfId="23989" xr:uid="{00000000-0005-0000-0000-0000130D0000}"/>
    <cellStyle name="20% - Accent2 2 2 3 5 2 6" xfId="31091" xr:uid="{00000000-0005-0000-0000-0000140D0000}"/>
    <cellStyle name="20% - Accent2 2 2 3 5 2 7" xfId="36340" xr:uid="{00000000-0005-0000-0000-0000150D0000}"/>
    <cellStyle name="20% - Accent2 2 2 3 5 3" xfId="5525" xr:uid="{00000000-0005-0000-0000-0000160D0000}"/>
    <cellStyle name="20% - Accent2 2 2 3 5 3 2" xfId="12626" xr:uid="{00000000-0005-0000-0000-0000170D0000}"/>
    <cellStyle name="20% - Accent2 2 2 3 5 3 3" xfId="19727" xr:uid="{00000000-0005-0000-0000-0000180D0000}"/>
    <cellStyle name="20% - Accent2 2 2 3 5 3 4" xfId="26829" xr:uid="{00000000-0005-0000-0000-0000190D0000}"/>
    <cellStyle name="20% - Accent2 2 2 3 5 3 5" xfId="33931" xr:uid="{00000000-0005-0000-0000-00001A0D0000}"/>
    <cellStyle name="20% - Accent2 2 2 3 5 4" xfId="4100" xr:uid="{00000000-0005-0000-0000-00001B0D0000}"/>
    <cellStyle name="20% - Accent2 2 2 3 5 4 2" xfId="11206" xr:uid="{00000000-0005-0000-0000-00001C0D0000}"/>
    <cellStyle name="20% - Accent2 2 2 3 5 4 3" xfId="18307" xr:uid="{00000000-0005-0000-0000-00001D0D0000}"/>
    <cellStyle name="20% - Accent2 2 2 3 5 4 4" xfId="25409" xr:uid="{00000000-0005-0000-0000-00001E0D0000}"/>
    <cellStyle name="20% - Accent2 2 2 3 5 4 5" xfId="32511" xr:uid="{00000000-0005-0000-0000-00001F0D0000}"/>
    <cellStyle name="20% - Accent2 2 2 3 5 5" xfId="8366" xr:uid="{00000000-0005-0000-0000-0000200D0000}"/>
    <cellStyle name="20% - Accent2 2 2 3 5 6" xfId="15467" xr:uid="{00000000-0005-0000-0000-0000210D0000}"/>
    <cellStyle name="20% - Accent2 2 2 3 5 7" xfId="22569" xr:uid="{00000000-0005-0000-0000-0000220D0000}"/>
    <cellStyle name="20% - Accent2 2 2 3 5 8" xfId="29671" xr:uid="{00000000-0005-0000-0000-0000230D0000}"/>
    <cellStyle name="20% - Accent2 2 2 3 5 9" xfId="36341" xr:uid="{00000000-0005-0000-0000-0000240D0000}"/>
    <cellStyle name="20% - Accent2 2 2 3 6" xfId="1400" xr:uid="{00000000-0005-0000-0000-0000250D0000}"/>
    <cellStyle name="20% - Accent2 2 2 3 6 2" xfId="2891" xr:uid="{00000000-0005-0000-0000-0000260D0000}"/>
    <cellStyle name="20% - Accent2 2 2 3 6 2 2" xfId="7159" xr:uid="{00000000-0005-0000-0000-0000270D0000}"/>
    <cellStyle name="20% - Accent2 2 2 3 6 2 2 2" xfId="14259" xr:uid="{00000000-0005-0000-0000-0000280D0000}"/>
    <cellStyle name="20% - Accent2 2 2 3 6 2 2 3" xfId="21360" xr:uid="{00000000-0005-0000-0000-0000290D0000}"/>
    <cellStyle name="20% - Accent2 2 2 3 6 2 2 4" xfId="28462" xr:uid="{00000000-0005-0000-0000-00002A0D0000}"/>
    <cellStyle name="20% - Accent2 2 2 3 6 2 2 5" xfId="35564" xr:uid="{00000000-0005-0000-0000-00002B0D0000}"/>
    <cellStyle name="20% - Accent2 2 2 3 6 2 3" xfId="9999" xr:uid="{00000000-0005-0000-0000-00002C0D0000}"/>
    <cellStyle name="20% - Accent2 2 2 3 6 2 4" xfId="17100" xr:uid="{00000000-0005-0000-0000-00002D0D0000}"/>
    <cellStyle name="20% - Accent2 2 2 3 6 2 5" xfId="24202" xr:uid="{00000000-0005-0000-0000-00002E0D0000}"/>
    <cellStyle name="20% - Accent2 2 2 3 6 2 6" xfId="31304" xr:uid="{00000000-0005-0000-0000-00002F0D0000}"/>
    <cellStyle name="20% - Accent2 2 2 3 6 2 7" xfId="36342" xr:uid="{00000000-0005-0000-0000-0000300D0000}"/>
    <cellStyle name="20% - Accent2 2 2 3 6 3" xfId="5738" xr:uid="{00000000-0005-0000-0000-0000310D0000}"/>
    <cellStyle name="20% - Accent2 2 2 3 6 3 2" xfId="12839" xr:uid="{00000000-0005-0000-0000-0000320D0000}"/>
    <cellStyle name="20% - Accent2 2 2 3 6 3 3" xfId="19940" xr:uid="{00000000-0005-0000-0000-0000330D0000}"/>
    <cellStyle name="20% - Accent2 2 2 3 6 3 4" xfId="27042" xr:uid="{00000000-0005-0000-0000-0000340D0000}"/>
    <cellStyle name="20% - Accent2 2 2 3 6 3 5" xfId="34144" xr:uid="{00000000-0005-0000-0000-0000350D0000}"/>
    <cellStyle name="20% - Accent2 2 2 3 6 4" xfId="4313" xr:uid="{00000000-0005-0000-0000-0000360D0000}"/>
    <cellStyle name="20% - Accent2 2 2 3 6 4 2" xfId="11419" xr:uid="{00000000-0005-0000-0000-0000370D0000}"/>
    <cellStyle name="20% - Accent2 2 2 3 6 4 3" xfId="18520" xr:uid="{00000000-0005-0000-0000-0000380D0000}"/>
    <cellStyle name="20% - Accent2 2 2 3 6 4 4" xfId="25622" xr:uid="{00000000-0005-0000-0000-0000390D0000}"/>
    <cellStyle name="20% - Accent2 2 2 3 6 4 5" xfId="32724" xr:uid="{00000000-0005-0000-0000-00003A0D0000}"/>
    <cellStyle name="20% - Accent2 2 2 3 6 5" xfId="8579" xr:uid="{00000000-0005-0000-0000-00003B0D0000}"/>
    <cellStyle name="20% - Accent2 2 2 3 6 6" xfId="15680" xr:uid="{00000000-0005-0000-0000-00003C0D0000}"/>
    <cellStyle name="20% - Accent2 2 2 3 6 7" xfId="22782" xr:uid="{00000000-0005-0000-0000-00003D0D0000}"/>
    <cellStyle name="20% - Accent2 2 2 3 6 8" xfId="29884" xr:uid="{00000000-0005-0000-0000-00003E0D0000}"/>
    <cellStyle name="20% - Accent2 2 2 3 6 9" xfId="36343" xr:uid="{00000000-0005-0000-0000-00003F0D0000}"/>
    <cellStyle name="20% - Accent2 2 2 3 7" xfId="1684" xr:uid="{00000000-0005-0000-0000-0000400D0000}"/>
    <cellStyle name="20% - Accent2 2 2 3 7 2" xfId="5952" xr:uid="{00000000-0005-0000-0000-0000410D0000}"/>
    <cellStyle name="20% - Accent2 2 2 3 7 2 2" xfId="13052" xr:uid="{00000000-0005-0000-0000-0000420D0000}"/>
    <cellStyle name="20% - Accent2 2 2 3 7 2 3" xfId="20153" xr:uid="{00000000-0005-0000-0000-0000430D0000}"/>
    <cellStyle name="20% - Accent2 2 2 3 7 2 4" xfId="27255" xr:uid="{00000000-0005-0000-0000-0000440D0000}"/>
    <cellStyle name="20% - Accent2 2 2 3 7 2 5" xfId="34357" xr:uid="{00000000-0005-0000-0000-0000450D0000}"/>
    <cellStyle name="20% - Accent2 2 2 3 7 3" xfId="8792" xr:uid="{00000000-0005-0000-0000-0000460D0000}"/>
    <cellStyle name="20% - Accent2 2 2 3 7 4" xfId="15893" xr:uid="{00000000-0005-0000-0000-0000470D0000}"/>
    <cellStyle name="20% - Accent2 2 2 3 7 5" xfId="22995" xr:uid="{00000000-0005-0000-0000-0000480D0000}"/>
    <cellStyle name="20% - Accent2 2 2 3 7 6" xfId="30097" xr:uid="{00000000-0005-0000-0000-0000490D0000}"/>
    <cellStyle name="20% - Accent2 2 2 3 7 7" xfId="36344" xr:uid="{00000000-0005-0000-0000-00004A0D0000}"/>
    <cellStyle name="20% - Accent2 2 2 3 8" xfId="4531" xr:uid="{00000000-0005-0000-0000-00004B0D0000}"/>
    <cellStyle name="20% - Accent2 2 2 3 8 2" xfId="11632" xr:uid="{00000000-0005-0000-0000-00004C0D0000}"/>
    <cellStyle name="20% - Accent2 2 2 3 8 3" xfId="18733" xr:uid="{00000000-0005-0000-0000-00004D0D0000}"/>
    <cellStyle name="20% - Accent2 2 2 3 8 4" xfId="25835" xr:uid="{00000000-0005-0000-0000-00004E0D0000}"/>
    <cellStyle name="20% - Accent2 2 2 3 8 5" xfId="32937" xr:uid="{00000000-0005-0000-0000-00004F0D0000}"/>
    <cellStyle name="20% - Accent2 2 2 3 9" xfId="3106" xr:uid="{00000000-0005-0000-0000-0000500D0000}"/>
    <cellStyle name="20% - Accent2 2 2 3 9 2" xfId="10212" xr:uid="{00000000-0005-0000-0000-0000510D0000}"/>
    <cellStyle name="20% - Accent2 2 2 3 9 3" xfId="17313" xr:uid="{00000000-0005-0000-0000-0000520D0000}"/>
    <cellStyle name="20% - Accent2 2 2 3 9 4" xfId="24415" xr:uid="{00000000-0005-0000-0000-0000530D0000}"/>
    <cellStyle name="20% - Accent2 2 2 3 9 5" xfId="31517" xr:uid="{00000000-0005-0000-0000-0000540D0000}"/>
    <cellStyle name="20% - Accent2 2 2 4" xfId="335" xr:uid="{00000000-0005-0000-0000-0000550D0000}"/>
    <cellStyle name="20% - Accent2 2 2 4 10" xfId="36345" xr:uid="{00000000-0005-0000-0000-0000560D0000}"/>
    <cellStyle name="20% - Accent2 2 2 4 2" xfId="1116" xr:uid="{00000000-0005-0000-0000-0000570D0000}"/>
    <cellStyle name="20% - Accent2 2 2 4 2 2" xfId="2607" xr:uid="{00000000-0005-0000-0000-0000580D0000}"/>
    <cellStyle name="20% - Accent2 2 2 4 2 2 2" xfId="6875" xr:uid="{00000000-0005-0000-0000-0000590D0000}"/>
    <cellStyle name="20% - Accent2 2 2 4 2 2 2 2" xfId="13975" xr:uid="{00000000-0005-0000-0000-00005A0D0000}"/>
    <cellStyle name="20% - Accent2 2 2 4 2 2 2 3" xfId="21076" xr:uid="{00000000-0005-0000-0000-00005B0D0000}"/>
    <cellStyle name="20% - Accent2 2 2 4 2 2 2 4" xfId="28178" xr:uid="{00000000-0005-0000-0000-00005C0D0000}"/>
    <cellStyle name="20% - Accent2 2 2 4 2 2 2 5" xfId="35280" xr:uid="{00000000-0005-0000-0000-00005D0D0000}"/>
    <cellStyle name="20% - Accent2 2 2 4 2 2 3" xfId="9715" xr:uid="{00000000-0005-0000-0000-00005E0D0000}"/>
    <cellStyle name="20% - Accent2 2 2 4 2 2 4" xfId="16816" xr:uid="{00000000-0005-0000-0000-00005F0D0000}"/>
    <cellStyle name="20% - Accent2 2 2 4 2 2 5" xfId="23918" xr:uid="{00000000-0005-0000-0000-0000600D0000}"/>
    <cellStyle name="20% - Accent2 2 2 4 2 2 6" xfId="31020" xr:uid="{00000000-0005-0000-0000-0000610D0000}"/>
    <cellStyle name="20% - Accent2 2 2 4 2 2 7" xfId="36346" xr:uid="{00000000-0005-0000-0000-0000620D0000}"/>
    <cellStyle name="20% - Accent2 2 2 4 2 3" xfId="5454" xr:uid="{00000000-0005-0000-0000-0000630D0000}"/>
    <cellStyle name="20% - Accent2 2 2 4 2 3 2" xfId="12555" xr:uid="{00000000-0005-0000-0000-0000640D0000}"/>
    <cellStyle name="20% - Accent2 2 2 4 2 3 3" xfId="19656" xr:uid="{00000000-0005-0000-0000-0000650D0000}"/>
    <cellStyle name="20% - Accent2 2 2 4 2 3 4" xfId="26758" xr:uid="{00000000-0005-0000-0000-0000660D0000}"/>
    <cellStyle name="20% - Accent2 2 2 4 2 3 5" xfId="33860" xr:uid="{00000000-0005-0000-0000-0000670D0000}"/>
    <cellStyle name="20% - Accent2 2 2 4 2 4" xfId="4029" xr:uid="{00000000-0005-0000-0000-0000680D0000}"/>
    <cellStyle name="20% - Accent2 2 2 4 2 4 2" xfId="11135" xr:uid="{00000000-0005-0000-0000-0000690D0000}"/>
    <cellStyle name="20% - Accent2 2 2 4 2 4 3" xfId="18236" xr:uid="{00000000-0005-0000-0000-00006A0D0000}"/>
    <cellStyle name="20% - Accent2 2 2 4 2 4 4" xfId="25338" xr:uid="{00000000-0005-0000-0000-00006B0D0000}"/>
    <cellStyle name="20% - Accent2 2 2 4 2 4 5" xfId="32440" xr:uid="{00000000-0005-0000-0000-00006C0D0000}"/>
    <cellStyle name="20% - Accent2 2 2 4 2 5" xfId="8295" xr:uid="{00000000-0005-0000-0000-00006D0D0000}"/>
    <cellStyle name="20% - Accent2 2 2 4 2 6" xfId="15396" xr:uid="{00000000-0005-0000-0000-00006E0D0000}"/>
    <cellStyle name="20% - Accent2 2 2 4 2 7" xfId="22498" xr:uid="{00000000-0005-0000-0000-00006F0D0000}"/>
    <cellStyle name="20% - Accent2 2 2 4 2 8" xfId="29600" xr:uid="{00000000-0005-0000-0000-0000700D0000}"/>
    <cellStyle name="20% - Accent2 2 2 4 2 9" xfId="36347" xr:uid="{00000000-0005-0000-0000-0000710D0000}"/>
    <cellStyle name="20% - Accent2 2 2 4 3" xfId="1826" xr:uid="{00000000-0005-0000-0000-0000720D0000}"/>
    <cellStyle name="20% - Accent2 2 2 4 3 2" xfId="6094" xr:uid="{00000000-0005-0000-0000-0000730D0000}"/>
    <cellStyle name="20% - Accent2 2 2 4 3 2 2" xfId="13194" xr:uid="{00000000-0005-0000-0000-0000740D0000}"/>
    <cellStyle name="20% - Accent2 2 2 4 3 2 3" xfId="20295" xr:uid="{00000000-0005-0000-0000-0000750D0000}"/>
    <cellStyle name="20% - Accent2 2 2 4 3 2 4" xfId="27397" xr:uid="{00000000-0005-0000-0000-0000760D0000}"/>
    <cellStyle name="20% - Accent2 2 2 4 3 2 5" xfId="34499" xr:uid="{00000000-0005-0000-0000-0000770D0000}"/>
    <cellStyle name="20% - Accent2 2 2 4 3 2 6" xfId="36348" xr:uid="{00000000-0005-0000-0000-0000780D0000}"/>
    <cellStyle name="20% - Accent2 2 2 4 3 3" xfId="8934" xr:uid="{00000000-0005-0000-0000-0000790D0000}"/>
    <cellStyle name="20% - Accent2 2 2 4 3 4" xfId="16035" xr:uid="{00000000-0005-0000-0000-00007A0D0000}"/>
    <cellStyle name="20% - Accent2 2 2 4 3 5" xfId="23137" xr:uid="{00000000-0005-0000-0000-00007B0D0000}"/>
    <cellStyle name="20% - Accent2 2 2 4 3 6" xfId="30239" xr:uid="{00000000-0005-0000-0000-00007C0D0000}"/>
    <cellStyle name="20% - Accent2 2 2 4 3 7" xfId="36349" xr:uid="{00000000-0005-0000-0000-00007D0D0000}"/>
    <cellStyle name="20% - Accent2 2 2 4 4" xfId="4673" xr:uid="{00000000-0005-0000-0000-00007E0D0000}"/>
    <cellStyle name="20% - Accent2 2 2 4 4 2" xfId="11774" xr:uid="{00000000-0005-0000-0000-00007F0D0000}"/>
    <cellStyle name="20% - Accent2 2 2 4 4 3" xfId="18875" xr:uid="{00000000-0005-0000-0000-0000800D0000}"/>
    <cellStyle name="20% - Accent2 2 2 4 4 4" xfId="25977" xr:uid="{00000000-0005-0000-0000-0000810D0000}"/>
    <cellStyle name="20% - Accent2 2 2 4 4 5" xfId="33079" xr:uid="{00000000-0005-0000-0000-0000820D0000}"/>
    <cellStyle name="20% - Accent2 2 2 4 4 6" xfId="36350" xr:uid="{00000000-0005-0000-0000-0000830D0000}"/>
    <cellStyle name="20% - Accent2 2 2 4 5" xfId="3248" xr:uid="{00000000-0005-0000-0000-0000840D0000}"/>
    <cellStyle name="20% - Accent2 2 2 4 5 2" xfId="10354" xr:uid="{00000000-0005-0000-0000-0000850D0000}"/>
    <cellStyle name="20% - Accent2 2 2 4 5 3" xfId="17455" xr:uid="{00000000-0005-0000-0000-0000860D0000}"/>
    <cellStyle name="20% - Accent2 2 2 4 5 4" xfId="24557" xr:uid="{00000000-0005-0000-0000-0000870D0000}"/>
    <cellStyle name="20% - Accent2 2 2 4 5 5" xfId="31659" xr:uid="{00000000-0005-0000-0000-0000880D0000}"/>
    <cellStyle name="20% - Accent2 2 2 4 6" xfId="7514" xr:uid="{00000000-0005-0000-0000-0000890D0000}"/>
    <cellStyle name="20% - Accent2 2 2 4 7" xfId="14615" xr:uid="{00000000-0005-0000-0000-00008A0D0000}"/>
    <cellStyle name="20% - Accent2 2 2 4 8" xfId="21717" xr:uid="{00000000-0005-0000-0000-00008B0D0000}"/>
    <cellStyle name="20% - Accent2 2 2 4 9" xfId="28819" xr:uid="{00000000-0005-0000-0000-00008C0D0000}"/>
    <cellStyle name="20% - Accent2 2 2 5" xfId="548" xr:uid="{00000000-0005-0000-0000-00008D0D0000}"/>
    <cellStyle name="20% - Accent2 2 2 5 2" xfId="2039" xr:uid="{00000000-0005-0000-0000-00008E0D0000}"/>
    <cellStyle name="20% - Accent2 2 2 5 2 2" xfId="6307" xr:uid="{00000000-0005-0000-0000-00008F0D0000}"/>
    <cellStyle name="20% - Accent2 2 2 5 2 2 2" xfId="13407" xr:uid="{00000000-0005-0000-0000-0000900D0000}"/>
    <cellStyle name="20% - Accent2 2 2 5 2 2 3" xfId="20508" xr:uid="{00000000-0005-0000-0000-0000910D0000}"/>
    <cellStyle name="20% - Accent2 2 2 5 2 2 4" xfId="27610" xr:uid="{00000000-0005-0000-0000-0000920D0000}"/>
    <cellStyle name="20% - Accent2 2 2 5 2 2 5" xfId="34712" xr:uid="{00000000-0005-0000-0000-0000930D0000}"/>
    <cellStyle name="20% - Accent2 2 2 5 2 2 6" xfId="36351" xr:uid="{00000000-0005-0000-0000-0000940D0000}"/>
    <cellStyle name="20% - Accent2 2 2 5 2 3" xfId="9147" xr:uid="{00000000-0005-0000-0000-0000950D0000}"/>
    <cellStyle name="20% - Accent2 2 2 5 2 4" xfId="16248" xr:uid="{00000000-0005-0000-0000-0000960D0000}"/>
    <cellStyle name="20% - Accent2 2 2 5 2 5" xfId="23350" xr:uid="{00000000-0005-0000-0000-0000970D0000}"/>
    <cellStyle name="20% - Accent2 2 2 5 2 6" xfId="30452" xr:uid="{00000000-0005-0000-0000-0000980D0000}"/>
    <cellStyle name="20% - Accent2 2 2 5 2 7" xfId="36352" xr:uid="{00000000-0005-0000-0000-0000990D0000}"/>
    <cellStyle name="20% - Accent2 2 2 5 3" xfId="4886" xr:uid="{00000000-0005-0000-0000-00009A0D0000}"/>
    <cellStyle name="20% - Accent2 2 2 5 3 2" xfId="11987" xr:uid="{00000000-0005-0000-0000-00009B0D0000}"/>
    <cellStyle name="20% - Accent2 2 2 5 3 2 2" xfId="36353" xr:uid="{00000000-0005-0000-0000-00009C0D0000}"/>
    <cellStyle name="20% - Accent2 2 2 5 3 3" xfId="19088" xr:uid="{00000000-0005-0000-0000-00009D0D0000}"/>
    <cellStyle name="20% - Accent2 2 2 5 3 4" xfId="26190" xr:uid="{00000000-0005-0000-0000-00009E0D0000}"/>
    <cellStyle name="20% - Accent2 2 2 5 3 5" xfId="33292" xr:uid="{00000000-0005-0000-0000-00009F0D0000}"/>
    <cellStyle name="20% - Accent2 2 2 5 3 6" xfId="36354" xr:uid="{00000000-0005-0000-0000-0000A00D0000}"/>
    <cellStyle name="20% - Accent2 2 2 5 4" xfId="3461" xr:uid="{00000000-0005-0000-0000-0000A10D0000}"/>
    <cellStyle name="20% - Accent2 2 2 5 4 2" xfId="10567" xr:uid="{00000000-0005-0000-0000-0000A20D0000}"/>
    <cellStyle name="20% - Accent2 2 2 5 4 3" xfId="17668" xr:uid="{00000000-0005-0000-0000-0000A30D0000}"/>
    <cellStyle name="20% - Accent2 2 2 5 4 4" xfId="24770" xr:uid="{00000000-0005-0000-0000-0000A40D0000}"/>
    <cellStyle name="20% - Accent2 2 2 5 4 5" xfId="31872" xr:uid="{00000000-0005-0000-0000-0000A50D0000}"/>
    <cellStyle name="20% - Accent2 2 2 5 4 6" xfId="36355" xr:uid="{00000000-0005-0000-0000-0000A60D0000}"/>
    <cellStyle name="20% - Accent2 2 2 5 5" xfId="7727" xr:uid="{00000000-0005-0000-0000-0000A70D0000}"/>
    <cellStyle name="20% - Accent2 2 2 5 6" xfId="14828" xr:uid="{00000000-0005-0000-0000-0000A80D0000}"/>
    <cellStyle name="20% - Accent2 2 2 5 7" xfId="21930" xr:uid="{00000000-0005-0000-0000-0000A90D0000}"/>
    <cellStyle name="20% - Accent2 2 2 5 8" xfId="29032" xr:uid="{00000000-0005-0000-0000-0000AA0D0000}"/>
    <cellStyle name="20% - Accent2 2 2 5 9" xfId="36356" xr:uid="{00000000-0005-0000-0000-0000AB0D0000}"/>
    <cellStyle name="20% - Accent2 2 2 6" xfId="761" xr:uid="{00000000-0005-0000-0000-0000AC0D0000}"/>
    <cellStyle name="20% - Accent2 2 2 6 2" xfId="2252" xr:uid="{00000000-0005-0000-0000-0000AD0D0000}"/>
    <cellStyle name="20% - Accent2 2 2 6 2 2" xfId="6520" xr:uid="{00000000-0005-0000-0000-0000AE0D0000}"/>
    <cellStyle name="20% - Accent2 2 2 6 2 2 2" xfId="13620" xr:uid="{00000000-0005-0000-0000-0000AF0D0000}"/>
    <cellStyle name="20% - Accent2 2 2 6 2 2 3" xfId="20721" xr:uid="{00000000-0005-0000-0000-0000B00D0000}"/>
    <cellStyle name="20% - Accent2 2 2 6 2 2 4" xfId="27823" xr:uid="{00000000-0005-0000-0000-0000B10D0000}"/>
    <cellStyle name="20% - Accent2 2 2 6 2 2 5" xfId="34925" xr:uid="{00000000-0005-0000-0000-0000B20D0000}"/>
    <cellStyle name="20% - Accent2 2 2 6 2 2 6" xfId="36357" xr:uid="{00000000-0005-0000-0000-0000B30D0000}"/>
    <cellStyle name="20% - Accent2 2 2 6 2 3" xfId="9360" xr:uid="{00000000-0005-0000-0000-0000B40D0000}"/>
    <cellStyle name="20% - Accent2 2 2 6 2 4" xfId="16461" xr:uid="{00000000-0005-0000-0000-0000B50D0000}"/>
    <cellStyle name="20% - Accent2 2 2 6 2 5" xfId="23563" xr:uid="{00000000-0005-0000-0000-0000B60D0000}"/>
    <cellStyle name="20% - Accent2 2 2 6 2 6" xfId="30665" xr:uid="{00000000-0005-0000-0000-0000B70D0000}"/>
    <cellStyle name="20% - Accent2 2 2 6 2 7" xfId="36358" xr:uid="{00000000-0005-0000-0000-0000B80D0000}"/>
    <cellStyle name="20% - Accent2 2 2 6 3" xfId="5099" xr:uid="{00000000-0005-0000-0000-0000B90D0000}"/>
    <cellStyle name="20% - Accent2 2 2 6 3 2" xfId="12200" xr:uid="{00000000-0005-0000-0000-0000BA0D0000}"/>
    <cellStyle name="20% - Accent2 2 2 6 3 2 2" xfId="36359" xr:uid="{00000000-0005-0000-0000-0000BB0D0000}"/>
    <cellStyle name="20% - Accent2 2 2 6 3 3" xfId="19301" xr:uid="{00000000-0005-0000-0000-0000BC0D0000}"/>
    <cellStyle name="20% - Accent2 2 2 6 3 4" xfId="26403" xr:uid="{00000000-0005-0000-0000-0000BD0D0000}"/>
    <cellStyle name="20% - Accent2 2 2 6 3 5" xfId="33505" xr:uid="{00000000-0005-0000-0000-0000BE0D0000}"/>
    <cellStyle name="20% - Accent2 2 2 6 3 6" xfId="36360" xr:uid="{00000000-0005-0000-0000-0000BF0D0000}"/>
    <cellStyle name="20% - Accent2 2 2 6 4" xfId="3674" xr:uid="{00000000-0005-0000-0000-0000C00D0000}"/>
    <cellStyle name="20% - Accent2 2 2 6 4 2" xfId="10780" xr:uid="{00000000-0005-0000-0000-0000C10D0000}"/>
    <cellStyle name="20% - Accent2 2 2 6 4 3" xfId="17881" xr:uid="{00000000-0005-0000-0000-0000C20D0000}"/>
    <cellStyle name="20% - Accent2 2 2 6 4 4" xfId="24983" xr:uid="{00000000-0005-0000-0000-0000C30D0000}"/>
    <cellStyle name="20% - Accent2 2 2 6 4 5" xfId="32085" xr:uid="{00000000-0005-0000-0000-0000C40D0000}"/>
    <cellStyle name="20% - Accent2 2 2 6 4 6" xfId="36361" xr:uid="{00000000-0005-0000-0000-0000C50D0000}"/>
    <cellStyle name="20% - Accent2 2 2 6 5" xfId="7940" xr:uid="{00000000-0005-0000-0000-0000C60D0000}"/>
    <cellStyle name="20% - Accent2 2 2 6 6" xfId="15041" xr:uid="{00000000-0005-0000-0000-0000C70D0000}"/>
    <cellStyle name="20% - Accent2 2 2 6 7" xfId="22143" xr:uid="{00000000-0005-0000-0000-0000C80D0000}"/>
    <cellStyle name="20% - Accent2 2 2 6 8" xfId="29245" xr:uid="{00000000-0005-0000-0000-0000C90D0000}"/>
    <cellStyle name="20% - Accent2 2 2 6 9" xfId="36362" xr:uid="{00000000-0005-0000-0000-0000CA0D0000}"/>
    <cellStyle name="20% - Accent2 2 2 7" xfId="974" xr:uid="{00000000-0005-0000-0000-0000CB0D0000}"/>
    <cellStyle name="20% - Accent2 2 2 7 2" xfId="2465" xr:uid="{00000000-0005-0000-0000-0000CC0D0000}"/>
    <cellStyle name="20% - Accent2 2 2 7 2 2" xfId="6733" xr:uid="{00000000-0005-0000-0000-0000CD0D0000}"/>
    <cellStyle name="20% - Accent2 2 2 7 2 2 2" xfId="13833" xr:uid="{00000000-0005-0000-0000-0000CE0D0000}"/>
    <cellStyle name="20% - Accent2 2 2 7 2 2 3" xfId="20934" xr:uid="{00000000-0005-0000-0000-0000CF0D0000}"/>
    <cellStyle name="20% - Accent2 2 2 7 2 2 4" xfId="28036" xr:uid="{00000000-0005-0000-0000-0000D00D0000}"/>
    <cellStyle name="20% - Accent2 2 2 7 2 2 5" xfId="35138" xr:uid="{00000000-0005-0000-0000-0000D10D0000}"/>
    <cellStyle name="20% - Accent2 2 2 7 2 3" xfId="9573" xr:uid="{00000000-0005-0000-0000-0000D20D0000}"/>
    <cellStyle name="20% - Accent2 2 2 7 2 4" xfId="16674" xr:uid="{00000000-0005-0000-0000-0000D30D0000}"/>
    <cellStyle name="20% - Accent2 2 2 7 2 5" xfId="23776" xr:uid="{00000000-0005-0000-0000-0000D40D0000}"/>
    <cellStyle name="20% - Accent2 2 2 7 2 6" xfId="30878" xr:uid="{00000000-0005-0000-0000-0000D50D0000}"/>
    <cellStyle name="20% - Accent2 2 2 7 2 7" xfId="36363" xr:uid="{00000000-0005-0000-0000-0000D60D0000}"/>
    <cellStyle name="20% - Accent2 2 2 7 3" xfId="5312" xr:uid="{00000000-0005-0000-0000-0000D70D0000}"/>
    <cellStyle name="20% - Accent2 2 2 7 3 2" xfId="12413" xr:uid="{00000000-0005-0000-0000-0000D80D0000}"/>
    <cellStyle name="20% - Accent2 2 2 7 3 3" xfId="19514" xr:uid="{00000000-0005-0000-0000-0000D90D0000}"/>
    <cellStyle name="20% - Accent2 2 2 7 3 4" xfId="26616" xr:uid="{00000000-0005-0000-0000-0000DA0D0000}"/>
    <cellStyle name="20% - Accent2 2 2 7 3 5" xfId="33718" xr:uid="{00000000-0005-0000-0000-0000DB0D0000}"/>
    <cellStyle name="20% - Accent2 2 2 7 4" xfId="3887" xr:uid="{00000000-0005-0000-0000-0000DC0D0000}"/>
    <cellStyle name="20% - Accent2 2 2 7 4 2" xfId="10993" xr:uid="{00000000-0005-0000-0000-0000DD0D0000}"/>
    <cellStyle name="20% - Accent2 2 2 7 4 3" xfId="18094" xr:uid="{00000000-0005-0000-0000-0000DE0D0000}"/>
    <cellStyle name="20% - Accent2 2 2 7 4 4" xfId="25196" xr:uid="{00000000-0005-0000-0000-0000DF0D0000}"/>
    <cellStyle name="20% - Accent2 2 2 7 4 5" xfId="32298" xr:uid="{00000000-0005-0000-0000-0000E00D0000}"/>
    <cellStyle name="20% - Accent2 2 2 7 5" xfId="8153" xr:uid="{00000000-0005-0000-0000-0000E10D0000}"/>
    <cellStyle name="20% - Accent2 2 2 7 6" xfId="15254" xr:uid="{00000000-0005-0000-0000-0000E20D0000}"/>
    <cellStyle name="20% - Accent2 2 2 7 7" xfId="22356" xr:uid="{00000000-0005-0000-0000-0000E30D0000}"/>
    <cellStyle name="20% - Accent2 2 2 7 8" xfId="29458" xr:uid="{00000000-0005-0000-0000-0000E40D0000}"/>
    <cellStyle name="20% - Accent2 2 2 7 9" xfId="36364" xr:uid="{00000000-0005-0000-0000-0000E50D0000}"/>
    <cellStyle name="20% - Accent2 2 2 8" xfId="1329" xr:uid="{00000000-0005-0000-0000-0000E60D0000}"/>
    <cellStyle name="20% - Accent2 2 2 8 2" xfId="2820" xr:uid="{00000000-0005-0000-0000-0000E70D0000}"/>
    <cellStyle name="20% - Accent2 2 2 8 2 2" xfId="7088" xr:uid="{00000000-0005-0000-0000-0000E80D0000}"/>
    <cellStyle name="20% - Accent2 2 2 8 2 2 2" xfId="14188" xr:uid="{00000000-0005-0000-0000-0000E90D0000}"/>
    <cellStyle name="20% - Accent2 2 2 8 2 2 3" xfId="21289" xr:uid="{00000000-0005-0000-0000-0000EA0D0000}"/>
    <cellStyle name="20% - Accent2 2 2 8 2 2 4" xfId="28391" xr:uid="{00000000-0005-0000-0000-0000EB0D0000}"/>
    <cellStyle name="20% - Accent2 2 2 8 2 2 5" xfId="35493" xr:uid="{00000000-0005-0000-0000-0000EC0D0000}"/>
    <cellStyle name="20% - Accent2 2 2 8 2 3" xfId="9928" xr:uid="{00000000-0005-0000-0000-0000ED0D0000}"/>
    <cellStyle name="20% - Accent2 2 2 8 2 4" xfId="17029" xr:uid="{00000000-0005-0000-0000-0000EE0D0000}"/>
    <cellStyle name="20% - Accent2 2 2 8 2 5" xfId="24131" xr:uid="{00000000-0005-0000-0000-0000EF0D0000}"/>
    <cellStyle name="20% - Accent2 2 2 8 2 6" xfId="31233" xr:uid="{00000000-0005-0000-0000-0000F00D0000}"/>
    <cellStyle name="20% - Accent2 2 2 8 2 7" xfId="36365" xr:uid="{00000000-0005-0000-0000-0000F10D0000}"/>
    <cellStyle name="20% - Accent2 2 2 8 3" xfId="5667" xr:uid="{00000000-0005-0000-0000-0000F20D0000}"/>
    <cellStyle name="20% - Accent2 2 2 8 3 2" xfId="12768" xr:uid="{00000000-0005-0000-0000-0000F30D0000}"/>
    <cellStyle name="20% - Accent2 2 2 8 3 3" xfId="19869" xr:uid="{00000000-0005-0000-0000-0000F40D0000}"/>
    <cellStyle name="20% - Accent2 2 2 8 3 4" xfId="26971" xr:uid="{00000000-0005-0000-0000-0000F50D0000}"/>
    <cellStyle name="20% - Accent2 2 2 8 3 5" xfId="34073" xr:uid="{00000000-0005-0000-0000-0000F60D0000}"/>
    <cellStyle name="20% - Accent2 2 2 8 4" xfId="4242" xr:uid="{00000000-0005-0000-0000-0000F70D0000}"/>
    <cellStyle name="20% - Accent2 2 2 8 4 2" xfId="11348" xr:uid="{00000000-0005-0000-0000-0000F80D0000}"/>
    <cellStyle name="20% - Accent2 2 2 8 4 3" xfId="18449" xr:uid="{00000000-0005-0000-0000-0000F90D0000}"/>
    <cellStyle name="20% - Accent2 2 2 8 4 4" xfId="25551" xr:uid="{00000000-0005-0000-0000-0000FA0D0000}"/>
    <cellStyle name="20% - Accent2 2 2 8 4 5" xfId="32653" xr:uid="{00000000-0005-0000-0000-0000FB0D0000}"/>
    <cellStyle name="20% - Accent2 2 2 8 5" xfId="8508" xr:uid="{00000000-0005-0000-0000-0000FC0D0000}"/>
    <cellStyle name="20% - Accent2 2 2 8 6" xfId="15609" xr:uid="{00000000-0005-0000-0000-0000FD0D0000}"/>
    <cellStyle name="20% - Accent2 2 2 8 7" xfId="22711" xr:uid="{00000000-0005-0000-0000-0000FE0D0000}"/>
    <cellStyle name="20% - Accent2 2 2 8 8" xfId="29813" xr:uid="{00000000-0005-0000-0000-0000FF0D0000}"/>
    <cellStyle name="20% - Accent2 2 2 8 9" xfId="36366" xr:uid="{00000000-0005-0000-0000-0000000E0000}"/>
    <cellStyle name="20% - Accent2 2 2 9" xfId="1613" xr:uid="{00000000-0005-0000-0000-0000010E0000}"/>
    <cellStyle name="20% - Accent2 2 2 9 2" xfId="5881" xr:uid="{00000000-0005-0000-0000-0000020E0000}"/>
    <cellStyle name="20% - Accent2 2 2 9 2 2" xfId="12981" xr:uid="{00000000-0005-0000-0000-0000030E0000}"/>
    <cellStyle name="20% - Accent2 2 2 9 2 3" xfId="20082" xr:uid="{00000000-0005-0000-0000-0000040E0000}"/>
    <cellStyle name="20% - Accent2 2 2 9 2 4" xfId="27184" xr:uid="{00000000-0005-0000-0000-0000050E0000}"/>
    <cellStyle name="20% - Accent2 2 2 9 2 5" xfId="34286" xr:uid="{00000000-0005-0000-0000-0000060E0000}"/>
    <cellStyle name="20% - Accent2 2 2 9 3" xfId="8721" xr:uid="{00000000-0005-0000-0000-0000070E0000}"/>
    <cellStyle name="20% - Accent2 2 2 9 4" xfId="15822" xr:uid="{00000000-0005-0000-0000-0000080E0000}"/>
    <cellStyle name="20% - Accent2 2 2 9 5" xfId="22924" xr:uid="{00000000-0005-0000-0000-0000090E0000}"/>
    <cellStyle name="20% - Accent2 2 2 9 6" xfId="30026" xr:uid="{00000000-0005-0000-0000-00000A0E0000}"/>
    <cellStyle name="20% - Accent2 2 2 9 7" xfId="36367" xr:uid="{00000000-0005-0000-0000-00000B0E0000}"/>
    <cellStyle name="20% - Accent2 2 3" xfId="233" xr:uid="{00000000-0005-0000-0000-00000C0E0000}"/>
    <cellStyle name="20% - Accent2 2 3 10" xfId="7412" xr:uid="{00000000-0005-0000-0000-00000D0E0000}"/>
    <cellStyle name="20% - Accent2 2 3 11" xfId="14513" xr:uid="{00000000-0005-0000-0000-00000E0E0000}"/>
    <cellStyle name="20% - Accent2 2 3 12" xfId="21615" xr:uid="{00000000-0005-0000-0000-00000F0E0000}"/>
    <cellStyle name="20% - Accent2 2 3 13" xfId="28717" xr:uid="{00000000-0005-0000-0000-0000100E0000}"/>
    <cellStyle name="20% - Accent2 2 3 14" xfId="35819" xr:uid="{00000000-0005-0000-0000-0000110E0000}"/>
    <cellStyle name="20% - Accent2 2 3 15" xfId="36368" xr:uid="{00000000-0005-0000-0000-0000120E0000}"/>
    <cellStyle name="20% - Accent2 2 3 2" xfId="446" xr:uid="{00000000-0005-0000-0000-0000130E0000}"/>
    <cellStyle name="20% - Accent2 2 3 2 10" xfId="36369" xr:uid="{00000000-0005-0000-0000-0000140E0000}"/>
    <cellStyle name="20% - Accent2 2 3 2 2" xfId="1227" xr:uid="{00000000-0005-0000-0000-0000150E0000}"/>
    <cellStyle name="20% - Accent2 2 3 2 2 2" xfId="2718" xr:uid="{00000000-0005-0000-0000-0000160E0000}"/>
    <cellStyle name="20% - Accent2 2 3 2 2 2 2" xfId="6986" xr:uid="{00000000-0005-0000-0000-0000170E0000}"/>
    <cellStyle name="20% - Accent2 2 3 2 2 2 2 2" xfId="14086" xr:uid="{00000000-0005-0000-0000-0000180E0000}"/>
    <cellStyle name="20% - Accent2 2 3 2 2 2 2 3" xfId="21187" xr:uid="{00000000-0005-0000-0000-0000190E0000}"/>
    <cellStyle name="20% - Accent2 2 3 2 2 2 2 4" xfId="28289" xr:uid="{00000000-0005-0000-0000-00001A0E0000}"/>
    <cellStyle name="20% - Accent2 2 3 2 2 2 2 5" xfId="35391" xr:uid="{00000000-0005-0000-0000-00001B0E0000}"/>
    <cellStyle name="20% - Accent2 2 3 2 2 2 3" xfId="9826" xr:uid="{00000000-0005-0000-0000-00001C0E0000}"/>
    <cellStyle name="20% - Accent2 2 3 2 2 2 4" xfId="16927" xr:uid="{00000000-0005-0000-0000-00001D0E0000}"/>
    <cellStyle name="20% - Accent2 2 3 2 2 2 5" xfId="24029" xr:uid="{00000000-0005-0000-0000-00001E0E0000}"/>
    <cellStyle name="20% - Accent2 2 3 2 2 2 6" xfId="31131" xr:uid="{00000000-0005-0000-0000-00001F0E0000}"/>
    <cellStyle name="20% - Accent2 2 3 2 2 2 7" xfId="36370" xr:uid="{00000000-0005-0000-0000-0000200E0000}"/>
    <cellStyle name="20% - Accent2 2 3 2 2 3" xfId="5565" xr:uid="{00000000-0005-0000-0000-0000210E0000}"/>
    <cellStyle name="20% - Accent2 2 3 2 2 3 2" xfId="12666" xr:uid="{00000000-0005-0000-0000-0000220E0000}"/>
    <cellStyle name="20% - Accent2 2 3 2 2 3 3" xfId="19767" xr:uid="{00000000-0005-0000-0000-0000230E0000}"/>
    <cellStyle name="20% - Accent2 2 3 2 2 3 4" xfId="26869" xr:uid="{00000000-0005-0000-0000-0000240E0000}"/>
    <cellStyle name="20% - Accent2 2 3 2 2 3 5" xfId="33971" xr:uid="{00000000-0005-0000-0000-0000250E0000}"/>
    <cellStyle name="20% - Accent2 2 3 2 2 4" xfId="4140" xr:uid="{00000000-0005-0000-0000-0000260E0000}"/>
    <cellStyle name="20% - Accent2 2 3 2 2 4 2" xfId="11246" xr:uid="{00000000-0005-0000-0000-0000270E0000}"/>
    <cellStyle name="20% - Accent2 2 3 2 2 4 3" xfId="18347" xr:uid="{00000000-0005-0000-0000-0000280E0000}"/>
    <cellStyle name="20% - Accent2 2 3 2 2 4 4" xfId="25449" xr:uid="{00000000-0005-0000-0000-0000290E0000}"/>
    <cellStyle name="20% - Accent2 2 3 2 2 4 5" xfId="32551" xr:uid="{00000000-0005-0000-0000-00002A0E0000}"/>
    <cellStyle name="20% - Accent2 2 3 2 2 5" xfId="8406" xr:uid="{00000000-0005-0000-0000-00002B0E0000}"/>
    <cellStyle name="20% - Accent2 2 3 2 2 6" xfId="15507" xr:uid="{00000000-0005-0000-0000-00002C0E0000}"/>
    <cellStyle name="20% - Accent2 2 3 2 2 7" xfId="22609" xr:uid="{00000000-0005-0000-0000-00002D0E0000}"/>
    <cellStyle name="20% - Accent2 2 3 2 2 8" xfId="29711" xr:uid="{00000000-0005-0000-0000-00002E0E0000}"/>
    <cellStyle name="20% - Accent2 2 3 2 2 9" xfId="36371" xr:uid="{00000000-0005-0000-0000-00002F0E0000}"/>
    <cellStyle name="20% - Accent2 2 3 2 3" xfId="1937" xr:uid="{00000000-0005-0000-0000-0000300E0000}"/>
    <cellStyle name="20% - Accent2 2 3 2 3 2" xfId="6205" xr:uid="{00000000-0005-0000-0000-0000310E0000}"/>
    <cellStyle name="20% - Accent2 2 3 2 3 2 2" xfId="13305" xr:uid="{00000000-0005-0000-0000-0000320E0000}"/>
    <cellStyle name="20% - Accent2 2 3 2 3 2 3" xfId="20406" xr:uid="{00000000-0005-0000-0000-0000330E0000}"/>
    <cellStyle name="20% - Accent2 2 3 2 3 2 4" xfId="27508" xr:uid="{00000000-0005-0000-0000-0000340E0000}"/>
    <cellStyle name="20% - Accent2 2 3 2 3 2 5" xfId="34610" xr:uid="{00000000-0005-0000-0000-0000350E0000}"/>
    <cellStyle name="20% - Accent2 2 3 2 3 2 6" xfId="36372" xr:uid="{00000000-0005-0000-0000-0000360E0000}"/>
    <cellStyle name="20% - Accent2 2 3 2 3 3" xfId="9045" xr:uid="{00000000-0005-0000-0000-0000370E0000}"/>
    <cellStyle name="20% - Accent2 2 3 2 3 4" xfId="16146" xr:uid="{00000000-0005-0000-0000-0000380E0000}"/>
    <cellStyle name="20% - Accent2 2 3 2 3 5" xfId="23248" xr:uid="{00000000-0005-0000-0000-0000390E0000}"/>
    <cellStyle name="20% - Accent2 2 3 2 3 6" xfId="30350" xr:uid="{00000000-0005-0000-0000-00003A0E0000}"/>
    <cellStyle name="20% - Accent2 2 3 2 3 7" xfId="36373" xr:uid="{00000000-0005-0000-0000-00003B0E0000}"/>
    <cellStyle name="20% - Accent2 2 3 2 4" xfId="4784" xr:uid="{00000000-0005-0000-0000-00003C0E0000}"/>
    <cellStyle name="20% - Accent2 2 3 2 4 2" xfId="11885" xr:uid="{00000000-0005-0000-0000-00003D0E0000}"/>
    <cellStyle name="20% - Accent2 2 3 2 4 3" xfId="18986" xr:uid="{00000000-0005-0000-0000-00003E0E0000}"/>
    <cellStyle name="20% - Accent2 2 3 2 4 4" xfId="26088" xr:uid="{00000000-0005-0000-0000-00003F0E0000}"/>
    <cellStyle name="20% - Accent2 2 3 2 4 5" xfId="33190" xr:uid="{00000000-0005-0000-0000-0000400E0000}"/>
    <cellStyle name="20% - Accent2 2 3 2 4 6" xfId="36374" xr:uid="{00000000-0005-0000-0000-0000410E0000}"/>
    <cellStyle name="20% - Accent2 2 3 2 5" xfId="3359" xr:uid="{00000000-0005-0000-0000-0000420E0000}"/>
    <cellStyle name="20% - Accent2 2 3 2 5 2" xfId="10465" xr:uid="{00000000-0005-0000-0000-0000430E0000}"/>
    <cellStyle name="20% - Accent2 2 3 2 5 3" xfId="17566" xr:uid="{00000000-0005-0000-0000-0000440E0000}"/>
    <cellStyle name="20% - Accent2 2 3 2 5 4" xfId="24668" xr:uid="{00000000-0005-0000-0000-0000450E0000}"/>
    <cellStyle name="20% - Accent2 2 3 2 5 5" xfId="31770" xr:uid="{00000000-0005-0000-0000-0000460E0000}"/>
    <cellStyle name="20% - Accent2 2 3 2 6" xfId="7625" xr:uid="{00000000-0005-0000-0000-0000470E0000}"/>
    <cellStyle name="20% - Accent2 2 3 2 7" xfId="14726" xr:uid="{00000000-0005-0000-0000-0000480E0000}"/>
    <cellStyle name="20% - Accent2 2 3 2 8" xfId="21828" xr:uid="{00000000-0005-0000-0000-0000490E0000}"/>
    <cellStyle name="20% - Accent2 2 3 2 9" xfId="28930" xr:uid="{00000000-0005-0000-0000-00004A0E0000}"/>
    <cellStyle name="20% - Accent2 2 3 3" xfId="659" xr:uid="{00000000-0005-0000-0000-00004B0E0000}"/>
    <cellStyle name="20% - Accent2 2 3 3 2" xfId="2150" xr:uid="{00000000-0005-0000-0000-00004C0E0000}"/>
    <cellStyle name="20% - Accent2 2 3 3 2 2" xfId="6418" xr:uid="{00000000-0005-0000-0000-00004D0E0000}"/>
    <cellStyle name="20% - Accent2 2 3 3 2 2 2" xfId="13518" xr:uid="{00000000-0005-0000-0000-00004E0E0000}"/>
    <cellStyle name="20% - Accent2 2 3 3 2 2 3" xfId="20619" xr:uid="{00000000-0005-0000-0000-00004F0E0000}"/>
    <cellStyle name="20% - Accent2 2 3 3 2 2 4" xfId="27721" xr:uid="{00000000-0005-0000-0000-0000500E0000}"/>
    <cellStyle name="20% - Accent2 2 3 3 2 2 5" xfId="34823" xr:uid="{00000000-0005-0000-0000-0000510E0000}"/>
    <cellStyle name="20% - Accent2 2 3 3 2 2 6" xfId="36375" xr:uid="{00000000-0005-0000-0000-0000520E0000}"/>
    <cellStyle name="20% - Accent2 2 3 3 2 3" xfId="9258" xr:uid="{00000000-0005-0000-0000-0000530E0000}"/>
    <cellStyle name="20% - Accent2 2 3 3 2 4" xfId="16359" xr:uid="{00000000-0005-0000-0000-0000540E0000}"/>
    <cellStyle name="20% - Accent2 2 3 3 2 5" xfId="23461" xr:uid="{00000000-0005-0000-0000-0000550E0000}"/>
    <cellStyle name="20% - Accent2 2 3 3 2 6" xfId="30563" xr:uid="{00000000-0005-0000-0000-0000560E0000}"/>
    <cellStyle name="20% - Accent2 2 3 3 2 7" xfId="36376" xr:uid="{00000000-0005-0000-0000-0000570E0000}"/>
    <cellStyle name="20% - Accent2 2 3 3 3" xfId="4997" xr:uid="{00000000-0005-0000-0000-0000580E0000}"/>
    <cellStyle name="20% - Accent2 2 3 3 3 2" xfId="12098" xr:uid="{00000000-0005-0000-0000-0000590E0000}"/>
    <cellStyle name="20% - Accent2 2 3 3 3 2 2" xfId="36377" xr:uid="{00000000-0005-0000-0000-00005A0E0000}"/>
    <cellStyle name="20% - Accent2 2 3 3 3 3" xfId="19199" xr:uid="{00000000-0005-0000-0000-00005B0E0000}"/>
    <cellStyle name="20% - Accent2 2 3 3 3 4" xfId="26301" xr:uid="{00000000-0005-0000-0000-00005C0E0000}"/>
    <cellStyle name="20% - Accent2 2 3 3 3 5" xfId="33403" xr:uid="{00000000-0005-0000-0000-00005D0E0000}"/>
    <cellStyle name="20% - Accent2 2 3 3 3 6" xfId="36378" xr:uid="{00000000-0005-0000-0000-00005E0E0000}"/>
    <cellStyle name="20% - Accent2 2 3 3 4" xfId="3572" xr:uid="{00000000-0005-0000-0000-00005F0E0000}"/>
    <cellStyle name="20% - Accent2 2 3 3 4 2" xfId="10678" xr:uid="{00000000-0005-0000-0000-0000600E0000}"/>
    <cellStyle name="20% - Accent2 2 3 3 4 3" xfId="17779" xr:uid="{00000000-0005-0000-0000-0000610E0000}"/>
    <cellStyle name="20% - Accent2 2 3 3 4 4" xfId="24881" xr:uid="{00000000-0005-0000-0000-0000620E0000}"/>
    <cellStyle name="20% - Accent2 2 3 3 4 5" xfId="31983" xr:uid="{00000000-0005-0000-0000-0000630E0000}"/>
    <cellStyle name="20% - Accent2 2 3 3 4 6" xfId="36379" xr:uid="{00000000-0005-0000-0000-0000640E0000}"/>
    <cellStyle name="20% - Accent2 2 3 3 5" xfId="7838" xr:uid="{00000000-0005-0000-0000-0000650E0000}"/>
    <cellStyle name="20% - Accent2 2 3 3 6" xfId="14939" xr:uid="{00000000-0005-0000-0000-0000660E0000}"/>
    <cellStyle name="20% - Accent2 2 3 3 7" xfId="22041" xr:uid="{00000000-0005-0000-0000-0000670E0000}"/>
    <cellStyle name="20% - Accent2 2 3 3 8" xfId="29143" xr:uid="{00000000-0005-0000-0000-0000680E0000}"/>
    <cellStyle name="20% - Accent2 2 3 3 9" xfId="36380" xr:uid="{00000000-0005-0000-0000-0000690E0000}"/>
    <cellStyle name="20% - Accent2 2 3 4" xfId="872" xr:uid="{00000000-0005-0000-0000-00006A0E0000}"/>
    <cellStyle name="20% - Accent2 2 3 4 2" xfId="2363" xr:uid="{00000000-0005-0000-0000-00006B0E0000}"/>
    <cellStyle name="20% - Accent2 2 3 4 2 2" xfId="6631" xr:uid="{00000000-0005-0000-0000-00006C0E0000}"/>
    <cellStyle name="20% - Accent2 2 3 4 2 2 2" xfId="13731" xr:uid="{00000000-0005-0000-0000-00006D0E0000}"/>
    <cellStyle name="20% - Accent2 2 3 4 2 2 3" xfId="20832" xr:uid="{00000000-0005-0000-0000-00006E0E0000}"/>
    <cellStyle name="20% - Accent2 2 3 4 2 2 4" xfId="27934" xr:uid="{00000000-0005-0000-0000-00006F0E0000}"/>
    <cellStyle name="20% - Accent2 2 3 4 2 2 5" xfId="35036" xr:uid="{00000000-0005-0000-0000-0000700E0000}"/>
    <cellStyle name="20% - Accent2 2 3 4 2 2 6" xfId="36381" xr:uid="{00000000-0005-0000-0000-0000710E0000}"/>
    <cellStyle name="20% - Accent2 2 3 4 2 3" xfId="9471" xr:uid="{00000000-0005-0000-0000-0000720E0000}"/>
    <cellStyle name="20% - Accent2 2 3 4 2 4" xfId="16572" xr:uid="{00000000-0005-0000-0000-0000730E0000}"/>
    <cellStyle name="20% - Accent2 2 3 4 2 5" xfId="23674" xr:uid="{00000000-0005-0000-0000-0000740E0000}"/>
    <cellStyle name="20% - Accent2 2 3 4 2 6" xfId="30776" xr:uid="{00000000-0005-0000-0000-0000750E0000}"/>
    <cellStyle name="20% - Accent2 2 3 4 2 7" xfId="36382" xr:uid="{00000000-0005-0000-0000-0000760E0000}"/>
    <cellStyle name="20% - Accent2 2 3 4 3" xfId="5210" xr:uid="{00000000-0005-0000-0000-0000770E0000}"/>
    <cellStyle name="20% - Accent2 2 3 4 3 2" xfId="12311" xr:uid="{00000000-0005-0000-0000-0000780E0000}"/>
    <cellStyle name="20% - Accent2 2 3 4 3 2 2" xfId="36383" xr:uid="{00000000-0005-0000-0000-0000790E0000}"/>
    <cellStyle name="20% - Accent2 2 3 4 3 3" xfId="19412" xr:uid="{00000000-0005-0000-0000-00007A0E0000}"/>
    <cellStyle name="20% - Accent2 2 3 4 3 4" xfId="26514" xr:uid="{00000000-0005-0000-0000-00007B0E0000}"/>
    <cellStyle name="20% - Accent2 2 3 4 3 5" xfId="33616" xr:uid="{00000000-0005-0000-0000-00007C0E0000}"/>
    <cellStyle name="20% - Accent2 2 3 4 3 6" xfId="36384" xr:uid="{00000000-0005-0000-0000-00007D0E0000}"/>
    <cellStyle name="20% - Accent2 2 3 4 4" xfId="3785" xr:uid="{00000000-0005-0000-0000-00007E0E0000}"/>
    <cellStyle name="20% - Accent2 2 3 4 4 2" xfId="10891" xr:uid="{00000000-0005-0000-0000-00007F0E0000}"/>
    <cellStyle name="20% - Accent2 2 3 4 4 3" xfId="17992" xr:uid="{00000000-0005-0000-0000-0000800E0000}"/>
    <cellStyle name="20% - Accent2 2 3 4 4 4" xfId="25094" xr:uid="{00000000-0005-0000-0000-0000810E0000}"/>
    <cellStyle name="20% - Accent2 2 3 4 4 5" xfId="32196" xr:uid="{00000000-0005-0000-0000-0000820E0000}"/>
    <cellStyle name="20% - Accent2 2 3 4 4 6" xfId="36385" xr:uid="{00000000-0005-0000-0000-0000830E0000}"/>
    <cellStyle name="20% - Accent2 2 3 4 5" xfId="8051" xr:uid="{00000000-0005-0000-0000-0000840E0000}"/>
    <cellStyle name="20% - Accent2 2 3 4 6" xfId="15152" xr:uid="{00000000-0005-0000-0000-0000850E0000}"/>
    <cellStyle name="20% - Accent2 2 3 4 7" xfId="22254" xr:uid="{00000000-0005-0000-0000-0000860E0000}"/>
    <cellStyle name="20% - Accent2 2 3 4 8" xfId="29356" xr:uid="{00000000-0005-0000-0000-0000870E0000}"/>
    <cellStyle name="20% - Accent2 2 3 4 9" xfId="36386" xr:uid="{00000000-0005-0000-0000-0000880E0000}"/>
    <cellStyle name="20% - Accent2 2 3 5" xfId="1014" xr:uid="{00000000-0005-0000-0000-0000890E0000}"/>
    <cellStyle name="20% - Accent2 2 3 5 2" xfId="2505" xr:uid="{00000000-0005-0000-0000-00008A0E0000}"/>
    <cellStyle name="20% - Accent2 2 3 5 2 2" xfId="6773" xr:uid="{00000000-0005-0000-0000-00008B0E0000}"/>
    <cellStyle name="20% - Accent2 2 3 5 2 2 2" xfId="13873" xr:uid="{00000000-0005-0000-0000-00008C0E0000}"/>
    <cellStyle name="20% - Accent2 2 3 5 2 2 3" xfId="20974" xr:uid="{00000000-0005-0000-0000-00008D0E0000}"/>
    <cellStyle name="20% - Accent2 2 3 5 2 2 4" xfId="28076" xr:uid="{00000000-0005-0000-0000-00008E0E0000}"/>
    <cellStyle name="20% - Accent2 2 3 5 2 2 5" xfId="35178" xr:uid="{00000000-0005-0000-0000-00008F0E0000}"/>
    <cellStyle name="20% - Accent2 2 3 5 2 3" xfId="9613" xr:uid="{00000000-0005-0000-0000-0000900E0000}"/>
    <cellStyle name="20% - Accent2 2 3 5 2 4" xfId="16714" xr:uid="{00000000-0005-0000-0000-0000910E0000}"/>
    <cellStyle name="20% - Accent2 2 3 5 2 5" xfId="23816" xr:uid="{00000000-0005-0000-0000-0000920E0000}"/>
    <cellStyle name="20% - Accent2 2 3 5 2 6" xfId="30918" xr:uid="{00000000-0005-0000-0000-0000930E0000}"/>
    <cellStyle name="20% - Accent2 2 3 5 2 7" xfId="36387" xr:uid="{00000000-0005-0000-0000-0000940E0000}"/>
    <cellStyle name="20% - Accent2 2 3 5 3" xfId="5352" xr:uid="{00000000-0005-0000-0000-0000950E0000}"/>
    <cellStyle name="20% - Accent2 2 3 5 3 2" xfId="12453" xr:uid="{00000000-0005-0000-0000-0000960E0000}"/>
    <cellStyle name="20% - Accent2 2 3 5 3 3" xfId="19554" xr:uid="{00000000-0005-0000-0000-0000970E0000}"/>
    <cellStyle name="20% - Accent2 2 3 5 3 4" xfId="26656" xr:uid="{00000000-0005-0000-0000-0000980E0000}"/>
    <cellStyle name="20% - Accent2 2 3 5 3 5" xfId="33758" xr:uid="{00000000-0005-0000-0000-0000990E0000}"/>
    <cellStyle name="20% - Accent2 2 3 5 4" xfId="3927" xr:uid="{00000000-0005-0000-0000-00009A0E0000}"/>
    <cellStyle name="20% - Accent2 2 3 5 4 2" xfId="11033" xr:uid="{00000000-0005-0000-0000-00009B0E0000}"/>
    <cellStyle name="20% - Accent2 2 3 5 4 3" xfId="18134" xr:uid="{00000000-0005-0000-0000-00009C0E0000}"/>
    <cellStyle name="20% - Accent2 2 3 5 4 4" xfId="25236" xr:uid="{00000000-0005-0000-0000-00009D0E0000}"/>
    <cellStyle name="20% - Accent2 2 3 5 4 5" xfId="32338" xr:uid="{00000000-0005-0000-0000-00009E0E0000}"/>
    <cellStyle name="20% - Accent2 2 3 5 5" xfId="8193" xr:uid="{00000000-0005-0000-0000-00009F0E0000}"/>
    <cellStyle name="20% - Accent2 2 3 5 6" xfId="15294" xr:uid="{00000000-0005-0000-0000-0000A00E0000}"/>
    <cellStyle name="20% - Accent2 2 3 5 7" xfId="22396" xr:uid="{00000000-0005-0000-0000-0000A10E0000}"/>
    <cellStyle name="20% - Accent2 2 3 5 8" xfId="29498" xr:uid="{00000000-0005-0000-0000-0000A20E0000}"/>
    <cellStyle name="20% - Accent2 2 3 5 9" xfId="36388" xr:uid="{00000000-0005-0000-0000-0000A30E0000}"/>
    <cellStyle name="20% - Accent2 2 3 6" xfId="1440" xr:uid="{00000000-0005-0000-0000-0000A40E0000}"/>
    <cellStyle name="20% - Accent2 2 3 6 2" xfId="2931" xr:uid="{00000000-0005-0000-0000-0000A50E0000}"/>
    <cellStyle name="20% - Accent2 2 3 6 2 2" xfId="7199" xr:uid="{00000000-0005-0000-0000-0000A60E0000}"/>
    <cellStyle name="20% - Accent2 2 3 6 2 2 2" xfId="14299" xr:uid="{00000000-0005-0000-0000-0000A70E0000}"/>
    <cellStyle name="20% - Accent2 2 3 6 2 2 3" xfId="21400" xr:uid="{00000000-0005-0000-0000-0000A80E0000}"/>
    <cellStyle name="20% - Accent2 2 3 6 2 2 4" xfId="28502" xr:uid="{00000000-0005-0000-0000-0000A90E0000}"/>
    <cellStyle name="20% - Accent2 2 3 6 2 2 5" xfId="35604" xr:uid="{00000000-0005-0000-0000-0000AA0E0000}"/>
    <cellStyle name="20% - Accent2 2 3 6 2 3" xfId="10039" xr:uid="{00000000-0005-0000-0000-0000AB0E0000}"/>
    <cellStyle name="20% - Accent2 2 3 6 2 4" xfId="17140" xr:uid="{00000000-0005-0000-0000-0000AC0E0000}"/>
    <cellStyle name="20% - Accent2 2 3 6 2 5" xfId="24242" xr:uid="{00000000-0005-0000-0000-0000AD0E0000}"/>
    <cellStyle name="20% - Accent2 2 3 6 2 6" xfId="31344" xr:uid="{00000000-0005-0000-0000-0000AE0E0000}"/>
    <cellStyle name="20% - Accent2 2 3 6 2 7" xfId="36389" xr:uid="{00000000-0005-0000-0000-0000AF0E0000}"/>
    <cellStyle name="20% - Accent2 2 3 6 3" xfId="5778" xr:uid="{00000000-0005-0000-0000-0000B00E0000}"/>
    <cellStyle name="20% - Accent2 2 3 6 3 2" xfId="12879" xr:uid="{00000000-0005-0000-0000-0000B10E0000}"/>
    <cellStyle name="20% - Accent2 2 3 6 3 3" xfId="19980" xr:uid="{00000000-0005-0000-0000-0000B20E0000}"/>
    <cellStyle name="20% - Accent2 2 3 6 3 4" xfId="27082" xr:uid="{00000000-0005-0000-0000-0000B30E0000}"/>
    <cellStyle name="20% - Accent2 2 3 6 3 5" xfId="34184" xr:uid="{00000000-0005-0000-0000-0000B40E0000}"/>
    <cellStyle name="20% - Accent2 2 3 6 4" xfId="4353" xr:uid="{00000000-0005-0000-0000-0000B50E0000}"/>
    <cellStyle name="20% - Accent2 2 3 6 4 2" xfId="11459" xr:uid="{00000000-0005-0000-0000-0000B60E0000}"/>
    <cellStyle name="20% - Accent2 2 3 6 4 3" xfId="18560" xr:uid="{00000000-0005-0000-0000-0000B70E0000}"/>
    <cellStyle name="20% - Accent2 2 3 6 4 4" xfId="25662" xr:uid="{00000000-0005-0000-0000-0000B80E0000}"/>
    <cellStyle name="20% - Accent2 2 3 6 4 5" xfId="32764" xr:uid="{00000000-0005-0000-0000-0000B90E0000}"/>
    <cellStyle name="20% - Accent2 2 3 6 5" xfId="8619" xr:uid="{00000000-0005-0000-0000-0000BA0E0000}"/>
    <cellStyle name="20% - Accent2 2 3 6 6" xfId="15720" xr:uid="{00000000-0005-0000-0000-0000BB0E0000}"/>
    <cellStyle name="20% - Accent2 2 3 6 7" xfId="22822" xr:uid="{00000000-0005-0000-0000-0000BC0E0000}"/>
    <cellStyle name="20% - Accent2 2 3 6 8" xfId="29924" xr:uid="{00000000-0005-0000-0000-0000BD0E0000}"/>
    <cellStyle name="20% - Accent2 2 3 6 9" xfId="36390" xr:uid="{00000000-0005-0000-0000-0000BE0E0000}"/>
    <cellStyle name="20% - Accent2 2 3 7" xfId="1724" xr:uid="{00000000-0005-0000-0000-0000BF0E0000}"/>
    <cellStyle name="20% - Accent2 2 3 7 2" xfId="5992" xr:uid="{00000000-0005-0000-0000-0000C00E0000}"/>
    <cellStyle name="20% - Accent2 2 3 7 2 2" xfId="13092" xr:uid="{00000000-0005-0000-0000-0000C10E0000}"/>
    <cellStyle name="20% - Accent2 2 3 7 2 3" xfId="20193" xr:uid="{00000000-0005-0000-0000-0000C20E0000}"/>
    <cellStyle name="20% - Accent2 2 3 7 2 4" xfId="27295" xr:uid="{00000000-0005-0000-0000-0000C30E0000}"/>
    <cellStyle name="20% - Accent2 2 3 7 2 5" xfId="34397" xr:uid="{00000000-0005-0000-0000-0000C40E0000}"/>
    <cellStyle name="20% - Accent2 2 3 7 3" xfId="8832" xr:uid="{00000000-0005-0000-0000-0000C50E0000}"/>
    <cellStyle name="20% - Accent2 2 3 7 4" xfId="15933" xr:uid="{00000000-0005-0000-0000-0000C60E0000}"/>
    <cellStyle name="20% - Accent2 2 3 7 5" xfId="23035" xr:uid="{00000000-0005-0000-0000-0000C70E0000}"/>
    <cellStyle name="20% - Accent2 2 3 7 6" xfId="30137" xr:uid="{00000000-0005-0000-0000-0000C80E0000}"/>
    <cellStyle name="20% - Accent2 2 3 7 7" xfId="36391" xr:uid="{00000000-0005-0000-0000-0000C90E0000}"/>
    <cellStyle name="20% - Accent2 2 3 8" xfId="4571" xr:uid="{00000000-0005-0000-0000-0000CA0E0000}"/>
    <cellStyle name="20% - Accent2 2 3 8 2" xfId="11672" xr:uid="{00000000-0005-0000-0000-0000CB0E0000}"/>
    <cellStyle name="20% - Accent2 2 3 8 3" xfId="18773" xr:uid="{00000000-0005-0000-0000-0000CC0E0000}"/>
    <cellStyle name="20% - Accent2 2 3 8 4" xfId="25875" xr:uid="{00000000-0005-0000-0000-0000CD0E0000}"/>
    <cellStyle name="20% - Accent2 2 3 8 5" xfId="32977" xr:uid="{00000000-0005-0000-0000-0000CE0E0000}"/>
    <cellStyle name="20% - Accent2 2 3 9" xfId="3146" xr:uid="{00000000-0005-0000-0000-0000CF0E0000}"/>
    <cellStyle name="20% - Accent2 2 3 9 2" xfId="10252" xr:uid="{00000000-0005-0000-0000-0000D00E0000}"/>
    <cellStyle name="20% - Accent2 2 3 9 3" xfId="17353" xr:uid="{00000000-0005-0000-0000-0000D10E0000}"/>
    <cellStyle name="20% - Accent2 2 3 9 4" xfId="24455" xr:uid="{00000000-0005-0000-0000-0000D20E0000}"/>
    <cellStyle name="20% - Accent2 2 3 9 5" xfId="31557" xr:uid="{00000000-0005-0000-0000-0000D30E0000}"/>
    <cellStyle name="20% - Accent2 2 4" xfId="162" xr:uid="{00000000-0005-0000-0000-0000D40E0000}"/>
    <cellStyle name="20% - Accent2 2 4 10" xfId="7341" xr:uid="{00000000-0005-0000-0000-0000D50E0000}"/>
    <cellStyle name="20% - Accent2 2 4 11" xfId="14442" xr:uid="{00000000-0005-0000-0000-0000D60E0000}"/>
    <cellStyle name="20% - Accent2 2 4 12" xfId="21544" xr:uid="{00000000-0005-0000-0000-0000D70E0000}"/>
    <cellStyle name="20% - Accent2 2 4 13" xfId="28646" xr:uid="{00000000-0005-0000-0000-0000D80E0000}"/>
    <cellStyle name="20% - Accent2 2 4 14" xfId="35748" xr:uid="{00000000-0005-0000-0000-0000D90E0000}"/>
    <cellStyle name="20% - Accent2 2 4 15" xfId="36392" xr:uid="{00000000-0005-0000-0000-0000DA0E0000}"/>
    <cellStyle name="20% - Accent2 2 4 2" xfId="375" xr:uid="{00000000-0005-0000-0000-0000DB0E0000}"/>
    <cellStyle name="20% - Accent2 2 4 2 2" xfId="1866" xr:uid="{00000000-0005-0000-0000-0000DC0E0000}"/>
    <cellStyle name="20% - Accent2 2 4 2 2 2" xfId="6134" xr:uid="{00000000-0005-0000-0000-0000DD0E0000}"/>
    <cellStyle name="20% - Accent2 2 4 2 2 2 2" xfId="13234" xr:uid="{00000000-0005-0000-0000-0000DE0E0000}"/>
    <cellStyle name="20% - Accent2 2 4 2 2 2 3" xfId="20335" xr:uid="{00000000-0005-0000-0000-0000DF0E0000}"/>
    <cellStyle name="20% - Accent2 2 4 2 2 2 4" xfId="27437" xr:uid="{00000000-0005-0000-0000-0000E00E0000}"/>
    <cellStyle name="20% - Accent2 2 4 2 2 2 5" xfId="34539" xr:uid="{00000000-0005-0000-0000-0000E10E0000}"/>
    <cellStyle name="20% - Accent2 2 4 2 2 2 6" xfId="36393" xr:uid="{00000000-0005-0000-0000-0000E20E0000}"/>
    <cellStyle name="20% - Accent2 2 4 2 2 3" xfId="8974" xr:uid="{00000000-0005-0000-0000-0000E30E0000}"/>
    <cellStyle name="20% - Accent2 2 4 2 2 4" xfId="16075" xr:uid="{00000000-0005-0000-0000-0000E40E0000}"/>
    <cellStyle name="20% - Accent2 2 4 2 2 5" xfId="23177" xr:uid="{00000000-0005-0000-0000-0000E50E0000}"/>
    <cellStyle name="20% - Accent2 2 4 2 2 6" xfId="30279" xr:uid="{00000000-0005-0000-0000-0000E60E0000}"/>
    <cellStyle name="20% - Accent2 2 4 2 2 7" xfId="36394" xr:uid="{00000000-0005-0000-0000-0000E70E0000}"/>
    <cellStyle name="20% - Accent2 2 4 2 3" xfId="4713" xr:uid="{00000000-0005-0000-0000-0000E80E0000}"/>
    <cellStyle name="20% - Accent2 2 4 2 3 2" xfId="11814" xr:uid="{00000000-0005-0000-0000-0000E90E0000}"/>
    <cellStyle name="20% - Accent2 2 4 2 3 2 2" xfId="36395" xr:uid="{00000000-0005-0000-0000-0000EA0E0000}"/>
    <cellStyle name="20% - Accent2 2 4 2 3 3" xfId="18915" xr:uid="{00000000-0005-0000-0000-0000EB0E0000}"/>
    <cellStyle name="20% - Accent2 2 4 2 3 4" xfId="26017" xr:uid="{00000000-0005-0000-0000-0000EC0E0000}"/>
    <cellStyle name="20% - Accent2 2 4 2 3 5" xfId="33119" xr:uid="{00000000-0005-0000-0000-0000ED0E0000}"/>
    <cellStyle name="20% - Accent2 2 4 2 3 6" xfId="36396" xr:uid="{00000000-0005-0000-0000-0000EE0E0000}"/>
    <cellStyle name="20% - Accent2 2 4 2 4" xfId="3288" xr:uid="{00000000-0005-0000-0000-0000EF0E0000}"/>
    <cellStyle name="20% - Accent2 2 4 2 4 2" xfId="10394" xr:uid="{00000000-0005-0000-0000-0000F00E0000}"/>
    <cellStyle name="20% - Accent2 2 4 2 4 3" xfId="17495" xr:uid="{00000000-0005-0000-0000-0000F10E0000}"/>
    <cellStyle name="20% - Accent2 2 4 2 4 4" xfId="24597" xr:uid="{00000000-0005-0000-0000-0000F20E0000}"/>
    <cellStyle name="20% - Accent2 2 4 2 4 5" xfId="31699" xr:uid="{00000000-0005-0000-0000-0000F30E0000}"/>
    <cellStyle name="20% - Accent2 2 4 2 4 6" xfId="36397" xr:uid="{00000000-0005-0000-0000-0000F40E0000}"/>
    <cellStyle name="20% - Accent2 2 4 2 5" xfId="7554" xr:uid="{00000000-0005-0000-0000-0000F50E0000}"/>
    <cellStyle name="20% - Accent2 2 4 2 6" xfId="14655" xr:uid="{00000000-0005-0000-0000-0000F60E0000}"/>
    <cellStyle name="20% - Accent2 2 4 2 7" xfId="21757" xr:uid="{00000000-0005-0000-0000-0000F70E0000}"/>
    <cellStyle name="20% - Accent2 2 4 2 8" xfId="28859" xr:uid="{00000000-0005-0000-0000-0000F80E0000}"/>
    <cellStyle name="20% - Accent2 2 4 2 9" xfId="36398" xr:uid="{00000000-0005-0000-0000-0000F90E0000}"/>
    <cellStyle name="20% - Accent2 2 4 3" xfId="588" xr:uid="{00000000-0005-0000-0000-0000FA0E0000}"/>
    <cellStyle name="20% - Accent2 2 4 3 2" xfId="2079" xr:uid="{00000000-0005-0000-0000-0000FB0E0000}"/>
    <cellStyle name="20% - Accent2 2 4 3 2 2" xfId="6347" xr:uid="{00000000-0005-0000-0000-0000FC0E0000}"/>
    <cellStyle name="20% - Accent2 2 4 3 2 2 2" xfId="13447" xr:uid="{00000000-0005-0000-0000-0000FD0E0000}"/>
    <cellStyle name="20% - Accent2 2 4 3 2 2 3" xfId="20548" xr:uid="{00000000-0005-0000-0000-0000FE0E0000}"/>
    <cellStyle name="20% - Accent2 2 4 3 2 2 4" xfId="27650" xr:uid="{00000000-0005-0000-0000-0000FF0E0000}"/>
    <cellStyle name="20% - Accent2 2 4 3 2 2 5" xfId="34752" xr:uid="{00000000-0005-0000-0000-0000000F0000}"/>
    <cellStyle name="20% - Accent2 2 4 3 2 2 6" xfId="36399" xr:uid="{00000000-0005-0000-0000-0000010F0000}"/>
    <cellStyle name="20% - Accent2 2 4 3 2 3" xfId="9187" xr:uid="{00000000-0005-0000-0000-0000020F0000}"/>
    <cellStyle name="20% - Accent2 2 4 3 2 4" xfId="16288" xr:uid="{00000000-0005-0000-0000-0000030F0000}"/>
    <cellStyle name="20% - Accent2 2 4 3 2 5" xfId="23390" xr:uid="{00000000-0005-0000-0000-0000040F0000}"/>
    <cellStyle name="20% - Accent2 2 4 3 2 6" xfId="30492" xr:uid="{00000000-0005-0000-0000-0000050F0000}"/>
    <cellStyle name="20% - Accent2 2 4 3 2 7" xfId="36400" xr:uid="{00000000-0005-0000-0000-0000060F0000}"/>
    <cellStyle name="20% - Accent2 2 4 3 3" xfId="4926" xr:uid="{00000000-0005-0000-0000-0000070F0000}"/>
    <cellStyle name="20% - Accent2 2 4 3 3 2" xfId="12027" xr:uid="{00000000-0005-0000-0000-0000080F0000}"/>
    <cellStyle name="20% - Accent2 2 4 3 3 2 2" xfId="36401" xr:uid="{00000000-0005-0000-0000-0000090F0000}"/>
    <cellStyle name="20% - Accent2 2 4 3 3 3" xfId="19128" xr:uid="{00000000-0005-0000-0000-00000A0F0000}"/>
    <cellStyle name="20% - Accent2 2 4 3 3 4" xfId="26230" xr:uid="{00000000-0005-0000-0000-00000B0F0000}"/>
    <cellStyle name="20% - Accent2 2 4 3 3 5" xfId="33332" xr:uid="{00000000-0005-0000-0000-00000C0F0000}"/>
    <cellStyle name="20% - Accent2 2 4 3 3 6" xfId="36402" xr:uid="{00000000-0005-0000-0000-00000D0F0000}"/>
    <cellStyle name="20% - Accent2 2 4 3 4" xfId="3501" xr:uid="{00000000-0005-0000-0000-00000E0F0000}"/>
    <cellStyle name="20% - Accent2 2 4 3 4 2" xfId="10607" xr:uid="{00000000-0005-0000-0000-00000F0F0000}"/>
    <cellStyle name="20% - Accent2 2 4 3 4 3" xfId="17708" xr:uid="{00000000-0005-0000-0000-0000100F0000}"/>
    <cellStyle name="20% - Accent2 2 4 3 4 4" xfId="24810" xr:uid="{00000000-0005-0000-0000-0000110F0000}"/>
    <cellStyle name="20% - Accent2 2 4 3 4 5" xfId="31912" xr:uid="{00000000-0005-0000-0000-0000120F0000}"/>
    <cellStyle name="20% - Accent2 2 4 3 4 6" xfId="36403" xr:uid="{00000000-0005-0000-0000-0000130F0000}"/>
    <cellStyle name="20% - Accent2 2 4 3 5" xfId="7767" xr:uid="{00000000-0005-0000-0000-0000140F0000}"/>
    <cellStyle name="20% - Accent2 2 4 3 6" xfId="14868" xr:uid="{00000000-0005-0000-0000-0000150F0000}"/>
    <cellStyle name="20% - Accent2 2 4 3 7" xfId="21970" xr:uid="{00000000-0005-0000-0000-0000160F0000}"/>
    <cellStyle name="20% - Accent2 2 4 3 8" xfId="29072" xr:uid="{00000000-0005-0000-0000-0000170F0000}"/>
    <cellStyle name="20% - Accent2 2 4 3 9" xfId="36404" xr:uid="{00000000-0005-0000-0000-0000180F0000}"/>
    <cellStyle name="20% - Accent2 2 4 4" xfId="801" xr:uid="{00000000-0005-0000-0000-0000190F0000}"/>
    <cellStyle name="20% - Accent2 2 4 4 2" xfId="2292" xr:uid="{00000000-0005-0000-0000-00001A0F0000}"/>
    <cellStyle name="20% - Accent2 2 4 4 2 2" xfId="6560" xr:uid="{00000000-0005-0000-0000-00001B0F0000}"/>
    <cellStyle name="20% - Accent2 2 4 4 2 2 2" xfId="13660" xr:uid="{00000000-0005-0000-0000-00001C0F0000}"/>
    <cellStyle name="20% - Accent2 2 4 4 2 2 3" xfId="20761" xr:uid="{00000000-0005-0000-0000-00001D0F0000}"/>
    <cellStyle name="20% - Accent2 2 4 4 2 2 4" xfId="27863" xr:uid="{00000000-0005-0000-0000-00001E0F0000}"/>
    <cellStyle name="20% - Accent2 2 4 4 2 2 5" xfId="34965" xr:uid="{00000000-0005-0000-0000-00001F0F0000}"/>
    <cellStyle name="20% - Accent2 2 4 4 2 2 6" xfId="36405" xr:uid="{00000000-0005-0000-0000-0000200F0000}"/>
    <cellStyle name="20% - Accent2 2 4 4 2 3" xfId="9400" xr:uid="{00000000-0005-0000-0000-0000210F0000}"/>
    <cellStyle name="20% - Accent2 2 4 4 2 4" xfId="16501" xr:uid="{00000000-0005-0000-0000-0000220F0000}"/>
    <cellStyle name="20% - Accent2 2 4 4 2 5" xfId="23603" xr:uid="{00000000-0005-0000-0000-0000230F0000}"/>
    <cellStyle name="20% - Accent2 2 4 4 2 6" xfId="30705" xr:uid="{00000000-0005-0000-0000-0000240F0000}"/>
    <cellStyle name="20% - Accent2 2 4 4 2 7" xfId="36406" xr:uid="{00000000-0005-0000-0000-0000250F0000}"/>
    <cellStyle name="20% - Accent2 2 4 4 3" xfId="5139" xr:uid="{00000000-0005-0000-0000-0000260F0000}"/>
    <cellStyle name="20% - Accent2 2 4 4 3 2" xfId="12240" xr:uid="{00000000-0005-0000-0000-0000270F0000}"/>
    <cellStyle name="20% - Accent2 2 4 4 3 2 2" xfId="36407" xr:uid="{00000000-0005-0000-0000-0000280F0000}"/>
    <cellStyle name="20% - Accent2 2 4 4 3 3" xfId="19341" xr:uid="{00000000-0005-0000-0000-0000290F0000}"/>
    <cellStyle name="20% - Accent2 2 4 4 3 4" xfId="26443" xr:uid="{00000000-0005-0000-0000-00002A0F0000}"/>
    <cellStyle name="20% - Accent2 2 4 4 3 5" xfId="33545" xr:uid="{00000000-0005-0000-0000-00002B0F0000}"/>
    <cellStyle name="20% - Accent2 2 4 4 3 6" xfId="36408" xr:uid="{00000000-0005-0000-0000-00002C0F0000}"/>
    <cellStyle name="20% - Accent2 2 4 4 4" xfId="3714" xr:uid="{00000000-0005-0000-0000-00002D0F0000}"/>
    <cellStyle name="20% - Accent2 2 4 4 4 2" xfId="10820" xr:uid="{00000000-0005-0000-0000-00002E0F0000}"/>
    <cellStyle name="20% - Accent2 2 4 4 4 3" xfId="17921" xr:uid="{00000000-0005-0000-0000-00002F0F0000}"/>
    <cellStyle name="20% - Accent2 2 4 4 4 4" xfId="25023" xr:uid="{00000000-0005-0000-0000-0000300F0000}"/>
    <cellStyle name="20% - Accent2 2 4 4 4 5" xfId="32125" xr:uid="{00000000-0005-0000-0000-0000310F0000}"/>
    <cellStyle name="20% - Accent2 2 4 4 4 6" xfId="36409" xr:uid="{00000000-0005-0000-0000-0000320F0000}"/>
    <cellStyle name="20% - Accent2 2 4 4 5" xfId="7980" xr:uid="{00000000-0005-0000-0000-0000330F0000}"/>
    <cellStyle name="20% - Accent2 2 4 4 6" xfId="15081" xr:uid="{00000000-0005-0000-0000-0000340F0000}"/>
    <cellStyle name="20% - Accent2 2 4 4 7" xfId="22183" xr:uid="{00000000-0005-0000-0000-0000350F0000}"/>
    <cellStyle name="20% - Accent2 2 4 4 8" xfId="29285" xr:uid="{00000000-0005-0000-0000-0000360F0000}"/>
    <cellStyle name="20% - Accent2 2 4 4 9" xfId="36410" xr:uid="{00000000-0005-0000-0000-0000370F0000}"/>
    <cellStyle name="20% - Accent2 2 4 5" xfId="1156" xr:uid="{00000000-0005-0000-0000-0000380F0000}"/>
    <cellStyle name="20% - Accent2 2 4 5 2" xfId="2647" xr:uid="{00000000-0005-0000-0000-0000390F0000}"/>
    <cellStyle name="20% - Accent2 2 4 5 2 2" xfId="6915" xr:uid="{00000000-0005-0000-0000-00003A0F0000}"/>
    <cellStyle name="20% - Accent2 2 4 5 2 2 2" xfId="14015" xr:uid="{00000000-0005-0000-0000-00003B0F0000}"/>
    <cellStyle name="20% - Accent2 2 4 5 2 2 3" xfId="21116" xr:uid="{00000000-0005-0000-0000-00003C0F0000}"/>
    <cellStyle name="20% - Accent2 2 4 5 2 2 4" xfId="28218" xr:uid="{00000000-0005-0000-0000-00003D0F0000}"/>
    <cellStyle name="20% - Accent2 2 4 5 2 2 5" xfId="35320" xr:uid="{00000000-0005-0000-0000-00003E0F0000}"/>
    <cellStyle name="20% - Accent2 2 4 5 2 3" xfId="9755" xr:uid="{00000000-0005-0000-0000-00003F0F0000}"/>
    <cellStyle name="20% - Accent2 2 4 5 2 4" xfId="16856" xr:uid="{00000000-0005-0000-0000-0000400F0000}"/>
    <cellStyle name="20% - Accent2 2 4 5 2 5" xfId="23958" xr:uid="{00000000-0005-0000-0000-0000410F0000}"/>
    <cellStyle name="20% - Accent2 2 4 5 2 6" xfId="31060" xr:uid="{00000000-0005-0000-0000-0000420F0000}"/>
    <cellStyle name="20% - Accent2 2 4 5 2 7" xfId="36411" xr:uid="{00000000-0005-0000-0000-0000430F0000}"/>
    <cellStyle name="20% - Accent2 2 4 5 3" xfId="5494" xr:uid="{00000000-0005-0000-0000-0000440F0000}"/>
    <cellStyle name="20% - Accent2 2 4 5 3 2" xfId="12595" xr:uid="{00000000-0005-0000-0000-0000450F0000}"/>
    <cellStyle name="20% - Accent2 2 4 5 3 3" xfId="19696" xr:uid="{00000000-0005-0000-0000-0000460F0000}"/>
    <cellStyle name="20% - Accent2 2 4 5 3 4" xfId="26798" xr:uid="{00000000-0005-0000-0000-0000470F0000}"/>
    <cellStyle name="20% - Accent2 2 4 5 3 5" xfId="33900" xr:uid="{00000000-0005-0000-0000-0000480F0000}"/>
    <cellStyle name="20% - Accent2 2 4 5 4" xfId="4069" xr:uid="{00000000-0005-0000-0000-0000490F0000}"/>
    <cellStyle name="20% - Accent2 2 4 5 4 2" xfId="11175" xr:uid="{00000000-0005-0000-0000-00004A0F0000}"/>
    <cellStyle name="20% - Accent2 2 4 5 4 3" xfId="18276" xr:uid="{00000000-0005-0000-0000-00004B0F0000}"/>
    <cellStyle name="20% - Accent2 2 4 5 4 4" xfId="25378" xr:uid="{00000000-0005-0000-0000-00004C0F0000}"/>
    <cellStyle name="20% - Accent2 2 4 5 4 5" xfId="32480" xr:uid="{00000000-0005-0000-0000-00004D0F0000}"/>
    <cellStyle name="20% - Accent2 2 4 5 5" xfId="8335" xr:uid="{00000000-0005-0000-0000-00004E0F0000}"/>
    <cellStyle name="20% - Accent2 2 4 5 6" xfId="15436" xr:uid="{00000000-0005-0000-0000-00004F0F0000}"/>
    <cellStyle name="20% - Accent2 2 4 5 7" xfId="22538" xr:uid="{00000000-0005-0000-0000-0000500F0000}"/>
    <cellStyle name="20% - Accent2 2 4 5 8" xfId="29640" xr:uid="{00000000-0005-0000-0000-0000510F0000}"/>
    <cellStyle name="20% - Accent2 2 4 5 9" xfId="36412" xr:uid="{00000000-0005-0000-0000-0000520F0000}"/>
    <cellStyle name="20% - Accent2 2 4 6" xfId="1369" xr:uid="{00000000-0005-0000-0000-0000530F0000}"/>
    <cellStyle name="20% - Accent2 2 4 6 2" xfId="2860" xr:uid="{00000000-0005-0000-0000-0000540F0000}"/>
    <cellStyle name="20% - Accent2 2 4 6 2 2" xfId="7128" xr:uid="{00000000-0005-0000-0000-0000550F0000}"/>
    <cellStyle name="20% - Accent2 2 4 6 2 2 2" xfId="14228" xr:uid="{00000000-0005-0000-0000-0000560F0000}"/>
    <cellStyle name="20% - Accent2 2 4 6 2 2 3" xfId="21329" xr:uid="{00000000-0005-0000-0000-0000570F0000}"/>
    <cellStyle name="20% - Accent2 2 4 6 2 2 4" xfId="28431" xr:uid="{00000000-0005-0000-0000-0000580F0000}"/>
    <cellStyle name="20% - Accent2 2 4 6 2 2 5" xfId="35533" xr:uid="{00000000-0005-0000-0000-0000590F0000}"/>
    <cellStyle name="20% - Accent2 2 4 6 2 3" xfId="9968" xr:uid="{00000000-0005-0000-0000-00005A0F0000}"/>
    <cellStyle name="20% - Accent2 2 4 6 2 4" xfId="17069" xr:uid="{00000000-0005-0000-0000-00005B0F0000}"/>
    <cellStyle name="20% - Accent2 2 4 6 2 5" xfId="24171" xr:uid="{00000000-0005-0000-0000-00005C0F0000}"/>
    <cellStyle name="20% - Accent2 2 4 6 2 6" xfId="31273" xr:uid="{00000000-0005-0000-0000-00005D0F0000}"/>
    <cellStyle name="20% - Accent2 2 4 6 2 7" xfId="36413" xr:uid="{00000000-0005-0000-0000-00005E0F0000}"/>
    <cellStyle name="20% - Accent2 2 4 6 3" xfId="5707" xr:uid="{00000000-0005-0000-0000-00005F0F0000}"/>
    <cellStyle name="20% - Accent2 2 4 6 3 2" xfId="12808" xr:uid="{00000000-0005-0000-0000-0000600F0000}"/>
    <cellStyle name="20% - Accent2 2 4 6 3 3" xfId="19909" xr:uid="{00000000-0005-0000-0000-0000610F0000}"/>
    <cellStyle name="20% - Accent2 2 4 6 3 4" xfId="27011" xr:uid="{00000000-0005-0000-0000-0000620F0000}"/>
    <cellStyle name="20% - Accent2 2 4 6 3 5" xfId="34113" xr:uid="{00000000-0005-0000-0000-0000630F0000}"/>
    <cellStyle name="20% - Accent2 2 4 6 4" xfId="4282" xr:uid="{00000000-0005-0000-0000-0000640F0000}"/>
    <cellStyle name="20% - Accent2 2 4 6 4 2" xfId="11388" xr:uid="{00000000-0005-0000-0000-0000650F0000}"/>
    <cellStyle name="20% - Accent2 2 4 6 4 3" xfId="18489" xr:uid="{00000000-0005-0000-0000-0000660F0000}"/>
    <cellStyle name="20% - Accent2 2 4 6 4 4" xfId="25591" xr:uid="{00000000-0005-0000-0000-0000670F0000}"/>
    <cellStyle name="20% - Accent2 2 4 6 4 5" xfId="32693" xr:uid="{00000000-0005-0000-0000-0000680F0000}"/>
    <cellStyle name="20% - Accent2 2 4 6 5" xfId="8548" xr:uid="{00000000-0005-0000-0000-0000690F0000}"/>
    <cellStyle name="20% - Accent2 2 4 6 6" xfId="15649" xr:uid="{00000000-0005-0000-0000-00006A0F0000}"/>
    <cellStyle name="20% - Accent2 2 4 6 7" xfId="22751" xr:uid="{00000000-0005-0000-0000-00006B0F0000}"/>
    <cellStyle name="20% - Accent2 2 4 6 8" xfId="29853" xr:uid="{00000000-0005-0000-0000-00006C0F0000}"/>
    <cellStyle name="20% - Accent2 2 4 6 9" xfId="36414" xr:uid="{00000000-0005-0000-0000-00006D0F0000}"/>
    <cellStyle name="20% - Accent2 2 4 7" xfId="1653" xr:uid="{00000000-0005-0000-0000-00006E0F0000}"/>
    <cellStyle name="20% - Accent2 2 4 7 2" xfId="5921" xr:uid="{00000000-0005-0000-0000-00006F0F0000}"/>
    <cellStyle name="20% - Accent2 2 4 7 2 2" xfId="13021" xr:uid="{00000000-0005-0000-0000-0000700F0000}"/>
    <cellStyle name="20% - Accent2 2 4 7 2 3" xfId="20122" xr:uid="{00000000-0005-0000-0000-0000710F0000}"/>
    <cellStyle name="20% - Accent2 2 4 7 2 4" xfId="27224" xr:uid="{00000000-0005-0000-0000-0000720F0000}"/>
    <cellStyle name="20% - Accent2 2 4 7 2 5" xfId="34326" xr:uid="{00000000-0005-0000-0000-0000730F0000}"/>
    <cellStyle name="20% - Accent2 2 4 7 3" xfId="8761" xr:uid="{00000000-0005-0000-0000-0000740F0000}"/>
    <cellStyle name="20% - Accent2 2 4 7 4" xfId="15862" xr:uid="{00000000-0005-0000-0000-0000750F0000}"/>
    <cellStyle name="20% - Accent2 2 4 7 5" xfId="22964" xr:uid="{00000000-0005-0000-0000-0000760F0000}"/>
    <cellStyle name="20% - Accent2 2 4 7 6" xfId="30066" xr:uid="{00000000-0005-0000-0000-0000770F0000}"/>
    <cellStyle name="20% - Accent2 2 4 7 7" xfId="36415" xr:uid="{00000000-0005-0000-0000-0000780F0000}"/>
    <cellStyle name="20% - Accent2 2 4 8" xfId="4500" xr:uid="{00000000-0005-0000-0000-0000790F0000}"/>
    <cellStyle name="20% - Accent2 2 4 8 2" xfId="11601" xr:uid="{00000000-0005-0000-0000-00007A0F0000}"/>
    <cellStyle name="20% - Accent2 2 4 8 3" xfId="18702" xr:uid="{00000000-0005-0000-0000-00007B0F0000}"/>
    <cellStyle name="20% - Accent2 2 4 8 4" xfId="25804" xr:uid="{00000000-0005-0000-0000-00007C0F0000}"/>
    <cellStyle name="20% - Accent2 2 4 8 5" xfId="32906" xr:uid="{00000000-0005-0000-0000-00007D0F0000}"/>
    <cellStyle name="20% - Accent2 2 4 9" xfId="3075" xr:uid="{00000000-0005-0000-0000-00007E0F0000}"/>
    <cellStyle name="20% - Accent2 2 4 9 2" xfId="10181" xr:uid="{00000000-0005-0000-0000-00007F0F0000}"/>
    <cellStyle name="20% - Accent2 2 4 9 3" xfId="17282" xr:uid="{00000000-0005-0000-0000-0000800F0000}"/>
    <cellStyle name="20% - Accent2 2 4 9 4" xfId="24384" xr:uid="{00000000-0005-0000-0000-0000810F0000}"/>
    <cellStyle name="20% - Accent2 2 4 9 5" xfId="31486" xr:uid="{00000000-0005-0000-0000-0000820F0000}"/>
    <cellStyle name="20% - Accent2 2 5" xfId="304" xr:uid="{00000000-0005-0000-0000-0000830F0000}"/>
    <cellStyle name="20% - Accent2 2 5 10" xfId="36416" xr:uid="{00000000-0005-0000-0000-0000840F0000}"/>
    <cellStyle name="20% - Accent2 2 5 2" xfId="1085" xr:uid="{00000000-0005-0000-0000-0000850F0000}"/>
    <cellStyle name="20% - Accent2 2 5 2 2" xfId="2576" xr:uid="{00000000-0005-0000-0000-0000860F0000}"/>
    <cellStyle name="20% - Accent2 2 5 2 2 2" xfId="6844" xr:uid="{00000000-0005-0000-0000-0000870F0000}"/>
    <cellStyle name="20% - Accent2 2 5 2 2 2 2" xfId="13944" xr:uid="{00000000-0005-0000-0000-0000880F0000}"/>
    <cellStyle name="20% - Accent2 2 5 2 2 2 3" xfId="21045" xr:uid="{00000000-0005-0000-0000-0000890F0000}"/>
    <cellStyle name="20% - Accent2 2 5 2 2 2 4" xfId="28147" xr:uid="{00000000-0005-0000-0000-00008A0F0000}"/>
    <cellStyle name="20% - Accent2 2 5 2 2 2 5" xfId="35249" xr:uid="{00000000-0005-0000-0000-00008B0F0000}"/>
    <cellStyle name="20% - Accent2 2 5 2 2 2 6" xfId="36417" xr:uid="{00000000-0005-0000-0000-00008C0F0000}"/>
    <cellStyle name="20% - Accent2 2 5 2 2 3" xfId="9684" xr:uid="{00000000-0005-0000-0000-00008D0F0000}"/>
    <cellStyle name="20% - Accent2 2 5 2 2 4" xfId="16785" xr:uid="{00000000-0005-0000-0000-00008E0F0000}"/>
    <cellStyle name="20% - Accent2 2 5 2 2 5" xfId="23887" xr:uid="{00000000-0005-0000-0000-00008F0F0000}"/>
    <cellStyle name="20% - Accent2 2 5 2 2 6" xfId="30989" xr:uid="{00000000-0005-0000-0000-0000900F0000}"/>
    <cellStyle name="20% - Accent2 2 5 2 2 7" xfId="36418" xr:uid="{00000000-0005-0000-0000-0000910F0000}"/>
    <cellStyle name="20% - Accent2 2 5 2 3" xfId="5423" xr:uid="{00000000-0005-0000-0000-0000920F0000}"/>
    <cellStyle name="20% - Accent2 2 5 2 3 2" xfId="12524" xr:uid="{00000000-0005-0000-0000-0000930F0000}"/>
    <cellStyle name="20% - Accent2 2 5 2 3 2 2" xfId="36419" xr:uid="{00000000-0005-0000-0000-0000940F0000}"/>
    <cellStyle name="20% - Accent2 2 5 2 3 3" xfId="19625" xr:uid="{00000000-0005-0000-0000-0000950F0000}"/>
    <cellStyle name="20% - Accent2 2 5 2 3 4" xfId="26727" xr:uid="{00000000-0005-0000-0000-0000960F0000}"/>
    <cellStyle name="20% - Accent2 2 5 2 3 5" xfId="33829" xr:uid="{00000000-0005-0000-0000-0000970F0000}"/>
    <cellStyle name="20% - Accent2 2 5 2 3 6" xfId="36420" xr:uid="{00000000-0005-0000-0000-0000980F0000}"/>
    <cellStyle name="20% - Accent2 2 5 2 4" xfId="3998" xr:uid="{00000000-0005-0000-0000-0000990F0000}"/>
    <cellStyle name="20% - Accent2 2 5 2 4 2" xfId="11104" xr:uid="{00000000-0005-0000-0000-00009A0F0000}"/>
    <cellStyle name="20% - Accent2 2 5 2 4 3" xfId="18205" xr:uid="{00000000-0005-0000-0000-00009B0F0000}"/>
    <cellStyle name="20% - Accent2 2 5 2 4 4" xfId="25307" xr:uid="{00000000-0005-0000-0000-00009C0F0000}"/>
    <cellStyle name="20% - Accent2 2 5 2 4 5" xfId="32409" xr:uid="{00000000-0005-0000-0000-00009D0F0000}"/>
    <cellStyle name="20% - Accent2 2 5 2 4 6" xfId="36421" xr:uid="{00000000-0005-0000-0000-00009E0F0000}"/>
    <cellStyle name="20% - Accent2 2 5 2 5" xfId="8264" xr:uid="{00000000-0005-0000-0000-00009F0F0000}"/>
    <cellStyle name="20% - Accent2 2 5 2 6" xfId="15365" xr:uid="{00000000-0005-0000-0000-0000A00F0000}"/>
    <cellStyle name="20% - Accent2 2 5 2 7" xfId="22467" xr:uid="{00000000-0005-0000-0000-0000A10F0000}"/>
    <cellStyle name="20% - Accent2 2 5 2 8" xfId="29569" xr:uid="{00000000-0005-0000-0000-0000A20F0000}"/>
    <cellStyle name="20% - Accent2 2 5 2 9" xfId="36422" xr:uid="{00000000-0005-0000-0000-0000A30F0000}"/>
    <cellStyle name="20% - Accent2 2 5 3" xfId="1795" xr:uid="{00000000-0005-0000-0000-0000A40F0000}"/>
    <cellStyle name="20% - Accent2 2 5 3 2" xfId="6063" xr:uid="{00000000-0005-0000-0000-0000A50F0000}"/>
    <cellStyle name="20% - Accent2 2 5 3 2 2" xfId="13163" xr:uid="{00000000-0005-0000-0000-0000A60F0000}"/>
    <cellStyle name="20% - Accent2 2 5 3 2 2 2" xfId="36423" xr:uid="{00000000-0005-0000-0000-0000A70F0000}"/>
    <cellStyle name="20% - Accent2 2 5 3 2 3" xfId="20264" xr:uid="{00000000-0005-0000-0000-0000A80F0000}"/>
    <cellStyle name="20% - Accent2 2 5 3 2 4" xfId="27366" xr:uid="{00000000-0005-0000-0000-0000A90F0000}"/>
    <cellStyle name="20% - Accent2 2 5 3 2 5" xfId="34468" xr:uid="{00000000-0005-0000-0000-0000AA0F0000}"/>
    <cellStyle name="20% - Accent2 2 5 3 2 6" xfId="36424" xr:uid="{00000000-0005-0000-0000-0000AB0F0000}"/>
    <cellStyle name="20% - Accent2 2 5 3 3" xfId="8903" xr:uid="{00000000-0005-0000-0000-0000AC0F0000}"/>
    <cellStyle name="20% - Accent2 2 5 3 3 2" xfId="36425" xr:uid="{00000000-0005-0000-0000-0000AD0F0000}"/>
    <cellStyle name="20% - Accent2 2 5 3 3 3" xfId="36426" xr:uid="{00000000-0005-0000-0000-0000AE0F0000}"/>
    <cellStyle name="20% - Accent2 2 5 3 4" xfId="16004" xr:uid="{00000000-0005-0000-0000-0000AF0F0000}"/>
    <cellStyle name="20% - Accent2 2 5 3 4 2" xfId="36427" xr:uid="{00000000-0005-0000-0000-0000B00F0000}"/>
    <cellStyle name="20% - Accent2 2 5 3 5" xfId="23106" xr:uid="{00000000-0005-0000-0000-0000B10F0000}"/>
    <cellStyle name="20% - Accent2 2 5 3 6" xfId="30208" xr:uid="{00000000-0005-0000-0000-0000B20F0000}"/>
    <cellStyle name="20% - Accent2 2 5 3 7" xfId="36428" xr:uid="{00000000-0005-0000-0000-0000B30F0000}"/>
    <cellStyle name="20% - Accent2 2 5 4" xfId="4642" xr:uid="{00000000-0005-0000-0000-0000B40F0000}"/>
    <cellStyle name="20% - Accent2 2 5 4 2" xfId="11743" xr:uid="{00000000-0005-0000-0000-0000B50F0000}"/>
    <cellStyle name="20% - Accent2 2 5 4 2 2" xfId="36429" xr:uid="{00000000-0005-0000-0000-0000B60F0000}"/>
    <cellStyle name="20% - Accent2 2 5 4 2 3" xfId="36430" xr:uid="{00000000-0005-0000-0000-0000B70F0000}"/>
    <cellStyle name="20% - Accent2 2 5 4 3" xfId="18844" xr:uid="{00000000-0005-0000-0000-0000B80F0000}"/>
    <cellStyle name="20% - Accent2 2 5 4 3 2" xfId="36431" xr:uid="{00000000-0005-0000-0000-0000B90F0000}"/>
    <cellStyle name="20% - Accent2 2 5 4 3 3" xfId="36432" xr:uid="{00000000-0005-0000-0000-0000BA0F0000}"/>
    <cellStyle name="20% - Accent2 2 5 4 4" xfId="25946" xr:uid="{00000000-0005-0000-0000-0000BB0F0000}"/>
    <cellStyle name="20% - Accent2 2 5 4 4 2" xfId="36433" xr:uid="{00000000-0005-0000-0000-0000BC0F0000}"/>
    <cellStyle name="20% - Accent2 2 5 4 5" xfId="33048" xr:uid="{00000000-0005-0000-0000-0000BD0F0000}"/>
    <cellStyle name="20% - Accent2 2 5 4 6" xfId="36434" xr:uid="{00000000-0005-0000-0000-0000BE0F0000}"/>
    <cellStyle name="20% - Accent2 2 5 5" xfId="3217" xr:uid="{00000000-0005-0000-0000-0000BF0F0000}"/>
    <cellStyle name="20% - Accent2 2 5 5 2" xfId="10323" xr:uid="{00000000-0005-0000-0000-0000C00F0000}"/>
    <cellStyle name="20% - Accent2 2 5 5 2 2" xfId="36435" xr:uid="{00000000-0005-0000-0000-0000C10F0000}"/>
    <cellStyle name="20% - Accent2 2 5 5 3" xfId="17424" xr:uid="{00000000-0005-0000-0000-0000C20F0000}"/>
    <cellStyle name="20% - Accent2 2 5 5 4" xfId="24526" xr:uid="{00000000-0005-0000-0000-0000C30F0000}"/>
    <cellStyle name="20% - Accent2 2 5 5 5" xfId="31628" xr:uid="{00000000-0005-0000-0000-0000C40F0000}"/>
    <cellStyle name="20% - Accent2 2 5 5 6" xfId="36436" xr:uid="{00000000-0005-0000-0000-0000C50F0000}"/>
    <cellStyle name="20% - Accent2 2 5 6" xfId="7483" xr:uid="{00000000-0005-0000-0000-0000C60F0000}"/>
    <cellStyle name="20% - Accent2 2 5 6 2" xfId="36437" xr:uid="{00000000-0005-0000-0000-0000C70F0000}"/>
    <cellStyle name="20% - Accent2 2 5 6 3" xfId="36438" xr:uid="{00000000-0005-0000-0000-0000C80F0000}"/>
    <cellStyle name="20% - Accent2 2 5 7" xfId="14584" xr:uid="{00000000-0005-0000-0000-0000C90F0000}"/>
    <cellStyle name="20% - Accent2 2 5 7 2" xfId="36439" xr:uid="{00000000-0005-0000-0000-0000CA0F0000}"/>
    <cellStyle name="20% - Accent2 2 5 8" xfId="21686" xr:uid="{00000000-0005-0000-0000-0000CB0F0000}"/>
    <cellStyle name="20% - Accent2 2 5 9" xfId="28788" xr:uid="{00000000-0005-0000-0000-0000CC0F0000}"/>
    <cellStyle name="20% - Accent2 2 6" xfId="517" xr:uid="{00000000-0005-0000-0000-0000CD0F0000}"/>
    <cellStyle name="20% - Accent2 2 6 2" xfId="2008" xr:uid="{00000000-0005-0000-0000-0000CE0F0000}"/>
    <cellStyle name="20% - Accent2 2 6 2 2" xfId="6276" xr:uid="{00000000-0005-0000-0000-0000CF0F0000}"/>
    <cellStyle name="20% - Accent2 2 6 2 2 2" xfId="13376" xr:uid="{00000000-0005-0000-0000-0000D00F0000}"/>
    <cellStyle name="20% - Accent2 2 6 2 2 3" xfId="20477" xr:uid="{00000000-0005-0000-0000-0000D10F0000}"/>
    <cellStyle name="20% - Accent2 2 6 2 2 4" xfId="27579" xr:uid="{00000000-0005-0000-0000-0000D20F0000}"/>
    <cellStyle name="20% - Accent2 2 6 2 2 5" xfId="34681" xr:uid="{00000000-0005-0000-0000-0000D30F0000}"/>
    <cellStyle name="20% - Accent2 2 6 2 2 6" xfId="36440" xr:uid="{00000000-0005-0000-0000-0000D40F0000}"/>
    <cellStyle name="20% - Accent2 2 6 2 3" xfId="9116" xr:uid="{00000000-0005-0000-0000-0000D50F0000}"/>
    <cellStyle name="20% - Accent2 2 6 2 4" xfId="16217" xr:uid="{00000000-0005-0000-0000-0000D60F0000}"/>
    <cellStyle name="20% - Accent2 2 6 2 5" xfId="23319" xr:uid="{00000000-0005-0000-0000-0000D70F0000}"/>
    <cellStyle name="20% - Accent2 2 6 2 6" xfId="30421" xr:uid="{00000000-0005-0000-0000-0000D80F0000}"/>
    <cellStyle name="20% - Accent2 2 6 2 7" xfId="36441" xr:uid="{00000000-0005-0000-0000-0000D90F0000}"/>
    <cellStyle name="20% - Accent2 2 6 3" xfId="4855" xr:uid="{00000000-0005-0000-0000-0000DA0F0000}"/>
    <cellStyle name="20% - Accent2 2 6 3 2" xfId="11956" xr:uid="{00000000-0005-0000-0000-0000DB0F0000}"/>
    <cellStyle name="20% - Accent2 2 6 3 2 2" xfId="36442" xr:uid="{00000000-0005-0000-0000-0000DC0F0000}"/>
    <cellStyle name="20% - Accent2 2 6 3 3" xfId="19057" xr:uid="{00000000-0005-0000-0000-0000DD0F0000}"/>
    <cellStyle name="20% - Accent2 2 6 3 4" xfId="26159" xr:uid="{00000000-0005-0000-0000-0000DE0F0000}"/>
    <cellStyle name="20% - Accent2 2 6 3 5" xfId="33261" xr:uid="{00000000-0005-0000-0000-0000DF0F0000}"/>
    <cellStyle name="20% - Accent2 2 6 3 6" xfId="36443" xr:uid="{00000000-0005-0000-0000-0000E00F0000}"/>
    <cellStyle name="20% - Accent2 2 6 4" xfId="3430" xr:uid="{00000000-0005-0000-0000-0000E10F0000}"/>
    <cellStyle name="20% - Accent2 2 6 4 2" xfId="10536" xr:uid="{00000000-0005-0000-0000-0000E20F0000}"/>
    <cellStyle name="20% - Accent2 2 6 4 3" xfId="17637" xr:uid="{00000000-0005-0000-0000-0000E30F0000}"/>
    <cellStyle name="20% - Accent2 2 6 4 4" xfId="24739" xr:uid="{00000000-0005-0000-0000-0000E40F0000}"/>
    <cellStyle name="20% - Accent2 2 6 4 5" xfId="31841" xr:uid="{00000000-0005-0000-0000-0000E50F0000}"/>
    <cellStyle name="20% - Accent2 2 6 4 6" xfId="36444" xr:uid="{00000000-0005-0000-0000-0000E60F0000}"/>
    <cellStyle name="20% - Accent2 2 6 5" xfId="7696" xr:uid="{00000000-0005-0000-0000-0000E70F0000}"/>
    <cellStyle name="20% - Accent2 2 6 6" xfId="14797" xr:uid="{00000000-0005-0000-0000-0000E80F0000}"/>
    <cellStyle name="20% - Accent2 2 6 7" xfId="21899" xr:uid="{00000000-0005-0000-0000-0000E90F0000}"/>
    <cellStyle name="20% - Accent2 2 6 8" xfId="29001" xr:uid="{00000000-0005-0000-0000-0000EA0F0000}"/>
    <cellStyle name="20% - Accent2 2 6 9" xfId="36445" xr:uid="{00000000-0005-0000-0000-0000EB0F0000}"/>
    <cellStyle name="20% - Accent2 2 7" xfId="730" xr:uid="{00000000-0005-0000-0000-0000EC0F0000}"/>
    <cellStyle name="20% - Accent2 2 7 2" xfId="2221" xr:uid="{00000000-0005-0000-0000-0000ED0F0000}"/>
    <cellStyle name="20% - Accent2 2 7 2 2" xfId="6489" xr:uid="{00000000-0005-0000-0000-0000EE0F0000}"/>
    <cellStyle name="20% - Accent2 2 7 2 2 2" xfId="13589" xr:uid="{00000000-0005-0000-0000-0000EF0F0000}"/>
    <cellStyle name="20% - Accent2 2 7 2 2 3" xfId="20690" xr:uid="{00000000-0005-0000-0000-0000F00F0000}"/>
    <cellStyle name="20% - Accent2 2 7 2 2 4" xfId="27792" xr:uid="{00000000-0005-0000-0000-0000F10F0000}"/>
    <cellStyle name="20% - Accent2 2 7 2 2 5" xfId="34894" xr:uid="{00000000-0005-0000-0000-0000F20F0000}"/>
    <cellStyle name="20% - Accent2 2 7 2 2 6" xfId="36446" xr:uid="{00000000-0005-0000-0000-0000F30F0000}"/>
    <cellStyle name="20% - Accent2 2 7 2 3" xfId="9329" xr:uid="{00000000-0005-0000-0000-0000F40F0000}"/>
    <cellStyle name="20% - Accent2 2 7 2 4" xfId="16430" xr:uid="{00000000-0005-0000-0000-0000F50F0000}"/>
    <cellStyle name="20% - Accent2 2 7 2 5" xfId="23532" xr:uid="{00000000-0005-0000-0000-0000F60F0000}"/>
    <cellStyle name="20% - Accent2 2 7 2 6" xfId="30634" xr:uid="{00000000-0005-0000-0000-0000F70F0000}"/>
    <cellStyle name="20% - Accent2 2 7 2 7" xfId="36447" xr:uid="{00000000-0005-0000-0000-0000F80F0000}"/>
    <cellStyle name="20% - Accent2 2 7 3" xfId="5068" xr:uid="{00000000-0005-0000-0000-0000F90F0000}"/>
    <cellStyle name="20% - Accent2 2 7 3 2" xfId="12169" xr:uid="{00000000-0005-0000-0000-0000FA0F0000}"/>
    <cellStyle name="20% - Accent2 2 7 3 2 2" xfId="36448" xr:uid="{00000000-0005-0000-0000-0000FB0F0000}"/>
    <cellStyle name="20% - Accent2 2 7 3 3" xfId="19270" xr:uid="{00000000-0005-0000-0000-0000FC0F0000}"/>
    <cellStyle name="20% - Accent2 2 7 3 4" xfId="26372" xr:uid="{00000000-0005-0000-0000-0000FD0F0000}"/>
    <cellStyle name="20% - Accent2 2 7 3 5" xfId="33474" xr:uid="{00000000-0005-0000-0000-0000FE0F0000}"/>
    <cellStyle name="20% - Accent2 2 7 3 6" xfId="36449" xr:uid="{00000000-0005-0000-0000-0000FF0F0000}"/>
    <cellStyle name="20% - Accent2 2 7 4" xfId="3643" xr:uid="{00000000-0005-0000-0000-000000100000}"/>
    <cellStyle name="20% - Accent2 2 7 4 2" xfId="10749" xr:uid="{00000000-0005-0000-0000-000001100000}"/>
    <cellStyle name="20% - Accent2 2 7 4 3" xfId="17850" xr:uid="{00000000-0005-0000-0000-000002100000}"/>
    <cellStyle name="20% - Accent2 2 7 4 4" xfId="24952" xr:uid="{00000000-0005-0000-0000-000003100000}"/>
    <cellStyle name="20% - Accent2 2 7 4 5" xfId="32054" xr:uid="{00000000-0005-0000-0000-000004100000}"/>
    <cellStyle name="20% - Accent2 2 7 4 6" xfId="36450" xr:uid="{00000000-0005-0000-0000-000005100000}"/>
    <cellStyle name="20% - Accent2 2 7 5" xfId="7909" xr:uid="{00000000-0005-0000-0000-000006100000}"/>
    <cellStyle name="20% - Accent2 2 7 6" xfId="15010" xr:uid="{00000000-0005-0000-0000-000007100000}"/>
    <cellStyle name="20% - Accent2 2 7 7" xfId="22112" xr:uid="{00000000-0005-0000-0000-000008100000}"/>
    <cellStyle name="20% - Accent2 2 7 8" xfId="29214" xr:uid="{00000000-0005-0000-0000-000009100000}"/>
    <cellStyle name="20% - Accent2 2 7 9" xfId="36451" xr:uid="{00000000-0005-0000-0000-00000A100000}"/>
    <cellStyle name="20% - Accent2 2 8" xfId="943" xr:uid="{00000000-0005-0000-0000-00000B100000}"/>
    <cellStyle name="20% - Accent2 2 8 2" xfId="2434" xr:uid="{00000000-0005-0000-0000-00000C100000}"/>
    <cellStyle name="20% - Accent2 2 8 2 2" xfId="6702" xr:uid="{00000000-0005-0000-0000-00000D100000}"/>
    <cellStyle name="20% - Accent2 2 8 2 2 2" xfId="13802" xr:uid="{00000000-0005-0000-0000-00000E100000}"/>
    <cellStyle name="20% - Accent2 2 8 2 2 3" xfId="20903" xr:uid="{00000000-0005-0000-0000-00000F100000}"/>
    <cellStyle name="20% - Accent2 2 8 2 2 4" xfId="28005" xr:uid="{00000000-0005-0000-0000-000010100000}"/>
    <cellStyle name="20% - Accent2 2 8 2 2 5" xfId="35107" xr:uid="{00000000-0005-0000-0000-000011100000}"/>
    <cellStyle name="20% - Accent2 2 8 2 2 6" xfId="36452" xr:uid="{00000000-0005-0000-0000-000012100000}"/>
    <cellStyle name="20% - Accent2 2 8 2 3" xfId="9542" xr:uid="{00000000-0005-0000-0000-000013100000}"/>
    <cellStyle name="20% - Accent2 2 8 2 4" xfId="16643" xr:uid="{00000000-0005-0000-0000-000014100000}"/>
    <cellStyle name="20% - Accent2 2 8 2 5" xfId="23745" xr:uid="{00000000-0005-0000-0000-000015100000}"/>
    <cellStyle name="20% - Accent2 2 8 2 6" xfId="30847" xr:uid="{00000000-0005-0000-0000-000016100000}"/>
    <cellStyle name="20% - Accent2 2 8 2 7" xfId="36453" xr:uid="{00000000-0005-0000-0000-000017100000}"/>
    <cellStyle name="20% - Accent2 2 8 3" xfId="5281" xr:uid="{00000000-0005-0000-0000-000018100000}"/>
    <cellStyle name="20% - Accent2 2 8 3 2" xfId="12382" xr:uid="{00000000-0005-0000-0000-000019100000}"/>
    <cellStyle name="20% - Accent2 2 8 3 2 2" xfId="36454" xr:uid="{00000000-0005-0000-0000-00001A100000}"/>
    <cellStyle name="20% - Accent2 2 8 3 3" xfId="19483" xr:uid="{00000000-0005-0000-0000-00001B100000}"/>
    <cellStyle name="20% - Accent2 2 8 3 4" xfId="26585" xr:uid="{00000000-0005-0000-0000-00001C100000}"/>
    <cellStyle name="20% - Accent2 2 8 3 5" xfId="33687" xr:uid="{00000000-0005-0000-0000-00001D100000}"/>
    <cellStyle name="20% - Accent2 2 8 3 6" xfId="36455" xr:uid="{00000000-0005-0000-0000-00001E100000}"/>
    <cellStyle name="20% - Accent2 2 8 4" xfId="3856" xr:uid="{00000000-0005-0000-0000-00001F100000}"/>
    <cellStyle name="20% - Accent2 2 8 4 2" xfId="10962" xr:uid="{00000000-0005-0000-0000-000020100000}"/>
    <cellStyle name="20% - Accent2 2 8 4 3" xfId="18063" xr:uid="{00000000-0005-0000-0000-000021100000}"/>
    <cellStyle name="20% - Accent2 2 8 4 4" xfId="25165" xr:uid="{00000000-0005-0000-0000-000022100000}"/>
    <cellStyle name="20% - Accent2 2 8 4 5" xfId="32267" xr:uid="{00000000-0005-0000-0000-000023100000}"/>
    <cellStyle name="20% - Accent2 2 8 4 6" xfId="36456" xr:uid="{00000000-0005-0000-0000-000024100000}"/>
    <cellStyle name="20% - Accent2 2 8 5" xfId="8122" xr:uid="{00000000-0005-0000-0000-000025100000}"/>
    <cellStyle name="20% - Accent2 2 8 6" xfId="15223" xr:uid="{00000000-0005-0000-0000-000026100000}"/>
    <cellStyle name="20% - Accent2 2 8 7" xfId="22325" xr:uid="{00000000-0005-0000-0000-000027100000}"/>
    <cellStyle name="20% - Accent2 2 8 8" xfId="29427" xr:uid="{00000000-0005-0000-0000-000028100000}"/>
    <cellStyle name="20% - Accent2 2 8 9" xfId="36457" xr:uid="{00000000-0005-0000-0000-000029100000}"/>
    <cellStyle name="20% - Accent2 2 9" xfId="1298" xr:uid="{00000000-0005-0000-0000-00002A100000}"/>
    <cellStyle name="20% - Accent2 2 9 2" xfId="2789" xr:uid="{00000000-0005-0000-0000-00002B100000}"/>
    <cellStyle name="20% - Accent2 2 9 2 2" xfId="7057" xr:uid="{00000000-0005-0000-0000-00002C100000}"/>
    <cellStyle name="20% - Accent2 2 9 2 2 2" xfId="14157" xr:uid="{00000000-0005-0000-0000-00002D100000}"/>
    <cellStyle name="20% - Accent2 2 9 2 2 3" xfId="21258" xr:uid="{00000000-0005-0000-0000-00002E100000}"/>
    <cellStyle name="20% - Accent2 2 9 2 2 4" xfId="28360" xr:uid="{00000000-0005-0000-0000-00002F100000}"/>
    <cellStyle name="20% - Accent2 2 9 2 2 5" xfId="35462" xr:uid="{00000000-0005-0000-0000-000030100000}"/>
    <cellStyle name="20% - Accent2 2 9 2 3" xfId="9897" xr:uid="{00000000-0005-0000-0000-000031100000}"/>
    <cellStyle name="20% - Accent2 2 9 2 4" xfId="16998" xr:uid="{00000000-0005-0000-0000-000032100000}"/>
    <cellStyle name="20% - Accent2 2 9 2 5" xfId="24100" xr:uid="{00000000-0005-0000-0000-000033100000}"/>
    <cellStyle name="20% - Accent2 2 9 2 6" xfId="31202" xr:uid="{00000000-0005-0000-0000-000034100000}"/>
    <cellStyle name="20% - Accent2 2 9 2 7" xfId="36458" xr:uid="{00000000-0005-0000-0000-000035100000}"/>
    <cellStyle name="20% - Accent2 2 9 3" xfId="5636" xr:uid="{00000000-0005-0000-0000-000036100000}"/>
    <cellStyle name="20% - Accent2 2 9 3 2" xfId="12737" xr:uid="{00000000-0005-0000-0000-000037100000}"/>
    <cellStyle name="20% - Accent2 2 9 3 3" xfId="19838" xr:uid="{00000000-0005-0000-0000-000038100000}"/>
    <cellStyle name="20% - Accent2 2 9 3 4" xfId="26940" xr:uid="{00000000-0005-0000-0000-000039100000}"/>
    <cellStyle name="20% - Accent2 2 9 3 5" xfId="34042" xr:uid="{00000000-0005-0000-0000-00003A100000}"/>
    <cellStyle name="20% - Accent2 2 9 4" xfId="4211" xr:uid="{00000000-0005-0000-0000-00003B100000}"/>
    <cellStyle name="20% - Accent2 2 9 4 2" xfId="11317" xr:uid="{00000000-0005-0000-0000-00003C100000}"/>
    <cellStyle name="20% - Accent2 2 9 4 3" xfId="18418" xr:uid="{00000000-0005-0000-0000-00003D100000}"/>
    <cellStyle name="20% - Accent2 2 9 4 4" xfId="25520" xr:uid="{00000000-0005-0000-0000-00003E100000}"/>
    <cellStyle name="20% - Accent2 2 9 4 5" xfId="32622" xr:uid="{00000000-0005-0000-0000-00003F100000}"/>
    <cellStyle name="20% - Accent2 2 9 5" xfId="8477" xr:uid="{00000000-0005-0000-0000-000040100000}"/>
    <cellStyle name="20% - Accent2 2 9 6" xfId="15578" xr:uid="{00000000-0005-0000-0000-000041100000}"/>
    <cellStyle name="20% - Accent2 2 9 7" xfId="22680" xr:uid="{00000000-0005-0000-0000-000042100000}"/>
    <cellStyle name="20% - Accent2 2 9 8" xfId="29782" xr:uid="{00000000-0005-0000-0000-000043100000}"/>
    <cellStyle name="20% - Accent2 2 9 9" xfId="36459" xr:uid="{00000000-0005-0000-0000-000044100000}"/>
    <cellStyle name="20% - Accent2 20" xfId="36460" xr:uid="{00000000-0005-0000-0000-000045100000}"/>
    <cellStyle name="20% - Accent2 21" xfId="36461" xr:uid="{00000000-0005-0000-0000-000046100000}"/>
    <cellStyle name="20% - Accent2 22" xfId="36462" xr:uid="{00000000-0005-0000-0000-000047100000}"/>
    <cellStyle name="20% - Accent2 23" xfId="36463" xr:uid="{00000000-0005-0000-0000-000048100000}"/>
    <cellStyle name="20% - Accent2 24" xfId="36464" xr:uid="{00000000-0005-0000-0000-000049100000}"/>
    <cellStyle name="20% - Accent2 25" xfId="36465" xr:uid="{00000000-0005-0000-0000-00004A100000}"/>
    <cellStyle name="20% - Accent2 3" xfId="99" xr:uid="{00000000-0005-0000-0000-00004B100000}"/>
    <cellStyle name="20% - Accent2 3 10" xfId="4443" xr:uid="{00000000-0005-0000-0000-00004C100000}"/>
    <cellStyle name="20% - Accent2 3 10 2" xfId="11544" xr:uid="{00000000-0005-0000-0000-00004D100000}"/>
    <cellStyle name="20% - Accent2 3 10 3" xfId="18645" xr:uid="{00000000-0005-0000-0000-00004E100000}"/>
    <cellStyle name="20% - Accent2 3 10 4" xfId="25747" xr:uid="{00000000-0005-0000-0000-00004F100000}"/>
    <cellStyle name="20% - Accent2 3 10 5" xfId="32849" xr:uid="{00000000-0005-0000-0000-000050100000}"/>
    <cellStyle name="20% - Accent2 3 11" xfId="3018" xr:uid="{00000000-0005-0000-0000-000051100000}"/>
    <cellStyle name="20% - Accent2 3 11 2" xfId="10124" xr:uid="{00000000-0005-0000-0000-000052100000}"/>
    <cellStyle name="20% - Accent2 3 11 3" xfId="17225" xr:uid="{00000000-0005-0000-0000-000053100000}"/>
    <cellStyle name="20% - Accent2 3 11 4" xfId="24327" xr:uid="{00000000-0005-0000-0000-000054100000}"/>
    <cellStyle name="20% - Accent2 3 11 5" xfId="31429" xr:uid="{00000000-0005-0000-0000-000055100000}"/>
    <cellStyle name="20% - Accent2 3 12" xfId="7284" xr:uid="{00000000-0005-0000-0000-000056100000}"/>
    <cellStyle name="20% - Accent2 3 13" xfId="14385" xr:uid="{00000000-0005-0000-0000-000057100000}"/>
    <cellStyle name="20% - Accent2 3 14" xfId="21487" xr:uid="{00000000-0005-0000-0000-000058100000}"/>
    <cellStyle name="20% - Accent2 3 15" xfId="28589" xr:uid="{00000000-0005-0000-0000-000059100000}"/>
    <cellStyle name="20% - Accent2 3 16" xfId="35691" xr:uid="{00000000-0005-0000-0000-00005A100000}"/>
    <cellStyle name="20% - Accent2 3 17" xfId="36466" xr:uid="{00000000-0005-0000-0000-00005B100000}"/>
    <cellStyle name="20% - Accent2 3 18" xfId="36467" xr:uid="{00000000-0005-0000-0000-00005C100000}"/>
    <cellStyle name="20% - Accent2 3 2" xfId="247" xr:uid="{00000000-0005-0000-0000-00005D100000}"/>
    <cellStyle name="20% - Accent2 3 2 10" xfId="7426" xr:uid="{00000000-0005-0000-0000-00005E100000}"/>
    <cellStyle name="20% - Accent2 3 2 11" xfId="14527" xr:uid="{00000000-0005-0000-0000-00005F100000}"/>
    <cellStyle name="20% - Accent2 3 2 12" xfId="21629" xr:uid="{00000000-0005-0000-0000-000060100000}"/>
    <cellStyle name="20% - Accent2 3 2 13" xfId="28731" xr:uid="{00000000-0005-0000-0000-000061100000}"/>
    <cellStyle name="20% - Accent2 3 2 14" xfId="35833" xr:uid="{00000000-0005-0000-0000-000062100000}"/>
    <cellStyle name="20% - Accent2 3 2 15" xfId="36468" xr:uid="{00000000-0005-0000-0000-000063100000}"/>
    <cellStyle name="20% - Accent2 3 2 2" xfId="460" xr:uid="{00000000-0005-0000-0000-000064100000}"/>
    <cellStyle name="20% - Accent2 3 2 2 10" xfId="36469" xr:uid="{00000000-0005-0000-0000-000065100000}"/>
    <cellStyle name="20% - Accent2 3 2 2 2" xfId="1241" xr:uid="{00000000-0005-0000-0000-000066100000}"/>
    <cellStyle name="20% - Accent2 3 2 2 2 2" xfId="2732" xr:uid="{00000000-0005-0000-0000-000067100000}"/>
    <cellStyle name="20% - Accent2 3 2 2 2 2 2" xfId="7000" xr:uid="{00000000-0005-0000-0000-000068100000}"/>
    <cellStyle name="20% - Accent2 3 2 2 2 2 2 2" xfId="14100" xr:uid="{00000000-0005-0000-0000-000069100000}"/>
    <cellStyle name="20% - Accent2 3 2 2 2 2 2 3" xfId="21201" xr:uid="{00000000-0005-0000-0000-00006A100000}"/>
    <cellStyle name="20% - Accent2 3 2 2 2 2 2 4" xfId="28303" xr:uid="{00000000-0005-0000-0000-00006B100000}"/>
    <cellStyle name="20% - Accent2 3 2 2 2 2 2 5" xfId="35405" xr:uid="{00000000-0005-0000-0000-00006C100000}"/>
    <cellStyle name="20% - Accent2 3 2 2 2 2 3" xfId="9840" xr:uid="{00000000-0005-0000-0000-00006D100000}"/>
    <cellStyle name="20% - Accent2 3 2 2 2 2 4" xfId="16941" xr:uid="{00000000-0005-0000-0000-00006E100000}"/>
    <cellStyle name="20% - Accent2 3 2 2 2 2 5" xfId="24043" xr:uid="{00000000-0005-0000-0000-00006F100000}"/>
    <cellStyle name="20% - Accent2 3 2 2 2 2 6" xfId="31145" xr:uid="{00000000-0005-0000-0000-000070100000}"/>
    <cellStyle name="20% - Accent2 3 2 2 2 2 7" xfId="36470" xr:uid="{00000000-0005-0000-0000-000071100000}"/>
    <cellStyle name="20% - Accent2 3 2 2 2 3" xfId="5579" xr:uid="{00000000-0005-0000-0000-000072100000}"/>
    <cellStyle name="20% - Accent2 3 2 2 2 3 2" xfId="12680" xr:uid="{00000000-0005-0000-0000-000073100000}"/>
    <cellStyle name="20% - Accent2 3 2 2 2 3 3" xfId="19781" xr:uid="{00000000-0005-0000-0000-000074100000}"/>
    <cellStyle name="20% - Accent2 3 2 2 2 3 4" xfId="26883" xr:uid="{00000000-0005-0000-0000-000075100000}"/>
    <cellStyle name="20% - Accent2 3 2 2 2 3 5" xfId="33985" xr:uid="{00000000-0005-0000-0000-000076100000}"/>
    <cellStyle name="20% - Accent2 3 2 2 2 4" xfId="4154" xr:uid="{00000000-0005-0000-0000-000077100000}"/>
    <cellStyle name="20% - Accent2 3 2 2 2 4 2" xfId="11260" xr:uid="{00000000-0005-0000-0000-000078100000}"/>
    <cellStyle name="20% - Accent2 3 2 2 2 4 3" xfId="18361" xr:uid="{00000000-0005-0000-0000-000079100000}"/>
    <cellStyle name="20% - Accent2 3 2 2 2 4 4" xfId="25463" xr:uid="{00000000-0005-0000-0000-00007A100000}"/>
    <cellStyle name="20% - Accent2 3 2 2 2 4 5" xfId="32565" xr:uid="{00000000-0005-0000-0000-00007B100000}"/>
    <cellStyle name="20% - Accent2 3 2 2 2 5" xfId="8420" xr:uid="{00000000-0005-0000-0000-00007C100000}"/>
    <cellStyle name="20% - Accent2 3 2 2 2 6" xfId="15521" xr:uid="{00000000-0005-0000-0000-00007D100000}"/>
    <cellStyle name="20% - Accent2 3 2 2 2 7" xfId="22623" xr:uid="{00000000-0005-0000-0000-00007E100000}"/>
    <cellStyle name="20% - Accent2 3 2 2 2 8" xfId="29725" xr:uid="{00000000-0005-0000-0000-00007F100000}"/>
    <cellStyle name="20% - Accent2 3 2 2 2 9" xfId="36471" xr:uid="{00000000-0005-0000-0000-000080100000}"/>
    <cellStyle name="20% - Accent2 3 2 2 3" xfId="1951" xr:uid="{00000000-0005-0000-0000-000081100000}"/>
    <cellStyle name="20% - Accent2 3 2 2 3 2" xfId="6219" xr:uid="{00000000-0005-0000-0000-000082100000}"/>
    <cellStyle name="20% - Accent2 3 2 2 3 2 2" xfId="13319" xr:uid="{00000000-0005-0000-0000-000083100000}"/>
    <cellStyle name="20% - Accent2 3 2 2 3 2 3" xfId="20420" xr:uid="{00000000-0005-0000-0000-000084100000}"/>
    <cellStyle name="20% - Accent2 3 2 2 3 2 4" xfId="27522" xr:uid="{00000000-0005-0000-0000-000085100000}"/>
    <cellStyle name="20% - Accent2 3 2 2 3 2 5" xfId="34624" xr:uid="{00000000-0005-0000-0000-000086100000}"/>
    <cellStyle name="20% - Accent2 3 2 2 3 2 6" xfId="36472" xr:uid="{00000000-0005-0000-0000-000087100000}"/>
    <cellStyle name="20% - Accent2 3 2 2 3 3" xfId="9059" xr:uid="{00000000-0005-0000-0000-000088100000}"/>
    <cellStyle name="20% - Accent2 3 2 2 3 4" xfId="16160" xr:uid="{00000000-0005-0000-0000-000089100000}"/>
    <cellStyle name="20% - Accent2 3 2 2 3 5" xfId="23262" xr:uid="{00000000-0005-0000-0000-00008A100000}"/>
    <cellStyle name="20% - Accent2 3 2 2 3 6" xfId="30364" xr:uid="{00000000-0005-0000-0000-00008B100000}"/>
    <cellStyle name="20% - Accent2 3 2 2 3 7" xfId="36473" xr:uid="{00000000-0005-0000-0000-00008C100000}"/>
    <cellStyle name="20% - Accent2 3 2 2 4" xfId="4798" xr:uid="{00000000-0005-0000-0000-00008D100000}"/>
    <cellStyle name="20% - Accent2 3 2 2 4 2" xfId="11899" xr:uid="{00000000-0005-0000-0000-00008E100000}"/>
    <cellStyle name="20% - Accent2 3 2 2 4 3" xfId="19000" xr:uid="{00000000-0005-0000-0000-00008F100000}"/>
    <cellStyle name="20% - Accent2 3 2 2 4 4" xfId="26102" xr:uid="{00000000-0005-0000-0000-000090100000}"/>
    <cellStyle name="20% - Accent2 3 2 2 4 5" xfId="33204" xr:uid="{00000000-0005-0000-0000-000091100000}"/>
    <cellStyle name="20% - Accent2 3 2 2 4 6" xfId="36474" xr:uid="{00000000-0005-0000-0000-000092100000}"/>
    <cellStyle name="20% - Accent2 3 2 2 5" xfId="3373" xr:uid="{00000000-0005-0000-0000-000093100000}"/>
    <cellStyle name="20% - Accent2 3 2 2 5 2" xfId="10479" xr:uid="{00000000-0005-0000-0000-000094100000}"/>
    <cellStyle name="20% - Accent2 3 2 2 5 3" xfId="17580" xr:uid="{00000000-0005-0000-0000-000095100000}"/>
    <cellStyle name="20% - Accent2 3 2 2 5 4" xfId="24682" xr:uid="{00000000-0005-0000-0000-000096100000}"/>
    <cellStyle name="20% - Accent2 3 2 2 5 5" xfId="31784" xr:uid="{00000000-0005-0000-0000-000097100000}"/>
    <cellStyle name="20% - Accent2 3 2 2 6" xfId="7639" xr:uid="{00000000-0005-0000-0000-000098100000}"/>
    <cellStyle name="20% - Accent2 3 2 2 7" xfId="14740" xr:uid="{00000000-0005-0000-0000-000099100000}"/>
    <cellStyle name="20% - Accent2 3 2 2 8" xfId="21842" xr:uid="{00000000-0005-0000-0000-00009A100000}"/>
    <cellStyle name="20% - Accent2 3 2 2 9" xfId="28944" xr:uid="{00000000-0005-0000-0000-00009B100000}"/>
    <cellStyle name="20% - Accent2 3 2 3" xfId="673" xr:uid="{00000000-0005-0000-0000-00009C100000}"/>
    <cellStyle name="20% - Accent2 3 2 3 2" xfId="2164" xr:uid="{00000000-0005-0000-0000-00009D100000}"/>
    <cellStyle name="20% - Accent2 3 2 3 2 2" xfId="6432" xr:uid="{00000000-0005-0000-0000-00009E100000}"/>
    <cellStyle name="20% - Accent2 3 2 3 2 2 2" xfId="13532" xr:uid="{00000000-0005-0000-0000-00009F100000}"/>
    <cellStyle name="20% - Accent2 3 2 3 2 2 3" xfId="20633" xr:uid="{00000000-0005-0000-0000-0000A0100000}"/>
    <cellStyle name="20% - Accent2 3 2 3 2 2 4" xfId="27735" xr:uid="{00000000-0005-0000-0000-0000A1100000}"/>
    <cellStyle name="20% - Accent2 3 2 3 2 2 5" xfId="34837" xr:uid="{00000000-0005-0000-0000-0000A2100000}"/>
    <cellStyle name="20% - Accent2 3 2 3 2 2 6" xfId="36475" xr:uid="{00000000-0005-0000-0000-0000A3100000}"/>
    <cellStyle name="20% - Accent2 3 2 3 2 3" xfId="9272" xr:uid="{00000000-0005-0000-0000-0000A4100000}"/>
    <cellStyle name="20% - Accent2 3 2 3 2 4" xfId="16373" xr:uid="{00000000-0005-0000-0000-0000A5100000}"/>
    <cellStyle name="20% - Accent2 3 2 3 2 5" xfId="23475" xr:uid="{00000000-0005-0000-0000-0000A6100000}"/>
    <cellStyle name="20% - Accent2 3 2 3 2 6" xfId="30577" xr:uid="{00000000-0005-0000-0000-0000A7100000}"/>
    <cellStyle name="20% - Accent2 3 2 3 2 7" xfId="36476" xr:uid="{00000000-0005-0000-0000-0000A8100000}"/>
    <cellStyle name="20% - Accent2 3 2 3 3" xfId="5011" xr:uid="{00000000-0005-0000-0000-0000A9100000}"/>
    <cellStyle name="20% - Accent2 3 2 3 3 2" xfId="12112" xr:uid="{00000000-0005-0000-0000-0000AA100000}"/>
    <cellStyle name="20% - Accent2 3 2 3 3 2 2" xfId="36477" xr:uid="{00000000-0005-0000-0000-0000AB100000}"/>
    <cellStyle name="20% - Accent2 3 2 3 3 3" xfId="19213" xr:uid="{00000000-0005-0000-0000-0000AC100000}"/>
    <cellStyle name="20% - Accent2 3 2 3 3 4" xfId="26315" xr:uid="{00000000-0005-0000-0000-0000AD100000}"/>
    <cellStyle name="20% - Accent2 3 2 3 3 5" xfId="33417" xr:uid="{00000000-0005-0000-0000-0000AE100000}"/>
    <cellStyle name="20% - Accent2 3 2 3 3 6" xfId="36478" xr:uid="{00000000-0005-0000-0000-0000AF100000}"/>
    <cellStyle name="20% - Accent2 3 2 3 4" xfId="3586" xr:uid="{00000000-0005-0000-0000-0000B0100000}"/>
    <cellStyle name="20% - Accent2 3 2 3 4 2" xfId="10692" xr:uid="{00000000-0005-0000-0000-0000B1100000}"/>
    <cellStyle name="20% - Accent2 3 2 3 4 3" xfId="17793" xr:uid="{00000000-0005-0000-0000-0000B2100000}"/>
    <cellStyle name="20% - Accent2 3 2 3 4 4" xfId="24895" xr:uid="{00000000-0005-0000-0000-0000B3100000}"/>
    <cellStyle name="20% - Accent2 3 2 3 4 5" xfId="31997" xr:uid="{00000000-0005-0000-0000-0000B4100000}"/>
    <cellStyle name="20% - Accent2 3 2 3 4 6" xfId="36479" xr:uid="{00000000-0005-0000-0000-0000B5100000}"/>
    <cellStyle name="20% - Accent2 3 2 3 5" xfId="7852" xr:uid="{00000000-0005-0000-0000-0000B6100000}"/>
    <cellStyle name="20% - Accent2 3 2 3 6" xfId="14953" xr:uid="{00000000-0005-0000-0000-0000B7100000}"/>
    <cellStyle name="20% - Accent2 3 2 3 7" xfId="22055" xr:uid="{00000000-0005-0000-0000-0000B8100000}"/>
    <cellStyle name="20% - Accent2 3 2 3 8" xfId="29157" xr:uid="{00000000-0005-0000-0000-0000B9100000}"/>
    <cellStyle name="20% - Accent2 3 2 3 9" xfId="36480" xr:uid="{00000000-0005-0000-0000-0000BA100000}"/>
    <cellStyle name="20% - Accent2 3 2 4" xfId="886" xr:uid="{00000000-0005-0000-0000-0000BB100000}"/>
    <cellStyle name="20% - Accent2 3 2 4 2" xfId="2377" xr:uid="{00000000-0005-0000-0000-0000BC100000}"/>
    <cellStyle name="20% - Accent2 3 2 4 2 2" xfId="6645" xr:uid="{00000000-0005-0000-0000-0000BD100000}"/>
    <cellStyle name="20% - Accent2 3 2 4 2 2 2" xfId="13745" xr:uid="{00000000-0005-0000-0000-0000BE100000}"/>
    <cellStyle name="20% - Accent2 3 2 4 2 2 3" xfId="20846" xr:uid="{00000000-0005-0000-0000-0000BF100000}"/>
    <cellStyle name="20% - Accent2 3 2 4 2 2 4" xfId="27948" xr:uid="{00000000-0005-0000-0000-0000C0100000}"/>
    <cellStyle name="20% - Accent2 3 2 4 2 2 5" xfId="35050" xr:uid="{00000000-0005-0000-0000-0000C1100000}"/>
    <cellStyle name="20% - Accent2 3 2 4 2 2 6" xfId="36481" xr:uid="{00000000-0005-0000-0000-0000C2100000}"/>
    <cellStyle name="20% - Accent2 3 2 4 2 3" xfId="9485" xr:uid="{00000000-0005-0000-0000-0000C3100000}"/>
    <cellStyle name="20% - Accent2 3 2 4 2 4" xfId="16586" xr:uid="{00000000-0005-0000-0000-0000C4100000}"/>
    <cellStyle name="20% - Accent2 3 2 4 2 5" xfId="23688" xr:uid="{00000000-0005-0000-0000-0000C5100000}"/>
    <cellStyle name="20% - Accent2 3 2 4 2 6" xfId="30790" xr:uid="{00000000-0005-0000-0000-0000C6100000}"/>
    <cellStyle name="20% - Accent2 3 2 4 2 7" xfId="36482" xr:uid="{00000000-0005-0000-0000-0000C7100000}"/>
    <cellStyle name="20% - Accent2 3 2 4 3" xfId="5224" xr:uid="{00000000-0005-0000-0000-0000C8100000}"/>
    <cellStyle name="20% - Accent2 3 2 4 3 2" xfId="12325" xr:uid="{00000000-0005-0000-0000-0000C9100000}"/>
    <cellStyle name="20% - Accent2 3 2 4 3 2 2" xfId="36483" xr:uid="{00000000-0005-0000-0000-0000CA100000}"/>
    <cellStyle name="20% - Accent2 3 2 4 3 3" xfId="19426" xr:uid="{00000000-0005-0000-0000-0000CB100000}"/>
    <cellStyle name="20% - Accent2 3 2 4 3 4" xfId="26528" xr:uid="{00000000-0005-0000-0000-0000CC100000}"/>
    <cellStyle name="20% - Accent2 3 2 4 3 5" xfId="33630" xr:uid="{00000000-0005-0000-0000-0000CD100000}"/>
    <cellStyle name="20% - Accent2 3 2 4 3 6" xfId="36484" xr:uid="{00000000-0005-0000-0000-0000CE100000}"/>
    <cellStyle name="20% - Accent2 3 2 4 4" xfId="3799" xr:uid="{00000000-0005-0000-0000-0000CF100000}"/>
    <cellStyle name="20% - Accent2 3 2 4 4 2" xfId="10905" xr:uid="{00000000-0005-0000-0000-0000D0100000}"/>
    <cellStyle name="20% - Accent2 3 2 4 4 3" xfId="18006" xr:uid="{00000000-0005-0000-0000-0000D1100000}"/>
    <cellStyle name="20% - Accent2 3 2 4 4 4" xfId="25108" xr:uid="{00000000-0005-0000-0000-0000D2100000}"/>
    <cellStyle name="20% - Accent2 3 2 4 4 5" xfId="32210" xr:uid="{00000000-0005-0000-0000-0000D3100000}"/>
    <cellStyle name="20% - Accent2 3 2 4 4 6" xfId="36485" xr:uid="{00000000-0005-0000-0000-0000D4100000}"/>
    <cellStyle name="20% - Accent2 3 2 4 5" xfId="8065" xr:uid="{00000000-0005-0000-0000-0000D5100000}"/>
    <cellStyle name="20% - Accent2 3 2 4 6" xfId="15166" xr:uid="{00000000-0005-0000-0000-0000D6100000}"/>
    <cellStyle name="20% - Accent2 3 2 4 7" xfId="22268" xr:uid="{00000000-0005-0000-0000-0000D7100000}"/>
    <cellStyle name="20% - Accent2 3 2 4 8" xfId="29370" xr:uid="{00000000-0005-0000-0000-0000D8100000}"/>
    <cellStyle name="20% - Accent2 3 2 4 9" xfId="36486" xr:uid="{00000000-0005-0000-0000-0000D9100000}"/>
    <cellStyle name="20% - Accent2 3 2 5" xfId="1028" xr:uid="{00000000-0005-0000-0000-0000DA100000}"/>
    <cellStyle name="20% - Accent2 3 2 5 2" xfId="2519" xr:uid="{00000000-0005-0000-0000-0000DB100000}"/>
    <cellStyle name="20% - Accent2 3 2 5 2 2" xfId="6787" xr:uid="{00000000-0005-0000-0000-0000DC100000}"/>
    <cellStyle name="20% - Accent2 3 2 5 2 2 2" xfId="13887" xr:uid="{00000000-0005-0000-0000-0000DD100000}"/>
    <cellStyle name="20% - Accent2 3 2 5 2 2 3" xfId="20988" xr:uid="{00000000-0005-0000-0000-0000DE100000}"/>
    <cellStyle name="20% - Accent2 3 2 5 2 2 4" xfId="28090" xr:uid="{00000000-0005-0000-0000-0000DF100000}"/>
    <cellStyle name="20% - Accent2 3 2 5 2 2 5" xfId="35192" xr:uid="{00000000-0005-0000-0000-0000E0100000}"/>
    <cellStyle name="20% - Accent2 3 2 5 2 3" xfId="9627" xr:uid="{00000000-0005-0000-0000-0000E1100000}"/>
    <cellStyle name="20% - Accent2 3 2 5 2 4" xfId="16728" xr:uid="{00000000-0005-0000-0000-0000E2100000}"/>
    <cellStyle name="20% - Accent2 3 2 5 2 5" xfId="23830" xr:uid="{00000000-0005-0000-0000-0000E3100000}"/>
    <cellStyle name="20% - Accent2 3 2 5 2 6" xfId="30932" xr:uid="{00000000-0005-0000-0000-0000E4100000}"/>
    <cellStyle name="20% - Accent2 3 2 5 2 7" xfId="36487" xr:uid="{00000000-0005-0000-0000-0000E5100000}"/>
    <cellStyle name="20% - Accent2 3 2 5 3" xfId="5366" xr:uid="{00000000-0005-0000-0000-0000E6100000}"/>
    <cellStyle name="20% - Accent2 3 2 5 3 2" xfId="12467" xr:uid="{00000000-0005-0000-0000-0000E7100000}"/>
    <cellStyle name="20% - Accent2 3 2 5 3 3" xfId="19568" xr:uid="{00000000-0005-0000-0000-0000E8100000}"/>
    <cellStyle name="20% - Accent2 3 2 5 3 4" xfId="26670" xr:uid="{00000000-0005-0000-0000-0000E9100000}"/>
    <cellStyle name="20% - Accent2 3 2 5 3 5" xfId="33772" xr:uid="{00000000-0005-0000-0000-0000EA100000}"/>
    <cellStyle name="20% - Accent2 3 2 5 4" xfId="3941" xr:uid="{00000000-0005-0000-0000-0000EB100000}"/>
    <cellStyle name="20% - Accent2 3 2 5 4 2" xfId="11047" xr:uid="{00000000-0005-0000-0000-0000EC100000}"/>
    <cellStyle name="20% - Accent2 3 2 5 4 3" xfId="18148" xr:uid="{00000000-0005-0000-0000-0000ED100000}"/>
    <cellStyle name="20% - Accent2 3 2 5 4 4" xfId="25250" xr:uid="{00000000-0005-0000-0000-0000EE100000}"/>
    <cellStyle name="20% - Accent2 3 2 5 4 5" xfId="32352" xr:uid="{00000000-0005-0000-0000-0000EF100000}"/>
    <cellStyle name="20% - Accent2 3 2 5 5" xfId="8207" xr:uid="{00000000-0005-0000-0000-0000F0100000}"/>
    <cellStyle name="20% - Accent2 3 2 5 6" xfId="15308" xr:uid="{00000000-0005-0000-0000-0000F1100000}"/>
    <cellStyle name="20% - Accent2 3 2 5 7" xfId="22410" xr:uid="{00000000-0005-0000-0000-0000F2100000}"/>
    <cellStyle name="20% - Accent2 3 2 5 8" xfId="29512" xr:uid="{00000000-0005-0000-0000-0000F3100000}"/>
    <cellStyle name="20% - Accent2 3 2 5 9" xfId="36488" xr:uid="{00000000-0005-0000-0000-0000F4100000}"/>
    <cellStyle name="20% - Accent2 3 2 6" xfId="1454" xr:uid="{00000000-0005-0000-0000-0000F5100000}"/>
    <cellStyle name="20% - Accent2 3 2 6 2" xfId="2945" xr:uid="{00000000-0005-0000-0000-0000F6100000}"/>
    <cellStyle name="20% - Accent2 3 2 6 2 2" xfId="7213" xr:uid="{00000000-0005-0000-0000-0000F7100000}"/>
    <cellStyle name="20% - Accent2 3 2 6 2 2 2" xfId="14313" xr:uid="{00000000-0005-0000-0000-0000F8100000}"/>
    <cellStyle name="20% - Accent2 3 2 6 2 2 3" xfId="21414" xr:uid="{00000000-0005-0000-0000-0000F9100000}"/>
    <cellStyle name="20% - Accent2 3 2 6 2 2 4" xfId="28516" xr:uid="{00000000-0005-0000-0000-0000FA100000}"/>
    <cellStyle name="20% - Accent2 3 2 6 2 2 5" xfId="35618" xr:uid="{00000000-0005-0000-0000-0000FB100000}"/>
    <cellStyle name="20% - Accent2 3 2 6 2 3" xfId="10053" xr:uid="{00000000-0005-0000-0000-0000FC100000}"/>
    <cellStyle name="20% - Accent2 3 2 6 2 4" xfId="17154" xr:uid="{00000000-0005-0000-0000-0000FD100000}"/>
    <cellStyle name="20% - Accent2 3 2 6 2 5" xfId="24256" xr:uid="{00000000-0005-0000-0000-0000FE100000}"/>
    <cellStyle name="20% - Accent2 3 2 6 2 6" xfId="31358" xr:uid="{00000000-0005-0000-0000-0000FF100000}"/>
    <cellStyle name="20% - Accent2 3 2 6 2 7" xfId="36489" xr:uid="{00000000-0005-0000-0000-000000110000}"/>
    <cellStyle name="20% - Accent2 3 2 6 3" xfId="5792" xr:uid="{00000000-0005-0000-0000-000001110000}"/>
    <cellStyle name="20% - Accent2 3 2 6 3 2" xfId="12893" xr:uid="{00000000-0005-0000-0000-000002110000}"/>
    <cellStyle name="20% - Accent2 3 2 6 3 3" xfId="19994" xr:uid="{00000000-0005-0000-0000-000003110000}"/>
    <cellStyle name="20% - Accent2 3 2 6 3 4" xfId="27096" xr:uid="{00000000-0005-0000-0000-000004110000}"/>
    <cellStyle name="20% - Accent2 3 2 6 3 5" xfId="34198" xr:uid="{00000000-0005-0000-0000-000005110000}"/>
    <cellStyle name="20% - Accent2 3 2 6 4" xfId="4367" xr:uid="{00000000-0005-0000-0000-000006110000}"/>
    <cellStyle name="20% - Accent2 3 2 6 4 2" xfId="11473" xr:uid="{00000000-0005-0000-0000-000007110000}"/>
    <cellStyle name="20% - Accent2 3 2 6 4 3" xfId="18574" xr:uid="{00000000-0005-0000-0000-000008110000}"/>
    <cellStyle name="20% - Accent2 3 2 6 4 4" xfId="25676" xr:uid="{00000000-0005-0000-0000-000009110000}"/>
    <cellStyle name="20% - Accent2 3 2 6 4 5" xfId="32778" xr:uid="{00000000-0005-0000-0000-00000A110000}"/>
    <cellStyle name="20% - Accent2 3 2 6 5" xfId="8633" xr:uid="{00000000-0005-0000-0000-00000B110000}"/>
    <cellStyle name="20% - Accent2 3 2 6 6" xfId="15734" xr:uid="{00000000-0005-0000-0000-00000C110000}"/>
    <cellStyle name="20% - Accent2 3 2 6 7" xfId="22836" xr:uid="{00000000-0005-0000-0000-00000D110000}"/>
    <cellStyle name="20% - Accent2 3 2 6 8" xfId="29938" xr:uid="{00000000-0005-0000-0000-00000E110000}"/>
    <cellStyle name="20% - Accent2 3 2 6 9" xfId="36490" xr:uid="{00000000-0005-0000-0000-00000F110000}"/>
    <cellStyle name="20% - Accent2 3 2 7" xfId="1738" xr:uid="{00000000-0005-0000-0000-000010110000}"/>
    <cellStyle name="20% - Accent2 3 2 7 2" xfId="6006" xr:uid="{00000000-0005-0000-0000-000011110000}"/>
    <cellStyle name="20% - Accent2 3 2 7 2 2" xfId="13106" xr:uid="{00000000-0005-0000-0000-000012110000}"/>
    <cellStyle name="20% - Accent2 3 2 7 2 3" xfId="20207" xr:uid="{00000000-0005-0000-0000-000013110000}"/>
    <cellStyle name="20% - Accent2 3 2 7 2 4" xfId="27309" xr:uid="{00000000-0005-0000-0000-000014110000}"/>
    <cellStyle name="20% - Accent2 3 2 7 2 5" xfId="34411" xr:uid="{00000000-0005-0000-0000-000015110000}"/>
    <cellStyle name="20% - Accent2 3 2 7 3" xfId="8846" xr:uid="{00000000-0005-0000-0000-000016110000}"/>
    <cellStyle name="20% - Accent2 3 2 7 4" xfId="15947" xr:uid="{00000000-0005-0000-0000-000017110000}"/>
    <cellStyle name="20% - Accent2 3 2 7 5" xfId="23049" xr:uid="{00000000-0005-0000-0000-000018110000}"/>
    <cellStyle name="20% - Accent2 3 2 7 6" xfId="30151" xr:uid="{00000000-0005-0000-0000-000019110000}"/>
    <cellStyle name="20% - Accent2 3 2 7 7" xfId="36491" xr:uid="{00000000-0005-0000-0000-00001A110000}"/>
    <cellStyle name="20% - Accent2 3 2 8" xfId="4585" xr:uid="{00000000-0005-0000-0000-00001B110000}"/>
    <cellStyle name="20% - Accent2 3 2 8 2" xfId="11686" xr:uid="{00000000-0005-0000-0000-00001C110000}"/>
    <cellStyle name="20% - Accent2 3 2 8 3" xfId="18787" xr:uid="{00000000-0005-0000-0000-00001D110000}"/>
    <cellStyle name="20% - Accent2 3 2 8 4" xfId="25889" xr:uid="{00000000-0005-0000-0000-00001E110000}"/>
    <cellStyle name="20% - Accent2 3 2 8 5" xfId="32991" xr:uid="{00000000-0005-0000-0000-00001F110000}"/>
    <cellStyle name="20% - Accent2 3 2 9" xfId="3160" xr:uid="{00000000-0005-0000-0000-000020110000}"/>
    <cellStyle name="20% - Accent2 3 2 9 2" xfId="10266" xr:uid="{00000000-0005-0000-0000-000021110000}"/>
    <cellStyle name="20% - Accent2 3 2 9 3" xfId="17367" xr:uid="{00000000-0005-0000-0000-000022110000}"/>
    <cellStyle name="20% - Accent2 3 2 9 4" xfId="24469" xr:uid="{00000000-0005-0000-0000-000023110000}"/>
    <cellStyle name="20% - Accent2 3 2 9 5" xfId="31571" xr:uid="{00000000-0005-0000-0000-000024110000}"/>
    <cellStyle name="20% - Accent2 3 3" xfId="176" xr:uid="{00000000-0005-0000-0000-000025110000}"/>
    <cellStyle name="20% - Accent2 3 3 10" xfId="7355" xr:uid="{00000000-0005-0000-0000-000026110000}"/>
    <cellStyle name="20% - Accent2 3 3 11" xfId="14456" xr:uid="{00000000-0005-0000-0000-000027110000}"/>
    <cellStyle name="20% - Accent2 3 3 12" xfId="21558" xr:uid="{00000000-0005-0000-0000-000028110000}"/>
    <cellStyle name="20% - Accent2 3 3 13" xfId="28660" xr:uid="{00000000-0005-0000-0000-000029110000}"/>
    <cellStyle name="20% - Accent2 3 3 14" xfId="35762" xr:uid="{00000000-0005-0000-0000-00002A110000}"/>
    <cellStyle name="20% - Accent2 3 3 15" xfId="36492" xr:uid="{00000000-0005-0000-0000-00002B110000}"/>
    <cellStyle name="20% - Accent2 3 3 2" xfId="389" xr:uid="{00000000-0005-0000-0000-00002C110000}"/>
    <cellStyle name="20% - Accent2 3 3 2 2" xfId="1880" xr:uid="{00000000-0005-0000-0000-00002D110000}"/>
    <cellStyle name="20% - Accent2 3 3 2 2 2" xfId="6148" xr:uid="{00000000-0005-0000-0000-00002E110000}"/>
    <cellStyle name="20% - Accent2 3 3 2 2 2 2" xfId="13248" xr:uid="{00000000-0005-0000-0000-00002F110000}"/>
    <cellStyle name="20% - Accent2 3 3 2 2 2 3" xfId="20349" xr:uid="{00000000-0005-0000-0000-000030110000}"/>
    <cellStyle name="20% - Accent2 3 3 2 2 2 4" xfId="27451" xr:uid="{00000000-0005-0000-0000-000031110000}"/>
    <cellStyle name="20% - Accent2 3 3 2 2 2 5" xfId="34553" xr:uid="{00000000-0005-0000-0000-000032110000}"/>
    <cellStyle name="20% - Accent2 3 3 2 2 2 6" xfId="36493" xr:uid="{00000000-0005-0000-0000-000033110000}"/>
    <cellStyle name="20% - Accent2 3 3 2 2 3" xfId="8988" xr:uid="{00000000-0005-0000-0000-000034110000}"/>
    <cellStyle name="20% - Accent2 3 3 2 2 4" xfId="16089" xr:uid="{00000000-0005-0000-0000-000035110000}"/>
    <cellStyle name="20% - Accent2 3 3 2 2 5" xfId="23191" xr:uid="{00000000-0005-0000-0000-000036110000}"/>
    <cellStyle name="20% - Accent2 3 3 2 2 6" xfId="30293" xr:uid="{00000000-0005-0000-0000-000037110000}"/>
    <cellStyle name="20% - Accent2 3 3 2 2 7" xfId="36494" xr:uid="{00000000-0005-0000-0000-000038110000}"/>
    <cellStyle name="20% - Accent2 3 3 2 3" xfId="4727" xr:uid="{00000000-0005-0000-0000-000039110000}"/>
    <cellStyle name="20% - Accent2 3 3 2 3 2" xfId="11828" xr:uid="{00000000-0005-0000-0000-00003A110000}"/>
    <cellStyle name="20% - Accent2 3 3 2 3 2 2" xfId="36495" xr:uid="{00000000-0005-0000-0000-00003B110000}"/>
    <cellStyle name="20% - Accent2 3 3 2 3 3" xfId="18929" xr:uid="{00000000-0005-0000-0000-00003C110000}"/>
    <cellStyle name="20% - Accent2 3 3 2 3 4" xfId="26031" xr:uid="{00000000-0005-0000-0000-00003D110000}"/>
    <cellStyle name="20% - Accent2 3 3 2 3 5" xfId="33133" xr:uid="{00000000-0005-0000-0000-00003E110000}"/>
    <cellStyle name="20% - Accent2 3 3 2 3 6" xfId="36496" xr:uid="{00000000-0005-0000-0000-00003F110000}"/>
    <cellStyle name="20% - Accent2 3 3 2 4" xfId="3302" xr:uid="{00000000-0005-0000-0000-000040110000}"/>
    <cellStyle name="20% - Accent2 3 3 2 4 2" xfId="10408" xr:uid="{00000000-0005-0000-0000-000041110000}"/>
    <cellStyle name="20% - Accent2 3 3 2 4 3" xfId="17509" xr:uid="{00000000-0005-0000-0000-000042110000}"/>
    <cellStyle name="20% - Accent2 3 3 2 4 4" xfId="24611" xr:uid="{00000000-0005-0000-0000-000043110000}"/>
    <cellStyle name="20% - Accent2 3 3 2 4 5" xfId="31713" xr:uid="{00000000-0005-0000-0000-000044110000}"/>
    <cellStyle name="20% - Accent2 3 3 2 4 6" xfId="36497" xr:uid="{00000000-0005-0000-0000-000045110000}"/>
    <cellStyle name="20% - Accent2 3 3 2 5" xfId="7568" xr:uid="{00000000-0005-0000-0000-000046110000}"/>
    <cellStyle name="20% - Accent2 3 3 2 6" xfId="14669" xr:uid="{00000000-0005-0000-0000-000047110000}"/>
    <cellStyle name="20% - Accent2 3 3 2 7" xfId="21771" xr:uid="{00000000-0005-0000-0000-000048110000}"/>
    <cellStyle name="20% - Accent2 3 3 2 8" xfId="28873" xr:uid="{00000000-0005-0000-0000-000049110000}"/>
    <cellStyle name="20% - Accent2 3 3 2 9" xfId="36498" xr:uid="{00000000-0005-0000-0000-00004A110000}"/>
    <cellStyle name="20% - Accent2 3 3 3" xfId="602" xr:uid="{00000000-0005-0000-0000-00004B110000}"/>
    <cellStyle name="20% - Accent2 3 3 3 2" xfId="2093" xr:uid="{00000000-0005-0000-0000-00004C110000}"/>
    <cellStyle name="20% - Accent2 3 3 3 2 2" xfId="6361" xr:uid="{00000000-0005-0000-0000-00004D110000}"/>
    <cellStyle name="20% - Accent2 3 3 3 2 2 2" xfId="13461" xr:uid="{00000000-0005-0000-0000-00004E110000}"/>
    <cellStyle name="20% - Accent2 3 3 3 2 2 3" xfId="20562" xr:uid="{00000000-0005-0000-0000-00004F110000}"/>
    <cellStyle name="20% - Accent2 3 3 3 2 2 4" xfId="27664" xr:uid="{00000000-0005-0000-0000-000050110000}"/>
    <cellStyle name="20% - Accent2 3 3 3 2 2 5" xfId="34766" xr:uid="{00000000-0005-0000-0000-000051110000}"/>
    <cellStyle name="20% - Accent2 3 3 3 2 2 6" xfId="36499" xr:uid="{00000000-0005-0000-0000-000052110000}"/>
    <cellStyle name="20% - Accent2 3 3 3 2 3" xfId="9201" xr:uid="{00000000-0005-0000-0000-000053110000}"/>
    <cellStyle name="20% - Accent2 3 3 3 2 4" xfId="16302" xr:uid="{00000000-0005-0000-0000-000054110000}"/>
    <cellStyle name="20% - Accent2 3 3 3 2 5" xfId="23404" xr:uid="{00000000-0005-0000-0000-000055110000}"/>
    <cellStyle name="20% - Accent2 3 3 3 2 6" xfId="30506" xr:uid="{00000000-0005-0000-0000-000056110000}"/>
    <cellStyle name="20% - Accent2 3 3 3 2 7" xfId="36500" xr:uid="{00000000-0005-0000-0000-000057110000}"/>
    <cellStyle name="20% - Accent2 3 3 3 3" xfId="4940" xr:uid="{00000000-0005-0000-0000-000058110000}"/>
    <cellStyle name="20% - Accent2 3 3 3 3 2" xfId="12041" xr:uid="{00000000-0005-0000-0000-000059110000}"/>
    <cellStyle name="20% - Accent2 3 3 3 3 2 2" xfId="36501" xr:uid="{00000000-0005-0000-0000-00005A110000}"/>
    <cellStyle name="20% - Accent2 3 3 3 3 3" xfId="19142" xr:uid="{00000000-0005-0000-0000-00005B110000}"/>
    <cellStyle name="20% - Accent2 3 3 3 3 4" xfId="26244" xr:uid="{00000000-0005-0000-0000-00005C110000}"/>
    <cellStyle name="20% - Accent2 3 3 3 3 5" xfId="33346" xr:uid="{00000000-0005-0000-0000-00005D110000}"/>
    <cellStyle name="20% - Accent2 3 3 3 3 6" xfId="36502" xr:uid="{00000000-0005-0000-0000-00005E110000}"/>
    <cellStyle name="20% - Accent2 3 3 3 4" xfId="3515" xr:uid="{00000000-0005-0000-0000-00005F110000}"/>
    <cellStyle name="20% - Accent2 3 3 3 4 2" xfId="10621" xr:uid="{00000000-0005-0000-0000-000060110000}"/>
    <cellStyle name="20% - Accent2 3 3 3 4 3" xfId="17722" xr:uid="{00000000-0005-0000-0000-000061110000}"/>
    <cellStyle name="20% - Accent2 3 3 3 4 4" xfId="24824" xr:uid="{00000000-0005-0000-0000-000062110000}"/>
    <cellStyle name="20% - Accent2 3 3 3 4 5" xfId="31926" xr:uid="{00000000-0005-0000-0000-000063110000}"/>
    <cellStyle name="20% - Accent2 3 3 3 4 6" xfId="36503" xr:uid="{00000000-0005-0000-0000-000064110000}"/>
    <cellStyle name="20% - Accent2 3 3 3 5" xfId="7781" xr:uid="{00000000-0005-0000-0000-000065110000}"/>
    <cellStyle name="20% - Accent2 3 3 3 6" xfId="14882" xr:uid="{00000000-0005-0000-0000-000066110000}"/>
    <cellStyle name="20% - Accent2 3 3 3 7" xfId="21984" xr:uid="{00000000-0005-0000-0000-000067110000}"/>
    <cellStyle name="20% - Accent2 3 3 3 8" xfId="29086" xr:uid="{00000000-0005-0000-0000-000068110000}"/>
    <cellStyle name="20% - Accent2 3 3 3 9" xfId="36504" xr:uid="{00000000-0005-0000-0000-000069110000}"/>
    <cellStyle name="20% - Accent2 3 3 4" xfId="815" xr:uid="{00000000-0005-0000-0000-00006A110000}"/>
    <cellStyle name="20% - Accent2 3 3 4 2" xfId="2306" xr:uid="{00000000-0005-0000-0000-00006B110000}"/>
    <cellStyle name="20% - Accent2 3 3 4 2 2" xfId="6574" xr:uid="{00000000-0005-0000-0000-00006C110000}"/>
    <cellStyle name="20% - Accent2 3 3 4 2 2 2" xfId="13674" xr:uid="{00000000-0005-0000-0000-00006D110000}"/>
    <cellStyle name="20% - Accent2 3 3 4 2 2 3" xfId="20775" xr:uid="{00000000-0005-0000-0000-00006E110000}"/>
    <cellStyle name="20% - Accent2 3 3 4 2 2 4" xfId="27877" xr:uid="{00000000-0005-0000-0000-00006F110000}"/>
    <cellStyle name="20% - Accent2 3 3 4 2 2 5" xfId="34979" xr:uid="{00000000-0005-0000-0000-000070110000}"/>
    <cellStyle name="20% - Accent2 3 3 4 2 2 6" xfId="36505" xr:uid="{00000000-0005-0000-0000-000071110000}"/>
    <cellStyle name="20% - Accent2 3 3 4 2 3" xfId="9414" xr:uid="{00000000-0005-0000-0000-000072110000}"/>
    <cellStyle name="20% - Accent2 3 3 4 2 4" xfId="16515" xr:uid="{00000000-0005-0000-0000-000073110000}"/>
    <cellStyle name="20% - Accent2 3 3 4 2 5" xfId="23617" xr:uid="{00000000-0005-0000-0000-000074110000}"/>
    <cellStyle name="20% - Accent2 3 3 4 2 6" xfId="30719" xr:uid="{00000000-0005-0000-0000-000075110000}"/>
    <cellStyle name="20% - Accent2 3 3 4 2 7" xfId="36506" xr:uid="{00000000-0005-0000-0000-000076110000}"/>
    <cellStyle name="20% - Accent2 3 3 4 3" xfId="5153" xr:uid="{00000000-0005-0000-0000-000077110000}"/>
    <cellStyle name="20% - Accent2 3 3 4 3 2" xfId="12254" xr:uid="{00000000-0005-0000-0000-000078110000}"/>
    <cellStyle name="20% - Accent2 3 3 4 3 2 2" xfId="36507" xr:uid="{00000000-0005-0000-0000-000079110000}"/>
    <cellStyle name="20% - Accent2 3 3 4 3 3" xfId="19355" xr:uid="{00000000-0005-0000-0000-00007A110000}"/>
    <cellStyle name="20% - Accent2 3 3 4 3 4" xfId="26457" xr:uid="{00000000-0005-0000-0000-00007B110000}"/>
    <cellStyle name="20% - Accent2 3 3 4 3 5" xfId="33559" xr:uid="{00000000-0005-0000-0000-00007C110000}"/>
    <cellStyle name="20% - Accent2 3 3 4 3 6" xfId="36508" xr:uid="{00000000-0005-0000-0000-00007D110000}"/>
    <cellStyle name="20% - Accent2 3 3 4 4" xfId="3728" xr:uid="{00000000-0005-0000-0000-00007E110000}"/>
    <cellStyle name="20% - Accent2 3 3 4 4 2" xfId="10834" xr:uid="{00000000-0005-0000-0000-00007F110000}"/>
    <cellStyle name="20% - Accent2 3 3 4 4 3" xfId="17935" xr:uid="{00000000-0005-0000-0000-000080110000}"/>
    <cellStyle name="20% - Accent2 3 3 4 4 4" xfId="25037" xr:uid="{00000000-0005-0000-0000-000081110000}"/>
    <cellStyle name="20% - Accent2 3 3 4 4 5" xfId="32139" xr:uid="{00000000-0005-0000-0000-000082110000}"/>
    <cellStyle name="20% - Accent2 3 3 4 4 6" xfId="36509" xr:uid="{00000000-0005-0000-0000-000083110000}"/>
    <cellStyle name="20% - Accent2 3 3 4 5" xfId="7994" xr:uid="{00000000-0005-0000-0000-000084110000}"/>
    <cellStyle name="20% - Accent2 3 3 4 6" xfId="15095" xr:uid="{00000000-0005-0000-0000-000085110000}"/>
    <cellStyle name="20% - Accent2 3 3 4 7" xfId="22197" xr:uid="{00000000-0005-0000-0000-000086110000}"/>
    <cellStyle name="20% - Accent2 3 3 4 8" xfId="29299" xr:uid="{00000000-0005-0000-0000-000087110000}"/>
    <cellStyle name="20% - Accent2 3 3 4 9" xfId="36510" xr:uid="{00000000-0005-0000-0000-000088110000}"/>
    <cellStyle name="20% - Accent2 3 3 5" xfId="1170" xr:uid="{00000000-0005-0000-0000-000089110000}"/>
    <cellStyle name="20% - Accent2 3 3 5 2" xfId="2661" xr:uid="{00000000-0005-0000-0000-00008A110000}"/>
    <cellStyle name="20% - Accent2 3 3 5 2 2" xfId="6929" xr:uid="{00000000-0005-0000-0000-00008B110000}"/>
    <cellStyle name="20% - Accent2 3 3 5 2 2 2" xfId="14029" xr:uid="{00000000-0005-0000-0000-00008C110000}"/>
    <cellStyle name="20% - Accent2 3 3 5 2 2 3" xfId="21130" xr:uid="{00000000-0005-0000-0000-00008D110000}"/>
    <cellStyle name="20% - Accent2 3 3 5 2 2 4" xfId="28232" xr:uid="{00000000-0005-0000-0000-00008E110000}"/>
    <cellStyle name="20% - Accent2 3 3 5 2 2 5" xfId="35334" xr:uid="{00000000-0005-0000-0000-00008F110000}"/>
    <cellStyle name="20% - Accent2 3 3 5 2 3" xfId="9769" xr:uid="{00000000-0005-0000-0000-000090110000}"/>
    <cellStyle name="20% - Accent2 3 3 5 2 4" xfId="16870" xr:uid="{00000000-0005-0000-0000-000091110000}"/>
    <cellStyle name="20% - Accent2 3 3 5 2 5" xfId="23972" xr:uid="{00000000-0005-0000-0000-000092110000}"/>
    <cellStyle name="20% - Accent2 3 3 5 2 6" xfId="31074" xr:uid="{00000000-0005-0000-0000-000093110000}"/>
    <cellStyle name="20% - Accent2 3 3 5 2 7" xfId="36511" xr:uid="{00000000-0005-0000-0000-000094110000}"/>
    <cellStyle name="20% - Accent2 3 3 5 3" xfId="5508" xr:uid="{00000000-0005-0000-0000-000095110000}"/>
    <cellStyle name="20% - Accent2 3 3 5 3 2" xfId="12609" xr:uid="{00000000-0005-0000-0000-000096110000}"/>
    <cellStyle name="20% - Accent2 3 3 5 3 3" xfId="19710" xr:uid="{00000000-0005-0000-0000-000097110000}"/>
    <cellStyle name="20% - Accent2 3 3 5 3 4" xfId="26812" xr:uid="{00000000-0005-0000-0000-000098110000}"/>
    <cellStyle name="20% - Accent2 3 3 5 3 5" xfId="33914" xr:uid="{00000000-0005-0000-0000-000099110000}"/>
    <cellStyle name="20% - Accent2 3 3 5 4" xfId="4083" xr:uid="{00000000-0005-0000-0000-00009A110000}"/>
    <cellStyle name="20% - Accent2 3 3 5 4 2" xfId="11189" xr:uid="{00000000-0005-0000-0000-00009B110000}"/>
    <cellStyle name="20% - Accent2 3 3 5 4 3" xfId="18290" xr:uid="{00000000-0005-0000-0000-00009C110000}"/>
    <cellStyle name="20% - Accent2 3 3 5 4 4" xfId="25392" xr:uid="{00000000-0005-0000-0000-00009D110000}"/>
    <cellStyle name="20% - Accent2 3 3 5 4 5" xfId="32494" xr:uid="{00000000-0005-0000-0000-00009E110000}"/>
    <cellStyle name="20% - Accent2 3 3 5 5" xfId="8349" xr:uid="{00000000-0005-0000-0000-00009F110000}"/>
    <cellStyle name="20% - Accent2 3 3 5 6" xfId="15450" xr:uid="{00000000-0005-0000-0000-0000A0110000}"/>
    <cellStyle name="20% - Accent2 3 3 5 7" xfId="22552" xr:uid="{00000000-0005-0000-0000-0000A1110000}"/>
    <cellStyle name="20% - Accent2 3 3 5 8" xfId="29654" xr:uid="{00000000-0005-0000-0000-0000A2110000}"/>
    <cellStyle name="20% - Accent2 3 3 5 9" xfId="36512" xr:uid="{00000000-0005-0000-0000-0000A3110000}"/>
    <cellStyle name="20% - Accent2 3 3 6" xfId="1383" xr:uid="{00000000-0005-0000-0000-0000A4110000}"/>
    <cellStyle name="20% - Accent2 3 3 6 2" xfId="2874" xr:uid="{00000000-0005-0000-0000-0000A5110000}"/>
    <cellStyle name="20% - Accent2 3 3 6 2 2" xfId="7142" xr:uid="{00000000-0005-0000-0000-0000A6110000}"/>
    <cellStyle name="20% - Accent2 3 3 6 2 2 2" xfId="14242" xr:uid="{00000000-0005-0000-0000-0000A7110000}"/>
    <cellStyle name="20% - Accent2 3 3 6 2 2 3" xfId="21343" xr:uid="{00000000-0005-0000-0000-0000A8110000}"/>
    <cellStyle name="20% - Accent2 3 3 6 2 2 4" xfId="28445" xr:uid="{00000000-0005-0000-0000-0000A9110000}"/>
    <cellStyle name="20% - Accent2 3 3 6 2 2 5" xfId="35547" xr:uid="{00000000-0005-0000-0000-0000AA110000}"/>
    <cellStyle name="20% - Accent2 3 3 6 2 3" xfId="9982" xr:uid="{00000000-0005-0000-0000-0000AB110000}"/>
    <cellStyle name="20% - Accent2 3 3 6 2 4" xfId="17083" xr:uid="{00000000-0005-0000-0000-0000AC110000}"/>
    <cellStyle name="20% - Accent2 3 3 6 2 5" xfId="24185" xr:uid="{00000000-0005-0000-0000-0000AD110000}"/>
    <cellStyle name="20% - Accent2 3 3 6 2 6" xfId="31287" xr:uid="{00000000-0005-0000-0000-0000AE110000}"/>
    <cellStyle name="20% - Accent2 3 3 6 2 7" xfId="36513" xr:uid="{00000000-0005-0000-0000-0000AF110000}"/>
    <cellStyle name="20% - Accent2 3 3 6 3" xfId="5721" xr:uid="{00000000-0005-0000-0000-0000B0110000}"/>
    <cellStyle name="20% - Accent2 3 3 6 3 2" xfId="12822" xr:uid="{00000000-0005-0000-0000-0000B1110000}"/>
    <cellStyle name="20% - Accent2 3 3 6 3 3" xfId="19923" xr:uid="{00000000-0005-0000-0000-0000B2110000}"/>
    <cellStyle name="20% - Accent2 3 3 6 3 4" xfId="27025" xr:uid="{00000000-0005-0000-0000-0000B3110000}"/>
    <cellStyle name="20% - Accent2 3 3 6 3 5" xfId="34127" xr:uid="{00000000-0005-0000-0000-0000B4110000}"/>
    <cellStyle name="20% - Accent2 3 3 6 4" xfId="4296" xr:uid="{00000000-0005-0000-0000-0000B5110000}"/>
    <cellStyle name="20% - Accent2 3 3 6 4 2" xfId="11402" xr:uid="{00000000-0005-0000-0000-0000B6110000}"/>
    <cellStyle name="20% - Accent2 3 3 6 4 3" xfId="18503" xr:uid="{00000000-0005-0000-0000-0000B7110000}"/>
    <cellStyle name="20% - Accent2 3 3 6 4 4" xfId="25605" xr:uid="{00000000-0005-0000-0000-0000B8110000}"/>
    <cellStyle name="20% - Accent2 3 3 6 4 5" xfId="32707" xr:uid="{00000000-0005-0000-0000-0000B9110000}"/>
    <cellStyle name="20% - Accent2 3 3 6 5" xfId="8562" xr:uid="{00000000-0005-0000-0000-0000BA110000}"/>
    <cellStyle name="20% - Accent2 3 3 6 6" xfId="15663" xr:uid="{00000000-0005-0000-0000-0000BB110000}"/>
    <cellStyle name="20% - Accent2 3 3 6 7" xfId="22765" xr:uid="{00000000-0005-0000-0000-0000BC110000}"/>
    <cellStyle name="20% - Accent2 3 3 6 8" xfId="29867" xr:uid="{00000000-0005-0000-0000-0000BD110000}"/>
    <cellStyle name="20% - Accent2 3 3 6 9" xfId="36514" xr:uid="{00000000-0005-0000-0000-0000BE110000}"/>
    <cellStyle name="20% - Accent2 3 3 7" xfId="1667" xr:uid="{00000000-0005-0000-0000-0000BF110000}"/>
    <cellStyle name="20% - Accent2 3 3 7 2" xfId="5935" xr:uid="{00000000-0005-0000-0000-0000C0110000}"/>
    <cellStyle name="20% - Accent2 3 3 7 2 2" xfId="13035" xr:uid="{00000000-0005-0000-0000-0000C1110000}"/>
    <cellStyle name="20% - Accent2 3 3 7 2 3" xfId="20136" xr:uid="{00000000-0005-0000-0000-0000C2110000}"/>
    <cellStyle name="20% - Accent2 3 3 7 2 4" xfId="27238" xr:uid="{00000000-0005-0000-0000-0000C3110000}"/>
    <cellStyle name="20% - Accent2 3 3 7 2 5" xfId="34340" xr:uid="{00000000-0005-0000-0000-0000C4110000}"/>
    <cellStyle name="20% - Accent2 3 3 7 3" xfId="8775" xr:uid="{00000000-0005-0000-0000-0000C5110000}"/>
    <cellStyle name="20% - Accent2 3 3 7 4" xfId="15876" xr:uid="{00000000-0005-0000-0000-0000C6110000}"/>
    <cellStyle name="20% - Accent2 3 3 7 5" xfId="22978" xr:uid="{00000000-0005-0000-0000-0000C7110000}"/>
    <cellStyle name="20% - Accent2 3 3 7 6" xfId="30080" xr:uid="{00000000-0005-0000-0000-0000C8110000}"/>
    <cellStyle name="20% - Accent2 3 3 7 7" xfId="36515" xr:uid="{00000000-0005-0000-0000-0000C9110000}"/>
    <cellStyle name="20% - Accent2 3 3 8" xfId="4514" xr:uid="{00000000-0005-0000-0000-0000CA110000}"/>
    <cellStyle name="20% - Accent2 3 3 8 2" xfId="11615" xr:uid="{00000000-0005-0000-0000-0000CB110000}"/>
    <cellStyle name="20% - Accent2 3 3 8 3" xfId="18716" xr:uid="{00000000-0005-0000-0000-0000CC110000}"/>
    <cellStyle name="20% - Accent2 3 3 8 4" xfId="25818" xr:uid="{00000000-0005-0000-0000-0000CD110000}"/>
    <cellStyle name="20% - Accent2 3 3 8 5" xfId="32920" xr:uid="{00000000-0005-0000-0000-0000CE110000}"/>
    <cellStyle name="20% - Accent2 3 3 9" xfId="3089" xr:uid="{00000000-0005-0000-0000-0000CF110000}"/>
    <cellStyle name="20% - Accent2 3 3 9 2" xfId="10195" xr:uid="{00000000-0005-0000-0000-0000D0110000}"/>
    <cellStyle name="20% - Accent2 3 3 9 3" xfId="17296" xr:uid="{00000000-0005-0000-0000-0000D1110000}"/>
    <cellStyle name="20% - Accent2 3 3 9 4" xfId="24398" xr:uid="{00000000-0005-0000-0000-0000D2110000}"/>
    <cellStyle name="20% - Accent2 3 3 9 5" xfId="31500" xr:uid="{00000000-0005-0000-0000-0000D3110000}"/>
    <cellStyle name="20% - Accent2 3 4" xfId="318" xr:uid="{00000000-0005-0000-0000-0000D4110000}"/>
    <cellStyle name="20% - Accent2 3 4 10" xfId="36516" xr:uid="{00000000-0005-0000-0000-0000D5110000}"/>
    <cellStyle name="20% - Accent2 3 4 2" xfId="1099" xr:uid="{00000000-0005-0000-0000-0000D6110000}"/>
    <cellStyle name="20% - Accent2 3 4 2 2" xfId="2590" xr:uid="{00000000-0005-0000-0000-0000D7110000}"/>
    <cellStyle name="20% - Accent2 3 4 2 2 2" xfId="6858" xr:uid="{00000000-0005-0000-0000-0000D8110000}"/>
    <cellStyle name="20% - Accent2 3 4 2 2 2 2" xfId="13958" xr:uid="{00000000-0005-0000-0000-0000D9110000}"/>
    <cellStyle name="20% - Accent2 3 4 2 2 2 3" xfId="21059" xr:uid="{00000000-0005-0000-0000-0000DA110000}"/>
    <cellStyle name="20% - Accent2 3 4 2 2 2 4" xfId="28161" xr:uid="{00000000-0005-0000-0000-0000DB110000}"/>
    <cellStyle name="20% - Accent2 3 4 2 2 2 5" xfId="35263" xr:uid="{00000000-0005-0000-0000-0000DC110000}"/>
    <cellStyle name="20% - Accent2 3 4 2 2 3" xfId="9698" xr:uid="{00000000-0005-0000-0000-0000DD110000}"/>
    <cellStyle name="20% - Accent2 3 4 2 2 4" xfId="16799" xr:uid="{00000000-0005-0000-0000-0000DE110000}"/>
    <cellStyle name="20% - Accent2 3 4 2 2 5" xfId="23901" xr:uid="{00000000-0005-0000-0000-0000DF110000}"/>
    <cellStyle name="20% - Accent2 3 4 2 2 6" xfId="31003" xr:uid="{00000000-0005-0000-0000-0000E0110000}"/>
    <cellStyle name="20% - Accent2 3 4 2 2 7" xfId="36517" xr:uid="{00000000-0005-0000-0000-0000E1110000}"/>
    <cellStyle name="20% - Accent2 3 4 2 3" xfId="5437" xr:uid="{00000000-0005-0000-0000-0000E2110000}"/>
    <cellStyle name="20% - Accent2 3 4 2 3 2" xfId="12538" xr:uid="{00000000-0005-0000-0000-0000E3110000}"/>
    <cellStyle name="20% - Accent2 3 4 2 3 3" xfId="19639" xr:uid="{00000000-0005-0000-0000-0000E4110000}"/>
    <cellStyle name="20% - Accent2 3 4 2 3 4" xfId="26741" xr:uid="{00000000-0005-0000-0000-0000E5110000}"/>
    <cellStyle name="20% - Accent2 3 4 2 3 5" xfId="33843" xr:uid="{00000000-0005-0000-0000-0000E6110000}"/>
    <cellStyle name="20% - Accent2 3 4 2 4" xfId="4012" xr:uid="{00000000-0005-0000-0000-0000E7110000}"/>
    <cellStyle name="20% - Accent2 3 4 2 4 2" xfId="11118" xr:uid="{00000000-0005-0000-0000-0000E8110000}"/>
    <cellStyle name="20% - Accent2 3 4 2 4 3" xfId="18219" xr:uid="{00000000-0005-0000-0000-0000E9110000}"/>
    <cellStyle name="20% - Accent2 3 4 2 4 4" xfId="25321" xr:uid="{00000000-0005-0000-0000-0000EA110000}"/>
    <cellStyle name="20% - Accent2 3 4 2 4 5" xfId="32423" xr:uid="{00000000-0005-0000-0000-0000EB110000}"/>
    <cellStyle name="20% - Accent2 3 4 2 5" xfId="8278" xr:uid="{00000000-0005-0000-0000-0000EC110000}"/>
    <cellStyle name="20% - Accent2 3 4 2 6" xfId="15379" xr:uid="{00000000-0005-0000-0000-0000ED110000}"/>
    <cellStyle name="20% - Accent2 3 4 2 7" xfId="22481" xr:uid="{00000000-0005-0000-0000-0000EE110000}"/>
    <cellStyle name="20% - Accent2 3 4 2 8" xfId="29583" xr:uid="{00000000-0005-0000-0000-0000EF110000}"/>
    <cellStyle name="20% - Accent2 3 4 2 9" xfId="36518" xr:uid="{00000000-0005-0000-0000-0000F0110000}"/>
    <cellStyle name="20% - Accent2 3 4 3" xfId="1809" xr:uid="{00000000-0005-0000-0000-0000F1110000}"/>
    <cellStyle name="20% - Accent2 3 4 3 2" xfId="6077" xr:uid="{00000000-0005-0000-0000-0000F2110000}"/>
    <cellStyle name="20% - Accent2 3 4 3 2 2" xfId="13177" xr:uid="{00000000-0005-0000-0000-0000F3110000}"/>
    <cellStyle name="20% - Accent2 3 4 3 2 3" xfId="20278" xr:uid="{00000000-0005-0000-0000-0000F4110000}"/>
    <cellStyle name="20% - Accent2 3 4 3 2 4" xfId="27380" xr:uid="{00000000-0005-0000-0000-0000F5110000}"/>
    <cellStyle name="20% - Accent2 3 4 3 2 5" xfId="34482" xr:uid="{00000000-0005-0000-0000-0000F6110000}"/>
    <cellStyle name="20% - Accent2 3 4 3 2 6" xfId="36519" xr:uid="{00000000-0005-0000-0000-0000F7110000}"/>
    <cellStyle name="20% - Accent2 3 4 3 3" xfId="8917" xr:uid="{00000000-0005-0000-0000-0000F8110000}"/>
    <cellStyle name="20% - Accent2 3 4 3 4" xfId="16018" xr:uid="{00000000-0005-0000-0000-0000F9110000}"/>
    <cellStyle name="20% - Accent2 3 4 3 5" xfId="23120" xr:uid="{00000000-0005-0000-0000-0000FA110000}"/>
    <cellStyle name="20% - Accent2 3 4 3 6" xfId="30222" xr:uid="{00000000-0005-0000-0000-0000FB110000}"/>
    <cellStyle name="20% - Accent2 3 4 3 7" xfId="36520" xr:uid="{00000000-0005-0000-0000-0000FC110000}"/>
    <cellStyle name="20% - Accent2 3 4 4" xfId="4656" xr:uid="{00000000-0005-0000-0000-0000FD110000}"/>
    <cellStyle name="20% - Accent2 3 4 4 2" xfId="11757" xr:uid="{00000000-0005-0000-0000-0000FE110000}"/>
    <cellStyle name="20% - Accent2 3 4 4 3" xfId="18858" xr:uid="{00000000-0005-0000-0000-0000FF110000}"/>
    <cellStyle name="20% - Accent2 3 4 4 4" xfId="25960" xr:uid="{00000000-0005-0000-0000-000000120000}"/>
    <cellStyle name="20% - Accent2 3 4 4 5" xfId="33062" xr:uid="{00000000-0005-0000-0000-000001120000}"/>
    <cellStyle name="20% - Accent2 3 4 4 6" xfId="36521" xr:uid="{00000000-0005-0000-0000-000002120000}"/>
    <cellStyle name="20% - Accent2 3 4 5" xfId="3231" xr:uid="{00000000-0005-0000-0000-000003120000}"/>
    <cellStyle name="20% - Accent2 3 4 5 2" xfId="10337" xr:uid="{00000000-0005-0000-0000-000004120000}"/>
    <cellStyle name="20% - Accent2 3 4 5 3" xfId="17438" xr:uid="{00000000-0005-0000-0000-000005120000}"/>
    <cellStyle name="20% - Accent2 3 4 5 4" xfId="24540" xr:uid="{00000000-0005-0000-0000-000006120000}"/>
    <cellStyle name="20% - Accent2 3 4 5 5" xfId="31642" xr:uid="{00000000-0005-0000-0000-000007120000}"/>
    <cellStyle name="20% - Accent2 3 4 6" xfId="7497" xr:uid="{00000000-0005-0000-0000-000008120000}"/>
    <cellStyle name="20% - Accent2 3 4 7" xfId="14598" xr:uid="{00000000-0005-0000-0000-000009120000}"/>
    <cellStyle name="20% - Accent2 3 4 8" xfId="21700" xr:uid="{00000000-0005-0000-0000-00000A120000}"/>
    <cellStyle name="20% - Accent2 3 4 9" xfId="28802" xr:uid="{00000000-0005-0000-0000-00000B120000}"/>
    <cellStyle name="20% - Accent2 3 5" xfId="531" xr:uid="{00000000-0005-0000-0000-00000C120000}"/>
    <cellStyle name="20% - Accent2 3 5 2" xfId="2022" xr:uid="{00000000-0005-0000-0000-00000D120000}"/>
    <cellStyle name="20% - Accent2 3 5 2 2" xfId="6290" xr:uid="{00000000-0005-0000-0000-00000E120000}"/>
    <cellStyle name="20% - Accent2 3 5 2 2 2" xfId="13390" xr:uid="{00000000-0005-0000-0000-00000F120000}"/>
    <cellStyle name="20% - Accent2 3 5 2 2 3" xfId="20491" xr:uid="{00000000-0005-0000-0000-000010120000}"/>
    <cellStyle name="20% - Accent2 3 5 2 2 4" xfId="27593" xr:uid="{00000000-0005-0000-0000-000011120000}"/>
    <cellStyle name="20% - Accent2 3 5 2 2 5" xfId="34695" xr:uid="{00000000-0005-0000-0000-000012120000}"/>
    <cellStyle name="20% - Accent2 3 5 2 2 6" xfId="36522" xr:uid="{00000000-0005-0000-0000-000013120000}"/>
    <cellStyle name="20% - Accent2 3 5 2 3" xfId="9130" xr:uid="{00000000-0005-0000-0000-000014120000}"/>
    <cellStyle name="20% - Accent2 3 5 2 4" xfId="16231" xr:uid="{00000000-0005-0000-0000-000015120000}"/>
    <cellStyle name="20% - Accent2 3 5 2 5" xfId="23333" xr:uid="{00000000-0005-0000-0000-000016120000}"/>
    <cellStyle name="20% - Accent2 3 5 2 6" xfId="30435" xr:uid="{00000000-0005-0000-0000-000017120000}"/>
    <cellStyle name="20% - Accent2 3 5 2 7" xfId="36523" xr:uid="{00000000-0005-0000-0000-000018120000}"/>
    <cellStyle name="20% - Accent2 3 5 3" xfId="4869" xr:uid="{00000000-0005-0000-0000-000019120000}"/>
    <cellStyle name="20% - Accent2 3 5 3 2" xfId="11970" xr:uid="{00000000-0005-0000-0000-00001A120000}"/>
    <cellStyle name="20% - Accent2 3 5 3 2 2" xfId="36524" xr:uid="{00000000-0005-0000-0000-00001B120000}"/>
    <cellStyle name="20% - Accent2 3 5 3 3" xfId="19071" xr:uid="{00000000-0005-0000-0000-00001C120000}"/>
    <cellStyle name="20% - Accent2 3 5 3 4" xfId="26173" xr:uid="{00000000-0005-0000-0000-00001D120000}"/>
    <cellStyle name="20% - Accent2 3 5 3 5" xfId="33275" xr:uid="{00000000-0005-0000-0000-00001E120000}"/>
    <cellStyle name="20% - Accent2 3 5 3 6" xfId="36525" xr:uid="{00000000-0005-0000-0000-00001F120000}"/>
    <cellStyle name="20% - Accent2 3 5 4" xfId="3444" xr:uid="{00000000-0005-0000-0000-000020120000}"/>
    <cellStyle name="20% - Accent2 3 5 4 2" xfId="10550" xr:uid="{00000000-0005-0000-0000-000021120000}"/>
    <cellStyle name="20% - Accent2 3 5 4 3" xfId="17651" xr:uid="{00000000-0005-0000-0000-000022120000}"/>
    <cellStyle name="20% - Accent2 3 5 4 4" xfId="24753" xr:uid="{00000000-0005-0000-0000-000023120000}"/>
    <cellStyle name="20% - Accent2 3 5 4 5" xfId="31855" xr:uid="{00000000-0005-0000-0000-000024120000}"/>
    <cellStyle name="20% - Accent2 3 5 4 6" xfId="36526" xr:uid="{00000000-0005-0000-0000-000025120000}"/>
    <cellStyle name="20% - Accent2 3 5 5" xfId="7710" xr:uid="{00000000-0005-0000-0000-000026120000}"/>
    <cellStyle name="20% - Accent2 3 5 6" xfId="14811" xr:uid="{00000000-0005-0000-0000-000027120000}"/>
    <cellStyle name="20% - Accent2 3 5 7" xfId="21913" xr:uid="{00000000-0005-0000-0000-000028120000}"/>
    <cellStyle name="20% - Accent2 3 5 8" xfId="29015" xr:uid="{00000000-0005-0000-0000-000029120000}"/>
    <cellStyle name="20% - Accent2 3 5 9" xfId="36527" xr:uid="{00000000-0005-0000-0000-00002A120000}"/>
    <cellStyle name="20% - Accent2 3 6" xfId="744" xr:uid="{00000000-0005-0000-0000-00002B120000}"/>
    <cellStyle name="20% - Accent2 3 6 2" xfId="2235" xr:uid="{00000000-0005-0000-0000-00002C120000}"/>
    <cellStyle name="20% - Accent2 3 6 2 2" xfId="6503" xr:uid="{00000000-0005-0000-0000-00002D120000}"/>
    <cellStyle name="20% - Accent2 3 6 2 2 2" xfId="13603" xr:uid="{00000000-0005-0000-0000-00002E120000}"/>
    <cellStyle name="20% - Accent2 3 6 2 2 3" xfId="20704" xr:uid="{00000000-0005-0000-0000-00002F120000}"/>
    <cellStyle name="20% - Accent2 3 6 2 2 4" xfId="27806" xr:uid="{00000000-0005-0000-0000-000030120000}"/>
    <cellStyle name="20% - Accent2 3 6 2 2 5" xfId="34908" xr:uid="{00000000-0005-0000-0000-000031120000}"/>
    <cellStyle name="20% - Accent2 3 6 2 2 6" xfId="36528" xr:uid="{00000000-0005-0000-0000-000032120000}"/>
    <cellStyle name="20% - Accent2 3 6 2 3" xfId="9343" xr:uid="{00000000-0005-0000-0000-000033120000}"/>
    <cellStyle name="20% - Accent2 3 6 2 4" xfId="16444" xr:uid="{00000000-0005-0000-0000-000034120000}"/>
    <cellStyle name="20% - Accent2 3 6 2 5" xfId="23546" xr:uid="{00000000-0005-0000-0000-000035120000}"/>
    <cellStyle name="20% - Accent2 3 6 2 6" xfId="30648" xr:uid="{00000000-0005-0000-0000-000036120000}"/>
    <cellStyle name="20% - Accent2 3 6 2 7" xfId="36529" xr:uid="{00000000-0005-0000-0000-000037120000}"/>
    <cellStyle name="20% - Accent2 3 6 3" xfId="5082" xr:uid="{00000000-0005-0000-0000-000038120000}"/>
    <cellStyle name="20% - Accent2 3 6 3 2" xfId="12183" xr:uid="{00000000-0005-0000-0000-000039120000}"/>
    <cellStyle name="20% - Accent2 3 6 3 2 2" xfId="36530" xr:uid="{00000000-0005-0000-0000-00003A120000}"/>
    <cellStyle name="20% - Accent2 3 6 3 3" xfId="19284" xr:uid="{00000000-0005-0000-0000-00003B120000}"/>
    <cellStyle name="20% - Accent2 3 6 3 4" xfId="26386" xr:uid="{00000000-0005-0000-0000-00003C120000}"/>
    <cellStyle name="20% - Accent2 3 6 3 5" xfId="33488" xr:uid="{00000000-0005-0000-0000-00003D120000}"/>
    <cellStyle name="20% - Accent2 3 6 3 6" xfId="36531" xr:uid="{00000000-0005-0000-0000-00003E120000}"/>
    <cellStyle name="20% - Accent2 3 6 4" xfId="3657" xr:uid="{00000000-0005-0000-0000-00003F120000}"/>
    <cellStyle name="20% - Accent2 3 6 4 2" xfId="10763" xr:uid="{00000000-0005-0000-0000-000040120000}"/>
    <cellStyle name="20% - Accent2 3 6 4 3" xfId="17864" xr:uid="{00000000-0005-0000-0000-000041120000}"/>
    <cellStyle name="20% - Accent2 3 6 4 4" xfId="24966" xr:uid="{00000000-0005-0000-0000-000042120000}"/>
    <cellStyle name="20% - Accent2 3 6 4 5" xfId="32068" xr:uid="{00000000-0005-0000-0000-000043120000}"/>
    <cellStyle name="20% - Accent2 3 6 4 6" xfId="36532" xr:uid="{00000000-0005-0000-0000-000044120000}"/>
    <cellStyle name="20% - Accent2 3 6 5" xfId="7923" xr:uid="{00000000-0005-0000-0000-000045120000}"/>
    <cellStyle name="20% - Accent2 3 6 6" xfId="15024" xr:uid="{00000000-0005-0000-0000-000046120000}"/>
    <cellStyle name="20% - Accent2 3 6 7" xfId="22126" xr:uid="{00000000-0005-0000-0000-000047120000}"/>
    <cellStyle name="20% - Accent2 3 6 8" xfId="29228" xr:uid="{00000000-0005-0000-0000-000048120000}"/>
    <cellStyle name="20% - Accent2 3 6 9" xfId="36533" xr:uid="{00000000-0005-0000-0000-000049120000}"/>
    <cellStyle name="20% - Accent2 3 7" xfId="957" xr:uid="{00000000-0005-0000-0000-00004A120000}"/>
    <cellStyle name="20% - Accent2 3 7 2" xfId="2448" xr:uid="{00000000-0005-0000-0000-00004B120000}"/>
    <cellStyle name="20% - Accent2 3 7 2 2" xfId="6716" xr:uid="{00000000-0005-0000-0000-00004C120000}"/>
    <cellStyle name="20% - Accent2 3 7 2 2 2" xfId="13816" xr:uid="{00000000-0005-0000-0000-00004D120000}"/>
    <cellStyle name="20% - Accent2 3 7 2 2 3" xfId="20917" xr:uid="{00000000-0005-0000-0000-00004E120000}"/>
    <cellStyle name="20% - Accent2 3 7 2 2 4" xfId="28019" xr:uid="{00000000-0005-0000-0000-00004F120000}"/>
    <cellStyle name="20% - Accent2 3 7 2 2 5" xfId="35121" xr:uid="{00000000-0005-0000-0000-000050120000}"/>
    <cellStyle name="20% - Accent2 3 7 2 3" xfId="9556" xr:uid="{00000000-0005-0000-0000-000051120000}"/>
    <cellStyle name="20% - Accent2 3 7 2 4" xfId="16657" xr:uid="{00000000-0005-0000-0000-000052120000}"/>
    <cellStyle name="20% - Accent2 3 7 2 5" xfId="23759" xr:uid="{00000000-0005-0000-0000-000053120000}"/>
    <cellStyle name="20% - Accent2 3 7 2 6" xfId="30861" xr:uid="{00000000-0005-0000-0000-000054120000}"/>
    <cellStyle name="20% - Accent2 3 7 2 7" xfId="36534" xr:uid="{00000000-0005-0000-0000-000055120000}"/>
    <cellStyle name="20% - Accent2 3 7 3" xfId="5295" xr:uid="{00000000-0005-0000-0000-000056120000}"/>
    <cellStyle name="20% - Accent2 3 7 3 2" xfId="12396" xr:uid="{00000000-0005-0000-0000-000057120000}"/>
    <cellStyle name="20% - Accent2 3 7 3 3" xfId="19497" xr:uid="{00000000-0005-0000-0000-000058120000}"/>
    <cellStyle name="20% - Accent2 3 7 3 4" xfId="26599" xr:uid="{00000000-0005-0000-0000-000059120000}"/>
    <cellStyle name="20% - Accent2 3 7 3 5" xfId="33701" xr:uid="{00000000-0005-0000-0000-00005A120000}"/>
    <cellStyle name="20% - Accent2 3 7 4" xfId="3870" xr:uid="{00000000-0005-0000-0000-00005B120000}"/>
    <cellStyle name="20% - Accent2 3 7 4 2" xfId="10976" xr:uid="{00000000-0005-0000-0000-00005C120000}"/>
    <cellStyle name="20% - Accent2 3 7 4 3" xfId="18077" xr:uid="{00000000-0005-0000-0000-00005D120000}"/>
    <cellStyle name="20% - Accent2 3 7 4 4" xfId="25179" xr:uid="{00000000-0005-0000-0000-00005E120000}"/>
    <cellStyle name="20% - Accent2 3 7 4 5" xfId="32281" xr:uid="{00000000-0005-0000-0000-00005F120000}"/>
    <cellStyle name="20% - Accent2 3 7 5" xfId="8136" xr:uid="{00000000-0005-0000-0000-000060120000}"/>
    <cellStyle name="20% - Accent2 3 7 6" xfId="15237" xr:uid="{00000000-0005-0000-0000-000061120000}"/>
    <cellStyle name="20% - Accent2 3 7 7" xfId="22339" xr:uid="{00000000-0005-0000-0000-000062120000}"/>
    <cellStyle name="20% - Accent2 3 7 8" xfId="29441" xr:uid="{00000000-0005-0000-0000-000063120000}"/>
    <cellStyle name="20% - Accent2 3 7 9" xfId="36535" xr:uid="{00000000-0005-0000-0000-000064120000}"/>
    <cellStyle name="20% - Accent2 3 8" xfId="1312" xr:uid="{00000000-0005-0000-0000-000065120000}"/>
    <cellStyle name="20% - Accent2 3 8 2" xfId="2803" xr:uid="{00000000-0005-0000-0000-000066120000}"/>
    <cellStyle name="20% - Accent2 3 8 2 2" xfId="7071" xr:uid="{00000000-0005-0000-0000-000067120000}"/>
    <cellStyle name="20% - Accent2 3 8 2 2 2" xfId="14171" xr:uid="{00000000-0005-0000-0000-000068120000}"/>
    <cellStyle name="20% - Accent2 3 8 2 2 3" xfId="21272" xr:uid="{00000000-0005-0000-0000-000069120000}"/>
    <cellStyle name="20% - Accent2 3 8 2 2 4" xfId="28374" xr:uid="{00000000-0005-0000-0000-00006A120000}"/>
    <cellStyle name="20% - Accent2 3 8 2 2 5" xfId="35476" xr:uid="{00000000-0005-0000-0000-00006B120000}"/>
    <cellStyle name="20% - Accent2 3 8 2 3" xfId="9911" xr:uid="{00000000-0005-0000-0000-00006C120000}"/>
    <cellStyle name="20% - Accent2 3 8 2 4" xfId="17012" xr:uid="{00000000-0005-0000-0000-00006D120000}"/>
    <cellStyle name="20% - Accent2 3 8 2 5" xfId="24114" xr:uid="{00000000-0005-0000-0000-00006E120000}"/>
    <cellStyle name="20% - Accent2 3 8 2 6" xfId="31216" xr:uid="{00000000-0005-0000-0000-00006F120000}"/>
    <cellStyle name="20% - Accent2 3 8 2 7" xfId="36536" xr:uid="{00000000-0005-0000-0000-000070120000}"/>
    <cellStyle name="20% - Accent2 3 8 3" xfId="5650" xr:uid="{00000000-0005-0000-0000-000071120000}"/>
    <cellStyle name="20% - Accent2 3 8 3 2" xfId="12751" xr:uid="{00000000-0005-0000-0000-000072120000}"/>
    <cellStyle name="20% - Accent2 3 8 3 3" xfId="19852" xr:uid="{00000000-0005-0000-0000-000073120000}"/>
    <cellStyle name="20% - Accent2 3 8 3 4" xfId="26954" xr:uid="{00000000-0005-0000-0000-000074120000}"/>
    <cellStyle name="20% - Accent2 3 8 3 5" xfId="34056" xr:uid="{00000000-0005-0000-0000-000075120000}"/>
    <cellStyle name="20% - Accent2 3 8 4" xfId="4225" xr:uid="{00000000-0005-0000-0000-000076120000}"/>
    <cellStyle name="20% - Accent2 3 8 4 2" xfId="11331" xr:uid="{00000000-0005-0000-0000-000077120000}"/>
    <cellStyle name="20% - Accent2 3 8 4 3" xfId="18432" xr:uid="{00000000-0005-0000-0000-000078120000}"/>
    <cellStyle name="20% - Accent2 3 8 4 4" xfId="25534" xr:uid="{00000000-0005-0000-0000-000079120000}"/>
    <cellStyle name="20% - Accent2 3 8 4 5" xfId="32636" xr:uid="{00000000-0005-0000-0000-00007A120000}"/>
    <cellStyle name="20% - Accent2 3 8 5" xfId="8491" xr:uid="{00000000-0005-0000-0000-00007B120000}"/>
    <cellStyle name="20% - Accent2 3 8 6" xfId="15592" xr:uid="{00000000-0005-0000-0000-00007C120000}"/>
    <cellStyle name="20% - Accent2 3 8 7" xfId="22694" xr:uid="{00000000-0005-0000-0000-00007D120000}"/>
    <cellStyle name="20% - Accent2 3 8 8" xfId="29796" xr:uid="{00000000-0005-0000-0000-00007E120000}"/>
    <cellStyle name="20% - Accent2 3 8 9" xfId="36537" xr:uid="{00000000-0005-0000-0000-00007F120000}"/>
    <cellStyle name="20% - Accent2 3 9" xfId="1594" xr:uid="{00000000-0005-0000-0000-000080120000}"/>
    <cellStyle name="20% - Accent2 3 9 2" xfId="5864" xr:uid="{00000000-0005-0000-0000-000081120000}"/>
    <cellStyle name="20% - Accent2 3 9 2 2" xfId="12964" xr:uid="{00000000-0005-0000-0000-000082120000}"/>
    <cellStyle name="20% - Accent2 3 9 2 3" xfId="20065" xr:uid="{00000000-0005-0000-0000-000083120000}"/>
    <cellStyle name="20% - Accent2 3 9 2 4" xfId="27167" xr:uid="{00000000-0005-0000-0000-000084120000}"/>
    <cellStyle name="20% - Accent2 3 9 2 5" xfId="34269" xr:uid="{00000000-0005-0000-0000-000085120000}"/>
    <cellStyle name="20% - Accent2 3 9 3" xfId="8704" xr:uid="{00000000-0005-0000-0000-000086120000}"/>
    <cellStyle name="20% - Accent2 3 9 4" xfId="15805" xr:uid="{00000000-0005-0000-0000-000087120000}"/>
    <cellStyle name="20% - Accent2 3 9 5" xfId="22907" xr:uid="{00000000-0005-0000-0000-000088120000}"/>
    <cellStyle name="20% - Accent2 3 9 6" xfId="30009" xr:uid="{00000000-0005-0000-0000-000089120000}"/>
    <cellStyle name="20% - Accent2 3 9 7" xfId="36538" xr:uid="{00000000-0005-0000-0000-00008A120000}"/>
    <cellStyle name="20% - Accent2 4" xfId="134" xr:uid="{00000000-0005-0000-0000-00008B120000}"/>
    <cellStyle name="20% - Accent2 4 10" xfId="4474" xr:uid="{00000000-0005-0000-0000-00008C120000}"/>
    <cellStyle name="20% - Accent2 4 10 2" xfId="11575" xr:uid="{00000000-0005-0000-0000-00008D120000}"/>
    <cellStyle name="20% - Accent2 4 10 3" xfId="18676" xr:uid="{00000000-0005-0000-0000-00008E120000}"/>
    <cellStyle name="20% - Accent2 4 10 4" xfId="25778" xr:uid="{00000000-0005-0000-0000-00008F120000}"/>
    <cellStyle name="20% - Accent2 4 10 5" xfId="32880" xr:uid="{00000000-0005-0000-0000-000090120000}"/>
    <cellStyle name="20% - Accent2 4 11" xfId="3049" xr:uid="{00000000-0005-0000-0000-000091120000}"/>
    <cellStyle name="20% - Accent2 4 11 2" xfId="10155" xr:uid="{00000000-0005-0000-0000-000092120000}"/>
    <cellStyle name="20% - Accent2 4 11 3" xfId="17256" xr:uid="{00000000-0005-0000-0000-000093120000}"/>
    <cellStyle name="20% - Accent2 4 11 4" xfId="24358" xr:uid="{00000000-0005-0000-0000-000094120000}"/>
    <cellStyle name="20% - Accent2 4 11 5" xfId="31460" xr:uid="{00000000-0005-0000-0000-000095120000}"/>
    <cellStyle name="20% - Accent2 4 12" xfId="7315" xr:uid="{00000000-0005-0000-0000-000096120000}"/>
    <cellStyle name="20% - Accent2 4 13" xfId="14416" xr:uid="{00000000-0005-0000-0000-000097120000}"/>
    <cellStyle name="20% - Accent2 4 14" xfId="21518" xr:uid="{00000000-0005-0000-0000-000098120000}"/>
    <cellStyle name="20% - Accent2 4 15" xfId="28620" xr:uid="{00000000-0005-0000-0000-000099120000}"/>
    <cellStyle name="20% - Accent2 4 16" xfId="35722" xr:uid="{00000000-0005-0000-0000-00009A120000}"/>
    <cellStyle name="20% - Accent2 4 17" xfId="36539" xr:uid="{00000000-0005-0000-0000-00009B120000}"/>
    <cellStyle name="20% - Accent2 4 18" xfId="36540" xr:uid="{00000000-0005-0000-0000-00009C120000}"/>
    <cellStyle name="20% - Accent2 4 2" xfId="278" xr:uid="{00000000-0005-0000-0000-00009D120000}"/>
    <cellStyle name="20% - Accent2 4 2 10" xfId="7457" xr:uid="{00000000-0005-0000-0000-00009E120000}"/>
    <cellStyle name="20% - Accent2 4 2 11" xfId="14558" xr:uid="{00000000-0005-0000-0000-00009F120000}"/>
    <cellStyle name="20% - Accent2 4 2 12" xfId="21660" xr:uid="{00000000-0005-0000-0000-0000A0120000}"/>
    <cellStyle name="20% - Accent2 4 2 13" xfId="28762" xr:uid="{00000000-0005-0000-0000-0000A1120000}"/>
    <cellStyle name="20% - Accent2 4 2 14" xfId="35864" xr:uid="{00000000-0005-0000-0000-0000A2120000}"/>
    <cellStyle name="20% - Accent2 4 2 15" xfId="36541" xr:uid="{00000000-0005-0000-0000-0000A3120000}"/>
    <cellStyle name="20% - Accent2 4 2 2" xfId="491" xr:uid="{00000000-0005-0000-0000-0000A4120000}"/>
    <cellStyle name="20% - Accent2 4 2 2 10" xfId="36542" xr:uid="{00000000-0005-0000-0000-0000A5120000}"/>
    <cellStyle name="20% - Accent2 4 2 2 2" xfId="1272" xr:uid="{00000000-0005-0000-0000-0000A6120000}"/>
    <cellStyle name="20% - Accent2 4 2 2 2 2" xfId="2763" xr:uid="{00000000-0005-0000-0000-0000A7120000}"/>
    <cellStyle name="20% - Accent2 4 2 2 2 2 2" xfId="7031" xr:uid="{00000000-0005-0000-0000-0000A8120000}"/>
    <cellStyle name="20% - Accent2 4 2 2 2 2 2 2" xfId="14131" xr:uid="{00000000-0005-0000-0000-0000A9120000}"/>
    <cellStyle name="20% - Accent2 4 2 2 2 2 2 3" xfId="21232" xr:uid="{00000000-0005-0000-0000-0000AA120000}"/>
    <cellStyle name="20% - Accent2 4 2 2 2 2 2 4" xfId="28334" xr:uid="{00000000-0005-0000-0000-0000AB120000}"/>
    <cellStyle name="20% - Accent2 4 2 2 2 2 2 5" xfId="35436" xr:uid="{00000000-0005-0000-0000-0000AC120000}"/>
    <cellStyle name="20% - Accent2 4 2 2 2 2 3" xfId="9871" xr:uid="{00000000-0005-0000-0000-0000AD120000}"/>
    <cellStyle name="20% - Accent2 4 2 2 2 2 4" xfId="16972" xr:uid="{00000000-0005-0000-0000-0000AE120000}"/>
    <cellStyle name="20% - Accent2 4 2 2 2 2 5" xfId="24074" xr:uid="{00000000-0005-0000-0000-0000AF120000}"/>
    <cellStyle name="20% - Accent2 4 2 2 2 2 6" xfId="31176" xr:uid="{00000000-0005-0000-0000-0000B0120000}"/>
    <cellStyle name="20% - Accent2 4 2 2 2 2 7" xfId="36543" xr:uid="{00000000-0005-0000-0000-0000B1120000}"/>
    <cellStyle name="20% - Accent2 4 2 2 2 3" xfId="5610" xr:uid="{00000000-0005-0000-0000-0000B2120000}"/>
    <cellStyle name="20% - Accent2 4 2 2 2 3 2" xfId="12711" xr:uid="{00000000-0005-0000-0000-0000B3120000}"/>
    <cellStyle name="20% - Accent2 4 2 2 2 3 3" xfId="19812" xr:uid="{00000000-0005-0000-0000-0000B4120000}"/>
    <cellStyle name="20% - Accent2 4 2 2 2 3 4" xfId="26914" xr:uid="{00000000-0005-0000-0000-0000B5120000}"/>
    <cellStyle name="20% - Accent2 4 2 2 2 3 5" xfId="34016" xr:uid="{00000000-0005-0000-0000-0000B6120000}"/>
    <cellStyle name="20% - Accent2 4 2 2 2 4" xfId="4185" xr:uid="{00000000-0005-0000-0000-0000B7120000}"/>
    <cellStyle name="20% - Accent2 4 2 2 2 4 2" xfId="11291" xr:uid="{00000000-0005-0000-0000-0000B8120000}"/>
    <cellStyle name="20% - Accent2 4 2 2 2 4 3" xfId="18392" xr:uid="{00000000-0005-0000-0000-0000B9120000}"/>
    <cellStyle name="20% - Accent2 4 2 2 2 4 4" xfId="25494" xr:uid="{00000000-0005-0000-0000-0000BA120000}"/>
    <cellStyle name="20% - Accent2 4 2 2 2 4 5" xfId="32596" xr:uid="{00000000-0005-0000-0000-0000BB120000}"/>
    <cellStyle name="20% - Accent2 4 2 2 2 5" xfId="8451" xr:uid="{00000000-0005-0000-0000-0000BC120000}"/>
    <cellStyle name="20% - Accent2 4 2 2 2 6" xfId="15552" xr:uid="{00000000-0005-0000-0000-0000BD120000}"/>
    <cellStyle name="20% - Accent2 4 2 2 2 7" xfId="22654" xr:uid="{00000000-0005-0000-0000-0000BE120000}"/>
    <cellStyle name="20% - Accent2 4 2 2 2 8" xfId="29756" xr:uid="{00000000-0005-0000-0000-0000BF120000}"/>
    <cellStyle name="20% - Accent2 4 2 2 2 9" xfId="36544" xr:uid="{00000000-0005-0000-0000-0000C0120000}"/>
    <cellStyle name="20% - Accent2 4 2 2 3" xfId="1982" xr:uid="{00000000-0005-0000-0000-0000C1120000}"/>
    <cellStyle name="20% - Accent2 4 2 2 3 2" xfId="6250" xr:uid="{00000000-0005-0000-0000-0000C2120000}"/>
    <cellStyle name="20% - Accent2 4 2 2 3 2 2" xfId="13350" xr:uid="{00000000-0005-0000-0000-0000C3120000}"/>
    <cellStyle name="20% - Accent2 4 2 2 3 2 3" xfId="20451" xr:uid="{00000000-0005-0000-0000-0000C4120000}"/>
    <cellStyle name="20% - Accent2 4 2 2 3 2 4" xfId="27553" xr:uid="{00000000-0005-0000-0000-0000C5120000}"/>
    <cellStyle name="20% - Accent2 4 2 2 3 2 5" xfId="34655" xr:uid="{00000000-0005-0000-0000-0000C6120000}"/>
    <cellStyle name="20% - Accent2 4 2 2 3 2 6" xfId="36545" xr:uid="{00000000-0005-0000-0000-0000C7120000}"/>
    <cellStyle name="20% - Accent2 4 2 2 3 3" xfId="9090" xr:uid="{00000000-0005-0000-0000-0000C8120000}"/>
    <cellStyle name="20% - Accent2 4 2 2 3 4" xfId="16191" xr:uid="{00000000-0005-0000-0000-0000C9120000}"/>
    <cellStyle name="20% - Accent2 4 2 2 3 5" xfId="23293" xr:uid="{00000000-0005-0000-0000-0000CA120000}"/>
    <cellStyle name="20% - Accent2 4 2 2 3 6" xfId="30395" xr:uid="{00000000-0005-0000-0000-0000CB120000}"/>
    <cellStyle name="20% - Accent2 4 2 2 3 7" xfId="36546" xr:uid="{00000000-0005-0000-0000-0000CC120000}"/>
    <cellStyle name="20% - Accent2 4 2 2 4" xfId="4829" xr:uid="{00000000-0005-0000-0000-0000CD120000}"/>
    <cellStyle name="20% - Accent2 4 2 2 4 2" xfId="11930" xr:uid="{00000000-0005-0000-0000-0000CE120000}"/>
    <cellStyle name="20% - Accent2 4 2 2 4 3" xfId="19031" xr:uid="{00000000-0005-0000-0000-0000CF120000}"/>
    <cellStyle name="20% - Accent2 4 2 2 4 4" xfId="26133" xr:uid="{00000000-0005-0000-0000-0000D0120000}"/>
    <cellStyle name="20% - Accent2 4 2 2 4 5" xfId="33235" xr:uid="{00000000-0005-0000-0000-0000D1120000}"/>
    <cellStyle name="20% - Accent2 4 2 2 4 6" xfId="36547" xr:uid="{00000000-0005-0000-0000-0000D2120000}"/>
    <cellStyle name="20% - Accent2 4 2 2 5" xfId="3404" xr:uid="{00000000-0005-0000-0000-0000D3120000}"/>
    <cellStyle name="20% - Accent2 4 2 2 5 2" xfId="10510" xr:uid="{00000000-0005-0000-0000-0000D4120000}"/>
    <cellStyle name="20% - Accent2 4 2 2 5 3" xfId="17611" xr:uid="{00000000-0005-0000-0000-0000D5120000}"/>
    <cellStyle name="20% - Accent2 4 2 2 5 4" xfId="24713" xr:uid="{00000000-0005-0000-0000-0000D6120000}"/>
    <cellStyle name="20% - Accent2 4 2 2 5 5" xfId="31815" xr:uid="{00000000-0005-0000-0000-0000D7120000}"/>
    <cellStyle name="20% - Accent2 4 2 2 6" xfId="7670" xr:uid="{00000000-0005-0000-0000-0000D8120000}"/>
    <cellStyle name="20% - Accent2 4 2 2 7" xfId="14771" xr:uid="{00000000-0005-0000-0000-0000D9120000}"/>
    <cellStyle name="20% - Accent2 4 2 2 8" xfId="21873" xr:uid="{00000000-0005-0000-0000-0000DA120000}"/>
    <cellStyle name="20% - Accent2 4 2 2 9" xfId="28975" xr:uid="{00000000-0005-0000-0000-0000DB120000}"/>
    <cellStyle name="20% - Accent2 4 2 3" xfId="704" xr:uid="{00000000-0005-0000-0000-0000DC120000}"/>
    <cellStyle name="20% - Accent2 4 2 3 2" xfId="2195" xr:uid="{00000000-0005-0000-0000-0000DD120000}"/>
    <cellStyle name="20% - Accent2 4 2 3 2 2" xfId="6463" xr:uid="{00000000-0005-0000-0000-0000DE120000}"/>
    <cellStyle name="20% - Accent2 4 2 3 2 2 2" xfId="13563" xr:uid="{00000000-0005-0000-0000-0000DF120000}"/>
    <cellStyle name="20% - Accent2 4 2 3 2 2 3" xfId="20664" xr:uid="{00000000-0005-0000-0000-0000E0120000}"/>
    <cellStyle name="20% - Accent2 4 2 3 2 2 4" xfId="27766" xr:uid="{00000000-0005-0000-0000-0000E1120000}"/>
    <cellStyle name="20% - Accent2 4 2 3 2 2 5" xfId="34868" xr:uid="{00000000-0005-0000-0000-0000E2120000}"/>
    <cellStyle name="20% - Accent2 4 2 3 2 2 6" xfId="36548" xr:uid="{00000000-0005-0000-0000-0000E3120000}"/>
    <cellStyle name="20% - Accent2 4 2 3 2 3" xfId="9303" xr:uid="{00000000-0005-0000-0000-0000E4120000}"/>
    <cellStyle name="20% - Accent2 4 2 3 2 4" xfId="16404" xr:uid="{00000000-0005-0000-0000-0000E5120000}"/>
    <cellStyle name="20% - Accent2 4 2 3 2 5" xfId="23506" xr:uid="{00000000-0005-0000-0000-0000E6120000}"/>
    <cellStyle name="20% - Accent2 4 2 3 2 6" xfId="30608" xr:uid="{00000000-0005-0000-0000-0000E7120000}"/>
    <cellStyle name="20% - Accent2 4 2 3 2 7" xfId="36549" xr:uid="{00000000-0005-0000-0000-0000E8120000}"/>
    <cellStyle name="20% - Accent2 4 2 3 3" xfId="5042" xr:uid="{00000000-0005-0000-0000-0000E9120000}"/>
    <cellStyle name="20% - Accent2 4 2 3 3 2" xfId="12143" xr:uid="{00000000-0005-0000-0000-0000EA120000}"/>
    <cellStyle name="20% - Accent2 4 2 3 3 2 2" xfId="36550" xr:uid="{00000000-0005-0000-0000-0000EB120000}"/>
    <cellStyle name="20% - Accent2 4 2 3 3 3" xfId="19244" xr:uid="{00000000-0005-0000-0000-0000EC120000}"/>
    <cellStyle name="20% - Accent2 4 2 3 3 4" xfId="26346" xr:uid="{00000000-0005-0000-0000-0000ED120000}"/>
    <cellStyle name="20% - Accent2 4 2 3 3 5" xfId="33448" xr:uid="{00000000-0005-0000-0000-0000EE120000}"/>
    <cellStyle name="20% - Accent2 4 2 3 3 6" xfId="36551" xr:uid="{00000000-0005-0000-0000-0000EF120000}"/>
    <cellStyle name="20% - Accent2 4 2 3 4" xfId="3617" xr:uid="{00000000-0005-0000-0000-0000F0120000}"/>
    <cellStyle name="20% - Accent2 4 2 3 4 2" xfId="10723" xr:uid="{00000000-0005-0000-0000-0000F1120000}"/>
    <cellStyle name="20% - Accent2 4 2 3 4 3" xfId="17824" xr:uid="{00000000-0005-0000-0000-0000F2120000}"/>
    <cellStyle name="20% - Accent2 4 2 3 4 4" xfId="24926" xr:uid="{00000000-0005-0000-0000-0000F3120000}"/>
    <cellStyle name="20% - Accent2 4 2 3 4 5" xfId="32028" xr:uid="{00000000-0005-0000-0000-0000F4120000}"/>
    <cellStyle name="20% - Accent2 4 2 3 4 6" xfId="36552" xr:uid="{00000000-0005-0000-0000-0000F5120000}"/>
    <cellStyle name="20% - Accent2 4 2 3 5" xfId="7883" xr:uid="{00000000-0005-0000-0000-0000F6120000}"/>
    <cellStyle name="20% - Accent2 4 2 3 6" xfId="14984" xr:uid="{00000000-0005-0000-0000-0000F7120000}"/>
    <cellStyle name="20% - Accent2 4 2 3 7" xfId="22086" xr:uid="{00000000-0005-0000-0000-0000F8120000}"/>
    <cellStyle name="20% - Accent2 4 2 3 8" xfId="29188" xr:uid="{00000000-0005-0000-0000-0000F9120000}"/>
    <cellStyle name="20% - Accent2 4 2 3 9" xfId="36553" xr:uid="{00000000-0005-0000-0000-0000FA120000}"/>
    <cellStyle name="20% - Accent2 4 2 4" xfId="917" xr:uid="{00000000-0005-0000-0000-0000FB120000}"/>
    <cellStyle name="20% - Accent2 4 2 4 2" xfId="2408" xr:uid="{00000000-0005-0000-0000-0000FC120000}"/>
    <cellStyle name="20% - Accent2 4 2 4 2 2" xfId="6676" xr:uid="{00000000-0005-0000-0000-0000FD120000}"/>
    <cellStyle name="20% - Accent2 4 2 4 2 2 2" xfId="13776" xr:uid="{00000000-0005-0000-0000-0000FE120000}"/>
    <cellStyle name="20% - Accent2 4 2 4 2 2 3" xfId="20877" xr:uid="{00000000-0005-0000-0000-0000FF120000}"/>
    <cellStyle name="20% - Accent2 4 2 4 2 2 4" xfId="27979" xr:uid="{00000000-0005-0000-0000-000000130000}"/>
    <cellStyle name="20% - Accent2 4 2 4 2 2 5" xfId="35081" xr:uid="{00000000-0005-0000-0000-000001130000}"/>
    <cellStyle name="20% - Accent2 4 2 4 2 2 6" xfId="36554" xr:uid="{00000000-0005-0000-0000-000002130000}"/>
    <cellStyle name="20% - Accent2 4 2 4 2 3" xfId="9516" xr:uid="{00000000-0005-0000-0000-000003130000}"/>
    <cellStyle name="20% - Accent2 4 2 4 2 4" xfId="16617" xr:uid="{00000000-0005-0000-0000-000004130000}"/>
    <cellStyle name="20% - Accent2 4 2 4 2 5" xfId="23719" xr:uid="{00000000-0005-0000-0000-000005130000}"/>
    <cellStyle name="20% - Accent2 4 2 4 2 6" xfId="30821" xr:uid="{00000000-0005-0000-0000-000006130000}"/>
    <cellStyle name="20% - Accent2 4 2 4 2 7" xfId="36555" xr:uid="{00000000-0005-0000-0000-000007130000}"/>
    <cellStyle name="20% - Accent2 4 2 4 3" xfId="5255" xr:uid="{00000000-0005-0000-0000-000008130000}"/>
    <cellStyle name="20% - Accent2 4 2 4 3 2" xfId="12356" xr:uid="{00000000-0005-0000-0000-000009130000}"/>
    <cellStyle name="20% - Accent2 4 2 4 3 2 2" xfId="36556" xr:uid="{00000000-0005-0000-0000-00000A130000}"/>
    <cellStyle name="20% - Accent2 4 2 4 3 3" xfId="19457" xr:uid="{00000000-0005-0000-0000-00000B130000}"/>
    <cellStyle name="20% - Accent2 4 2 4 3 4" xfId="26559" xr:uid="{00000000-0005-0000-0000-00000C130000}"/>
    <cellStyle name="20% - Accent2 4 2 4 3 5" xfId="33661" xr:uid="{00000000-0005-0000-0000-00000D130000}"/>
    <cellStyle name="20% - Accent2 4 2 4 3 6" xfId="36557" xr:uid="{00000000-0005-0000-0000-00000E130000}"/>
    <cellStyle name="20% - Accent2 4 2 4 4" xfId="3830" xr:uid="{00000000-0005-0000-0000-00000F130000}"/>
    <cellStyle name="20% - Accent2 4 2 4 4 2" xfId="10936" xr:uid="{00000000-0005-0000-0000-000010130000}"/>
    <cellStyle name="20% - Accent2 4 2 4 4 3" xfId="18037" xr:uid="{00000000-0005-0000-0000-000011130000}"/>
    <cellStyle name="20% - Accent2 4 2 4 4 4" xfId="25139" xr:uid="{00000000-0005-0000-0000-000012130000}"/>
    <cellStyle name="20% - Accent2 4 2 4 4 5" xfId="32241" xr:uid="{00000000-0005-0000-0000-000013130000}"/>
    <cellStyle name="20% - Accent2 4 2 4 4 6" xfId="36558" xr:uid="{00000000-0005-0000-0000-000014130000}"/>
    <cellStyle name="20% - Accent2 4 2 4 5" xfId="8096" xr:uid="{00000000-0005-0000-0000-000015130000}"/>
    <cellStyle name="20% - Accent2 4 2 4 6" xfId="15197" xr:uid="{00000000-0005-0000-0000-000016130000}"/>
    <cellStyle name="20% - Accent2 4 2 4 7" xfId="22299" xr:uid="{00000000-0005-0000-0000-000017130000}"/>
    <cellStyle name="20% - Accent2 4 2 4 8" xfId="29401" xr:uid="{00000000-0005-0000-0000-000018130000}"/>
    <cellStyle name="20% - Accent2 4 2 4 9" xfId="36559" xr:uid="{00000000-0005-0000-0000-000019130000}"/>
    <cellStyle name="20% - Accent2 4 2 5" xfId="1059" xr:uid="{00000000-0005-0000-0000-00001A130000}"/>
    <cellStyle name="20% - Accent2 4 2 5 2" xfId="2550" xr:uid="{00000000-0005-0000-0000-00001B130000}"/>
    <cellStyle name="20% - Accent2 4 2 5 2 2" xfId="6818" xr:uid="{00000000-0005-0000-0000-00001C130000}"/>
    <cellStyle name="20% - Accent2 4 2 5 2 2 2" xfId="13918" xr:uid="{00000000-0005-0000-0000-00001D130000}"/>
    <cellStyle name="20% - Accent2 4 2 5 2 2 3" xfId="21019" xr:uid="{00000000-0005-0000-0000-00001E130000}"/>
    <cellStyle name="20% - Accent2 4 2 5 2 2 4" xfId="28121" xr:uid="{00000000-0005-0000-0000-00001F130000}"/>
    <cellStyle name="20% - Accent2 4 2 5 2 2 5" xfId="35223" xr:uid="{00000000-0005-0000-0000-000020130000}"/>
    <cellStyle name="20% - Accent2 4 2 5 2 3" xfId="9658" xr:uid="{00000000-0005-0000-0000-000021130000}"/>
    <cellStyle name="20% - Accent2 4 2 5 2 4" xfId="16759" xr:uid="{00000000-0005-0000-0000-000022130000}"/>
    <cellStyle name="20% - Accent2 4 2 5 2 5" xfId="23861" xr:uid="{00000000-0005-0000-0000-000023130000}"/>
    <cellStyle name="20% - Accent2 4 2 5 2 6" xfId="30963" xr:uid="{00000000-0005-0000-0000-000024130000}"/>
    <cellStyle name="20% - Accent2 4 2 5 2 7" xfId="36560" xr:uid="{00000000-0005-0000-0000-000025130000}"/>
    <cellStyle name="20% - Accent2 4 2 5 3" xfId="5397" xr:uid="{00000000-0005-0000-0000-000026130000}"/>
    <cellStyle name="20% - Accent2 4 2 5 3 2" xfId="12498" xr:uid="{00000000-0005-0000-0000-000027130000}"/>
    <cellStyle name="20% - Accent2 4 2 5 3 3" xfId="19599" xr:uid="{00000000-0005-0000-0000-000028130000}"/>
    <cellStyle name="20% - Accent2 4 2 5 3 4" xfId="26701" xr:uid="{00000000-0005-0000-0000-000029130000}"/>
    <cellStyle name="20% - Accent2 4 2 5 3 5" xfId="33803" xr:uid="{00000000-0005-0000-0000-00002A130000}"/>
    <cellStyle name="20% - Accent2 4 2 5 4" xfId="3972" xr:uid="{00000000-0005-0000-0000-00002B130000}"/>
    <cellStyle name="20% - Accent2 4 2 5 4 2" xfId="11078" xr:uid="{00000000-0005-0000-0000-00002C130000}"/>
    <cellStyle name="20% - Accent2 4 2 5 4 3" xfId="18179" xr:uid="{00000000-0005-0000-0000-00002D130000}"/>
    <cellStyle name="20% - Accent2 4 2 5 4 4" xfId="25281" xr:uid="{00000000-0005-0000-0000-00002E130000}"/>
    <cellStyle name="20% - Accent2 4 2 5 4 5" xfId="32383" xr:uid="{00000000-0005-0000-0000-00002F130000}"/>
    <cellStyle name="20% - Accent2 4 2 5 5" xfId="8238" xr:uid="{00000000-0005-0000-0000-000030130000}"/>
    <cellStyle name="20% - Accent2 4 2 5 6" xfId="15339" xr:uid="{00000000-0005-0000-0000-000031130000}"/>
    <cellStyle name="20% - Accent2 4 2 5 7" xfId="22441" xr:uid="{00000000-0005-0000-0000-000032130000}"/>
    <cellStyle name="20% - Accent2 4 2 5 8" xfId="29543" xr:uid="{00000000-0005-0000-0000-000033130000}"/>
    <cellStyle name="20% - Accent2 4 2 5 9" xfId="36561" xr:uid="{00000000-0005-0000-0000-000034130000}"/>
    <cellStyle name="20% - Accent2 4 2 6" xfId="1485" xr:uid="{00000000-0005-0000-0000-000035130000}"/>
    <cellStyle name="20% - Accent2 4 2 6 2" xfId="2976" xr:uid="{00000000-0005-0000-0000-000036130000}"/>
    <cellStyle name="20% - Accent2 4 2 6 2 2" xfId="7244" xr:uid="{00000000-0005-0000-0000-000037130000}"/>
    <cellStyle name="20% - Accent2 4 2 6 2 2 2" xfId="14344" xr:uid="{00000000-0005-0000-0000-000038130000}"/>
    <cellStyle name="20% - Accent2 4 2 6 2 2 3" xfId="21445" xr:uid="{00000000-0005-0000-0000-000039130000}"/>
    <cellStyle name="20% - Accent2 4 2 6 2 2 4" xfId="28547" xr:uid="{00000000-0005-0000-0000-00003A130000}"/>
    <cellStyle name="20% - Accent2 4 2 6 2 2 5" xfId="35649" xr:uid="{00000000-0005-0000-0000-00003B130000}"/>
    <cellStyle name="20% - Accent2 4 2 6 2 3" xfId="10084" xr:uid="{00000000-0005-0000-0000-00003C130000}"/>
    <cellStyle name="20% - Accent2 4 2 6 2 4" xfId="17185" xr:uid="{00000000-0005-0000-0000-00003D130000}"/>
    <cellStyle name="20% - Accent2 4 2 6 2 5" xfId="24287" xr:uid="{00000000-0005-0000-0000-00003E130000}"/>
    <cellStyle name="20% - Accent2 4 2 6 2 6" xfId="31389" xr:uid="{00000000-0005-0000-0000-00003F130000}"/>
    <cellStyle name="20% - Accent2 4 2 6 2 7" xfId="36562" xr:uid="{00000000-0005-0000-0000-000040130000}"/>
    <cellStyle name="20% - Accent2 4 2 6 3" xfId="5823" xr:uid="{00000000-0005-0000-0000-000041130000}"/>
    <cellStyle name="20% - Accent2 4 2 6 3 2" xfId="12924" xr:uid="{00000000-0005-0000-0000-000042130000}"/>
    <cellStyle name="20% - Accent2 4 2 6 3 3" xfId="20025" xr:uid="{00000000-0005-0000-0000-000043130000}"/>
    <cellStyle name="20% - Accent2 4 2 6 3 4" xfId="27127" xr:uid="{00000000-0005-0000-0000-000044130000}"/>
    <cellStyle name="20% - Accent2 4 2 6 3 5" xfId="34229" xr:uid="{00000000-0005-0000-0000-000045130000}"/>
    <cellStyle name="20% - Accent2 4 2 6 4" xfId="4398" xr:uid="{00000000-0005-0000-0000-000046130000}"/>
    <cellStyle name="20% - Accent2 4 2 6 4 2" xfId="11504" xr:uid="{00000000-0005-0000-0000-000047130000}"/>
    <cellStyle name="20% - Accent2 4 2 6 4 3" xfId="18605" xr:uid="{00000000-0005-0000-0000-000048130000}"/>
    <cellStyle name="20% - Accent2 4 2 6 4 4" xfId="25707" xr:uid="{00000000-0005-0000-0000-000049130000}"/>
    <cellStyle name="20% - Accent2 4 2 6 4 5" xfId="32809" xr:uid="{00000000-0005-0000-0000-00004A130000}"/>
    <cellStyle name="20% - Accent2 4 2 6 5" xfId="8664" xr:uid="{00000000-0005-0000-0000-00004B130000}"/>
    <cellStyle name="20% - Accent2 4 2 6 6" xfId="15765" xr:uid="{00000000-0005-0000-0000-00004C130000}"/>
    <cellStyle name="20% - Accent2 4 2 6 7" xfId="22867" xr:uid="{00000000-0005-0000-0000-00004D130000}"/>
    <cellStyle name="20% - Accent2 4 2 6 8" xfId="29969" xr:uid="{00000000-0005-0000-0000-00004E130000}"/>
    <cellStyle name="20% - Accent2 4 2 6 9" xfId="36563" xr:uid="{00000000-0005-0000-0000-00004F130000}"/>
    <cellStyle name="20% - Accent2 4 2 7" xfId="1769" xr:uid="{00000000-0005-0000-0000-000050130000}"/>
    <cellStyle name="20% - Accent2 4 2 7 2" xfId="6037" xr:uid="{00000000-0005-0000-0000-000051130000}"/>
    <cellStyle name="20% - Accent2 4 2 7 2 2" xfId="13137" xr:uid="{00000000-0005-0000-0000-000052130000}"/>
    <cellStyle name="20% - Accent2 4 2 7 2 3" xfId="20238" xr:uid="{00000000-0005-0000-0000-000053130000}"/>
    <cellStyle name="20% - Accent2 4 2 7 2 4" xfId="27340" xr:uid="{00000000-0005-0000-0000-000054130000}"/>
    <cellStyle name="20% - Accent2 4 2 7 2 5" xfId="34442" xr:uid="{00000000-0005-0000-0000-000055130000}"/>
    <cellStyle name="20% - Accent2 4 2 7 3" xfId="8877" xr:uid="{00000000-0005-0000-0000-000056130000}"/>
    <cellStyle name="20% - Accent2 4 2 7 4" xfId="15978" xr:uid="{00000000-0005-0000-0000-000057130000}"/>
    <cellStyle name="20% - Accent2 4 2 7 5" xfId="23080" xr:uid="{00000000-0005-0000-0000-000058130000}"/>
    <cellStyle name="20% - Accent2 4 2 7 6" xfId="30182" xr:uid="{00000000-0005-0000-0000-000059130000}"/>
    <cellStyle name="20% - Accent2 4 2 7 7" xfId="36564" xr:uid="{00000000-0005-0000-0000-00005A130000}"/>
    <cellStyle name="20% - Accent2 4 2 8" xfId="4616" xr:uid="{00000000-0005-0000-0000-00005B130000}"/>
    <cellStyle name="20% - Accent2 4 2 8 2" xfId="11717" xr:uid="{00000000-0005-0000-0000-00005C130000}"/>
    <cellStyle name="20% - Accent2 4 2 8 3" xfId="18818" xr:uid="{00000000-0005-0000-0000-00005D130000}"/>
    <cellStyle name="20% - Accent2 4 2 8 4" xfId="25920" xr:uid="{00000000-0005-0000-0000-00005E130000}"/>
    <cellStyle name="20% - Accent2 4 2 8 5" xfId="33022" xr:uid="{00000000-0005-0000-0000-00005F130000}"/>
    <cellStyle name="20% - Accent2 4 2 9" xfId="3191" xr:uid="{00000000-0005-0000-0000-000060130000}"/>
    <cellStyle name="20% - Accent2 4 2 9 2" xfId="10297" xr:uid="{00000000-0005-0000-0000-000061130000}"/>
    <cellStyle name="20% - Accent2 4 2 9 3" xfId="17398" xr:uid="{00000000-0005-0000-0000-000062130000}"/>
    <cellStyle name="20% - Accent2 4 2 9 4" xfId="24500" xr:uid="{00000000-0005-0000-0000-000063130000}"/>
    <cellStyle name="20% - Accent2 4 2 9 5" xfId="31602" xr:uid="{00000000-0005-0000-0000-000064130000}"/>
    <cellStyle name="20% - Accent2 4 3" xfId="207" xr:uid="{00000000-0005-0000-0000-000065130000}"/>
    <cellStyle name="20% - Accent2 4 3 10" xfId="7386" xr:uid="{00000000-0005-0000-0000-000066130000}"/>
    <cellStyle name="20% - Accent2 4 3 11" xfId="14487" xr:uid="{00000000-0005-0000-0000-000067130000}"/>
    <cellStyle name="20% - Accent2 4 3 12" xfId="21589" xr:uid="{00000000-0005-0000-0000-000068130000}"/>
    <cellStyle name="20% - Accent2 4 3 13" xfId="28691" xr:uid="{00000000-0005-0000-0000-000069130000}"/>
    <cellStyle name="20% - Accent2 4 3 14" xfId="35793" xr:uid="{00000000-0005-0000-0000-00006A130000}"/>
    <cellStyle name="20% - Accent2 4 3 15" xfId="36565" xr:uid="{00000000-0005-0000-0000-00006B130000}"/>
    <cellStyle name="20% - Accent2 4 3 2" xfId="420" xr:uid="{00000000-0005-0000-0000-00006C130000}"/>
    <cellStyle name="20% - Accent2 4 3 2 2" xfId="1911" xr:uid="{00000000-0005-0000-0000-00006D130000}"/>
    <cellStyle name="20% - Accent2 4 3 2 2 2" xfId="6179" xr:uid="{00000000-0005-0000-0000-00006E130000}"/>
    <cellStyle name="20% - Accent2 4 3 2 2 2 2" xfId="13279" xr:uid="{00000000-0005-0000-0000-00006F130000}"/>
    <cellStyle name="20% - Accent2 4 3 2 2 2 3" xfId="20380" xr:uid="{00000000-0005-0000-0000-000070130000}"/>
    <cellStyle name="20% - Accent2 4 3 2 2 2 4" xfId="27482" xr:uid="{00000000-0005-0000-0000-000071130000}"/>
    <cellStyle name="20% - Accent2 4 3 2 2 2 5" xfId="34584" xr:uid="{00000000-0005-0000-0000-000072130000}"/>
    <cellStyle name="20% - Accent2 4 3 2 2 2 6" xfId="36566" xr:uid="{00000000-0005-0000-0000-000073130000}"/>
    <cellStyle name="20% - Accent2 4 3 2 2 3" xfId="9019" xr:uid="{00000000-0005-0000-0000-000074130000}"/>
    <cellStyle name="20% - Accent2 4 3 2 2 4" xfId="16120" xr:uid="{00000000-0005-0000-0000-000075130000}"/>
    <cellStyle name="20% - Accent2 4 3 2 2 5" xfId="23222" xr:uid="{00000000-0005-0000-0000-000076130000}"/>
    <cellStyle name="20% - Accent2 4 3 2 2 6" xfId="30324" xr:uid="{00000000-0005-0000-0000-000077130000}"/>
    <cellStyle name="20% - Accent2 4 3 2 2 7" xfId="36567" xr:uid="{00000000-0005-0000-0000-000078130000}"/>
    <cellStyle name="20% - Accent2 4 3 2 3" xfId="4758" xr:uid="{00000000-0005-0000-0000-000079130000}"/>
    <cellStyle name="20% - Accent2 4 3 2 3 2" xfId="11859" xr:uid="{00000000-0005-0000-0000-00007A130000}"/>
    <cellStyle name="20% - Accent2 4 3 2 3 2 2" xfId="36568" xr:uid="{00000000-0005-0000-0000-00007B130000}"/>
    <cellStyle name="20% - Accent2 4 3 2 3 3" xfId="18960" xr:uid="{00000000-0005-0000-0000-00007C130000}"/>
    <cellStyle name="20% - Accent2 4 3 2 3 4" xfId="26062" xr:uid="{00000000-0005-0000-0000-00007D130000}"/>
    <cellStyle name="20% - Accent2 4 3 2 3 5" xfId="33164" xr:uid="{00000000-0005-0000-0000-00007E130000}"/>
    <cellStyle name="20% - Accent2 4 3 2 3 6" xfId="36569" xr:uid="{00000000-0005-0000-0000-00007F130000}"/>
    <cellStyle name="20% - Accent2 4 3 2 4" xfId="3333" xr:uid="{00000000-0005-0000-0000-000080130000}"/>
    <cellStyle name="20% - Accent2 4 3 2 4 2" xfId="10439" xr:uid="{00000000-0005-0000-0000-000081130000}"/>
    <cellStyle name="20% - Accent2 4 3 2 4 3" xfId="17540" xr:uid="{00000000-0005-0000-0000-000082130000}"/>
    <cellStyle name="20% - Accent2 4 3 2 4 4" xfId="24642" xr:uid="{00000000-0005-0000-0000-000083130000}"/>
    <cellStyle name="20% - Accent2 4 3 2 4 5" xfId="31744" xr:uid="{00000000-0005-0000-0000-000084130000}"/>
    <cellStyle name="20% - Accent2 4 3 2 4 6" xfId="36570" xr:uid="{00000000-0005-0000-0000-000085130000}"/>
    <cellStyle name="20% - Accent2 4 3 2 5" xfId="7599" xr:uid="{00000000-0005-0000-0000-000086130000}"/>
    <cellStyle name="20% - Accent2 4 3 2 6" xfId="14700" xr:uid="{00000000-0005-0000-0000-000087130000}"/>
    <cellStyle name="20% - Accent2 4 3 2 7" xfId="21802" xr:uid="{00000000-0005-0000-0000-000088130000}"/>
    <cellStyle name="20% - Accent2 4 3 2 8" xfId="28904" xr:uid="{00000000-0005-0000-0000-000089130000}"/>
    <cellStyle name="20% - Accent2 4 3 2 9" xfId="36571" xr:uid="{00000000-0005-0000-0000-00008A130000}"/>
    <cellStyle name="20% - Accent2 4 3 3" xfId="633" xr:uid="{00000000-0005-0000-0000-00008B130000}"/>
    <cellStyle name="20% - Accent2 4 3 3 2" xfId="2124" xr:uid="{00000000-0005-0000-0000-00008C130000}"/>
    <cellStyle name="20% - Accent2 4 3 3 2 2" xfId="6392" xr:uid="{00000000-0005-0000-0000-00008D130000}"/>
    <cellStyle name="20% - Accent2 4 3 3 2 2 2" xfId="13492" xr:uid="{00000000-0005-0000-0000-00008E130000}"/>
    <cellStyle name="20% - Accent2 4 3 3 2 2 3" xfId="20593" xr:uid="{00000000-0005-0000-0000-00008F130000}"/>
    <cellStyle name="20% - Accent2 4 3 3 2 2 4" xfId="27695" xr:uid="{00000000-0005-0000-0000-000090130000}"/>
    <cellStyle name="20% - Accent2 4 3 3 2 2 5" xfId="34797" xr:uid="{00000000-0005-0000-0000-000091130000}"/>
    <cellStyle name="20% - Accent2 4 3 3 2 2 6" xfId="36572" xr:uid="{00000000-0005-0000-0000-000092130000}"/>
    <cellStyle name="20% - Accent2 4 3 3 2 3" xfId="9232" xr:uid="{00000000-0005-0000-0000-000093130000}"/>
    <cellStyle name="20% - Accent2 4 3 3 2 4" xfId="16333" xr:uid="{00000000-0005-0000-0000-000094130000}"/>
    <cellStyle name="20% - Accent2 4 3 3 2 5" xfId="23435" xr:uid="{00000000-0005-0000-0000-000095130000}"/>
    <cellStyle name="20% - Accent2 4 3 3 2 6" xfId="30537" xr:uid="{00000000-0005-0000-0000-000096130000}"/>
    <cellStyle name="20% - Accent2 4 3 3 2 7" xfId="36573" xr:uid="{00000000-0005-0000-0000-000097130000}"/>
    <cellStyle name="20% - Accent2 4 3 3 3" xfId="4971" xr:uid="{00000000-0005-0000-0000-000098130000}"/>
    <cellStyle name="20% - Accent2 4 3 3 3 2" xfId="12072" xr:uid="{00000000-0005-0000-0000-000099130000}"/>
    <cellStyle name="20% - Accent2 4 3 3 3 2 2" xfId="36574" xr:uid="{00000000-0005-0000-0000-00009A130000}"/>
    <cellStyle name="20% - Accent2 4 3 3 3 3" xfId="19173" xr:uid="{00000000-0005-0000-0000-00009B130000}"/>
    <cellStyle name="20% - Accent2 4 3 3 3 4" xfId="26275" xr:uid="{00000000-0005-0000-0000-00009C130000}"/>
    <cellStyle name="20% - Accent2 4 3 3 3 5" xfId="33377" xr:uid="{00000000-0005-0000-0000-00009D130000}"/>
    <cellStyle name="20% - Accent2 4 3 3 3 6" xfId="36575" xr:uid="{00000000-0005-0000-0000-00009E130000}"/>
    <cellStyle name="20% - Accent2 4 3 3 4" xfId="3546" xr:uid="{00000000-0005-0000-0000-00009F130000}"/>
    <cellStyle name="20% - Accent2 4 3 3 4 2" xfId="10652" xr:uid="{00000000-0005-0000-0000-0000A0130000}"/>
    <cellStyle name="20% - Accent2 4 3 3 4 3" xfId="17753" xr:uid="{00000000-0005-0000-0000-0000A1130000}"/>
    <cellStyle name="20% - Accent2 4 3 3 4 4" xfId="24855" xr:uid="{00000000-0005-0000-0000-0000A2130000}"/>
    <cellStyle name="20% - Accent2 4 3 3 4 5" xfId="31957" xr:uid="{00000000-0005-0000-0000-0000A3130000}"/>
    <cellStyle name="20% - Accent2 4 3 3 4 6" xfId="36576" xr:uid="{00000000-0005-0000-0000-0000A4130000}"/>
    <cellStyle name="20% - Accent2 4 3 3 5" xfId="7812" xr:uid="{00000000-0005-0000-0000-0000A5130000}"/>
    <cellStyle name="20% - Accent2 4 3 3 6" xfId="14913" xr:uid="{00000000-0005-0000-0000-0000A6130000}"/>
    <cellStyle name="20% - Accent2 4 3 3 7" xfId="22015" xr:uid="{00000000-0005-0000-0000-0000A7130000}"/>
    <cellStyle name="20% - Accent2 4 3 3 8" xfId="29117" xr:uid="{00000000-0005-0000-0000-0000A8130000}"/>
    <cellStyle name="20% - Accent2 4 3 3 9" xfId="36577" xr:uid="{00000000-0005-0000-0000-0000A9130000}"/>
    <cellStyle name="20% - Accent2 4 3 4" xfId="846" xr:uid="{00000000-0005-0000-0000-0000AA130000}"/>
    <cellStyle name="20% - Accent2 4 3 4 2" xfId="2337" xr:uid="{00000000-0005-0000-0000-0000AB130000}"/>
    <cellStyle name="20% - Accent2 4 3 4 2 2" xfId="6605" xr:uid="{00000000-0005-0000-0000-0000AC130000}"/>
    <cellStyle name="20% - Accent2 4 3 4 2 2 2" xfId="13705" xr:uid="{00000000-0005-0000-0000-0000AD130000}"/>
    <cellStyle name="20% - Accent2 4 3 4 2 2 3" xfId="20806" xr:uid="{00000000-0005-0000-0000-0000AE130000}"/>
    <cellStyle name="20% - Accent2 4 3 4 2 2 4" xfId="27908" xr:uid="{00000000-0005-0000-0000-0000AF130000}"/>
    <cellStyle name="20% - Accent2 4 3 4 2 2 5" xfId="35010" xr:uid="{00000000-0005-0000-0000-0000B0130000}"/>
    <cellStyle name="20% - Accent2 4 3 4 2 2 6" xfId="36578" xr:uid="{00000000-0005-0000-0000-0000B1130000}"/>
    <cellStyle name="20% - Accent2 4 3 4 2 3" xfId="9445" xr:uid="{00000000-0005-0000-0000-0000B2130000}"/>
    <cellStyle name="20% - Accent2 4 3 4 2 4" xfId="16546" xr:uid="{00000000-0005-0000-0000-0000B3130000}"/>
    <cellStyle name="20% - Accent2 4 3 4 2 5" xfId="23648" xr:uid="{00000000-0005-0000-0000-0000B4130000}"/>
    <cellStyle name="20% - Accent2 4 3 4 2 6" xfId="30750" xr:uid="{00000000-0005-0000-0000-0000B5130000}"/>
    <cellStyle name="20% - Accent2 4 3 4 2 7" xfId="36579" xr:uid="{00000000-0005-0000-0000-0000B6130000}"/>
    <cellStyle name="20% - Accent2 4 3 4 3" xfId="5184" xr:uid="{00000000-0005-0000-0000-0000B7130000}"/>
    <cellStyle name="20% - Accent2 4 3 4 3 2" xfId="12285" xr:uid="{00000000-0005-0000-0000-0000B8130000}"/>
    <cellStyle name="20% - Accent2 4 3 4 3 2 2" xfId="36580" xr:uid="{00000000-0005-0000-0000-0000B9130000}"/>
    <cellStyle name="20% - Accent2 4 3 4 3 3" xfId="19386" xr:uid="{00000000-0005-0000-0000-0000BA130000}"/>
    <cellStyle name="20% - Accent2 4 3 4 3 4" xfId="26488" xr:uid="{00000000-0005-0000-0000-0000BB130000}"/>
    <cellStyle name="20% - Accent2 4 3 4 3 5" xfId="33590" xr:uid="{00000000-0005-0000-0000-0000BC130000}"/>
    <cellStyle name="20% - Accent2 4 3 4 3 6" xfId="36581" xr:uid="{00000000-0005-0000-0000-0000BD130000}"/>
    <cellStyle name="20% - Accent2 4 3 4 4" xfId="3759" xr:uid="{00000000-0005-0000-0000-0000BE130000}"/>
    <cellStyle name="20% - Accent2 4 3 4 4 2" xfId="10865" xr:uid="{00000000-0005-0000-0000-0000BF130000}"/>
    <cellStyle name="20% - Accent2 4 3 4 4 3" xfId="17966" xr:uid="{00000000-0005-0000-0000-0000C0130000}"/>
    <cellStyle name="20% - Accent2 4 3 4 4 4" xfId="25068" xr:uid="{00000000-0005-0000-0000-0000C1130000}"/>
    <cellStyle name="20% - Accent2 4 3 4 4 5" xfId="32170" xr:uid="{00000000-0005-0000-0000-0000C2130000}"/>
    <cellStyle name="20% - Accent2 4 3 4 4 6" xfId="36582" xr:uid="{00000000-0005-0000-0000-0000C3130000}"/>
    <cellStyle name="20% - Accent2 4 3 4 5" xfId="8025" xr:uid="{00000000-0005-0000-0000-0000C4130000}"/>
    <cellStyle name="20% - Accent2 4 3 4 6" xfId="15126" xr:uid="{00000000-0005-0000-0000-0000C5130000}"/>
    <cellStyle name="20% - Accent2 4 3 4 7" xfId="22228" xr:uid="{00000000-0005-0000-0000-0000C6130000}"/>
    <cellStyle name="20% - Accent2 4 3 4 8" xfId="29330" xr:uid="{00000000-0005-0000-0000-0000C7130000}"/>
    <cellStyle name="20% - Accent2 4 3 4 9" xfId="36583" xr:uid="{00000000-0005-0000-0000-0000C8130000}"/>
    <cellStyle name="20% - Accent2 4 3 5" xfId="1201" xr:uid="{00000000-0005-0000-0000-0000C9130000}"/>
    <cellStyle name="20% - Accent2 4 3 5 2" xfId="2692" xr:uid="{00000000-0005-0000-0000-0000CA130000}"/>
    <cellStyle name="20% - Accent2 4 3 5 2 2" xfId="6960" xr:uid="{00000000-0005-0000-0000-0000CB130000}"/>
    <cellStyle name="20% - Accent2 4 3 5 2 2 2" xfId="14060" xr:uid="{00000000-0005-0000-0000-0000CC130000}"/>
    <cellStyle name="20% - Accent2 4 3 5 2 2 3" xfId="21161" xr:uid="{00000000-0005-0000-0000-0000CD130000}"/>
    <cellStyle name="20% - Accent2 4 3 5 2 2 4" xfId="28263" xr:uid="{00000000-0005-0000-0000-0000CE130000}"/>
    <cellStyle name="20% - Accent2 4 3 5 2 2 5" xfId="35365" xr:uid="{00000000-0005-0000-0000-0000CF130000}"/>
    <cellStyle name="20% - Accent2 4 3 5 2 3" xfId="9800" xr:uid="{00000000-0005-0000-0000-0000D0130000}"/>
    <cellStyle name="20% - Accent2 4 3 5 2 4" xfId="16901" xr:uid="{00000000-0005-0000-0000-0000D1130000}"/>
    <cellStyle name="20% - Accent2 4 3 5 2 5" xfId="24003" xr:uid="{00000000-0005-0000-0000-0000D2130000}"/>
    <cellStyle name="20% - Accent2 4 3 5 2 6" xfId="31105" xr:uid="{00000000-0005-0000-0000-0000D3130000}"/>
    <cellStyle name="20% - Accent2 4 3 5 2 7" xfId="36584" xr:uid="{00000000-0005-0000-0000-0000D4130000}"/>
    <cellStyle name="20% - Accent2 4 3 5 3" xfId="5539" xr:uid="{00000000-0005-0000-0000-0000D5130000}"/>
    <cellStyle name="20% - Accent2 4 3 5 3 2" xfId="12640" xr:uid="{00000000-0005-0000-0000-0000D6130000}"/>
    <cellStyle name="20% - Accent2 4 3 5 3 3" xfId="19741" xr:uid="{00000000-0005-0000-0000-0000D7130000}"/>
    <cellStyle name="20% - Accent2 4 3 5 3 4" xfId="26843" xr:uid="{00000000-0005-0000-0000-0000D8130000}"/>
    <cellStyle name="20% - Accent2 4 3 5 3 5" xfId="33945" xr:uid="{00000000-0005-0000-0000-0000D9130000}"/>
    <cellStyle name="20% - Accent2 4 3 5 4" xfId="4114" xr:uid="{00000000-0005-0000-0000-0000DA130000}"/>
    <cellStyle name="20% - Accent2 4 3 5 4 2" xfId="11220" xr:uid="{00000000-0005-0000-0000-0000DB130000}"/>
    <cellStyle name="20% - Accent2 4 3 5 4 3" xfId="18321" xr:uid="{00000000-0005-0000-0000-0000DC130000}"/>
    <cellStyle name="20% - Accent2 4 3 5 4 4" xfId="25423" xr:uid="{00000000-0005-0000-0000-0000DD130000}"/>
    <cellStyle name="20% - Accent2 4 3 5 4 5" xfId="32525" xr:uid="{00000000-0005-0000-0000-0000DE130000}"/>
    <cellStyle name="20% - Accent2 4 3 5 5" xfId="8380" xr:uid="{00000000-0005-0000-0000-0000DF130000}"/>
    <cellStyle name="20% - Accent2 4 3 5 6" xfId="15481" xr:uid="{00000000-0005-0000-0000-0000E0130000}"/>
    <cellStyle name="20% - Accent2 4 3 5 7" xfId="22583" xr:uid="{00000000-0005-0000-0000-0000E1130000}"/>
    <cellStyle name="20% - Accent2 4 3 5 8" xfId="29685" xr:uid="{00000000-0005-0000-0000-0000E2130000}"/>
    <cellStyle name="20% - Accent2 4 3 5 9" xfId="36585" xr:uid="{00000000-0005-0000-0000-0000E3130000}"/>
    <cellStyle name="20% - Accent2 4 3 6" xfId="1414" xr:uid="{00000000-0005-0000-0000-0000E4130000}"/>
    <cellStyle name="20% - Accent2 4 3 6 2" xfId="2905" xr:uid="{00000000-0005-0000-0000-0000E5130000}"/>
    <cellStyle name="20% - Accent2 4 3 6 2 2" xfId="7173" xr:uid="{00000000-0005-0000-0000-0000E6130000}"/>
    <cellStyle name="20% - Accent2 4 3 6 2 2 2" xfId="14273" xr:uid="{00000000-0005-0000-0000-0000E7130000}"/>
    <cellStyle name="20% - Accent2 4 3 6 2 2 3" xfId="21374" xr:uid="{00000000-0005-0000-0000-0000E8130000}"/>
    <cellStyle name="20% - Accent2 4 3 6 2 2 4" xfId="28476" xr:uid="{00000000-0005-0000-0000-0000E9130000}"/>
    <cellStyle name="20% - Accent2 4 3 6 2 2 5" xfId="35578" xr:uid="{00000000-0005-0000-0000-0000EA130000}"/>
    <cellStyle name="20% - Accent2 4 3 6 2 3" xfId="10013" xr:uid="{00000000-0005-0000-0000-0000EB130000}"/>
    <cellStyle name="20% - Accent2 4 3 6 2 4" xfId="17114" xr:uid="{00000000-0005-0000-0000-0000EC130000}"/>
    <cellStyle name="20% - Accent2 4 3 6 2 5" xfId="24216" xr:uid="{00000000-0005-0000-0000-0000ED130000}"/>
    <cellStyle name="20% - Accent2 4 3 6 2 6" xfId="31318" xr:uid="{00000000-0005-0000-0000-0000EE130000}"/>
    <cellStyle name="20% - Accent2 4 3 6 2 7" xfId="36586" xr:uid="{00000000-0005-0000-0000-0000EF130000}"/>
    <cellStyle name="20% - Accent2 4 3 6 3" xfId="5752" xr:uid="{00000000-0005-0000-0000-0000F0130000}"/>
    <cellStyle name="20% - Accent2 4 3 6 3 2" xfId="12853" xr:uid="{00000000-0005-0000-0000-0000F1130000}"/>
    <cellStyle name="20% - Accent2 4 3 6 3 3" xfId="19954" xr:uid="{00000000-0005-0000-0000-0000F2130000}"/>
    <cellStyle name="20% - Accent2 4 3 6 3 4" xfId="27056" xr:uid="{00000000-0005-0000-0000-0000F3130000}"/>
    <cellStyle name="20% - Accent2 4 3 6 3 5" xfId="34158" xr:uid="{00000000-0005-0000-0000-0000F4130000}"/>
    <cellStyle name="20% - Accent2 4 3 6 4" xfId="4327" xr:uid="{00000000-0005-0000-0000-0000F5130000}"/>
    <cellStyle name="20% - Accent2 4 3 6 4 2" xfId="11433" xr:uid="{00000000-0005-0000-0000-0000F6130000}"/>
    <cellStyle name="20% - Accent2 4 3 6 4 3" xfId="18534" xr:uid="{00000000-0005-0000-0000-0000F7130000}"/>
    <cellStyle name="20% - Accent2 4 3 6 4 4" xfId="25636" xr:uid="{00000000-0005-0000-0000-0000F8130000}"/>
    <cellStyle name="20% - Accent2 4 3 6 4 5" xfId="32738" xr:uid="{00000000-0005-0000-0000-0000F9130000}"/>
    <cellStyle name="20% - Accent2 4 3 6 5" xfId="8593" xr:uid="{00000000-0005-0000-0000-0000FA130000}"/>
    <cellStyle name="20% - Accent2 4 3 6 6" xfId="15694" xr:uid="{00000000-0005-0000-0000-0000FB130000}"/>
    <cellStyle name="20% - Accent2 4 3 6 7" xfId="22796" xr:uid="{00000000-0005-0000-0000-0000FC130000}"/>
    <cellStyle name="20% - Accent2 4 3 6 8" xfId="29898" xr:uid="{00000000-0005-0000-0000-0000FD130000}"/>
    <cellStyle name="20% - Accent2 4 3 6 9" xfId="36587" xr:uid="{00000000-0005-0000-0000-0000FE130000}"/>
    <cellStyle name="20% - Accent2 4 3 7" xfId="1698" xr:uid="{00000000-0005-0000-0000-0000FF130000}"/>
    <cellStyle name="20% - Accent2 4 3 7 2" xfId="5966" xr:uid="{00000000-0005-0000-0000-000000140000}"/>
    <cellStyle name="20% - Accent2 4 3 7 2 2" xfId="13066" xr:uid="{00000000-0005-0000-0000-000001140000}"/>
    <cellStyle name="20% - Accent2 4 3 7 2 3" xfId="20167" xr:uid="{00000000-0005-0000-0000-000002140000}"/>
    <cellStyle name="20% - Accent2 4 3 7 2 4" xfId="27269" xr:uid="{00000000-0005-0000-0000-000003140000}"/>
    <cellStyle name="20% - Accent2 4 3 7 2 5" xfId="34371" xr:uid="{00000000-0005-0000-0000-000004140000}"/>
    <cellStyle name="20% - Accent2 4 3 7 3" xfId="8806" xr:uid="{00000000-0005-0000-0000-000005140000}"/>
    <cellStyle name="20% - Accent2 4 3 7 4" xfId="15907" xr:uid="{00000000-0005-0000-0000-000006140000}"/>
    <cellStyle name="20% - Accent2 4 3 7 5" xfId="23009" xr:uid="{00000000-0005-0000-0000-000007140000}"/>
    <cellStyle name="20% - Accent2 4 3 7 6" xfId="30111" xr:uid="{00000000-0005-0000-0000-000008140000}"/>
    <cellStyle name="20% - Accent2 4 3 7 7" xfId="36588" xr:uid="{00000000-0005-0000-0000-000009140000}"/>
    <cellStyle name="20% - Accent2 4 3 8" xfId="4545" xr:uid="{00000000-0005-0000-0000-00000A140000}"/>
    <cellStyle name="20% - Accent2 4 3 8 2" xfId="11646" xr:uid="{00000000-0005-0000-0000-00000B140000}"/>
    <cellStyle name="20% - Accent2 4 3 8 3" xfId="18747" xr:uid="{00000000-0005-0000-0000-00000C140000}"/>
    <cellStyle name="20% - Accent2 4 3 8 4" xfId="25849" xr:uid="{00000000-0005-0000-0000-00000D140000}"/>
    <cellStyle name="20% - Accent2 4 3 8 5" xfId="32951" xr:uid="{00000000-0005-0000-0000-00000E140000}"/>
    <cellStyle name="20% - Accent2 4 3 9" xfId="3120" xr:uid="{00000000-0005-0000-0000-00000F140000}"/>
    <cellStyle name="20% - Accent2 4 3 9 2" xfId="10226" xr:uid="{00000000-0005-0000-0000-000010140000}"/>
    <cellStyle name="20% - Accent2 4 3 9 3" xfId="17327" xr:uid="{00000000-0005-0000-0000-000011140000}"/>
    <cellStyle name="20% - Accent2 4 3 9 4" xfId="24429" xr:uid="{00000000-0005-0000-0000-000012140000}"/>
    <cellStyle name="20% - Accent2 4 3 9 5" xfId="31531" xr:uid="{00000000-0005-0000-0000-000013140000}"/>
    <cellStyle name="20% - Accent2 4 4" xfId="349" xr:uid="{00000000-0005-0000-0000-000014140000}"/>
    <cellStyle name="20% - Accent2 4 4 10" xfId="36589" xr:uid="{00000000-0005-0000-0000-000015140000}"/>
    <cellStyle name="20% - Accent2 4 4 2" xfId="1130" xr:uid="{00000000-0005-0000-0000-000016140000}"/>
    <cellStyle name="20% - Accent2 4 4 2 2" xfId="2621" xr:uid="{00000000-0005-0000-0000-000017140000}"/>
    <cellStyle name="20% - Accent2 4 4 2 2 2" xfId="6889" xr:uid="{00000000-0005-0000-0000-000018140000}"/>
    <cellStyle name="20% - Accent2 4 4 2 2 2 2" xfId="13989" xr:uid="{00000000-0005-0000-0000-000019140000}"/>
    <cellStyle name="20% - Accent2 4 4 2 2 2 3" xfId="21090" xr:uid="{00000000-0005-0000-0000-00001A140000}"/>
    <cellStyle name="20% - Accent2 4 4 2 2 2 4" xfId="28192" xr:uid="{00000000-0005-0000-0000-00001B140000}"/>
    <cellStyle name="20% - Accent2 4 4 2 2 2 5" xfId="35294" xr:uid="{00000000-0005-0000-0000-00001C140000}"/>
    <cellStyle name="20% - Accent2 4 4 2 2 3" xfId="9729" xr:uid="{00000000-0005-0000-0000-00001D140000}"/>
    <cellStyle name="20% - Accent2 4 4 2 2 4" xfId="16830" xr:uid="{00000000-0005-0000-0000-00001E140000}"/>
    <cellStyle name="20% - Accent2 4 4 2 2 5" xfId="23932" xr:uid="{00000000-0005-0000-0000-00001F140000}"/>
    <cellStyle name="20% - Accent2 4 4 2 2 6" xfId="31034" xr:uid="{00000000-0005-0000-0000-000020140000}"/>
    <cellStyle name="20% - Accent2 4 4 2 2 7" xfId="36590" xr:uid="{00000000-0005-0000-0000-000021140000}"/>
    <cellStyle name="20% - Accent2 4 4 2 3" xfId="5468" xr:uid="{00000000-0005-0000-0000-000022140000}"/>
    <cellStyle name="20% - Accent2 4 4 2 3 2" xfId="12569" xr:uid="{00000000-0005-0000-0000-000023140000}"/>
    <cellStyle name="20% - Accent2 4 4 2 3 3" xfId="19670" xr:uid="{00000000-0005-0000-0000-000024140000}"/>
    <cellStyle name="20% - Accent2 4 4 2 3 4" xfId="26772" xr:uid="{00000000-0005-0000-0000-000025140000}"/>
    <cellStyle name="20% - Accent2 4 4 2 3 5" xfId="33874" xr:uid="{00000000-0005-0000-0000-000026140000}"/>
    <cellStyle name="20% - Accent2 4 4 2 4" xfId="4043" xr:uid="{00000000-0005-0000-0000-000027140000}"/>
    <cellStyle name="20% - Accent2 4 4 2 4 2" xfId="11149" xr:uid="{00000000-0005-0000-0000-000028140000}"/>
    <cellStyle name="20% - Accent2 4 4 2 4 3" xfId="18250" xr:uid="{00000000-0005-0000-0000-000029140000}"/>
    <cellStyle name="20% - Accent2 4 4 2 4 4" xfId="25352" xr:uid="{00000000-0005-0000-0000-00002A140000}"/>
    <cellStyle name="20% - Accent2 4 4 2 4 5" xfId="32454" xr:uid="{00000000-0005-0000-0000-00002B140000}"/>
    <cellStyle name="20% - Accent2 4 4 2 5" xfId="8309" xr:uid="{00000000-0005-0000-0000-00002C140000}"/>
    <cellStyle name="20% - Accent2 4 4 2 6" xfId="15410" xr:uid="{00000000-0005-0000-0000-00002D140000}"/>
    <cellStyle name="20% - Accent2 4 4 2 7" xfId="22512" xr:uid="{00000000-0005-0000-0000-00002E140000}"/>
    <cellStyle name="20% - Accent2 4 4 2 8" xfId="29614" xr:uid="{00000000-0005-0000-0000-00002F140000}"/>
    <cellStyle name="20% - Accent2 4 4 2 9" xfId="36591" xr:uid="{00000000-0005-0000-0000-000030140000}"/>
    <cellStyle name="20% - Accent2 4 4 3" xfId="1840" xr:uid="{00000000-0005-0000-0000-000031140000}"/>
    <cellStyle name="20% - Accent2 4 4 3 2" xfId="6108" xr:uid="{00000000-0005-0000-0000-000032140000}"/>
    <cellStyle name="20% - Accent2 4 4 3 2 2" xfId="13208" xr:uid="{00000000-0005-0000-0000-000033140000}"/>
    <cellStyle name="20% - Accent2 4 4 3 2 3" xfId="20309" xr:uid="{00000000-0005-0000-0000-000034140000}"/>
    <cellStyle name="20% - Accent2 4 4 3 2 4" xfId="27411" xr:uid="{00000000-0005-0000-0000-000035140000}"/>
    <cellStyle name="20% - Accent2 4 4 3 2 5" xfId="34513" xr:uid="{00000000-0005-0000-0000-000036140000}"/>
    <cellStyle name="20% - Accent2 4 4 3 2 6" xfId="36592" xr:uid="{00000000-0005-0000-0000-000037140000}"/>
    <cellStyle name="20% - Accent2 4 4 3 3" xfId="8948" xr:uid="{00000000-0005-0000-0000-000038140000}"/>
    <cellStyle name="20% - Accent2 4 4 3 4" xfId="16049" xr:uid="{00000000-0005-0000-0000-000039140000}"/>
    <cellStyle name="20% - Accent2 4 4 3 5" xfId="23151" xr:uid="{00000000-0005-0000-0000-00003A140000}"/>
    <cellStyle name="20% - Accent2 4 4 3 6" xfId="30253" xr:uid="{00000000-0005-0000-0000-00003B140000}"/>
    <cellStyle name="20% - Accent2 4 4 3 7" xfId="36593" xr:uid="{00000000-0005-0000-0000-00003C140000}"/>
    <cellStyle name="20% - Accent2 4 4 4" xfId="4687" xr:uid="{00000000-0005-0000-0000-00003D140000}"/>
    <cellStyle name="20% - Accent2 4 4 4 2" xfId="11788" xr:uid="{00000000-0005-0000-0000-00003E140000}"/>
    <cellStyle name="20% - Accent2 4 4 4 3" xfId="18889" xr:uid="{00000000-0005-0000-0000-00003F140000}"/>
    <cellStyle name="20% - Accent2 4 4 4 4" xfId="25991" xr:uid="{00000000-0005-0000-0000-000040140000}"/>
    <cellStyle name="20% - Accent2 4 4 4 5" xfId="33093" xr:uid="{00000000-0005-0000-0000-000041140000}"/>
    <cellStyle name="20% - Accent2 4 4 4 6" xfId="36594" xr:uid="{00000000-0005-0000-0000-000042140000}"/>
    <cellStyle name="20% - Accent2 4 4 5" xfId="3262" xr:uid="{00000000-0005-0000-0000-000043140000}"/>
    <cellStyle name="20% - Accent2 4 4 5 2" xfId="10368" xr:uid="{00000000-0005-0000-0000-000044140000}"/>
    <cellStyle name="20% - Accent2 4 4 5 3" xfId="17469" xr:uid="{00000000-0005-0000-0000-000045140000}"/>
    <cellStyle name="20% - Accent2 4 4 5 4" xfId="24571" xr:uid="{00000000-0005-0000-0000-000046140000}"/>
    <cellStyle name="20% - Accent2 4 4 5 5" xfId="31673" xr:uid="{00000000-0005-0000-0000-000047140000}"/>
    <cellStyle name="20% - Accent2 4 4 6" xfId="7528" xr:uid="{00000000-0005-0000-0000-000048140000}"/>
    <cellStyle name="20% - Accent2 4 4 7" xfId="14629" xr:uid="{00000000-0005-0000-0000-000049140000}"/>
    <cellStyle name="20% - Accent2 4 4 8" xfId="21731" xr:uid="{00000000-0005-0000-0000-00004A140000}"/>
    <cellStyle name="20% - Accent2 4 4 9" xfId="28833" xr:uid="{00000000-0005-0000-0000-00004B140000}"/>
    <cellStyle name="20% - Accent2 4 5" xfId="562" xr:uid="{00000000-0005-0000-0000-00004C140000}"/>
    <cellStyle name="20% - Accent2 4 5 2" xfId="2053" xr:uid="{00000000-0005-0000-0000-00004D140000}"/>
    <cellStyle name="20% - Accent2 4 5 2 2" xfId="6321" xr:uid="{00000000-0005-0000-0000-00004E140000}"/>
    <cellStyle name="20% - Accent2 4 5 2 2 2" xfId="13421" xr:uid="{00000000-0005-0000-0000-00004F140000}"/>
    <cellStyle name="20% - Accent2 4 5 2 2 3" xfId="20522" xr:uid="{00000000-0005-0000-0000-000050140000}"/>
    <cellStyle name="20% - Accent2 4 5 2 2 4" xfId="27624" xr:uid="{00000000-0005-0000-0000-000051140000}"/>
    <cellStyle name="20% - Accent2 4 5 2 2 5" xfId="34726" xr:uid="{00000000-0005-0000-0000-000052140000}"/>
    <cellStyle name="20% - Accent2 4 5 2 2 6" xfId="36595" xr:uid="{00000000-0005-0000-0000-000053140000}"/>
    <cellStyle name="20% - Accent2 4 5 2 3" xfId="9161" xr:uid="{00000000-0005-0000-0000-000054140000}"/>
    <cellStyle name="20% - Accent2 4 5 2 4" xfId="16262" xr:uid="{00000000-0005-0000-0000-000055140000}"/>
    <cellStyle name="20% - Accent2 4 5 2 5" xfId="23364" xr:uid="{00000000-0005-0000-0000-000056140000}"/>
    <cellStyle name="20% - Accent2 4 5 2 6" xfId="30466" xr:uid="{00000000-0005-0000-0000-000057140000}"/>
    <cellStyle name="20% - Accent2 4 5 2 7" xfId="36596" xr:uid="{00000000-0005-0000-0000-000058140000}"/>
    <cellStyle name="20% - Accent2 4 5 3" xfId="4900" xr:uid="{00000000-0005-0000-0000-000059140000}"/>
    <cellStyle name="20% - Accent2 4 5 3 2" xfId="12001" xr:uid="{00000000-0005-0000-0000-00005A140000}"/>
    <cellStyle name="20% - Accent2 4 5 3 2 2" xfId="36597" xr:uid="{00000000-0005-0000-0000-00005B140000}"/>
    <cellStyle name="20% - Accent2 4 5 3 3" xfId="19102" xr:uid="{00000000-0005-0000-0000-00005C140000}"/>
    <cellStyle name="20% - Accent2 4 5 3 4" xfId="26204" xr:uid="{00000000-0005-0000-0000-00005D140000}"/>
    <cellStyle name="20% - Accent2 4 5 3 5" xfId="33306" xr:uid="{00000000-0005-0000-0000-00005E140000}"/>
    <cellStyle name="20% - Accent2 4 5 3 6" xfId="36598" xr:uid="{00000000-0005-0000-0000-00005F140000}"/>
    <cellStyle name="20% - Accent2 4 5 4" xfId="3475" xr:uid="{00000000-0005-0000-0000-000060140000}"/>
    <cellStyle name="20% - Accent2 4 5 4 2" xfId="10581" xr:uid="{00000000-0005-0000-0000-000061140000}"/>
    <cellStyle name="20% - Accent2 4 5 4 3" xfId="17682" xr:uid="{00000000-0005-0000-0000-000062140000}"/>
    <cellStyle name="20% - Accent2 4 5 4 4" xfId="24784" xr:uid="{00000000-0005-0000-0000-000063140000}"/>
    <cellStyle name="20% - Accent2 4 5 4 5" xfId="31886" xr:uid="{00000000-0005-0000-0000-000064140000}"/>
    <cellStyle name="20% - Accent2 4 5 4 6" xfId="36599" xr:uid="{00000000-0005-0000-0000-000065140000}"/>
    <cellStyle name="20% - Accent2 4 5 5" xfId="7741" xr:uid="{00000000-0005-0000-0000-000066140000}"/>
    <cellStyle name="20% - Accent2 4 5 6" xfId="14842" xr:uid="{00000000-0005-0000-0000-000067140000}"/>
    <cellStyle name="20% - Accent2 4 5 7" xfId="21944" xr:uid="{00000000-0005-0000-0000-000068140000}"/>
    <cellStyle name="20% - Accent2 4 5 8" xfId="29046" xr:uid="{00000000-0005-0000-0000-000069140000}"/>
    <cellStyle name="20% - Accent2 4 5 9" xfId="36600" xr:uid="{00000000-0005-0000-0000-00006A140000}"/>
    <cellStyle name="20% - Accent2 4 6" xfId="775" xr:uid="{00000000-0005-0000-0000-00006B140000}"/>
    <cellStyle name="20% - Accent2 4 6 2" xfId="2266" xr:uid="{00000000-0005-0000-0000-00006C140000}"/>
    <cellStyle name="20% - Accent2 4 6 2 2" xfId="6534" xr:uid="{00000000-0005-0000-0000-00006D140000}"/>
    <cellStyle name="20% - Accent2 4 6 2 2 2" xfId="13634" xr:uid="{00000000-0005-0000-0000-00006E140000}"/>
    <cellStyle name="20% - Accent2 4 6 2 2 3" xfId="20735" xr:uid="{00000000-0005-0000-0000-00006F140000}"/>
    <cellStyle name="20% - Accent2 4 6 2 2 4" xfId="27837" xr:uid="{00000000-0005-0000-0000-000070140000}"/>
    <cellStyle name="20% - Accent2 4 6 2 2 5" xfId="34939" xr:uid="{00000000-0005-0000-0000-000071140000}"/>
    <cellStyle name="20% - Accent2 4 6 2 2 6" xfId="36601" xr:uid="{00000000-0005-0000-0000-000072140000}"/>
    <cellStyle name="20% - Accent2 4 6 2 3" xfId="9374" xr:uid="{00000000-0005-0000-0000-000073140000}"/>
    <cellStyle name="20% - Accent2 4 6 2 4" xfId="16475" xr:uid="{00000000-0005-0000-0000-000074140000}"/>
    <cellStyle name="20% - Accent2 4 6 2 5" xfId="23577" xr:uid="{00000000-0005-0000-0000-000075140000}"/>
    <cellStyle name="20% - Accent2 4 6 2 6" xfId="30679" xr:uid="{00000000-0005-0000-0000-000076140000}"/>
    <cellStyle name="20% - Accent2 4 6 2 7" xfId="36602" xr:uid="{00000000-0005-0000-0000-000077140000}"/>
    <cellStyle name="20% - Accent2 4 6 3" xfId="5113" xr:uid="{00000000-0005-0000-0000-000078140000}"/>
    <cellStyle name="20% - Accent2 4 6 3 2" xfId="12214" xr:uid="{00000000-0005-0000-0000-000079140000}"/>
    <cellStyle name="20% - Accent2 4 6 3 2 2" xfId="36603" xr:uid="{00000000-0005-0000-0000-00007A140000}"/>
    <cellStyle name="20% - Accent2 4 6 3 3" xfId="19315" xr:uid="{00000000-0005-0000-0000-00007B140000}"/>
    <cellStyle name="20% - Accent2 4 6 3 4" xfId="26417" xr:uid="{00000000-0005-0000-0000-00007C140000}"/>
    <cellStyle name="20% - Accent2 4 6 3 5" xfId="33519" xr:uid="{00000000-0005-0000-0000-00007D140000}"/>
    <cellStyle name="20% - Accent2 4 6 3 6" xfId="36604" xr:uid="{00000000-0005-0000-0000-00007E140000}"/>
    <cellStyle name="20% - Accent2 4 6 4" xfId="3688" xr:uid="{00000000-0005-0000-0000-00007F140000}"/>
    <cellStyle name="20% - Accent2 4 6 4 2" xfId="10794" xr:uid="{00000000-0005-0000-0000-000080140000}"/>
    <cellStyle name="20% - Accent2 4 6 4 3" xfId="17895" xr:uid="{00000000-0005-0000-0000-000081140000}"/>
    <cellStyle name="20% - Accent2 4 6 4 4" xfId="24997" xr:uid="{00000000-0005-0000-0000-000082140000}"/>
    <cellStyle name="20% - Accent2 4 6 4 5" xfId="32099" xr:uid="{00000000-0005-0000-0000-000083140000}"/>
    <cellStyle name="20% - Accent2 4 6 4 6" xfId="36605" xr:uid="{00000000-0005-0000-0000-000084140000}"/>
    <cellStyle name="20% - Accent2 4 6 5" xfId="7954" xr:uid="{00000000-0005-0000-0000-000085140000}"/>
    <cellStyle name="20% - Accent2 4 6 6" xfId="15055" xr:uid="{00000000-0005-0000-0000-000086140000}"/>
    <cellStyle name="20% - Accent2 4 6 7" xfId="22157" xr:uid="{00000000-0005-0000-0000-000087140000}"/>
    <cellStyle name="20% - Accent2 4 6 8" xfId="29259" xr:uid="{00000000-0005-0000-0000-000088140000}"/>
    <cellStyle name="20% - Accent2 4 6 9" xfId="36606" xr:uid="{00000000-0005-0000-0000-000089140000}"/>
    <cellStyle name="20% - Accent2 4 7" xfId="988" xr:uid="{00000000-0005-0000-0000-00008A140000}"/>
    <cellStyle name="20% - Accent2 4 7 2" xfId="2479" xr:uid="{00000000-0005-0000-0000-00008B140000}"/>
    <cellStyle name="20% - Accent2 4 7 2 2" xfId="6747" xr:uid="{00000000-0005-0000-0000-00008C140000}"/>
    <cellStyle name="20% - Accent2 4 7 2 2 2" xfId="13847" xr:uid="{00000000-0005-0000-0000-00008D140000}"/>
    <cellStyle name="20% - Accent2 4 7 2 2 3" xfId="20948" xr:uid="{00000000-0005-0000-0000-00008E140000}"/>
    <cellStyle name="20% - Accent2 4 7 2 2 4" xfId="28050" xr:uid="{00000000-0005-0000-0000-00008F140000}"/>
    <cellStyle name="20% - Accent2 4 7 2 2 5" xfId="35152" xr:uid="{00000000-0005-0000-0000-000090140000}"/>
    <cellStyle name="20% - Accent2 4 7 2 3" xfId="9587" xr:uid="{00000000-0005-0000-0000-000091140000}"/>
    <cellStyle name="20% - Accent2 4 7 2 4" xfId="16688" xr:uid="{00000000-0005-0000-0000-000092140000}"/>
    <cellStyle name="20% - Accent2 4 7 2 5" xfId="23790" xr:uid="{00000000-0005-0000-0000-000093140000}"/>
    <cellStyle name="20% - Accent2 4 7 2 6" xfId="30892" xr:uid="{00000000-0005-0000-0000-000094140000}"/>
    <cellStyle name="20% - Accent2 4 7 2 7" xfId="36607" xr:uid="{00000000-0005-0000-0000-000095140000}"/>
    <cellStyle name="20% - Accent2 4 7 3" xfId="5326" xr:uid="{00000000-0005-0000-0000-000096140000}"/>
    <cellStyle name="20% - Accent2 4 7 3 2" xfId="12427" xr:uid="{00000000-0005-0000-0000-000097140000}"/>
    <cellStyle name="20% - Accent2 4 7 3 3" xfId="19528" xr:uid="{00000000-0005-0000-0000-000098140000}"/>
    <cellStyle name="20% - Accent2 4 7 3 4" xfId="26630" xr:uid="{00000000-0005-0000-0000-000099140000}"/>
    <cellStyle name="20% - Accent2 4 7 3 5" xfId="33732" xr:uid="{00000000-0005-0000-0000-00009A140000}"/>
    <cellStyle name="20% - Accent2 4 7 4" xfId="3901" xr:uid="{00000000-0005-0000-0000-00009B140000}"/>
    <cellStyle name="20% - Accent2 4 7 4 2" xfId="11007" xr:uid="{00000000-0005-0000-0000-00009C140000}"/>
    <cellStyle name="20% - Accent2 4 7 4 3" xfId="18108" xr:uid="{00000000-0005-0000-0000-00009D140000}"/>
    <cellStyle name="20% - Accent2 4 7 4 4" xfId="25210" xr:uid="{00000000-0005-0000-0000-00009E140000}"/>
    <cellStyle name="20% - Accent2 4 7 4 5" xfId="32312" xr:uid="{00000000-0005-0000-0000-00009F140000}"/>
    <cellStyle name="20% - Accent2 4 7 5" xfId="8167" xr:uid="{00000000-0005-0000-0000-0000A0140000}"/>
    <cellStyle name="20% - Accent2 4 7 6" xfId="15268" xr:uid="{00000000-0005-0000-0000-0000A1140000}"/>
    <cellStyle name="20% - Accent2 4 7 7" xfId="22370" xr:uid="{00000000-0005-0000-0000-0000A2140000}"/>
    <cellStyle name="20% - Accent2 4 7 8" xfId="29472" xr:uid="{00000000-0005-0000-0000-0000A3140000}"/>
    <cellStyle name="20% - Accent2 4 7 9" xfId="36608" xr:uid="{00000000-0005-0000-0000-0000A4140000}"/>
    <cellStyle name="20% - Accent2 4 8" xfId="1343" xr:uid="{00000000-0005-0000-0000-0000A5140000}"/>
    <cellStyle name="20% - Accent2 4 8 2" xfId="2834" xr:uid="{00000000-0005-0000-0000-0000A6140000}"/>
    <cellStyle name="20% - Accent2 4 8 2 2" xfId="7102" xr:uid="{00000000-0005-0000-0000-0000A7140000}"/>
    <cellStyle name="20% - Accent2 4 8 2 2 2" xfId="14202" xr:uid="{00000000-0005-0000-0000-0000A8140000}"/>
    <cellStyle name="20% - Accent2 4 8 2 2 3" xfId="21303" xr:uid="{00000000-0005-0000-0000-0000A9140000}"/>
    <cellStyle name="20% - Accent2 4 8 2 2 4" xfId="28405" xr:uid="{00000000-0005-0000-0000-0000AA140000}"/>
    <cellStyle name="20% - Accent2 4 8 2 2 5" xfId="35507" xr:uid="{00000000-0005-0000-0000-0000AB140000}"/>
    <cellStyle name="20% - Accent2 4 8 2 3" xfId="9942" xr:uid="{00000000-0005-0000-0000-0000AC140000}"/>
    <cellStyle name="20% - Accent2 4 8 2 4" xfId="17043" xr:uid="{00000000-0005-0000-0000-0000AD140000}"/>
    <cellStyle name="20% - Accent2 4 8 2 5" xfId="24145" xr:uid="{00000000-0005-0000-0000-0000AE140000}"/>
    <cellStyle name="20% - Accent2 4 8 2 6" xfId="31247" xr:uid="{00000000-0005-0000-0000-0000AF140000}"/>
    <cellStyle name="20% - Accent2 4 8 2 7" xfId="36609" xr:uid="{00000000-0005-0000-0000-0000B0140000}"/>
    <cellStyle name="20% - Accent2 4 8 3" xfId="5681" xr:uid="{00000000-0005-0000-0000-0000B1140000}"/>
    <cellStyle name="20% - Accent2 4 8 3 2" xfId="12782" xr:uid="{00000000-0005-0000-0000-0000B2140000}"/>
    <cellStyle name="20% - Accent2 4 8 3 3" xfId="19883" xr:uid="{00000000-0005-0000-0000-0000B3140000}"/>
    <cellStyle name="20% - Accent2 4 8 3 4" xfId="26985" xr:uid="{00000000-0005-0000-0000-0000B4140000}"/>
    <cellStyle name="20% - Accent2 4 8 3 5" xfId="34087" xr:uid="{00000000-0005-0000-0000-0000B5140000}"/>
    <cellStyle name="20% - Accent2 4 8 4" xfId="4256" xr:uid="{00000000-0005-0000-0000-0000B6140000}"/>
    <cellStyle name="20% - Accent2 4 8 4 2" xfId="11362" xr:uid="{00000000-0005-0000-0000-0000B7140000}"/>
    <cellStyle name="20% - Accent2 4 8 4 3" xfId="18463" xr:uid="{00000000-0005-0000-0000-0000B8140000}"/>
    <cellStyle name="20% - Accent2 4 8 4 4" xfId="25565" xr:uid="{00000000-0005-0000-0000-0000B9140000}"/>
    <cellStyle name="20% - Accent2 4 8 4 5" xfId="32667" xr:uid="{00000000-0005-0000-0000-0000BA140000}"/>
    <cellStyle name="20% - Accent2 4 8 5" xfId="8522" xr:uid="{00000000-0005-0000-0000-0000BB140000}"/>
    <cellStyle name="20% - Accent2 4 8 6" xfId="15623" xr:uid="{00000000-0005-0000-0000-0000BC140000}"/>
    <cellStyle name="20% - Accent2 4 8 7" xfId="22725" xr:uid="{00000000-0005-0000-0000-0000BD140000}"/>
    <cellStyle name="20% - Accent2 4 8 8" xfId="29827" xr:uid="{00000000-0005-0000-0000-0000BE140000}"/>
    <cellStyle name="20% - Accent2 4 8 9" xfId="36610" xr:uid="{00000000-0005-0000-0000-0000BF140000}"/>
    <cellStyle name="20% - Accent2 4 9" xfId="1627" xr:uid="{00000000-0005-0000-0000-0000C0140000}"/>
    <cellStyle name="20% - Accent2 4 9 2" xfId="5895" xr:uid="{00000000-0005-0000-0000-0000C1140000}"/>
    <cellStyle name="20% - Accent2 4 9 2 2" xfId="12995" xr:uid="{00000000-0005-0000-0000-0000C2140000}"/>
    <cellStyle name="20% - Accent2 4 9 2 3" xfId="20096" xr:uid="{00000000-0005-0000-0000-0000C3140000}"/>
    <cellStyle name="20% - Accent2 4 9 2 4" xfId="27198" xr:uid="{00000000-0005-0000-0000-0000C4140000}"/>
    <cellStyle name="20% - Accent2 4 9 2 5" xfId="34300" xr:uid="{00000000-0005-0000-0000-0000C5140000}"/>
    <cellStyle name="20% - Accent2 4 9 3" xfId="8735" xr:uid="{00000000-0005-0000-0000-0000C6140000}"/>
    <cellStyle name="20% - Accent2 4 9 4" xfId="15836" xr:uid="{00000000-0005-0000-0000-0000C7140000}"/>
    <cellStyle name="20% - Accent2 4 9 5" xfId="22938" xr:uid="{00000000-0005-0000-0000-0000C8140000}"/>
    <cellStyle name="20% - Accent2 4 9 6" xfId="30040" xr:uid="{00000000-0005-0000-0000-0000C9140000}"/>
    <cellStyle name="20% - Accent2 4 9 7" xfId="36611" xr:uid="{00000000-0005-0000-0000-0000CA140000}"/>
    <cellStyle name="20% - Accent2 5" xfId="219" xr:uid="{00000000-0005-0000-0000-0000CB140000}"/>
    <cellStyle name="20% - Accent2 5 10" xfId="7398" xr:uid="{00000000-0005-0000-0000-0000CC140000}"/>
    <cellStyle name="20% - Accent2 5 11" xfId="14499" xr:uid="{00000000-0005-0000-0000-0000CD140000}"/>
    <cellStyle name="20% - Accent2 5 12" xfId="21601" xr:uid="{00000000-0005-0000-0000-0000CE140000}"/>
    <cellStyle name="20% - Accent2 5 13" xfId="28703" xr:uid="{00000000-0005-0000-0000-0000CF140000}"/>
    <cellStyle name="20% - Accent2 5 14" xfId="35805" xr:uid="{00000000-0005-0000-0000-0000D0140000}"/>
    <cellStyle name="20% - Accent2 5 15" xfId="36612" xr:uid="{00000000-0005-0000-0000-0000D1140000}"/>
    <cellStyle name="20% - Accent2 5 2" xfId="432" xr:uid="{00000000-0005-0000-0000-0000D2140000}"/>
    <cellStyle name="20% - Accent2 5 2 10" xfId="36613" xr:uid="{00000000-0005-0000-0000-0000D3140000}"/>
    <cellStyle name="20% - Accent2 5 2 2" xfId="1213" xr:uid="{00000000-0005-0000-0000-0000D4140000}"/>
    <cellStyle name="20% - Accent2 5 2 2 2" xfId="2704" xr:uid="{00000000-0005-0000-0000-0000D5140000}"/>
    <cellStyle name="20% - Accent2 5 2 2 2 2" xfId="6972" xr:uid="{00000000-0005-0000-0000-0000D6140000}"/>
    <cellStyle name="20% - Accent2 5 2 2 2 2 2" xfId="14072" xr:uid="{00000000-0005-0000-0000-0000D7140000}"/>
    <cellStyle name="20% - Accent2 5 2 2 2 2 3" xfId="21173" xr:uid="{00000000-0005-0000-0000-0000D8140000}"/>
    <cellStyle name="20% - Accent2 5 2 2 2 2 4" xfId="28275" xr:uid="{00000000-0005-0000-0000-0000D9140000}"/>
    <cellStyle name="20% - Accent2 5 2 2 2 2 5" xfId="35377" xr:uid="{00000000-0005-0000-0000-0000DA140000}"/>
    <cellStyle name="20% - Accent2 5 2 2 2 3" xfId="9812" xr:uid="{00000000-0005-0000-0000-0000DB140000}"/>
    <cellStyle name="20% - Accent2 5 2 2 2 4" xfId="16913" xr:uid="{00000000-0005-0000-0000-0000DC140000}"/>
    <cellStyle name="20% - Accent2 5 2 2 2 5" xfId="24015" xr:uid="{00000000-0005-0000-0000-0000DD140000}"/>
    <cellStyle name="20% - Accent2 5 2 2 2 6" xfId="31117" xr:uid="{00000000-0005-0000-0000-0000DE140000}"/>
    <cellStyle name="20% - Accent2 5 2 2 2 7" xfId="36614" xr:uid="{00000000-0005-0000-0000-0000DF140000}"/>
    <cellStyle name="20% - Accent2 5 2 2 3" xfId="5551" xr:uid="{00000000-0005-0000-0000-0000E0140000}"/>
    <cellStyle name="20% - Accent2 5 2 2 3 2" xfId="12652" xr:uid="{00000000-0005-0000-0000-0000E1140000}"/>
    <cellStyle name="20% - Accent2 5 2 2 3 3" xfId="19753" xr:uid="{00000000-0005-0000-0000-0000E2140000}"/>
    <cellStyle name="20% - Accent2 5 2 2 3 4" xfId="26855" xr:uid="{00000000-0005-0000-0000-0000E3140000}"/>
    <cellStyle name="20% - Accent2 5 2 2 3 5" xfId="33957" xr:uid="{00000000-0005-0000-0000-0000E4140000}"/>
    <cellStyle name="20% - Accent2 5 2 2 4" xfId="4126" xr:uid="{00000000-0005-0000-0000-0000E5140000}"/>
    <cellStyle name="20% - Accent2 5 2 2 4 2" xfId="11232" xr:uid="{00000000-0005-0000-0000-0000E6140000}"/>
    <cellStyle name="20% - Accent2 5 2 2 4 3" xfId="18333" xr:uid="{00000000-0005-0000-0000-0000E7140000}"/>
    <cellStyle name="20% - Accent2 5 2 2 4 4" xfId="25435" xr:uid="{00000000-0005-0000-0000-0000E8140000}"/>
    <cellStyle name="20% - Accent2 5 2 2 4 5" xfId="32537" xr:uid="{00000000-0005-0000-0000-0000E9140000}"/>
    <cellStyle name="20% - Accent2 5 2 2 5" xfId="8392" xr:uid="{00000000-0005-0000-0000-0000EA140000}"/>
    <cellStyle name="20% - Accent2 5 2 2 6" xfId="15493" xr:uid="{00000000-0005-0000-0000-0000EB140000}"/>
    <cellStyle name="20% - Accent2 5 2 2 7" xfId="22595" xr:uid="{00000000-0005-0000-0000-0000EC140000}"/>
    <cellStyle name="20% - Accent2 5 2 2 8" xfId="29697" xr:uid="{00000000-0005-0000-0000-0000ED140000}"/>
    <cellStyle name="20% - Accent2 5 2 2 9" xfId="36615" xr:uid="{00000000-0005-0000-0000-0000EE140000}"/>
    <cellStyle name="20% - Accent2 5 2 3" xfId="1923" xr:uid="{00000000-0005-0000-0000-0000EF140000}"/>
    <cellStyle name="20% - Accent2 5 2 3 2" xfId="6191" xr:uid="{00000000-0005-0000-0000-0000F0140000}"/>
    <cellStyle name="20% - Accent2 5 2 3 2 2" xfId="13291" xr:uid="{00000000-0005-0000-0000-0000F1140000}"/>
    <cellStyle name="20% - Accent2 5 2 3 2 3" xfId="20392" xr:uid="{00000000-0005-0000-0000-0000F2140000}"/>
    <cellStyle name="20% - Accent2 5 2 3 2 4" xfId="27494" xr:uid="{00000000-0005-0000-0000-0000F3140000}"/>
    <cellStyle name="20% - Accent2 5 2 3 2 5" xfId="34596" xr:uid="{00000000-0005-0000-0000-0000F4140000}"/>
    <cellStyle name="20% - Accent2 5 2 3 2 6" xfId="36616" xr:uid="{00000000-0005-0000-0000-0000F5140000}"/>
    <cellStyle name="20% - Accent2 5 2 3 3" xfId="9031" xr:uid="{00000000-0005-0000-0000-0000F6140000}"/>
    <cellStyle name="20% - Accent2 5 2 3 4" xfId="16132" xr:uid="{00000000-0005-0000-0000-0000F7140000}"/>
    <cellStyle name="20% - Accent2 5 2 3 5" xfId="23234" xr:uid="{00000000-0005-0000-0000-0000F8140000}"/>
    <cellStyle name="20% - Accent2 5 2 3 6" xfId="30336" xr:uid="{00000000-0005-0000-0000-0000F9140000}"/>
    <cellStyle name="20% - Accent2 5 2 3 7" xfId="36617" xr:uid="{00000000-0005-0000-0000-0000FA140000}"/>
    <cellStyle name="20% - Accent2 5 2 4" xfId="4770" xr:uid="{00000000-0005-0000-0000-0000FB140000}"/>
    <cellStyle name="20% - Accent2 5 2 4 2" xfId="11871" xr:uid="{00000000-0005-0000-0000-0000FC140000}"/>
    <cellStyle name="20% - Accent2 5 2 4 3" xfId="18972" xr:uid="{00000000-0005-0000-0000-0000FD140000}"/>
    <cellStyle name="20% - Accent2 5 2 4 4" xfId="26074" xr:uid="{00000000-0005-0000-0000-0000FE140000}"/>
    <cellStyle name="20% - Accent2 5 2 4 5" xfId="33176" xr:uid="{00000000-0005-0000-0000-0000FF140000}"/>
    <cellStyle name="20% - Accent2 5 2 4 6" xfId="36618" xr:uid="{00000000-0005-0000-0000-000000150000}"/>
    <cellStyle name="20% - Accent2 5 2 5" xfId="3345" xr:uid="{00000000-0005-0000-0000-000001150000}"/>
    <cellStyle name="20% - Accent2 5 2 5 2" xfId="10451" xr:uid="{00000000-0005-0000-0000-000002150000}"/>
    <cellStyle name="20% - Accent2 5 2 5 3" xfId="17552" xr:uid="{00000000-0005-0000-0000-000003150000}"/>
    <cellStyle name="20% - Accent2 5 2 5 4" xfId="24654" xr:uid="{00000000-0005-0000-0000-000004150000}"/>
    <cellStyle name="20% - Accent2 5 2 5 5" xfId="31756" xr:uid="{00000000-0005-0000-0000-000005150000}"/>
    <cellStyle name="20% - Accent2 5 2 6" xfId="7611" xr:uid="{00000000-0005-0000-0000-000006150000}"/>
    <cellStyle name="20% - Accent2 5 2 7" xfId="14712" xr:uid="{00000000-0005-0000-0000-000007150000}"/>
    <cellStyle name="20% - Accent2 5 2 8" xfId="21814" xr:uid="{00000000-0005-0000-0000-000008150000}"/>
    <cellStyle name="20% - Accent2 5 2 9" xfId="28916" xr:uid="{00000000-0005-0000-0000-000009150000}"/>
    <cellStyle name="20% - Accent2 5 3" xfId="645" xr:uid="{00000000-0005-0000-0000-00000A150000}"/>
    <cellStyle name="20% - Accent2 5 3 2" xfId="2136" xr:uid="{00000000-0005-0000-0000-00000B150000}"/>
    <cellStyle name="20% - Accent2 5 3 2 2" xfId="6404" xr:uid="{00000000-0005-0000-0000-00000C150000}"/>
    <cellStyle name="20% - Accent2 5 3 2 2 2" xfId="13504" xr:uid="{00000000-0005-0000-0000-00000D150000}"/>
    <cellStyle name="20% - Accent2 5 3 2 2 3" xfId="20605" xr:uid="{00000000-0005-0000-0000-00000E150000}"/>
    <cellStyle name="20% - Accent2 5 3 2 2 4" xfId="27707" xr:uid="{00000000-0005-0000-0000-00000F150000}"/>
    <cellStyle name="20% - Accent2 5 3 2 2 5" xfId="34809" xr:uid="{00000000-0005-0000-0000-000010150000}"/>
    <cellStyle name="20% - Accent2 5 3 2 2 6" xfId="36619" xr:uid="{00000000-0005-0000-0000-000011150000}"/>
    <cellStyle name="20% - Accent2 5 3 2 3" xfId="9244" xr:uid="{00000000-0005-0000-0000-000012150000}"/>
    <cellStyle name="20% - Accent2 5 3 2 4" xfId="16345" xr:uid="{00000000-0005-0000-0000-000013150000}"/>
    <cellStyle name="20% - Accent2 5 3 2 5" xfId="23447" xr:uid="{00000000-0005-0000-0000-000014150000}"/>
    <cellStyle name="20% - Accent2 5 3 2 6" xfId="30549" xr:uid="{00000000-0005-0000-0000-000015150000}"/>
    <cellStyle name="20% - Accent2 5 3 2 7" xfId="36620" xr:uid="{00000000-0005-0000-0000-000016150000}"/>
    <cellStyle name="20% - Accent2 5 3 3" xfId="4983" xr:uid="{00000000-0005-0000-0000-000017150000}"/>
    <cellStyle name="20% - Accent2 5 3 3 2" xfId="12084" xr:uid="{00000000-0005-0000-0000-000018150000}"/>
    <cellStyle name="20% - Accent2 5 3 3 2 2" xfId="36621" xr:uid="{00000000-0005-0000-0000-000019150000}"/>
    <cellStyle name="20% - Accent2 5 3 3 3" xfId="19185" xr:uid="{00000000-0005-0000-0000-00001A150000}"/>
    <cellStyle name="20% - Accent2 5 3 3 4" xfId="26287" xr:uid="{00000000-0005-0000-0000-00001B150000}"/>
    <cellStyle name="20% - Accent2 5 3 3 5" xfId="33389" xr:uid="{00000000-0005-0000-0000-00001C150000}"/>
    <cellStyle name="20% - Accent2 5 3 3 6" xfId="36622" xr:uid="{00000000-0005-0000-0000-00001D150000}"/>
    <cellStyle name="20% - Accent2 5 3 4" xfId="3558" xr:uid="{00000000-0005-0000-0000-00001E150000}"/>
    <cellStyle name="20% - Accent2 5 3 4 2" xfId="10664" xr:uid="{00000000-0005-0000-0000-00001F150000}"/>
    <cellStyle name="20% - Accent2 5 3 4 3" xfId="17765" xr:uid="{00000000-0005-0000-0000-000020150000}"/>
    <cellStyle name="20% - Accent2 5 3 4 4" xfId="24867" xr:uid="{00000000-0005-0000-0000-000021150000}"/>
    <cellStyle name="20% - Accent2 5 3 4 5" xfId="31969" xr:uid="{00000000-0005-0000-0000-000022150000}"/>
    <cellStyle name="20% - Accent2 5 3 4 6" xfId="36623" xr:uid="{00000000-0005-0000-0000-000023150000}"/>
    <cellStyle name="20% - Accent2 5 3 5" xfId="7824" xr:uid="{00000000-0005-0000-0000-000024150000}"/>
    <cellStyle name="20% - Accent2 5 3 6" xfId="14925" xr:uid="{00000000-0005-0000-0000-000025150000}"/>
    <cellStyle name="20% - Accent2 5 3 7" xfId="22027" xr:uid="{00000000-0005-0000-0000-000026150000}"/>
    <cellStyle name="20% - Accent2 5 3 8" xfId="29129" xr:uid="{00000000-0005-0000-0000-000027150000}"/>
    <cellStyle name="20% - Accent2 5 3 9" xfId="36624" xr:uid="{00000000-0005-0000-0000-000028150000}"/>
    <cellStyle name="20% - Accent2 5 4" xfId="858" xr:uid="{00000000-0005-0000-0000-000029150000}"/>
    <cellStyle name="20% - Accent2 5 4 2" xfId="2349" xr:uid="{00000000-0005-0000-0000-00002A150000}"/>
    <cellStyle name="20% - Accent2 5 4 2 2" xfId="6617" xr:uid="{00000000-0005-0000-0000-00002B150000}"/>
    <cellStyle name="20% - Accent2 5 4 2 2 2" xfId="13717" xr:uid="{00000000-0005-0000-0000-00002C150000}"/>
    <cellStyle name="20% - Accent2 5 4 2 2 3" xfId="20818" xr:uid="{00000000-0005-0000-0000-00002D150000}"/>
    <cellStyle name="20% - Accent2 5 4 2 2 4" xfId="27920" xr:uid="{00000000-0005-0000-0000-00002E150000}"/>
    <cellStyle name="20% - Accent2 5 4 2 2 5" xfId="35022" xr:uid="{00000000-0005-0000-0000-00002F150000}"/>
    <cellStyle name="20% - Accent2 5 4 2 2 6" xfId="36625" xr:uid="{00000000-0005-0000-0000-000030150000}"/>
    <cellStyle name="20% - Accent2 5 4 2 3" xfId="9457" xr:uid="{00000000-0005-0000-0000-000031150000}"/>
    <cellStyle name="20% - Accent2 5 4 2 4" xfId="16558" xr:uid="{00000000-0005-0000-0000-000032150000}"/>
    <cellStyle name="20% - Accent2 5 4 2 5" xfId="23660" xr:uid="{00000000-0005-0000-0000-000033150000}"/>
    <cellStyle name="20% - Accent2 5 4 2 6" xfId="30762" xr:uid="{00000000-0005-0000-0000-000034150000}"/>
    <cellStyle name="20% - Accent2 5 4 2 7" xfId="36626" xr:uid="{00000000-0005-0000-0000-000035150000}"/>
    <cellStyle name="20% - Accent2 5 4 3" xfId="5196" xr:uid="{00000000-0005-0000-0000-000036150000}"/>
    <cellStyle name="20% - Accent2 5 4 3 2" xfId="12297" xr:uid="{00000000-0005-0000-0000-000037150000}"/>
    <cellStyle name="20% - Accent2 5 4 3 2 2" xfId="36627" xr:uid="{00000000-0005-0000-0000-000038150000}"/>
    <cellStyle name="20% - Accent2 5 4 3 3" xfId="19398" xr:uid="{00000000-0005-0000-0000-000039150000}"/>
    <cellStyle name="20% - Accent2 5 4 3 4" xfId="26500" xr:uid="{00000000-0005-0000-0000-00003A150000}"/>
    <cellStyle name="20% - Accent2 5 4 3 5" xfId="33602" xr:uid="{00000000-0005-0000-0000-00003B150000}"/>
    <cellStyle name="20% - Accent2 5 4 3 6" xfId="36628" xr:uid="{00000000-0005-0000-0000-00003C150000}"/>
    <cellStyle name="20% - Accent2 5 4 4" xfId="3771" xr:uid="{00000000-0005-0000-0000-00003D150000}"/>
    <cellStyle name="20% - Accent2 5 4 4 2" xfId="10877" xr:uid="{00000000-0005-0000-0000-00003E150000}"/>
    <cellStyle name="20% - Accent2 5 4 4 3" xfId="17978" xr:uid="{00000000-0005-0000-0000-00003F150000}"/>
    <cellStyle name="20% - Accent2 5 4 4 4" xfId="25080" xr:uid="{00000000-0005-0000-0000-000040150000}"/>
    <cellStyle name="20% - Accent2 5 4 4 5" xfId="32182" xr:uid="{00000000-0005-0000-0000-000041150000}"/>
    <cellStyle name="20% - Accent2 5 4 4 6" xfId="36629" xr:uid="{00000000-0005-0000-0000-000042150000}"/>
    <cellStyle name="20% - Accent2 5 4 5" xfId="8037" xr:uid="{00000000-0005-0000-0000-000043150000}"/>
    <cellStyle name="20% - Accent2 5 4 6" xfId="15138" xr:uid="{00000000-0005-0000-0000-000044150000}"/>
    <cellStyle name="20% - Accent2 5 4 7" xfId="22240" xr:uid="{00000000-0005-0000-0000-000045150000}"/>
    <cellStyle name="20% - Accent2 5 4 8" xfId="29342" xr:uid="{00000000-0005-0000-0000-000046150000}"/>
    <cellStyle name="20% - Accent2 5 4 9" xfId="36630" xr:uid="{00000000-0005-0000-0000-000047150000}"/>
    <cellStyle name="20% - Accent2 5 5" xfId="1000" xr:uid="{00000000-0005-0000-0000-000048150000}"/>
    <cellStyle name="20% - Accent2 5 5 2" xfId="2491" xr:uid="{00000000-0005-0000-0000-000049150000}"/>
    <cellStyle name="20% - Accent2 5 5 2 2" xfId="6759" xr:uid="{00000000-0005-0000-0000-00004A150000}"/>
    <cellStyle name="20% - Accent2 5 5 2 2 2" xfId="13859" xr:uid="{00000000-0005-0000-0000-00004B150000}"/>
    <cellStyle name="20% - Accent2 5 5 2 2 3" xfId="20960" xr:uid="{00000000-0005-0000-0000-00004C150000}"/>
    <cellStyle name="20% - Accent2 5 5 2 2 4" xfId="28062" xr:uid="{00000000-0005-0000-0000-00004D150000}"/>
    <cellStyle name="20% - Accent2 5 5 2 2 5" xfId="35164" xr:uid="{00000000-0005-0000-0000-00004E150000}"/>
    <cellStyle name="20% - Accent2 5 5 2 3" xfId="9599" xr:uid="{00000000-0005-0000-0000-00004F150000}"/>
    <cellStyle name="20% - Accent2 5 5 2 4" xfId="16700" xr:uid="{00000000-0005-0000-0000-000050150000}"/>
    <cellStyle name="20% - Accent2 5 5 2 5" xfId="23802" xr:uid="{00000000-0005-0000-0000-000051150000}"/>
    <cellStyle name="20% - Accent2 5 5 2 6" xfId="30904" xr:uid="{00000000-0005-0000-0000-000052150000}"/>
    <cellStyle name="20% - Accent2 5 5 2 7" xfId="36631" xr:uid="{00000000-0005-0000-0000-000053150000}"/>
    <cellStyle name="20% - Accent2 5 5 3" xfId="5338" xr:uid="{00000000-0005-0000-0000-000054150000}"/>
    <cellStyle name="20% - Accent2 5 5 3 2" xfId="12439" xr:uid="{00000000-0005-0000-0000-000055150000}"/>
    <cellStyle name="20% - Accent2 5 5 3 3" xfId="19540" xr:uid="{00000000-0005-0000-0000-000056150000}"/>
    <cellStyle name="20% - Accent2 5 5 3 4" xfId="26642" xr:uid="{00000000-0005-0000-0000-000057150000}"/>
    <cellStyle name="20% - Accent2 5 5 3 5" xfId="33744" xr:uid="{00000000-0005-0000-0000-000058150000}"/>
    <cellStyle name="20% - Accent2 5 5 4" xfId="3913" xr:uid="{00000000-0005-0000-0000-000059150000}"/>
    <cellStyle name="20% - Accent2 5 5 4 2" xfId="11019" xr:uid="{00000000-0005-0000-0000-00005A150000}"/>
    <cellStyle name="20% - Accent2 5 5 4 3" xfId="18120" xr:uid="{00000000-0005-0000-0000-00005B150000}"/>
    <cellStyle name="20% - Accent2 5 5 4 4" xfId="25222" xr:uid="{00000000-0005-0000-0000-00005C150000}"/>
    <cellStyle name="20% - Accent2 5 5 4 5" xfId="32324" xr:uid="{00000000-0005-0000-0000-00005D150000}"/>
    <cellStyle name="20% - Accent2 5 5 5" xfId="8179" xr:uid="{00000000-0005-0000-0000-00005E150000}"/>
    <cellStyle name="20% - Accent2 5 5 6" xfId="15280" xr:uid="{00000000-0005-0000-0000-00005F150000}"/>
    <cellStyle name="20% - Accent2 5 5 7" xfId="22382" xr:uid="{00000000-0005-0000-0000-000060150000}"/>
    <cellStyle name="20% - Accent2 5 5 8" xfId="29484" xr:uid="{00000000-0005-0000-0000-000061150000}"/>
    <cellStyle name="20% - Accent2 5 5 9" xfId="36632" xr:uid="{00000000-0005-0000-0000-000062150000}"/>
    <cellStyle name="20% - Accent2 5 6" xfId="1426" xr:uid="{00000000-0005-0000-0000-000063150000}"/>
    <cellStyle name="20% - Accent2 5 6 2" xfId="2917" xr:uid="{00000000-0005-0000-0000-000064150000}"/>
    <cellStyle name="20% - Accent2 5 6 2 2" xfId="7185" xr:uid="{00000000-0005-0000-0000-000065150000}"/>
    <cellStyle name="20% - Accent2 5 6 2 2 2" xfId="14285" xr:uid="{00000000-0005-0000-0000-000066150000}"/>
    <cellStyle name="20% - Accent2 5 6 2 2 3" xfId="21386" xr:uid="{00000000-0005-0000-0000-000067150000}"/>
    <cellStyle name="20% - Accent2 5 6 2 2 4" xfId="28488" xr:uid="{00000000-0005-0000-0000-000068150000}"/>
    <cellStyle name="20% - Accent2 5 6 2 2 5" xfId="35590" xr:uid="{00000000-0005-0000-0000-000069150000}"/>
    <cellStyle name="20% - Accent2 5 6 2 3" xfId="10025" xr:uid="{00000000-0005-0000-0000-00006A150000}"/>
    <cellStyle name="20% - Accent2 5 6 2 4" xfId="17126" xr:uid="{00000000-0005-0000-0000-00006B150000}"/>
    <cellStyle name="20% - Accent2 5 6 2 5" xfId="24228" xr:uid="{00000000-0005-0000-0000-00006C150000}"/>
    <cellStyle name="20% - Accent2 5 6 2 6" xfId="31330" xr:uid="{00000000-0005-0000-0000-00006D150000}"/>
    <cellStyle name="20% - Accent2 5 6 2 7" xfId="36633" xr:uid="{00000000-0005-0000-0000-00006E150000}"/>
    <cellStyle name="20% - Accent2 5 6 3" xfId="5764" xr:uid="{00000000-0005-0000-0000-00006F150000}"/>
    <cellStyle name="20% - Accent2 5 6 3 2" xfId="12865" xr:uid="{00000000-0005-0000-0000-000070150000}"/>
    <cellStyle name="20% - Accent2 5 6 3 3" xfId="19966" xr:uid="{00000000-0005-0000-0000-000071150000}"/>
    <cellStyle name="20% - Accent2 5 6 3 4" xfId="27068" xr:uid="{00000000-0005-0000-0000-000072150000}"/>
    <cellStyle name="20% - Accent2 5 6 3 5" xfId="34170" xr:uid="{00000000-0005-0000-0000-000073150000}"/>
    <cellStyle name="20% - Accent2 5 6 4" xfId="4339" xr:uid="{00000000-0005-0000-0000-000074150000}"/>
    <cellStyle name="20% - Accent2 5 6 4 2" xfId="11445" xr:uid="{00000000-0005-0000-0000-000075150000}"/>
    <cellStyle name="20% - Accent2 5 6 4 3" xfId="18546" xr:uid="{00000000-0005-0000-0000-000076150000}"/>
    <cellStyle name="20% - Accent2 5 6 4 4" xfId="25648" xr:uid="{00000000-0005-0000-0000-000077150000}"/>
    <cellStyle name="20% - Accent2 5 6 4 5" xfId="32750" xr:uid="{00000000-0005-0000-0000-000078150000}"/>
    <cellStyle name="20% - Accent2 5 6 5" xfId="8605" xr:uid="{00000000-0005-0000-0000-000079150000}"/>
    <cellStyle name="20% - Accent2 5 6 6" xfId="15706" xr:uid="{00000000-0005-0000-0000-00007A150000}"/>
    <cellStyle name="20% - Accent2 5 6 7" xfId="22808" xr:uid="{00000000-0005-0000-0000-00007B150000}"/>
    <cellStyle name="20% - Accent2 5 6 8" xfId="29910" xr:uid="{00000000-0005-0000-0000-00007C150000}"/>
    <cellStyle name="20% - Accent2 5 6 9" xfId="36634" xr:uid="{00000000-0005-0000-0000-00007D150000}"/>
    <cellStyle name="20% - Accent2 5 7" xfId="1710" xr:uid="{00000000-0005-0000-0000-00007E150000}"/>
    <cellStyle name="20% - Accent2 5 7 2" xfId="5978" xr:uid="{00000000-0005-0000-0000-00007F150000}"/>
    <cellStyle name="20% - Accent2 5 7 2 2" xfId="13078" xr:uid="{00000000-0005-0000-0000-000080150000}"/>
    <cellStyle name="20% - Accent2 5 7 2 3" xfId="20179" xr:uid="{00000000-0005-0000-0000-000081150000}"/>
    <cellStyle name="20% - Accent2 5 7 2 4" xfId="27281" xr:uid="{00000000-0005-0000-0000-000082150000}"/>
    <cellStyle name="20% - Accent2 5 7 2 5" xfId="34383" xr:uid="{00000000-0005-0000-0000-000083150000}"/>
    <cellStyle name="20% - Accent2 5 7 3" xfId="8818" xr:uid="{00000000-0005-0000-0000-000084150000}"/>
    <cellStyle name="20% - Accent2 5 7 4" xfId="15919" xr:uid="{00000000-0005-0000-0000-000085150000}"/>
    <cellStyle name="20% - Accent2 5 7 5" xfId="23021" xr:uid="{00000000-0005-0000-0000-000086150000}"/>
    <cellStyle name="20% - Accent2 5 7 6" xfId="30123" xr:uid="{00000000-0005-0000-0000-000087150000}"/>
    <cellStyle name="20% - Accent2 5 7 7" xfId="36635" xr:uid="{00000000-0005-0000-0000-000088150000}"/>
    <cellStyle name="20% - Accent2 5 8" xfId="4557" xr:uid="{00000000-0005-0000-0000-000089150000}"/>
    <cellStyle name="20% - Accent2 5 8 2" xfId="11658" xr:uid="{00000000-0005-0000-0000-00008A150000}"/>
    <cellStyle name="20% - Accent2 5 8 3" xfId="18759" xr:uid="{00000000-0005-0000-0000-00008B150000}"/>
    <cellStyle name="20% - Accent2 5 8 4" xfId="25861" xr:uid="{00000000-0005-0000-0000-00008C150000}"/>
    <cellStyle name="20% - Accent2 5 8 5" xfId="32963" xr:uid="{00000000-0005-0000-0000-00008D150000}"/>
    <cellStyle name="20% - Accent2 5 9" xfId="3132" xr:uid="{00000000-0005-0000-0000-00008E150000}"/>
    <cellStyle name="20% - Accent2 5 9 2" xfId="10238" xr:uid="{00000000-0005-0000-0000-00008F150000}"/>
    <cellStyle name="20% - Accent2 5 9 3" xfId="17339" xr:uid="{00000000-0005-0000-0000-000090150000}"/>
    <cellStyle name="20% - Accent2 5 9 4" xfId="24441" xr:uid="{00000000-0005-0000-0000-000091150000}"/>
    <cellStyle name="20% - Accent2 5 9 5" xfId="31543" xr:uid="{00000000-0005-0000-0000-000092150000}"/>
    <cellStyle name="20% - Accent2 6" xfId="147" xr:uid="{00000000-0005-0000-0000-000093150000}"/>
    <cellStyle name="20% - Accent2 6 10" xfId="7327" xr:uid="{00000000-0005-0000-0000-000094150000}"/>
    <cellStyle name="20% - Accent2 6 11" xfId="14428" xr:uid="{00000000-0005-0000-0000-000095150000}"/>
    <cellStyle name="20% - Accent2 6 12" xfId="21530" xr:uid="{00000000-0005-0000-0000-000096150000}"/>
    <cellStyle name="20% - Accent2 6 13" xfId="28632" xr:uid="{00000000-0005-0000-0000-000097150000}"/>
    <cellStyle name="20% - Accent2 6 14" xfId="35734" xr:uid="{00000000-0005-0000-0000-000098150000}"/>
    <cellStyle name="20% - Accent2 6 15" xfId="36636" xr:uid="{00000000-0005-0000-0000-000099150000}"/>
    <cellStyle name="20% - Accent2 6 2" xfId="361" xr:uid="{00000000-0005-0000-0000-00009A150000}"/>
    <cellStyle name="20% - Accent2 6 2 2" xfId="1852" xr:uid="{00000000-0005-0000-0000-00009B150000}"/>
    <cellStyle name="20% - Accent2 6 2 2 2" xfId="6120" xr:uid="{00000000-0005-0000-0000-00009C150000}"/>
    <cellStyle name="20% - Accent2 6 2 2 2 2" xfId="13220" xr:uid="{00000000-0005-0000-0000-00009D150000}"/>
    <cellStyle name="20% - Accent2 6 2 2 2 3" xfId="20321" xr:uid="{00000000-0005-0000-0000-00009E150000}"/>
    <cellStyle name="20% - Accent2 6 2 2 2 4" xfId="27423" xr:uid="{00000000-0005-0000-0000-00009F150000}"/>
    <cellStyle name="20% - Accent2 6 2 2 2 5" xfId="34525" xr:uid="{00000000-0005-0000-0000-0000A0150000}"/>
    <cellStyle name="20% - Accent2 6 2 2 2 6" xfId="36637" xr:uid="{00000000-0005-0000-0000-0000A1150000}"/>
    <cellStyle name="20% - Accent2 6 2 2 3" xfId="8960" xr:uid="{00000000-0005-0000-0000-0000A2150000}"/>
    <cellStyle name="20% - Accent2 6 2 2 4" xfId="16061" xr:uid="{00000000-0005-0000-0000-0000A3150000}"/>
    <cellStyle name="20% - Accent2 6 2 2 5" xfId="23163" xr:uid="{00000000-0005-0000-0000-0000A4150000}"/>
    <cellStyle name="20% - Accent2 6 2 2 6" xfId="30265" xr:uid="{00000000-0005-0000-0000-0000A5150000}"/>
    <cellStyle name="20% - Accent2 6 2 2 7" xfId="36638" xr:uid="{00000000-0005-0000-0000-0000A6150000}"/>
    <cellStyle name="20% - Accent2 6 2 3" xfId="4699" xr:uid="{00000000-0005-0000-0000-0000A7150000}"/>
    <cellStyle name="20% - Accent2 6 2 3 2" xfId="11800" xr:uid="{00000000-0005-0000-0000-0000A8150000}"/>
    <cellStyle name="20% - Accent2 6 2 3 2 2" xfId="36639" xr:uid="{00000000-0005-0000-0000-0000A9150000}"/>
    <cellStyle name="20% - Accent2 6 2 3 3" xfId="18901" xr:uid="{00000000-0005-0000-0000-0000AA150000}"/>
    <cellStyle name="20% - Accent2 6 2 3 4" xfId="26003" xr:uid="{00000000-0005-0000-0000-0000AB150000}"/>
    <cellStyle name="20% - Accent2 6 2 3 5" xfId="33105" xr:uid="{00000000-0005-0000-0000-0000AC150000}"/>
    <cellStyle name="20% - Accent2 6 2 3 6" xfId="36640" xr:uid="{00000000-0005-0000-0000-0000AD150000}"/>
    <cellStyle name="20% - Accent2 6 2 4" xfId="3274" xr:uid="{00000000-0005-0000-0000-0000AE150000}"/>
    <cellStyle name="20% - Accent2 6 2 4 2" xfId="10380" xr:uid="{00000000-0005-0000-0000-0000AF150000}"/>
    <cellStyle name="20% - Accent2 6 2 4 3" xfId="17481" xr:uid="{00000000-0005-0000-0000-0000B0150000}"/>
    <cellStyle name="20% - Accent2 6 2 4 4" xfId="24583" xr:uid="{00000000-0005-0000-0000-0000B1150000}"/>
    <cellStyle name="20% - Accent2 6 2 4 5" xfId="31685" xr:uid="{00000000-0005-0000-0000-0000B2150000}"/>
    <cellStyle name="20% - Accent2 6 2 4 6" xfId="36641" xr:uid="{00000000-0005-0000-0000-0000B3150000}"/>
    <cellStyle name="20% - Accent2 6 2 5" xfId="7540" xr:uid="{00000000-0005-0000-0000-0000B4150000}"/>
    <cellStyle name="20% - Accent2 6 2 6" xfId="14641" xr:uid="{00000000-0005-0000-0000-0000B5150000}"/>
    <cellStyle name="20% - Accent2 6 2 7" xfId="21743" xr:uid="{00000000-0005-0000-0000-0000B6150000}"/>
    <cellStyle name="20% - Accent2 6 2 8" xfId="28845" xr:uid="{00000000-0005-0000-0000-0000B7150000}"/>
    <cellStyle name="20% - Accent2 6 2 9" xfId="36642" xr:uid="{00000000-0005-0000-0000-0000B8150000}"/>
    <cellStyle name="20% - Accent2 6 3" xfId="574" xr:uid="{00000000-0005-0000-0000-0000B9150000}"/>
    <cellStyle name="20% - Accent2 6 3 2" xfId="2065" xr:uid="{00000000-0005-0000-0000-0000BA150000}"/>
    <cellStyle name="20% - Accent2 6 3 2 2" xfId="6333" xr:uid="{00000000-0005-0000-0000-0000BB150000}"/>
    <cellStyle name="20% - Accent2 6 3 2 2 2" xfId="13433" xr:uid="{00000000-0005-0000-0000-0000BC150000}"/>
    <cellStyle name="20% - Accent2 6 3 2 2 3" xfId="20534" xr:uid="{00000000-0005-0000-0000-0000BD150000}"/>
    <cellStyle name="20% - Accent2 6 3 2 2 4" xfId="27636" xr:uid="{00000000-0005-0000-0000-0000BE150000}"/>
    <cellStyle name="20% - Accent2 6 3 2 2 5" xfId="34738" xr:uid="{00000000-0005-0000-0000-0000BF150000}"/>
    <cellStyle name="20% - Accent2 6 3 2 2 6" xfId="36643" xr:uid="{00000000-0005-0000-0000-0000C0150000}"/>
    <cellStyle name="20% - Accent2 6 3 2 3" xfId="9173" xr:uid="{00000000-0005-0000-0000-0000C1150000}"/>
    <cellStyle name="20% - Accent2 6 3 2 4" xfId="16274" xr:uid="{00000000-0005-0000-0000-0000C2150000}"/>
    <cellStyle name="20% - Accent2 6 3 2 5" xfId="23376" xr:uid="{00000000-0005-0000-0000-0000C3150000}"/>
    <cellStyle name="20% - Accent2 6 3 2 6" xfId="30478" xr:uid="{00000000-0005-0000-0000-0000C4150000}"/>
    <cellStyle name="20% - Accent2 6 3 2 7" xfId="36644" xr:uid="{00000000-0005-0000-0000-0000C5150000}"/>
    <cellStyle name="20% - Accent2 6 3 3" xfId="4912" xr:uid="{00000000-0005-0000-0000-0000C6150000}"/>
    <cellStyle name="20% - Accent2 6 3 3 2" xfId="12013" xr:uid="{00000000-0005-0000-0000-0000C7150000}"/>
    <cellStyle name="20% - Accent2 6 3 3 2 2" xfId="36645" xr:uid="{00000000-0005-0000-0000-0000C8150000}"/>
    <cellStyle name="20% - Accent2 6 3 3 3" xfId="19114" xr:uid="{00000000-0005-0000-0000-0000C9150000}"/>
    <cellStyle name="20% - Accent2 6 3 3 4" xfId="26216" xr:uid="{00000000-0005-0000-0000-0000CA150000}"/>
    <cellStyle name="20% - Accent2 6 3 3 5" xfId="33318" xr:uid="{00000000-0005-0000-0000-0000CB150000}"/>
    <cellStyle name="20% - Accent2 6 3 3 6" xfId="36646" xr:uid="{00000000-0005-0000-0000-0000CC150000}"/>
    <cellStyle name="20% - Accent2 6 3 4" xfId="3487" xr:uid="{00000000-0005-0000-0000-0000CD150000}"/>
    <cellStyle name="20% - Accent2 6 3 4 2" xfId="10593" xr:uid="{00000000-0005-0000-0000-0000CE150000}"/>
    <cellStyle name="20% - Accent2 6 3 4 3" xfId="17694" xr:uid="{00000000-0005-0000-0000-0000CF150000}"/>
    <cellStyle name="20% - Accent2 6 3 4 4" xfId="24796" xr:uid="{00000000-0005-0000-0000-0000D0150000}"/>
    <cellStyle name="20% - Accent2 6 3 4 5" xfId="31898" xr:uid="{00000000-0005-0000-0000-0000D1150000}"/>
    <cellStyle name="20% - Accent2 6 3 4 6" xfId="36647" xr:uid="{00000000-0005-0000-0000-0000D2150000}"/>
    <cellStyle name="20% - Accent2 6 3 5" xfId="7753" xr:uid="{00000000-0005-0000-0000-0000D3150000}"/>
    <cellStyle name="20% - Accent2 6 3 6" xfId="14854" xr:uid="{00000000-0005-0000-0000-0000D4150000}"/>
    <cellStyle name="20% - Accent2 6 3 7" xfId="21956" xr:uid="{00000000-0005-0000-0000-0000D5150000}"/>
    <cellStyle name="20% - Accent2 6 3 8" xfId="29058" xr:uid="{00000000-0005-0000-0000-0000D6150000}"/>
    <cellStyle name="20% - Accent2 6 3 9" xfId="36648" xr:uid="{00000000-0005-0000-0000-0000D7150000}"/>
    <cellStyle name="20% - Accent2 6 4" xfId="787" xr:uid="{00000000-0005-0000-0000-0000D8150000}"/>
    <cellStyle name="20% - Accent2 6 4 2" xfId="2278" xr:uid="{00000000-0005-0000-0000-0000D9150000}"/>
    <cellStyle name="20% - Accent2 6 4 2 2" xfId="6546" xr:uid="{00000000-0005-0000-0000-0000DA150000}"/>
    <cellStyle name="20% - Accent2 6 4 2 2 2" xfId="13646" xr:uid="{00000000-0005-0000-0000-0000DB150000}"/>
    <cellStyle name="20% - Accent2 6 4 2 2 3" xfId="20747" xr:uid="{00000000-0005-0000-0000-0000DC150000}"/>
    <cellStyle name="20% - Accent2 6 4 2 2 4" xfId="27849" xr:uid="{00000000-0005-0000-0000-0000DD150000}"/>
    <cellStyle name="20% - Accent2 6 4 2 2 5" xfId="34951" xr:uid="{00000000-0005-0000-0000-0000DE150000}"/>
    <cellStyle name="20% - Accent2 6 4 2 2 6" xfId="36649" xr:uid="{00000000-0005-0000-0000-0000DF150000}"/>
    <cellStyle name="20% - Accent2 6 4 2 3" xfId="9386" xr:uid="{00000000-0005-0000-0000-0000E0150000}"/>
    <cellStyle name="20% - Accent2 6 4 2 4" xfId="16487" xr:uid="{00000000-0005-0000-0000-0000E1150000}"/>
    <cellStyle name="20% - Accent2 6 4 2 5" xfId="23589" xr:uid="{00000000-0005-0000-0000-0000E2150000}"/>
    <cellStyle name="20% - Accent2 6 4 2 6" xfId="30691" xr:uid="{00000000-0005-0000-0000-0000E3150000}"/>
    <cellStyle name="20% - Accent2 6 4 2 7" xfId="36650" xr:uid="{00000000-0005-0000-0000-0000E4150000}"/>
    <cellStyle name="20% - Accent2 6 4 3" xfId="5125" xr:uid="{00000000-0005-0000-0000-0000E5150000}"/>
    <cellStyle name="20% - Accent2 6 4 3 2" xfId="12226" xr:uid="{00000000-0005-0000-0000-0000E6150000}"/>
    <cellStyle name="20% - Accent2 6 4 3 2 2" xfId="36651" xr:uid="{00000000-0005-0000-0000-0000E7150000}"/>
    <cellStyle name="20% - Accent2 6 4 3 3" xfId="19327" xr:uid="{00000000-0005-0000-0000-0000E8150000}"/>
    <cellStyle name="20% - Accent2 6 4 3 4" xfId="26429" xr:uid="{00000000-0005-0000-0000-0000E9150000}"/>
    <cellStyle name="20% - Accent2 6 4 3 5" xfId="33531" xr:uid="{00000000-0005-0000-0000-0000EA150000}"/>
    <cellStyle name="20% - Accent2 6 4 3 6" xfId="36652" xr:uid="{00000000-0005-0000-0000-0000EB150000}"/>
    <cellStyle name="20% - Accent2 6 4 4" xfId="3700" xr:uid="{00000000-0005-0000-0000-0000EC150000}"/>
    <cellStyle name="20% - Accent2 6 4 4 2" xfId="10806" xr:uid="{00000000-0005-0000-0000-0000ED150000}"/>
    <cellStyle name="20% - Accent2 6 4 4 3" xfId="17907" xr:uid="{00000000-0005-0000-0000-0000EE150000}"/>
    <cellStyle name="20% - Accent2 6 4 4 4" xfId="25009" xr:uid="{00000000-0005-0000-0000-0000EF150000}"/>
    <cellStyle name="20% - Accent2 6 4 4 5" xfId="32111" xr:uid="{00000000-0005-0000-0000-0000F0150000}"/>
    <cellStyle name="20% - Accent2 6 4 4 6" xfId="36653" xr:uid="{00000000-0005-0000-0000-0000F1150000}"/>
    <cellStyle name="20% - Accent2 6 4 5" xfId="7966" xr:uid="{00000000-0005-0000-0000-0000F2150000}"/>
    <cellStyle name="20% - Accent2 6 4 6" xfId="15067" xr:uid="{00000000-0005-0000-0000-0000F3150000}"/>
    <cellStyle name="20% - Accent2 6 4 7" xfId="22169" xr:uid="{00000000-0005-0000-0000-0000F4150000}"/>
    <cellStyle name="20% - Accent2 6 4 8" xfId="29271" xr:uid="{00000000-0005-0000-0000-0000F5150000}"/>
    <cellStyle name="20% - Accent2 6 4 9" xfId="36654" xr:uid="{00000000-0005-0000-0000-0000F6150000}"/>
    <cellStyle name="20% - Accent2 6 5" xfId="1142" xr:uid="{00000000-0005-0000-0000-0000F7150000}"/>
    <cellStyle name="20% - Accent2 6 5 2" xfId="2633" xr:uid="{00000000-0005-0000-0000-0000F8150000}"/>
    <cellStyle name="20% - Accent2 6 5 2 2" xfId="6901" xr:uid="{00000000-0005-0000-0000-0000F9150000}"/>
    <cellStyle name="20% - Accent2 6 5 2 2 2" xfId="14001" xr:uid="{00000000-0005-0000-0000-0000FA150000}"/>
    <cellStyle name="20% - Accent2 6 5 2 2 3" xfId="21102" xr:uid="{00000000-0005-0000-0000-0000FB150000}"/>
    <cellStyle name="20% - Accent2 6 5 2 2 4" xfId="28204" xr:uid="{00000000-0005-0000-0000-0000FC150000}"/>
    <cellStyle name="20% - Accent2 6 5 2 2 5" xfId="35306" xr:uid="{00000000-0005-0000-0000-0000FD150000}"/>
    <cellStyle name="20% - Accent2 6 5 2 3" xfId="9741" xr:uid="{00000000-0005-0000-0000-0000FE150000}"/>
    <cellStyle name="20% - Accent2 6 5 2 4" xfId="16842" xr:uid="{00000000-0005-0000-0000-0000FF150000}"/>
    <cellStyle name="20% - Accent2 6 5 2 5" xfId="23944" xr:uid="{00000000-0005-0000-0000-000000160000}"/>
    <cellStyle name="20% - Accent2 6 5 2 6" xfId="31046" xr:uid="{00000000-0005-0000-0000-000001160000}"/>
    <cellStyle name="20% - Accent2 6 5 2 7" xfId="36655" xr:uid="{00000000-0005-0000-0000-000002160000}"/>
    <cellStyle name="20% - Accent2 6 5 3" xfId="5480" xr:uid="{00000000-0005-0000-0000-000003160000}"/>
    <cellStyle name="20% - Accent2 6 5 3 2" xfId="12581" xr:uid="{00000000-0005-0000-0000-000004160000}"/>
    <cellStyle name="20% - Accent2 6 5 3 3" xfId="19682" xr:uid="{00000000-0005-0000-0000-000005160000}"/>
    <cellStyle name="20% - Accent2 6 5 3 4" xfId="26784" xr:uid="{00000000-0005-0000-0000-000006160000}"/>
    <cellStyle name="20% - Accent2 6 5 3 5" xfId="33886" xr:uid="{00000000-0005-0000-0000-000007160000}"/>
    <cellStyle name="20% - Accent2 6 5 4" xfId="4055" xr:uid="{00000000-0005-0000-0000-000008160000}"/>
    <cellStyle name="20% - Accent2 6 5 4 2" xfId="11161" xr:uid="{00000000-0005-0000-0000-000009160000}"/>
    <cellStyle name="20% - Accent2 6 5 4 3" xfId="18262" xr:uid="{00000000-0005-0000-0000-00000A160000}"/>
    <cellStyle name="20% - Accent2 6 5 4 4" xfId="25364" xr:uid="{00000000-0005-0000-0000-00000B160000}"/>
    <cellStyle name="20% - Accent2 6 5 4 5" xfId="32466" xr:uid="{00000000-0005-0000-0000-00000C160000}"/>
    <cellStyle name="20% - Accent2 6 5 5" xfId="8321" xr:uid="{00000000-0005-0000-0000-00000D160000}"/>
    <cellStyle name="20% - Accent2 6 5 6" xfId="15422" xr:uid="{00000000-0005-0000-0000-00000E160000}"/>
    <cellStyle name="20% - Accent2 6 5 7" xfId="22524" xr:uid="{00000000-0005-0000-0000-00000F160000}"/>
    <cellStyle name="20% - Accent2 6 5 8" xfId="29626" xr:uid="{00000000-0005-0000-0000-000010160000}"/>
    <cellStyle name="20% - Accent2 6 5 9" xfId="36656" xr:uid="{00000000-0005-0000-0000-000011160000}"/>
    <cellStyle name="20% - Accent2 6 6" xfId="1355" xr:uid="{00000000-0005-0000-0000-000012160000}"/>
    <cellStyle name="20% - Accent2 6 6 2" xfId="2846" xr:uid="{00000000-0005-0000-0000-000013160000}"/>
    <cellStyle name="20% - Accent2 6 6 2 2" xfId="7114" xr:uid="{00000000-0005-0000-0000-000014160000}"/>
    <cellStyle name="20% - Accent2 6 6 2 2 2" xfId="14214" xr:uid="{00000000-0005-0000-0000-000015160000}"/>
    <cellStyle name="20% - Accent2 6 6 2 2 3" xfId="21315" xr:uid="{00000000-0005-0000-0000-000016160000}"/>
    <cellStyle name="20% - Accent2 6 6 2 2 4" xfId="28417" xr:uid="{00000000-0005-0000-0000-000017160000}"/>
    <cellStyle name="20% - Accent2 6 6 2 2 5" xfId="35519" xr:uid="{00000000-0005-0000-0000-000018160000}"/>
    <cellStyle name="20% - Accent2 6 6 2 3" xfId="9954" xr:uid="{00000000-0005-0000-0000-000019160000}"/>
    <cellStyle name="20% - Accent2 6 6 2 4" xfId="17055" xr:uid="{00000000-0005-0000-0000-00001A160000}"/>
    <cellStyle name="20% - Accent2 6 6 2 5" xfId="24157" xr:uid="{00000000-0005-0000-0000-00001B160000}"/>
    <cellStyle name="20% - Accent2 6 6 2 6" xfId="31259" xr:uid="{00000000-0005-0000-0000-00001C160000}"/>
    <cellStyle name="20% - Accent2 6 6 2 7" xfId="36657" xr:uid="{00000000-0005-0000-0000-00001D160000}"/>
    <cellStyle name="20% - Accent2 6 6 3" xfId="5693" xr:uid="{00000000-0005-0000-0000-00001E160000}"/>
    <cellStyle name="20% - Accent2 6 6 3 2" xfId="12794" xr:uid="{00000000-0005-0000-0000-00001F160000}"/>
    <cellStyle name="20% - Accent2 6 6 3 3" xfId="19895" xr:uid="{00000000-0005-0000-0000-000020160000}"/>
    <cellStyle name="20% - Accent2 6 6 3 4" xfId="26997" xr:uid="{00000000-0005-0000-0000-000021160000}"/>
    <cellStyle name="20% - Accent2 6 6 3 5" xfId="34099" xr:uid="{00000000-0005-0000-0000-000022160000}"/>
    <cellStyle name="20% - Accent2 6 6 4" xfId="4268" xr:uid="{00000000-0005-0000-0000-000023160000}"/>
    <cellStyle name="20% - Accent2 6 6 4 2" xfId="11374" xr:uid="{00000000-0005-0000-0000-000024160000}"/>
    <cellStyle name="20% - Accent2 6 6 4 3" xfId="18475" xr:uid="{00000000-0005-0000-0000-000025160000}"/>
    <cellStyle name="20% - Accent2 6 6 4 4" xfId="25577" xr:uid="{00000000-0005-0000-0000-000026160000}"/>
    <cellStyle name="20% - Accent2 6 6 4 5" xfId="32679" xr:uid="{00000000-0005-0000-0000-000027160000}"/>
    <cellStyle name="20% - Accent2 6 6 5" xfId="8534" xr:uid="{00000000-0005-0000-0000-000028160000}"/>
    <cellStyle name="20% - Accent2 6 6 6" xfId="15635" xr:uid="{00000000-0005-0000-0000-000029160000}"/>
    <cellStyle name="20% - Accent2 6 6 7" xfId="22737" xr:uid="{00000000-0005-0000-0000-00002A160000}"/>
    <cellStyle name="20% - Accent2 6 6 8" xfId="29839" xr:uid="{00000000-0005-0000-0000-00002B160000}"/>
    <cellStyle name="20% - Accent2 6 6 9" xfId="36658" xr:uid="{00000000-0005-0000-0000-00002C160000}"/>
    <cellStyle name="20% - Accent2 6 7" xfId="1639" xr:uid="{00000000-0005-0000-0000-00002D160000}"/>
    <cellStyle name="20% - Accent2 6 7 2" xfId="5907" xr:uid="{00000000-0005-0000-0000-00002E160000}"/>
    <cellStyle name="20% - Accent2 6 7 2 2" xfId="13007" xr:uid="{00000000-0005-0000-0000-00002F160000}"/>
    <cellStyle name="20% - Accent2 6 7 2 3" xfId="20108" xr:uid="{00000000-0005-0000-0000-000030160000}"/>
    <cellStyle name="20% - Accent2 6 7 2 4" xfId="27210" xr:uid="{00000000-0005-0000-0000-000031160000}"/>
    <cellStyle name="20% - Accent2 6 7 2 5" xfId="34312" xr:uid="{00000000-0005-0000-0000-000032160000}"/>
    <cellStyle name="20% - Accent2 6 7 3" xfId="8747" xr:uid="{00000000-0005-0000-0000-000033160000}"/>
    <cellStyle name="20% - Accent2 6 7 4" xfId="15848" xr:uid="{00000000-0005-0000-0000-000034160000}"/>
    <cellStyle name="20% - Accent2 6 7 5" xfId="22950" xr:uid="{00000000-0005-0000-0000-000035160000}"/>
    <cellStyle name="20% - Accent2 6 7 6" xfId="30052" xr:uid="{00000000-0005-0000-0000-000036160000}"/>
    <cellStyle name="20% - Accent2 6 7 7" xfId="36659" xr:uid="{00000000-0005-0000-0000-000037160000}"/>
    <cellStyle name="20% - Accent2 6 8" xfId="4486" xr:uid="{00000000-0005-0000-0000-000038160000}"/>
    <cellStyle name="20% - Accent2 6 8 2" xfId="11587" xr:uid="{00000000-0005-0000-0000-000039160000}"/>
    <cellStyle name="20% - Accent2 6 8 3" xfId="18688" xr:uid="{00000000-0005-0000-0000-00003A160000}"/>
    <cellStyle name="20% - Accent2 6 8 4" xfId="25790" xr:uid="{00000000-0005-0000-0000-00003B160000}"/>
    <cellStyle name="20% - Accent2 6 8 5" xfId="32892" xr:uid="{00000000-0005-0000-0000-00003C160000}"/>
    <cellStyle name="20% - Accent2 6 9" xfId="3061" xr:uid="{00000000-0005-0000-0000-00003D160000}"/>
    <cellStyle name="20% - Accent2 6 9 2" xfId="10167" xr:uid="{00000000-0005-0000-0000-00003E160000}"/>
    <cellStyle name="20% - Accent2 6 9 3" xfId="17268" xr:uid="{00000000-0005-0000-0000-00003F160000}"/>
    <cellStyle name="20% - Accent2 6 9 4" xfId="24370" xr:uid="{00000000-0005-0000-0000-000040160000}"/>
    <cellStyle name="20% - Accent2 6 9 5" xfId="31472" xr:uid="{00000000-0005-0000-0000-000041160000}"/>
    <cellStyle name="20% - Accent2 7" xfId="290" xr:uid="{00000000-0005-0000-0000-000042160000}"/>
    <cellStyle name="20% - Accent2 7 10" xfId="36660" xr:uid="{00000000-0005-0000-0000-000043160000}"/>
    <cellStyle name="20% - Accent2 7 2" xfId="1071" xr:uid="{00000000-0005-0000-0000-000044160000}"/>
    <cellStyle name="20% - Accent2 7 2 2" xfId="2562" xr:uid="{00000000-0005-0000-0000-000045160000}"/>
    <cellStyle name="20% - Accent2 7 2 2 2" xfId="6830" xr:uid="{00000000-0005-0000-0000-000046160000}"/>
    <cellStyle name="20% - Accent2 7 2 2 2 2" xfId="13930" xr:uid="{00000000-0005-0000-0000-000047160000}"/>
    <cellStyle name="20% - Accent2 7 2 2 2 3" xfId="21031" xr:uid="{00000000-0005-0000-0000-000048160000}"/>
    <cellStyle name="20% - Accent2 7 2 2 2 4" xfId="28133" xr:uid="{00000000-0005-0000-0000-000049160000}"/>
    <cellStyle name="20% - Accent2 7 2 2 2 5" xfId="35235" xr:uid="{00000000-0005-0000-0000-00004A160000}"/>
    <cellStyle name="20% - Accent2 7 2 2 3" xfId="9670" xr:uid="{00000000-0005-0000-0000-00004B160000}"/>
    <cellStyle name="20% - Accent2 7 2 2 4" xfId="16771" xr:uid="{00000000-0005-0000-0000-00004C160000}"/>
    <cellStyle name="20% - Accent2 7 2 2 5" xfId="23873" xr:uid="{00000000-0005-0000-0000-00004D160000}"/>
    <cellStyle name="20% - Accent2 7 2 2 6" xfId="30975" xr:uid="{00000000-0005-0000-0000-00004E160000}"/>
    <cellStyle name="20% - Accent2 7 2 2 7" xfId="36661" xr:uid="{00000000-0005-0000-0000-00004F160000}"/>
    <cellStyle name="20% - Accent2 7 2 3" xfId="5409" xr:uid="{00000000-0005-0000-0000-000050160000}"/>
    <cellStyle name="20% - Accent2 7 2 3 2" xfId="12510" xr:uid="{00000000-0005-0000-0000-000051160000}"/>
    <cellStyle name="20% - Accent2 7 2 3 3" xfId="19611" xr:uid="{00000000-0005-0000-0000-000052160000}"/>
    <cellStyle name="20% - Accent2 7 2 3 4" xfId="26713" xr:uid="{00000000-0005-0000-0000-000053160000}"/>
    <cellStyle name="20% - Accent2 7 2 3 5" xfId="33815" xr:uid="{00000000-0005-0000-0000-000054160000}"/>
    <cellStyle name="20% - Accent2 7 2 4" xfId="3984" xr:uid="{00000000-0005-0000-0000-000055160000}"/>
    <cellStyle name="20% - Accent2 7 2 4 2" xfId="11090" xr:uid="{00000000-0005-0000-0000-000056160000}"/>
    <cellStyle name="20% - Accent2 7 2 4 3" xfId="18191" xr:uid="{00000000-0005-0000-0000-000057160000}"/>
    <cellStyle name="20% - Accent2 7 2 4 4" xfId="25293" xr:uid="{00000000-0005-0000-0000-000058160000}"/>
    <cellStyle name="20% - Accent2 7 2 4 5" xfId="32395" xr:uid="{00000000-0005-0000-0000-000059160000}"/>
    <cellStyle name="20% - Accent2 7 2 5" xfId="8250" xr:uid="{00000000-0005-0000-0000-00005A160000}"/>
    <cellStyle name="20% - Accent2 7 2 6" xfId="15351" xr:uid="{00000000-0005-0000-0000-00005B160000}"/>
    <cellStyle name="20% - Accent2 7 2 7" xfId="22453" xr:uid="{00000000-0005-0000-0000-00005C160000}"/>
    <cellStyle name="20% - Accent2 7 2 8" xfId="29555" xr:uid="{00000000-0005-0000-0000-00005D160000}"/>
    <cellStyle name="20% - Accent2 7 2 9" xfId="36662" xr:uid="{00000000-0005-0000-0000-00005E160000}"/>
    <cellStyle name="20% - Accent2 7 3" xfId="1781" xr:uid="{00000000-0005-0000-0000-00005F160000}"/>
    <cellStyle name="20% - Accent2 7 3 2" xfId="6049" xr:uid="{00000000-0005-0000-0000-000060160000}"/>
    <cellStyle name="20% - Accent2 7 3 2 2" xfId="13149" xr:uid="{00000000-0005-0000-0000-000061160000}"/>
    <cellStyle name="20% - Accent2 7 3 2 3" xfId="20250" xr:uid="{00000000-0005-0000-0000-000062160000}"/>
    <cellStyle name="20% - Accent2 7 3 2 4" xfId="27352" xr:uid="{00000000-0005-0000-0000-000063160000}"/>
    <cellStyle name="20% - Accent2 7 3 2 5" xfId="34454" xr:uid="{00000000-0005-0000-0000-000064160000}"/>
    <cellStyle name="20% - Accent2 7 3 2 6" xfId="36663" xr:uid="{00000000-0005-0000-0000-000065160000}"/>
    <cellStyle name="20% - Accent2 7 3 3" xfId="8889" xr:uid="{00000000-0005-0000-0000-000066160000}"/>
    <cellStyle name="20% - Accent2 7 3 4" xfId="15990" xr:uid="{00000000-0005-0000-0000-000067160000}"/>
    <cellStyle name="20% - Accent2 7 3 5" xfId="23092" xr:uid="{00000000-0005-0000-0000-000068160000}"/>
    <cellStyle name="20% - Accent2 7 3 6" xfId="30194" xr:uid="{00000000-0005-0000-0000-000069160000}"/>
    <cellStyle name="20% - Accent2 7 3 7" xfId="36664" xr:uid="{00000000-0005-0000-0000-00006A160000}"/>
    <cellStyle name="20% - Accent2 7 4" xfId="4628" xr:uid="{00000000-0005-0000-0000-00006B160000}"/>
    <cellStyle name="20% - Accent2 7 4 2" xfId="11729" xr:uid="{00000000-0005-0000-0000-00006C160000}"/>
    <cellStyle name="20% - Accent2 7 4 3" xfId="18830" xr:uid="{00000000-0005-0000-0000-00006D160000}"/>
    <cellStyle name="20% - Accent2 7 4 4" xfId="25932" xr:uid="{00000000-0005-0000-0000-00006E160000}"/>
    <cellStyle name="20% - Accent2 7 4 5" xfId="33034" xr:uid="{00000000-0005-0000-0000-00006F160000}"/>
    <cellStyle name="20% - Accent2 7 4 6" xfId="36665" xr:uid="{00000000-0005-0000-0000-000070160000}"/>
    <cellStyle name="20% - Accent2 7 5" xfId="3203" xr:uid="{00000000-0005-0000-0000-000071160000}"/>
    <cellStyle name="20% - Accent2 7 5 2" xfId="10309" xr:uid="{00000000-0005-0000-0000-000072160000}"/>
    <cellStyle name="20% - Accent2 7 5 3" xfId="17410" xr:uid="{00000000-0005-0000-0000-000073160000}"/>
    <cellStyle name="20% - Accent2 7 5 4" xfId="24512" xr:uid="{00000000-0005-0000-0000-000074160000}"/>
    <cellStyle name="20% - Accent2 7 5 5" xfId="31614" xr:uid="{00000000-0005-0000-0000-000075160000}"/>
    <cellStyle name="20% - Accent2 7 6" xfId="7469" xr:uid="{00000000-0005-0000-0000-000076160000}"/>
    <cellStyle name="20% - Accent2 7 7" xfId="14570" xr:uid="{00000000-0005-0000-0000-000077160000}"/>
    <cellStyle name="20% - Accent2 7 8" xfId="21672" xr:uid="{00000000-0005-0000-0000-000078160000}"/>
    <cellStyle name="20% - Accent2 7 9" xfId="28774" xr:uid="{00000000-0005-0000-0000-000079160000}"/>
    <cellStyle name="20% - Accent2 8" xfId="503" xr:uid="{00000000-0005-0000-0000-00007A160000}"/>
    <cellStyle name="20% - Accent2 8 2" xfId="1994" xr:uid="{00000000-0005-0000-0000-00007B160000}"/>
    <cellStyle name="20% - Accent2 8 2 2" xfId="6262" xr:uid="{00000000-0005-0000-0000-00007C160000}"/>
    <cellStyle name="20% - Accent2 8 2 2 2" xfId="13362" xr:uid="{00000000-0005-0000-0000-00007D160000}"/>
    <cellStyle name="20% - Accent2 8 2 2 3" xfId="20463" xr:uid="{00000000-0005-0000-0000-00007E160000}"/>
    <cellStyle name="20% - Accent2 8 2 2 4" xfId="27565" xr:uid="{00000000-0005-0000-0000-00007F160000}"/>
    <cellStyle name="20% - Accent2 8 2 2 5" xfId="34667" xr:uid="{00000000-0005-0000-0000-000080160000}"/>
    <cellStyle name="20% - Accent2 8 2 2 6" xfId="36666" xr:uid="{00000000-0005-0000-0000-000081160000}"/>
    <cellStyle name="20% - Accent2 8 2 3" xfId="9102" xr:uid="{00000000-0005-0000-0000-000082160000}"/>
    <cellStyle name="20% - Accent2 8 2 4" xfId="16203" xr:uid="{00000000-0005-0000-0000-000083160000}"/>
    <cellStyle name="20% - Accent2 8 2 5" xfId="23305" xr:uid="{00000000-0005-0000-0000-000084160000}"/>
    <cellStyle name="20% - Accent2 8 2 6" xfId="30407" xr:uid="{00000000-0005-0000-0000-000085160000}"/>
    <cellStyle name="20% - Accent2 8 2 7" xfId="36667" xr:uid="{00000000-0005-0000-0000-000086160000}"/>
    <cellStyle name="20% - Accent2 8 3" xfId="4841" xr:uid="{00000000-0005-0000-0000-000087160000}"/>
    <cellStyle name="20% - Accent2 8 3 2" xfId="11942" xr:uid="{00000000-0005-0000-0000-000088160000}"/>
    <cellStyle name="20% - Accent2 8 3 2 2" xfId="36668" xr:uid="{00000000-0005-0000-0000-000089160000}"/>
    <cellStyle name="20% - Accent2 8 3 3" xfId="19043" xr:uid="{00000000-0005-0000-0000-00008A160000}"/>
    <cellStyle name="20% - Accent2 8 3 4" xfId="26145" xr:uid="{00000000-0005-0000-0000-00008B160000}"/>
    <cellStyle name="20% - Accent2 8 3 5" xfId="33247" xr:uid="{00000000-0005-0000-0000-00008C160000}"/>
    <cellStyle name="20% - Accent2 8 3 6" xfId="36669" xr:uid="{00000000-0005-0000-0000-00008D160000}"/>
    <cellStyle name="20% - Accent2 8 4" xfId="3416" xr:uid="{00000000-0005-0000-0000-00008E160000}"/>
    <cellStyle name="20% - Accent2 8 4 2" xfId="10522" xr:uid="{00000000-0005-0000-0000-00008F160000}"/>
    <cellStyle name="20% - Accent2 8 4 3" xfId="17623" xr:uid="{00000000-0005-0000-0000-000090160000}"/>
    <cellStyle name="20% - Accent2 8 4 4" xfId="24725" xr:uid="{00000000-0005-0000-0000-000091160000}"/>
    <cellStyle name="20% - Accent2 8 4 5" xfId="31827" xr:uid="{00000000-0005-0000-0000-000092160000}"/>
    <cellStyle name="20% - Accent2 8 4 6" xfId="36670" xr:uid="{00000000-0005-0000-0000-000093160000}"/>
    <cellStyle name="20% - Accent2 8 5" xfId="7682" xr:uid="{00000000-0005-0000-0000-000094160000}"/>
    <cellStyle name="20% - Accent2 8 6" xfId="14783" xr:uid="{00000000-0005-0000-0000-000095160000}"/>
    <cellStyle name="20% - Accent2 8 7" xfId="21885" xr:uid="{00000000-0005-0000-0000-000096160000}"/>
    <cellStyle name="20% - Accent2 8 8" xfId="28987" xr:uid="{00000000-0005-0000-0000-000097160000}"/>
    <cellStyle name="20% - Accent2 8 9" xfId="36671" xr:uid="{00000000-0005-0000-0000-000098160000}"/>
    <cellStyle name="20% - Accent2 9" xfId="716" xr:uid="{00000000-0005-0000-0000-000099160000}"/>
    <cellStyle name="20% - Accent2 9 2" xfId="2207" xr:uid="{00000000-0005-0000-0000-00009A160000}"/>
    <cellStyle name="20% - Accent2 9 2 2" xfId="6475" xr:uid="{00000000-0005-0000-0000-00009B160000}"/>
    <cellStyle name="20% - Accent2 9 2 2 2" xfId="13575" xr:uid="{00000000-0005-0000-0000-00009C160000}"/>
    <cellStyle name="20% - Accent2 9 2 2 3" xfId="20676" xr:uid="{00000000-0005-0000-0000-00009D160000}"/>
    <cellStyle name="20% - Accent2 9 2 2 4" xfId="27778" xr:uid="{00000000-0005-0000-0000-00009E160000}"/>
    <cellStyle name="20% - Accent2 9 2 2 5" xfId="34880" xr:uid="{00000000-0005-0000-0000-00009F160000}"/>
    <cellStyle name="20% - Accent2 9 2 2 6" xfId="36672" xr:uid="{00000000-0005-0000-0000-0000A0160000}"/>
    <cellStyle name="20% - Accent2 9 2 3" xfId="9315" xr:uid="{00000000-0005-0000-0000-0000A1160000}"/>
    <cellStyle name="20% - Accent2 9 2 4" xfId="16416" xr:uid="{00000000-0005-0000-0000-0000A2160000}"/>
    <cellStyle name="20% - Accent2 9 2 5" xfId="23518" xr:uid="{00000000-0005-0000-0000-0000A3160000}"/>
    <cellStyle name="20% - Accent2 9 2 6" xfId="30620" xr:uid="{00000000-0005-0000-0000-0000A4160000}"/>
    <cellStyle name="20% - Accent2 9 2 7" xfId="36673" xr:uid="{00000000-0005-0000-0000-0000A5160000}"/>
    <cellStyle name="20% - Accent2 9 3" xfId="5054" xr:uid="{00000000-0005-0000-0000-0000A6160000}"/>
    <cellStyle name="20% - Accent2 9 3 2" xfId="12155" xr:uid="{00000000-0005-0000-0000-0000A7160000}"/>
    <cellStyle name="20% - Accent2 9 3 2 2" xfId="36674" xr:uid="{00000000-0005-0000-0000-0000A8160000}"/>
    <cellStyle name="20% - Accent2 9 3 3" xfId="19256" xr:uid="{00000000-0005-0000-0000-0000A9160000}"/>
    <cellStyle name="20% - Accent2 9 3 4" xfId="26358" xr:uid="{00000000-0005-0000-0000-0000AA160000}"/>
    <cellStyle name="20% - Accent2 9 3 5" xfId="33460" xr:uid="{00000000-0005-0000-0000-0000AB160000}"/>
    <cellStyle name="20% - Accent2 9 3 6" xfId="36675" xr:uid="{00000000-0005-0000-0000-0000AC160000}"/>
    <cellStyle name="20% - Accent2 9 4" xfId="3629" xr:uid="{00000000-0005-0000-0000-0000AD160000}"/>
    <cellStyle name="20% - Accent2 9 4 2" xfId="10735" xr:uid="{00000000-0005-0000-0000-0000AE160000}"/>
    <cellStyle name="20% - Accent2 9 4 3" xfId="17836" xr:uid="{00000000-0005-0000-0000-0000AF160000}"/>
    <cellStyle name="20% - Accent2 9 4 4" xfId="24938" xr:uid="{00000000-0005-0000-0000-0000B0160000}"/>
    <cellStyle name="20% - Accent2 9 4 5" xfId="32040" xr:uid="{00000000-0005-0000-0000-0000B1160000}"/>
    <cellStyle name="20% - Accent2 9 4 6" xfId="36676" xr:uid="{00000000-0005-0000-0000-0000B2160000}"/>
    <cellStyle name="20% - Accent2 9 5" xfId="7895" xr:uid="{00000000-0005-0000-0000-0000B3160000}"/>
    <cellStyle name="20% - Accent2 9 6" xfId="14996" xr:uid="{00000000-0005-0000-0000-0000B4160000}"/>
    <cellStyle name="20% - Accent2 9 7" xfId="22098" xr:uid="{00000000-0005-0000-0000-0000B5160000}"/>
    <cellStyle name="20% - Accent2 9 8" xfId="29200" xr:uid="{00000000-0005-0000-0000-0000B6160000}"/>
    <cellStyle name="20% - Accent2 9 9" xfId="36677" xr:uid="{00000000-0005-0000-0000-0000B7160000}"/>
    <cellStyle name="20% - Accent3" xfId="50" builtinId="38" customBuiltin="1"/>
    <cellStyle name="20% - Accent3 10" xfId="931" xr:uid="{00000000-0005-0000-0000-0000B9160000}"/>
    <cellStyle name="20% - Accent3 10 2" xfId="2422" xr:uid="{00000000-0005-0000-0000-0000BA160000}"/>
    <cellStyle name="20% - Accent3 10 2 2" xfId="6690" xr:uid="{00000000-0005-0000-0000-0000BB160000}"/>
    <cellStyle name="20% - Accent3 10 2 2 2" xfId="13790" xr:uid="{00000000-0005-0000-0000-0000BC160000}"/>
    <cellStyle name="20% - Accent3 10 2 2 3" xfId="20891" xr:uid="{00000000-0005-0000-0000-0000BD160000}"/>
    <cellStyle name="20% - Accent3 10 2 2 4" xfId="27993" xr:uid="{00000000-0005-0000-0000-0000BE160000}"/>
    <cellStyle name="20% - Accent3 10 2 2 5" xfId="35095" xr:uid="{00000000-0005-0000-0000-0000BF160000}"/>
    <cellStyle name="20% - Accent3 10 2 3" xfId="9530" xr:uid="{00000000-0005-0000-0000-0000C0160000}"/>
    <cellStyle name="20% - Accent3 10 2 4" xfId="16631" xr:uid="{00000000-0005-0000-0000-0000C1160000}"/>
    <cellStyle name="20% - Accent3 10 2 5" xfId="23733" xr:uid="{00000000-0005-0000-0000-0000C2160000}"/>
    <cellStyle name="20% - Accent3 10 2 6" xfId="30835" xr:uid="{00000000-0005-0000-0000-0000C3160000}"/>
    <cellStyle name="20% - Accent3 10 2 7" xfId="36678" xr:uid="{00000000-0005-0000-0000-0000C4160000}"/>
    <cellStyle name="20% - Accent3 10 3" xfId="5269" xr:uid="{00000000-0005-0000-0000-0000C5160000}"/>
    <cellStyle name="20% - Accent3 10 3 2" xfId="12370" xr:uid="{00000000-0005-0000-0000-0000C6160000}"/>
    <cellStyle name="20% - Accent3 10 3 3" xfId="19471" xr:uid="{00000000-0005-0000-0000-0000C7160000}"/>
    <cellStyle name="20% - Accent3 10 3 4" xfId="26573" xr:uid="{00000000-0005-0000-0000-0000C8160000}"/>
    <cellStyle name="20% - Accent3 10 3 5" xfId="33675" xr:uid="{00000000-0005-0000-0000-0000C9160000}"/>
    <cellStyle name="20% - Accent3 10 4" xfId="3844" xr:uid="{00000000-0005-0000-0000-0000CA160000}"/>
    <cellStyle name="20% - Accent3 10 4 2" xfId="10950" xr:uid="{00000000-0005-0000-0000-0000CB160000}"/>
    <cellStyle name="20% - Accent3 10 4 3" xfId="18051" xr:uid="{00000000-0005-0000-0000-0000CC160000}"/>
    <cellStyle name="20% - Accent3 10 4 4" xfId="25153" xr:uid="{00000000-0005-0000-0000-0000CD160000}"/>
    <cellStyle name="20% - Accent3 10 4 5" xfId="32255" xr:uid="{00000000-0005-0000-0000-0000CE160000}"/>
    <cellStyle name="20% - Accent3 10 5" xfId="8110" xr:uid="{00000000-0005-0000-0000-0000CF160000}"/>
    <cellStyle name="20% - Accent3 10 6" xfId="15211" xr:uid="{00000000-0005-0000-0000-0000D0160000}"/>
    <cellStyle name="20% - Accent3 10 7" xfId="22313" xr:uid="{00000000-0005-0000-0000-0000D1160000}"/>
    <cellStyle name="20% - Accent3 10 8" xfId="29415" xr:uid="{00000000-0005-0000-0000-0000D2160000}"/>
    <cellStyle name="20% - Accent3 10 9" xfId="36679" xr:uid="{00000000-0005-0000-0000-0000D3160000}"/>
    <cellStyle name="20% - Accent3 11" xfId="1286" xr:uid="{00000000-0005-0000-0000-0000D4160000}"/>
    <cellStyle name="20% - Accent3 11 2" xfId="2777" xr:uid="{00000000-0005-0000-0000-0000D5160000}"/>
    <cellStyle name="20% - Accent3 11 2 2" xfId="7045" xr:uid="{00000000-0005-0000-0000-0000D6160000}"/>
    <cellStyle name="20% - Accent3 11 2 2 2" xfId="14145" xr:uid="{00000000-0005-0000-0000-0000D7160000}"/>
    <cellStyle name="20% - Accent3 11 2 2 3" xfId="21246" xr:uid="{00000000-0005-0000-0000-0000D8160000}"/>
    <cellStyle name="20% - Accent3 11 2 2 4" xfId="28348" xr:uid="{00000000-0005-0000-0000-0000D9160000}"/>
    <cellStyle name="20% - Accent3 11 2 2 5" xfId="35450" xr:uid="{00000000-0005-0000-0000-0000DA160000}"/>
    <cellStyle name="20% - Accent3 11 2 3" xfId="9885" xr:uid="{00000000-0005-0000-0000-0000DB160000}"/>
    <cellStyle name="20% - Accent3 11 2 4" xfId="16986" xr:uid="{00000000-0005-0000-0000-0000DC160000}"/>
    <cellStyle name="20% - Accent3 11 2 5" xfId="24088" xr:uid="{00000000-0005-0000-0000-0000DD160000}"/>
    <cellStyle name="20% - Accent3 11 2 6" xfId="31190" xr:uid="{00000000-0005-0000-0000-0000DE160000}"/>
    <cellStyle name="20% - Accent3 11 2 7" xfId="36680" xr:uid="{00000000-0005-0000-0000-0000DF160000}"/>
    <cellStyle name="20% - Accent3 11 3" xfId="5624" xr:uid="{00000000-0005-0000-0000-0000E0160000}"/>
    <cellStyle name="20% - Accent3 11 3 2" xfId="12725" xr:uid="{00000000-0005-0000-0000-0000E1160000}"/>
    <cellStyle name="20% - Accent3 11 3 3" xfId="19826" xr:uid="{00000000-0005-0000-0000-0000E2160000}"/>
    <cellStyle name="20% - Accent3 11 3 4" xfId="26928" xr:uid="{00000000-0005-0000-0000-0000E3160000}"/>
    <cellStyle name="20% - Accent3 11 3 5" xfId="34030" xr:uid="{00000000-0005-0000-0000-0000E4160000}"/>
    <cellStyle name="20% - Accent3 11 4" xfId="4199" xr:uid="{00000000-0005-0000-0000-0000E5160000}"/>
    <cellStyle name="20% - Accent3 11 4 2" xfId="11305" xr:uid="{00000000-0005-0000-0000-0000E6160000}"/>
    <cellStyle name="20% - Accent3 11 4 3" xfId="18406" xr:uid="{00000000-0005-0000-0000-0000E7160000}"/>
    <cellStyle name="20% - Accent3 11 4 4" xfId="25508" xr:uid="{00000000-0005-0000-0000-0000E8160000}"/>
    <cellStyle name="20% - Accent3 11 4 5" xfId="32610" xr:uid="{00000000-0005-0000-0000-0000E9160000}"/>
    <cellStyle name="20% - Accent3 11 5" xfId="8465" xr:uid="{00000000-0005-0000-0000-0000EA160000}"/>
    <cellStyle name="20% - Accent3 11 6" xfId="15566" xr:uid="{00000000-0005-0000-0000-0000EB160000}"/>
    <cellStyle name="20% - Accent3 11 7" xfId="22668" xr:uid="{00000000-0005-0000-0000-0000EC160000}"/>
    <cellStyle name="20% - Accent3 11 8" xfId="29770" xr:uid="{00000000-0005-0000-0000-0000ED160000}"/>
    <cellStyle name="20% - Accent3 11 9" xfId="36681" xr:uid="{00000000-0005-0000-0000-0000EE160000}"/>
    <cellStyle name="20% - Accent3 12" xfId="1554" xr:uid="{00000000-0005-0000-0000-0000EF160000}"/>
    <cellStyle name="20% - Accent3 12 2" xfId="5837" xr:uid="{00000000-0005-0000-0000-0000F0160000}"/>
    <cellStyle name="20% - Accent3 12 2 2" xfId="12938" xr:uid="{00000000-0005-0000-0000-0000F1160000}"/>
    <cellStyle name="20% - Accent3 12 2 3" xfId="20039" xr:uid="{00000000-0005-0000-0000-0000F2160000}"/>
    <cellStyle name="20% - Accent3 12 2 4" xfId="27141" xr:uid="{00000000-0005-0000-0000-0000F3160000}"/>
    <cellStyle name="20% - Accent3 12 2 5" xfId="34243" xr:uid="{00000000-0005-0000-0000-0000F4160000}"/>
    <cellStyle name="20% - Accent3 12 3" xfId="8678" xr:uid="{00000000-0005-0000-0000-0000F5160000}"/>
    <cellStyle name="20% - Accent3 12 4" xfId="15779" xr:uid="{00000000-0005-0000-0000-0000F6160000}"/>
    <cellStyle name="20% - Accent3 12 5" xfId="22881" xr:uid="{00000000-0005-0000-0000-0000F7160000}"/>
    <cellStyle name="20% - Accent3 12 6" xfId="29983" xr:uid="{00000000-0005-0000-0000-0000F8160000}"/>
    <cellStyle name="20% - Accent3 12 7" xfId="36682" xr:uid="{00000000-0005-0000-0000-0000F9160000}"/>
    <cellStyle name="20% - Accent3 13" xfId="4417" xr:uid="{00000000-0005-0000-0000-0000FA160000}"/>
    <cellStyle name="20% - Accent3 13 2" xfId="11518" xr:uid="{00000000-0005-0000-0000-0000FB160000}"/>
    <cellStyle name="20% - Accent3 13 3" xfId="18619" xr:uid="{00000000-0005-0000-0000-0000FC160000}"/>
    <cellStyle name="20% - Accent3 13 4" xfId="25721" xr:uid="{00000000-0005-0000-0000-0000FD160000}"/>
    <cellStyle name="20% - Accent3 13 5" xfId="32823" xr:uid="{00000000-0005-0000-0000-0000FE160000}"/>
    <cellStyle name="20% - Accent3 14" xfId="2992" xr:uid="{00000000-0005-0000-0000-0000FF160000}"/>
    <cellStyle name="20% - Accent3 14 2" xfId="10098" xr:uid="{00000000-0005-0000-0000-000000170000}"/>
    <cellStyle name="20% - Accent3 14 3" xfId="17199" xr:uid="{00000000-0005-0000-0000-000001170000}"/>
    <cellStyle name="20% - Accent3 14 4" xfId="24301" xr:uid="{00000000-0005-0000-0000-000002170000}"/>
    <cellStyle name="20% - Accent3 14 5" xfId="31403" xr:uid="{00000000-0005-0000-0000-000003170000}"/>
    <cellStyle name="20% - Accent3 15" xfId="7258" xr:uid="{00000000-0005-0000-0000-000004170000}"/>
    <cellStyle name="20% - Accent3 16" xfId="14359" xr:uid="{00000000-0005-0000-0000-000005170000}"/>
    <cellStyle name="20% - Accent3 17" xfId="21461" xr:uid="{00000000-0005-0000-0000-000006170000}"/>
    <cellStyle name="20% - Accent3 18" xfId="28563" xr:uid="{00000000-0005-0000-0000-000007170000}"/>
    <cellStyle name="20% - Accent3 19" xfId="35665" xr:uid="{00000000-0005-0000-0000-000008170000}"/>
    <cellStyle name="20% - Accent3 2" xfId="77" xr:uid="{00000000-0005-0000-0000-000009170000}"/>
    <cellStyle name="20% - Accent3 2 10" xfId="1578" xr:uid="{00000000-0005-0000-0000-00000A170000}"/>
    <cellStyle name="20% - Accent3 2 10 2" xfId="5852" xr:uid="{00000000-0005-0000-0000-00000B170000}"/>
    <cellStyle name="20% - Accent3 2 10 2 2" xfId="12952" xr:uid="{00000000-0005-0000-0000-00000C170000}"/>
    <cellStyle name="20% - Accent3 2 10 2 3" xfId="20053" xr:uid="{00000000-0005-0000-0000-00000D170000}"/>
    <cellStyle name="20% - Accent3 2 10 2 4" xfId="27155" xr:uid="{00000000-0005-0000-0000-00000E170000}"/>
    <cellStyle name="20% - Accent3 2 10 2 5" xfId="34257" xr:uid="{00000000-0005-0000-0000-00000F170000}"/>
    <cellStyle name="20% - Accent3 2 10 2 6" xfId="36683" xr:uid="{00000000-0005-0000-0000-000010170000}"/>
    <cellStyle name="20% - Accent3 2 10 3" xfId="8692" xr:uid="{00000000-0005-0000-0000-000011170000}"/>
    <cellStyle name="20% - Accent3 2 10 4" xfId="15793" xr:uid="{00000000-0005-0000-0000-000012170000}"/>
    <cellStyle name="20% - Accent3 2 10 5" xfId="22895" xr:uid="{00000000-0005-0000-0000-000013170000}"/>
    <cellStyle name="20% - Accent3 2 10 6" xfId="29997" xr:uid="{00000000-0005-0000-0000-000014170000}"/>
    <cellStyle name="20% - Accent3 2 10 7" xfId="36684" xr:uid="{00000000-0005-0000-0000-000015170000}"/>
    <cellStyle name="20% - Accent3 2 11" xfId="4431" xr:uid="{00000000-0005-0000-0000-000016170000}"/>
    <cellStyle name="20% - Accent3 2 11 2" xfId="11532" xr:uid="{00000000-0005-0000-0000-000017170000}"/>
    <cellStyle name="20% - Accent3 2 11 3" xfId="18633" xr:uid="{00000000-0005-0000-0000-000018170000}"/>
    <cellStyle name="20% - Accent3 2 11 4" xfId="25735" xr:uid="{00000000-0005-0000-0000-000019170000}"/>
    <cellStyle name="20% - Accent3 2 11 5" xfId="32837" xr:uid="{00000000-0005-0000-0000-00001A170000}"/>
    <cellStyle name="20% - Accent3 2 11 6" xfId="36685" xr:uid="{00000000-0005-0000-0000-00001B170000}"/>
    <cellStyle name="20% - Accent3 2 12" xfId="3006" xr:uid="{00000000-0005-0000-0000-00001C170000}"/>
    <cellStyle name="20% - Accent3 2 12 2" xfId="10112" xr:uid="{00000000-0005-0000-0000-00001D170000}"/>
    <cellStyle name="20% - Accent3 2 12 3" xfId="17213" xr:uid="{00000000-0005-0000-0000-00001E170000}"/>
    <cellStyle name="20% - Accent3 2 12 4" xfId="24315" xr:uid="{00000000-0005-0000-0000-00001F170000}"/>
    <cellStyle name="20% - Accent3 2 12 5" xfId="31417" xr:uid="{00000000-0005-0000-0000-000020170000}"/>
    <cellStyle name="20% - Accent3 2 13" xfId="7272" xr:uid="{00000000-0005-0000-0000-000021170000}"/>
    <cellStyle name="20% - Accent3 2 14" xfId="14373" xr:uid="{00000000-0005-0000-0000-000022170000}"/>
    <cellStyle name="20% - Accent3 2 15" xfId="21475" xr:uid="{00000000-0005-0000-0000-000023170000}"/>
    <cellStyle name="20% - Accent3 2 16" xfId="28577" xr:uid="{00000000-0005-0000-0000-000024170000}"/>
    <cellStyle name="20% - Accent3 2 17" xfId="35679" xr:uid="{00000000-0005-0000-0000-000025170000}"/>
    <cellStyle name="20% - Accent3 2 18" xfId="36686" xr:uid="{00000000-0005-0000-0000-000026170000}"/>
    <cellStyle name="20% - Accent3 2 19" xfId="36687" xr:uid="{00000000-0005-0000-0000-000027170000}"/>
    <cellStyle name="20% - Accent3 2 2" xfId="122" xr:uid="{00000000-0005-0000-0000-000028170000}"/>
    <cellStyle name="20% - Accent3 2 2 10" xfId="4462" xr:uid="{00000000-0005-0000-0000-000029170000}"/>
    <cellStyle name="20% - Accent3 2 2 10 2" xfId="11563" xr:uid="{00000000-0005-0000-0000-00002A170000}"/>
    <cellStyle name="20% - Accent3 2 2 10 3" xfId="18664" xr:uid="{00000000-0005-0000-0000-00002B170000}"/>
    <cellStyle name="20% - Accent3 2 2 10 4" xfId="25766" xr:uid="{00000000-0005-0000-0000-00002C170000}"/>
    <cellStyle name="20% - Accent3 2 2 10 5" xfId="32868" xr:uid="{00000000-0005-0000-0000-00002D170000}"/>
    <cellStyle name="20% - Accent3 2 2 11" xfId="3037" xr:uid="{00000000-0005-0000-0000-00002E170000}"/>
    <cellStyle name="20% - Accent3 2 2 11 2" xfId="10143" xr:uid="{00000000-0005-0000-0000-00002F170000}"/>
    <cellStyle name="20% - Accent3 2 2 11 3" xfId="17244" xr:uid="{00000000-0005-0000-0000-000030170000}"/>
    <cellStyle name="20% - Accent3 2 2 11 4" xfId="24346" xr:uid="{00000000-0005-0000-0000-000031170000}"/>
    <cellStyle name="20% - Accent3 2 2 11 5" xfId="31448" xr:uid="{00000000-0005-0000-0000-000032170000}"/>
    <cellStyle name="20% - Accent3 2 2 12" xfId="7303" xr:uid="{00000000-0005-0000-0000-000033170000}"/>
    <cellStyle name="20% - Accent3 2 2 13" xfId="14404" xr:uid="{00000000-0005-0000-0000-000034170000}"/>
    <cellStyle name="20% - Accent3 2 2 14" xfId="21506" xr:uid="{00000000-0005-0000-0000-000035170000}"/>
    <cellStyle name="20% - Accent3 2 2 15" xfId="28608" xr:uid="{00000000-0005-0000-0000-000036170000}"/>
    <cellStyle name="20% - Accent3 2 2 16" xfId="35710" xr:uid="{00000000-0005-0000-0000-000037170000}"/>
    <cellStyle name="20% - Accent3 2 2 17" xfId="36688" xr:uid="{00000000-0005-0000-0000-000038170000}"/>
    <cellStyle name="20% - Accent3 2 2 18" xfId="36689" xr:uid="{00000000-0005-0000-0000-000039170000}"/>
    <cellStyle name="20% - Accent3 2 2 2" xfId="266" xr:uid="{00000000-0005-0000-0000-00003A170000}"/>
    <cellStyle name="20% - Accent3 2 2 2 10" xfId="7445" xr:uid="{00000000-0005-0000-0000-00003B170000}"/>
    <cellStyle name="20% - Accent3 2 2 2 11" xfId="14546" xr:uid="{00000000-0005-0000-0000-00003C170000}"/>
    <cellStyle name="20% - Accent3 2 2 2 12" xfId="21648" xr:uid="{00000000-0005-0000-0000-00003D170000}"/>
    <cellStyle name="20% - Accent3 2 2 2 13" xfId="28750" xr:uid="{00000000-0005-0000-0000-00003E170000}"/>
    <cellStyle name="20% - Accent3 2 2 2 14" xfId="35852" xr:uid="{00000000-0005-0000-0000-00003F170000}"/>
    <cellStyle name="20% - Accent3 2 2 2 15" xfId="36690" xr:uid="{00000000-0005-0000-0000-000040170000}"/>
    <cellStyle name="20% - Accent3 2 2 2 2" xfId="479" xr:uid="{00000000-0005-0000-0000-000041170000}"/>
    <cellStyle name="20% - Accent3 2 2 2 2 10" xfId="36691" xr:uid="{00000000-0005-0000-0000-000042170000}"/>
    <cellStyle name="20% - Accent3 2 2 2 2 2" xfId="1260" xr:uid="{00000000-0005-0000-0000-000043170000}"/>
    <cellStyle name="20% - Accent3 2 2 2 2 2 2" xfId="2751" xr:uid="{00000000-0005-0000-0000-000044170000}"/>
    <cellStyle name="20% - Accent3 2 2 2 2 2 2 2" xfId="7019" xr:uid="{00000000-0005-0000-0000-000045170000}"/>
    <cellStyle name="20% - Accent3 2 2 2 2 2 2 2 2" xfId="14119" xr:uid="{00000000-0005-0000-0000-000046170000}"/>
    <cellStyle name="20% - Accent3 2 2 2 2 2 2 2 3" xfId="21220" xr:uid="{00000000-0005-0000-0000-000047170000}"/>
    <cellStyle name="20% - Accent3 2 2 2 2 2 2 2 4" xfId="28322" xr:uid="{00000000-0005-0000-0000-000048170000}"/>
    <cellStyle name="20% - Accent3 2 2 2 2 2 2 2 5" xfId="35424" xr:uid="{00000000-0005-0000-0000-000049170000}"/>
    <cellStyle name="20% - Accent3 2 2 2 2 2 2 3" xfId="9859" xr:uid="{00000000-0005-0000-0000-00004A170000}"/>
    <cellStyle name="20% - Accent3 2 2 2 2 2 2 4" xfId="16960" xr:uid="{00000000-0005-0000-0000-00004B170000}"/>
    <cellStyle name="20% - Accent3 2 2 2 2 2 2 5" xfId="24062" xr:uid="{00000000-0005-0000-0000-00004C170000}"/>
    <cellStyle name="20% - Accent3 2 2 2 2 2 2 6" xfId="31164" xr:uid="{00000000-0005-0000-0000-00004D170000}"/>
    <cellStyle name="20% - Accent3 2 2 2 2 2 2 7" xfId="36692" xr:uid="{00000000-0005-0000-0000-00004E170000}"/>
    <cellStyle name="20% - Accent3 2 2 2 2 2 3" xfId="5598" xr:uid="{00000000-0005-0000-0000-00004F170000}"/>
    <cellStyle name="20% - Accent3 2 2 2 2 2 3 2" xfId="12699" xr:uid="{00000000-0005-0000-0000-000050170000}"/>
    <cellStyle name="20% - Accent3 2 2 2 2 2 3 3" xfId="19800" xr:uid="{00000000-0005-0000-0000-000051170000}"/>
    <cellStyle name="20% - Accent3 2 2 2 2 2 3 4" xfId="26902" xr:uid="{00000000-0005-0000-0000-000052170000}"/>
    <cellStyle name="20% - Accent3 2 2 2 2 2 3 5" xfId="34004" xr:uid="{00000000-0005-0000-0000-000053170000}"/>
    <cellStyle name="20% - Accent3 2 2 2 2 2 4" xfId="4173" xr:uid="{00000000-0005-0000-0000-000054170000}"/>
    <cellStyle name="20% - Accent3 2 2 2 2 2 4 2" xfId="11279" xr:uid="{00000000-0005-0000-0000-000055170000}"/>
    <cellStyle name="20% - Accent3 2 2 2 2 2 4 3" xfId="18380" xr:uid="{00000000-0005-0000-0000-000056170000}"/>
    <cellStyle name="20% - Accent3 2 2 2 2 2 4 4" xfId="25482" xr:uid="{00000000-0005-0000-0000-000057170000}"/>
    <cellStyle name="20% - Accent3 2 2 2 2 2 4 5" xfId="32584" xr:uid="{00000000-0005-0000-0000-000058170000}"/>
    <cellStyle name="20% - Accent3 2 2 2 2 2 5" xfId="8439" xr:uid="{00000000-0005-0000-0000-000059170000}"/>
    <cellStyle name="20% - Accent3 2 2 2 2 2 6" xfId="15540" xr:uid="{00000000-0005-0000-0000-00005A170000}"/>
    <cellStyle name="20% - Accent3 2 2 2 2 2 7" xfId="22642" xr:uid="{00000000-0005-0000-0000-00005B170000}"/>
    <cellStyle name="20% - Accent3 2 2 2 2 2 8" xfId="29744" xr:uid="{00000000-0005-0000-0000-00005C170000}"/>
    <cellStyle name="20% - Accent3 2 2 2 2 2 9" xfId="36693" xr:uid="{00000000-0005-0000-0000-00005D170000}"/>
    <cellStyle name="20% - Accent3 2 2 2 2 3" xfId="1970" xr:uid="{00000000-0005-0000-0000-00005E170000}"/>
    <cellStyle name="20% - Accent3 2 2 2 2 3 2" xfId="6238" xr:uid="{00000000-0005-0000-0000-00005F170000}"/>
    <cellStyle name="20% - Accent3 2 2 2 2 3 2 2" xfId="13338" xr:uid="{00000000-0005-0000-0000-000060170000}"/>
    <cellStyle name="20% - Accent3 2 2 2 2 3 2 3" xfId="20439" xr:uid="{00000000-0005-0000-0000-000061170000}"/>
    <cellStyle name="20% - Accent3 2 2 2 2 3 2 4" xfId="27541" xr:uid="{00000000-0005-0000-0000-000062170000}"/>
    <cellStyle name="20% - Accent3 2 2 2 2 3 2 5" xfId="34643" xr:uid="{00000000-0005-0000-0000-000063170000}"/>
    <cellStyle name="20% - Accent3 2 2 2 2 3 2 6" xfId="36694" xr:uid="{00000000-0005-0000-0000-000064170000}"/>
    <cellStyle name="20% - Accent3 2 2 2 2 3 3" xfId="9078" xr:uid="{00000000-0005-0000-0000-000065170000}"/>
    <cellStyle name="20% - Accent3 2 2 2 2 3 4" xfId="16179" xr:uid="{00000000-0005-0000-0000-000066170000}"/>
    <cellStyle name="20% - Accent3 2 2 2 2 3 5" xfId="23281" xr:uid="{00000000-0005-0000-0000-000067170000}"/>
    <cellStyle name="20% - Accent3 2 2 2 2 3 6" xfId="30383" xr:uid="{00000000-0005-0000-0000-000068170000}"/>
    <cellStyle name="20% - Accent3 2 2 2 2 3 7" xfId="36695" xr:uid="{00000000-0005-0000-0000-000069170000}"/>
    <cellStyle name="20% - Accent3 2 2 2 2 4" xfId="4817" xr:uid="{00000000-0005-0000-0000-00006A170000}"/>
    <cellStyle name="20% - Accent3 2 2 2 2 4 2" xfId="11918" xr:uid="{00000000-0005-0000-0000-00006B170000}"/>
    <cellStyle name="20% - Accent3 2 2 2 2 4 3" xfId="19019" xr:uid="{00000000-0005-0000-0000-00006C170000}"/>
    <cellStyle name="20% - Accent3 2 2 2 2 4 4" xfId="26121" xr:uid="{00000000-0005-0000-0000-00006D170000}"/>
    <cellStyle name="20% - Accent3 2 2 2 2 4 5" xfId="33223" xr:uid="{00000000-0005-0000-0000-00006E170000}"/>
    <cellStyle name="20% - Accent3 2 2 2 2 4 6" xfId="36696" xr:uid="{00000000-0005-0000-0000-00006F170000}"/>
    <cellStyle name="20% - Accent3 2 2 2 2 5" xfId="3392" xr:uid="{00000000-0005-0000-0000-000070170000}"/>
    <cellStyle name="20% - Accent3 2 2 2 2 5 2" xfId="10498" xr:uid="{00000000-0005-0000-0000-000071170000}"/>
    <cellStyle name="20% - Accent3 2 2 2 2 5 3" xfId="17599" xr:uid="{00000000-0005-0000-0000-000072170000}"/>
    <cellStyle name="20% - Accent3 2 2 2 2 5 4" xfId="24701" xr:uid="{00000000-0005-0000-0000-000073170000}"/>
    <cellStyle name="20% - Accent3 2 2 2 2 5 5" xfId="31803" xr:uid="{00000000-0005-0000-0000-000074170000}"/>
    <cellStyle name="20% - Accent3 2 2 2 2 6" xfId="7658" xr:uid="{00000000-0005-0000-0000-000075170000}"/>
    <cellStyle name="20% - Accent3 2 2 2 2 7" xfId="14759" xr:uid="{00000000-0005-0000-0000-000076170000}"/>
    <cellStyle name="20% - Accent3 2 2 2 2 8" xfId="21861" xr:uid="{00000000-0005-0000-0000-000077170000}"/>
    <cellStyle name="20% - Accent3 2 2 2 2 9" xfId="28963" xr:uid="{00000000-0005-0000-0000-000078170000}"/>
    <cellStyle name="20% - Accent3 2 2 2 3" xfId="692" xr:uid="{00000000-0005-0000-0000-000079170000}"/>
    <cellStyle name="20% - Accent3 2 2 2 3 2" xfId="2183" xr:uid="{00000000-0005-0000-0000-00007A170000}"/>
    <cellStyle name="20% - Accent3 2 2 2 3 2 2" xfId="6451" xr:uid="{00000000-0005-0000-0000-00007B170000}"/>
    <cellStyle name="20% - Accent3 2 2 2 3 2 2 2" xfId="13551" xr:uid="{00000000-0005-0000-0000-00007C170000}"/>
    <cellStyle name="20% - Accent3 2 2 2 3 2 2 3" xfId="20652" xr:uid="{00000000-0005-0000-0000-00007D170000}"/>
    <cellStyle name="20% - Accent3 2 2 2 3 2 2 4" xfId="27754" xr:uid="{00000000-0005-0000-0000-00007E170000}"/>
    <cellStyle name="20% - Accent3 2 2 2 3 2 2 5" xfId="34856" xr:uid="{00000000-0005-0000-0000-00007F170000}"/>
    <cellStyle name="20% - Accent3 2 2 2 3 2 2 6" xfId="36697" xr:uid="{00000000-0005-0000-0000-000080170000}"/>
    <cellStyle name="20% - Accent3 2 2 2 3 2 3" xfId="9291" xr:uid="{00000000-0005-0000-0000-000081170000}"/>
    <cellStyle name="20% - Accent3 2 2 2 3 2 4" xfId="16392" xr:uid="{00000000-0005-0000-0000-000082170000}"/>
    <cellStyle name="20% - Accent3 2 2 2 3 2 5" xfId="23494" xr:uid="{00000000-0005-0000-0000-000083170000}"/>
    <cellStyle name="20% - Accent3 2 2 2 3 2 6" xfId="30596" xr:uid="{00000000-0005-0000-0000-000084170000}"/>
    <cellStyle name="20% - Accent3 2 2 2 3 2 7" xfId="36698" xr:uid="{00000000-0005-0000-0000-000085170000}"/>
    <cellStyle name="20% - Accent3 2 2 2 3 3" xfId="5030" xr:uid="{00000000-0005-0000-0000-000086170000}"/>
    <cellStyle name="20% - Accent3 2 2 2 3 3 2" xfId="12131" xr:uid="{00000000-0005-0000-0000-000087170000}"/>
    <cellStyle name="20% - Accent3 2 2 2 3 3 2 2" xfId="36699" xr:uid="{00000000-0005-0000-0000-000088170000}"/>
    <cellStyle name="20% - Accent3 2 2 2 3 3 3" xfId="19232" xr:uid="{00000000-0005-0000-0000-000089170000}"/>
    <cellStyle name="20% - Accent3 2 2 2 3 3 4" xfId="26334" xr:uid="{00000000-0005-0000-0000-00008A170000}"/>
    <cellStyle name="20% - Accent3 2 2 2 3 3 5" xfId="33436" xr:uid="{00000000-0005-0000-0000-00008B170000}"/>
    <cellStyle name="20% - Accent3 2 2 2 3 3 6" xfId="36700" xr:uid="{00000000-0005-0000-0000-00008C170000}"/>
    <cellStyle name="20% - Accent3 2 2 2 3 4" xfId="3605" xr:uid="{00000000-0005-0000-0000-00008D170000}"/>
    <cellStyle name="20% - Accent3 2 2 2 3 4 2" xfId="10711" xr:uid="{00000000-0005-0000-0000-00008E170000}"/>
    <cellStyle name="20% - Accent3 2 2 2 3 4 3" xfId="17812" xr:uid="{00000000-0005-0000-0000-00008F170000}"/>
    <cellStyle name="20% - Accent3 2 2 2 3 4 4" xfId="24914" xr:uid="{00000000-0005-0000-0000-000090170000}"/>
    <cellStyle name="20% - Accent3 2 2 2 3 4 5" xfId="32016" xr:uid="{00000000-0005-0000-0000-000091170000}"/>
    <cellStyle name="20% - Accent3 2 2 2 3 4 6" xfId="36701" xr:uid="{00000000-0005-0000-0000-000092170000}"/>
    <cellStyle name="20% - Accent3 2 2 2 3 5" xfId="7871" xr:uid="{00000000-0005-0000-0000-000093170000}"/>
    <cellStyle name="20% - Accent3 2 2 2 3 6" xfId="14972" xr:uid="{00000000-0005-0000-0000-000094170000}"/>
    <cellStyle name="20% - Accent3 2 2 2 3 7" xfId="22074" xr:uid="{00000000-0005-0000-0000-000095170000}"/>
    <cellStyle name="20% - Accent3 2 2 2 3 8" xfId="29176" xr:uid="{00000000-0005-0000-0000-000096170000}"/>
    <cellStyle name="20% - Accent3 2 2 2 3 9" xfId="36702" xr:uid="{00000000-0005-0000-0000-000097170000}"/>
    <cellStyle name="20% - Accent3 2 2 2 4" xfId="905" xr:uid="{00000000-0005-0000-0000-000098170000}"/>
    <cellStyle name="20% - Accent3 2 2 2 4 2" xfId="2396" xr:uid="{00000000-0005-0000-0000-000099170000}"/>
    <cellStyle name="20% - Accent3 2 2 2 4 2 2" xfId="6664" xr:uid="{00000000-0005-0000-0000-00009A170000}"/>
    <cellStyle name="20% - Accent3 2 2 2 4 2 2 2" xfId="13764" xr:uid="{00000000-0005-0000-0000-00009B170000}"/>
    <cellStyle name="20% - Accent3 2 2 2 4 2 2 3" xfId="20865" xr:uid="{00000000-0005-0000-0000-00009C170000}"/>
    <cellStyle name="20% - Accent3 2 2 2 4 2 2 4" xfId="27967" xr:uid="{00000000-0005-0000-0000-00009D170000}"/>
    <cellStyle name="20% - Accent3 2 2 2 4 2 2 5" xfId="35069" xr:uid="{00000000-0005-0000-0000-00009E170000}"/>
    <cellStyle name="20% - Accent3 2 2 2 4 2 2 6" xfId="36703" xr:uid="{00000000-0005-0000-0000-00009F170000}"/>
    <cellStyle name="20% - Accent3 2 2 2 4 2 3" xfId="9504" xr:uid="{00000000-0005-0000-0000-0000A0170000}"/>
    <cellStyle name="20% - Accent3 2 2 2 4 2 4" xfId="16605" xr:uid="{00000000-0005-0000-0000-0000A1170000}"/>
    <cellStyle name="20% - Accent3 2 2 2 4 2 5" xfId="23707" xr:uid="{00000000-0005-0000-0000-0000A2170000}"/>
    <cellStyle name="20% - Accent3 2 2 2 4 2 6" xfId="30809" xr:uid="{00000000-0005-0000-0000-0000A3170000}"/>
    <cellStyle name="20% - Accent3 2 2 2 4 2 7" xfId="36704" xr:uid="{00000000-0005-0000-0000-0000A4170000}"/>
    <cellStyle name="20% - Accent3 2 2 2 4 3" xfId="5243" xr:uid="{00000000-0005-0000-0000-0000A5170000}"/>
    <cellStyle name="20% - Accent3 2 2 2 4 3 2" xfId="12344" xr:uid="{00000000-0005-0000-0000-0000A6170000}"/>
    <cellStyle name="20% - Accent3 2 2 2 4 3 2 2" xfId="36705" xr:uid="{00000000-0005-0000-0000-0000A7170000}"/>
    <cellStyle name="20% - Accent3 2 2 2 4 3 3" xfId="19445" xr:uid="{00000000-0005-0000-0000-0000A8170000}"/>
    <cellStyle name="20% - Accent3 2 2 2 4 3 4" xfId="26547" xr:uid="{00000000-0005-0000-0000-0000A9170000}"/>
    <cellStyle name="20% - Accent3 2 2 2 4 3 5" xfId="33649" xr:uid="{00000000-0005-0000-0000-0000AA170000}"/>
    <cellStyle name="20% - Accent3 2 2 2 4 3 6" xfId="36706" xr:uid="{00000000-0005-0000-0000-0000AB170000}"/>
    <cellStyle name="20% - Accent3 2 2 2 4 4" xfId="3818" xr:uid="{00000000-0005-0000-0000-0000AC170000}"/>
    <cellStyle name="20% - Accent3 2 2 2 4 4 2" xfId="10924" xr:uid="{00000000-0005-0000-0000-0000AD170000}"/>
    <cellStyle name="20% - Accent3 2 2 2 4 4 3" xfId="18025" xr:uid="{00000000-0005-0000-0000-0000AE170000}"/>
    <cellStyle name="20% - Accent3 2 2 2 4 4 4" xfId="25127" xr:uid="{00000000-0005-0000-0000-0000AF170000}"/>
    <cellStyle name="20% - Accent3 2 2 2 4 4 5" xfId="32229" xr:uid="{00000000-0005-0000-0000-0000B0170000}"/>
    <cellStyle name="20% - Accent3 2 2 2 4 4 6" xfId="36707" xr:uid="{00000000-0005-0000-0000-0000B1170000}"/>
    <cellStyle name="20% - Accent3 2 2 2 4 5" xfId="8084" xr:uid="{00000000-0005-0000-0000-0000B2170000}"/>
    <cellStyle name="20% - Accent3 2 2 2 4 6" xfId="15185" xr:uid="{00000000-0005-0000-0000-0000B3170000}"/>
    <cellStyle name="20% - Accent3 2 2 2 4 7" xfId="22287" xr:uid="{00000000-0005-0000-0000-0000B4170000}"/>
    <cellStyle name="20% - Accent3 2 2 2 4 8" xfId="29389" xr:uid="{00000000-0005-0000-0000-0000B5170000}"/>
    <cellStyle name="20% - Accent3 2 2 2 4 9" xfId="36708" xr:uid="{00000000-0005-0000-0000-0000B6170000}"/>
    <cellStyle name="20% - Accent3 2 2 2 5" xfId="1047" xr:uid="{00000000-0005-0000-0000-0000B7170000}"/>
    <cellStyle name="20% - Accent3 2 2 2 5 2" xfId="2538" xr:uid="{00000000-0005-0000-0000-0000B8170000}"/>
    <cellStyle name="20% - Accent3 2 2 2 5 2 2" xfId="6806" xr:uid="{00000000-0005-0000-0000-0000B9170000}"/>
    <cellStyle name="20% - Accent3 2 2 2 5 2 2 2" xfId="13906" xr:uid="{00000000-0005-0000-0000-0000BA170000}"/>
    <cellStyle name="20% - Accent3 2 2 2 5 2 2 3" xfId="21007" xr:uid="{00000000-0005-0000-0000-0000BB170000}"/>
    <cellStyle name="20% - Accent3 2 2 2 5 2 2 4" xfId="28109" xr:uid="{00000000-0005-0000-0000-0000BC170000}"/>
    <cellStyle name="20% - Accent3 2 2 2 5 2 2 5" xfId="35211" xr:uid="{00000000-0005-0000-0000-0000BD170000}"/>
    <cellStyle name="20% - Accent3 2 2 2 5 2 3" xfId="9646" xr:uid="{00000000-0005-0000-0000-0000BE170000}"/>
    <cellStyle name="20% - Accent3 2 2 2 5 2 4" xfId="16747" xr:uid="{00000000-0005-0000-0000-0000BF170000}"/>
    <cellStyle name="20% - Accent3 2 2 2 5 2 5" xfId="23849" xr:uid="{00000000-0005-0000-0000-0000C0170000}"/>
    <cellStyle name="20% - Accent3 2 2 2 5 2 6" xfId="30951" xr:uid="{00000000-0005-0000-0000-0000C1170000}"/>
    <cellStyle name="20% - Accent3 2 2 2 5 2 7" xfId="36709" xr:uid="{00000000-0005-0000-0000-0000C2170000}"/>
    <cellStyle name="20% - Accent3 2 2 2 5 3" xfId="5385" xr:uid="{00000000-0005-0000-0000-0000C3170000}"/>
    <cellStyle name="20% - Accent3 2 2 2 5 3 2" xfId="12486" xr:uid="{00000000-0005-0000-0000-0000C4170000}"/>
    <cellStyle name="20% - Accent3 2 2 2 5 3 3" xfId="19587" xr:uid="{00000000-0005-0000-0000-0000C5170000}"/>
    <cellStyle name="20% - Accent3 2 2 2 5 3 4" xfId="26689" xr:uid="{00000000-0005-0000-0000-0000C6170000}"/>
    <cellStyle name="20% - Accent3 2 2 2 5 3 5" xfId="33791" xr:uid="{00000000-0005-0000-0000-0000C7170000}"/>
    <cellStyle name="20% - Accent3 2 2 2 5 4" xfId="3960" xr:uid="{00000000-0005-0000-0000-0000C8170000}"/>
    <cellStyle name="20% - Accent3 2 2 2 5 4 2" xfId="11066" xr:uid="{00000000-0005-0000-0000-0000C9170000}"/>
    <cellStyle name="20% - Accent3 2 2 2 5 4 3" xfId="18167" xr:uid="{00000000-0005-0000-0000-0000CA170000}"/>
    <cellStyle name="20% - Accent3 2 2 2 5 4 4" xfId="25269" xr:uid="{00000000-0005-0000-0000-0000CB170000}"/>
    <cellStyle name="20% - Accent3 2 2 2 5 4 5" xfId="32371" xr:uid="{00000000-0005-0000-0000-0000CC170000}"/>
    <cellStyle name="20% - Accent3 2 2 2 5 5" xfId="8226" xr:uid="{00000000-0005-0000-0000-0000CD170000}"/>
    <cellStyle name="20% - Accent3 2 2 2 5 6" xfId="15327" xr:uid="{00000000-0005-0000-0000-0000CE170000}"/>
    <cellStyle name="20% - Accent3 2 2 2 5 7" xfId="22429" xr:uid="{00000000-0005-0000-0000-0000CF170000}"/>
    <cellStyle name="20% - Accent3 2 2 2 5 8" xfId="29531" xr:uid="{00000000-0005-0000-0000-0000D0170000}"/>
    <cellStyle name="20% - Accent3 2 2 2 5 9" xfId="36710" xr:uid="{00000000-0005-0000-0000-0000D1170000}"/>
    <cellStyle name="20% - Accent3 2 2 2 6" xfId="1473" xr:uid="{00000000-0005-0000-0000-0000D2170000}"/>
    <cellStyle name="20% - Accent3 2 2 2 6 2" xfId="2964" xr:uid="{00000000-0005-0000-0000-0000D3170000}"/>
    <cellStyle name="20% - Accent3 2 2 2 6 2 2" xfId="7232" xr:uid="{00000000-0005-0000-0000-0000D4170000}"/>
    <cellStyle name="20% - Accent3 2 2 2 6 2 2 2" xfId="14332" xr:uid="{00000000-0005-0000-0000-0000D5170000}"/>
    <cellStyle name="20% - Accent3 2 2 2 6 2 2 3" xfId="21433" xr:uid="{00000000-0005-0000-0000-0000D6170000}"/>
    <cellStyle name="20% - Accent3 2 2 2 6 2 2 4" xfId="28535" xr:uid="{00000000-0005-0000-0000-0000D7170000}"/>
    <cellStyle name="20% - Accent3 2 2 2 6 2 2 5" xfId="35637" xr:uid="{00000000-0005-0000-0000-0000D8170000}"/>
    <cellStyle name="20% - Accent3 2 2 2 6 2 3" xfId="10072" xr:uid="{00000000-0005-0000-0000-0000D9170000}"/>
    <cellStyle name="20% - Accent3 2 2 2 6 2 4" xfId="17173" xr:uid="{00000000-0005-0000-0000-0000DA170000}"/>
    <cellStyle name="20% - Accent3 2 2 2 6 2 5" xfId="24275" xr:uid="{00000000-0005-0000-0000-0000DB170000}"/>
    <cellStyle name="20% - Accent3 2 2 2 6 2 6" xfId="31377" xr:uid="{00000000-0005-0000-0000-0000DC170000}"/>
    <cellStyle name="20% - Accent3 2 2 2 6 2 7" xfId="36711" xr:uid="{00000000-0005-0000-0000-0000DD170000}"/>
    <cellStyle name="20% - Accent3 2 2 2 6 3" xfId="5811" xr:uid="{00000000-0005-0000-0000-0000DE170000}"/>
    <cellStyle name="20% - Accent3 2 2 2 6 3 2" xfId="12912" xr:uid="{00000000-0005-0000-0000-0000DF170000}"/>
    <cellStyle name="20% - Accent3 2 2 2 6 3 3" xfId="20013" xr:uid="{00000000-0005-0000-0000-0000E0170000}"/>
    <cellStyle name="20% - Accent3 2 2 2 6 3 4" xfId="27115" xr:uid="{00000000-0005-0000-0000-0000E1170000}"/>
    <cellStyle name="20% - Accent3 2 2 2 6 3 5" xfId="34217" xr:uid="{00000000-0005-0000-0000-0000E2170000}"/>
    <cellStyle name="20% - Accent3 2 2 2 6 4" xfId="4386" xr:uid="{00000000-0005-0000-0000-0000E3170000}"/>
    <cellStyle name="20% - Accent3 2 2 2 6 4 2" xfId="11492" xr:uid="{00000000-0005-0000-0000-0000E4170000}"/>
    <cellStyle name="20% - Accent3 2 2 2 6 4 3" xfId="18593" xr:uid="{00000000-0005-0000-0000-0000E5170000}"/>
    <cellStyle name="20% - Accent3 2 2 2 6 4 4" xfId="25695" xr:uid="{00000000-0005-0000-0000-0000E6170000}"/>
    <cellStyle name="20% - Accent3 2 2 2 6 4 5" xfId="32797" xr:uid="{00000000-0005-0000-0000-0000E7170000}"/>
    <cellStyle name="20% - Accent3 2 2 2 6 5" xfId="8652" xr:uid="{00000000-0005-0000-0000-0000E8170000}"/>
    <cellStyle name="20% - Accent3 2 2 2 6 6" xfId="15753" xr:uid="{00000000-0005-0000-0000-0000E9170000}"/>
    <cellStyle name="20% - Accent3 2 2 2 6 7" xfId="22855" xr:uid="{00000000-0005-0000-0000-0000EA170000}"/>
    <cellStyle name="20% - Accent3 2 2 2 6 8" xfId="29957" xr:uid="{00000000-0005-0000-0000-0000EB170000}"/>
    <cellStyle name="20% - Accent3 2 2 2 6 9" xfId="36712" xr:uid="{00000000-0005-0000-0000-0000EC170000}"/>
    <cellStyle name="20% - Accent3 2 2 2 7" xfId="1757" xr:uid="{00000000-0005-0000-0000-0000ED170000}"/>
    <cellStyle name="20% - Accent3 2 2 2 7 2" xfId="6025" xr:uid="{00000000-0005-0000-0000-0000EE170000}"/>
    <cellStyle name="20% - Accent3 2 2 2 7 2 2" xfId="13125" xr:uid="{00000000-0005-0000-0000-0000EF170000}"/>
    <cellStyle name="20% - Accent3 2 2 2 7 2 3" xfId="20226" xr:uid="{00000000-0005-0000-0000-0000F0170000}"/>
    <cellStyle name="20% - Accent3 2 2 2 7 2 4" xfId="27328" xr:uid="{00000000-0005-0000-0000-0000F1170000}"/>
    <cellStyle name="20% - Accent3 2 2 2 7 2 5" xfId="34430" xr:uid="{00000000-0005-0000-0000-0000F2170000}"/>
    <cellStyle name="20% - Accent3 2 2 2 7 3" xfId="8865" xr:uid="{00000000-0005-0000-0000-0000F3170000}"/>
    <cellStyle name="20% - Accent3 2 2 2 7 4" xfId="15966" xr:uid="{00000000-0005-0000-0000-0000F4170000}"/>
    <cellStyle name="20% - Accent3 2 2 2 7 5" xfId="23068" xr:uid="{00000000-0005-0000-0000-0000F5170000}"/>
    <cellStyle name="20% - Accent3 2 2 2 7 6" xfId="30170" xr:uid="{00000000-0005-0000-0000-0000F6170000}"/>
    <cellStyle name="20% - Accent3 2 2 2 7 7" xfId="36713" xr:uid="{00000000-0005-0000-0000-0000F7170000}"/>
    <cellStyle name="20% - Accent3 2 2 2 8" xfId="4604" xr:uid="{00000000-0005-0000-0000-0000F8170000}"/>
    <cellStyle name="20% - Accent3 2 2 2 8 2" xfId="11705" xr:uid="{00000000-0005-0000-0000-0000F9170000}"/>
    <cellStyle name="20% - Accent3 2 2 2 8 3" xfId="18806" xr:uid="{00000000-0005-0000-0000-0000FA170000}"/>
    <cellStyle name="20% - Accent3 2 2 2 8 4" xfId="25908" xr:uid="{00000000-0005-0000-0000-0000FB170000}"/>
    <cellStyle name="20% - Accent3 2 2 2 8 5" xfId="33010" xr:uid="{00000000-0005-0000-0000-0000FC170000}"/>
    <cellStyle name="20% - Accent3 2 2 2 9" xfId="3179" xr:uid="{00000000-0005-0000-0000-0000FD170000}"/>
    <cellStyle name="20% - Accent3 2 2 2 9 2" xfId="10285" xr:uid="{00000000-0005-0000-0000-0000FE170000}"/>
    <cellStyle name="20% - Accent3 2 2 2 9 3" xfId="17386" xr:uid="{00000000-0005-0000-0000-0000FF170000}"/>
    <cellStyle name="20% - Accent3 2 2 2 9 4" xfId="24488" xr:uid="{00000000-0005-0000-0000-000000180000}"/>
    <cellStyle name="20% - Accent3 2 2 2 9 5" xfId="31590" xr:uid="{00000000-0005-0000-0000-000001180000}"/>
    <cellStyle name="20% - Accent3 2 2 3" xfId="195" xr:uid="{00000000-0005-0000-0000-000002180000}"/>
    <cellStyle name="20% - Accent3 2 2 3 10" xfId="7374" xr:uid="{00000000-0005-0000-0000-000003180000}"/>
    <cellStyle name="20% - Accent3 2 2 3 11" xfId="14475" xr:uid="{00000000-0005-0000-0000-000004180000}"/>
    <cellStyle name="20% - Accent3 2 2 3 12" xfId="21577" xr:uid="{00000000-0005-0000-0000-000005180000}"/>
    <cellStyle name="20% - Accent3 2 2 3 13" xfId="28679" xr:uid="{00000000-0005-0000-0000-000006180000}"/>
    <cellStyle name="20% - Accent3 2 2 3 14" xfId="35781" xr:uid="{00000000-0005-0000-0000-000007180000}"/>
    <cellStyle name="20% - Accent3 2 2 3 15" xfId="36714" xr:uid="{00000000-0005-0000-0000-000008180000}"/>
    <cellStyle name="20% - Accent3 2 2 3 2" xfId="408" xr:uid="{00000000-0005-0000-0000-000009180000}"/>
    <cellStyle name="20% - Accent3 2 2 3 2 2" xfId="1899" xr:uid="{00000000-0005-0000-0000-00000A180000}"/>
    <cellStyle name="20% - Accent3 2 2 3 2 2 2" xfId="6167" xr:uid="{00000000-0005-0000-0000-00000B180000}"/>
    <cellStyle name="20% - Accent3 2 2 3 2 2 2 2" xfId="13267" xr:uid="{00000000-0005-0000-0000-00000C180000}"/>
    <cellStyle name="20% - Accent3 2 2 3 2 2 2 3" xfId="20368" xr:uid="{00000000-0005-0000-0000-00000D180000}"/>
    <cellStyle name="20% - Accent3 2 2 3 2 2 2 4" xfId="27470" xr:uid="{00000000-0005-0000-0000-00000E180000}"/>
    <cellStyle name="20% - Accent3 2 2 3 2 2 2 5" xfId="34572" xr:uid="{00000000-0005-0000-0000-00000F180000}"/>
    <cellStyle name="20% - Accent3 2 2 3 2 2 2 6" xfId="36715" xr:uid="{00000000-0005-0000-0000-000010180000}"/>
    <cellStyle name="20% - Accent3 2 2 3 2 2 3" xfId="9007" xr:uid="{00000000-0005-0000-0000-000011180000}"/>
    <cellStyle name="20% - Accent3 2 2 3 2 2 4" xfId="16108" xr:uid="{00000000-0005-0000-0000-000012180000}"/>
    <cellStyle name="20% - Accent3 2 2 3 2 2 5" xfId="23210" xr:uid="{00000000-0005-0000-0000-000013180000}"/>
    <cellStyle name="20% - Accent3 2 2 3 2 2 6" xfId="30312" xr:uid="{00000000-0005-0000-0000-000014180000}"/>
    <cellStyle name="20% - Accent3 2 2 3 2 2 7" xfId="36716" xr:uid="{00000000-0005-0000-0000-000015180000}"/>
    <cellStyle name="20% - Accent3 2 2 3 2 3" xfId="4746" xr:uid="{00000000-0005-0000-0000-000016180000}"/>
    <cellStyle name="20% - Accent3 2 2 3 2 3 2" xfId="11847" xr:uid="{00000000-0005-0000-0000-000017180000}"/>
    <cellStyle name="20% - Accent3 2 2 3 2 3 2 2" xfId="36717" xr:uid="{00000000-0005-0000-0000-000018180000}"/>
    <cellStyle name="20% - Accent3 2 2 3 2 3 3" xfId="18948" xr:uid="{00000000-0005-0000-0000-000019180000}"/>
    <cellStyle name="20% - Accent3 2 2 3 2 3 4" xfId="26050" xr:uid="{00000000-0005-0000-0000-00001A180000}"/>
    <cellStyle name="20% - Accent3 2 2 3 2 3 5" xfId="33152" xr:uid="{00000000-0005-0000-0000-00001B180000}"/>
    <cellStyle name="20% - Accent3 2 2 3 2 3 6" xfId="36718" xr:uid="{00000000-0005-0000-0000-00001C180000}"/>
    <cellStyle name="20% - Accent3 2 2 3 2 4" xfId="3321" xr:uid="{00000000-0005-0000-0000-00001D180000}"/>
    <cellStyle name="20% - Accent3 2 2 3 2 4 2" xfId="10427" xr:uid="{00000000-0005-0000-0000-00001E180000}"/>
    <cellStyle name="20% - Accent3 2 2 3 2 4 3" xfId="17528" xr:uid="{00000000-0005-0000-0000-00001F180000}"/>
    <cellStyle name="20% - Accent3 2 2 3 2 4 4" xfId="24630" xr:uid="{00000000-0005-0000-0000-000020180000}"/>
    <cellStyle name="20% - Accent3 2 2 3 2 4 5" xfId="31732" xr:uid="{00000000-0005-0000-0000-000021180000}"/>
    <cellStyle name="20% - Accent3 2 2 3 2 4 6" xfId="36719" xr:uid="{00000000-0005-0000-0000-000022180000}"/>
    <cellStyle name="20% - Accent3 2 2 3 2 5" xfId="7587" xr:uid="{00000000-0005-0000-0000-000023180000}"/>
    <cellStyle name="20% - Accent3 2 2 3 2 6" xfId="14688" xr:uid="{00000000-0005-0000-0000-000024180000}"/>
    <cellStyle name="20% - Accent3 2 2 3 2 7" xfId="21790" xr:uid="{00000000-0005-0000-0000-000025180000}"/>
    <cellStyle name="20% - Accent3 2 2 3 2 8" xfId="28892" xr:uid="{00000000-0005-0000-0000-000026180000}"/>
    <cellStyle name="20% - Accent3 2 2 3 2 9" xfId="36720" xr:uid="{00000000-0005-0000-0000-000027180000}"/>
    <cellStyle name="20% - Accent3 2 2 3 3" xfId="621" xr:uid="{00000000-0005-0000-0000-000028180000}"/>
    <cellStyle name="20% - Accent3 2 2 3 3 2" xfId="2112" xr:uid="{00000000-0005-0000-0000-000029180000}"/>
    <cellStyle name="20% - Accent3 2 2 3 3 2 2" xfId="6380" xr:uid="{00000000-0005-0000-0000-00002A180000}"/>
    <cellStyle name="20% - Accent3 2 2 3 3 2 2 2" xfId="13480" xr:uid="{00000000-0005-0000-0000-00002B180000}"/>
    <cellStyle name="20% - Accent3 2 2 3 3 2 2 3" xfId="20581" xr:uid="{00000000-0005-0000-0000-00002C180000}"/>
    <cellStyle name="20% - Accent3 2 2 3 3 2 2 4" xfId="27683" xr:uid="{00000000-0005-0000-0000-00002D180000}"/>
    <cellStyle name="20% - Accent3 2 2 3 3 2 2 5" xfId="34785" xr:uid="{00000000-0005-0000-0000-00002E180000}"/>
    <cellStyle name="20% - Accent3 2 2 3 3 2 2 6" xfId="36721" xr:uid="{00000000-0005-0000-0000-00002F180000}"/>
    <cellStyle name="20% - Accent3 2 2 3 3 2 3" xfId="9220" xr:uid="{00000000-0005-0000-0000-000030180000}"/>
    <cellStyle name="20% - Accent3 2 2 3 3 2 4" xfId="16321" xr:uid="{00000000-0005-0000-0000-000031180000}"/>
    <cellStyle name="20% - Accent3 2 2 3 3 2 5" xfId="23423" xr:uid="{00000000-0005-0000-0000-000032180000}"/>
    <cellStyle name="20% - Accent3 2 2 3 3 2 6" xfId="30525" xr:uid="{00000000-0005-0000-0000-000033180000}"/>
    <cellStyle name="20% - Accent3 2 2 3 3 2 7" xfId="36722" xr:uid="{00000000-0005-0000-0000-000034180000}"/>
    <cellStyle name="20% - Accent3 2 2 3 3 3" xfId="4959" xr:uid="{00000000-0005-0000-0000-000035180000}"/>
    <cellStyle name="20% - Accent3 2 2 3 3 3 2" xfId="12060" xr:uid="{00000000-0005-0000-0000-000036180000}"/>
    <cellStyle name="20% - Accent3 2 2 3 3 3 2 2" xfId="36723" xr:uid="{00000000-0005-0000-0000-000037180000}"/>
    <cellStyle name="20% - Accent3 2 2 3 3 3 3" xfId="19161" xr:uid="{00000000-0005-0000-0000-000038180000}"/>
    <cellStyle name="20% - Accent3 2 2 3 3 3 4" xfId="26263" xr:uid="{00000000-0005-0000-0000-000039180000}"/>
    <cellStyle name="20% - Accent3 2 2 3 3 3 5" xfId="33365" xr:uid="{00000000-0005-0000-0000-00003A180000}"/>
    <cellStyle name="20% - Accent3 2 2 3 3 3 6" xfId="36724" xr:uid="{00000000-0005-0000-0000-00003B180000}"/>
    <cellStyle name="20% - Accent3 2 2 3 3 4" xfId="3534" xr:uid="{00000000-0005-0000-0000-00003C180000}"/>
    <cellStyle name="20% - Accent3 2 2 3 3 4 2" xfId="10640" xr:uid="{00000000-0005-0000-0000-00003D180000}"/>
    <cellStyle name="20% - Accent3 2 2 3 3 4 3" xfId="17741" xr:uid="{00000000-0005-0000-0000-00003E180000}"/>
    <cellStyle name="20% - Accent3 2 2 3 3 4 4" xfId="24843" xr:uid="{00000000-0005-0000-0000-00003F180000}"/>
    <cellStyle name="20% - Accent3 2 2 3 3 4 5" xfId="31945" xr:uid="{00000000-0005-0000-0000-000040180000}"/>
    <cellStyle name="20% - Accent3 2 2 3 3 4 6" xfId="36725" xr:uid="{00000000-0005-0000-0000-000041180000}"/>
    <cellStyle name="20% - Accent3 2 2 3 3 5" xfId="7800" xr:uid="{00000000-0005-0000-0000-000042180000}"/>
    <cellStyle name="20% - Accent3 2 2 3 3 6" xfId="14901" xr:uid="{00000000-0005-0000-0000-000043180000}"/>
    <cellStyle name="20% - Accent3 2 2 3 3 7" xfId="22003" xr:uid="{00000000-0005-0000-0000-000044180000}"/>
    <cellStyle name="20% - Accent3 2 2 3 3 8" xfId="29105" xr:uid="{00000000-0005-0000-0000-000045180000}"/>
    <cellStyle name="20% - Accent3 2 2 3 3 9" xfId="36726" xr:uid="{00000000-0005-0000-0000-000046180000}"/>
    <cellStyle name="20% - Accent3 2 2 3 4" xfId="834" xr:uid="{00000000-0005-0000-0000-000047180000}"/>
    <cellStyle name="20% - Accent3 2 2 3 4 2" xfId="2325" xr:uid="{00000000-0005-0000-0000-000048180000}"/>
    <cellStyle name="20% - Accent3 2 2 3 4 2 2" xfId="6593" xr:uid="{00000000-0005-0000-0000-000049180000}"/>
    <cellStyle name="20% - Accent3 2 2 3 4 2 2 2" xfId="13693" xr:uid="{00000000-0005-0000-0000-00004A180000}"/>
    <cellStyle name="20% - Accent3 2 2 3 4 2 2 3" xfId="20794" xr:uid="{00000000-0005-0000-0000-00004B180000}"/>
    <cellStyle name="20% - Accent3 2 2 3 4 2 2 4" xfId="27896" xr:uid="{00000000-0005-0000-0000-00004C180000}"/>
    <cellStyle name="20% - Accent3 2 2 3 4 2 2 5" xfId="34998" xr:uid="{00000000-0005-0000-0000-00004D180000}"/>
    <cellStyle name="20% - Accent3 2 2 3 4 2 2 6" xfId="36727" xr:uid="{00000000-0005-0000-0000-00004E180000}"/>
    <cellStyle name="20% - Accent3 2 2 3 4 2 3" xfId="9433" xr:uid="{00000000-0005-0000-0000-00004F180000}"/>
    <cellStyle name="20% - Accent3 2 2 3 4 2 4" xfId="16534" xr:uid="{00000000-0005-0000-0000-000050180000}"/>
    <cellStyle name="20% - Accent3 2 2 3 4 2 5" xfId="23636" xr:uid="{00000000-0005-0000-0000-000051180000}"/>
    <cellStyle name="20% - Accent3 2 2 3 4 2 6" xfId="30738" xr:uid="{00000000-0005-0000-0000-000052180000}"/>
    <cellStyle name="20% - Accent3 2 2 3 4 2 7" xfId="36728" xr:uid="{00000000-0005-0000-0000-000053180000}"/>
    <cellStyle name="20% - Accent3 2 2 3 4 3" xfId="5172" xr:uid="{00000000-0005-0000-0000-000054180000}"/>
    <cellStyle name="20% - Accent3 2 2 3 4 3 2" xfId="12273" xr:uid="{00000000-0005-0000-0000-000055180000}"/>
    <cellStyle name="20% - Accent3 2 2 3 4 3 2 2" xfId="36729" xr:uid="{00000000-0005-0000-0000-000056180000}"/>
    <cellStyle name="20% - Accent3 2 2 3 4 3 3" xfId="19374" xr:uid="{00000000-0005-0000-0000-000057180000}"/>
    <cellStyle name="20% - Accent3 2 2 3 4 3 4" xfId="26476" xr:uid="{00000000-0005-0000-0000-000058180000}"/>
    <cellStyle name="20% - Accent3 2 2 3 4 3 5" xfId="33578" xr:uid="{00000000-0005-0000-0000-000059180000}"/>
    <cellStyle name="20% - Accent3 2 2 3 4 3 6" xfId="36730" xr:uid="{00000000-0005-0000-0000-00005A180000}"/>
    <cellStyle name="20% - Accent3 2 2 3 4 4" xfId="3747" xr:uid="{00000000-0005-0000-0000-00005B180000}"/>
    <cellStyle name="20% - Accent3 2 2 3 4 4 2" xfId="10853" xr:uid="{00000000-0005-0000-0000-00005C180000}"/>
    <cellStyle name="20% - Accent3 2 2 3 4 4 3" xfId="17954" xr:uid="{00000000-0005-0000-0000-00005D180000}"/>
    <cellStyle name="20% - Accent3 2 2 3 4 4 4" xfId="25056" xr:uid="{00000000-0005-0000-0000-00005E180000}"/>
    <cellStyle name="20% - Accent3 2 2 3 4 4 5" xfId="32158" xr:uid="{00000000-0005-0000-0000-00005F180000}"/>
    <cellStyle name="20% - Accent3 2 2 3 4 4 6" xfId="36731" xr:uid="{00000000-0005-0000-0000-000060180000}"/>
    <cellStyle name="20% - Accent3 2 2 3 4 5" xfId="8013" xr:uid="{00000000-0005-0000-0000-000061180000}"/>
    <cellStyle name="20% - Accent3 2 2 3 4 6" xfId="15114" xr:uid="{00000000-0005-0000-0000-000062180000}"/>
    <cellStyle name="20% - Accent3 2 2 3 4 7" xfId="22216" xr:uid="{00000000-0005-0000-0000-000063180000}"/>
    <cellStyle name="20% - Accent3 2 2 3 4 8" xfId="29318" xr:uid="{00000000-0005-0000-0000-000064180000}"/>
    <cellStyle name="20% - Accent3 2 2 3 4 9" xfId="36732" xr:uid="{00000000-0005-0000-0000-000065180000}"/>
    <cellStyle name="20% - Accent3 2 2 3 5" xfId="1189" xr:uid="{00000000-0005-0000-0000-000066180000}"/>
    <cellStyle name="20% - Accent3 2 2 3 5 2" xfId="2680" xr:uid="{00000000-0005-0000-0000-000067180000}"/>
    <cellStyle name="20% - Accent3 2 2 3 5 2 2" xfId="6948" xr:uid="{00000000-0005-0000-0000-000068180000}"/>
    <cellStyle name="20% - Accent3 2 2 3 5 2 2 2" xfId="14048" xr:uid="{00000000-0005-0000-0000-000069180000}"/>
    <cellStyle name="20% - Accent3 2 2 3 5 2 2 3" xfId="21149" xr:uid="{00000000-0005-0000-0000-00006A180000}"/>
    <cellStyle name="20% - Accent3 2 2 3 5 2 2 4" xfId="28251" xr:uid="{00000000-0005-0000-0000-00006B180000}"/>
    <cellStyle name="20% - Accent3 2 2 3 5 2 2 5" xfId="35353" xr:uid="{00000000-0005-0000-0000-00006C180000}"/>
    <cellStyle name="20% - Accent3 2 2 3 5 2 3" xfId="9788" xr:uid="{00000000-0005-0000-0000-00006D180000}"/>
    <cellStyle name="20% - Accent3 2 2 3 5 2 4" xfId="16889" xr:uid="{00000000-0005-0000-0000-00006E180000}"/>
    <cellStyle name="20% - Accent3 2 2 3 5 2 5" xfId="23991" xr:uid="{00000000-0005-0000-0000-00006F180000}"/>
    <cellStyle name="20% - Accent3 2 2 3 5 2 6" xfId="31093" xr:uid="{00000000-0005-0000-0000-000070180000}"/>
    <cellStyle name="20% - Accent3 2 2 3 5 2 7" xfId="36733" xr:uid="{00000000-0005-0000-0000-000071180000}"/>
    <cellStyle name="20% - Accent3 2 2 3 5 3" xfId="5527" xr:uid="{00000000-0005-0000-0000-000072180000}"/>
    <cellStyle name="20% - Accent3 2 2 3 5 3 2" xfId="12628" xr:uid="{00000000-0005-0000-0000-000073180000}"/>
    <cellStyle name="20% - Accent3 2 2 3 5 3 3" xfId="19729" xr:uid="{00000000-0005-0000-0000-000074180000}"/>
    <cellStyle name="20% - Accent3 2 2 3 5 3 4" xfId="26831" xr:uid="{00000000-0005-0000-0000-000075180000}"/>
    <cellStyle name="20% - Accent3 2 2 3 5 3 5" xfId="33933" xr:uid="{00000000-0005-0000-0000-000076180000}"/>
    <cellStyle name="20% - Accent3 2 2 3 5 4" xfId="4102" xr:uid="{00000000-0005-0000-0000-000077180000}"/>
    <cellStyle name="20% - Accent3 2 2 3 5 4 2" xfId="11208" xr:uid="{00000000-0005-0000-0000-000078180000}"/>
    <cellStyle name="20% - Accent3 2 2 3 5 4 3" xfId="18309" xr:uid="{00000000-0005-0000-0000-000079180000}"/>
    <cellStyle name="20% - Accent3 2 2 3 5 4 4" xfId="25411" xr:uid="{00000000-0005-0000-0000-00007A180000}"/>
    <cellStyle name="20% - Accent3 2 2 3 5 4 5" xfId="32513" xr:uid="{00000000-0005-0000-0000-00007B180000}"/>
    <cellStyle name="20% - Accent3 2 2 3 5 5" xfId="8368" xr:uid="{00000000-0005-0000-0000-00007C180000}"/>
    <cellStyle name="20% - Accent3 2 2 3 5 6" xfId="15469" xr:uid="{00000000-0005-0000-0000-00007D180000}"/>
    <cellStyle name="20% - Accent3 2 2 3 5 7" xfId="22571" xr:uid="{00000000-0005-0000-0000-00007E180000}"/>
    <cellStyle name="20% - Accent3 2 2 3 5 8" xfId="29673" xr:uid="{00000000-0005-0000-0000-00007F180000}"/>
    <cellStyle name="20% - Accent3 2 2 3 5 9" xfId="36734" xr:uid="{00000000-0005-0000-0000-000080180000}"/>
    <cellStyle name="20% - Accent3 2 2 3 6" xfId="1402" xr:uid="{00000000-0005-0000-0000-000081180000}"/>
    <cellStyle name="20% - Accent3 2 2 3 6 2" xfId="2893" xr:uid="{00000000-0005-0000-0000-000082180000}"/>
    <cellStyle name="20% - Accent3 2 2 3 6 2 2" xfId="7161" xr:uid="{00000000-0005-0000-0000-000083180000}"/>
    <cellStyle name="20% - Accent3 2 2 3 6 2 2 2" xfId="14261" xr:uid="{00000000-0005-0000-0000-000084180000}"/>
    <cellStyle name="20% - Accent3 2 2 3 6 2 2 3" xfId="21362" xr:uid="{00000000-0005-0000-0000-000085180000}"/>
    <cellStyle name="20% - Accent3 2 2 3 6 2 2 4" xfId="28464" xr:uid="{00000000-0005-0000-0000-000086180000}"/>
    <cellStyle name="20% - Accent3 2 2 3 6 2 2 5" xfId="35566" xr:uid="{00000000-0005-0000-0000-000087180000}"/>
    <cellStyle name="20% - Accent3 2 2 3 6 2 3" xfId="10001" xr:uid="{00000000-0005-0000-0000-000088180000}"/>
    <cellStyle name="20% - Accent3 2 2 3 6 2 4" xfId="17102" xr:uid="{00000000-0005-0000-0000-000089180000}"/>
    <cellStyle name="20% - Accent3 2 2 3 6 2 5" xfId="24204" xr:uid="{00000000-0005-0000-0000-00008A180000}"/>
    <cellStyle name="20% - Accent3 2 2 3 6 2 6" xfId="31306" xr:uid="{00000000-0005-0000-0000-00008B180000}"/>
    <cellStyle name="20% - Accent3 2 2 3 6 2 7" xfId="36735" xr:uid="{00000000-0005-0000-0000-00008C180000}"/>
    <cellStyle name="20% - Accent3 2 2 3 6 3" xfId="5740" xr:uid="{00000000-0005-0000-0000-00008D180000}"/>
    <cellStyle name="20% - Accent3 2 2 3 6 3 2" xfId="12841" xr:uid="{00000000-0005-0000-0000-00008E180000}"/>
    <cellStyle name="20% - Accent3 2 2 3 6 3 3" xfId="19942" xr:uid="{00000000-0005-0000-0000-00008F180000}"/>
    <cellStyle name="20% - Accent3 2 2 3 6 3 4" xfId="27044" xr:uid="{00000000-0005-0000-0000-000090180000}"/>
    <cellStyle name="20% - Accent3 2 2 3 6 3 5" xfId="34146" xr:uid="{00000000-0005-0000-0000-000091180000}"/>
    <cellStyle name="20% - Accent3 2 2 3 6 4" xfId="4315" xr:uid="{00000000-0005-0000-0000-000092180000}"/>
    <cellStyle name="20% - Accent3 2 2 3 6 4 2" xfId="11421" xr:uid="{00000000-0005-0000-0000-000093180000}"/>
    <cellStyle name="20% - Accent3 2 2 3 6 4 3" xfId="18522" xr:uid="{00000000-0005-0000-0000-000094180000}"/>
    <cellStyle name="20% - Accent3 2 2 3 6 4 4" xfId="25624" xr:uid="{00000000-0005-0000-0000-000095180000}"/>
    <cellStyle name="20% - Accent3 2 2 3 6 4 5" xfId="32726" xr:uid="{00000000-0005-0000-0000-000096180000}"/>
    <cellStyle name="20% - Accent3 2 2 3 6 5" xfId="8581" xr:uid="{00000000-0005-0000-0000-000097180000}"/>
    <cellStyle name="20% - Accent3 2 2 3 6 6" xfId="15682" xr:uid="{00000000-0005-0000-0000-000098180000}"/>
    <cellStyle name="20% - Accent3 2 2 3 6 7" xfId="22784" xr:uid="{00000000-0005-0000-0000-000099180000}"/>
    <cellStyle name="20% - Accent3 2 2 3 6 8" xfId="29886" xr:uid="{00000000-0005-0000-0000-00009A180000}"/>
    <cellStyle name="20% - Accent3 2 2 3 6 9" xfId="36736" xr:uid="{00000000-0005-0000-0000-00009B180000}"/>
    <cellStyle name="20% - Accent3 2 2 3 7" xfId="1686" xr:uid="{00000000-0005-0000-0000-00009C180000}"/>
    <cellStyle name="20% - Accent3 2 2 3 7 2" xfId="5954" xr:uid="{00000000-0005-0000-0000-00009D180000}"/>
    <cellStyle name="20% - Accent3 2 2 3 7 2 2" xfId="13054" xr:uid="{00000000-0005-0000-0000-00009E180000}"/>
    <cellStyle name="20% - Accent3 2 2 3 7 2 3" xfId="20155" xr:uid="{00000000-0005-0000-0000-00009F180000}"/>
    <cellStyle name="20% - Accent3 2 2 3 7 2 4" xfId="27257" xr:uid="{00000000-0005-0000-0000-0000A0180000}"/>
    <cellStyle name="20% - Accent3 2 2 3 7 2 5" xfId="34359" xr:uid="{00000000-0005-0000-0000-0000A1180000}"/>
    <cellStyle name="20% - Accent3 2 2 3 7 3" xfId="8794" xr:uid="{00000000-0005-0000-0000-0000A2180000}"/>
    <cellStyle name="20% - Accent3 2 2 3 7 4" xfId="15895" xr:uid="{00000000-0005-0000-0000-0000A3180000}"/>
    <cellStyle name="20% - Accent3 2 2 3 7 5" xfId="22997" xr:uid="{00000000-0005-0000-0000-0000A4180000}"/>
    <cellStyle name="20% - Accent3 2 2 3 7 6" xfId="30099" xr:uid="{00000000-0005-0000-0000-0000A5180000}"/>
    <cellStyle name="20% - Accent3 2 2 3 7 7" xfId="36737" xr:uid="{00000000-0005-0000-0000-0000A6180000}"/>
    <cellStyle name="20% - Accent3 2 2 3 8" xfId="4533" xr:uid="{00000000-0005-0000-0000-0000A7180000}"/>
    <cellStyle name="20% - Accent3 2 2 3 8 2" xfId="11634" xr:uid="{00000000-0005-0000-0000-0000A8180000}"/>
    <cellStyle name="20% - Accent3 2 2 3 8 3" xfId="18735" xr:uid="{00000000-0005-0000-0000-0000A9180000}"/>
    <cellStyle name="20% - Accent3 2 2 3 8 4" xfId="25837" xr:uid="{00000000-0005-0000-0000-0000AA180000}"/>
    <cellStyle name="20% - Accent3 2 2 3 8 5" xfId="32939" xr:uid="{00000000-0005-0000-0000-0000AB180000}"/>
    <cellStyle name="20% - Accent3 2 2 3 9" xfId="3108" xr:uid="{00000000-0005-0000-0000-0000AC180000}"/>
    <cellStyle name="20% - Accent3 2 2 3 9 2" xfId="10214" xr:uid="{00000000-0005-0000-0000-0000AD180000}"/>
    <cellStyle name="20% - Accent3 2 2 3 9 3" xfId="17315" xr:uid="{00000000-0005-0000-0000-0000AE180000}"/>
    <cellStyle name="20% - Accent3 2 2 3 9 4" xfId="24417" xr:uid="{00000000-0005-0000-0000-0000AF180000}"/>
    <cellStyle name="20% - Accent3 2 2 3 9 5" xfId="31519" xr:uid="{00000000-0005-0000-0000-0000B0180000}"/>
    <cellStyle name="20% - Accent3 2 2 4" xfId="337" xr:uid="{00000000-0005-0000-0000-0000B1180000}"/>
    <cellStyle name="20% - Accent3 2 2 4 10" xfId="36738" xr:uid="{00000000-0005-0000-0000-0000B2180000}"/>
    <cellStyle name="20% - Accent3 2 2 4 2" xfId="1118" xr:uid="{00000000-0005-0000-0000-0000B3180000}"/>
    <cellStyle name="20% - Accent3 2 2 4 2 2" xfId="2609" xr:uid="{00000000-0005-0000-0000-0000B4180000}"/>
    <cellStyle name="20% - Accent3 2 2 4 2 2 2" xfId="6877" xr:uid="{00000000-0005-0000-0000-0000B5180000}"/>
    <cellStyle name="20% - Accent3 2 2 4 2 2 2 2" xfId="13977" xr:uid="{00000000-0005-0000-0000-0000B6180000}"/>
    <cellStyle name="20% - Accent3 2 2 4 2 2 2 3" xfId="21078" xr:uid="{00000000-0005-0000-0000-0000B7180000}"/>
    <cellStyle name="20% - Accent3 2 2 4 2 2 2 4" xfId="28180" xr:uid="{00000000-0005-0000-0000-0000B8180000}"/>
    <cellStyle name="20% - Accent3 2 2 4 2 2 2 5" xfId="35282" xr:uid="{00000000-0005-0000-0000-0000B9180000}"/>
    <cellStyle name="20% - Accent3 2 2 4 2 2 3" xfId="9717" xr:uid="{00000000-0005-0000-0000-0000BA180000}"/>
    <cellStyle name="20% - Accent3 2 2 4 2 2 4" xfId="16818" xr:uid="{00000000-0005-0000-0000-0000BB180000}"/>
    <cellStyle name="20% - Accent3 2 2 4 2 2 5" xfId="23920" xr:uid="{00000000-0005-0000-0000-0000BC180000}"/>
    <cellStyle name="20% - Accent3 2 2 4 2 2 6" xfId="31022" xr:uid="{00000000-0005-0000-0000-0000BD180000}"/>
    <cellStyle name="20% - Accent3 2 2 4 2 2 7" xfId="36739" xr:uid="{00000000-0005-0000-0000-0000BE180000}"/>
    <cellStyle name="20% - Accent3 2 2 4 2 3" xfId="5456" xr:uid="{00000000-0005-0000-0000-0000BF180000}"/>
    <cellStyle name="20% - Accent3 2 2 4 2 3 2" xfId="12557" xr:uid="{00000000-0005-0000-0000-0000C0180000}"/>
    <cellStyle name="20% - Accent3 2 2 4 2 3 3" xfId="19658" xr:uid="{00000000-0005-0000-0000-0000C1180000}"/>
    <cellStyle name="20% - Accent3 2 2 4 2 3 4" xfId="26760" xr:uid="{00000000-0005-0000-0000-0000C2180000}"/>
    <cellStyle name="20% - Accent3 2 2 4 2 3 5" xfId="33862" xr:uid="{00000000-0005-0000-0000-0000C3180000}"/>
    <cellStyle name="20% - Accent3 2 2 4 2 4" xfId="4031" xr:uid="{00000000-0005-0000-0000-0000C4180000}"/>
    <cellStyle name="20% - Accent3 2 2 4 2 4 2" xfId="11137" xr:uid="{00000000-0005-0000-0000-0000C5180000}"/>
    <cellStyle name="20% - Accent3 2 2 4 2 4 3" xfId="18238" xr:uid="{00000000-0005-0000-0000-0000C6180000}"/>
    <cellStyle name="20% - Accent3 2 2 4 2 4 4" xfId="25340" xr:uid="{00000000-0005-0000-0000-0000C7180000}"/>
    <cellStyle name="20% - Accent3 2 2 4 2 4 5" xfId="32442" xr:uid="{00000000-0005-0000-0000-0000C8180000}"/>
    <cellStyle name="20% - Accent3 2 2 4 2 5" xfId="8297" xr:uid="{00000000-0005-0000-0000-0000C9180000}"/>
    <cellStyle name="20% - Accent3 2 2 4 2 6" xfId="15398" xr:uid="{00000000-0005-0000-0000-0000CA180000}"/>
    <cellStyle name="20% - Accent3 2 2 4 2 7" xfId="22500" xr:uid="{00000000-0005-0000-0000-0000CB180000}"/>
    <cellStyle name="20% - Accent3 2 2 4 2 8" xfId="29602" xr:uid="{00000000-0005-0000-0000-0000CC180000}"/>
    <cellStyle name="20% - Accent3 2 2 4 2 9" xfId="36740" xr:uid="{00000000-0005-0000-0000-0000CD180000}"/>
    <cellStyle name="20% - Accent3 2 2 4 3" xfId="1828" xr:uid="{00000000-0005-0000-0000-0000CE180000}"/>
    <cellStyle name="20% - Accent3 2 2 4 3 2" xfId="6096" xr:uid="{00000000-0005-0000-0000-0000CF180000}"/>
    <cellStyle name="20% - Accent3 2 2 4 3 2 2" xfId="13196" xr:uid="{00000000-0005-0000-0000-0000D0180000}"/>
    <cellStyle name="20% - Accent3 2 2 4 3 2 3" xfId="20297" xr:uid="{00000000-0005-0000-0000-0000D1180000}"/>
    <cellStyle name="20% - Accent3 2 2 4 3 2 4" xfId="27399" xr:uid="{00000000-0005-0000-0000-0000D2180000}"/>
    <cellStyle name="20% - Accent3 2 2 4 3 2 5" xfId="34501" xr:uid="{00000000-0005-0000-0000-0000D3180000}"/>
    <cellStyle name="20% - Accent3 2 2 4 3 2 6" xfId="36741" xr:uid="{00000000-0005-0000-0000-0000D4180000}"/>
    <cellStyle name="20% - Accent3 2 2 4 3 3" xfId="8936" xr:uid="{00000000-0005-0000-0000-0000D5180000}"/>
    <cellStyle name="20% - Accent3 2 2 4 3 4" xfId="16037" xr:uid="{00000000-0005-0000-0000-0000D6180000}"/>
    <cellStyle name="20% - Accent3 2 2 4 3 5" xfId="23139" xr:uid="{00000000-0005-0000-0000-0000D7180000}"/>
    <cellStyle name="20% - Accent3 2 2 4 3 6" xfId="30241" xr:uid="{00000000-0005-0000-0000-0000D8180000}"/>
    <cellStyle name="20% - Accent3 2 2 4 3 7" xfId="36742" xr:uid="{00000000-0005-0000-0000-0000D9180000}"/>
    <cellStyle name="20% - Accent3 2 2 4 4" xfId="4675" xr:uid="{00000000-0005-0000-0000-0000DA180000}"/>
    <cellStyle name="20% - Accent3 2 2 4 4 2" xfId="11776" xr:uid="{00000000-0005-0000-0000-0000DB180000}"/>
    <cellStyle name="20% - Accent3 2 2 4 4 3" xfId="18877" xr:uid="{00000000-0005-0000-0000-0000DC180000}"/>
    <cellStyle name="20% - Accent3 2 2 4 4 4" xfId="25979" xr:uid="{00000000-0005-0000-0000-0000DD180000}"/>
    <cellStyle name="20% - Accent3 2 2 4 4 5" xfId="33081" xr:uid="{00000000-0005-0000-0000-0000DE180000}"/>
    <cellStyle name="20% - Accent3 2 2 4 4 6" xfId="36743" xr:uid="{00000000-0005-0000-0000-0000DF180000}"/>
    <cellStyle name="20% - Accent3 2 2 4 5" xfId="3250" xr:uid="{00000000-0005-0000-0000-0000E0180000}"/>
    <cellStyle name="20% - Accent3 2 2 4 5 2" xfId="10356" xr:uid="{00000000-0005-0000-0000-0000E1180000}"/>
    <cellStyle name="20% - Accent3 2 2 4 5 3" xfId="17457" xr:uid="{00000000-0005-0000-0000-0000E2180000}"/>
    <cellStyle name="20% - Accent3 2 2 4 5 4" xfId="24559" xr:uid="{00000000-0005-0000-0000-0000E3180000}"/>
    <cellStyle name="20% - Accent3 2 2 4 5 5" xfId="31661" xr:uid="{00000000-0005-0000-0000-0000E4180000}"/>
    <cellStyle name="20% - Accent3 2 2 4 6" xfId="7516" xr:uid="{00000000-0005-0000-0000-0000E5180000}"/>
    <cellStyle name="20% - Accent3 2 2 4 7" xfId="14617" xr:uid="{00000000-0005-0000-0000-0000E6180000}"/>
    <cellStyle name="20% - Accent3 2 2 4 8" xfId="21719" xr:uid="{00000000-0005-0000-0000-0000E7180000}"/>
    <cellStyle name="20% - Accent3 2 2 4 9" xfId="28821" xr:uid="{00000000-0005-0000-0000-0000E8180000}"/>
    <cellStyle name="20% - Accent3 2 2 5" xfId="550" xr:uid="{00000000-0005-0000-0000-0000E9180000}"/>
    <cellStyle name="20% - Accent3 2 2 5 2" xfId="2041" xr:uid="{00000000-0005-0000-0000-0000EA180000}"/>
    <cellStyle name="20% - Accent3 2 2 5 2 2" xfId="6309" xr:uid="{00000000-0005-0000-0000-0000EB180000}"/>
    <cellStyle name="20% - Accent3 2 2 5 2 2 2" xfId="13409" xr:uid="{00000000-0005-0000-0000-0000EC180000}"/>
    <cellStyle name="20% - Accent3 2 2 5 2 2 3" xfId="20510" xr:uid="{00000000-0005-0000-0000-0000ED180000}"/>
    <cellStyle name="20% - Accent3 2 2 5 2 2 4" xfId="27612" xr:uid="{00000000-0005-0000-0000-0000EE180000}"/>
    <cellStyle name="20% - Accent3 2 2 5 2 2 5" xfId="34714" xr:uid="{00000000-0005-0000-0000-0000EF180000}"/>
    <cellStyle name="20% - Accent3 2 2 5 2 2 6" xfId="36744" xr:uid="{00000000-0005-0000-0000-0000F0180000}"/>
    <cellStyle name="20% - Accent3 2 2 5 2 3" xfId="9149" xr:uid="{00000000-0005-0000-0000-0000F1180000}"/>
    <cellStyle name="20% - Accent3 2 2 5 2 4" xfId="16250" xr:uid="{00000000-0005-0000-0000-0000F2180000}"/>
    <cellStyle name="20% - Accent3 2 2 5 2 5" xfId="23352" xr:uid="{00000000-0005-0000-0000-0000F3180000}"/>
    <cellStyle name="20% - Accent3 2 2 5 2 6" xfId="30454" xr:uid="{00000000-0005-0000-0000-0000F4180000}"/>
    <cellStyle name="20% - Accent3 2 2 5 2 7" xfId="36745" xr:uid="{00000000-0005-0000-0000-0000F5180000}"/>
    <cellStyle name="20% - Accent3 2 2 5 3" xfId="4888" xr:uid="{00000000-0005-0000-0000-0000F6180000}"/>
    <cellStyle name="20% - Accent3 2 2 5 3 2" xfId="11989" xr:uid="{00000000-0005-0000-0000-0000F7180000}"/>
    <cellStyle name="20% - Accent3 2 2 5 3 2 2" xfId="36746" xr:uid="{00000000-0005-0000-0000-0000F8180000}"/>
    <cellStyle name="20% - Accent3 2 2 5 3 3" xfId="19090" xr:uid="{00000000-0005-0000-0000-0000F9180000}"/>
    <cellStyle name="20% - Accent3 2 2 5 3 4" xfId="26192" xr:uid="{00000000-0005-0000-0000-0000FA180000}"/>
    <cellStyle name="20% - Accent3 2 2 5 3 5" xfId="33294" xr:uid="{00000000-0005-0000-0000-0000FB180000}"/>
    <cellStyle name="20% - Accent3 2 2 5 3 6" xfId="36747" xr:uid="{00000000-0005-0000-0000-0000FC180000}"/>
    <cellStyle name="20% - Accent3 2 2 5 4" xfId="3463" xr:uid="{00000000-0005-0000-0000-0000FD180000}"/>
    <cellStyle name="20% - Accent3 2 2 5 4 2" xfId="10569" xr:uid="{00000000-0005-0000-0000-0000FE180000}"/>
    <cellStyle name="20% - Accent3 2 2 5 4 3" xfId="17670" xr:uid="{00000000-0005-0000-0000-0000FF180000}"/>
    <cellStyle name="20% - Accent3 2 2 5 4 4" xfId="24772" xr:uid="{00000000-0005-0000-0000-000000190000}"/>
    <cellStyle name="20% - Accent3 2 2 5 4 5" xfId="31874" xr:uid="{00000000-0005-0000-0000-000001190000}"/>
    <cellStyle name="20% - Accent3 2 2 5 4 6" xfId="36748" xr:uid="{00000000-0005-0000-0000-000002190000}"/>
    <cellStyle name="20% - Accent3 2 2 5 5" xfId="7729" xr:uid="{00000000-0005-0000-0000-000003190000}"/>
    <cellStyle name="20% - Accent3 2 2 5 6" xfId="14830" xr:uid="{00000000-0005-0000-0000-000004190000}"/>
    <cellStyle name="20% - Accent3 2 2 5 7" xfId="21932" xr:uid="{00000000-0005-0000-0000-000005190000}"/>
    <cellStyle name="20% - Accent3 2 2 5 8" xfId="29034" xr:uid="{00000000-0005-0000-0000-000006190000}"/>
    <cellStyle name="20% - Accent3 2 2 5 9" xfId="36749" xr:uid="{00000000-0005-0000-0000-000007190000}"/>
    <cellStyle name="20% - Accent3 2 2 6" xfId="763" xr:uid="{00000000-0005-0000-0000-000008190000}"/>
    <cellStyle name="20% - Accent3 2 2 6 2" xfId="2254" xr:uid="{00000000-0005-0000-0000-000009190000}"/>
    <cellStyle name="20% - Accent3 2 2 6 2 2" xfId="6522" xr:uid="{00000000-0005-0000-0000-00000A190000}"/>
    <cellStyle name="20% - Accent3 2 2 6 2 2 2" xfId="13622" xr:uid="{00000000-0005-0000-0000-00000B190000}"/>
    <cellStyle name="20% - Accent3 2 2 6 2 2 3" xfId="20723" xr:uid="{00000000-0005-0000-0000-00000C190000}"/>
    <cellStyle name="20% - Accent3 2 2 6 2 2 4" xfId="27825" xr:uid="{00000000-0005-0000-0000-00000D190000}"/>
    <cellStyle name="20% - Accent3 2 2 6 2 2 5" xfId="34927" xr:uid="{00000000-0005-0000-0000-00000E190000}"/>
    <cellStyle name="20% - Accent3 2 2 6 2 2 6" xfId="36750" xr:uid="{00000000-0005-0000-0000-00000F190000}"/>
    <cellStyle name="20% - Accent3 2 2 6 2 3" xfId="9362" xr:uid="{00000000-0005-0000-0000-000010190000}"/>
    <cellStyle name="20% - Accent3 2 2 6 2 4" xfId="16463" xr:uid="{00000000-0005-0000-0000-000011190000}"/>
    <cellStyle name="20% - Accent3 2 2 6 2 5" xfId="23565" xr:uid="{00000000-0005-0000-0000-000012190000}"/>
    <cellStyle name="20% - Accent3 2 2 6 2 6" xfId="30667" xr:uid="{00000000-0005-0000-0000-000013190000}"/>
    <cellStyle name="20% - Accent3 2 2 6 2 7" xfId="36751" xr:uid="{00000000-0005-0000-0000-000014190000}"/>
    <cellStyle name="20% - Accent3 2 2 6 3" xfId="5101" xr:uid="{00000000-0005-0000-0000-000015190000}"/>
    <cellStyle name="20% - Accent3 2 2 6 3 2" xfId="12202" xr:uid="{00000000-0005-0000-0000-000016190000}"/>
    <cellStyle name="20% - Accent3 2 2 6 3 2 2" xfId="36752" xr:uid="{00000000-0005-0000-0000-000017190000}"/>
    <cellStyle name="20% - Accent3 2 2 6 3 3" xfId="19303" xr:uid="{00000000-0005-0000-0000-000018190000}"/>
    <cellStyle name="20% - Accent3 2 2 6 3 4" xfId="26405" xr:uid="{00000000-0005-0000-0000-000019190000}"/>
    <cellStyle name="20% - Accent3 2 2 6 3 5" xfId="33507" xr:uid="{00000000-0005-0000-0000-00001A190000}"/>
    <cellStyle name="20% - Accent3 2 2 6 3 6" xfId="36753" xr:uid="{00000000-0005-0000-0000-00001B190000}"/>
    <cellStyle name="20% - Accent3 2 2 6 4" xfId="3676" xr:uid="{00000000-0005-0000-0000-00001C190000}"/>
    <cellStyle name="20% - Accent3 2 2 6 4 2" xfId="10782" xr:uid="{00000000-0005-0000-0000-00001D190000}"/>
    <cellStyle name="20% - Accent3 2 2 6 4 3" xfId="17883" xr:uid="{00000000-0005-0000-0000-00001E190000}"/>
    <cellStyle name="20% - Accent3 2 2 6 4 4" xfId="24985" xr:uid="{00000000-0005-0000-0000-00001F190000}"/>
    <cellStyle name="20% - Accent3 2 2 6 4 5" xfId="32087" xr:uid="{00000000-0005-0000-0000-000020190000}"/>
    <cellStyle name="20% - Accent3 2 2 6 4 6" xfId="36754" xr:uid="{00000000-0005-0000-0000-000021190000}"/>
    <cellStyle name="20% - Accent3 2 2 6 5" xfId="7942" xr:uid="{00000000-0005-0000-0000-000022190000}"/>
    <cellStyle name="20% - Accent3 2 2 6 6" xfId="15043" xr:uid="{00000000-0005-0000-0000-000023190000}"/>
    <cellStyle name="20% - Accent3 2 2 6 7" xfId="22145" xr:uid="{00000000-0005-0000-0000-000024190000}"/>
    <cellStyle name="20% - Accent3 2 2 6 8" xfId="29247" xr:uid="{00000000-0005-0000-0000-000025190000}"/>
    <cellStyle name="20% - Accent3 2 2 6 9" xfId="36755" xr:uid="{00000000-0005-0000-0000-000026190000}"/>
    <cellStyle name="20% - Accent3 2 2 7" xfId="976" xr:uid="{00000000-0005-0000-0000-000027190000}"/>
    <cellStyle name="20% - Accent3 2 2 7 2" xfId="2467" xr:uid="{00000000-0005-0000-0000-000028190000}"/>
    <cellStyle name="20% - Accent3 2 2 7 2 2" xfId="6735" xr:uid="{00000000-0005-0000-0000-000029190000}"/>
    <cellStyle name="20% - Accent3 2 2 7 2 2 2" xfId="13835" xr:uid="{00000000-0005-0000-0000-00002A190000}"/>
    <cellStyle name="20% - Accent3 2 2 7 2 2 3" xfId="20936" xr:uid="{00000000-0005-0000-0000-00002B190000}"/>
    <cellStyle name="20% - Accent3 2 2 7 2 2 4" xfId="28038" xr:uid="{00000000-0005-0000-0000-00002C190000}"/>
    <cellStyle name="20% - Accent3 2 2 7 2 2 5" xfId="35140" xr:uid="{00000000-0005-0000-0000-00002D190000}"/>
    <cellStyle name="20% - Accent3 2 2 7 2 3" xfId="9575" xr:uid="{00000000-0005-0000-0000-00002E190000}"/>
    <cellStyle name="20% - Accent3 2 2 7 2 4" xfId="16676" xr:uid="{00000000-0005-0000-0000-00002F190000}"/>
    <cellStyle name="20% - Accent3 2 2 7 2 5" xfId="23778" xr:uid="{00000000-0005-0000-0000-000030190000}"/>
    <cellStyle name="20% - Accent3 2 2 7 2 6" xfId="30880" xr:uid="{00000000-0005-0000-0000-000031190000}"/>
    <cellStyle name="20% - Accent3 2 2 7 2 7" xfId="36756" xr:uid="{00000000-0005-0000-0000-000032190000}"/>
    <cellStyle name="20% - Accent3 2 2 7 3" xfId="5314" xr:uid="{00000000-0005-0000-0000-000033190000}"/>
    <cellStyle name="20% - Accent3 2 2 7 3 2" xfId="12415" xr:uid="{00000000-0005-0000-0000-000034190000}"/>
    <cellStyle name="20% - Accent3 2 2 7 3 3" xfId="19516" xr:uid="{00000000-0005-0000-0000-000035190000}"/>
    <cellStyle name="20% - Accent3 2 2 7 3 4" xfId="26618" xr:uid="{00000000-0005-0000-0000-000036190000}"/>
    <cellStyle name="20% - Accent3 2 2 7 3 5" xfId="33720" xr:uid="{00000000-0005-0000-0000-000037190000}"/>
    <cellStyle name="20% - Accent3 2 2 7 4" xfId="3889" xr:uid="{00000000-0005-0000-0000-000038190000}"/>
    <cellStyle name="20% - Accent3 2 2 7 4 2" xfId="10995" xr:uid="{00000000-0005-0000-0000-000039190000}"/>
    <cellStyle name="20% - Accent3 2 2 7 4 3" xfId="18096" xr:uid="{00000000-0005-0000-0000-00003A190000}"/>
    <cellStyle name="20% - Accent3 2 2 7 4 4" xfId="25198" xr:uid="{00000000-0005-0000-0000-00003B190000}"/>
    <cellStyle name="20% - Accent3 2 2 7 4 5" xfId="32300" xr:uid="{00000000-0005-0000-0000-00003C190000}"/>
    <cellStyle name="20% - Accent3 2 2 7 5" xfId="8155" xr:uid="{00000000-0005-0000-0000-00003D190000}"/>
    <cellStyle name="20% - Accent3 2 2 7 6" xfId="15256" xr:uid="{00000000-0005-0000-0000-00003E190000}"/>
    <cellStyle name="20% - Accent3 2 2 7 7" xfId="22358" xr:uid="{00000000-0005-0000-0000-00003F190000}"/>
    <cellStyle name="20% - Accent3 2 2 7 8" xfId="29460" xr:uid="{00000000-0005-0000-0000-000040190000}"/>
    <cellStyle name="20% - Accent3 2 2 7 9" xfId="36757" xr:uid="{00000000-0005-0000-0000-000041190000}"/>
    <cellStyle name="20% - Accent3 2 2 8" xfId="1331" xr:uid="{00000000-0005-0000-0000-000042190000}"/>
    <cellStyle name="20% - Accent3 2 2 8 2" xfId="2822" xr:uid="{00000000-0005-0000-0000-000043190000}"/>
    <cellStyle name="20% - Accent3 2 2 8 2 2" xfId="7090" xr:uid="{00000000-0005-0000-0000-000044190000}"/>
    <cellStyle name="20% - Accent3 2 2 8 2 2 2" xfId="14190" xr:uid="{00000000-0005-0000-0000-000045190000}"/>
    <cellStyle name="20% - Accent3 2 2 8 2 2 3" xfId="21291" xr:uid="{00000000-0005-0000-0000-000046190000}"/>
    <cellStyle name="20% - Accent3 2 2 8 2 2 4" xfId="28393" xr:uid="{00000000-0005-0000-0000-000047190000}"/>
    <cellStyle name="20% - Accent3 2 2 8 2 2 5" xfId="35495" xr:uid="{00000000-0005-0000-0000-000048190000}"/>
    <cellStyle name="20% - Accent3 2 2 8 2 3" xfId="9930" xr:uid="{00000000-0005-0000-0000-000049190000}"/>
    <cellStyle name="20% - Accent3 2 2 8 2 4" xfId="17031" xr:uid="{00000000-0005-0000-0000-00004A190000}"/>
    <cellStyle name="20% - Accent3 2 2 8 2 5" xfId="24133" xr:uid="{00000000-0005-0000-0000-00004B190000}"/>
    <cellStyle name="20% - Accent3 2 2 8 2 6" xfId="31235" xr:uid="{00000000-0005-0000-0000-00004C190000}"/>
    <cellStyle name="20% - Accent3 2 2 8 2 7" xfId="36758" xr:uid="{00000000-0005-0000-0000-00004D190000}"/>
    <cellStyle name="20% - Accent3 2 2 8 3" xfId="5669" xr:uid="{00000000-0005-0000-0000-00004E190000}"/>
    <cellStyle name="20% - Accent3 2 2 8 3 2" xfId="12770" xr:uid="{00000000-0005-0000-0000-00004F190000}"/>
    <cellStyle name="20% - Accent3 2 2 8 3 3" xfId="19871" xr:uid="{00000000-0005-0000-0000-000050190000}"/>
    <cellStyle name="20% - Accent3 2 2 8 3 4" xfId="26973" xr:uid="{00000000-0005-0000-0000-000051190000}"/>
    <cellStyle name="20% - Accent3 2 2 8 3 5" xfId="34075" xr:uid="{00000000-0005-0000-0000-000052190000}"/>
    <cellStyle name="20% - Accent3 2 2 8 4" xfId="4244" xr:uid="{00000000-0005-0000-0000-000053190000}"/>
    <cellStyle name="20% - Accent3 2 2 8 4 2" xfId="11350" xr:uid="{00000000-0005-0000-0000-000054190000}"/>
    <cellStyle name="20% - Accent3 2 2 8 4 3" xfId="18451" xr:uid="{00000000-0005-0000-0000-000055190000}"/>
    <cellStyle name="20% - Accent3 2 2 8 4 4" xfId="25553" xr:uid="{00000000-0005-0000-0000-000056190000}"/>
    <cellStyle name="20% - Accent3 2 2 8 4 5" xfId="32655" xr:uid="{00000000-0005-0000-0000-000057190000}"/>
    <cellStyle name="20% - Accent3 2 2 8 5" xfId="8510" xr:uid="{00000000-0005-0000-0000-000058190000}"/>
    <cellStyle name="20% - Accent3 2 2 8 6" xfId="15611" xr:uid="{00000000-0005-0000-0000-000059190000}"/>
    <cellStyle name="20% - Accent3 2 2 8 7" xfId="22713" xr:uid="{00000000-0005-0000-0000-00005A190000}"/>
    <cellStyle name="20% - Accent3 2 2 8 8" xfId="29815" xr:uid="{00000000-0005-0000-0000-00005B190000}"/>
    <cellStyle name="20% - Accent3 2 2 8 9" xfId="36759" xr:uid="{00000000-0005-0000-0000-00005C190000}"/>
    <cellStyle name="20% - Accent3 2 2 9" xfId="1615" xr:uid="{00000000-0005-0000-0000-00005D190000}"/>
    <cellStyle name="20% - Accent3 2 2 9 2" xfId="5883" xr:uid="{00000000-0005-0000-0000-00005E190000}"/>
    <cellStyle name="20% - Accent3 2 2 9 2 2" xfId="12983" xr:uid="{00000000-0005-0000-0000-00005F190000}"/>
    <cellStyle name="20% - Accent3 2 2 9 2 3" xfId="20084" xr:uid="{00000000-0005-0000-0000-000060190000}"/>
    <cellStyle name="20% - Accent3 2 2 9 2 4" xfId="27186" xr:uid="{00000000-0005-0000-0000-000061190000}"/>
    <cellStyle name="20% - Accent3 2 2 9 2 5" xfId="34288" xr:uid="{00000000-0005-0000-0000-000062190000}"/>
    <cellStyle name="20% - Accent3 2 2 9 3" xfId="8723" xr:uid="{00000000-0005-0000-0000-000063190000}"/>
    <cellStyle name="20% - Accent3 2 2 9 4" xfId="15824" xr:uid="{00000000-0005-0000-0000-000064190000}"/>
    <cellStyle name="20% - Accent3 2 2 9 5" xfId="22926" xr:uid="{00000000-0005-0000-0000-000065190000}"/>
    <cellStyle name="20% - Accent3 2 2 9 6" xfId="30028" xr:uid="{00000000-0005-0000-0000-000066190000}"/>
    <cellStyle name="20% - Accent3 2 2 9 7" xfId="36760" xr:uid="{00000000-0005-0000-0000-000067190000}"/>
    <cellStyle name="20% - Accent3 2 3" xfId="235" xr:uid="{00000000-0005-0000-0000-000068190000}"/>
    <cellStyle name="20% - Accent3 2 3 10" xfId="7414" xr:uid="{00000000-0005-0000-0000-000069190000}"/>
    <cellStyle name="20% - Accent3 2 3 11" xfId="14515" xr:uid="{00000000-0005-0000-0000-00006A190000}"/>
    <cellStyle name="20% - Accent3 2 3 12" xfId="21617" xr:uid="{00000000-0005-0000-0000-00006B190000}"/>
    <cellStyle name="20% - Accent3 2 3 13" xfId="28719" xr:uid="{00000000-0005-0000-0000-00006C190000}"/>
    <cellStyle name="20% - Accent3 2 3 14" xfId="35821" xr:uid="{00000000-0005-0000-0000-00006D190000}"/>
    <cellStyle name="20% - Accent3 2 3 15" xfId="36761" xr:uid="{00000000-0005-0000-0000-00006E190000}"/>
    <cellStyle name="20% - Accent3 2 3 2" xfId="448" xr:uid="{00000000-0005-0000-0000-00006F190000}"/>
    <cellStyle name="20% - Accent3 2 3 2 10" xfId="36762" xr:uid="{00000000-0005-0000-0000-000070190000}"/>
    <cellStyle name="20% - Accent3 2 3 2 2" xfId="1229" xr:uid="{00000000-0005-0000-0000-000071190000}"/>
    <cellStyle name="20% - Accent3 2 3 2 2 2" xfId="2720" xr:uid="{00000000-0005-0000-0000-000072190000}"/>
    <cellStyle name="20% - Accent3 2 3 2 2 2 2" xfId="6988" xr:uid="{00000000-0005-0000-0000-000073190000}"/>
    <cellStyle name="20% - Accent3 2 3 2 2 2 2 2" xfId="14088" xr:uid="{00000000-0005-0000-0000-000074190000}"/>
    <cellStyle name="20% - Accent3 2 3 2 2 2 2 3" xfId="21189" xr:uid="{00000000-0005-0000-0000-000075190000}"/>
    <cellStyle name="20% - Accent3 2 3 2 2 2 2 4" xfId="28291" xr:uid="{00000000-0005-0000-0000-000076190000}"/>
    <cellStyle name="20% - Accent3 2 3 2 2 2 2 5" xfId="35393" xr:uid="{00000000-0005-0000-0000-000077190000}"/>
    <cellStyle name="20% - Accent3 2 3 2 2 2 3" xfId="9828" xr:uid="{00000000-0005-0000-0000-000078190000}"/>
    <cellStyle name="20% - Accent3 2 3 2 2 2 4" xfId="16929" xr:uid="{00000000-0005-0000-0000-000079190000}"/>
    <cellStyle name="20% - Accent3 2 3 2 2 2 5" xfId="24031" xr:uid="{00000000-0005-0000-0000-00007A190000}"/>
    <cellStyle name="20% - Accent3 2 3 2 2 2 6" xfId="31133" xr:uid="{00000000-0005-0000-0000-00007B190000}"/>
    <cellStyle name="20% - Accent3 2 3 2 2 2 7" xfId="36763" xr:uid="{00000000-0005-0000-0000-00007C190000}"/>
    <cellStyle name="20% - Accent3 2 3 2 2 3" xfId="5567" xr:uid="{00000000-0005-0000-0000-00007D190000}"/>
    <cellStyle name="20% - Accent3 2 3 2 2 3 2" xfId="12668" xr:uid="{00000000-0005-0000-0000-00007E190000}"/>
    <cellStyle name="20% - Accent3 2 3 2 2 3 3" xfId="19769" xr:uid="{00000000-0005-0000-0000-00007F190000}"/>
    <cellStyle name="20% - Accent3 2 3 2 2 3 4" xfId="26871" xr:uid="{00000000-0005-0000-0000-000080190000}"/>
    <cellStyle name="20% - Accent3 2 3 2 2 3 5" xfId="33973" xr:uid="{00000000-0005-0000-0000-000081190000}"/>
    <cellStyle name="20% - Accent3 2 3 2 2 4" xfId="4142" xr:uid="{00000000-0005-0000-0000-000082190000}"/>
    <cellStyle name="20% - Accent3 2 3 2 2 4 2" xfId="11248" xr:uid="{00000000-0005-0000-0000-000083190000}"/>
    <cellStyle name="20% - Accent3 2 3 2 2 4 3" xfId="18349" xr:uid="{00000000-0005-0000-0000-000084190000}"/>
    <cellStyle name="20% - Accent3 2 3 2 2 4 4" xfId="25451" xr:uid="{00000000-0005-0000-0000-000085190000}"/>
    <cellStyle name="20% - Accent3 2 3 2 2 4 5" xfId="32553" xr:uid="{00000000-0005-0000-0000-000086190000}"/>
    <cellStyle name="20% - Accent3 2 3 2 2 5" xfId="8408" xr:uid="{00000000-0005-0000-0000-000087190000}"/>
    <cellStyle name="20% - Accent3 2 3 2 2 6" xfId="15509" xr:uid="{00000000-0005-0000-0000-000088190000}"/>
    <cellStyle name="20% - Accent3 2 3 2 2 7" xfId="22611" xr:uid="{00000000-0005-0000-0000-000089190000}"/>
    <cellStyle name="20% - Accent3 2 3 2 2 8" xfId="29713" xr:uid="{00000000-0005-0000-0000-00008A190000}"/>
    <cellStyle name="20% - Accent3 2 3 2 2 9" xfId="36764" xr:uid="{00000000-0005-0000-0000-00008B190000}"/>
    <cellStyle name="20% - Accent3 2 3 2 3" xfId="1939" xr:uid="{00000000-0005-0000-0000-00008C190000}"/>
    <cellStyle name="20% - Accent3 2 3 2 3 2" xfId="6207" xr:uid="{00000000-0005-0000-0000-00008D190000}"/>
    <cellStyle name="20% - Accent3 2 3 2 3 2 2" xfId="13307" xr:uid="{00000000-0005-0000-0000-00008E190000}"/>
    <cellStyle name="20% - Accent3 2 3 2 3 2 3" xfId="20408" xr:uid="{00000000-0005-0000-0000-00008F190000}"/>
    <cellStyle name="20% - Accent3 2 3 2 3 2 4" xfId="27510" xr:uid="{00000000-0005-0000-0000-000090190000}"/>
    <cellStyle name="20% - Accent3 2 3 2 3 2 5" xfId="34612" xr:uid="{00000000-0005-0000-0000-000091190000}"/>
    <cellStyle name="20% - Accent3 2 3 2 3 2 6" xfId="36765" xr:uid="{00000000-0005-0000-0000-000092190000}"/>
    <cellStyle name="20% - Accent3 2 3 2 3 3" xfId="9047" xr:uid="{00000000-0005-0000-0000-000093190000}"/>
    <cellStyle name="20% - Accent3 2 3 2 3 4" xfId="16148" xr:uid="{00000000-0005-0000-0000-000094190000}"/>
    <cellStyle name="20% - Accent3 2 3 2 3 5" xfId="23250" xr:uid="{00000000-0005-0000-0000-000095190000}"/>
    <cellStyle name="20% - Accent3 2 3 2 3 6" xfId="30352" xr:uid="{00000000-0005-0000-0000-000096190000}"/>
    <cellStyle name="20% - Accent3 2 3 2 3 7" xfId="36766" xr:uid="{00000000-0005-0000-0000-000097190000}"/>
    <cellStyle name="20% - Accent3 2 3 2 4" xfId="4786" xr:uid="{00000000-0005-0000-0000-000098190000}"/>
    <cellStyle name="20% - Accent3 2 3 2 4 2" xfId="11887" xr:uid="{00000000-0005-0000-0000-000099190000}"/>
    <cellStyle name="20% - Accent3 2 3 2 4 3" xfId="18988" xr:uid="{00000000-0005-0000-0000-00009A190000}"/>
    <cellStyle name="20% - Accent3 2 3 2 4 4" xfId="26090" xr:uid="{00000000-0005-0000-0000-00009B190000}"/>
    <cellStyle name="20% - Accent3 2 3 2 4 5" xfId="33192" xr:uid="{00000000-0005-0000-0000-00009C190000}"/>
    <cellStyle name="20% - Accent3 2 3 2 4 6" xfId="36767" xr:uid="{00000000-0005-0000-0000-00009D190000}"/>
    <cellStyle name="20% - Accent3 2 3 2 5" xfId="3361" xr:uid="{00000000-0005-0000-0000-00009E190000}"/>
    <cellStyle name="20% - Accent3 2 3 2 5 2" xfId="10467" xr:uid="{00000000-0005-0000-0000-00009F190000}"/>
    <cellStyle name="20% - Accent3 2 3 2 5 3" xfId="17568" xr:uid="{00000000-0005-0000-0000-0000A0190000}"/>
    <cellStyle name="20% - Accent3 2 3 2 5 4" xfId="24670" xr:uid="{00000000-0005-0000-0000-0000A1190000}"/>
    <cellStyle name="20% - Accent3 2 3 2 5 5" xfId="31772" xr:uid="{00000000-0005-0000-0000-0000A2190000}"/>
    <cellStyle name="20% - Accent3 2 3 2 6" xfId="7627" xr:uid="{00000000-0005-0000-0000-0000A3190000}"/>
    <cellStyle name="20% - Accent3 2 3 2 7" xfId="14728" xr:uid="{00000000-0005-0000-0000-0000A4190000}"/>
    <cellStyle name="20% - Accent3 2 3 2 8" xfId="21830" xr:uid="{00000000-0005-0000-0000-0000A5190000}"/>
    <cellStyle name="20% - Accent3 2 3 2 9" xfId="28932" xr:uid="{00000000-0005-0000-0000-0000A6190000}"/>
    <cellStyle name="20% - Accent3 2 3 3" xfId="661" xr:uid="{00000000-0005-0000-0000-0000A7190000}"/>
    <cellStyle name="20% - Accent3 2 3 3 2" xfId="2152" xr:uid="{00000000-0005-0000-0000-0000A8190000}"/>
    <cellStyle name="20% - Accent3 2 3 3 2 2" xfId="6420" xr:uid="{00000000-0005-0000-0000-0000A9190000}"/>
    <cellStyle name="20% - Accent3 2 3 3 2 2 2" xfId="13520" xr:uid="{00000000-0005-0000-0000-0000AA190000}"/>
    <cellStyle name="20% - Accent3 2 3 3 2 2 3" xfId="20621" xr:uid="{00000000-0005-0000-0000-0000AB190000}"/>
    <cellStyle name="20% - Accent3 2 3 3 2 2 4" xfId="27723" xr:uid="{00000000-0005-0000-0000-0000AC190000}"/>
    <cellStyle name="20% - Accent3 2 3 3 2 2 5" xfId="34825" xr:uid="{00000000-0005-0000-0000-0000AD190000}"/>
    <cellStyle name="20% - Accent3 2 3 3 2 2 6" xfId="36768" xr:uid="{00000000-0005-0000-0000-0000AE190000}"/>
    <cellStyle name="20% - Accent3 2 3 3 2 3" xfId="9260" xr:uid="{00000000-0005-0000-0000-0000AF190000}"/>
    <cellStyle name="20% - Accent3 2 3 3 2 4" xfId="16361" xr:uid="{00000000-0005-0000-0000-0000B0190000}"/>
    <cellStyle name="20% - Accent3 2 3 3 2 5" xfId="23463" xr:uid="{00000000-0005-0000-0000-0000B1190000}"/>
    <cellStyle name="20% - Accent3 2 3 3 2 6" xfId="30565" xr:uid="{00000000-0005-0000-0000-0000B2190000}"/>
    <cellStyle name="20% - Accent3 2 3 3 2 7" xfId="36769" xr:uid="{00000000-0005-0000-0000-0000B3190000}"/>
    <cellStyle name="20% - Accent3 2 3 3 3" xfId="4999" xr:uid="{00000000-0005-0000-0000-0000B4190000}"/>
    <cellStyle name="20% - Accent3 2 3 3 3 2" xfId="12100" xr:uid="{00000000-0005-0000-0000-0000B5190000}"/>
    <cellStyle name="20% - Accent3 2 3 3 3 2 2" xfId="36770" xr:uid="{00000000-0005-0000-0000-0000B6190000}"/>
    <cellStyle name="20% - Accent3 2 3 3 3 3" xfId="19201" xr:uid="{00000000-0005-0000-0000-0000B7190000}"/>
    <cellStyle name="20% - Accent3 2 3 3 3 4" xfId="26303" xr:uid="{00000000-0005-0000-0000-0000B8190000}"/>
    <cellStyle name="20% - Accent3 2 3 3 3 5" xfId="33405" xr:uid="{00000000-0005-0000-0000-0000B9190000}"/>
    <cellStyle name="20% - Accent3 2 3 3 3 6" xfId="36771" xr:uid="{00000000-0005-0000-0000-0000BA190000}"/>
    <cellStyle name="20% - Accent3 2 3 3 4" xfId="3574" xr:uid="{00000000-0005-0000-0000-0000BB190000}"/>
    <cellStyle name="20% - Accent3 2 3 3 4 2" xfId="10680" xr:uid="{00000000-0005-0000-0000-0000BC190000}"/>
    <cellStyle name="20% - Accent3 2 3 3 4 3" xfId="17781" xr:uid="{00000000-0005-0000-0000-0000BD190000}"/>
    <cellStyle name="20% - Accent3 2 3 3 4 4" xfId="24883" xr:uid="{00000000-0005-0000-0000-0000BE190000}"/>
    <cellStyle name="20% - Accent3 2 3 3 4 5" xfId="31985" xr:uid="{00000000-0005-0000-0000-0000BF190000}"/>
    <cellStyle name="20% - Accent3 2 3 3 4 6" xfId="36772" xr:uid="{00000000-0005-0000-0000-0000C0190000}"/>
    <cellStyle name="20% - Accent3 2 3 3 5" xfId="7840" xr:uid="{00000000-0005-0000-0000-0000C1190000}"/>
    <cellStyle name="20% - Accent3 2 3 3 6" xfId="14941" xr:uid="{00000000-0005-0000-0000-0000C2190000}"/>
    <cellStyle name="20% - Accent3 2 3 3 7" xfId="22043" xr:uid="{00000000-0005-0000-0000-0000C3190000}"/>
    <cellStyle name="20% - Accent3 2 3 3 8" xfId="29145" xr:uid="{00000000-0005-0000-0000-0000C4190000}"/>
    <cellStyle name="20% - Accent3 2 3 3 9" xfId="36773" xr:uid="{00000000-0005-0000-0000-0000C5190000}"/>
    <cellStyle name="20% - Accent3 2 3 4" xfId="874" xr:uid="{00000000-0005-0000-0000-0000C6190000}"/>
    <cellStyle name="20% - Accent3 2 3 4 2" xfId="2365" xr:uid="{00000000-0005-0000-0000-0000C7190000}"/>
    <cellStyle name="20% - Accent3 2 3 4 2 2" xfId="6633" xr:uid="{00000000-0005-0000-0000-0000C8190000}"/>
    <cellStyle name="20% - Accent3 2 3 4 2 2 2" xfId="13733" xr:uid="{00000000-0005-0000-0000-0000C9190000}"/>
    <cellStyle name="20% - Accent3 2 3 4 2 2 3" xfId="20834" xr:uid="{00000000-0005-0000-0000-0000CA190000}"/>
    <cellStyle name="20% - Accent3 2 3 4 2 2 4" xfId="27936" xr:uid="{00000000-0005-0000-0000-0000CB190000}"/>
    <cellStyle name="20% - Accent3 2 3 4 2 2 5" xfId="35038" xr:uid="{00000000-0005-0000-0000-0000CC190000}"/>
    <cellStyle name="20% - Accent3 2 3 4 2 2 6" xfId="36774" xr:uid="{00000000-0005-0000-0000-0000CD190000}"/>
    <cellStyle name="20% - Accent3 2 3 4 2 3" xfId="9473" xr:uid="{00000000-0005-0000-0000-0000CE190000}"/>
    <cellStyle name="20% - Accent3 2 3 4 2 4" xfId="16574" xr:uid="{00000000-0005-0000-0000-0000CF190000}"/>
    <cellStyle name="20% - Accent3 2 3 4 2 5" xfId="23676" xr:uid="{00000000-0005-0000-0000-0000D0190000}"/>
    <cellStyle name="20% - Accent3 2 3 4 2 6" xfId="30778" xr:uid="{00000000-0005-0000-0000-0000D1190000}"/>
    <cellStyle name="20% - Accent3 2 3 4 2 7" xfId="36775" xr:uid="{00000000-0005-0000-0000-0000D2190000}"/>
    <cellStyle name="20% - Accent3 2 3 4 3" xfId="5212" xr:uid="{00000000-0005-0000-0000-0000D3190000}"/>
    <cellStyle name="20% - Accent3 2 3 4 3 2" xfId="12313" xr:uid="{00000000-0005-0000-0000-0000D4190000}"/>
    <cellStyle name="20% - Accent3 2 3 4 3 2 2" xfId="36776" xr:uid="{00000000-0005-0000-0000-0000D5190000}"/>
    <cellStyle name="20% - Accent3 2 3 4 3 3" xfId="19414" xr:uid="{00000000-0005-0000-0000-0000D6190000}"/>
    <cellStyle name="20% - Accent3 2 3 4 3 4" xfId="26516" xr:uid="{00000000-0005-0000-0000-0000D7190000}"/>
    <cellStyle name="20% - Accent3 2 3 4 3 5" xfId="33618" xr:uid="{00000000-0005-0000-0000-0000D8190000}"/>
    <cellStyle name="20% - Accent3 2 3 4 3 6" xfId="36777" xr:uid="{00000000-0005-0000-0000-0000D9190000}"/>
    <cellStyle name="20% - Accent3 2 3 4 4" xfId="3787" xr:uid="{00000000-0005-0000-0000-0000DA190000}"/>
    <cellStyle name="20% - Accent3 2 3 4 4 2" xfId="10893" xr:uid="{00000000-0005-0000-0000-0000DB190000}"/>
    <cellStyle name="20% - Accent3 2 3 4 4 3" xfId="17994" xr:uid="{00000000-0005-0000-0000-0000DC190000}"/>
    <cellStyle name="20% - Accent3 2 3 4 4 4" xfId="25096" xr:uid="{00000000-0005-0000-0000-0000DD190000}"/>
    <cellStyle name="20% - Accent3 2 3 4 4 5" xfId="32198" xr:uid="{00000000-0005-0000-0000-0000DE190000}"/>
    <cellStyle name="20% - Accent3 2 3 4 4 6" xfId="36778" xr:uid="{00000000-0005-0000-0000-0000DF190000}"/>
    <cellStyle name="20% - Accent3 2 3 4 5" xfId="8053" xr:uid="{00000000-0005-0000-0000-0000E0190000}"/>
    <cellStyle name="20% - Accent3 2 3 4 6" xfId="15154" xr:uid="{00000000-0005-0000-0000-0000E1190000}"/>
    <cellStyle name="20% - Accent3 2 3 4 7" xfId="22256" xr:uid="{00000000-0005-0000-0000-0000E2190000}"/>
    <cellStyle name="20% - Accent3 2 3 4 8" xfId="29358" xr:uid="{00000000-0005-0000-0000-0000E3190000}"/>
    <cellStyle name="20% - Accent3 2 3 4 9" xfId="36779" xr:uid="{00000000-0005-0000-0000-0000E4190000}"/>
    <cellStyle name="20% - Accent3 2 3 5" xfId="1016" xr:uid="{00000000-0005-0000-0000-0000E5190000}"/>
    <cellStyle name="20% - Accent3 2 3 5 2" xfId="2507" xr:uid="{00000000-0005-0000-0000-0000E6190000}"/>
    <cellStyle name="20% - Accent3 2 3 5 2 2" xfId="6775" xr:uid="{00000000-0005-0000-0000-0000E7190000}"/>
    <cellStyle name="20% - Accent3 2 3 5 2 2 2" xfId="13875" xr:uid="{00000000-0005-0000-0000-0000E8190000}"/>
    <cellStyle name="20% - Accent3 2 3 5 2 2 3" xfId="20976" xr:uid="{00000000-0005-0000-0000-0000E9190000}"/>
    <cellStyle name="20% - Accent3 2 3 5 2 2 4" xfId="28078" xr:uid="{00000000-0005-0000-0000-0000EA190000}"/>
    <cellStyle name="20% - Accent3 2 3 5 2 2 5" xfId="35180" xr:uid="{00000000-0005-0000-0000-0000EB190000}"/>
    <cellStyle name="20% - Accent3 2 3 5 2 3" xfId="9615" xr:uid="{00000000-0005-0000-0000-0000EC190000}"/>
    <cellStyle name="20% - Accent3 2 3 5 2 4" xfId="16716" xr:uid="{00000000-0005-0000-0000-0000ED190000}"/>
    <cellStyle name="20% - Accent3 2 3 5 2 5" xfId="23818" xr:uid="{00000000-0005-0000-0000-0000EE190000}"/>
    <cellStyle name="20% - Accent3 2 3 5 2 6" xfId="30920" xr:uid="{00000000-0005-0000-0000-0000EF190000}"/>
    <cellStyle name="20% - Accent3 2 3 5 2 7" xfId="36780" xr:uid="{00000000-0005-0000-0000-0000F0190000}"/>
    <cellStyle name="20% - Accent3 2 3 5 3" xfId="5354" xr:uid="{00000000-0005-0000-0000-0000F1190000}"/>
    <cellStyle name="20% - Accent3 2 3 5 3 2" xfId="12455" xr:uid="{00000000-0005-0000-0000-0000F2190000}"/>
    <cellStyle name="20% - Accent3 2 3 5 3 3" xfId="19556" xr:uid="{00000000-0005-0000-0000-0000F3190000}"/>
    <cellStyle name="20% - Accent3 2 3 5 3 4" xfId="26658" xr:uid="{00000000-0005-0000-0000-0000F4190000}"/>
    <cellStyle name="20% - Accent3 2 3 5 3 5" xfId="33760" xr:uid="{00000000-0005-0000-0000-0000F5190000}"/>
    <cellStyle name="20% - Accent3 2 3 5 4" xfId="3929" xr:uid="{00000000-0005-0000-0000-0000F6190000}"/>
    <cellStyle name="20% - Accent3 2 3 5 4 2" xfId="11035" xr:uid="{00000000-0005-0000-0000-0000F7190000}"/>
    <cellStyle name="20% - Accent3 2 3 5 4 3" xfId="18136" xr:uid="{00000000-0005-0000-0000-0000F8190000}"/>
    <cellStyle name="20% - Accent3 2 3 5 4 4" xfId="25238" xr:uid="{00000000-0005-0000-0000-0000F9190000}"/>
    <cellStyle name="20% - Accent3 2 3 5 4 5" xfId="32340" xr:uid="{00000000-0005-0000-0000-0000FA190000}"/>
    <cellStyle name="20% - Accent3 2 3 5 5" xfId="8195" xr:uid="{00000000-0005-0000-0000-0000FB190000}"/>
    <cellStyle name="20% - Accent3 2 3 5 6" xfId="15296" xr:uid="{00000000-0005-0000-0000-0000FC190000}"/>
    <cellStyle name="20% - Accent3 2 3 5 7" xfId="22398" xr:uid="{00000000-0005-0000-0000-0000FD190000}"/>
    <cellStyle name="20% - Accent3 2 3 5 8" xfId="29500" xr:uid="{00000000-0005-0000-0000-0000FE190000}"/>
    <cellStyle name="20% - Accent3 2 3 5 9" xfId="36781" xr:uid="{00000000-0005-0000-0000-0000FF190000}"/>
    <cellStyle name="20% - Accent3 2 3 6" xfId="1442" xr:uid="{00000000-0005-0000-0000-0000001A0000}"/>
    <cellStyle name="20% - Accent3 2 3 6 2" xfId="2933" xr:uid="{00000000-0005-0000-0000-0000011A0000}"/>
    <cellStyle name="20% - Accent3 2 3 6 2 2" xfId="7201" xr:uid="{00000000-0005-0000-0000-0000021A0000}"/>
    <cellStyle name="20% - Accent3 2 3 6 2 2 2" xfId="14301" xr:uid="{00000000-0005-0000-0000-0000031A0000}"/>
    <cellStyle name="20% - Accent3 2 3 6 2 2 3" xfId="21402" xr:uid="{00000000-0005-0000-0000-0000041A0000}"/>
    <cellStyle name="20% - Accent3 2 3 6 2 2 4" xfId="28504" xr:uid="{00000000-0005-0000-0000-0000051A0000}"/>
    <cellStyle name="20% - Accent3 2 3 6 2 2 5" xfId="35606" xr:uid="{00000000-0005-0000-0000-0000061A0000}"/>
    <cellStyle name="20% - Accent3 2 3 6 2 3" xfId="10041" xr:uid="{00000000-0005-0000-0000-0000071A0000}"/>
    <cellStyle name="20% - Accent3 2 3 6 2 4" xfId="17142" xr:uid="{00000000-0005-0000-0000-0000081A0000}"/>
    <cellStyle name="20% - Accent3 2 3 6 2 5" xfId="24244" xr:uid="{00000000-0005-0000-0000-0000091A0000}"/>
    <cellStyle name="20% - Accent3 2 3 6 2 6" xfId="31346" xr:uid="{00000000-0005-0000-0000-00000A1A0000}"/>
    <cellStyle name="20% - Accent3 2 3 6 2 7" xfId="36782" xr:uid="{00000000-0005-0000-0000-00000B1A0000}"/>
    <cellStyle name="20% - Accent3 2 3 6 3" xfId="5780" xr:uid="{00000000-0005-0000-0000-00000C1A0000}"/>
    <cellStyle name="20% - Accent3 2 3 6 3 2" xfId="12881" xr:uid="{00000000-0005-0000-0000-00000D1A0000}"/>
    <cellStyle name="20% - Accent3 2 3 6 3 3" xfId="19982" xr:uid="{00000000-0005-0000-0000-00000E1A0000}"/>
    <cellStyle name="20% - Accent3 2 3 6 3 4" xfId="27084" xr:uid="{00000000-0005-0000-0000-00000F1A0000}"/>
    <cellStyle name="20% - Accent3 2 3 6 3 5" xfId="34186" xr:uid="{00000000-0005-0000-0000-0000101A0000}"/>
    <cellStyle name="20% - Accent3 2 3 6 4" xfId="4355" xr:uid="{00000000-0005-0000-0000-0000111A0000}"/>
    <cellStyle name="20% - Accent3 2 3 6 4 2" xfId="11461" xr:uid="{00000000-0005-0000-0000-0000121A0000}"/>
    <cellStyle name="20% - Accent3 2 3 6 4 3" xfId="18562" xr:uid="{00000000-0005-0000-0000-0000131A0000}"/>
    <cellStyle name="20% - Accent3 2 3 6 4 4" xfId="25664" xr:uid="{00000000-0005-0000-0000-0000141A0000}"/>
    <cellStyle name="20% - Accent3 2 3 6 4 5" xfId="32766" xr:uid="{00000000-0005-0000-0000-0000151A0000}"/>
    <cellStyle name="20% - Accent3 2 3 6 5" xfId="8621" xr:uid="{00000000-0005-0000-0000-0000161A0000}"/>
    <cellStyle name="20% - Accent3 2 3 6 6" xfId="15722" xr:uid="{00000000-0005-0000-0000-0000171A0000}"/>
    <cellStyle name="20% - Accent3 2 3 6 7" xfId="22824" xr:uid="{00000000-0005-0000-0000-0000181A0000}"/>
    <cellStyle name="20% - Accent3 2 3 6 8" xfId="29926" xr:uid="{00000000-0005-0000-0000-0000191A0000}"/>
    <cellStyle name="20% - Accent3 2 3 6 9" xfId="36783" xr:uid="{00000000-0005-0000-0000-00001A1A0000}"/>
    <cellStyle name="20% - Accent3 2 3 7" xfId="1726" xr:uid="{00000000-0005-0000-0000-00001B1A0000}"/>
    <cellStyle name="20% - Accent3 2 3 7 2" xfId="5994" xr:uid="{00000000-0005-0000-0000-00001C1A0000}"/>
    <cellStyle name="20% - Accent3 2 3 7 2 2" xfId="13094" xr:uid="{00000000-0005-0000-0000-00001D1A0000}"/>
    <cellStyle name="20% - Accent3 2 3 7 2 3" xfId="20195" xr:uid="{00000000-0005-0000-0000-00001E1A0000}"/>
    <cellStyle name="20% - Accent3 2 3 7 2 4" xfId="27297" xr:uid="{00000000-0005-0000-0000-00001F1A0000}"/>
    <cellStyle name="20% - Accent3 2 3 7 2 5" xfId="34399" xr:uid="{00000000-0005-0000-0000-0000201A0000}"/>
    <cellStyle name="20% - Accent3 2 3 7 3" xfId="8834" xr:uid="{00000000-0005-0000-0000-0000211A0000}"/>
    <cellStyle name="20% - Accent3 2 3 7 4" xfId="15935" xr:uid="{00000000-0005-0000-0000-0000221A0000}"/>
    <cellStyle name="20% - Accent3 2 3 7 5" xfId="23037" xr:uid="{00000000-0005-0000-0000-0000231A0000}"/>
    <cellStyle name="20% - Accent3 2 3 7 6" xfId="30139" xr:uid="{00000000-0005-0000-0000-0000241A0000}"/>
    <cellStyle name="20% - Accent3 2 3 7 7" xfId="36784" xr:uid="{00000000-0005-0000-0000-0000251A0000}"/>
    <cellStyle name="20% - Accent3 2 3 8" xfId="4573" xr:uid="{00000000-0005-0000-0000-0000261A0000}"/>
    <cellStyle name="20% - Accent3 2 3 8 2" xfId="11674" xr:uid="{00000000-0005-0000-0000-0000271A0000}"/>
    <cellStyle name="20% - Accent3 2 3 8 3" xfId="18775" xr:uid="{00000000-0005-0000-0000-0000281A0000}"/>
    <cellStyle name="20% - Accent3 2 3 8 4" xfId="25877" xr:uid="{00000000-0005-0000-0000-0000291A0000}"/>
    <cellStyle name="20% - Accent3 2 3 8 5" xfId="32979" xr:uid="{00000000-0005-0000-0000-00002A1A0000}"/>
    <cellStyle name="20% - Accent3 2 3 9" xfId="3148" xr:uid="{00000000-0005-0000-0000-00002B1A0000}"/>
    <cellStyle name="20% - Accent3 2 3 9 2" xfId="10254" xr:uid="{00000000-0005-0000-0000-00002C1A0000}"/>
    <cellStyle name="20% - Accent3 2 3 9 3" xfId="17355" xr:uid="{00000000-0005-0000-0000-00002D1A0000}"/>
    <cellStyle name="20% - Accent3 2 3 9 4" xfId="24457" xr:uid="{00000000-0005-0000-0000-00002E1A0000}"/>
    <cellStyle name="20% - Accent3 2 3 9 5" xfId="31559" xr:uid="{00000000-0005-0000-0000-00002F1A0000}"/>
    <cellStyle name="20% - Accent3 2 4" xfId="164" xr:uid="{00000000-0005-0000-0000-0000301A0000}"/>
    <cellStyle name="20% - Accent3 2 4 10" xfId="7343" xr:uid="{00000000-0005-0000-0000-0000311A0000}"/>
    <cellStyle name="20% - Accent3 2 4 11" xfId="14444" xr:uid="{00000000-0005-0000-0000-0000321A0000}"/>
    <cellStyle name="20% - Accent3 2 4 12" xfId="21546" xr:uid="{00000000-0005-0000-0000-0000331A0000}"/>
    <cellStyle name="20% - Accent3 2 4 13" xfId="28648" xr:uid="{00000000-0005-0000-0000-0000341A0000}"/>
    <cellStyle name="20% - Accent3 2 4 14" xfId="35750" xr:uid="{00000000-0005-0000-0000-0000351A0000}"/>
    <cellStyle name="20% - Accent3 2 4 15" xfId="36785" xr:uid="{00000000-0005-0000-0000-0000361A0000}"/>
    <cellStyle name="20% - Accent3 2 4 2" xfId="377" xr:uid="{00000000-0005-0000-0000-0000371A0000}"/>
    <cellStyle name="20% - Accent3 2 4 2 2" xfId="1868" xr:uid="{00000000-0005-0000-0000-0000381A0000}"/>
    <cellStyle name="20% - Accent3 2 4 2 2 2" xfId="6136" xr:uid="{00000000-0005-0000-0000-0000391A0000}"/>
    <cellStyle name="20% - Accent3 2 4 2 2 2 2" xfId="13236" xr:uid="{00000000-0005-0000-0000-00003A1A0000}"/>
    <cellStyle name="20% - Accent3 2 4 2 2 2 3" xfId="20337" xr:uid="{00000000-0005-0000-0000-00003B1A0000}"/>
    <cellStyle name="20% - Accent3 2 4 2 2 2 4" xfId="27439" xr:uid="{00000000-0005-0000-0000-00003C1A0000}"/>
    <cellStyle name="20% - Accent3 2 4 2 2 2 5" xfId="34541" xr:uid="{00000000-0005-0000-0000-00003D1A0000}"/>
    <cellStyle name="20% - Accent3 2 4 2 2 2 6" xfId="36786" xr:uid="{00000000-0005-0000-0000-00003E1A0000}"/>
    <cellStyle name="20% - Accent3 2 4 2 2 3" xfId="8976" xr:uid="{00000000-0005-0000-0000-00003F1A0000}"/>
    <cellStyle name="20% - Accent3 2 4 2 2 4" xfId="16077" xr:uid="{00000000-0005-0000-0000-0000401A0000}"/>
    <cellStyle name="20% - Accent3 2 4 2 2 5" xfId="23179" xr:uid="{00000000-0005-0000-0000-0000411A0000}"/>
    <cellStyle name="20% - Accent3 2 4 2 2 6" xfId="30281" xr:uid="{00000000-0005-0000-0000-0000421A0000}"/>
    <cellStyle name="20% - Accent3 2 4 2 2 7" xfId="36787" xr:uid="{00000000-0005-0000-0000-0000431A0000}"/>
    <cellStyle name="20% - Accent3 2 4 2 3" xfId="4715" xr:uid="{00000000-0005-0000-0000-0000441A0000}"/>
    <cellStyle name="20% - Accent3 2 4 2 3 2" xfId="11816" xr:uid="{00000000-0005-0000-0000-0000451A0000}"/>
    <cellStyle name="20% - Accent3 2 4 2 3 2 2" xfId="36788" xr:uid="{00000000-0005-0000-0000-0000461A0000}"/>
    <cellStyle name="20% - Accent3 2 4 2 3 3" xfId="18917" xr:uid="{00000000-0005-0000-0000-0000471A0000}"/>
    <cellStyle name="20% - Accent3 2 4 2 3 4" xfId="26019" xr:uid="{00000000-0005-0000-0000-0000481A0000}"/>
    <cellStyle name="20% - Accent3 2 4 2 3 5" xfId="33121" xr:uid="{00000000-0005-0000-0000-0000491A0000}"/>
    <cellStyle name="20% - Accent3 2 4 2 3 6" xfId="36789" xr:uid="{00000000-0005-0000-0000-00004A1A0000}"/>
    <cellStyle name="20% - Accent3 2 4 2 4" xfId="3290" xr:uid="{00000000-0005-0000-0000-00004B1A0000}"/>
    <cellStyle name="20% - Accent3 2 4 2 4 2" xfId="10396" xr:uid="{00000000-0005-0000-0000-00004C1A0000}"/>
    <cellStyle name="20% - Accent3 2 4 2 4 3" xfId="17497" xr:uid="{00000000-0005-0000-0000-00004D1A0000}"/>
    <cellStyle name="20% - Accent3 2 4 2 4 4" xfId="24599" xr:uid="{00000000-0005-0000-0000-00004E1A0000}"/>
    <cellStyle name="20% - Accent3 2 4 2 4 5" xfId="31701" xr:uid="{00000000-0005-0000-0000-00004F1A0000}"/>
    <cellStyle name="20% - Accent3 2 4 2 4 6" xfId="36790" xr:uid="{00000000-0005-0000-0000-0000501A0000}"/>
    <cellStyle name="20% - Accent3 2 4 2 5" xfId="7556" xr:uid="{00000000-0005-0000-0000-0000511A0000}"/>
    <cellStyle name="20% - Accent3 2 4 2 6" xfId="14657" xr:uid="{00000000-0005-0000-0000-0000521A0000}"/>
    <cellStyle name="20% - Accent3 2 4 2 7" xfId="21759" xr:uid="{00000000-0005-0000-0000-0000531A0000}"/>
    <cellStyle name="20% - Accent3 2 4 2 8" xfId="28861" xr:uid="{00000000-0005-0000-0000-0000541A0000}"/>
    <cellStyle name="20% - Accent3 2 4 2 9" xfId="36791" xr:uid="{00000000-0005-0000-0000-0000551A0000}"/>
    <cellStyle name="20% - Accent3 2 4 3" xfId="590" xr:uid="{00000000-0005-0000-0000-0000561A0000}"/>
    <cellStyle name="20% - Accent3 2 4 3 2" xfId="2081" xr:uid="{00000000-0005-0000-0000-0000571A0000}"/>
    <cellStyle name="20% - Accent3 2 4 3 2 2" xfId="6349" xr:uid="{00000000-0005-0000-0000-0000581A0000}"/>
    <cellStyle name="20% - Accent3 2 4 3 2 2 2" xfId="13449" xr:uid="{00000000-0005-0000-0000-0000591A0000}"/>
    <cellStyle name="20% - Accent3 2 4 3 2 2 3" xfId="20550" xr:uid="{00000000-0005-0000-0000-00005A1A0000}"/>
    <cellStyle name="20% - Accent3 2 4 3 2 2 4" xfId="27652" xr:uid="{00000000-0005-0000-0000-00005B1A0000}"/>
    <cellStyle name="20% - Accent3 2 4 3 2 2 5" xfId="34754" xr:uid="{00000000-0005-0000-0000-00005C1A0000}"/>
    <cellStyle name="20% - Accent3 2 4 3 2 2 6" xfId="36792" xr:uid="{00000000-0005-0000-0000-00005D1A0000}"/>
    <cellStyle name="20% - Accent3 2 4 3 2 3" xfId="9189" xr:uid="{00000000-0005-0000-0000-00005E1A0000}"/>
    <cellStyle name="20% - Accent3 2 4 3 2 4" xfId="16290" xr:uid="{00000000-0005-0000-0000-00005F1A0000}"/>
    <cellStyle name="20% - Accent3 2 4 3 2 5" xfId="23392" xr:uid="{00000000-0005-0000-0000-0000601A0000}"/>
    <cellStyle name="20% - Accent3 2 4 3 2 6" xfId="30494" xr:uid="{00000000-0005-0000-0000-0000611A0000}"/>
    <cellStyle name="20% - Accent3 2 4 3 2 7" xfId="36793" xr:uid="{00000000-0005-0000-0000-0000621A0000}"/>
    <cellStyle name="20% - Accent3 2 4 3 3" xfId="4928" xr:uid="{00000000-0005-0000-0000-0000631A0000}"/>
    <cellStyle name="20% - Accent3 2 4 3 3 2" xfId="12029" xr:uid="{00000000-0005-0000-0000-0000641A0000}"/>
    <cellStyle name="20% - Accent3 2 4 3 3 2 2" xfId="36794" xr:uid="{00000000-0005-0000-0000-0000651A0000}"/>
    <cellStyle name="20% - Accent3 2 4 3 3 3" xfId="19130" xr:uid="{00000000-0005-0000-0000-0000661A0000}"/>
    <cellStyle name="20% - Accent3 2 4 3 3 4" xfId="26232" xr:uid="{00000000-0005-0000-0000-0000671A0000}"/>
    <cellStyle name="20% - Accent3 2 4 3 3 5" xfId="33334" xr:uid="{00000000-0005-0000-0000-0000681A0000}"/>
    <cellStyle name="20% - Accent3 2 4 3 3 6" xfId="36795" xr:uid="{00000000-0005-0000-0000-0000691A0000}"/>
    <cellStyle name="20% - Accent3 2 4 3 4" xfId="3503" xr:uid="{00000000-0005-0000-0000-00006A1A0000}"/>
    <cellStyle name="20% - Accent3 2 4 3 4 2" xfId="10609" xr:uid="{00000000-0005-0000-0000-00006B1A0000}"/>
    <cellStyle name="20% - Accent3 2 4 3 4 3" xfId="17710" xr:uid="{00000000-0005-0000-0000-00006C1A0000}"/>
    <cellStyle name="20% - Accent3 2 4 3 4 4" xfId="24812" xr:uid="{00000000-0005-0000-0000-00006D1A0000}"/>
    <cellStyle name="20% - Accent3 2 4 3 4 5" xfId="31914" xr:uid="{00000000-0005-0000-0000-00006E1A0000}"/>
    <cellStyle name="20% - Accent3 2 4 3 4 6" xfId="36796" xr:uid="{00000000-0005-0000-0000-00006F1A0000}"/>
    <cellStyle name="20% - Accent3 2 4 3 5" xfId="7769" xr:uid="{00000000-0005-0000-0000-0000701A0000}"/>
    <cellStyle name="20% - Accent3 2 4 3 6" xfId="14870" xr:uid="{00000000-0005-0000-0000-0000711A0000}"/>
    <cellStyle name="20% - Accent3 2 4 3 7" xfId="21972" xr:uid="{00000000-0005-0000-0000-0000721A0000}"/>
    <cellStyle name="20% - Accent3 2 4 3 8" xfId="29074" xr:uid="{00000000-0005-0000-0000-0000731A0000}"/>
    <cellStyle name="20% - Accent3 2 4 3 9" xfId="36797" xr:uid="{00000000-0005-0000-0000-0000741A0000}"/>
    <cellStyle name="20% - Accent3 2 4 4" xfId="803" xr:uid="{00000000-0005-0000-0000-0000751A0000}"/>
    <cellStyle name="20% - Accent3 2 4 4 2" xfId="2294" xr:uid="{00000000-0005-0000-0000-0000761A0000}"/>
    <cellStyle name="20% - Accent3 2 4 4 2 2" xfId="6562" xr:uid="{00000000-0005-0000-0000-0000771A0000}"/>
    <cellStyle name="20% - Accent3 2 4 4 2 2 2" xfId="13662" xr:uid="{00000000-0005-0000-0000-0000781A0000}"/>
    <cellStyle name="20% - Accent3 2 4 4 2 2 3" xfId="20763" xr:uid="{00000000-0005-0000-0000-0000791A0000}"/>
    <cellStyle name="20% - Accent3 2 4 4 2 2 4" xfId="27865" xr:uid="{00000000-0005-0000-0000-00007A1A0000}"/>
    <cellStyle name="20% - Accent3 2 4 4 2 2 5" xfId="34967" xr:uid="{00000000-0005-0000-0000-00007B1A0000}"/>
    <cellStyle name="20% - Accent3 2 4 4 2 2 6" xfId="36798" xr:uid="{00000000-0005-0000-0000-00007C1A0000}"/>
    <cellStyle name="20% - Accent3 2 4 4 2 3" xfId="9402" xr:uid="{00000000-0005-0000-0000-00007D1A0000}"/>
    <cellStyle name="20% - Accent3 2 4 4 2 4" xfId="16503" xr:uid="{00000000-0005-0000-0000-00007E1A0000}"/>
    <cellStyle name="20% - Accent3 2 4 4 2 5" xfId="23605" xr:uid="{00000000-0005-0000-0000-00007F1A0000}"/>
    <cellStyle name="20% - Accent3 2 4 4 2 6" xfId="30707" xr:uid="{00000000-0005-0000-0000-0000801A0000}"/>
    <cellStyle name="20% - Accent3 2 4 4 2 7" xfId="36799" xr:uid="{00000000-0005-0000-0000-0000811A0000}"/>
    <cellStyle name="20% - Accent3 2 4 4 3" xfId="5141" xr:uid="{00000000-0005-0000-0000-0000821A0000}"/>
    <cellStyle name="20% - Accent3 2 4 4 3 2" xfId="12242" xr:uid="{00000000-0005-0000-0000-0000831A0000}"/>
    <cellStyle name="20% - Accent3 2 4 4 3 2 2" xfId="36800" xr:uid="{00000000-0005-0000-0000-0000841A0000}"/>
    <cellStyle name="20% - Accent3 2 4 4 3 3" xfId="19343" xr:uid="{00000000-0005-0000-0000-0000851A0000}"/>
    <cellStyle name="20% - Accent3 2 4 4 3 4" xfId="26445" xr:uid="{00000000-0005-0000-0000-0000861A0000}"/>
    <cellStyle name="20% - Accent3 2 4 4 3 5" xfId="33547" xr:uid="{00000000-0005-0000-0000-0000871A0000}"/>
    <cellStyle name="20% - Accent3 2 4 4 3 6" xfId="36801" xr:uid="{00000000-0005-0000-0000-0000881A0000}"/>
    <cellStyle name="20% - Accent3 2 4 4 4" xfId="3716" xr:uid="{00000000-0005-0000-0000-0000891A0000}"/>
    <cellStyle name="20% - Accent3 2 4 4 4 2" xfId="10822" xr:uid="{00000000-0005-0000-0000-00008A1A0000}"/>
    <cellStyle name="20% - Accent3 2 4 4 4 3" xfId="17923" xr:uid="{00000000-0005-0000-0000-00008B1A0000}"/>
    <cellStyle name="20% - Accent3 2 4 4 4 4" xfId="25025" xr:uid="{00000000-0005-0000-0000-00008C1A0000}"/>
    <cellStyle name="20% - Accent3 2 4 4 4 5" xfId="32127" xr:uid="{00000000-0005-0000-0000-00008D1A0000}"/>
    <cellStyle name="20% - Accent3 2 4 4 4 6" xfId="36802" xr:uid="{00000000-0005-0000-0000-00008E1A0000}"/>
    <cellStyle name="20% - Accent3 2 4 4 5" xfId="7982" xr:uid="{00000000-0005-0000-0000-00008F1A0000}"/>
    <cellStyle name="20% - Accent3 2 4 4 6" xfId="15083" xr:uid="{00000000-0005-0000-0000-0000901A0000}"/>
    <cellStyle name="20% - Accent3 2 4 4 7" xfId="22185" xr:uid="{00000000-0005-0000-0000-0000911A0000}"/>
    <cellStyle name="20% - Accent3 2 4 4 8" xfId="29287" xr:uid="{00000000-0005-0000-0000-0000921A0000}"/>
    <cellStyle name="20% - Accent3 2 4 4 9" xfId="36803" xr:uid="{00000000-0005-0000-0000-0000931A0000}"/>
    <cellStyle name="20% - Accent3 2 4 5" xfId="1158" xr:uid="{00000000-0005-0000-0000-0000941A0000}"/>
    <cellStyle name="20% - Accent3 2 4 5 2" xfId="2649" xr:uid="{00000000-0005-0000-0000-0000951A0000}"/>
    <cellStyle name="20% - Accent3 2 4 5 2 2" xfId="6917" xr:uid="{00000000-0005-0000-0000-0000961A0000}"/>
    <cellStyle name="20% - Accent3 2 4 5 2 2 2" xfId="14017" xr:uid="{00000000-0005-0000-0000-0000971A0000}"/>
    <cellStyle name="20% - Accent3 2 4 5 2 2 3" xfId="21118" xr:uid="{00000000-0005-0000-0000-0000981A0000}"/>
    <cellStyle name="20% - Accent3 2 4 5 2 2 4" xfId="28220" xr:uid="{00000000-0005-0000-0000-0000991A0000}"/>
    <cellStyle name="20% - Accent3 2 4 5 2 2 5" xfId="35322" xr:uid="{00000000-0005-0000-0000-00009A1A0000}"/>
    <cellStyle name="20% - Accent3 2 4 5 2 3" xfId="9757" xr:uid="{00000000-0005-0000-0000-00009B1A0000}"/>
    <cellStyle name="20% - Accent3 2 4 5 2 4" xfId="16858" xr:uid="{00000000-0005-0000-0000-00009C1A0000}"/>
    <cellStyle name="20% - Accent3 2 4 5 2 5" xfId="23960" xr:uid="{00000000-0005-0000-0000-00009D1A0000}"/>
    <cellStyle name="20% - Accent3 2 4 5 2 6" xfId="31062" xr:uid="{00000000-0005-0000-0000-00009E1A0000}"/>
    <cellStyle name="20% - Accent3 2 4 5 2 7" xfId="36804" xr:uid="{00000000-0005-0000-0000-00009F1A0000}"/>
    <cellStyle name="20% - Accent3 2 4 5 3" xfId="5496" xr:uid="{00000000-0005-0000-0000-0000A01A0000}"/>
    <cellStyle name="20% - Accent3 2 4 5 3 2" xfId="12597" xr:uid="{00000000-0005-0000-0000-0000A11A0000}"/>
    <cellStyle name="20% - Accent3 2 4 5 3 3" xfId="19698" xr:uid="{00000000-0005-0000-0000-0000A21A0000}"/>
    <cellStyle name="20% - Accent3 2 4 5 3 4" xfId="26800" xr:uid="{00000000-0005-0000-0000-0000A31A0000}"/>
    <cellStyle name="20% - Accent3 2 4 5 3 5" xfId="33902" xr:uid="{00000000-0005-0000-0000-0000A41A0000}"/>
    <cellStyle name="20% - Accent3 2 4 5 4" xfId="4071" xr:uid="{00000000-0005-0000-0000-0000A51A0000}"/>
    <cellStyle name="20% - Accent3 2 4 5 4 2" xfId="11177" xr:uid="{00000000-0005-0000-0000-0000A61A0000}"/>
    <cellStyle name="20% - Accent3 2 4 5 4 3" xfId="18278" xr:uid="{00000000-0005-0000-0000-0000A71A0000}"/>
    <cellStyle name="20% - Accent3 2 4 5 4 4" xfId="25380" xr:uid="{00000000-0005-0000-0000-0000A81A0000}"/>
    <cellStyle name="20% - Accent3 2 4 5 4 5" xfId="32482" xr:uid="{00000000-0005-0000-0000-0000A91A0000}"/>
    <cellStyle name="20% - Accent3 2 4 5 5" xfId="8337" xr:uid="{00000000-0005-0000-0000-0000AA1A0000}"/>
    <cellStyle name="20% - Accent3 2 4 5 6" xfId="15438" xr:uid="{00000000-0005-0000-0000-0000AB1A0000}"/>
    <cellStyle name="20% - Accent3 2 4 5 7" xfId="22540" xr:uid="{00000000-0005-0000-0000-0000AC1A0000}"/>
    <cellStyle name="20% - Accent3 2 4 5 8" xfId="29642" xr:uid="{00000000-0005-0000-0000-0000AD1A0000}"/>
    <cellStyle name="20% - Accent3 2 4 5 9" xfId="36805" xr:uid="{00000000-0005-0000-0000-0000AE1A0000}"/>
    <cellStyle name="20% - Accent3 2 4 6" xfId="1371" xr:uid="{00000000-0005-0000-0000-0000AF1A0000}"/>
    <cellStyle name="20% - Accent3 2 4 6 2" xfId="2862" xr:uid="{00000000-0005-0000-0000-0000B01A0000}"/>
    <cellStyle name="20% - Accent3 2 4 6 2 2" xfId="7130" xr:uid="{00000000-0005-0000-0000-0000B11A0000}"/>
    <cellStyle name="20% - Accent3 2 4 6 2 2 2" xfId="14230" xr:uid="{00000000-0005-0000-0000-0000B21A0000}"/>
    <cellStyle name="20% - Accent3 2 4 6 2 2 3" xfId="21331" xr:uid="{00000000-0005-0000-0000-0000B31A0000}"/>
    <cellStyle name="20% - Accent3 2 4 6 2 2 4" xfId="28433" xr:uid="{00000000-0005-0000-0000-0000B41A0000}"/>
    <cellStyle name="20% - Accent3 2 4 6 2 2 5" xfId="35535" xr:uid="{00000000-0005-0000-0000-0000B51A0000}"/>
    <cellStyle name="20% - Accent3 2 4 6 2 3" xfId="9970" xr:uid="{00000000-0005-0000-0000-0000B61A0000}"/>
    <cellStyle name="20% - Accent3 2 4 6 2 4" xfId="17071" xr:uid="{00000000-0005-0000-0000-0000B71A0000}"/>
    <cellStyle name="20% - Accent3 2 4 6 2 5" xfId="24173" xr:uid="{00000000-0005-0000-0000-0000B81A0000}"/>
    <cellStyle name="20% - Accent3 2 4 6 2 6" xfId="31275" xr:uid="{00000000-0005-0000-0000-0000B91A0000}"/>
    <cellStyle name="20% - Accent3 2 4 6 2 7" xfId="36806" xr:uid="{00000000-0005-0000-0000-0000BA1A0000}"/>
    <cellStyle name="20% - Accent3 2 4 6 3" xfId="5709" xr:uid="{00000000-0005-0000-0000-0000BB1A0000}"/>
    <cellStyle name="20% - Accent3 2 4 6 3 2" xfId="12810" xr:uid="{00000000-0005-0000-0000-0000BC1A0000}"/>
    <cellStyle name="20% - Accent3 2 4 6 3 3" xfId="19911" xr:uid="{00000000-0005-0000-0000-0000BD1A0000}"/>
    <cellStyle name="20% - Accent3 2 4 6 3 4" xfId="27013" xr:uid="{00000000-0005-0000-0000-0000BE1A0000}"/>
    <cellStyle name="20% - Accent3 2 4 6 3 5" xfId="34115" xr:uid="{00000000-0005-0000-0000-0000BF1A0000}"/>
    <cellStyle name="20% - Accent3 2 4 6 4" xfId="4284" xr:uid="{00000000-0005-0000-0000-0000C01A0000}"/>
    <cellStyle name="20% - Accent3 2 4 6 4 2" xfId="11390" xr:uid="{00000000-0005-0000-0000-0000C11A0000}"/>
    <cellStyle name="20% - Accent3 2 4 6 4 3" xfId="18491" xr:uid="{00000000-0005-0000-0000-0000C21A0000}"/>
    <cellStyle name="20% - Accent3 2 4 6 4 4" xfId="25593" xr:uid="{00000000-0005-0000-0000-0000C31A0000}"/>
    <cellStyle name="20% - Accent3 2 4 6 4 5" xfId="32695" xr:uid="{00000000-0005-0000-0000-0000C41A0000}"/>
    <cellStyle name="20% - Accent3 2 4 6 5" xfId="8550" xr:uid="{00000000-0005-0000-0000-0000C51A0000}"/>
    <cellStyle name="20% - Accent3 2 4 6 6" xfId="15651" xr:uid="{00000000-0005-0000-0000-0000C61A0000}"/>
    <cellStyle name="20% - Accent3 2 4 6 7" xfId="22753" xr:uid="{00000000-0005-0000-0000-0000C71A0000}"/>
    <cellStyle name="20% - Accent3 2 4 6 8" xfId="29855" xr:uid="{00000000-0005-0000-0000-0000C81A0000}"/>
    <cellStyle name="20% - Accent3 2 4 6 9" xfId="36807" xr:uid="{00000000-0005-0000-0000-0000C91A0000}"/>
    <cellStyle name="20% - Accent3 2 4 7" xfId="1655" xr:uid="{00000000-0005-0000-0000-0000CA1A0000}"/>
    <cellStyle name="20% - Accent3 2 4 7 2" xfId="5923" xr:uid="{00000000-0005-0000-0000-0000CB1A0000}"/>
    <cellStyle name="20% - Accent3 2 4 7 2 2" xfId="13023" xr:uid="{00000000-0005-0000-0000-0000CC1A0000}"/>
    <cellStyle name="20% - Accent3 2 4 7 2 3" xfId="20124" xr:uid="{00000000-0005-0000-0000-0000CD1A0000}"/>
    <cellStyle name="20% - Accent3 2 4 7 2 4" xfId="27226" xr:uid="{00000000-0005-0000-0000-0000CE1A0000}"/>
    <cellStyle name="20% - Accent3 2 4 7 2 5" xfId="34328" xr:uid="{00000000-0005-0000-0000-0000CF1A0000}"/>
    <cellStyle name="20% - Accent3 2 4 7 3" xfId="8763" xr:uid="{00000000-0005-0000-0000-0000D01A0000}"/>
    <cellStyle name="20% - Accent3 2 4 7 4" xfId="15864" xr:uid="{00000000-0005-0000-0000-0000D11A0000}"/>
    <cellStyle name="20% - Accent3 2 4 7 5" xfId="22966" xr:uid="{00000000-0005-0000-0000-0000D21A0000}"/>
    <cellStyle name="20% - Accent3 2 4 7 6" xfId="30068" xr:uid="{00000000-0005-0000-0000-0000D31A0000}"/>
    <cellStyle name="20% - Accent3 2 4 7 7" xfId="36808" xr:uid="{00000000-0005-0000-0000-0000D41A0000}"/>
    <cellStyle name="20% - Accent3 2 4 8" xfId="4502" xr:uid="{00000000-0005-0000-0000-0000D51A0000}"/>
    <cellStyle name="20% - Accent3 2 4 8 2" xfId="11603" xr:uid="{00000000-0005-0000-0000-0000D61A0000}"/>
    <cellStyle name="20% - Accent3 2 4 8 3" xfId="18704" xr:uid="{00000000-0005-0000-0000-0000D71A0000}"/>
    <cellStyle name="20% - Accent3 2 4 8 4" xfId="25806" xr:uid="{00000000-0005-0000-0000-0000D81A0000}"/>
    <cellStyle name="20% - Accent3 2 4 8 5" xfId="32908" xr:uid="{00000000-0005-0000-0000-0000D91A0000}"/>
    <cellStyle name="20% - Accent3 2 4 9" xfId="3077" xr:uid="{00000000-0005-0000-0000-0000DA1A0000}"/>
    <cellStyle name="20% - Accent3 2 4 9 2" xfId="10183" xr:uid="{00000000-0005-0000-0000-0000DB1A0000}"/>
    <cellStyle name="20% - Accent3 2 4 9 3" xfId="17284" xr:uid="{00000000-0005-0000-0000-0000DC1A0000}"/>
    <cellStyle name="20% - Accent3 2 4 9 4" xfId="24386" xr:uid="{00000000-0005-0000-0000-0000DD1A0000}"/>
    <cellStyle name="20% - Accent3 2 4 9 5" xfId="31488" xr:uid="{00000000-0005-0000-0000-0000DE1A0000}"/>
    <cellStyle name="20% - Accent3 2 5" xfId="306" xr:uid="{00000000-0005-0000-0000-0000DF1A0000}"/>
    <cellStyle name="20% - Accent3 2 5 10" xfId="36809" xr:uid="{00000000-0005-0000-0000-0000E01A0000}"/>
    <cellStyle name="20% - Accent3 2 5 2" xfId="1087" xr:uid="{00000000-0005-0000-0000-0000E11A0000}"/>
    <cellStyle name="20% - Accent3 2 5 2 2" xfId="2578" xr:uid="{00000000-0005-0000-0000-0000E21A0000}"/>
    <cellStyle name="20% - Accent3 2 5 2 2 2" xfId="6846" xr:uid="{00000000-0005-0000-0000-0000E31A0000}"/>
    <cellStyle name="20% - Accent3 2 5 2 2 2 2" xfId="13946" xr:uid="{00000000-0005-0000-0000-0000E41A0000}"/>
    <cellStyle name="20% - Accent3 2 5 2 2 2 3" xfId="21047" xr:uid="{00000000-0005-0000-0000-0000E51A0000}"/>
    <cellStyle name="20% - Accent3 2 5 2 2 2 4" xfId="28149" xr:uid="{00000000-0005-0000-0000-0000E61A0000}"/>
    <cellStyle name="20% - Accent3 2 5 2 2 2 5" xfId="35251" xr:uid="{00000000-0005-0000-0000-0000E71A0000}"/>
    <cellStyle name="20% - Accent3 2 5 2 2 2 6" xfId="36810" xr:uid="{00000000-0005-0000-0000-0000E81A0000}"/>
    <cellStyle name="20% - Accent3 2 5 2 2 3" xfId="9686" xr:uid="{00000000-0005-0000-0000-0000E91A0000}"/>
    <cellStyle name="20% - Accent3 2 5 2 2 4" xfId="16787" xr:uid="{00000000-0005-0000-0000-0000EA1A0000}"/>
    <cellStyle name="20% - Accent3 2 5 2 2 5" xfId="23889" xr:uid="{00000000-0005-0000-0000-0000EB1A0000}"/>
    <cellStyle name="20% - Accent3 2 5 2 2 6" xfId="30991" xr:uid="{00000000-0005-0000-0000-0000EC1A0000}"/>
    <cellStyle name="20% - Accent3 2 5 2 2 7" xfId="36811" xr:uid="{00000000-0005-0000-0000-0000ED1A0000}"/>
    <cellStyle name="20% - Accent3 2 5 2 3" xfId="5425" xr:uid="{00000000-0005-0000-0000-0000EE1A0000}"/>
    <cellStyle name="20% - Accent3 2 5 2 3 2" xfId="12526" xr:uid="{00000000-0005-0000-0000-0000EF1A0000}"/>
    <cellStyle name="20% - Accent3 2 5 2 3 2 2" xfId="36812" xr:uid="{00000000-0005-0000-0000-0000F01A0000}"/>
    <cellStyle name="20% - Accent3 2 5 2 3 3" xfId="19627" xr:uid="{00000000-0005-0000-0000-0000F11A0000}"/>
    <cellStyle name="20% - Accent3 2 5 2 3 4" xfId="26729" xr:uid="{00000000-0005-0000-0000-0000F21A0000}"/>
    <cellStyle name="20% - Accent3 2 5 2 3 5" xfId="33831" xr:uid="{00000000-0005-0000-0000-0000F31A0000}"/>
    <cellStyle name="20% - Accent3 2 5 2 3 6" xfId="36813" xr:uid="{00000000-0005-0000-0000-0000F41A0000}"/>
    <cellStyle name="20% - Accent3 2 5 2 4" xfId="4000" xr:uid="{00000000-0005-0000-0000-0000F51A0000}"/>
    <cellStyle name="20% - Accent3 2 5 2 4 2" xfId="11106" xr:uid="{00000000-0005-0000-0000-0000F61A0000}"/>
    <cellStyle name="20% - Accent3 2 5 2 4 3" xfId="18207" xr:uid="{00000000-0005-0000-0000-0000F71A0000}"/>
    <cellStyle name="20% - Accent3 2 5 2 4 4" xfId="25309" xr:uid="{00000000-0005-0000-0000-0000F81A0000}"/>
    <cellStyle name="20% - Accent3 2 5 2 4 5" xfId="32411" xr:uid="{00000000-0005-0000-0000-0000F91A0000}"/>
    <cellStyle name="20% - Accent3 2 5 2 4 6" xfId="36814" xr:uid="{00000000-0005-0000-0000-0000FA1A0000}"/>
    <cellStyle name="20% - Accent3 2 5 2 5" xfId="8266" xr:uid="{00000000-0005-0000-0000-0000FB1A0000}"/>
    <cellStyle name="20% - Accent3 2 5 2 6" xfId="15367" xr:uid="{00000000-0005-0000-0000-0000FC1A0000}"/>
    <cellStyle name="20% - Accent3 2 5 2 7" xfId="22469" xr:uid="{00000000-0005-0000-0000-0000FD1A0000}"/>
    <cellStyle name="20% - Accent3 2 5 2 8" xfId="29571" xr:uid="{00000000-0005-0000-0000-0000FE1A0000}"/>
    <cellStyle name="20% - Accent3 2 5 2 9" xfId="36815" xr:uid="{00000000-0005-0000-0000-0000FF1A0000}"/>
    <cellStyle name="20% - Accent3 2 5 3" xfId="1797" xr:uid="{00000000-0005-0000-0000-0000001B0000}"/>
    <cellStyle name="20% - Accent3 2 5 3 2" xfId="6065" xr:uid="{00000000-0005-0000-0000-0000011B0000}"/>
    <cellStyle name="20% - Accent3 2 5 3 2 2" xfId="13165" xr:uid="{00000000-0005-0000-0000-0000021B0000}"/>
    <cellStyle name="20% - Accent3 2 5 3 2 2 2" xfId="36816" xr:uid="{00000000-0005-0000-0000-0000031B0000}"/>
    <cellStyle name="20% - Accent3 2 5 3 2 3" xfId="20266" xr:uid="{00000000-0005-0000-0000-0000041B0000}"/>
    <cellStyle name="20% - Accent3 2 5 3 2 4" xfId="27368" xr:uid="{00000000-0005-0000-0000-0000051B0000}"/>
    <cellStyle name="20% - Accent3 2 5 3 2 5" xfId="34470" xr:uid="{00000000-0005-0000-0000-0000061B0000}"/>
    <cellStyle name="20% - Accent3 2 5 3 2 6" xfId="36817" xr:uid="{00000000-0005-0000-0000-0000071B0000}"/>
    <cellStyle name="20% - Accent3 2 5 3 3" xfId="8905" xr:uid="{00000000-0005-0000-0000-0000081B0000}"/>
    <cellStyle name="20% - Accent3 2 5 3 3 2" xfId="36818" xr:uid="{00000000-0005-0000-0000-0000091B0000}"/>
    <cellStyle name="20% - Accent3 2 5 3 3 3" xfId="36819" xr:uid="{00000000-0005-0000-0000-00000A1B0000}"/>
    <cellStyle name="20% - Accent3 2 5 3 4" xfId="16006" xr:uid="{00000000-0005-0000-0000-00000B1B0000}"/>
    <cellStyle name="20% - Accent3 2 5 3 4 2" xfId="36820" xr:uid="{00000000-0005-0000-0000-00000C1B0000}"/>
    <cellStyle name="20% - Accent3 2 5 3 5" xfId="23108" xr:uid="{00000000-0005-0000-0000-00000D1B0000}"/>
    <cellStyle name="20% - Accent3 2 5 3 6" xfId="30210" xr:uid="{00000000-0005-0000-0000-00000E1B0000}"/>
    <cellStyle name="20% - Accent3 2 5 3 7" xfId="36821" xr:uid="{00000000-0005-0000-0000-00000F1B0000}"/>
    <cellStyle name="20% - Accent3 2 5 4" xfId="4644" xr:uid="{00000000-0005-0000-0000-0000101B0000}"/>
    <cellStyle name="20% - Accent3 2 5 4 2" xfId="11745" xr:uid="{00000000-0005-0000-0000-0000111B0000}"/>
    <cellStyle name="20% - Accent3 2 5 4 2 2" xfId="36822" xr:uid="{00000000-0005-0000-0000-0000121B0000}"/>
    <cellStyle name="20% - Accent3 2 5 4 2 3" xfId="36823" xr:uid="{00000000-0005-0000-0000-0000131B0000}"/>
    <cellStyle name="20% - Accent3 2 5 4 3" xfId="18846" xr:uid="{00000000-0005-0000-0000-0000141B0000}"/>
    <cellStyle name="20% - Accent3 2 5 4 3 2" xfId="36824" xr:uid="{00000000-0005-0000-0000-0000151B0000}"/>
    <cellStyle name="20% - Accent3 2 5 4 3 3" xfId="36825" xr:uid="{00000000-0005-0000-0000-0000161B0000}"/>
    <cellStyle name="20% - Accent3 2 5 4 4" xfId="25948" xr:uid="{00000000-0005-0000-0000-0000171B0000}"/>
    <cellStyle name="20% - Accent3 2 5 4 4 2" xfId="36826" xr:uid="{00000000-0005-0000-0000-0000181B0000}"/>
    <cellStyle name="20% - Accent3 2 5 4 5" xfId="33050" xr:uid="{00000000-0005-0000-0000-0000191B0000}"/>
    <cellStyle name="20% - Accent3 2 5 4 6" xfId="36827" xr:uid="{00000000-0005-0000-0000-00001A1B0000}"/>
    <cellStyle name="20% - Accent3 2 5 5" xfId="3219" xr:uid="{00000000-0005-0000-0000-00001B1B0000}"/>
    <cellStyle name="20% - Accent3 2 5 5 2" xfId="10325" xr:uid="{00000000-0005-0000-0000-00001C1B0000}"/>
    <cellStyle name="20% - Accent3 2 5 5 2 2" xfId="36828" xr:uid="{00000000-0005-0000-0000-00001D1B0000}"/>
    <cellStyle name="20% - Accent3 2 5 5 3" xfId="17426" xr:uid="{00000000-0005-0000-0000-00001E1B0000}"/>
    <cellStyle name="20% - Accent3 2 5 5 4" xfId="24528" xr:uid="{00000000-0005-0000-0000-00001F1B0000}"/>
    <cellStyle name="20% - Accent3 2 5 5 5" xfId="31630" xr:uid="{00000000-0005-0000-0000-0000201B0000}"/>
    <cellStyle name="20% - Accent3 2 5 5 6" xfId="36829" xr:uid="{00000000-0005-0000-0000-0000211B0000}"/>
    <cellStyle name="20% - Accent3 2 5 6" xfId="7485" xr:uid="{00000000-0005-0000-0000-0000221B0000}"/>
    <cellStyle name="20% - Accent3 2 5 6 2" xfId="36830" xr:uid="{00000000-0005-0000-0000-0000231B0000}"/>
    <cellStyle name="20% - Accent3 2 5 6 3" xfId="36831" xr:uid="{00000000-0005-0000-0000-0000241B0000}"/>
    <cellStyle name="20% - Accent3 2 5 7" xfId="14586" xr:uid="{00000000-0005-0000-0000-0000251B0000}"/>
    <cellStyle name="20% - Accent3 2 5 7 2" xfId="36832" xr:uid="{00000000-0005-0000-0000-0000261B0000}"/>
    <cellStyle name="20% - Accent3 2 5 8" xfId="21688" xr:uid="{00000000-0005-0000-0000-0000271B0000}"/>
    <cellStyle name="20% - Accent3 2 5 9" xfId="28790" xr:uid="{00000000-0005-0000-0000-0000281B0000}"/>
    <cellStyle name="20% - Accent3 2 6" xfId="519" xr:uid="{00000000-0005-0000-0000-0000291B0000}"/>
    <cellStyle name="20% - Accent3 2 6 2" xfId="2010" xr:uid="{00000000-0005-0000-0000-00002A1B0000}"/>
    <cellStyle name="20% - Accent3 2 6 2 2" xfId="6278" xr:uid="{00000000-0005-0000-0000-00002B1B0000}"/>
    <cellStyle name="20% - Accent3 2 6 2 2 2" xfId="13378" xr:uid="{00000000-0005-0000-0000-00002C1B0000}"/>
    <cellStyle name="20% - Accent3 2 6 2 2 3" xfId="20479" xr:uid="{00000000-0005-0000-0000-00002D1B0000}"/>
    <cellStyle name="20% - Accent3 2 6 2 2 4" xfId="27581" xr:uid="{00000000-0005-0000-0000-00002E1B0000}"/>
    <cellStyle name="20% - Accent3 2 6 2 2 5" xfId="34683" xr:uid="{00000000-0005-0000-0000-00002F1B0000}"/>
    <cellStyle name="20% - Accent3 2 6 2 2 6" xfId="36833" xr:uid="{00000000-0005-0000-0000-0000301B0000}"/>
    <cellStyle name="20% - Accent3 2 6 2 3" xfId="9118" xr:uid="{00000000-0005-0000-0000-0000311B0000}"/>
    <cellStyle name="20% - Accent3 2 6 2 4" xfId="16219" xr:uid="{00000000-0005-0000-0000-0000321B0000}"/>
    <cellStyle name="20% - Accent3 2 6 2 5" xfId="23321" xr:uid="{00000000-0005-0000-0000-0000331B0000}"/>
    <cellStyle name="20% - Accent3 2 6 2 6" xfId="30423" xr:uid="{00000000-0005-0000-0000-0000341B0000}"/>
    <cellStyle name="20% - Accent3 2 6 2 7" xfId="36834" xr:uid="{00000000-0005-0000-0000-0000351B0000}"/>
    <cellStyle name="20% - Accent3 2 6 3" xfId="4857" xr:uid="{00000000-0005-0000-0000-0000361B0000}"/>
    <cellStyle name="20% - Accent3 2 6 3 2" xfId="11958" xr:uid="{00000000-0005-0000-0000-0000371B0000}"/>
    <cellStyle name="20% - Accent3 2 6 3 2 2" xfId="36835" xr:uid="{00000000-0005-0000-0000-0000381B0000}"/>
    <cellStyle name="20% - Accent3 2 6 3 3" xfId="19059" xr:uid="{00000000-0005-0000-0000-0000391B0000}"/>
    <cellStyle name="20% - Accent3 2 6 3 4" xfId="26161" xr:uid="{00000000-0005-0000-0000-00003A1B0000}"/>
    <cellStyle name="20% - Accent3 2 6 3 5" xfId="33263" xr:uid="{00000000-0005-0000-0000-00003B1B0000}"/>
    <cellStyle name="20% - Accent3 2 6 3 6" xfId="36836" xr:uid="{00000000-0005-0000-0000-00003C1B0000}"/>
    <cellStyle name="20% - Accent3 2 6 4" xfId="3432" xr:uid="{00000000-0005-0000-0000-00003D1B0000}"/>
    <cellStyle name="20% - Accent3 2 6 4 2" xfId="10538" xr:uid="{00000000-0005-0000-0000-00003E1B0000}"/>
    <cellStyle name="20% - Accent3 2 6 4 3" xfId="17639" xr:uid="{00000000-0005-0000-0000-00003F1B0000}"/>
    <cellStyle name="20% - Accent3 2 6 4 4" xfId="24741" xr:uid="{00000000-0005-0000-0000-0000401B0000}"/>
    <cellStyle name="20% - Accent3 2 6 4 5" xfId="31843" xr:uid="{00000000-0005-0000-0000-0000411B0000}"/>
    <cellStyle name="20% - Accent3 2 6 4 6" xfId="36837" xr:uid="{00000000-0005-0000-0000-0000421B0000}"/>
    <cellStyle name="20% - Accent3 2 6 5" xfId="7698" xr:uid="{00000000-0005-0000-0000-0000431B0000}"/>
    <cellStyle name="20% - Accent3 2 6 6" xfId="14799" xr:uid="{00000000-0005-0000-0000-0000441B0000}"/>
    <cellStyle name="20% - Accent3 2 6 7" xfId="21901" xr:uid="{00000000-0005-0000-0000-0000451B0000}"/>
    <cellStyle name="20% - Accent3 2 6 8" xfId="29003" xr:uid="{00000000-0005-0000-0000-0000461B0000}"/>
    <cellStyle name="20% - Accent3 2 6 9" xfId="36838" xr:uid="{00000000-0005-0000-0000-0000471B0000}"/>
    <cellStyle name="20% - Accent3 2 7" xfId="732" xr:uid="{00000000-0005-0000-0000-0000481B0000}"/>
    <cellStyle name="20% - Accent3 2 7 2" xfId="2223" xr:uid="{00000000-0005-0000-0000-0000491B0000}"/>
    <cellStyle name="20% - Accent3 2 7 2 2" xfId="6491" xr:uid="{00000000-0005-0000-0000-00004A1B0000}"/>
    <cellStyle name="20% - Accent3 2 7 2 2 2" xfId="13591" xr:uid="{00000000-0005-0000-0000-00004B1B0000}"/>
    <cellStyle name="20% - Accent3 2 7 2 2 3" xfId="20692" xr:uid="{00000000-0005-0000-0000-00004C1B0000}"/>
    <cellStyle name="20% - Accent3 2 7 2 2 4" xfId="27794" xr:uid="{00000000-0005-0000-0000-00004D1B0000}"/>
    <cellStyle name="20% - Accent3 2 7 2 2 5" xfId="34896" xr:uid="{00000000-0005-0000-0000-00004E1B0000}"/>
    <cellStyle name="20% - Accent3 2 7 2 2 6" xfId="36839" xr:uid="{00000000-0005-0000-0000-00004F1B0000}"/>
    <cellStyle name="20% - Accent3 2 7 2 3" xfId="9331" xr:uid="{00000000-0005-0000-0000-0000501B0000}"/>
    <cellStyle name="20% - Accent3 2 7 2 4" xfId="16432" xr:uid="{00000000-0005-0000-0000-0000511B0000}"/>
    <cellStyle name="20% - Accent3 2 7 2 5" xfId="23534" xr:uid="{00000000-0005-0000-0000-0000521B0000}"/>
    <cellStyle name="20% - Accent3 2 7 2 6" xfId="30636" xr:uid="{00000000-0005-0000-0000-0000531B0000}"/>
    <cellStyle name="20% - Accent3 2 7 2 7" xfId="36840" xr:uid="{00000000-0005-0000-0000-0000541B0000}"/>
    <cellStyle name="20% - Accent3 2 7 3" xfId="5070" xr:uid="{00000000-0005-0000-0000-0000551B0000}"/>
    <cellStyle name="20% - Accent3 2 7 3 2" xfId="12171" xr:uid="{00000000-0005-0000-0000-0000561B0000}"/>
    <cellStyle name="20% - Accent3 2 7 3 2 2" xfId="36841" xr:uid="{00000000-0005-0000-0000-0000571B0000}"/>
    <cellStyle name="20% - Accent3 2 7 3 3" xfId="19272" xr:uid="{00000000-0005-0000-0000-0000581B0000}"/>
    <cellStyle name="20% - Accent3 2 7 3 4" xfId="26374" xr:uid="{00000000-0005-0000-0000-0000591B0000}"/>
    <cellStyle name="20% - Accent3 2 7 3 5" xfId="33476" xr:uid="{00000000-0005-0000-0000-00005A1B0000}"/>
    <cellStyle name="20% - Accent3 2 7 3 6" xfId="36842" xr:uid="{00000000-0005-0000-0000-00005B1B0000}"/>
    <cellStyle name="20% - Accent3 2 7 4" xfId="3645" xr:uid="{00000000-0005-0000-0000-00005C1B0000}"/>
    <cellStyle name="20% - Accent3 2 7 4 2" xfId="10751" xr:uid="{00000000-0005-0000-0000-00005D1B0000}"/>
    <cellStyle name="20% - Accent3 2 7 4 3" xfId="17852" xr:uid="{00000000-0005-0000-0000-00005E1B0000}"/>
    <cellStyle name="20% - Accent3 2 7 4 4" xfId="24954" xr:uid="{00000000-0005-0000-0000-00005F1B0000}"/>
    <cellStyle name="20% - Accent3 2 7 4 5" xfId="32056" xr:uid="{00000000-0005-0000-0000-0000601B0000}"/>
    <cellStyle name="20% - Accent3 2 7 4 6" xfId="36843" xr:uid="{00000000-0005-0000-0000-0000611B0000}"/>
    <cellStyle name="20% - Accent3 2 7 5" xfId="7911" xr:uid="{00000000-0005-0000-0000-0000621B0000}"/>
    <cellStyle name="20% - Accent3 2 7 6" xfId="15012" xr:uid="{00000000-0005-0000-0000-0000631B0000}"/>
    <cellStyle name="20% - Accent3 2 7 7" xfId="22114" xr:uid="{00000000-0005-0000-0000-0000641B0000}"/>
    <cellStyle name="20% - Accent3 2 7 8" xfId="29216" xr:uid="{00000000-0005-0000-0000-0000651B0000}"/>
    <cellStyle name="20% - Accent3 2 7 9" xfId="36844" xr:uid="{00000000-0005-0000-0000-0000661B0000}"/>
    <cellStyle name="20% - Accent3 2 8" xfId="945" xr:uid="{00000000-0005-0000-0000-0000671B0000}"/>
    <cellStyle name="20% - Accent3 2 8 2" xfId="2436" xr:uid="{00000000-0005-0000-0000-0000681B0000}"/>
    <cellStyle name="20% - Accent3 2 8 2 2" xfId="6704" xr:uid="{00000000-0005-0000-0000-0000691B0000}"/>
    <cellStyle name="20% - Accent3 2 8 2 2 2" xfId="13804" xr:uid="{00000000-0005-0000-0000-00006A1B0000}"/>
    <cellStyle name="20% - Accent3 2 8 2 2 3" xfId="20905" xr:uid="{00000000-0005-0000-0000-00006B1B0000}"/>
    <cellStyle name="20% - Accent3 2 8 2 2 4" xfId="28007" xr:uid="{00000000-0005-0000-0000-00006C1B0000}"/>
    <cellStyle name="20% - Accent3 2 8 2 2 5" xfId="35109" xr:uid="{00000000-0005-0000-0000-00006D1B0000}"/>
    <cellStyle name="20% - Accent3 2 8 2 2 6" xfId="36845" xr:uid="{00000000-0005-0000-0000-00006E1B0000}"/>
    <cellStyle name="20% - Accent3 2 8 2 3" xfId="9544" xr:uid="{00000000-0005-0000-0000-00006F1B0000}"/>
    <cellStyle name="20% - Accent3 2 8 2 4" xfId="16645" xr:uid="{00000000-0005-0000-0000-0000701B0000}"/>
    <cellStyle name="20% - Accent3 2 8 2 5" xfId="23747" xr:uid="{00000000-0005-0000-0000-0000711B0000}"/>
    <cellStyle name="20% - Accent3 2 8 2 6" xfId="30849" xr:uid="{00000000-0005-0000-0000-0000721B0000}"/>
    <cellStyle name="20% - Accent3 2 8 2 7" xfId="36846" xr:uid="{00000000-0005-0000-0000-0000731B0000}"/>
    <cellStyle name="20% - Accent3 2 8 3" xfId="5283" xr:uid="{00000000-0005-0000-0000-0000741B0000}"/>
    <cellStyle name="20% - Accent3 2 8 3 2" xfId="12384" xr:uid="{00000000-0005-0000-0000-0000751B0000}"/>
    <cellStyle name="20% - Accent3 2 8 3 2 2" xfId="36847" xr:uid="{00000000-0005-0000-0000-0000761B0000}"/>
    <cellStyle name="20% - Accent3 2 8 3 3" xfId="19485" xr:uid="{00000000-0005-0000-0000-0000771B0000}"/>
    <cellStyle name="20% - Accent3 2 8 3 4" xfId="26587" xr:uid="{00000000-0005-0000-0000-0000781B0000}"/>
    <cellStyle name="20% - Accent3 2 8 3 5" xfId="33689" xr:uid="{00000000-0005-0000-0000-0000791B0000}"/>
    <cellStyle name="20% - Accent3 2 8 3 6" xfId="36848" xr:uid="{00000000-0005-0000-0000-00007A1B0000}"/>
    <cellStyle name="20% - Accent3 2 8 4" xfId="3858" xr:uid="{00000000-0005-0000-0000-00007B1B0000}"/>
    <cellStyle name="20% - Accent3 2 8 4 2" xfId="10964" xr:uid="{00000000-0005-0000-0000-00007C1B0000}"/>
    <cellStyle name="20% - Accent3 2 8 4 3" xfId="18065" xr:uid="{00000000-0005-0000-0000-00007D1B0000}"/>
    <cellStyle name="20% - Accent3 2 8 4 4" xfId="25167" xr:uid="{00000000-0005-0000-0000-00007E1B0000}"/>
    <cellStyle name="20% - Accent3 2 8 4 5" xfId="32269" xr:uid="{00000000-0005-0000-0000-00007F1B0000}"/>
    <cellStyle name="20% - Accent3 2 8 4 6" xfId="36849" xr:uid="{00000000-0005-0000-0000-0000801B0000}"/>
    <cellStyle name="20% - Accent3 2 8 5" xfId="8124" xr:uid="{00000000-0005-0000-0000-0000811B0000}"/>
    <cellStyle name="20% - Accent3 2 8 6" xfId="15225" xr:uid="{00000000-0005-0000-0000-0000821B0000}"/>
    <cellStyle name="20% - Accent3 2 8 7" xfId="22327" xr:uid="{00000000-0005-0000-0000-0000831B0000}"/>
    <cellStyle name="20% - Accent3 2 8 8" xfId="29429" xr:uid="{00000000-0005-0000-0000-0000841B0000}"/>
    <cellStyle name="20% - Accent3 2 8 9" xfId="36850" xr:uid="{00000000-0005-0000-0000-0000851B0000}"/>
    <cellStyle name="20% - Accent3 2 9" xfId="1300" xr:uid="{00000000-0005-0000-0000-0000861B0000}"/>
    <cellStyle name="20% - Accent3 2 9 2" xfId="2791" xr:uid="{00000000-0005-0000-0000-0000871B0000}"/>
    <cellStyle name="20% - Accent3 2 9 2 2" xfId="7059" xr:uid="{00000000-0005-0000-0000-0000881B0000}"/>
    <cellStyle name="20% - Accent3 2 9 2 2 2" xfId="14159" xr:uid="{00000000-0005-0000-0000-0000891B0000}"/>
    <cellStyle name="20% - Accent3 2 9 2 2 3" xfId="21260" xr:uid="{00000000-0005-0000-0000-00008A1B0000}"/>
    <cellStyle name="20% - Accent3 2 9 2 2 4" xfId="28362" xr:uid="{00000000-0005-0000-0000-00008B1B0000}"/>
    <cellStyle name="20% - Accent3 2 9 2 2 5" xfId="35464" xr:uid="{00000000-0005-0000-0000-00008C1B0000}"/>
    <cellStyle name="20% - Accent3 2 9 2 3" xfId="9899" xr:uid="{00000000-0005-0000-0000-00008D1B0000}"/>
    <cellStyle name="20% - Accent3 2 9 2 4" xfId="17000" xr:uid="{00000000-0005-0000-0000-00008E1B0000}"/>
    <cellStyle name="20% - Accent3 2 9 2 5" xfId="24102" xr:uid="{00000000-0005-0000-0000-00008F1B0000}"/>
    <cellStyle name="20% - Accent3 2 9 2 6" xfId="31204" xr:uid="{00000000-0005-0000-0000-0000901B0000}"/>
    <cellStyle name="20% - Accent3 2 9 2 7" xfId="36851" xr:uid="{00000000-0005-0000-0000-0000911B0000}"/>
    <cellStyle name="20% - Accent3 2 9 3" xfId="5638" xr:uid="{00000000-0005-0000-0000-0000921B0000}"/>
    <cellStyle name="20% - Accent3 2 9 3 2" xfId="12739" xr:uid="{00000000-0005-0000-0000-0000931B0000}"/>
    <cellStyle name="20% - Accent3 2 9 3 3" xfId="19840" xr:uid="{00000000-0005-0000-0000-0000941B0000}"/>
    <cellStyle name="20% - Accent3 2 9 3 4" xfId="26942" xr:uid="{00000000-0005-0000-0000-0000951B0000}"/>
    <cellStyle name="20% - Accent3 2 9 3 5" xfId="34044" xr:uid="{00000000-0005-0000-0000-0000961B0000}"/>
    <cellStyle name="20% - Accent3 2 9 4" xfId="4213" xr:uid="{00000000-0005-0000-0000-0000971B0000}"/>
    <cellStyle name="20% - Accent3 2 9 4 2" xfId="11319" xr:uid="{00000000-0005-0000-0000-0000981B0000}"/>
    <cellStyle name="20% - Accent3 2 9 4 3" xfId="18420" xr:uid="{00000000-0005-0000-0000-0000991B0000}"/>
    <cellStyle name="20% - Accent3 2 9 4 4" xfId="25522" xr:uid="{00000000-0005-0000-0000-00009A1B0000}"/>
    <cellStyle name="20% - Accent3 2 9 4 5" xfId="32624" xr:uid="{00000000-0005-0000-0000-00009B1B0000}"/>
    <cellStyle name="20% - Accent3 2 9 5" xfId="8479" xr:uid="{00000000-0005-0000-0000-00009C1B0000}"/>
    <cellStyle name="20% - Accent3 2 9 6" xfId="15580" xr:uid="{00000000-0005-0000-0000-00009D1B0000}"/>
    <cellStyle name="20% - Accent3 2 9 7" xfId="22682" xr:uid="{00000000-0005-0000-0000-00009E1B0000}"/>
    <cellStyle name="20% - Accent3 2 9 8" xfId="29784" xr:uid="{00000000-0005-0000-0000-00009F1B0000}"/>
    <cellStyle name="20% - Accent3 2 9 9" xfId="36852" xr:uid="{00000000-0005-0000-0000-0000A01B0000}"/>
    <cellStyle name="20% - Accent3 20" xfId="36853" xr:uid="{00000000-0005-0000-0000-0000A11B0000}"/>
    <cellStyle name="20% - Accent3 21" xfId="36854" xr:uid="{00000000-0005-0000-0000-0000A21B0000}"/>
    <cellStyle name="20% - Accent3 22" xfId="36855" xr:uid="{00000000-0005-0000-0000-0000A31B0000}"/>
    <cellStyle name="20% - Accent3 23" xfId="36856" xr:uid="{00000000-0005-0000-0000-0000A41B0000}"/>
    <cellStyle name="20% - Accent3 24" xfId="36857" xr:uid="{00000000-0005-0000-0000-0000A51B0000}"/>
    <cellStyle name="20% - Accent3 25" xfId="36858" xr:uid="{00000000-0005-0000-0000-0000A61B0000}"/>
    <cellStyle name="20% - Accent3 3" xfId="101" xr:uid="{00000000-0005-0000-0000-0000A71B0000}"/>
    <cellStyle name="20% - Accent3 3 10" xfId="4445" xr:uid="{00000000-0005-0000-0000-0000A81B0000}"/>
    <cellStyle name="20% - Accent3 3 10 2" xfId="11546" xr:uid="{00000000-0005-0000-0000-0000A91B0000}"/>
    <cellStyle name="20% - Accent3 3 10 3" xfId="18647" xr:uid="{00000000-0005-0000-0000-0000AA1B0000}"/>
    <cellStyle name="20% - Accent3 3 10 4" xfId="25749" xr:uid="{00000000-0005-0000-0000-0000AB1B0000}"/>
    <cellStyle name="20% - Accent3 3 10 5" xfId="32851" xr:uid="{00000000-0005-0000-0000-0000AC1B0000}"/>
    <cellStyle name="20% - Accent3 3 11" xfId="3020" xr:uid="{00000000-0005-0000-0000-0000AD1B0000}"/>
    <cellStyle name="20% - Accent3 3 11 2" xfId="10126" xr:uid="{00000000-0005-0000-0000-0000AE1B0000}"/>
    <cellStyle name="20% - Accent3 3 11 3" xfId="17227" xr:uid="{00000000-0005-0000-0000-0000AF1B0000}"/>
    <cellStyle name="20% - Accent3 3 11 4" xfId="24329" xr:uid="{00000000-0005-0000-0000-0000B01B0000}"/>
    <cellStyle name="20% - Accent3 3 11 5" xfId="31431" xr:uid="{00000000-0005-0000-0000-0000B11B0000}"/>
    <cellStyle name="20% - Accent3 3 12" xfId="7286" xr:uid="{00000000-0005-0000-0000-0000B21B0000}"/>
    <cellStyle name="20% - Accent3 3 13" xfId="14387" xr:uid="{00000000-0005-0000-0000-0000B31B0000}"/>
    <cellStyle name="20% - Accent3 3 14" xfId="21489" xr:uid="{00000000-0005-0000-0000-0000B41B0000}"/>
    <cellStyle name="20% - Accent3 3 15" xfId="28591" xr:uid="{00000000-0005-0000-0000-0000B51B0000}"/>
    <cellStyle name="20% - Accent3 3 16" xfId="35693" xr:uid="{00000000-0005-0000-0000-0000B61B0000}"/>
    <cellStyle name="20% - Accent3 3 17" xfId="36859" xr:uid="{00000000-0005-0000-0000-0000B71B0000}"/>
    <cellStyle name="20% - Accent3 3 18" xfId="36860" xr:uid="{00000000-0005-0000-0000-0000B81B0000}"/>
    <cellStyle name="20% - Accent3 3 2" xfId="249" xr:uid="{00000000-0005-0000-0000-0000B91B0000}"/>
    <cellStyle name="20% - Accent3 3 2 10" xfId="7428" xr:uid="{00000000-0005-0000-0000-0000BA1B0000}"/>
    <cellStyle name="20% - Accent3 3 2 11" xfId="14529" xr:uid="{00000000-0005-0000-0000-0000BB1B0000}"/>
    <cellStyle name="20% - Accent3 3 2 12" xfId="21631" xr:uid="{00000000-0005-0000-0000-0000BC1B0000}"/>
    <cellStyle name="20% - Accent3 3 2 13" xfId="28733" xr:uid="{00000000-0005-0000-0000-0000BD1B0000}"/>
    <cellStyle name="20% - Accent3 3 2 14" xfId="35835" xr:uid="{00000000-0005-0000-0000-0000BE1B0000}"/>
    <cellStyle name="20% - Accent3 3 2 15" xfId="36861" xr:uid="{00000000-0005-0000-0000-0000BF1B0000}"/>
    <cellStyle name="20% - Accent3 3 2 2" xfId="462" xr:uid="{00000000-0005-0000-0000-0000C01B0000}"/>
    <cellStyle name="20% - Accent3 3 2 2 10" xfId="36862" xr:uid="{00000000-0005-0000-0000-0000C11B0000}"/>
    <cellStyle name="20% - Accent3 3 2 2 2" xfId="1243" xr:uid="{00000000-0005-0000-0000-0000C21B0000}"/>
    <cellStyle name="20% - Accent3 3 2 2 2 2" xfId="2734" xr:uid="{00000000-0005-0000-0000-0000C31B0000}"/>
    <cellStyle name="20% - Accent3 3 2 2 2 2 2" xfId="7002" xr:uid="{00000000-0005-0000-0000-0000C41B0000}"/>
    <cellStyle name="20% - Accent3 3 2 2 2 2 2 2" xfId="14102" xr:uid="{00000000-0005-0000-0000-0000C51B0000}"/>
    <cellStyle name="20% - Accent3 3 2 2 2 2 2 3" xfId="21203" xr:uid="{00000000-0005-0000-0000-0000C61B0000}"/>
    <cellStyle name="20% - Accent3 3 2 2 2 2 2 4" xfId="28305" xr:uid="{00000000-0005-0000-0000-0000C71B0000}"/>
    <cellStyle name="20% - Accent3 3 2 2 2 2 2 5" xfId="35407" xr:uid="{00000000-0005-0000-0000-0000C81B0000}"/>
    <cellStyle name="20% - Accent3 3 2 2 2 2 3" xfId="9842" xr:uid="{00000000-0005-0000-0000-0000C91B0000}"/>
    <cellStyle name="20% - Accent3 3 2 2 2 2 4" xfId="16943" xr:uid="{00000000-0005-0000-0000-0000CA1B0000}"/>
    <cellStyle name="20% - Accent3 3 2 2 2 2 5" xfId="24045" xr:uid="{00000000-0005-0000-0000-0000CB1B0000}"/>
    <cellStyle name="20% - Accent3 3 2 2 2 2 6" xfId="31147" xr:uid="{00000000-0005-0000-0000-0000CC1B0000}"/>
    <cellStyle name="20% - Accent3 3 2 2 2 2 7" xfId="36863" xr:uid="{00000000-0005-0000-0000-0000CD1B0000}"/>
    <cellStyle name="20% - Accent3 3 2 2 2 3" xfId="5581" xr:uid="{00000000-0005-0000-0000-0000CE1B0000}"/>
    <cellStyle name="20% - Accent3 3 2 2 2 3 2" xfId="12682" xr:uid="{00000000-0005-0000-0000-0000CF1B0000}"/>
    <cellStyle name="20% - Accent3 3 2 2 2 3 3" xfId="19783" xr:uid="{00000000-0005-0000-0000-0000D01B0000}"/>
    <cellStyle name="20% - Accent3 3 2 2 2 3 4" xfId="26885" xr:uid="{00000000-0005-0000-0000-0000D11B0000}"/>
    <cellStyle name="20% - Accent3 3 2 2 2 3 5" xfId="33987" xr:uid="{00000000-0005-0000-0000-0000D21B0000}"/>
    <cellStyle name="20% - Accent3 3 2 2 2 4" xfId="4156" xr:uid="{00000000-0005-0000-0000-0000D31B0000}"/>
    <cellStyle name="20% - Accent3 3 2 2 2 4 2" xfId="11262" xr:uid="{00000000-0005-0000-0000-0000D41B0000}"/>
    <cellStyle name="20% - Accent3 3 2 2 2 4 3" xfId="18363" xr:uid="{00000000-0005-0000-0000-0000D51B0000}"/>
    <cellStyle name="20% - Accent3 3 2 2 2 4 4" xfId="25465" xr:uid="{00000000-0005-0000-0000-0000D61B0000}"/>
    <cellStyle name="20% - Accent3 3 2 2 2 4 5" xfId="32567" xr:uid="{00000000-0005-0000-0000-0000D71B0000}"/>
    <cellStyle name="20% - Accent3 3 2 2 2 5" xfId="8422" xr:uid="{00000000-0005-0000-0000-0000D81B0000}"/>
    <cellStyle name="20% - Accent3 3 2 2 2 6" xfId="15523" xr:uid="{00000000-0005-0000-0000-0000D91B0000}"/>
    <cellStyle name="20% - Accent3 3 2 2 2 7" xfId="22625" xr:uid="{00000000-0005-0000-0000-0000DA1B0000}"/>
    <cellStyle name="20% - Accent3 3 2 2 2 8" xfId="29727" xr:uid="{00000000-0005-0000-0000-0000DB1B0000}"/>
    <cellStyle name="20% - Accent3 3 2 2 2 9" xfId="36864" xr:uid="{00000000-0005-0000-0000-0000DC1B0000}"/>
    <cellStyle name="20% - Accent3 3 2 2 3" xfId="1953" xr:uid="{00000000-0005-0000-0000-0000DD1B0000}"/>
    <cellStyle name="20% - Accent3 3 2 2 3 2" xfId="6221" xr:uid="{00000000-0005-0000-0000-0000DE1B0000}"/>
    <cellStyle name="20% - Accent3 3 2 2 3 2 2" xfId="13321" xr:uid="{00000000-0005-0000-0000-0000DF1B0000}"/>
    <cellStyle name="20% - Accent3 3 2 2 3 2 3" xfId="20422" xr:uid="{00000000-0005-0000-0000-0000E01B0000}"/>
    <cellStyle name="20% - Accent3 3 2 2 3 2 4" xfId="27524" xr:uid="{00000000-0005-0000-0000-0000E11B0000}"/>
    <cellStyle name="20% - Accent3 3 2 2 3 2 5" xfId="34626" xr:uid="{00000000-0005-0000-0000-0000E21B0000}"/>
    <cellStyle name="20% - Accent3 3 2 2 3 2 6" xfId="36865" xr:uid="{00000000-0005-0000-0000-0000E31B0000}"/>
    <cellStyle name="20% - Accent3 3 2 2 3 3" xfId="9061" xr:uid="{00000000-0005-0000-0000-0000E41B0000}"/>
    <cellStyle name="20% - Accent3 3 2 2 3 4" xfId="16162" xr:uid="{00000000-0005-0000-0000-0000E51B0000}"/>
    <cellStyle name="20% - Accent3 3 2 2 3 5" xfId="23264" xr:uid="{00000000-0005-0000-0000-0000E61B0000}"/>
    <cellStyle name="20% - Accent3 3 2 2 3 6" xfId="30366" xr:uid="{00000000-0005-0000-0000-0000E71B0000}"/>
    <cellStyle name="20% - Accent3 3 2 2 3 7" xfId="36866" xr:uid="{00000000-0005-0000-0000-0000E81B0000}"/>
    <cellStyle name="20% - Accent3 3 2 2 4" xfId="4800" xr:uid="{00000000-0005-0000-0000-0000E91B0000}"/>
    <cellStyle name="20% - Accent3 3 2 2 4 2" xfId="11901" xr:uid="{00000000-0005-0000-0000-0000EA1B0000}"/>
    <cellStyle name="20% - Accent3 3 2 2 4 3" xfId="19002" xr:uid="{00000000-0005-0000-0000-0000EB1B0000}"/>
    <cellStyle name="20% - Accent3 3 2 2 4 4" xfId="26104" xr:uid="{00000000-0005-0000-0000-0000EC1B0000}"/>
    <cellStyle name="20% - Accent3 3 2 2 4 5" xfId="33206" xr:uid="{00000000-0005-0000-0000-0000ED1B0000}"/>
    <cellStyle name="20% - Accent3 3 2 2 4 6" xfId="36867" xr:uid="{00000000-0005-0000-0000-0000EE1B0000}"/>
    <cellStyle name="20% - Accent3 3 2 2 5" xfId="3375" xr:uid="{00000000-0005-0000-0000-0000EF1B0000}"/>
    <cellStyle name="20% - Accent3 3 2 2 5 2" xfId="10481" xr:uid="{00000000-0005-0000-0000-0000F01B0000}"/>
    <cellStyle name="20% - Accent3 3 2 2 5 3" xfId="17582" xr:uid="{00000000-0005-0000-0000-0000F11B0000}"/>
    <cellStyle name="20% - Accent3 3 2 2 5 4" xfId="24684" xr:uid="{00000000-0005-0000-0000-0000F21B0000}"/>
    <cellStyle name="20% - Accent3 3 2 2 5 5" xfId="31786" xr:uid="{00000000-0005-0000-0000-0000F31B0000}"/>
    <cellStyle name="20% - Accent3 3 2 2 6" xfId="7641" xr:uid="{00000000-0005-0000-0000-0000F41B0000}"/>
    <cellStyle name="20% - Accent3 3 2 2 7" xfId="14742" xr:uid="{00000000-0005-0000-0000-0000F51B0000}"/>
    <cellStyle name="20% - Accent3 3 2 2 8" xfId="21844" xr:uid="{00000000-0005-0000-0000-0000F61B0000}"/>
    <cellStyle name="20% - Accent3 3 2 2 9" xfId="28946" xr:uid="{00000000-0005-0000-0000-0000F71B0000}"/>
    <cellStyle name="20% - Accent3 3 2 3" xfId="675" xr:uid="{00000000-0005-0000-0000-0000F81B0000}"/>
    <cellStyle name="20% - Accent3 3 2 3 2" xfId="2166" xr:uid="{00000000-0005-0000-0000-0000F91B0000}"/>
    <cellStyle name="20% - Accent3 3 2 3 2 2" xfId="6434" xr:uid="{00000000-0005-0000-0000-0000FA1B0000}"/>
    <cellStyle name="20% - Accent3 3 2 3 2 2 2" xfId="13534" xr:uid="{00000000-0005-0000-0000-0000FB1B0000}"/>
    <cellStyle name="20% - Accent3 3 2 3 2 2 3" xfId="20635" xr:uid="{00000000-0005-0000-0000-0000FC1B0000}"/>
    <cellStyle name="20% - Accent3 3 2 3 2 2 4" xfId="27737" xr:uid="{00000000-0005-0000-0000-0000FD1B0000}"/>
    <cellStyle name="20% - Accent3 3 2 3 2 2 5" xfId="34839" xr:uid="{00000000-0005-0000-0000-0000FE1B0000}"/>
    <cellStyle name="20% - Accent3 3 2 3 2 2 6" xfId="36868" xr:uid="{00000000-0005-0000-0000-0000FF1B0000}"/>
    <cellStyle name="20% - Accent3 3 2 3 2 3" xfId="9274" xr:uid="{00000000-0005-0000-0000-0000001C0000}"/>
    <cellStyle name="20% - Accent3 3 2 3 2 4" xfId="16375" xr:uid="{00000000-0005-0000-0000-0000011C0000}"/>
    <cellStyle name="20% - Accent3 3 2 3 2 5" xfId="23477" xr:uid="{00000000-0005-0000-0000-0000021C0000}"/>
    <cellStyle name="20% - Accent3 3 2 3 2 6" xfId="30579" xr:uid="{00000000-0005-0000-0000-0000031C0000}"/>
    <cellStyle name="20% - Accent3 3 2 3 2 7" xfId="36869" xr:uid="{00000000-0005-0000-0000-0000041C0000}"/>
    <cellStyle name="20% - Accent3 3 2 3 3" xfId="5013" xr:uid="{00000000-0005-0000-0000-0000051C0000}"/>
    <cellStyle name="20% - Accent3 3 2 3 3 2" xfId="12114" xr:uid="{00000000-0005-0000-0000-0000061C0000}"/>
    <cellStyle name="20% - Accent3 3 2 3 3 2 2" xfId="36870" xr:uid="{00000000-0005-0000-0000-0000071C0000}"/>
    <cellStyle name="20% - Accent3 3 2 3 3 3" xfId="19215" xr:uid="{00000000-0005-0000-0000-0000081C0000}"/>
    <cellStyle name="20% - Accent3 3 2 3 3 4" xfId="26317" xr:uid="{00000000-0005-0000-0000-0000091C0000}"/>
    <cellStyle name="20% - Accent3 3 2 3 3 5" xfId="33419" xr:uid="{00000000-0005-0000-0000-00000A1C0000}"/>
    <cellStyle name="20% - Accent3 3 2 3 3 6" xfId="36871" xr:uid="{00000000-0005-0000-0000-00000B1C0000}"/>
    <cellStyle name="20% - Accent3 3 2 3 4" xfId="3588" xr:uid="{00000000-0005-0000-0000-00000C1C0000}"/>
    <cellStyle name="20% - Accent3 3 2 3 4 2" xfId="10694" xr:uid="{00000000-0005-0000-0000-00000D1C0000}"/>
    <cellStyle name="20% - Accent3 3 2 3 4 3" xfId="17795" xr:uid="{00000000-0005-0000-0000-00000E1C0000}"/>
    <cellStyle name="20% - Accent3 3 2 3 4 4" xfId="24897" xr:uid="{00000000-0005-0000-0000-00000F1C0000}"/>
    <cellStyle name="20% - Accent3 3 2 3 4 5" xfId="31999" xr:uid="{00000000-0005-0000-0000-0000101C0000}"/>
    <cellStyle name="20% - Accent3 3 2 3 4 6" xfId="36872" xr:uid="{00000000-0005-0000-0000-0000111C0000}"/>
    <cellStyle name="20% - Accent3 3 2 3 5" xfId="7854" xr:uid="{00000000-0005-0000-0000-0000121C0000}"/>
    <cellStyle name="20% - Accent3 3 2 3 6" xfId="14955" xr:uid="{00000000-0005-0000-0000-0000131C0000}"/>
    <cellStyle name="20% - Accent3 3 2 3 7" xfId="22057" xr:uid="{00000000-0005-0000-0000-0000141C0000}"/>
    <cellStyle name="20% - Accent3 3 2 3 8" xfId="29159" xr:uid="{00000000-0005-0000-0000-0000151C0000}"/>
    <cellStyle name="20% - Accent3 3 2 3 9" xfId="36873" xr:uid="{00000000-0005-0000-0000-0000161C0000}"/>
    <cellStyle name="20% - Accent3 3 2 4" xfId="888" xr:uid="{00000000-0005-0000-0000-0000171C0000}"/>
    <cellStyle name="20% - Accent3 3 2 4 2" xfId="2379" xr:uid="{00000000-0005-0000-0000-0000181C0000}"/>
    <cellStyle name="20% - Accent3 3 2 4 2 2" xfId="6647" xr:uid="{00000000-0005-0000-0000-0000191C0000}"/>
    <cellStyle name="20% - Accent3 3 2 4 2 2 2" xfId="13747" xr:uid="{00000000-0005-0000-0000-00001A1C0000}"/>
    <cellStyle name="20% - Accent3 3 2 4 2 2 3" xfId="20848" xr:uid="{00000000-0005-0000-0000-00001B1C0000}"/>
    <cellStyle name="20% - Accent3 3 2 4 2 2 4" xfId="27950" xr:uid="{00000000-0005-0000-0000-00001C1C0000}"/>
    <cellStyle name="20% - Accent3 3 2 4 2 2 5" xfId="35052" xr:uid="{00000000-0005-0000-0000-00001D1C0000}"/>
    <cellStyle name="20% - Accent3 3 2 4 2 2 6" xfId="36874" xr:uid="{00000000-0005-0000-0000-00001E1C0000}"/>
    <cellStyle name="20% - Accent3 3 2 4 2 3" xfId="9487" xr:uid="{00000000-0005-0000-0000-00001F1C0000}"/>
    <cellStyle name="20% - Accent3 3 2 4 2 4" xfId="16588" xr:uid="{00000000-0005-0000-0000-0000201C0000}"/>
    <cellStyle name="20% - Accent3 3 2 4 2 5" xfId="23690" xr:uid="{00000000-0005-0000-0000-0000211C0000}"/>
    <cellStyle name="20% - Accent3 3 2 4 2 6" xfId="30792" xr:uid="{00000000-0005-0000-0000-0000221C0000}"/>
    <cellStyle name="20% - Accent3 3 2 4 2 7" xfId="36875" xr:uid="{00000000-0005-0000-0000-0000231C0000}"/>
    <cellStyle name="20% - Accent3 3 2 4 3" xfId="5226" xr:uid="{00000000-0005-0000-0000-0000241C0000}"/>
    <cellStyle name="20% - Accent3 3 2 4 3 2" xfId="12327" xr:uid="{00000000-0005-0000-0000-0000251C0000}"/>
    <cellStyle name="20% - Accent3 3 2 4 3 2 2" xfId="36876" xr:uid="{00000000-0005-0000-0000-0000261C0000}"/>
    <cellStyle name="20% - Accent3 3 2 4 3 3" xfId="19428" xr:uid="{00000000-0005-0000-0000-0000271C0000}"/>
    <cellStyle name="20% - Accent3 3 2 4 3 4" xfId="26530" xr:uid="{00000000-0005-0000-0000-0000281C0000}"/>
    <cellStyle name="20% - Accent3 3 2 4 3 5" xfId="33632" xr:uid="{00000000-0005-0000-0000-0000291C0000}"/>
    <cellStyle name="20% - Accent3 3 2 4 3 6" xfId="36877" xr:uid="{00000000-0005-0000-0000-00002A1C0000}"/>
    <cellStyle name="20% - Accent3 3 2 4 4" xfId="3801" xr:uid="{00000000-0005-0000-0000-00002B1C0000}"/>
    <cellStyle name="20% - Accent3 3 2 4 4 2" xfId="10907" xr:uid="{00000000-0005-0000-0000-00002C1C0000}"/>
    <cellStyle name="20% - Accent3 3 2 4 4 3" xfId="18008" xr:uid="{00000000-0005-0000-0000-00002D1C0000}"/>
    <cellStyle name="20% - Accent3 3 2 4 4 4" xfId="25110" xr:uid="{00000000-0005-0000-0000-00002E1C0000}"/>
    <cellStyle name="20% - Accent3 3 2 4 4 5" xfId="32212" xr:uid="{00000000-0005-0000-0000-00002F1C0000}"/>
    <cellStyle name="20% - Accent3 3 2 4 4 6" xfId="36878" xr:uid="{00000000-0005-0000-0000-0000301C0000}"/>
    <cellStyle name="20% - Accent3 3 2 4 5" xfId="8067" xr:uid="{00000000-0005-0000-0000-0000311C0000}"/>
    <cellStyle name="20% - Accent3 3 2 4 6" xfId="15168" xr:uid="{00000000-0005-0000-0000-0000321C0000}"/>
    <cellStyle name="20% - Accent3 3 2 4 7" xfId="22270" xr:uid="{00000000-0005-0000-0000-0000331C0000}"/>
    <cellStyle name="20% - Accent3 3 2 4 8" xfId="29372" xr:uid="{00000000-0005-0000-0000-0000341C0000}"/>
    <cellStyle name="20% - Accent3 3 2 4 9" xfId="36879" xr:uid="{00000000-0005-0000-0000-0000351C0000}"/>
    <cellStyle name="20% - Accent3 3 2 5" xfId="1030" xr:uid="{00000000-0005-0000-0000-0000361C0000}"/>
    <cellStyle name="20% - Accent3 3 2 5 2" xfId="2521" xr:uid="{00000000-0005-0000-0000-0000371C0000}"/>
    <cellStyle name="20% - Accent3 3 2 5 2 2" xfId="6789" xr:uid="{00000000-0005-0000-0000-0000381C0000}"/>
    <cellStyle name="20% - Accent3 3 2 5 2 2 2" xfId="13889" xr:uid="{00000000-0005-0000-0000-0000391C0000}"/>
    <cellStyle name="20% - Accent3 3 2 5 2 2 3" xfId="20990" xr:uid="{00000000-0005-0000-0000-00003A1C0000}"/>
    <cellStyle name="20% - Accent3 3 2 5 2 2 4" xfId="28092" xr:uid="{00000000-0005-0000-0000-00003B1C0000}"/>
    <cellStyle name="20% - Accent3 3 2 5 2 2 5" xfId="35194" xr:uid="{00000000-0005-0000-0000-00003C1C0000}"/>
    <cellStyle name="20% - Accent3 3 2 5 2 3" xfId="9629" xr:uid="{00000000-0005-0000-0000-00003D1C0000}"/>
    <cellStyle name="20% - Accent3 3 2 5 2 4" xfId="16730" xr:uid="{00000000-0005-0000-0000-00003E1C0000}"/>
    <cellStyle name="20% - Accent3 3 2 5 2 5" xfId="23832" xr:uid="{00000000-0005-0000-0000-00003F1C0000}"/>
    <cellStyle name="20% - Accent3 3 2 5 2 6" xfId="30934" xr:uid="{00000000-0005-0000-0000-0000401C0000}"/>
    <cellStyle name="20% - Accent3 3 2 5 2 7" xfId="36880" xr:uid="{00000000-0005-0000-0000-0000411C0000}"/>
    <cellStyle name="20% - Accent3 3 2 5 3" xfId="5368" xr:uid="{00000000-0005-0000-0000-0000421C0000}"/>
    <cellStyle name="20% - Accent3 3 2 5 3 2" xfId="12469" xr:uid="{00000000-0005-0000-0000-0000431C0000}"/>
    <cellStyle name="20% - Accent3 3 2 5 3 3" xfId="19570" xr:uid="{00000000-0005-0000-0000-0000441C0000}"/>
    <cellStyle name="20% - Accent3 3 2 5 3 4" xfId="26672" xr:uid="{00000000-0005-0000-0000-0000451C0000}"/>
    <cellStyle name="20% - Accent3 3 2 5 3 5" xfId="33774" xr:uid="{00000000-0005-0000-0000-0000461C0000}"/>
    <cellStyle name="20% - Accent3 3 2 5 4" xfId="3943" xr:uid="{00000000-0005-0000-0000-0000471C0000}"/>
    <cellStyle name="20% - Accent3 3 2 5 4 2" xfId="11049" xr:uid="{00000000-0005-0000-0000-0000481C0000}"/>
    <cellStyle name="20% - Accent3 3 2 5 4 3" xfId="18150" xr:uid="{00000000-0005-0000-0000-0000491C0000}"/>
    <cellStyle name="20% - Accent3 3 2 5 4 4" xfId="25252" xr:uid="{00000000-0005-0000-0000-00004A1C0000}"/>
    <cellStyle name="20% - Accent3 3 2 5 4 5" xfId="32354" xr:uid="{00000000-0005-0000-0000-00004B1C0000}"/>
    <cellStyle name="20% - Accent3 3 2 5 5" xfId="8209" xr:uid="{00000000-0005-0000-0000-00004C1C0000}"/>
    <cellStyle name="20% - Accent3 3 2 5 6" xfId="15310" xr:uid="{00000000-0005-0000-0000-00004D1C0000}"/>
    <cellStyle name="20% - Accent3 3 2 5 7" xfId="22412" xr:uid="{00000000-0005-0000-0000-00004E1C0000}"/>
    <cellStyle name="20% - Accent3 3 2 5 8" xfId="29514" xr:uid="{00000000-0005-0000-0000-00004F1C0000}"/>
    <cellStyle name="20% - Accent3 3 2 5 9" xfId="36881" xr:uid="{00000000-0005-0000-0000-0000501C0000}"/>
    <cellStyle name="20% - Accent3 3 2 6" xfId="1456" xr:uid="{00000000-0005-0000-0000-0000511C0000}"/>
    <cellStyle name="20% - Accent3 3 2 6 2" xfId="2947" xr:uid="{00000000-0005-0000-0000-0000521C0000}"/>
    <cellStyle name="20% - Accent3 3 2 6 2 2" xfId="7215" xr:uid="{00000000-0005-0000-0000-0000531C0000}"/>
    <cellStyle name="20% - Accent3 3 2 6 2 2 2" xfId="14315" xr:uid="{00000000-0005-0000-0000-0000541C0000}"/>
    <cellStyle name="20% - Accent3 3 2 6 2 2 3" xfId="21416" xr:uid="{00000000-0005-0000-0000-0000551C0000}"/>
    <cellStyle name="20% - Accent3 3 2 6 2 2 4" xfId="28518" xr:uid="{00000000-0005-0000-0000-0000561C0000}"/>
    <cellStyle name="20% - Accent3 3 2 6 2 2 5" xfId="35620" xr:uid="{00000000-0005-0000-0000-0000571C0000}"/>
    <cellStyle name="20% - Accent3 3 2 6 2 3" xfId="10055" xr:uid="{00000000-0005-0000-0000-0000581C0000}"/>
    <cellStyle name="20% - Accent3 3 2 6 2 4" xfId="17156" xr:uid="{00000000-0005-0000-0000-0000591C0000}"/>
    <cellStyle name="20% - Accent3 3 2 6 2 5" xfId="24258" xr:uid="{00000000-0005-0000-0000-00005A1C0000}"/>
    <cellStyle name="20% - Accent3 3 2 6 2 6" xfId="31360" xr:uid="{00000000-0005-0000-0000-00005B1C0000}"/>
    <cellStyle name="20% - Accent3 3 2 6 2 7" xfId="36882" xr:uid="{00000000-0005-0000-0000-00005C1C0000}"/>
    <cellStyle name="20% - Accent3 3 2 6 3" xfId="5794" xr:uid="{00000000-0005-0000-0000-00005D1C0000}"/>
    <cellStyle name="20% - Accent3 3 2 6 3 2" xfId="12895" xr:uid="{00000000-0005-0000-0000-00005E1C0000}"/>
    <cellStyle name="20% - Accent3 3 2 6 3 3" xfId="19996" xr:uid="{00000000-0005-0000-0000-00005F1C0000}"/>
    <cellStyle name="20% - Accent3 3 2 6 3 4" xfId="27098" xr:uid="{00000000-0005-0000-0000-0000601C0000}"/>
    <cellStyle name="20% - Accent3 3 2 6 3 5" xfId="34200" xr:uid="{00000000-0005-0000-0000-0000611C0000}"/>
    <cellStyle name="20% - Accent3 3 2 6 4" xfId="4369" xr:uid="{00000000-0005-0000-0000-0000621C0000}"/>
    <cellStyle name="20% - Accent3 3 2 6 4 2" xfId="11475" xr:uid="{00000000-0005-0000-0000-0000631C0000}"/>
    <cellStyle name="20% - Accent3 3 2 6 4 3" xfId="18576" xr:uid="{00000000-0005-0000-0000-0000641C0000}"/>
    <cellStyle name="20% - Accent3 3 2 6 4 4" xfId="25678" xr:uid="{00000000-0005-0000-0000-0000651C0000}"/>
    <cellStyle name="20% - Accent3 3 2 6 4 5" xfId="32780" xr:uid="{00000000-0005-0000-0000-0000661C0000}"/>
    <cellStyle name="20% - Accent3 3 2 6 5" xfId="8635" xr:uid="{00000000-0005-0000-0000-0000671C0000}"/>
    <cellStyle name="20% - Accent3 3 2 6 6" xfId="15736" xr:uid="{00000000-0005-0000-0000-0000681C0000}"/>
    <cellStyle name="20% - Accent3 3 2 6 7" xfId="22838" xr:uid="{00000000-0005-0000-0000-0000691C0000}"/>
    <cellStyle name="20% - Accent3 3 2 6 8" xfId="29940" xr:uid="{00000000-0005-0000-0000-00006A1C0000}"/>
    <cellStyle name="20% - Accent3 3 2 6 9" xfId="36883" xr:uid="{00000000-0005-0000-0000-00006B1C0000}"/>
    <cellStyle name="20% - Accent3 3 2 7" xfId="1740" xr:uid="{00000000-0005-0000-0000-00006C1C0000}"/>
    <cellStyle name="20% - Accent3 3 2 7 2" xfId="6008" xr:uid="{00000000-0005-0000-0000-00006D1C0000}"/>
    <cellStyle name="20% - Accent3 3 2 7 2 2" xfId="13108" xr:uid="{00000000-0005-0000-0000-00006E1C0000}"/>
    <cellStyle name="20% - Accent3 3 2 7 2 3" xfId="20209" xr:uid="{00000000-0005-0000-0000-00006F1C0000}"/>
    <cellStyle name="20% - Accent3 3 2 7 2 4" xfId="27311" xr:uid="{00000000-0005-0000-0000-0000701C0000}"/>
    <cellStyle name="20% - Accent3 3 2 7 2 5" xfId="34413" xr:uid="{00000000-0005-0000-0000-0000711C0000}"/>
    <cellStyle name="20% - Accent3 3 2 7 3" xfId="8848" xr:uid="{00000000-0005-0000-0000-0000721C0000}"/>
    <cellStyle name="20% - Accent3 3 2 7 4" xfId="15949" xr:uid="{00000000-0005-0000-0000-0000731C0000}"/>
    <cellStyle name="20% - Accent3 3 2 7 5" xfId="23051" xr:uid="{00000000-0005-0000-0000-0000741C0000}"/>
    <cellStyle name="20% - Accent3 3 2 7 6" xfId="30153" xr:uid="{00000000-0005-0000-0000-0000751C0000}"/>
    <cellStyle name="20% - Accent3 3 2 7 7" xfId="36884" xr:uid="{00000000-0005-0000-0000-0000761C0000}"/>
    <cellStyle name="20% - Accent3 3 2 8" xfId="4587" xr:uid="{00000000-0005-0000-0000-0000771C0000}"/>
    <cellStyle name="20% - Accent3 3 2 8 2" xfId="11688" xr:uid="{00000000-0005-0000-0000-0000781C0000}"/>
    <cellStyle name="20% - Accent3 3 2 8 3" xfId="18789" xr:uid="{00000000-0005-0000-0000-0000791C0000}"/>
    <cellStyle name="20% - Accent3 3 2 8 4" xfId="25891" xr:uid="{00000000-0005-0000-0000-00007A1C0000}"/>
    <cellStyle name="20% - Accent3 3 2 8 5" xfId="32993" xr:uid="{00000000-0005-0000-0000-00007B1C0000}"/>
    <cellStyle name="20% - Accent3 3 2 9" xfId="3162" xr:uid="{00000000-0005-0000-0000-00007C1C0000}"/>
    <cellStyle name="20% - Accent3 3 2 9 2" xfId="10268" xr:uid="{00000000-0005-0000-0000-00007D1C0000}"/>
    <cellStyle name="20% - Accent3 3 2 9 3" xfId="17369" xr:uid="{00000000-0005-0000-0000-00007E1C0000}"/>
    <cellStyle name="20% - Accent3 3 2 9 4" xfId="24471" xr:uid="{00000000-0005-0000-0000-00007F1C0000}"/>
    <cellStyle name="20% - Accent3 3 2 9 5" xfId="31573" xr:uid="{00000000-0005-0000-0000-0000801C0000}"/>
    <cellStyle name="20% - Accent3 3 3" xfId="178" xr:uid="{00000000-0005-0000-0000-0000811C0000}"/>
    <cellStyle name="20% - Accent3 3 3 10" xfId="7357" xr:uid="{00000000-0005-0000-0000-0000821C0000}"/>
    <cellStyle name="20% - Accent3 3 3 11" xfId="14458" xr:uid="{00000000-0005-0000-0000-0000831C0000}"/>
    <cellStyle name="20% - Accent3 3 3 12" xfId="21560" xr:uid="{00000000-0005-0000-0000-0000841C0000}"/>
    <cellStyle name="20% - Accent3 3 3 13" xfId="28662" xr:uid="{00000000-0005-0000-0000-0000851C0000}"/>
    <cellStyle name="20% - Accent3 3 3 14" xfId="35764" xr:uid="{00000000-0005-0000-0000-0000861C0000}"/>
    <cellStyle name="20% - Accent3 3 3 15" xfId="36885" xr:uid="{00000000-0005-0000-0000-0000871C0000}"/>
    <cellStyle name="20% - Accent3 3 3 2" xfId="391" xr:uid="{00000000-0005-0000-0000-0000881C0000}"/>
    <cellStyle name="20% - Accent3 3 3 2 2" xfId="1882" xr:uid="{00000000-0005-0000-0000-0000891C0000}"/>
    <cellStyle name="20% - Accent3 3 3 2 2 2" xfId="6150" xr:uid="{00000000-0005-0000-0000-00008A1C0000}"/>
    <cellStyle name="20% - Accent3 3 3 2 2 2 2" xfId="13250" xr:uid="{00000000-0005-0000-0000-00008B1C0000}"/>
    <cellStyle name="20% - Accent3 3 3 2 2 2 3" xfId="20351" xr:uid="{00000000-0005-0000-0000-00008C1C0000}"/>
    <cellStyle name="20% - Accent3 3 3 2 2 2 4" xfId="27453" xr:uid="{00000000-0005-0000-0000-00008D1C0000}"/>
    <cellStyle name="20% - Accent3 3 3 2 2 2 5" xfId="34555" xr:uid="{00000000-0005-0000-0000-00008E1C0000}"/>
    <cellStyle name="20% - Accent3 3 3 2 2 2 6" xfId="36886" xr:uid="{00000000-0005-0000-0000-00008F1C0000}"/>
    <cellStyle name="20% - Accent3 3 3 2 2 3" xfId="8990" xr:uid="{00000000-0005-0000-0000-0000901C0000}"/>
    <cellStyle name="20% - Accent3 3 3 2 2 4" xfId="16091" xr:uid="{00000000-0005-0000-0000-0000911C0000}"/>
    <cellStyle name="20% - Accent3 3 3 2 2 5" xfId="23193" xr:uid="{00000000-0005-0000-0000-0000921C0000}"/>
    <cellStyle name="20% - Accent3 3 3 2 2 6" xfId="30295" xr:uid="{00000000-0005-0000-0000-0000931C0000}"/>
    <cellStyle name="20% - Accent3 3 3 2 2 7" xfId="36887" xr:uid="{00000000-0005-0000-0000-0000941C0000}"/>
    <cellStyle name="20% - Accent3 3 3 2 3" xfId="4729" xr:uid="{00000000-0005-0000-0000-0000951C0000}"/>
    <cellStyle name="20% - Accent3 3 3 2 3 2" xfId="11830" xr:uid="{00000000-0005-0000-0000-0000961C0000}"/>
    <cellStyle name="20% - Accent3 3 3 2 3 2 2" xfId="36888" xr:uid="{00000000-0005-0000-0000-0000971C0000}"/>
    <cellStyle name="20% - Accent3 3 3 2 3 3" xfId="18931" xr:uid="{00000000-0005-0000-0000-0000981C0000}"/>
    <cellStyle name="20% - Accent3 3 3 2 3 4" xfId="26033" xr:uid="{00000000-0005-0000-0000-0000991C0000}"/>
    <cellStyle name="20% - Accent3 3 3 2 3 5" xfId="33135" xr:uid="{00000000-0005-0000-0000-00009A1C0000}"/>
    <cellStyle name="20% - Accent3 3 3 2 3 6" xfId="36889" xr:uid="{00000000-0005-0000-0000-00009B1C0000}"/>
    <cellStyle name="20% - Accent3 3 3 2 4" xfId="3304" xr:uid="{00000000-0005-0000-0000-00009C1C0000}"/>
    <cellStyle name="20% - Accent3 3 3 2 4 2" xfId="10410" xr:uid="{00000000-0005-0000-0000-00009D1C0000}"/>
    <cellStyle name="20% - Accent3 3 3 2 4 3" xfId="17511" xr:uid="{00000000-0005-0000-0000-00009E1C0000}"/>
    <cellStyle name="20% - Accent3 3 3 2 4 4" xfId="24613" xr:uid="{00000000-0005-0000-0000-00009F1C0000}"/>
    <cellStyle name="20% - Accent3 3 3 2 4 5" xfId="31715" xr:uid="{00000000-0005-0000-0000-0000A01C0000}"/>
    <cellStyle name="20% - Accent3 3 3 2 4 6" xfId="36890" xr:uid="{00000000-0005-0000-0000-0000A11C0000}"/>
    <cellStyle name="20% - Accent3 3 3 2 5" xfId="7570" xr:uid="{00000000-0005-0000-0000-0000A21C0000}"/>
    <cellStyle name="20% - Accent3 3 3 2 6" xfId="14671" xr:uid="{00000000-0005-0000-0000-0000A31C0000}"/>
    <cellStyle name="20% - Accent3 3 3 2 7" xfId="21773" xr:uid="{00000000-0005-0000-0000-0000A41C0000}"/>
    <cellStyle name="20% - Accent3 3 3 2 8" xfId="28875" xr:uid="{00000000-0005-0000-0000-0000A51C0000}"/>
    <cellStyle name="20% - Accent3 3 3 2 9" xfId="36891" xr:uid="{00000000-0005-0000-0000-0000A61C0000}"/>
    <cellStyle name="20% - Accent3 3 3 3" xfId="604" xr:uid="{00000000-0005-0000-0000-0000A71C0000}"/>
    <cellStyle name="20% - Accent3 3 3 3 2" xfId="2095" xr:uid="{00000000-0005-0000-0000-0000A81C0000}"/>
    <cellStyle name="20% - Accent3 3 3 3 2 2" xfId="6363" xr:uid="{00000000-0005-0000-0000-0000A91C0000}"/>
    <cellStyle name="20% - Accent3 3 3 3 2 2 2" xfId="13463" xr:uid="{00000000-0005-0000-0000-0000AA1C0000}"/>
    <cellStyle name="20% - Accent3 3 3 3 2 2 3" xfId="20564" xr:uid="{00000000-0005-0000-0000-0000AB1C0000}"/>
    <cellStyle name="20% - Accent3 3 3 3 2 2 4" xfId="27666" xr:uid="{00000000-0005-0000-0000-0000AC1C0000}"/>
    <cellStyle name="20% - Accent3 3 3 3 2 2 5" xfId="34768" xr:uid="{00000000-0005-0000-0000-0000AD1C0000}"/>
    <cellStyle name="20% - Accent3 3 3 3 2 2 6" xfId="36892" xr:uid="{00000000-0005-0000-0000-0000AE1C0000}"/>
    <cellStyle name="20% - Accent3 3 3 3 2 3" xfId="9203" xr:uid="{00000000-0005-0000-0000-0000AF1C0000}"/>
    <cellStyle name="20% - Accent3 3 3 3 2 4" xfId="16304" xr:uid="{00000000-0005-0000-0000-0000B01C0000}"/>
    <cellStyle name="20% - Accent3 3 3 3 2 5" xfId="23406" xr:uid="{00000000-0005-0000-0000-0000B11C0000}"/>
    <cellStyle name="20% - Accent3 3 3 3 2 6" xfId="30508" xr:uid="{00000000-0005-0000-0000-0000B21C0000}"/>
    <cellStyle name="20% - Accent3 3 3 3 2 7" xfId="36893" xr:uid="{00000000-0005-0000-0000-0000B31C0000}"/>
    <cellStyle name="20% - Accent3 3 3 3 3" xfId="4942" xr:uid="{00000000-0005-0000-0000-0000B41C0000}"/>
    <cellStyle name="20% - Accent3 3 3 3 3 2" xfId="12043" xr:uid="{00000000-0005-0000-0000-0000B51C0000}"/>
    <cellStyle name="20% - Accent3 3 3 3 3 2 2" xfId="36894" xr:uid="{00000000-0005-0000-0000-0000B61C0000}"/>
    <cellStyle name="20% - Accent3 3 3 3 3 3" xfId="19144" xr:uid="{00000000-0005-0000-0000-0000B71C0000}"/>
    <cellStyle name="20% - Accent3 3 3 3 3 4" xfId="26246" xr:uid="{00000000-0005-0000-0000-0000B81C0000}"/>
    <cellStyle name="20% - Accent3 3 3 3 3 5" xfId="33348" xr:uid="{00000000-0005-0000-0000-0000B91C0000}"/>
    <cellStyle name="20% - Accent3 3 3 3 3 6" xfId="36895" xr:uid="{00000000-0005-0000-0000-0000BA1C0000}"/>
    <cellStyle name="20% - Accent3 3 3 3 4" xfId="3517" xr:uid="{00000000-0005-0000-0000-0000BB1C0000}"/>
    <cellStyle name="20% - Accent3 3 3 3 4 2" xfId="10623" xr:uid="{00000000-0005-0000-0000-0000BC1C0000}"/>
    <cellStyle name="20% - Accent3 3 3 3 4 3" xfId="17724" xr:uid="{00000000-0005-0000-0000-0000BD1C0000}"/>
    <cellStyle name="20% - Accent3 3 3 3 4 4" xfId="24826" xr:uid="{00000000-0005-0000-0000-0000BE1C0000}"/>
    <cellStyle name="20% - Accent3 3 3 3 4 5" xfId="31928" xr:uid="{00000000-0005-0000-0000-0000BF1C0000}"/>
    <cellStyle name="20% - Accent3 3 3 3 4 6" xfId="36896" xr:uid="{00000000-0005-0000-0000-0000C01C0000}"/>
    <cellStyle name="20% - Accent3 3 3 3 5" xfId="7783" xr:uid="{00000000-0005-0000-0000-0000C11C0000}"/>
    <cellStyle name="20% - Accent3 3 3 3 6" xfId="14884" xr:uid="{00000000-0005-0000-0000-0000C21C0000}"/>
    <cellStyle name="20% - Accent3 3 3 3 7" xfId="21986" xr:uid="{00000000-0005-0000-0000-0000C31C0000}"/>
    <cellStyle name="20% - Accent3 3 3 3 8" xfId="29088" xr:uid="{00000000-0005-0000-0000-0000C41C0000}"/>
    <cellStyle name="20% - Accent3 3 3 3 9" xfId="36897" xr:uid="{00000000-0005-0000-0000-0000C51C0000}"/>
    <cellStyle name="20% - Accent3 3 3 4" xfId="817" xr:uid="{00000000-0005-0000-0000-0000C61C0000}"/>
    <cellStyle name="20% - Accent3 3 3 4 2" xfId="2308" xr:uid="{00000000-0005-0000-0000-0000C71C0000}"/>
    <cellStyle name="20% - Accent3 3 3 4 2 2" xfId="6576" xr:uid="{00000000-0005-0000-0000-0000C81C0000}"/>
    <cellStyle name="20% - Accent3 3 3 4 2 2 2" xfId="13676" xr:uid="{00000000-0005-0000-0000-0000C91C0000}"/>
    <cellStyle name="20% - Accent3 3 3 4 2 2 3" xfId="20777" xr:uid="{00000000-0005-0000-0000-0000CA1C0000}"/>
    <cellStyle name="20% - Accent3 3 3 4 2 2 4" xfId="27879" xr:uid="{00000000-0005-0000-0000-0000CB1C0000}"/>
    <cellStyle name="20% - Accent3 3 3 4 2 2 5" xfId="34981" xr:uid="{00000000-0005-0000-0000-0000CC1C0000}"/>
    <cellStyle name="20% - Accent3 3 3 4 2 2 6" xfId="36898" xr:uid="{00000000-0005-0000-0000-0000CD1C0000}"/>
    <cellStyle name="20% - Accent3 3 3 4 2 3" xfId="9416" xr:uid="{00000000-0005-0000-0000-0000CE1C0000}"/>
    <cellStyle name="20% - Accent3 3 3 4 2 4" xfId="16517" xr:uid="{00000000-0005-0000-0000-0000CF1C0000}"/>
    <cellStyle name="20% - Accent3 3 3 4 2 5" xfId="23619" xr:uid="{00000000-0005-0000-0000-0000D01C0000}"/>
    <cellStyle name="20% - Accent3 3 3 4 2 6" xfId="30721" xr:uid="{00000000-0005-0000-0000-0000D11C0000}"/>
    <cellStyle name="20% - Accent3 3 3 4 2 7" xfId="36899" xr:uid="{00000000-0005-0000-0000-0000D21C0000}"/>
    <cellStyle name="20% - Accent3 3 3 4 3" xfId="5155" xr:uid="{00000000-0005-0000-0000-0000D31C0000}"/>
    <cellStyle name="20% - Accent3 3 3 4 3 2" xfId="12256" xr:uid="{00000000-0005-0000-0000-0000D41C0000}"/>
    <cellStyle name="20% - Accent3 3 3 4 3 2 2" xfId="36900" xr:uid="{00000000-0005-0000-0000-0000D51C0000}"/>
    <cellStyle name="20% - Accent3 3 3 4 3 3" xfId="19357" xr:uid="{00000000-0005-0000-0000-0000D61C0000}"/>
    <cellStyle name="20% - Accent3 3 3 4 3 4" xfId="26459" xr:uid="{00000000-0005-0000-0000-0000D71C0000}"/>
    <cellStyle name="20% - Accent3 3 3 4 3 5" xfId="33561" xr:uid="{00000000-0005-0000-0000-0000D81C0000}"/>
    <cellStyle name="20% - Accent3 3 3 4 3 6" xfId="36901" xr:uid="{00000000-0005-0000-0000-0000D91C0000}"/>
    <cellStyle name="20% - Accent3 3 3 4 4" xfId="3730" xr:uid="{00000000-0005-0000-0000-0000DA1C0000}"/>
    <cellStyle name="20% - Accent3 3 3 4 4 2" xfId="10836" xr:uid="{00000000-0005-0000-0000-0000DB1C0000}"/>
    <cellStyle name="20% - Accent3 3 3 4 4 3" xfId="17937" xr:uid="{00000000-0005-0000-0000-0000DC1C0000}"/>
    <cellStyle name="20% - Accent3 3 3 4 4 4" xfId="25039" xr:uid="{00000000-0005-0000-0000-0000DD1C0000}"/>
    <cellStyle name="20% - Accent3 3 3 4 4 5" xfId="32141" xr:uid="{00000000-0005-0000-0000-0000DE1C0000}"/>
    <cellStyle name="20% - Accent3 3 3 4 4 6" xfId="36902" xr:uid="{00000000-0005-0000-0000-0000DF1C0000}"/>
    <cellStyle name="20% - Accent3 3 3 4 5" xfId="7996" xr:uid="{00000000-0005-0000-0000-0000E01C0000}"/>
    <cellStyle name="20% - Accent3 3 3 4 6" xfId="15097" xr:uid="{00000000-0005-0000-0000-0000E11C0000}"/>
    <cellStyle name="20% - Accent3 3 3 4 7" xfId="22199" xr:uid="{00000000-0005-0000-0000-0000E21C0000}"/>
    <cellStyle name="20% - Accent3 3 3 4 8" xfId="29301" xr:uid="{00000000-0005-0000-0000-0000E31C0000}"/>
    <cellStyle name="20% - Accent3 3 3 4 9" xfId="36903" xr:uid="{00000000-0005-0000-0000-0000E41C0000}"/>
    <cellStyle name="20% - Accent3 3 3 5" xfId="1172" xr:uid="{00000000-0005-0000-0000-0000E51C0000}"/>
    <cellStyle name="20% - Accent3 3 3 5 2" xfId="2663" xr:uid="{00000000-0005-0000-0000-0000E61C0000}"/>
    <cellStyle name="20% - Accent3 3 3 5 2 2" xfId="6931" xr:uid="{00000000-0005-0000-0000-0000E71C0000}"/>
    <cellStyle name="20% - Accent3 3 3 5 2 2 2" xfId="14031" xr:uid="{00000000-0005-0000-0000-0000E81C0000}"/>
    <cellStyle name="20% - Accent3 3 3 5 2 2 3" xfId="21132" xr:uid="{00000000-0005-0000-0000-0000E91C0000}"/>
    <cellStyle name="20% - Accent3 3 3 5 2 2 4" xfId="28234" xr:uid="{00000000-0005-0000-0000-0000EA1C0000}"/>
    <cellStyle name="20% - Accent3 3 3 5 2 2 5" xfId="35336" xr:uid="{00000000-0005-0000-0000-0000EB1C0000}"/>
    <cellStyle name="20% - Accent3 3 3 5 2 3" xfId="9771" xr:uid="{00000000-0005-0000-0000-0000EC1C0000}"/>
    <cellStyle name="20% - Accent3 3 3 5 2 4" xfId="16872" xr:uid="{00000000-0005-0000-0000-0000ED1C0000}"/>
    <cellStyle name="20% - Accent3 3 3 5 2 5" xfId="23974" xr:uid="{00000000-0005-0000-0000-0000EE1C0000}"/>
    <cellStyle name="20% - Accent3 3 3 5 2 6" xfId="31076" xr:uid="{00000000-0005-0000-0000-0000EF1C0000}"/>
    <cellStyle name="20% - Accent3 3 3 5 2 7" xfId="36904" xr:uid="{00000000-0005-0000-0000-0000F01C0000}"/>
    <cellStyle name="20% - Accent3 3 3 5 3" xfId="5510" xr:uid="{00000000-0005-0000-0000-0000F11C0000}"/>
    <cellStyle name="20% - Accent3 3 3 5 3 2" xfId="12611" xr:uid="{00000000-0005-0000-0000-0000F21C0000}"/>
    <cellStyle name="20% - Accent3 3 3 5 3 3" xfId="19712" xr:uid="{00000000-0005-0000-0000-0000F31C0000}"/>
    <cellStyle name="20% - Accent3 3 3 5 3 4" xfId="26814" xr:uid="{00000000-0005-0000-0000-0000F41C0000}"/>
    <cellStyle name="20% - Accent3 3 3 5 3 5" xfId="33916" xr:uid="{00000000-0005-0000-0000-0000F51C0000}"/>
    <cellStyle name="20% - Accent3 3 3 5 4" xfId="4085" xr:uid="{00000000-0005-0000-0000-0000F61C0000}"/>
    <cellStyle name="20% - Accent3 3 3 5 4 2" xfId="11191" xr:uid="{00000000-0005-0000-0000-0000F71C0000}"/>
    <cellStyle name="20% - Accent3 3 3 5 4 3" xfId="18292" xr:uid="{00000000-0005-0000-0000-0000F81C0000}"/>
    <cellStyle name="20% - Accent3 3 3 5 4 4" xfId="25394" xr:uid="{00000000-0005-0000-0000-0000F91C0000}"/>
    <cellStyle name="20% - Accent3 3 3 5 4 5" xfId="32496" xr:uid="{00000000-0005-0000-0000-0000FA1C0000}"/>
    <cellStyle name="20% - Accent3 3 3 5 5" xfId="8351" xr:uid="{00000000-0005-0000-0000-0000FB1C0000}"/>
    <cellStyle name="20% - Accent3 3 3 5 6" xfId="15452" xr:uid="{00000000-0005-0000-0000-0000FC1C0000}"/>
    <cellStyle name="20% - Accent3 3 3 5 7" xfId="22554" xr:uid="{00000000-0005-0000-0000-0000FD1C0000}"/>
    <cellStyle name="20% - Accent3 3 3 5 8" xfId="29656" xr:uid="{00000000-0005-0000-0000-0000FE1C0000}"/>
    <cellStyle name="20% - Accent3 3 3 5 9" xfId="36905" xr:uid="{00000000-0005-0000-0000-0000FF1C0000}"/>
    <cellStyle name="20% - Accent3 3 3 6" xfId="1385" xr:uid="{00000000-0005-0000-0000-0000001D0000}"/>
    <cellStyle name="20% - Accent3 3 3 6 2" xfId="2876" xr:uid="{00000000-0005-0000-0000-0000011D0000}"/>
    <cellStyle name="20% - Accent3 3 3 6 2 2" xfId="7144" xr:uid="{00000000-0005-0000-0000-0000021D0000}"/>
    <cellStyle name="20% - Accent3 3 3 6 2 2 2" xfId="14244" xr:uid="{00000000-0005-0000-0000-0000031D0000}"/>
    <cellStyle name="20% - Accent3 3 3 6 2 2 3" xfId="21345" xr:uid="{00000000-0005-0000-0000-0000041D0000}"/>
    <cellStyle name="20% - Accent3 3 3 6 2 2 4" xfId="28447" xr:uid="{00000000-0005-0000-0000-0000051D0000}"/>
    <cellStyle name="20% - Accent3 3 3 6 2 2 5" xfId="35549" xr:uid="{00000000-0005-0000-0000-0000061D0000}"/>
    <cellStyle name="20% - Accent3 3 3 6 2 3" xfId="9984" xr:uid="{00000000-0005-0000-0000-0000071D0000}"/>
    <cellStyle name="20% - Accent3 3 3 6 2 4" xfId="17085" xr:uid="{00000000-0005-0000-0000-0000081D0000}"/>
    <cellStyle name="20% - Accent3 3 3 6 2 5" xfId="24187" xr:uid="{00000000-0005-0000-0000-0000091D0000}"/>
    <cellStyle name="20% - Accent3 3 3 6 2 6" xfId="31289" xr:uid="{00000000-0005-0000-0000-00000A1D0000}"/>
    <cellStyle name="20% - Accent3 3 3 6 2 7" xfId="36906" xr:uid="{00000000-0005-0000-0000-00000B1D0000}"/>
    <cellStyle name="20% - Accent3 3 3 6 3" xfId="5723" xr:uid="{00000000-0005-0000-0000-00000C1D0000}"/>
    <cellStyle name="20% - Accent3 3 3 6 3 2" xfId="12824" xr:uid="{00000000-0005-0000-0000-00000D1D0000}"/>
    <cellStyle name="20% - Accent3 3 3 6 3 3" xfId="19925" xr:uid="{00000000-0005-0000-0000-00000E1D0000}"/>
    <cellStyle name="20% - Accent3 3 3 6 3 4" xfId="27027" xr:uid="{00000000-0005-0000-0000-00000F1D0000}"/>
    <cellStyle name="20% - Accent3 3 3 6 3 5" xfId="34129" xr:uid="{00000000-0005-0000-0000-0000101D0000}"/>
    <cellStyle name="20% - Accent3 3 3 6 4" xfId="4298" xr:uid="{00000000-0005-0000-0000-0000111D0000}"/>
    <cellStyle name="20% - Accent3 3 3 6 4 2" xfId="11404" xr:uid="{00000000-0005-0000-0000-0000121D0000}"/>
    <cellStyle name="20% - Accent3 3 3 6 4 3" xfId="18505" xr:uid="{00000000-0005-0000-0000-0000131D0000}"/>
    <cellStyle name="20% - Accent3 3 3 6 4 4" xfId="25607" xr:uid="{00000000-0005-0000-0000-0000141D0000}"/>
    <cellStyle name="20% - Accent3 3 3 6 4 5" xfId="32709" xr:uid="{00000000-0005-0000-0000-0000151D0000}"/>
    <cellStyle name="20% - Accent3 3 3 6 5" xfId="8564" xr:uid="{00000000-0005-0000-0000-0000161D0000}"/>
    <cellStyle name="20% - Accent3 3 3 6 6" xfId="15665" xr:uid="{00000000-0005-0000-0000-0000171D0000}"/>
    <cellStyle name="20% - Accent3 3 3 6 7" xfId="22767" xr:uid="{00000000-0005-0000-0000-0000181D0000}"/>
    <cellStyle name="20% - Accent3 3 3 6 8" xfId="29869" xr:uid="{00000000-0005-0000-0000-0000191D0000}"/>
    <cellStyle name="20% - Accent3 3 3 6 9" xfId="36907" xr:uid="{00000000-0005-0000-0000-00001A1D0000}"/>
    <cellStyle name="20% - Accent3 3 3 7" xfId="1669" xr:uid="{00000000-0005-0000-0000-00001B1D0000}"/>
    <cellStyle name="20% - Accent3 3 3 7 2" xfId="5937" xr:uid="{00000000-0005-0000-0000-00001C1D0000}"/>
    <cellStyle name="20% - Accent3 3 3 7 2 2" xfId="13037" xr:uid="{00000000-0005-0000-0000-00001D1D0000}"/>
    <cellStyle name="20% - Accent3 3 3 7 2 3" xfId="20138" xr:uid="{00000000-0005-0000-0000-00001E1D0000}"/>
    <cellStyle name="20% - Accent3 3 3 7 2 4" xfId="27240" xr:uid="{00000000-0005-0000-0000-00001F1D0000}"/>
    <cellStyle name="20% - Accent3 3 3 7 2 5" xfId="34342" xr:uid="{00000000-0005-0000-0000-0000201D0000}"/>
    <cellStyle name="20% - Accent3 3 3 7 3" xfId="8777" xr:uid="{00000000-0005-0000-0000-0000211D0000}"/>
    <cellStyle name="20% - Accent3 3 3 7 4" xfId="15878" xr:uid="{00000000-0005-0000-0000-0000221D0000}"/>
    <cellStyle name="20% - Accent3 3 3 7 5" xfId="22980" xr:uid="{00000000-0005-0000-0000-0000231D0000}"/>
    <cellStyle name="20% - Accent3 3 3 7 6" xfId="30082" xr:uid="{00000000-0005-0000-0000-0000241D0000}"/>
    <cellStyle name="20% - Accent3 3 3 7 7" xfId="36908" xr:uid="{00000000-0005-0000-0000-0000251D0000}"/>
    <cellStyle name="20% - Accent3 3 3 8" xfId="4516" xr:uid="{00000000-0005-0000-0000-0000261D0000}"/>
    <cellStyle name="20% - Accent3 3 3 8 2" xfId="11617" xr:uid="{00000000-0005-0000-0000-0000271D0000}"/>
    <cellStyle name="20% - Accent3 3 3 8 3" xfId="18718" xr:uid="{00000000-0005-0000-0000-0000281D0000}"/>
    <cellStyle name="20% - Accent3 3 3 8 4" xfId="25820" xr:uid="{00000000-0005-0000-0000-0000291D0000}"/>
    <cellStyle name="20% - Accent3 3 3 8 5" xfId="32922" xr:uid="{00000000-0005-0000-0000-00002A1D0000}"/>
    <cellStyle name="20% - Accent3 3 3 9" xfId="3091" xr:uid="{00000000-0005-0000-0000-00002B1D0000}"/>
    <cellStyle name="20% - Accent3 3 3 9 2" xfId="10197" xr:uid="{00000000-0005-0000-0000-00002C1D0000}"/>
    <cellStyle name="20% - Accent3 3 3 9 3" xfId="17298" xr:uid="{00000000-0005-0000-0000-00002D1D0000}"/>
    <cellStyle name="20% - Accent3 3 3 9 4" xfId="24400" xr:uid="{00000000-0005-0000-0000-00002E1D0000}"/>
    <cellStyle name="20% - Accent3 3 3 9 5" xfId="31502" xr:uid="{00000000-0005-0000-0000-00002F1D0000}"/>
    <cellStyle name="20% - Accent3 3 4" xfId="320" xr:uid="{00000000-0005-0000-0000-0000301D0000}"/>
    <cellStyle name="20% - Accent3 3 4 10" xfId="36909" xr:uid="{00000000-0005-0000-0000-0000311D0000}"/>
    <cellStyle name="20% - Accent3 3 4 2" xfId="1101" xr:uid="{00000000-0005-0000-0000-0000321D0000}"/>
    <cellStyle name="20% - Accent3 3 4 2 2" xfId="2592" xr:uid="{00000000-0005-0000-0000-0000331D0000}"/>
    <cellStyle name="20% - Accent3 3 4 2 2 2" xfId="6860" xr:uid="{00000000-0005-0000-0000-0000341D0000}"/>
    <cellStyle name="20% - Accent3 3 4 2 2 2 2" xfId="13960" xr:uid="{00000000-0005-0000-0000-0000351D0000}"/>
    <cellStyle name="20% - Accent3 3 4 2 2 2 3" xfId="21061" xr:uid="{00000000-0005-0000-0000-0000361D0000}"/>
    <cellStyle name="20% - Accent3 3 4 2 2 2 4" xfId="28163" xr:uid="{00000000-0005-0000-0000-0000371D0000}"/>
    <cellStyle name="20% - Accent3 3 4 2 2 2 5" xfId="35265" xr:uid="{00000000-0005-0000-0000-0000381D0000}"/>
    <cellStyle name="20% - Accent3 3 4 2 2 3" xfId="9700" xr:uid="{00000000-0005-0000-0000-0000391D0000}"/>
    <cellStyle name="20% - Accent3 3 4 2 2 4" xfId="16801" xr:uid="{00000000-0005-0000-0000-00003A1D0000}"/>
    <cellStyle name="20% - Accent3 3 4 2 2 5" xfId="23903" xr:uid="{00000000-0005-0000-0000-00003B1D0000}"/>
    <cellStyle name="20% - Accent3 3 4 2 2 6" xfId="31005" xr:uid="{00000000-0005-0000-0000-00003C1D0000}"/>
    <cellStyle name="20% - Accent3 3 4 2 2 7" xfId="36910" xr:uid="{00000000-0005-0000-0000-00003D1D0000}"/>
    <cellStyle name="20% - Accent3 3 4 2 3" xfId="5439" xr:uid="{00000000-0005-0000-0000-00003E1D0000}"/>
    <cellStyle name="20% - Accent3 3 4 2 3 2" xfId="12540" xr:uid="{00000000-0005-0000-0000-00003F1D0000}"/>
    <cellStyle name="20% - Accent3 3 4 2 3 3" xfId="19641" xr:uid="{00000000-0005-0000-0000-0000401D0000}"/>
    <cellStyle name="20% - Accent3 3 4 2 3 4" xfId="26743" xr:uid="{00000000-0005-0000-0000-0000411D0000}"/>
    <cellStyle name="20% - Accent3 3 4 2 3 5" xfId="33845" xr:uid="{00000000-0005-0000-0000-0000421D0000}"/>
    <cellStyle name="20% - Accent3 3 4 2 4" xfId="4014" xr:uid="{00000000-0005-0000-0000-0000431D0000}"/>
    <cellStyle name="20% - Accent3 3 4 2 4 2" xfId="11120" xr:uid="{00000000-0005-0000-0000-0000441D0000}"/>
    <cellStyle name="20% - Accent3 3 4 2 4 3" xfId="18221" xr:uid="{00000000-0005-0000-0000-0000451D0000}"/>
    <cellStyle name="20% - Accent3 3 4 2 4 4" xfId="25323" xr:uid="{00000000-0005-0000-0000-0000461D0000}"/>
    <cellStyle name="20% - Accent3 3 4 2 4 5" xfId="32425" xr:uid="{00000000-0005-0000-0000-0000471D0000}"/>
    <cellStyle name="20% - Accent3 3 4 2 5" xfId="8280" xr:uid="{00000000-0005-0000-0000-0000481D0000}"/>
    <cellStyle name="20% - Accent3 3 4 2 6" xfId="15381" xr:uid="{00000000-0005-0000-0000-0000491D0000}"/>
    <cellStyle name="20% - Accent3 3 4 2 7" xfId="22483" xr:uid="{00000000-0005-0000-0000-00004A1D0000}"/>
    <cellStyle name="20% - Accent3 3 4 2 8" xfId="29585" xr:uid="{00000000-0005-0000-0000-00004B1D0000}"/>
    <cellStyle name="20% - Accent3 3 4 2 9" xfId="36911" xr:uid="{00000000-0005-0000-0000-00004C1D0000}"/>
    <cellStyle name="20% - Accent3 3 4 3" xfId="1811" xr:uid="{00000000-0005-0000-0000-00004D1D0000}"/>
    <cellStyle name="20% - Accent3 3 4 3 2" xfId="6079" xr:uid="{00000000-0005-0000-0000-00004E1D0000}"/>
    <cellStyle name="20% - Accent3 3 4 3 2 2" xfId="13179" xr:uid="{00000000-0005-0000-0000-00004F1D0000}"/>
    <cellStyle name="20% - Accent3 3 4 3 2 3" xfId="20280" xr:uid="{00000000-0005-0000-0000-0000501D0000}"/>
    <cellStyle name="20% - Accent3 3 4 3 2 4" xfId="27382" xr:uid="{00000000-0005-0000-0000-0000511D0000}"/>
    <cellStyle name="20% - Accent3 3 4 3 2 5" xfId="34484" xr:uid="{00000000-0005-0000-0000-0000521D0000}"/>
    <cellStyle name="20% - Accent3 3 4 3 2 6" xfId="36912" xr:uid="{00000000-0005-0000-0000-0000531D0000}"/>
    <cellStyle name="20% - Accent3 3 4 3 3" xfId="8919" xr:uid="{00000000-0005-0000-0000-0000541D0000}"/>
    <cellStyle name="20% - Accent3 3 4 3 4" xfId="16020" xr:uid="{00000000-0005-0000-0000-0000551D0000}"/>
    <cellStyle name="20% - Accent3 3 4 3 5" xfId="23122" xr:uid="{00000000-0005-0000-0000-0000561D0000}"/>
    <cellStyle name="20% - Accent3 3 4 3 6" xfId="30224" xr:uid="{00000000-0005-0000-0000-0000571D0000}"/>
    <cellStyle name="20% - Accent3 3 4 3 7" xfId="36913" xr:uid="{00000000-0005-0000-0000-0000581D0000}"/>
    <cellStyle name="20% - Accent3 3 4 4" xfId="4658" xr:uid="{00000000-0005-0000-0000-0000591D0000}"/>
    <cellStyle name="20% - Accent3 3 4 4 2" xfId="11759" xr:uid="{00000000-0005-0000-0000-00005A1D0000}"/>
    <cellStyle name="20% - Accent3 3 4 4 3" xfId="18860" xr:uid="{00000000-0005-0000-0000-00005B1D0000}"/>
    <cellStyle name="20% - Accent3 3 4 4 4" xfId="25962" xr:uid="{00000000-0005-0000-0000-00005C1D0000}"/>
    <cellStyle name="20% - Accent3 3 4 4 5" xfId="33064" xr:uid="{00000000-0005-0000-0000-00005D1D0000}"/>
    <cellStyle name="20% - Accent3 3 4 4 6" xfId="36914" xr:uid="{00000000-0005-0000-0000-00005E1D0000}"/>
    <cellStyle name="20% - Accent3 3 4 5" xfId="3233" xr:uid="{00000000-0005-0000-0000-00005F1D0000}"/>
    <cellStyle name="20% - Accent3 3 4 5 2" xfId="10339" xr:uid="{00000000-0005-0000-0000-0000601D0000}"/>
    <cellStyle name="20% - Accent3 3 4 5 3" xfId="17440" xr:uid="{00000000-0005-0000-0000-0000611D0000}"/>
    <cellStyle name="20% - Accent3 3 4 5 4" xfId="24542" xr:uid="{00000000-0005-0000-0000-0000621D0000}"/>
    <cellStyle name="20% - Accent3 3 4 5 5" xfId="31644" xr:uid="{00000000-0005-0000-0000-0000631D0000}"/>
    <cellStyle name="20% - Accent3 3 4 6" xfId="7499" xr:uid="{00000000-0005-0000-0000-0000641D0000}"/>
    <cellStyle name="20% - Accent3 3 4 7" xfId="14600" xr:uid="{00000000-0005-0000-0000-0000651D0000}"/>
    <cellStyle name="20% - Accent3 3 4 8" xfId="21702" xr:uid="{00000000-0005-0000-0000-0000661D0000}"/>
    <cellStyle name="20% - Accent3 3 4 9" xfId="28804" xr:uid="{00000000-0005-0000-0000-0000671D0000}"/>
    <cellStyle name="20% - Accent3 3 5" xfId="533" xr:uid="{00000000-0005-0000-0000-0000681D0000}"/>
    <cellStyle name="20% - Accent3 3 5 2" xfId="2024" xr:uid="{00000000-0005-0000-0000-0000691D0000}"/>
    <cellStyle name="20% - Accent3 3 5 2 2" xfId="6292" xr:uid="{00000000-0005-0000-0000-00006A1D0000}"/>
    <cellStyle name="20% - Accent3 3 5 2 2 2" xfId="13392" xr:uid="{00000000-0005-0000-0000-00006B1D0000}"/>
    <cellStyle name="20% - Accent3 3 5 2 2 3" xfId="20493" xr:uid="{00000000-0005-0000-0000-00006C1D0000}"/>
    <cellStyle name="20% - Accent3 3 5 2 2 4" xfId="27595" xr:uid="{00000000-0005-0000-0000-00006D1D0000}"/>
    <cellStyle name="20% - Accent3 3 5 2 2 5" xfId="34697" xr:uid="{00000000-0005-0000-0000-00006E1D0000}"/>
    <cellStyle name="20% - Accent3 3 5 2 2 6" xfId="36915" xr:uid="{00000000-0005-0000-0000-00006F1D0000}"/>
    <cellStyle name="20% - Accent3 3 5 2 3" xfId="9132" xr:uid="{00000000-0005-0000-0000-0000701D0000}"/>
    <cellStyle name="20% - Accent3 3 5 2 4" xfId="16233" xr:uid="{00000000-0005-0000-0000-0000711D0000}"/>
    <cellStyle name="20% - Accent3 3 5 2 5" xfId="23335" xr:uid="{00000000-0005-0000-0000-0000721D0000}"/>
    <cellStyle name="20% - Accent3 3 5 2 6" xfId="30437" xr:uid="{00000000-0005-0000-0000-0000731D0000}"/>
    <cellStyle name="20% - Accent3 3 5 2 7" xfId="36916" xr:uid="{00000000-0005-0000-0000-0000741D0000}"/>
    <cellStyle name="20% - Accent3 3 5 3" xfId="4871" xr:uid="{00000000-0005-0000-0000-0000751D0000}"/>
    <cellStyle name="20% - Accent3 3 5 3 2" xfId="11972" xr:uid="{00000000-0005-0000-0000-0000761D0000}"/>
    <cellStyle name="20% - Accent3 3 5 3 2 2" xfId="36917" xr:uid="{00000000-0005-0000-0000-0000771D0000}"/>
    <cellStyle name="20% - Accent3 3 5 3 3" xfId="19073" xr:uid="{00000000-0005-0000-0000-0000781D0000}"/>
    <cellStyle name="20% - Accent3 3 5 3 4" xfId="26175" xr:uid="{00000000-0005-0000-0000-0000791D0000}"/>
    <cellStyle name="20% - Accent3 3 5 3 5" xfId="33277" xr:uid="{00000000-0005-0000-0000-00007A1D0000}"/>
    <cellStyle name="20% - Accent3 3 5 3 6" xfId="36918" xr:uid="{00000000-0005-0000-0000-00007B1D0000}"/>
    <cellStyle name="20% - Accent3 3 5 4" xfId="3446" xr:uid="{00000000-0005-0000-0000-00007C1D0000}"/>
    <cellStyle name="20% - Accent3 3 5 4 2" xfId="10552" xr:uid="{00000000-0005-0000-0000-00007D1D0000}"/>
    <cellStyle name="20% - Accent3 3 5 4 3" xfId="17653" xr:uid="{00000000-0005-0000-0000-00007E1D0000}"/>
    <cellStyle name="20% - Accent3 3 5 4 4" xfId="24755" xr:uid="{00000000-0005-0000-0000-00007F1D0000}"/>
    <cellStyle name="20% - Accent3 3 5 4 5" xfId="31857" xr:uid="{00000000-0005-0000-0000-0000801D0000}"/>
    <cellStyle name="20% - Accent3 3 5 4 6" xfId="36919" xr:uid="{00000000-0005-0000-0000-0000811D0000}"/>
    <cellStyle name="20% - Accent3 3 5 5" xfId="7712" xr:uid="{00000000-0005-0000-0000-0000821D0000}"/>
    <cellStyle name="20% - Accent3 3 5 6" xfId="14813" xr:uid="{00000000-0005-0000-0000-0000831D0000}"/>
    <cellStyle name="20% - Accent3 3 5 7" xfId="21915" xr:uid="{00000000-0005-0000-0000-0000841D0000}"/>
    <cellStyle name="20% - Accent3 3 5 8" xfId="29017" xr:uid="{00000000-0005-0000-0000-0000851D0000}"/>
    <cellStyle name="20% - Accent3 3 5 9" xfId="36920" xr:uid="{00000000-0005-0000-0000-0000861D0000}"/>
    <cellStyle name="20% - Accent3 3 6" xfId="746" xr:uid="{00000000-0005-0000-0000-0000871D0000}"/>
    <cellStyle name="20% - Accent3 3 6 2" xfId="2237" xr:uid="{00000000-0005-0000-0000-0000881D0000}"/>
    <cellStyle name="20% - Accent3 3 6 2 2" xfId="6505" xr:uid="{00000000-0005-0000-0000-0000891D0000}"/>
    <cellStyle name="20% - Accent3 3 6 2 2 2" xfId="13605" xr:uid="{00000000-0005-0000-0000-00008A1D0000}"/>
    <cellStyle name="20% - Accent3 3 6 2 2 3" xfId="20706" xr:uid="{00000000-0005-0000-0000-00008B1D0000}"/>
    <cellStyle name="20% - Accent3 3 6 2 2 4" xfId="27808" xr:uid="{00000000-0005-0000-0000-00008C1D0000}"/>
    <cellStyle name="20% - Accent3 3 6 2 2 5" xfId="34910" xr:uid="{00000000-0005-0000-0000-00008D1D0000}"/>
    <cellStyle name="20% - Accent3 3 6 2 2 6" xfId="36921" xr:uid="{00000000-0005-0000-0000-00008E1D0000}"/>
    <cellStyle name="20% - Accent3 3 6 2 3" xfId="9345" xr:uid="{00000000-0005-0000-0000-00008F1D0000}"/>
    <cellStyle name="20% - Accent3 3 6 2 4" xfId="16446" xr:uid="{00000000-0005-0000-0000-0000901D0000}"/>
    <cellStyle name="20% - Accent3 3 6 2 5" xfId="23548" xr:uid="{00000000-0005-0000-0000-0000911D0000}"/>
    <cellStyle name="20% - Accent3 3 6 2 6" xfId="30650" xr:uid="{00000000-0005-0000-0000-0000921D0000}"/>
    <cellStyle name="20% - Accent3 3 6 2 7" xfId="36922" xr:uid="{00000000-0005-0000-0000-0000931D0000}"/>
    <cellStyle name="20% - Accent3 3 6 3" xfId="5084" xr:uid="{00000000-0005-0000-0000-0000941D0000}"/>
    <cellStyle name="20% - Accent3 3 6 3 2" xfId="12185" xr:uid="{00000000-0005-0000-0000-0000951D0000}"/>
    <cellStyle name="20% - Accent3 3 6 3 2 2" xfId="36923" xr:uid="{00000000-0005-0000-0000-0000961D0000}"/>
    <cellStyle name="20% - Accent3 3 6 3 3" xfId="19286" xr:uid="{00000000-0005-0000-0000-0000971D0000}"/>
    <cellStyle name="20% - Accent3 3 6 3 4" xfId="26388" xr:uid="{00000000-0005-0000-0000-0000981D0000}"/>
    <cellStyle name="20% - Accent3 3 6 3 5" xfId="33490" xr:uid="{00000000-0005-0000-0000-0000991D0000}"/>
    <cellStyle name="20% - Accent3 3 6 3 6" xfId="36924" xr:uid="{00000000-0005-0000-0000-00009A1D0000}"/>
    <cellStyle name="20% - Accent3 3 6 4" xfId="3659" xr:uid="{00000000-0005-0000-0000-00009B1D0000}"/>
    <cellStyle name="20% - Accent3 3 6 4 2" xfId="10765" xr:uid="{00000000-0005-0000-0000-00009C1D0000}"/>
    <cellStyle name="20% - Accent3 3 6 4 3" xfId="17866" xr:uid="{00000000-0005-0000-0000-00009D1D0000}"/>
    <cellStyle name="20% - Accent3 3 6 4 4" xfId="24968" xr:uid="{00000000-0005-0000-0000-00009E1D0000}"/>
    <cellStyle name="20% - Accent3 3 6 4 5" xfId="32070" xr:uid="{00000000-0005-0000-0000-00009F1D0000}"/>
    <cellStyle name="20% - Accent3 3 6 4 6" xfId="36925" xr:uid="{00000000-0005-0000-0000-0000A01D0000}"/>
    <cellStyle name="20% - Accent3 3 6 5" xfId="7925" xr:uid="{00000000-0005-0000-0000-0000A11D0000}"/>
    <cellStyle name="20% - Accent3 3 6 6" xfId="15026" xr:uid="{00000000-0005-0000-0000-0000A21D0000}"/>
    <cellStyle name="20% - Accent3 3 6 7" xfId="22128" xr:uid="{00000000-0005-0000-0000-0000A31D0000}"/>
    <cellStyle name="20% - Accent3 3 6 8" xfId="29230" xr:uid="{00000000-0005-0000-0000-0000A41D0000}"/>
    <cellStyle name="20% - Accent3 3 6 9" xfId="36926" xr:uid="{00000000-0005-0000-0000-0000A51D0000}"/>
    <cellStyle name="20% - Accent3 3 7" xfId="959" xr:uid="{00000000-0005-0000-0000-0000A61D0000}"/>
    <cellStyle name="20% - Accent3 3 7 2" xfId="2450" xr:uid="{00000000-0005-0000-0000-0000A71D0000}"/>
    <cellStyle name="20% - Accent3 3 7 2 2" xfId="6718" xr:uid="{00000000-0005-0000-0000-0000A81D0000}"/>
    <cellStyle name="20% - Accent3 3 7 2 2 2" xfId="13818" xr:uid="{00000000-0005-0000-0000-0000A91D0000}"/>
    <cellStyle name="20% - Accent3 3 7 2 2 3" xfId="20919" xr:uid="{00000000-0005-0000-0000-0000AA1D0000}"/>
    <cellStyle name="20% - Accent3 3 7 2 2 4" xfId="28021" xr:uid="{00000000-0005-0000-0000-0000AB1D0000}"/>
    <cellStyle name="20% - Accent3 3 7 2 2 5" xfId="35123" xr:uid="{00000000-0005-0000-0000-0000AC1D0000}"/>
    <cellStyle name="20% - Accent3 3 7 2 3" xfId="9558" xr:uid="{00000000-0005-0000-0000-0000AD1D0000}"/>
    <cellStyle name="20% - Accent3 3 7 2 4" xfId="16659" xr:uid="{00000000-0005-0000-0000-0000AE1D0000}"/>
    <cellStyle name="20% - Accent3 3 7 2 5" xfId="23761" xr:uid="{00000000-0005-0000-0000-0000AF1D0000}"/>
    <cellStyle name="20% - Accent3 3 7 2 6" xfId="30863" xr:uid="{00000000-0005-0000-0000-0000B01D0000}"/>
    <cellStyle name="20% - Accent3 3 7 2 7" xfId="36927" xr:uid="{00000000-0005-0000-0000-0000B11D0000}"/>
    <cellStyle name="20% - Accent3 3 7 3" xfId="5297" xr:uid="{00000000-0005-0000-0000-0000B21D0000}"/>
    <cellStyle name="20% - Accent3 3 7 3 2" xfId="12398" xr:uid="{00000000-0005-0000-0000-0000B31D0000}"/>
    <cellStyle name="20% - Accent3 3 7 3 3" xfId="19499" xr:uid="{00000000-0005-0000-0000-0000B41D0000}"/>
    <cellStyle name="20% - Accent3 3 7 3 4" xfId="26601" xr:uid="{00000000-0005-0000-0000-0000B51D0000}"/>
    <cellStyle name="20% - Accent3 3 7 3 5" xfId="33703" xr:uid="{00000000-0005-0000-0000-0000B61D0000}"/>
    <cellStyle name="20% - Accent3 3 7 4" xfId="3872" xr:uid="{00000000-0005-0000-0000-0000B71D0000}"/>
    <cellStyle name="20% - Accent3 3 7 4 2" xfId="10978" xr:uid="{00000000-0005-0000-0000-0000B81D0000}"/>
    <cellStyle name="20% - Accent3 3 7 4 3" xfId="18079" xr:uid="{00000000-0005-0000-0000-0000B91D0000}"/>
    <cellStyle name="20% - Accent3 3 7 4 4" xfId="25181" xr:uid="{00000000-0005-0000-0000-0000BA1D0000}"/>
    <cellStyle name="20% - Accent3 3 7 4 5" xfId="32283" xr:uid="{00000000-0005-0000-0000-0000BB1D0000}"/>
    <cellStyle name="20% - Accent3 3 7 5" xfId="8138" xr:uid="{00000000-0005-0000-0000-0000BC1D0000}"/>
    <cellStyle name="20% - Accent3 3 7 6" xfId="15239" xr:uid="{00000000-0005-0000-0000-0000BD1D0000}"/>
    <cellStyle name="20% - Accent3 3 7 7" xfId="22341" xr:uid="{00000000-0005-0000-0000-0000BE1D0000}"/>
    <cellStyle name="20% - Accent3 3 7 8" xfId="29443" xr:uid="{00000000-0005-0000-0000-0000BF1D0000}"/>
    <cellStyle name="20% - Accent3 3 7 9" xfId="36928" xr:uid="{00000000-0005-0000-0000-0000C01D0000}"/>
    <cellStyle name="20% - Accent3 3 8" xfId="1314" xr:uid="{00000000-0005-0000-0000-0000C11D0000}"/>
    <cellStyle name="20% - Accent3 3 8 2" xfId="2805" xr:uid="{00000000-0005-0000-0000-0000C21D0000}"/>
    <cellStyle name="20% - Accent3 3 8 2 2" xfId="7073" xr:uid="{00000000-0005-0000-0000-0000C31D0000}"/>
    <cellStyle name="20% - Accent3 3 8 2 2 2" xfId="14173" xr:uid="{00000000-0005-0000-0000-0000C41D0000}"/>
    <cellStyle name="20% - Accent3 3 8 2 2 3" xfId="21274" xr:uid="{00000000-0005-0000-0000-0000C51D0000}"/>
    <cellStyle name="20% - Accent3 3 8 2 2 4" xfId="28376" xr:uid="{00000000-0005-0000-0000-0000C61D0000}"/>
    <cellStyle name="20% - Accent3 3 8 2 2 5" xfId="35478" xr:uid="{00000000-0005-0000-0000-0000C71D0000}"/>
    <cellStyle name="20% - Accent3 3 8 2 3" xfId="9913" xr:uid="{00000000-0005-0000-0000-0000C81D0000}"/>
    <cellStyle name="20% - Accent3 3 8 2 4" xfId="17014" xr:uid="{00000000-0005-0000-0000-0000C91D0000}"/>
    <cellStyle name="20% - Accent3 3 8 2 5" xfId="24116" xr:uid="{00000000-0005-0000-0000-0000CA1D0000}"/>
    <cellStyle name="20% - Accent3 3 8 2 6" xfId="31218" xr:uid="{00000000-0005-0000-0000-0000CB1D0000}"/>
    <cellStyle name="20% - Accent3 3 8 2 7" xfId="36929" xr:uid="{00000000-0005-0000-0000-0000CC1D0000}"/>
    <cellStyle name="20% - Accent3 3 8 3" xfId="5652" xr:uid="{00000000-0005-0000-0000-0000CD1D0000}"/>
    <cellStyle name="20% - Accent3 3 8 3 2" xfId="12753" xr:uid="{00000000-0005-0000-0000-0000CE1D0000}"/>
    <cellStyle name="20% - Accent3 3 8 3 3" xfId="19854" xr:uid="{00000000-0005-0000-0000-0000CF1D0000}"/>
    <cellStyle name="20% - Accent3 3 8 3 4" xfId="26956" xr:uid="{00000000-0005-0000-0000-0000D01D0000}"/>
    <cellStyle name="20% - Accent3 3 8 3 5" xfId="34058" xr:uid="{00000000-0005-0000-0000-0000D11D0000}"/>
    <cellStyle name="20% - Accent3 3 8 4" xfId="4227" xr:uid="{00000000-0005-0000-0000-0000D21D0000}"/>
    <cellStyle name="20% - Accent3 3 8 4 2" xfId="11333" xr:uid="{00000000-0005-0000-0000-0000D31D0000}"/>
    <cellStyle name="20% - Accent3 3 8 4 3" xfId="18434" xr:uid="{00000000-0005-0000-0000-0000D41D0000}"/>
    <cellStyle name="20% - Accent3 3 8 4 4" xfId="25536" xr:uid="{00000000-0005-0000-0000-0000D51D0000}"/>
    <cellStyle name="20% - Accent3 3 8 4 5" xfId="32638" xr:uid="{00000000-0005-0000-0000-0000D61D0000}"/>
    <cellStyle name="20% - Accent3 3 8 5" xfId="8493" xr:uid="{00000000-0005-0000-0000-0000D71D0000}"/>
    <cellStyle name="20% - Accent3 3 8 6" xfId="15594" xr:uid="{00000000-0005-0000-0000-0000D81D0000}"/>
    <cellStyle name="20% - Accent3 3 8 7" xfId="22696" xr:uid="{00000000-0005-0000-0000-0000D91D0000}"/>
    <cellStyle name="20% - Accent3 3 8 8" xfId="29798" xr:uid="{00000000-0005-0000-0000-0000DA1D0000}"/>
    <cellStyle name="20% - Accent3 3 8 9" xfId="36930" xr:uid="{00000000-0005-0000-0000-0000DB1D0000}"/>
    <cellStyle name="20% - Accent3 3 9" xfId="1596" xr:uid="{00000000-0005-0000-0000-0000DC1D0000}"/>
    <cellStyle name="20% - Accent3 3 9 2" xfId="5866" xr:uid="{00000000-0005-0000-0000-0000DD1D0000}"/>
    <cellStyle name="20% - Accent3 3 9 2 2" xfId="12966" xr:uid="{00000000-0005-0000-0000-0000DE1D0000}"/>
    <cellStyle name="20% - Accent3 3 9 2 3" xfId="20067" xr:uid="{00000000-0005-0000-0000-0000DF1D0000}"/>
    <cellStyle name="20% - Accent3 3 9 2 4" xfId="27169" xr:uid="{00000000-0005-0000-0000-0000E01D0000}"/>
    <cellStyle name="20% - Accent3 3 9 2 5" xfId="34271" xr:uid="{00000000-0005-0000-0000-0000E11D0000}"/>
    <cellStyle name="20% - Accent3 3 9 3" xfId="8706" xr:uid="{00000000-0005-0000-0000-0000E21D0000}"/>
    <cellStyle name="20% - Accent3 3 9 4" xfId="15807" xr:uid="{00000000-0005-0000-0000-0000E31D0000}"/>
    <cellStyle name="20% - Accent3 3 9 5" xfId="22909" xr:uid="{00000000-0005-0000-0000-0000E41D0000}"/>
    <cellStyle name="20% - Accent3 3 9 6" xfId="30011" xr:uid="{00000000-0005-0000-0000-0000E51D0000}"/>
    <cellStyle name="20% - Accent3 3 9 7" xfId="36931" xr:uid="{00000000-0005-0000-0000-0000E61D0000}"/>
    <cellStyle name="20% - Accent3 4" xfId="136" xr:uid="{00000000-0005-0000-0000-0000E71D0000}"/>
    <cellStyle name="20% - Accent3 4 10" xfId="4476" xr:uid="{00000000-0005-0000-0000-0000E81D0000}"/>
    <cellStyle name="20% - Accent3 4 10 2" xfId="11577" xr:uid="{00000000-0005-0000-0000-0000E91D0000}"/>
    <cellStyle name="20% - Accent3 4 10 3" xfId="18678" xr:uid="{00000000-0005-0000-0000-0000EA1D0000}"/>
    <cellStyle name="20% - Accent3 4 10 4" xfId="25780" xr:uid="{00000000-0005-0000-0000-0000EB1D0000}"/>
    <cellStyle name="20% - Accent3 4 10 5" xfId="32882" xr:uid="{00000000-0005-0000-0000-0000EC1D0000}"/>
    <cellStyle name="20% - Accent3 4 11" xfId="3051" xr:uid="{00000000-0005-0000-0000-0000ED1D0000}"/>
    <cellStyle name="20% - Accent3 4 11 2" xfId="10157" xr:uid="{00000000-0005-0000-0000-0000EE1D0000}"/>
    <cellStyle name="20% - Accent3 4 11 3" xfId="17258" xr:uid="{00000000-0005-0000-0000-0000EF1D0000}"/>
    <cellStyle name="20% - Accent3 4 11 4" xfId="24360" xr:uid="{00000000-0005-0000-0000-0000F01D0000}"/>
    <cellStyle name="20% - Accent3 4 11 5" xfId="31462" xr:uid="{00000000-0005-0000-0000-0000F11D0000}"/>
    <cellStyle name="20% - Accent3 4 12" xfId="7317" xr:uid="{00000000-0005-0000-0000-0000F21D0000}"/>
    <cellStyle name="20% - Accent3 4 13" xfId="14418" xr:uid="{00000000-0005-0000-0000-0000F31D0000}"/>
    <cellStyle name="20% - Accent3 4 14" xfId="21520" xr:uid="{00000000-0005-0000-0000-0000F41D0000}"/>
    <cellStyle name="20% - Accent3 4 15" xfId="28622" xr:uid="{00000000-0005-0000-0000-0000F51D0000}"/>
    <cellStyle name="20% - Accent3 4 16" xfId="35724" xr:uid="{00000000-0005-0000-0000-0000F61D0000}"/>
    <cellStyle name="20% - Accent3 4 17" xfId="36932" xr:uid="{00000000-0005-0000-0000-0000F71D0000}"/>
    <cellStyle name="20% - Accent3 4 18" xfId="36933" xr:uid="{00000000-0005-0000-0000-0000F81D0000}"/>
    <cellStyle name="20% - Accent3 4 2" xfId="280" xr:uid="{00000000-0005-0000-0000-0000F91D0000}"/>
    <cellStyle name="20% - Accent3 4 2 10" xfId="7459" xr:uid="{00000000-0005-0000-0000-0000FA1D0000}"/>
    <cellStyle name="20% - Accent3 4 2 11" xfId="14560" xr:uid="{00000000-0005-0000-0000-0000FB1D0000}"/>
    <cellStyle name="20% - Accent3 4 2 12" xfId="21662" xr:uid="{00000000-0005-0000-0000-0000FC1D0000}"/>
    <cellStyle name="20% - Accent3 4 2 13" xfId="28764" xr:uid="{00000000-0005-0000-0000-0000FD1D0000}"/>
    <cellStyle name="20% - Accent3 4 2 14" xfId="35866" xr:uid="{00000000-0005-0000-0000-0000FE1D0000}"/>
    <cellStyle name="20% - Accent3 4 2 15" xfId="36934" xr:uid="{00000000-0005-0000-0000-0000FF1D0000}"/>
    <cellStyle name="20% - Accent3 4 2 2" xfId="493" xr:uid="{00000000-0005-0000-0000-0000001E0000}"/>
    <cellStyle name="20% - Accent3 4 2 2 10" xfId="36935" xr:uid="{00000000-0005-0000-0000-0000011E0000}"/>
    <cellStyle name="20% - Accent3 4 2 2 2" xfId="1274" xr:uid="{00000000-0005-0000-0000-0000021E0000}"/>
    <cellStyle name="20% - Accent3 4 2 2 2 2" xfId="2765" xr:uid="{00000000-0005-0000-0000-0000031E0000}"/>
    <cellStyle name="20% - Accent3 4 2 2 2 2 2" xfId="7033" xr:uid="{00000000-0005-0000-0000-0000041E0000}"/>
    <cellStyle name="20% - Accent3 4 2 2 2 2 2 2" xfId="14133" xr:uid="{00000000-0005-0000-0000-0000051E0000}"/>
    <cellStyle name="20% - Accent3 4 2 2 2 2 2 3" xfId="21234" xr:uid="{00000000-0005-0000-0000-0000061E0000}"/>
    <cellStyle name="20% - Accent3 4 2 2 2 2 2 4" xfId="28336" xr:uid="{00000000-0005-0000-0000-0000071E0000}"/>
    <cellStyle name="20% - Accent3 4 2 2 2 2 2 5" xfId="35438" xr:uid="{00000000-0005-0000-0000-0000081E0000}"/>
    <cellStyle name="20% - Accent3 4 2 2 2 2 3" xfId="9873" xr:uid="{00000000-0005-0000-0000-0000091E0000}"/>
    <cellStyle name="20% - Accent3 4 2 2 2 2 4" xfId="16974" xr:uid="{00000000-0005-0000-0000-00000A1E0000}"/>
    <cellStyle name="20% - Accent3 4 2 2 2 2 5" xfId="24076" xr:uid="{00000000-0005-0000-0000-00000B1E0000}"/>
    <cellStyle name="20% - Accent3 4 2 2 2 2 6" xfId="31178" xr:uid="{00000000-0005-0000-0000-00000C1E0000}"/>
    <cellStyle name="20% - Accent3 4 2 2 2 2 7" xfId="36936" xr:uid="{00000000-0005-0000-0000-00000D1E0000}"/>
    <cellStyle name="20% - Accent3 4 2 2 2 3" xfId="5612" xr:uid="{00000000-0005-0000-0000-00000E1E0000}"/>
    <cellStyle name="20% - Accent3 4 2 2 2 3 2" xfId="12713" xr:uid="{00000000-0005-0000-0000-00000F1E0000}"/>
    <cellStyle name="20% - Accent3 4 2 2 2 3 3" xfId="19814" xr:uid="{00000000-0005-0000-0000-0000101E0000}"/>
    <cellStyle name="20% - Accent3 4 2 2 2 3 4" xfId="26916" xr:uid="{00000000-0005-0000-0000-0000111E0000}"/>
    <cellStyle name="20% - Accent3 4 2 2 2 3 5" xfId="34018" xr:uid="{00000000-0005-0000-0000-0000121E0000}"/>
    <cellStyle name="20% - Accent3 4 2 2 2 4" xfId="4187" xr:uid="{00000000-0005-0000-0000-0000131E0000}"/>
    <cellStyle name="20% - Accent3 4 2 2 2 4 2" xfId="11293" xr:uid="{00000000-0005-0000-0000-0000141E0000}"/>
    <cellStyle name="20% - Accent3 4 2 2 2 4 3" xfId="18394" xr:uid="{00000000-0005-0000-0000-0000151E0000}"/>
    <cellStyle name="20% - Accent3 4 2 2 2 4 4" xfId="25496" xr:uid="{00000000-0005-0000-0000-0000161E0000}"/>
    <cellStyle name="20% - Accent3 4 2 2 2 4 5" xfId="32598" xr:uid="{00000000-0005-0000-0000-0000171E0000}"/>
    <cellStyle name="20% - Accent3 4 2 2 2 5" xfId="8453" xr:uid="{00000000-0005-0000-0000-0000181E0000}"/>
    <cellStyle name="20% - Accent3 4 2 2 2 6" xfId="15554" xr:uid="{00000000-0005-0000-0000-0000191E0000}"/>
    <cellStyle name="20% - Accent3 4 2 2 2 7" xfId="22656" xr:uid="{00000000-0005-0000-0000-00001A1E0000}"/>
    <cellStyle name="20% - Accent3 4 2 2 2 8" xfId="29758" xr:uid="{00000000-0005-0000-0000-00001B1E0000}"/>
    <cellStyle name="20% - Accent3 4 2 2 2 9" xfId="36937" xr:uid="{00000000-0005-0000-0000-00001C1E0000}"/>
    <cellStyle name="20% - Accent3 4 2 2 3" xfId="1984" xr:uid="{00000000-0005-0000-0000-00001D1E0000}"/>
    <cellStyle name="20% - Accent3 4 2 2 3 2" xfId="6252" xr:uid="{00000000-0005-0000-0000-00001E1E0000}"/>
    <cellStyle name="20% - Accent3 4 2 2 3 2 2" xfId="13352" xr:uid="{00000000-0005-0000-0000-00001F1E0000}"/>
    <cellStyle name="20% - Accent3 4 2 2 3 2 3" xfId="20453" xr:uid="{00000000-0005-0000-0000-0000201E0000}"/>
    <cellStyle name="20% - Accent3 4 2 2 3 2 4" xfId="27555" xr:uid="{00000000-0005-0000-0000-0000211E0000}"/>
    <cellStyle name="20% - Accent3 4 2 2 3 2 5" xfId="34657" xr:uid="{00000000-0005-0000-0000-0000221E0000}"/>
    <cellStyle name="20% - Accent3 4 2 2 3 2 6" xfId="36938" xr:uid="{00000000-0005-0000-0000-0000231E0000}"/>
    <cellStyle name="20% - Accent3 4 2 2 3 3" xfId="9092" xr:uid="{00000000-0005-0000-0000-0000241E0000}"/>
    <cellStyle name="20% - Accent3 4 2 2 3 4" xfId="16193" xr:uid="{00000000-0005-0000-0000-0000251E0000}"/>
    <cellStyle name="20% - Accent3 4 2 2 3 5" xfId="23295" xr:uid="{00000000-0005-0000-0000-0000261E0000}"/>
    <cellStyle name="20% - Accent3 4 2 2 3 6" xfId="30397" xr:uid="{00000000-0005-0000-0000-0000271E0000}"/>
    <cellStyle name="20% - Accent3 4 2 2 3 7" xfId="36939" xr:uid="{00000000-0005-0000-0000-0000281E0000}"/>
    <cellStyle name="20% - Accent3 4 2 2 4" xfId="4831" xr:uid="{00000000-0005-0000-0000-0000291E0000}"/>
    <cellStyle name="20% - Accent3 4 2 2 4 2" xfId="11932" xr:uid="{00000000-0005-0000-0000-00002A1E0000}"/>
    <cellStyle name="20% - Accent3 4 2 2 4 3" xfId="19033" xr:uid="{00000000-0005-0000-0000-00002B1E0000}"/>
    <cellStyle name="20% - Accent3 4 2 2 4 4" xfId="26135" xr:uid="{00000000-0005-0000-0000-00002C1E0000}"/>
    <cellStyle name="20% - Accent3 4 2 2 4 5" xfId="33237" xr:uid="{00000000-0005-0000-0000-00002D1E0000}"/>
    <cellStyle name="20% - Accent3 4 2 2 4 6" xfId="36940" xr:uid="{00000000-0005-0000-0000-00002E1E0000}"/>
    <cellStyle name="20% - Accent3 4 2 2 5" xfId="3406" xr:uid="{00000000-0005-0000-0000-00002F1E0000}"/>
    <cellStyle name="20% - Accent3 4 2 2 5 2" xfId="10512" xr:uid="{00000000-0005-0000-0000-0000301E0000}"/>
    <cellStyle name="20% - Accent3 4 2 2 5 3" xfId="17613" xr:uid="{00000000-0005-0000-0000-0000311E0000}"/>
    <cellStyle name="20% - Accent3 4 2 2 5 4" xfId="24715" xr:uid="{00000000-0005-0000-0000-0000321E0000}"/>
    <cellStyle name="20% - Accent3 4 2 2 5 5" xfId="31817" xr:uid="{00000000-0005-0000-0000-0000331E0000}"/>
    <cellStyle name="20% - Accent3 4 2 2 6" xfId="7672" xr:uid="{00000000-0005-0000-0000-0000341E0000}"/>
    <cellStyle name="20% - Accent3 4 2 2 7" xfId="14773" xr:uid="{00000000-0005-0000-0000-0000351E0000}"/>
    <cellStyle name="20% - Accent3 4 2 2 8" xfId="21875" xr:uid="{00000000-0005-0000-0000-0000361E0000}"/>
    <cellStyle name="20% - Accent3 4 2 2 9" xfId="28977" xr:uid="{00000000-0005-0000-0000-0000371E0000}"/>
    <cellStyle name="20% - Accent3 4 2 3" xfId="706" xr:uid="{00000000-0005-0000-0000-0000381E0000}"/>
    <cellStyle name="20% - Accent3 4 2 3 2" xfId="2197" xr:uid="{00000000-0005-0000-0000-0000391E0000}"/>
    <cellStyle name="20% - Accent3 4 2 3 2 2" xfId="6465" xr:uid="{00000000-0005-0000-0000-00003A1E0000}"/>
    <cellStyle name="20% - Accent3 4 2 3 2 2 2" xfId="13565" xr:uid="{00000000-0005-0000-0000-00003B1E0000}"/>
    <cellStyle name="20% - Accent3 4 2 3 2 2 3" xfId="20666" xr:uid="{00000000-0005-0000-0000-00003C1E0000}"/>
    <cellStyle name="20% - Accent3 4 2 3 2 2 4" xfId="27768" xr:uid="{00000000-0005-0000-0000-00003D1E0000}"/>
    <cellStyle name="20% - Accent3 4 2 3 2 2 5" xfId="34870" xr:uid="{00000000-0005-0000-0000-00003E1E0000}"/>
    <cellStyle name="20% - Accent3 4 2 3 2 2 6" xfId="36941" xr:uid="{00000000-0005-0000-0000-00003F1E0000}"/>
    <cellStyle name="20% - Accent3 4 2 3 2 3" xfId="9305" xr:uid="{00000000-0005-0000-0000-0000401E0000}"/>
    <cellStyle name="20% - Accent3 4 2 3 2 4" xfId="16406" xr:uid="{00000000-0005-0000-0000-0000411E0000}"/>
    <cellStyle name="20% - Accent3 4 2 3 2 5" xfId="23508" xr:uid="{00000000-0005-0000-0000-0000421E0000}"/>
    <cellStyle name="20% - Accent3 4 2 3 2 6" xfId="30610" xr:uid="{00000000-0005-0000-0000-0000431E0000}"/>
    <cellStyle name="20% - Accent3 4 2 3 2 7" xfId="36942" xr:uid="{00000000-0005-0000-0000-0000441E0000}"/>
    <cellStyle name="20% - Accent3 4 2 3 3" xfId="5044" xr:uid="{00000000-0005-0000-0000-0000451E0000}"/>
    <cellStyle name="20% - Accent3 4 2 3 3 2" xfId="12145" xr:uid="{00000000-0005-0000-0000-0000461E0000}"/>
    <cellStyle name="20% - Accent3 4 2 3 3 2 2" xfId="36943" xr:uid="{00000000-0005-0000-0000-0000471E0000}"/>
    <cellStyle name="20% - Accent3 4 2 3 3 3" xfId="19246" xr:uid="{00000000-0005-0000-0000-0000481E0000}"/>
    <cellStyle name="20% - Accent3 4 2 3 3 4" xfId="26348" xr:uid="{00000000-0005-0000-0000-0000491E0000}"/>
    <cellStyle name="20% - Accent3 4 2 3 3 5" xfId="33450" xr:uid="{00000000-0005-0000-0000-00004A1E0000}"/>
    <cellStyle name="20% - Accent3 4 2 3 3 6" xfId="36944" xr:uid="{00000000-0005-0000-0000-00004B1E0000}"/>
    <cellStyle name="20% - Accent3 4 2 3 4" xfId="3619" xr:uid="{00000000-0005-0000-0000-00004C1E0000}"/>
    <cellStyle name="20% - Accent3 4 2 3 4 2" xfId="10725" xr:uid="{00000000-0005-0000-0000-00004D1E0000}"/>
    <cellStyle name="20% - Accent3 4 2 3 4 3" xfId="17826" xr:uid="{00000000-0005-0000-0000-00004E1E0000}"/>
    <cellStyle name="20% - Accent3 4 2 3 4 4" xfId="24928" xr:uid="{00000000-0005-0000-0000-00004F1E0000}"/>
    <cellStyle name="20% - Accent3 4 2 3 4 5" xfId="32030" xr:uid="{00000000-0005-0000-0000-0000501E0000}"/>
    <cellStyle name="20% - Accent3 4 2 3 4 6" xfId="36945" xr:uid="{00000000-0005-0000-0000-0000511E0000}"/>
    <cellStyle name="20% - Accent3 4 2 3 5" xfId="7885" xr:uid="{00000000-0005-0000-0000-0000521E0000}"/>
    <cellStyle name="20% - Accent3 4 2 3 6" xfId="14986" xr:uid="{00000000-0005-0000-0000-0000531E0000}"/>
    <cellStyle name="20% - Accent3 4 2 3 7" xfId="22088" xr:uid="{00000000-0005-0000-0000-0000541E0000}"/>
    <cellStyle name="20% - Accent3 4 2 3 8" xfId="29190" xr:uid="{00000000-0005-0000-0000-0000551E0000}"/>
    <cellStyle name="20% - Accent3 4 2 3 9" xfId="36946" xr:uid="{00000000-0005-0000-0000-0000561E0000}"/>
    <cellStyle name="20% - Accent3 4 2 4" xfId="919" xr:uid="{00000000-0005-0000-0000-0000571E0000}"/>
    <cellStyle name="20% - Accent3 4 2 4 2" xfId="2410" xr:uid="{00000000-0005-0000-0000-0000581E0000}"/>
    <cellStyle name="20% - Accent3 4 2 4 2 2" xfId="6678" xr:uid="{00000000-0005-0000-0000-0000591E0000}"/>
    <cellStyle name="20% - Accent3 4 2 4 2 2 2" xfId="13778" xr:uid="{00000000-0005-0000-0000-00005A1E0000}"/>
    <cellStyle name="20% - Accent3 4 2 4 2 2 3" xfId="20879" xr:uid="{00000000-0005-0000-0000-00005B1E0000}"/>
    <cellStyle name="20% - Accent3 4 2 4 2 2 4" xfId="27981" xr:uid="{00000000-0005-0000-0000-00005C1E0000}"/>
    <cellStyle name="20% - Accent3 4 2 4 2 2 5" xfId="35083" xr:uid="{00000000-0005-0000-0000-00005D1E0000}"/>
    <cellStyle name="20% - Accent3 4 2 4 2 2 6" xfId="36947" xr:uid="{00000000-0005-0000-0000-00005E1E0000}"/>
    <cellStyle name="20% - Accent3 4 2 4 2 3" xfId="9518" xr:uid="{00000000-0005-0000-0000-00005F1E0000}"/>
    <cellStyle name="20% - Accent3 4 2 4 2 4" xfId="16619" xr:uid="{00000000-0005-0000-0000-0000601E0000}"/>
    <cellStyle name="20% - Accent3 4 2 4 2 5" xfId="23721" xr:uid="{00000000-0005-0000-0000-0000611E0000}"/>
    <cellStyle name="20% - Accent3 4 2 4 2 6" xfId="30823" xr:uid="{00000000-0005-0000-0000-0000621E0000}"/>
    <cellStyle name="20% - Accent3 4 2 4 2 7" xfId="36948" xr:uid="{00000000-0005-0000-0000-0000631E0000}"/>
    <cellStyle name="20% - Accent3 4 2 4 3" xfId="5257" xr:uid="{00000000-0005-0000-0000-0000641E0000}"/>
    <cellStyle name="20% - Accent3 4 2 4 3 2" xfId="12358" xr:uid="{00000000-0005-0000-0000-0000651E0000}"/>
    <cellStyle name="20% - Accent3 4 2 4 3 2 2" xfId="36949" xr:uid="{00000000-0005-0000-0000-0000661E0000}"/>
    <cellStyle name="20% - Accent3 4 2 4 3 3" xfId="19459" xr:uid="{00000000-0005-0000-0000-0000671E0000}"/>
    <cellStyle name="20% - Accent3 4 2 4 3 4" xfId="26561" xr:uid="{00000000-0005-0000-0000-0000681E0000}"/>
    <cellStyle name="20% - Accent3 4 2 4 3 5" xfId="33663" xr:uid="{00000000-0005-0000-0000-0000691E0000}"/>
    <cellStyle name="20% - Accent3 4 2 4 3 6" xfId="36950" xr:uid="{00000000-0005-0000-0000-00006A1E0000}"/>
    <cellStyle name="20% - Accent3 4 2 4 4" xfId="3832" xr:uid="{00000000-0005-0000-0000-00006B1E0000}"/>
    <cellStyle name="20% - Accent3 4 2 4 4 2" xfId="10938" xr:uid="{00000000-0005-0000-0000-00006C1E0000}"/>
    <cellStyle name="20% - Accent3 4 2 4 4 3" xfId="18039" xr:uid="{00000000-0005-0000-0000-00006D1E0000}"/>
    <cellStyle name="20% - Accent3 4 2 4 4 4" xfId="25141" xr:uid="{00000000-0005-0000-0000-00006E1E0000}"/>
    <cellStyle name="20% - Accent3 4 2 4 4 5" xfId="32243" xr:uid="{00000000-0005-0000-0000-00006F1E0000}"/>
    <cellStyle name="20% - Accent3 4 2 4 4 6" xfId="36951" xr:uid="{00000000-0005-0000-0000-0000701E0000}"/>
    <cellStyle name="20% - Accent3 4 2 4 5" xfId="8098" xr:uid="{00000000-0005-0000-0000-0000711E0000}"/>
    <cellStyle name="20% - Accent3 4 2 4 6" xfId="15199" xr:uid="{00000000-0005-0000-0000-0000721E0000}"/>
    <cellStyle name="20% - Accent3 4 2 4 7" xfId="22301" xr:uid="{00000000-0005-0000-0000-0000731E0000}"/>
    <cellStyle name="20% - Accent3 4 2 4 8" xfId="29403" xr:uid="{00000000-0005-0000-0000-0000741E0000}"/>
    <cellStyle name="20% - Accent3 4 2 4 9" xfId="36952" xr:uid="{00000000-0005-0000-0000-0000751E0000}"/>
    <cellStyle name="20% - Accent3 4 2 5" xfId="1061" xr:uid="{00000000-0005-0000-0000-0000761E0000}"/>
    <cellStyle name="20% - Accent3 4 2 5 2" xfId="2552" xr:uid="{00000000-0005-0000-0000-0000771E0000}"/>
    <cellStyle name="20% - Accent3 4 2 5 2 2" xfId="6820" xr:uid="{00000000-0005-0000-0000-0000781E0000}"/>
    <cellStyle name="20% - Accent3 4 2 5 2 2 2" xfId="13920" xr:uid="{00000000-0005-0000-0000-0000791E0000}"/>
    <cellStyle name="20% - Accent3 4 2 5 2 2 3" xfId="21021" xr:uid="{00000000-0005-0000-0000-00007A1E0000}"/>
    <cellStyle name="20% - Accent3 4 2 5 2 2 4" xfId="28123" xr:uid="{00000000-0005-0000-0000-00007B1E0000}"/>
    <cellStyle name="20% - Accent3 4 2 5 2 2 5" xfId="35225" xr:uid="{00000000-0005-0000-0000-00007C1E0000}"/>
    <cellStyle name="20% - Accent3 4 2 5 2 3" xfId="9660" xr:uid="{00000000-0005-0000-0000-00007D1E0000}"/>
    <cellStyle name="20% - Accent3 4 2 5 2 4" xfId="16761" xr:uid="{00000000-0005-0000-0000-00007E1E0000}"/>
    <cellStyle name="20% - Accent3 4 2 5 2 5" xfId="23863" xr:uid="{00000000-0005-0000-0000-00007F1E0000}"/>
    <cellStyle name="20% - Accent3 4 2 5 2 6" xfId="30965" xr:uid="{00000000-0005-0000-0000-0000801E0000}"/>
    <cellStyle name="20% - Accent3 4 2 5 2 7" xfId="36953" xr:uid="{00000000-0005-0000-0000-0000811E0000}"/>
    <cellStyle name="20% - Accent3 4 2 5 3" xfId="5399" xr:uid="{00000000-0005-0000-0000-0000821E0000}"/>
    <cellStyle name="20% - Accent3 4 2 5 3 2" xfId="12500" xr:uid="{00000000-0005-0000-0000-0000831E0000}"/>
    <cellStyle name="20% - Accent3 4 2 5 3 3" xfId="19601" xr:uid="{00000000-0005-0000-0000-0000841E0000}"/>
    <cellStyle name="20% - Accent3 4 2 5 3 4" xfId="26703" xr:uid="{00000000-0005-0000-0000-0000851E0000}"/>
    <cellStyle name="20% - Accent3 4 2 5 3 5" xfId="33805" xr:uid="{00000000-0005-0000-0000-0000861E0000}"/>
    <cellStyle name="20% - Accent3 4 2 5 4" xfId="3974" xr:uid="{00000000-0005-0000-0000-0000871E0000}"/>
    <cellStyle name="20% - Accent3 4 2 5 4 2" xfId="11080" xr:uid="{00000000-0005-0000-0000-0000881E0000}"/>
    <cellStyle name="20% - Accent3 4 2 5 4 3" xfId="18181" xr:uid="{00000000-0005-0000-0000-0000891E0000}"/>
    <cellStyle name="20% - Accent3 4 2 5 4 4" xfId="25283" xr:uid="{00000000-0005-0000-0000-00008A1E0000}"/>
    <cellStyle name="20% - Accent3 4 2 5 4 5" xfId="32385" xr:uid="{00000000-0005-0000-0000-00008B1E0000}"/>
    <cellStyle name="20% - Accent3 4 2 5 5" xfId="8240" xr:uid="{00000000-0005-0000-0000-00008C1E0000}"/>
    <cellStyle name="20% - Accent3 4 2 5 6" xfId="15341" xr:uid="{00000000-0005-0000-0000-00008D1E0000}"/>
    <cellStyle name="20% - Accent3 4 2 5 7" xfId="22443" xr:uid="{00000000-0005-0000-0000-00008E1E0000}"/>
    <cellStyle name="20% - Accent3 4 2 5 8" xfId="29545" xr:uid="{00000000-0005-0000-0000-00008F1E0000}"/>
    <cellStyle name="20% - Accent3 4 2 5 9" xfId="36954" xr:uid="{00000000-0005-0000-0000-0000901E0000}"/>
    <cellStyle name="20% - Accent3 4 2 6" xfId="1487" xr:uid="{00000000-0005-0000-0000-0000911E0000}"/>
    <cellStyle name="20% - Accent3 4 2 6 2" xfId="2978" xr:uid="{00000000-0005-0000-0000-0000921E0000}"/>
    <cellStyle name="20% - Accent3 4 2 6 2 2" xfId="7246" xr:uid="{00000000-0005-0000-0000-0000931E0000}"/>
    <cellStyle name="20% - Accent3 4 2 6 2 2 2" xfId="14346" xr:uid="{00000000-0005-0000-0000-0000941E0000}"/>
    <cellStyle name="20% - Accent3 4 2 6 2 2 3" xfId="21447" xr:uid="{00000000-0005-0000-0000-0000951E0000}"/>
    <cellStyle name="20% - Accent3 4 2 6 2 2 4" xfId="28549" xr:uid="{00000000-0005-0000-0000-0000961E0000}"/>
    <cellStyle name="20% - Accent3 4 2 6 2 2 5" xfId="35651" xr:uid="{00000000-0005-0000-0000-0000971E0000}"/>
    <cellStyle name="20% - Accent3 4 2 6 2 3" xfId="10086" xr:uid="{00000000-0005-0000-0000-0000981E0000}"/>
    <cellStyle name="20% - Accent3 4 2 6 2 4" xfId="17187" xr:uid="{00000000-0005-0000-0000-0000991E0000}"/>
    <cellStyle name="20% - Accent3 4 2 6 2 5" xfId="24289" xr:uid="{00000000-0005-0000-0000-00009A1E0000}"/>
    <cellStyle name="20% - Accent3 4 2 6 2 6" xfId="31391" xr:uid="{00000000-0005-0000-0000-00009B1E0000}"/>
    <cellStyle name="20% - Accent3 4 2 6 2 7" xfId="36955" xr:uid="{00000000-0005-0000-0000-00009C1E0000}"/>
    <cellStyle name="20% - Accent3 4 2 6 3" xfId="5825" xr:uid="{00000000-0005-0000-0000-00009D1E0000}"/>
    <cellStyle name="20% - Accent3 4 2 6 3 2" xfId="12926" xr:uid="{00000000-0005-0000-0000-00009E1E0000}"/>
    <cellStyle name="20% - Accent3 4 2 6 3 3" xfId="20027" xr:uid="{00000000-0005-0000-0000-00009F1E0000}"/>
    <cellStyle name="20% - Accent3 4 2 6 3 4" xfId="27129" xr:uid="{00000000-0005-0000-0000-0000A01E0000}"/>
    <cellStyle name="20% - Accent3 4 2 6 3 5" xfId="34231" xr:uid="{00000000-0005-0000-0000-0000A11E0000}"/>
    <cellStyle name="20% - Accent3 4 2 6 4" xfId="4400" xr:uid="{00000000-0005-0000-0000-0000A21E0000}"/>
    <cellStyle name="20% - Accent3 4 2 6 4 2" xfId="11506" xr:uid="{00000000-0005-0000-0000-0000A31E0000}"/>
    <cellStyle name="20% - Accent3 4 2 6 4 3" xfId="18607" xr:uid="{00000000-0005-0000-0000-0000A41E0000}"/>
    <cellStyle name="20% - Accent3 4 2 6 4 4" xfId="25709" xr:uid="{00000000-0005-0000-0000-0000A51E0000}"/>
    <cellStyle name="20% - Accent3 4 2 6 4 5" xfId="32811" xr:uid="{00000000-0005-0000-0000-0000A61E0000}"/>
    <cellStyle name="20% - Accent3 4 2 6 5" xfId="8666" xr:uid="{00000000-0005-0000-0000-0000A71E0000}"/>
    <cellStyle name="20% - Accent3 4 2 6 6" xfId="15767" xr:uid="{00000000-0005-0000-0000-0000A81E0000}"/>
    <cellStyle name="20% - Accent3 4 2 6 7" xfId="22869" xr:uid="{00000000-0005-0000-0000-0000A91E0000}"/>
    <cellStyle name="20% - Accent3 4 2 6 8" xfId="29971" xr:uid="{00000000-0005-0000-0000-0000AA1E0000}"/>
    <cellStyle name="20% - Accent3 4 2 6 9" xfId="36956" xr:uid="{00000000-0005-0000-0000-0000AB1E0000}"/>
    <cellStyle name="20% - Accent3 4 2 7" xfId="1771" xr:uid="{00000000-0005-0000-0000-0000AC1E0000}"/>
    <cellStyle name="20% - Accent3 4 2 7 2" xfId="6039" xr:uid="{00000000-0005-0000-0000-0000AD1E0000}"/>
    <cellStyle name="20% - Accent3 4 2 7 2 2" xfId="13139" xr:uid="{00000000-0005-0000-0000-0000AE1E0000}"/>
    <cellStyle name="20% - Accent3 4 2 7 2 3" xfId="20240" xr:uid="{00000000-0005-0000-0000-0000AF1E0000}"/>
    <cellStyle name="20% - Accent3 4 2 7 2 4" xfId="27342" xr:uid="{00000000-0005-0000-0000-0000B01E0000}"/>
    <cellStyle name="20% - Accent3 4 2 7 2 5" xfId="34444" xr:uid="{00000000-0005-0000-0000-0000B11E0000}"/>
    <cellStyle name="20% - Accent3 4 2 7 3" xfId="8879" xr:uid="{00000000-0005-0000-0000-0000B21E0000}"/>
    <cellStyle name="20% - Accent3 4 2 7 4" xfId="15980" xr:uid="{00000000-0005-0000-0000-0000B31E0000}"/>
    <cellStyle name="20% - Accent3 4 2 7 5" xfId="23082" xr:uid="{00000000-0005-0000-0000-0000B41E0000}"/>
    <cellStyle name="20% - Accent3 4 2 7 6" xfId="30184" xr:uid="{00000000-0005-0000-0000-0000B51E0000}"/>
    <cellStyle name="20% - Accent3 4 2 7 7" xfId="36957" xr:uid="{00000000-0005-0000-0000-0000B61E0000}"/>
    <cellStyle name="20% - Accent3 4 2 8" xfId="4618" xr:uid="{00000000-0005-0000-0000-0000B71E0000}"/>
    <cellStyle name="20% - Accent3 4 2 8 2" xfId="11719" xr:uid="{00000000-0005-0000-0000-0000B81E0000}"/>
    <cellStyle name="20% - Accent3 4 2 8 3" xfId="18820" xr:uid="{00000000-0005-0000-0000-0000B91E0000}"/>
    <cellStyle name="20% - Accent3 4 2 8 4" xfId="25922" xr:uid="{00000000-0005-0000-0000-0000BA1E0000}"/>
    <cellStyle name="20% - Accent3 4 2 8 5" xfId="33024" xr:uid="{00000000-0005-0000-0000-0000BB1E0000}"/>
    <cellStyle name="20% - Accent3 4 2 9" xfId="3193" xr:uid="{00000000-0005-0000-0000-0000BC1E0000}"/>
    <cellStyle name="20% - Accent3 4 2 9 2" xfId="10299" xr:uid="{00000000-0005-0000-0000-0000BD1E0000}"/>
    <cellStyle name="20% - Accent3 4 2 9 3" xfId="17400" xr:uid="{00000000-0005-0000-0000-0000BE1E0000}"/>
    <cellStyle name="20% - Accent3 4 2 9 4" xfId="24502" xr:uid="{00000000-0005-0000-0000-0000BF1E0000}"/>
    <cellStyle name="20% - Accent3 4 2 9 5" xfId="31604" xr:uid="{00000000-0005-0000-0000-0000C01E0000}"/>
    <cellStyle name="20% - Accent3 4 3" xfId="209" xr:uid="{00000000-0005-0000-0000-0000C11E0000}"/>
    <cellStyle name="20% - Accent3 4 3 10" xfId="7388" xr:uid="{00000000-0005-0000-0000-0000C21E0000}"/>
    <cellStyle name="20% - Accent3 4 3 11" xfId="14489" xr:uid="{00000000-0005-0000-0000-0000C31E0000}"/>
    <cellStyle name="20% - Accent3 4 3 12" xfId="21591" xr:uid="{00000000-0005-0000-0000-0000C41E0000}"/>
    <cellStyle name="20% - Accent3 4 3 13" xfId="28693" xr:uid="{00000000-0005-0000-0000-0000C51E0000}"/>
    <cellStyle name="20% - Accent3 4 3 14" xfId="35795" xr:uid="{00000000-0005-0000-0000-0000C61E0000}"/>
    <cellStyle name="20% - Accent3 4 3 15" xfId="36958" xr:uid="{00000000-0005-0000-0000-0000C71E0000}"/>
    <cellStyle name="20% - Accent3 4 3 2" xfId="422" xr:uid="{00000000-0005-0000-0000-0000C81E0000}"/>
    <cellStyle name="20% - Accent3 4 3 2 2" xfId="1913" xr:uid="{00000000-0005-0000-0000-0000C91E0000}"/>
    <cellStyle name="20% - Accent3 4 3 2 2 2" xfId="6181" xr:uid="{00000000-0005-0000-0000-0000CA1E0000}"/>
    <cellStyle name="20% - Accent3 4 3 2 2 2 2" xfId="13281" xr:uid="{00000000-0005-0000-0000-0000CB1E0000}"/>
    <cellStyle name="20% - Accent3 4 3 2 2 2 3" xfId="20382" xr:uid="{00000000-0005-0000-0000-0000CC1E0000}"/>
    <cellStyle name="20% - Accent3 4 3 2 2 2 4" xfId="27484" xr:uid="{00000000-0005-0000-0000-0000CD1E0000}"/>
    <cellStyle name="20% - Accent3 4 3 2 2 2 5" xfId="34586" xr:uid="{00000000-0005-0000-0000-0000CE1E0000}"/>
    <cellStyle name="20% - Accent3 4 3 2 2 2 6" xfId="36959" xr:uid="{00000000-0005-0000-0000-0000CF1E0000}"/>
    <cellStyle name="20% - Accent3 4 3 2 2 3" xfId="9021" xr:uid="{00000000-0005-0000-0000-0000D01E0000}"/>
    <cellStyle name="20% - Accent3 4 3 2 2 4" xfId="16122" xr:uid="{00000000-0005-0000-0000-0000D11E0000}"/>
    <cellStyle name="20% - Accent3 4 3 2 2 5" xfId="23224" xr:uid="{00000000-0005-0000-0000-0000D21E0000}"/>
    <cellStyle name="20% - Accent3 4 3 2 2 6" xfId="30326" xr:uid="{00000000-0005-0000-0000-0000D31E0000}"/>
    <cellStyle name="20% - Accent3 4 3 2 2 7" xfId="36960" xr:uid="{00000000-0005-0000-0000-0000D41E0000}"/>
    <cellStyle name="20% - Accent3 4 3 2 3" xfId="4760" xr:uid="{00000000-0005-0000-0000-0000D51E0000}"/>
    <cellStyle name="20% - Accent3 4 3 2 3 2" xfId="11861" xr:uid="{00000000-0005-0000-0000-0000D61E0000}"/>
    <cellStyle name="20% - Accent3 4 3 2 3 2 2" xfId="36961" xr:uid="{00000000-0005-0000-0000-0000D71E0000}"/>
    <cellStyle name="20% - Accent3 4 3 2 3 3" xfId="18962" xr:uid="{00000000-0005-0000-0000-0000D81E0000}"/>
    <cellStyle name="20% - Accent3 4 3 2 3 4" xfId="26064" xr:uid="{00000000-0005-0000-0000-0000D91E0000}"/>
    <cellStyle name="20% - Accent3 4 3 2 3 5" xfId="33166" xr:uid="{00000000-0005-0000-0000-0000DA1E0000}"/>
    <cellStyle name="20% - Accent3 4 3 2 3 6" xfId="36962" xr:uid="{00000000-0005-0000-0000-0000DB1E0000}"/>
    <cellStyle name="20% - Accent3 4 3 2 4" xfId="3335" xr:uid="{00000000-0005-0000-0000-0000DC1E0000}"/>
    <cellStyle name="20% - Accent3 4 3 2 4 2" xfId="10441" xr:uid="{00000000-0005-0000-0000-0000DD1E0000}"/>
    <cellStyle name="20% - Accent3 4 3 2 4 3" xfId="17542" xr:uid="{00000000-0005-0000-0000-0000DE1E0000}"/>
    <cellStyle name="20% - Accent3 4 3 2 4 4" xfId="24644" xr:uid="{00000000-0005-0000-0000-0000DF1E0000}"/>
    <cellStyle name="20% - Accent3 4 3 2 4 5" xfId="31746" xr:uid="{00000000-0005-0000-0000-0000E01E0000}"/>
    <cellStyle name="20% - Accent3 4 3 2 4 6" xfId="36963" xr:uid="{00000000-0005-0000-0000-0000E11E0000}"/>
    <cellStyle name="20% - Accent3 4 3 2 5" xfId="7601" xr:uid="{00000000-0005-0000-0000-0000E21E0000}"/>
    <cellStyle name="20% - Accent3 4 3 2 6" xfId="14702" xr:uid="{00000000-0005-0000-0000-0000E31E0000}"/>
    <cellStyle name="20% - Accent3 4 3 2 7" xfId="21804" xr:uid="{00000000-0005-0000-0000-0000E41E0000}"/>
    <cellStyle name="20% - Accent3 4 3 2 8" xfId="28906" xr:uid="{00000000-0005-0000-0000-0000E51E0000}"/>
    <cellStyle name="20% - Accent3 4 3 2 9" xfId="36964" xr:uid="{00000000-0005-0000-0000-0000E61E0000}"/>
    <cellStyle name="20% - Accent3 4 3 3" xfId="635" xr:uid="{00000000-0005-0000-0000-0000E71E0000}"/>
    <cellStyle name="20% - Accent3 4 3 3 2" xfId="2126" xr:uid="{00000000-0005-0000-0000-0000E81E0000}"/>
    <cellStyle name="20% - Accent3 4 3 3 2 2" xfId="6394" xr:uid="{00000000-0005-0000-0000-0000E91E0000}"/>
    <cellStyle name="20% - Accent3 4 3 3 2 2 2" xfId="13494" xr:uid="{00000000-0005-0000-0000-0000EA1E0000}"/>
    <cellStyle name="20% - Accent3 4 3 3 2 2 3" xfId="20595" xr:uid="{00000000-0005-0000-0000-0000EB1E0000}"/>
    <cellStyle name="20% - Accent3 4 3 3 2 2 4" xfId="27697" xr:uid="{00000000-0005-0000-0000-0000EC1E0000}"/>
    <cellStyle name="20% - Accent3 4 3 3 2 2 5" xfId="34799" xr:uid="{00000000-0005-0000-0000-0000ED1E0000}"/>
    <cellStyle name="20% - Accent3 4 3 3 2 2 6" xfId="36965" xr:uid="{00000000-0005-0000-0000-0000EE1E0000}"/>
    <cellStyle name="20% - Accent3 4 3 3 2 3" xfId="9234" xr:uid="{00000000-0005-0000-0000-0000EF1E0000}"/>
    <cellStyle name="20% - Accent3 4 3 3 2 4" xfId="16335" xr:uid="{00000000-0005-0000-0000-0000F01E0000}"/>
    <cellStyle name="20% - Accent3 4 3 3 2 5" xfId="23437" xr:uid="{00000000-0005-0000-0000-0000F11E0000}"/>
    <cellStyle name="20% - Accent3 4 3 3 2 6" xfId="30539" xr:uid="{00000000-0005-0000-0000-0000F21E0000}"/>
    <cellStyle name="20% - Accent3 4 3 3 2 7" xfId="36966" xr:uid="{00000000-0005-0000-0000-0000F31E0000}"/>
    <cellStyle name="20% - Accent3 4 3 3 3" xfId="4973" xr:uid="{00000000-0005-0000-0000-0000F41E0000}"/>
    <cellStyle name="20% - Accent3 4 3 3 3 2" xfId="12074" xr:uid="{00000000-0005-0000-0000-0000F51E0000}"/>
    <cellStyle name="20% - Accent3 4 3 3 3 2 2" xfId="36967" xr:uid="{00000000-0005-0000-0000-0000F61E0000}"/>
    <cellStyle name="20% - Accent3 4 3 3 3 3" xfId="19175" xr:uid="{00000000-0005-0000-0000-0000F71E0000}"/>
    <cellStyle name="20% - Accent3 4 3 3 3 4" xfId="26277" xr:uid="{00000000-0005-0000-0000-0000F81E0000}"/>
    <cellStyle name="20% - Accent3 4 3 3 3 5" xfId="33379" xr:uid="{00000000-0005-0000-0000-0000F91E0000}"/>
    <cellStyle name="20% - Accent3 4 3 3 3 6" xfId="36968" xr:uid="{00000000-0005-0000-0000-0000FA1E0000}"/>
    <cellStyle name="20% - Accent3 4 3 3 4" xfId="3548" xr:uid="{00000000-0005-0000-0000-0000FB1E0000}"/>
    <cellStyle name="20% - Accent3 4 3 3 4 2" xfId="10654" xr:uid="{00000000-0005-0000-0000-0000FC1E0000}"/>
    <cellStyle name="20% - Accent3 4 3 3 4 3" xfId="17755" xr:uid="{00000000-0005-0000-0000-0000FD1E0000}"/>
    <cellStyle name="20% - Accent3 4 3 3 4 4" xfId="24857" xr:uid="{00000000-0005-0000-0000-0000FE1E0000}"/>
    <cellStyle name="20% - Accent3 4 3 3 4 5" xfId="31959" xr:uid="{00000000-0005-0000-0000-0000FF1E0000}"/>
    <cellStyle name="20% - Accent3 4 3 3 4 6" xfId="36969" xr:uid="{00000000-0005-0000-0000-0000001F0000}"/>
    <cellStyle name="20% - Accent3 4 3 3 5" xfId="7814" xr:uid="{00000000-0005-0000-0000-0000011F0000}"/>
    <cellStyle name="20% - Accent3 4 3 3 6" xfId="14915" xr:uid="{00000000-0005-0000-0000-0000021F0000}"/>
    <cellStyle name="20% - Accent3 4 3 3 7" xfId="22017" xr:uid="{00000000-0005-0000-0000-0000031F0000}"/>
    <cellStyle name="20% - Accent3 4 3 3 8" xfId="29119" xr:uid="{00000000-0005-0000-0000-0000041F0000}"/>
    <cellStyle name="20% - Accent3 4 3 3 9" xfId="36970" xr:uid="{00000000-0005-0000-0000-0000051F0000}"/>
    <cellStyle name="20% - Accent3 4 3 4" xfId="848" xr:uid="{00000000-0005-0000-0000-0000061F0000}"/>
    <cellStyle name="20% - Accent3 4 3 4 2" xfId="2339" xr:uid="{00000000-0005-0000-0000-0000071F0000}"/>
    <cellStyle name="20% - Accent3 4 3 4 2 2" xfId="6607" xr:uid="{00000000-0005-0000-0000-0000081F0000}"/>
    <cellStyle name="20% - Accent3 4 3 4 2 2 2" xfId="13707" xr:uid="{00000000-0005-0000-0000-0000091F0000}"/>
    <cellStyle name="20% - Accent3 4 3 4 2 2 3" xfId="20808" xr:uid="{00000000-0005-0000-0000-00000A1F0000}"/>
    <cellStyle name="20% - Accent3 4 3 4 2 2 4" xfId="27910" xr:uid="{00000000-0005-0000-0000-00000B1F0000}"/>
    <cellStyle name="20% - Accent3 4 3 4 2 2 5" xfId="35012" xr:uid="{00000000-0005-0000-0000-00000C1F0000}"/>
    <cellStyle name="20% - Accent3 4 3 4 2 2 6" xfId="36971" xr:uid="{00000000-0005-0000-0000-00000D1F0000}"/>
    <cellStyle name="20% - Accent3 4 3 4 2 3" xfId="9447" xr:uid="{00000000-0005-0000-0000-00000E1F0000}"/>
    <cellStyle name="20% - Accent3 4 3 4 2 4" xfId="16548" xr:uid="{00000000-0005-0000-0000-00000F1F0000}"/>
    <cellStyle name="20% - Accent3 4 3 4 2 5" xfId="23650" xr:uid="{00000000-0005-0000-0000-0000101F0000}"/>
    <cellStyle name="20% - Accent3 4 3 4 2 6" xfId="30752" xr:uid="{00000000-0005-0000-0000-0000111F0000}"/>
    <cellStyle name="20% - Accent3 4 3 4 2 7" xfId="36972" xr:uid="{00000000-0005-0000-0000-0000121F0000}"/>
    <cellStyle name="20% - Accent3 4 3 4 3" xfId="5186" xr:uid="{00000000-0005-0000-0000-0000131F0000}"/>
    <cellStyle name="20% - Accent3 4 3 4 3 2" xfId="12287" xr:uid="{00000000-0005-0000-0000-0000141F0000}"/>
    <cellStyle name="20% - Accent3 4 3 4 3 2 2" xfId="36973" xr:uid="{00000000-0005-0000-0000-0000151F0000}"/>
    <cellStyle name="20% - Accent3 4 3 4 3 3" xfId="19388" xr:uid="{00000000-0005-0000-0000-0000161F0000}"/>
    <cellStyle name="20% - Accent3 4 3 4 3 4" xfId="26490" xr:uid="{00000000-0005-0000-0000-0000171F0000}"/>
    <cellStyle name="20% - Accent3 4 3 4 3 5" xfId="33592" xr:uid="{00000000-0005-0000-0000-0000181F0000}"/>
    <cellStyle name="20% - Accent3 4 3 4 3 6" xfId="36974" xr:uid="{00000000-0005-0000-0000-0000191F0000}"/>
    <cellStyle name="20% - Accent3 4 3 4 4" xfId="3761" xr:uid="{00000000-0005-0000-0000-00001A1F0000}"/>
    <cellStyle name="20% - Accent3 4 3 4 4 2" xfId="10867" xr:uid="{00000000-0005-0000-0000-00001B1F0000}"/>
    <cellStyle name="20% - Accent3 4 3 4 4 3" xfId="17968" xr:uid="{00000000-0005-0000-0000-00001C1F0000}"/>
    <cellStyle name="20% - Accent3 4 3 4 4 4" xfId="25070" xr:uid="{00000000-0005-0000-0000-00001D1F0000}"/>
    <cellStyle name="20% - Accent3 4 3 4 4 5" xfId="32172" xr:uid="{00000000-0005-0000-0000-00001E1F0000}"/>
    <cellStyle name="20% - Accent3 4 3 4 4 6" xfId="36975" xr:uid="{00000000-0005-0000-0000-00001F1F0000}"/>
    <cellStyle name="20% - Accent3 4 3 4 5" xfId="8027" xr:uid="{00000000-0005-0000-0000-0000201F0000}"/>
    <cellStyle name="20% - Accent3 4 3 4 6" xfId="15128" xr:uid="{00000000-0005-0000-0000-0000211F0000}"/>
    <cellStyle name="20% - Accent3 4 3 4 7" xfId="22230" xr:uid="{00000000-0005-0000-0000-0000221F0000}"/>
    <cellStyle name="20% - Accent3 4 3 4 8" xfId="29332" xr:uid="{00000000-0005-0000-0000-0000231F0000}"/>
    <cellStyle name="20% - Accent3 4 3 4 9" xfId="36976" xr:uid="{00000000-0005-0000-0000-0000241F0000}"/>
    <cellStyle name="20% - Accent3 4 3 5" xfId="1203" xr:uid="{00000000-0005-0000-0000-0000251F0000}"/>
    <cellStyle name="20% - Accent3 4 3 5 2" xfId="2694" xr:uid="{00000000-0005-0000-0000-0000261F0000}"/>
    <cellStyle name="20% - Accent3 4 3 5 2 2" xfId="6962" xr:uid="{00000000-0005-0000-0000-0000271F0000}"/>
    <cellStyle name="20% - Accent3 4 3 5 2 2 2" xfId="14062" xr:uid="{00000000-0005-0000-0000-0000281F0000}"/>
    <cellStyle name="20% - Accent3 4 3 5 2 2 3" xfId="21163" xr:uid="{00000000-0005-0000-0000-0000291F0000}"/>
    <cellStyle name="20% - Accent3 4 3 5 2 2 4" xfId="28265" xr:uid="{00000000-0005-0000-0000-00002A1F0000}"/>
    <cellStyle name="20% - Accent3 4 3 5 2 2 5" xfId="35367" xr:uid="{00000000-0005-0000-0000-00002B1F0000}"/>
    <cellStyle name="20% - Accent3 4 3 5 2 3" xfId="9802" xr:uid="{00000000-0005-0000-0000-00002C1F0000}"/>
    <cellStyle name="20% - Accent3 4 3 5 2 4" xfId="16903" xr:uid="{00000000-0005-0000-0000-00002D1F0000}"/>
    <cellStyle name="20% - Accent3 4 3 5 2 5" xfId="24005" xr:uid="{00000000-0005-0000-0000-00002E1F0000}"/>
    <cellStyle name="20% - Accent3 4 3 5 2 6" xfId="31107" xr:uid="{00000000-0005-0000-0000-00002F1F0000}"/>
    <cellStyle name="20% - Accent3 4 3 5 2 7" xfId="36977" xr:uid="{00000000-0005-0000-0000-0000301F0000}"/>
    <cellStyle name="20% - Accent3 4 3 5 3" xfId="5541" xr:uid="{00000000-0005-0000-0000-0000311F0000}"/>
    <cellStyle name="20% - Accent3 4 3 5 3 2" xfId="12642" xr:uid="{00000000-0005-0000-0000-0000321F0000}"/>
    <cellStyle name="20% - Accent3 4 3 5 3 3" xfId="19743" xr:uid="{00000000-0005-0000-0000-0000331F0000}"/>
    <cellStyle name="20% - Accent3 4 3 5 3 4" xfId="26845" xr:uid="{00000000-0005-0000-0000-0000341F0000}"/>
    <cellStyle name="20% - Accent3 4 3 5 3 5" xfId="33947" xr:uid="{00000000-0005-0000-0000-0000351F0000}"/>
    <cellStyle name="20% - Accent3 4 3 5 4" xfId="4116" xr:uid="{00000000-0005-0000-0000-0000361F0000}"/>
    <cellStyle name="20% - Accent3 4 3 5 4 2" xfId="11222" xr:uid="{00000000-0005-0000-0000-0000371F0000}"/>
    <cellStyle name="20% - Accent3 4 3 5 4 3" xfId="18323" xr:uid="{00000000-0005-0000-0000-0000381F0000}"/>
    <cellStyle name="20% - Accent3 4 3 5 4 4" xfId="25425" xr:uid="{00000000-0005-0000-0000-0000391F0000}"/>
    <cellStyle name="20% - Accent3 4 3 5 4 5" xfId="32527" xr:uid="{00000000-0005-0000-0000-00003A1F0000}"/>
    <cellStyle name="20% - Accent3 4 3 5 5" xfId="8382" xr:uid="{00000000-0005-0000-0000-00003B1F0000}"/>
    <cellStyle name="20% - Accent3 4 3 5 6" xfId="15483" xr:uid="{00000000-0005-0000-0000-00003C1F0000}"/>
    <cellStyle name="20% - Accent3 4 3 5 7" xfId="22585" xr:uid="{00000000-0005-0000-0000-00003D1F0000}"/>
    <cellStyle name="20% - Accent3 4 3 5 8" xfId="29687" xr:uid="{00000000-0005-0000-0000-00003E1F0000}"/>
    <cellStyle name="20% - Accent3 4 3 5 9" xfId="36978" xr:uid="{00000000-0005-0000-0000-00003F1F0000}"/>
    <cellStyle name="20% - Accent3 4 3 6" xfId="1416" xr:uid="{00000000-0005-0000-0000-0000401F0000}"/>
    <cellStyle name="20% - Accent3 4 3 6 2" xfId="2907" xr:uid="{00000000-0005-0000-0000-0000411F0000}"/>
    <cellStyle name="20% - Accent3 4 3 6 2 2" xfId="7175" xr:uid="{00000000-0005-0000-0000-0000421F0000}"/>
    <cellStyle name="20% - Accent3 4 3 6 2 2 2" xfId="14275" xr:uid="{00000000-0005-0000-0000-0000431F0000}"/>
    <cellStyle name="20% - Accent3 4 3 6 2 2 3" xfId="21376" xr:uid="{00000000-0005-0000-0000-0000441F0000}"/>
    <cellStyle name="20% - Accent3 4 3 6 2 2 4" xfId="28478" xr:uid="{00000000-0005-0000-0000-0000451F0000}"/>
    <cellStyle name="20% - Accent3 4 3 6 2 2 5" xfId="35580" xr:uid="{00000000-0005-0000-0000-0000461F0000}"/>
    <cellStyle name="20% - Accent3 4 3 6 2 3" xfId="10015" xr:uid="{00000000-0005-0000-0000-0000471F0000}"/>
    <cellStyle name="20% - Accent3 4 3 6 2 4" xfId="17116" xr:uid="{00000000-0005-0000-0000-0000481F0000}"/>
    <cellStyle name="20% - Accent3 4 3 6 2 5" xfId="24218" xr:uid="{00000000-0005-0000-0000-0000491F0000}"/>
    <cellStyle name="20% - Accent3 4 3 6 2 6" xfId="31320" xr:uid="{00000000-0005-0000-0000-00004A1F0000}"/>
    <cellStyle name="20% - Accent3 4 3 6 2 7" xfId="36979" xr:uid="{00000000-0005-0000-0000-00004B1F0000}"/>
    <cellStyle name="20% - Accent3 4 3 6 3" xfId="5754" xr:uid="{00000000-0005-0000-0000-00004C1F0000}"/>
    <cellStyle name="20% - Accent3 4 3 6 3 2" xfId="12855" xr:uid="{00000000-0005-0000-0000-00004D1F0000}"/>
    <cellStyle name="20% - Accent3 4 3 6 3 3" xfId="19956" xr:uid="{00000000-0005-0000-0000-00004E1F0000}"/>
    <cellStyle name="20% - Accent3 4 3 6 3 4" xfId="27058" xr:uid="{00000000-0005-0000-0000-00004F1F0000}"/>
    <cellStyle name="20% - Accent3 4 3 6 3 5" xfId="34160" xr:uid="{00000000-0005-0000-0000-0000501F0000}"/>
    <cellStyle name="20% - Accent3 4 3 6 4" xfId="4329" xr:uid="{00000000-0005-0000-0000-0000511F0000}"/>
    <cellStyle name="20% - Accent3 4 3 6 4 2" xfId="11435" xr:uid="{00000000-0005-0000-0000-0000521F0000}"/>
    <cellStyle name="20% - Accent3 4 3 6 4 3" xfId="18536" xr:uid="{00000000-0005-0000-0000-0000531F0000}"/>
    <cellStyle name="20% - Accent3 4 3 6 4 4" xfId="25638" xr:uid="{00000000-0005-0000-0000-0000541F0000}"/>
    <cellStyle name="20% - Accent3 4 3 6 4 5" xfId="32740" xr:uid="{00000000-0005-0000-0000-0000551F0000}"/>
    <cellStyle name="20% - Accent3 4 3 6 5" xfId="8595" xr:uid="{00000000-0005-0000-0000-0000561F0000}"/>
    <cellStyle name="20% - Accent3 4 3 6 6" xfId="15696" xr:uid="{00000000-0005-0000-0000-0000571F0000}"/>
    <cellStyle name="20% - Accent3 4 3 6 7" xfId="22798" xr:uid="{00000000-0005-0000-0000-0000581F0000}"/>
    <cellStyle name="20% - Accent3 4 3 6 8" xfId="29900" xr:uid="{00000000-0005-0000-0000-0000591F0000}"/>
    <cellStyle name="20% - Accent3 4 3 6 9" xfId="36980" xr:uid="{00000000-0005-0000-0000-00005A1F0000}"/>
    <cellStyle name="20% - Accent3 4 3 7" xfId="1700" xr:uid="{00000000-0005-0000-0000-00005B1F0000}"/>
    <cellStyle name="20% - Accent3 4 3 7 2" xfId="5968" xr:uid="{00000000-0005-0000-0000-00005C1F0000}"/>
    <cellStyle name="20% - Accent3 4 3 7 2 2" xfId="13068" xr:uid="{00000000-0005-0000-0000-00005D1F0000}"/>
    <cellStyle name="20% - Accent3 4 3 7 2 3" xfId="20169" xr:uid="{00000000-0005-0000-0000-00005E1F0000}"/>
    <cellStyle name="20% - Accent3 4 3 7 2 4" xfId="27271" xr:uid="{00000000-0005-0000-0000-00005F1F0000}"/>
    <cellStyle name="20% - Accent3 4 3 7 2 5" xfId="34373" xr:uid="{00000000-0005-0000-0000-0000601F0000}"/>
    <cellStyle name="20% - Accent3 4 3 7 3" xfId="8808" xr:uid="{00000000-0005-0000-0000-0000611F0000}"/>
    <cellStyle name="20% - Accent3 4 3 7 4" xfId="15909" xr:uid="{00000000-0005-0000-0000-0000621F0000}"/>
    <cellStyle name="20% - Accent3 4 3 7 5" xfId="23011" xr:uid="{00000000-0005-0000-0000-0000631F0000}"/>
    <cellStyle name="20% - Accent3 4 3 7 6" xfId="30113" xr:uid="{00000000-0005-0000-0000-0000641F0000}"/>
    <cellStyle name="20% - Accent3 4 3 7 7" xfId="36981" xr:uid="{00000000-0005-0000-0000-0000651F0000}"/>
    <cellStyle name="20% - Accent3 4 3 8" xfId="4547" xr:uid="{00000000-0005-0000-0000-0000661F0000}"/>
    <cellStyle name="20% - Accent3 4 3 8 2" xfId="11648" xr:uid="{00000000-0005-0000-0000-0000671F0000}"/>
    <cellStyle name="20% - Accent3 4 3 8 3" xfId="18749" xr:uid="{00000000-0005-0000-0000-0000681F0000}"/>
    <cellStyle name="20% - Accent3 4 3 8 4" xfId="25851" xr:uid="{00000000-0005-0000-0000-0000691F0000}"/>
    <cellStyle name="20% - Accent3 4 3 8 5" xfId="32953" xr:uid="{00000000-0005-0000-0000-00006A1F0000}"/>
    <cellStyle name="20% - Accent3 4 3 9" xfId="3122" xr:uid="{00000000-0005-0000-0000-00006B1F0000}"/>
    <cellStyle name="20% - Accent3 4 3 9 2" xfId="10228" xr:uid="{00000000-0005-0000-0000-00006C1F0000}"/>
    <cellStyle name="20% - Accent3 4 3 9 3" xfId="17329" xr:uid="{00000000-0005-0000-0000-00006D1F0000}"/>
    <cellStyle name="20% - Accent3 4 3 9 4" xfId="24431" xr:uid="{00000000-0005-0000-0000-00006E1F0000}"/>
    <cellStyle name="20% - Accent3 4 3 9 5" xfId="31533" xr:uid="{00000000-0005-0000-0000-00006F1F0000}"/>
    <cellStyle name="20% - Accent3 4 4" xfId="351" xr:uid="{00000000-0005-0000-0000-0000701F0000}"/>
    <cellStyle name="20% - Accent3 4 4 10" xfId="36982" xr:uid="{00000000-0005-0000-0000-0000711F0000}"/>
    <cellStyle name="20% - Accent3 4 4 2" xfId="1132" xr:uid="{00000000-0005-0000-0000-0000721F0000}"/>
    <cellStyle name="20% - Accent3 4 4 2 2" xfId="2623" xr:uid="{00000000-0005-0000-0000-0000731F0000}"/>
    <cellStyle name="20% - Accent3 4 4 2 2 2" xfId="6891" xr:uid="{00000000-0005-0000-0000-0000741F0000}"/>
    <cellStyle name="20% - Accent3 4 4 2 2 2 2" xfId="13991" xr:uid="{00000000-0005-0000-0000-0000751F0000}"/>
    <cellStyle name="20% - Accent3 4 4 2 2 2 3" xfId="21092" xr:uid="{00000000-0005-0000-0000-0000761F0000}"/>
    <cellStyle name="20% - Accent3 4 4 2 2 2 4" xfId="28194" xr:uid="{00000000-0005-0000-0000-0000771F0000}"/>
    <cellStyle name="20% - Accent3 4 4 2 2 2 5" xfId="35296" xr:uid="{00000000-0005-0000-0000-0000781F0000}"/>
    <cellStyle name="20% - Accent3 4 4 2 2 3" xfId="9731" xr:uid="{00000000-0005-0000-0000-0000791F0000}"/>
    <cellStyle name="20% - Accent3 4 4 2 2 4" xfId="16832" xr:uid="{00000000-0005-0000-0000-00007A1F0000}"/>
    <cellStyle name="20% - Accent3 4 4 2 2 5" xfId="23934" xr:uid="{00000000-0005-0000-0000-00007B1F0000}"/>
    <cellStyle name="20% - Accent3 4 4 2 2 6" xfId="31036" xr:uid="{00000000-0005-0000-0000-00007C1F0000}"/>
    <cellStyle name="20% - Accent3 4 4 2 2 7" xfId="36983" xr:uid="{00000000-0005-0000-0000-00007D1F0000}"/>
    <cellStyle name="20% - Accent3 4 4 2 3" xfId="5470" xr:uid="{00000000-0005-0000-0000-00007E1F0000}"/>
    <cellStyle name="20% - Accent3 4 4 2 3 2" xfId="12571" xr:uid="{00000000-0005-0000-0000-00007F1F0000}"/>
    <cellStyle name="20% - Accent3 4 4 2 3 3" xfId="19672" xr:uid="{00000000-0005-0000-0000-0000801F0000}"/>
    <cellStyle name="20% - Accent3 4 4 2 3 4" xfId="26774" xr:uid="{00000000-0005-0000-0000-0000811F0000}"/>
    <cellStyle name="20% - Accent3 4 4 2 3 5" xfId="33876" xr:uid="{00000000-0005-0000-0000-0000821F0000}"/>
    <cellStyle name="20% - Accent3 4 4 2 4" xfId="4045" xr:uid="{00000000-0005-0000-0000-0000831F0000}"/>
    <cellStyle name="20% - Accent3 4 4 2 4 2" xfId="11151" xr:uid="{00000000-0005-0000-0000-0000841F0000}"/>
    <cellStyle name="20% - Accent3 4 4 2 4 3" xfId="18252" xr:uid="{00000000-0005-0000-0000-0000851F0000}"/>
    <cellStyle name="20% - Accent3 4 4 2 4 4" xfId="25354" xr:uid="{00000000-0005-0000-0000-0000861F0000}"/>
    <cellStyle name="20% - Accent3 4 4 2 4 5" xfId="32456" xr:uid="{00000000-0005-0000-0000-0000871F0000}"/>
    <cellStyle name="20% - Accent3 4 4 2 5" xfId="8311" xr:uid="{00000000-0005-0000-0000-0000881F0000}"/>
    <cellStyle name="20% - Accent3 4 4 2 6" xfId="15412" xr:uid="{00000000-0005-0000-0000-0000891F0000}"/>
    <cellStyle name="20% - Accent3 4 4 2 7" xfId="22514" xr:uid="{00000000-0005-0000-0000-00008A1F0000}"/>
    <cellStyle name="20% - Accent3 4 4 2 8" xfId="29616" xr:uid="{00000000-0005-0000-0000-00008B1F0000}"/>
    <cellStyle name="20% - Accent3 4 4 2 9" xfId="36984" xr:uid="{00000000-0005-0000-0000-00008C1F0000}"/>
    <cellStyle name="20% - Accent3 4 4 3" xfId="1842" xr:uid="{00000000-0005-0000-0000-00008D1F0000}"/>
    <cellStyle name="20% - Accent3 4 4 3 2" xfId="6110" xr:uid="{00000000-0005-0000-0000-00008E1F0000}"/>
    <cellStyle name="20% - Accent3 4 4 3 2 2" xfId="13210" xr:uid="{00000000-0005-0000-0000-00008F1F0000}"/>
    <cellStyle name="20% - Accent3 4 4 3 2 3" xfId="20311" xr:uid="{00000000-0005-0000-0000-0000901F0000}"/>
    <cellStyle name="20% - Accent3 4 4 3 2 4" xfId="27413" xr:uid="{00000000-0005-0000-0000-0000911F0000}"/>
    <cellStyle name="20% - Accent3 4 4 3 2 5" xfId="34515" xr:uid="{00000000-0005-0000-0000-0000921F0000}"/>
    <cellStyle name="20% - Accent3 4 4 3 2 6" xfId="36985" xr:uid="{00000000-0005-0000-0000-0000931F0000}"/>
    <cellStyle name="20% - Accent3 4 4 3 3" xfId="8950" xr:uid="{00000000-0005-0000-0000-0000941F0000}"/>
    <cellStyle name="20% - Accent3 4 4 3 4" xfId="16051" xr:uid="{00000000-0005-0000-0000-0000951F0000}"/>
    <cellStyle name="20% - Accent3 4 4 3 5" xfId="23153" xr:uid="{00000000-0005-0000-0000-0000961F0000}"/>
    <cellStyle name="20% - Accent3 4 4 3 6" xfId="30255" xr:uid="{00000000-0005-0000-0000-0000971F0000}"/>
    <cellStyle name="20% - Accent3 4 4 3 7" xfId="36986" xr:uid="{00000000-0005-0000-0000-0000981F0000}"/>
    <cellStyle name="20% - Accent3 4 4 4" xfId="4689" xr:uid="{00000000-0005-0000-0000-0000991F0000}"/>
    <cellStyle name="20% - Accent3 4 4 4 2" xfId="11790" xr:uid="{00000000-0005-0000-0000-00009A1F0000}"/>
    <cellStyle name="20% - Accent3 4 4 4 3" xfId="18891" xr:uid="{00000000-0005-0000-0000-00009B1F0000}"/>
    <cellStyle name="20% - Accent3 4 4 4 4" xfId="25993" xr:uid="{00000000-0005-0000-0000-00009C1F0000}"/>
    <cellStyle name="20% - Accent3 4 4 4 5" xfId="33095" xr:uid="{00000000-0005-0000-0000-00009D1F0000}"/>
    <cellStyle name="20% - Accent3 4 4 4 6" xfId="36987" xr:uid="{00000000-0005-0000-0000-00009E1F0000}"/>
    <cellStyle name="20% - Accent3 4 4 5" xfId="3264" xr:uid="{00000000-0005-0000-0000-00009F1F0000}"/>
    <cellStyle name="20% - Accent3 4 4 5 2" xfId="10370" xr:uid="{00000000-0005-0000-0000-0000A01F0000}"/>
    <cellStyle name="20% - Accent3 4 4 5 3" xfId="17471" xr:uid="{00000000-0005-0000-0000-0000A11F0000}"/>
    <cellStyle name="20% - Accent3 4 4 5 4" xfId="24573" xr:uid="{00000000-0005-0000-0000-0000A21F0000}"/>
    <cellStyle name="20% - Accent3 4 4 5 5" xfId="31675" xr:uid="{00000000-0005-0000-0000-0000A31F0000}"/>
    <cellStyle name="20% - Accent3 4 4 6" xfId="7530" xr:uid="{00000000-0005-0000-0000-0000A41F0000}"/>
    <cellStyle name="20% - Accent3 4 4 7" xfId="14631" xr:uid="{00000000-0005-0000-0000-0000A51F0000}"/>
    <cellStyle name="20% - Accent3 4 4 8" xfId="21733" xr:uid="{00000000-0005-0000-0000-0000A61F0000}"/>
    <cellStyle name="20% - Accent3 4 4 9" xfId="28835" xr:uid="{00000000-0005-0000-0000-0000A71F0000}"/>
    <cellStyle name="20% - Accent3 4 5" xfId="564" xr:uid="{00000000-0005-0000-0000-0000A81F0000}"/>
    <cellStyle name="20% - Accent3 4 5 2" xfId="2055" xr:uid="{00000000-0005-0000-0000-0000A91F0000}"/>
    <cellStyle name="20% - Accent3 4 5 2 2" xfId="6323" xr:uid="{00000000-0005-0000-0000-0000AA1F0000}"/>
    <cellStyle name="20% - Accent3 4 5 2 2 2" xfId="13423" xr:uid="{00000000-0005-0000-0000-0000AB1F0000}"/>
    <cellStyle name="20% - Accent3 4 5 2 2 3" xfId="20524" xr:uid="{00000000-0005-0000-0000-0000AC1F0000}"/>
    <cellStyle name="20% - Accent3 4 5 2 2 4" xfId="27626" xr:uid="{00000000-0005-0000-0000-0000AD1F0000}"/>
    <cellStyle name="20% - Accent3 4 5 2 2 5" xfId="34728" xr:uid="{00000000-0005-0000-0000-0000AE1F0000}"/>
    <cellStyle name="20% - Accent3 4 5 2 2 6" xfId="36988" xr:uid="{00000000-0005-0000-0000-0000AF1F0000}"/>
    <cellStyle name="20% - Accent3 4 5 2 3" xfId="9163" xr:uid="{00000000-0005-0000-0000-0000B01F0000}"/>
    <cellStyle name="20% - Accent3 4 5 2 4" xfId="16264" xr:uid="{00000000-0005-0000-0000-0000B11F0000}"/>
    <cellStyle name="20% - Accent3 4 5 2 5" xfId="23366" xr:uid="{00000000-0005-0000-0000-0000B21F0000}"/>
    <cellStyle name="20% - Accent3 4 5 2 6" xfId="30468" xr:uid="{00000000-0005-0000-0000-0000B31F0000}"/>
    <cellStyle name="20% - Accent3 4 5 2 7" xfId="36989" xr:uid="{00000000-0005-0000-0000-0000B41F0000}"/>
    <cellStyle name="20% - Accent3 4 5 3" xfId="4902" xr:uid="{00000000-0005-0000-0000-0000B51F0000}"/>
    <cellStyle name="20% - Accent3 4 5 3 2" xfId="12003" xr:uid="{00000000-0005-0000-0000-0000B61F0000}"/>
    <cellStyle name="20% - Accent3 4 5 3 2 2" xfId="36990" xr:uid="{00000000-0005-0000-0000-0000B71F0000}"/>
    <cellStyle name="20% - Accent3 4 5 3 3" xfId="19104" xr:uid="{00000000-0005-0000-0000-0000B81F0000}"/>
    <cellStyle name="20% - Accent3 4 5 3 4" xfId="26206" xr:uid="{00000000-0005-0000-0000-0000B91F0000}"/>
    <cellStyle name="20% - Accent3 4 5 3 5" xfId="33308" xr:uid="{00000000-0005-0000-0000-0000BA1F0000}"/>
    <cellStyle name="20% - Accent3 4 5 3 6" xfId="36991" xr:uid="{00000000-0005-0000-0000-0000BB1F0000}"/>
    <cellStyle name="20% - Accent3 4 5 4" xfId="3477" xr:uid="{00000000-0005-0000-0000-0000BC1F0000}"/>
    <cellStyle name="20% - Accent3 4 5 4 2" xfId="10583" xr:uid="{00000000-0005-0000-0000-0000BD1F0000}"/>
    <cellStyle name="20% - Accent3 4 5 4 3" xfId="17684" xr:uid="{00000000-0005-0000-0000-0000BE1F0000}"/>
    <cellStyle name="20% - Accent3 4 5 4 4" xfId="24786" xr:uid="{00000000-0005-0000-0000-0000BF1F0000}"/>
    <cellStyle name="20% - Accent3 4 5 4 5" xfId="31888" xr:uid="{00000000-0005-0000-0000-0000C01F0000}"/>
    <cellStyle name="20% - Accent3 4 5 4 6" xfId="36992" xr:uid="{00000000-0005-0000-0000-0000C11F0000}"/>
    <cellStyle name="20% - Accent3 4 5 5" xfId="7743" xr:uid="{00000000-0005-0000-0000-0000C21F0000}"/>
    <cellStyle name="20% - Accent3 4 5 6" xfId="14844" xr:uid="{00000000-0005-0000-0000-0000C31F0000}"/>
    <cellStyle name="20% - Accent3 4 5 7" xfId="21946" xr:uid="{00000000-0005-0000-0000-0000C41F0000}"/>
    <cellStyle name="20% - Accent3 4 5 8" xfId="29048" xr:uid="{00000000-0005-0000-0000-0000C51F0000}"/>
    <cellStyle name="20% - Accent3 4 5 9" xfId="36993" xr:uid="{00000000-0005-0000-0000-0000C61F0000}"/>
    <cellStyle name="20% - Accent3 4 6" xfId="777" xr:uid="{00000000-0005-0000-0000-0000C71F0000}"/>
    <cellStyle name="20% - Accent3 4 6 2" xfId="2268" xr:uid="{00000000-0005-0000-0000-0000C81F0000}"/>
    <cellStyle name="20% - Accent3 4 6 2 2" xfId="6536" xr:uid="{00000000-0005-0000-0000-0000C91F0000}"/>
    <cellStyle name="20% - Accent3 4 6 2 2 2" xfId="13636" xr:uid="{00000000-0005-0000-0000-0000CA1F0000}"/>
    <cellStyle name="20% - Accent3 4 6 2 2 3" xfId="20737" xr:uid="{00000000-0005-0000-0000-0000CB1F0000}"/>
    <cellStyle name="20% - Accent3 4 6 2 2 4" xfId="27839" xr:uid="{00000000-0005-0000-0000-0000CC1F0000}"/>
    <cellStyle name="20% - Accent3 4 6 2 2 5" xfId="34941" xr:uid="{00000000-0005-0000-0000-0000CD1F0000}"/>
    <cellStyle name="20% - Accent3 4 6 2 2 6" xfId="36994" xr:uid="{00000000-0005-0000-0000-0000CE1F0000}"/>
    <cellStyle name="20% - Accent3 4 6 2 3" xfId="9376" xr:uid="{00000000-0005-0000-0000-0000CF1F0000}"/>
    <cellStyle name="20% - Accent3 4 6 2 4" xfId="16477" xr:uid="{00000000-0005-0000-0000-0000D01F0000}"/>
    <cellStyle name="20% - Accent3 4 6 2 5" xfId="23579" xr:uid="{00000000-0005-0000-0000-0000D11F0000}"/>
    <cellStyle name="20% - Accent3 4 6 2 6" xfId="30681" xr:uid="{00000000-0005-0000-0000-0000D21F0000}"/>
    <cellStyle name="20% - Accent3 4 6 2 7" xfId="36995" xr:uid="{00000000-0005-0000-0000-0000D31F0000}"/>
    <cellStyle name="20% - Accent3 4 6 3" xfId="5115" xr:uid="{00000000-0005-0000-0000-0000D41F0000}"/>
    <cellStyle name="20% - Accent3 4 6 3 2" xfId="12216" xr:uid="{00000000-0005-0000-0000-0000D51F0000}"/>
    <cellStyle name="20% - Accent3 4 6 3 2 2" xfId="36996" xr:uid="{00000000-0005-0000-0000-0000D61F0000}"/>
    <cellStyle name="20% - Accent3 4 6 3 3" xfId="19317" xr:uid="{00000000-0005-0000-0000-0000D71F0000}"/>
    <cellStyle name="20% - Accent3 4 6 3 4" xfId="26419" xr:uid="{00000000-0005-0000-0000-0000D81F0000}"/>
    <cellStyle name="20% - Accent3 4 6 3 5" xfId="33521" xr:uid="{00000000-0005-0000-0000-0000D91F0000}"/>
    <cellStyle name="20% - Accent3 4 6 3 6" xfId="36997" xr:uid="{00000000-0005-0000-0000-0000DA1F0000}"/>
    <cellStyle name="20% - Accent3 4 6 4" xfId="3690" xr:uid="{00000000-0005-0000-0000-0000DB1F0000}"/>
    <cellStyle name="20% - Accent3 4 6 4 2" xfId="10796" xr:uid="{00000000-0005-0000-0000-0000DC1F0000}"/>
    <cellStyle name="20% - Accent3 4 6 4 3" xfId="17897" xr:uid="{00000000-0005-0000-0000-0000DD1F0000}"/>
    <cellStyle name="20% - Accent3 4 6 4 4" xfId="24999" xr:uid="{00000000-0005-0000-0000-0000DE1F0000}"/>
    <cellStyle name="20% - Accent3 4 6 4 5" xfId="32101" xr:uid="{00000000-0005-0000-0000-0000DF1F0000}"/>
    <cellStyle name="20% - Accent3 4 6 4 6" xfId="36998" xr:uid="{00000000-0005-0000-0000-0000E01F0000}"/>
    <cellStyle name="20% - Accent3 4 6 5" xfId="7956" xr:uid="{00000000-0005-0000-0000-0000E11F0000}"/>
    <cellStyle name="20% - Accent3 4 6 6" xfId="15057" xr:uid="{00000000-0005-0000-0000-0000E21F0000}"/>
    <cellStyle name="20% - Accent3 4 6 7" xfId="22159" xr:uid="{00000000-0005-0000-0000-0000E31F0000}"/>
    <cellStyle name="20% - Accent3 4 6 8" xfId="29261" xr:uid="{00000000-0005-0000-0000-0000E41F0000}"/>
    <cellStyle name="20% - Accent3 4 6 9" xfId="36999" xr:uid="{00000000-0005-0000-0000-0000E51F0000}"/>
    <cellStyle name="20% - Accent3 4 7" xfId="990" xr:uid="{00000000-0005-0000-0000-0000E61F0000}"/>
    <cellStyle name="20% - Accent3 4 7 2" xfId="2481" xr:uid="{00000000-0005-0000-0000-0000E71F0000}"/>
    <cellStyle name="20% - Accent3 4 7 2 2" xfId="6749" xr:uid="{00000000-0005-0000-0000-0000E81F0000}"/>
    <cellStyle name="20% - Accent3 4 7 2 2 2" xfId="13849" xr:uid="{00000000-0005-0000-0000-0000E91F0000}"/>
    <cellStyle name="20% - Accent3 4 7 2 2 3" xfId="20950" xr:uid="{00000000-0005-0000-0000-0000EA1F0000}"/>
    <cellStyle name="20% - Accent3 4 7 2 2 4" xfId="28052" xr:uid="{00000000-0005-0000-0000-0000EB1F0000}"/>
    <cellStyle name="20% - Accent3 4 7 2 2 5" xfId="35154" xr:uid="{00000000-0005-0000-0000-0000EC1F0000}"/>
    <cellStyle name="20% - Accent3 4 7 2 3" xfId="9589" xr:uid="{00000000-0005-0000-0000-0000ED1F0000}"/>
    <cellStyle name="20% - Accent3 4 7 2 4" xfId="16690" xr:uid="{00000000-0005-0000-0000-0000EE1F0000}"/>
    <cellStyle name="20% - Accent3 4 7 2 5" xfId="23792" xr:uid="{00000000-0005-0000-0000-0000EF1F0000}"/>
    <cellStyle name="20% - Accent3 4 7 2 6" xfId="30894" xr:uid="{00000000-0005-0000-0000-0000F01F0000}"/>
    <cellStyle name="20% - Accent3 4 7 2 7" xfId="37000" xr:uid="{00000000-0005-0000-0000-0000F11F0000}"/>
    <cellStyle name="20% - Accent3 4 7 3" xfId="5328" xr:uid="{00000000-0005-0000-0000-0000F21F0000}"/>
    <cellStyle name="20% - Accent3 4 7 3 2" xfId="12429" xr:uid="{00000000-0005-0000-0000-0000F31F0000}"/>
    <cellStyle name="20% - Accent3 4 7 3 3" xfId="19530" xr:uid="{00000000-0005-0000-0000-0000F41F0000}"/>
    <cellStyle name="20% - Accent3 4 7 3 4" xfId="26632" xr:uid="{00000000-0005-0000-0000-0000F51F0000}"/>
    <cellStyle name="20% - Accent3 4 7 3 5" xfId="33734" xr:uid="{00000000-0005-0000-0000-0000F61F0000}"/>
    <cellStyle name="20% - Accent3 4 7 4" xfId="3903" xr:uid="{00000000-0005-0000-0000-0000F71F0000}"/>
    <cellStyle name="20% - Accent3 4 7 4 2" xfId="11009" xr:uid="{00000000-0005-0000-0000-0000F81F0000}"/>
    <cellStyle name="20% - Accent3 4 7 4 3" xfId="18110" xr:uid="{00000000-0005-0000-0000-0000F91F0000}"/>
    <cellStyle name="20% - Accent3 4 7 4 4" xfId="25212" xr:uid="{00000000-0005-0000-0000-0000FA1F0000}"/>
    <cellStyle name="20% - Accent3 4 7 4 5" xfId="32314" xr:uid="{00000000-0005-0000-0000-0000FB1F0000}"/>
    <cellStyle name="20% - Accent3 4 7 5" xfId="8169" xr:uid="{00000000-0005-0000-0000-0000FC1F0000}"/>
    <cellStyle name="20% - Accent3 4 7 6" xfId="15270" xr:uid="{00000000-0005-0000-0000-0000FD1F0000}"/>
    <cellStyle name="20% - Accent3 4 7 7" xfId="22372" xr:uid="{00000000-0005-0000-0000-0000FE1F0000}"/>
    <cellStyle name="20% - Accent3 4 7 8" xfId="29474" xr:uid="{00000000-0005-0000-0000-0000FF1F0000}"/>
    <cellStyle name="20% - Accent3 4 7 9" xfId="37001" xr:uid="{00000000-0005-0000-0000-000000200000}"/>
    <cellStyle name="20% - Accent3 4 8" xfId="1345" xr:uid="{00000000-0005-0000-0000-000001200000}"/>
    <cellStyle name="20% - Accent3 4 8 2" xfId="2836" xr:uid="{00000000-0005-0000-0000-000002200000}"/>
    <cellStyle name="20% - Accent3 4 8 2 2" xfId="7104" xr:uid="{00000000-0005-0000-0000-000003200000}"/>
    <cellStyle name="20% - Accent3 4 8 2 2 2" xfId="14204" xr:uid="{00000000-0005-0000-0000-000004200000}"/>
    <cellStyle name="20% - Accent3 4 8 2 2 3" xfId="21305" xr:uid="{00000000-0005-0000-0000-000005200000}"/>
    <cellStyle name="20% - Accent3 4 8 2 2 4" xfId="28407" xr:uid="{00000000-0005-0000-0000-000006200000}"/>
    <cellStyle name="20% - Accent3 4 8 2 2 5" xfId="35509" xr:uid="{00000000-0005-0000-0000-000007200000}"/>
    <cellStyle name="20% - Accent3 4 8 2 3" xfId="9944" xr:uid="{00000000-0005-0000-0000-000008200000}"/>
    <cellStyle name="20% - Accent3 4 8 2 4" xfId="17045" xr:uid="{00000000-0005-0000-0000-000009200000}"/>
    <cellStyle name="20% - Accent3 4 8 2 5" xfId="24147" xr:uid="{00000000-0005-0000-0000-00000A200000}"/>
    <cellStyle name="20% - Accent3 4 8 2 6" xfId="31249" xr:uid="{00000000-0005-0000-0000-00000B200000}"/>
    <cellStyle name="20% - Accent3 4 8 2 7" xfId="37002" xr:uid="{00000000-0005-0000-0000-00000C200000}"/>
    <cellStyle name="20% - Accent3 4 8 3" xfId="5683" xr:uid="{00000000-0005-0000-0000-00000D200000}"/>
    <cellStyle name="20% - Accent3 4 8 3 2" xfId="12784" xr:uid="{00000000-0005-0000-0000-00000E200000}"/>
    <cellStyle name="20% - Accent3 4 8 3 3" xfId="19885" xr:uid="{00000000-0005-0000-0000-00000F200000}"/>
    <cellStyle name="20% - Accent3 4 8 3 4" xfId="26987" xr:uid="{00000000-0005-0000-0000-000010200000}"/>
    <cellStyle name="20% - Accent3 4 8 3 5" xfId="34089" xr:uid="{00000000-0005-0000-0000-000011200000}"/>
    <cellStyle name="20% - Accent3 4 8 4" xfId="4258" xr:uid="{00000000-0005-0000-0000-000012200000}"/>
    <cellStyle name="20% - Accent3 4 8 4 2" xfId="11364" xr:uid="{00000000-0005-0000-0000-000013200000}"/>
    <cellStyle name="20% - Accent3 4 8 4 3" xfId="18465" xr:uid="{00000000-0005-0000-0000-000014200000}"/>
    <cellStyle name="20% - Accent3 4 8 4 4" xfId="25567" xr:uid="{00000000-0005-0000-0000-000015200000}"/>
    <cellStyle name="20% - Accent3 4 8 4 5" xfId="32669" xr:uid="{00000000-0005-0000-0000-000016200000}"/>
    <cellStyle name="20% - Accent3 4 8 5" xfId="8524" xr:uid="{00000000-0005-0000-0000-000017200000}"/>
    <cellStyle name="20% - Accent3 4 8 6" xfId="15625" xr:uid="{00000000-0005-0000-0000-000018200000}"/>
    <cellStyle name="20% - Accent3 4 8 7" xfId="22727" xr:uid="{00000000-0005-0000-0000-000019200000}"/>
    <cellStyle name="20% - Accent3 4 8 8" xfId="29829" xr:uid="{00000000-0005-0000-0000-00001A200000}"/>
    <cellStyle name="20% - Accent3 4 8 9" xfId="37003" xr:uid="{00000000-0005-0000-0000-00001B200000}"/>
    <cellStyle name="20% - Accent3 4 9" xfId="1629" xr:uid="{00000000-0005-0000-0000-00001C200000}"/>
    <cellStyle name="20% - Accent3 4 9 2" xfId="5897" xr:uid="{00000000-0005-0000-0000-00001D200000}"/>
    <cellStyle name="20% - Accent3 4 9 2 2" xfId="12997" xr:uid="{00000000-0005-0000-0000-00001E200000}"/>
    <cellStyle name="20% - Accent3 4 9 2 3" xfId="20098" xr:uid="{00000000-0005-0000-0000-00001F200000}"/>
    <cellStyle name="20% - Accent3 4 9 2 4" xfId="27200" xr:uid="{00000000-0005-0000-0000-000020200000}"/>
    <cellStyle name="20% - Accent3 4 9 2 5" xfId="34302" xr:uid="{00000000-0005-0000-0000-000021200000}"/>
    <cellStyle name="20% - Accent3 4 9 3" xfId="8737" xr:uid="{00000000-0005-0000-0000-000022200000}"/>
    <cellStyle name="20% - Accent3 4 9 4" xfId="15838" xr:uid="{00000000-0005-0000-0000-000023200000}"/>
    <cellStyle name="20% - Accent3 4 9 5" xfId="22940" xr:uid="{00000000-0005-0000-0000-000024200000}"/>
    <cellStyle name="20% - Accent3 4 9 6" xfId="30042" xr:uid="{00000000-0005-0000-0000-000025200000}"/>
    <cellStyle name="20% - Accent3 4 9 7" xfId="37004" xr:uid="{00000000-0005-0000-0000-000026200000}"/>
    <cellStyle name="20% - Accent3 5" xfId="221" xr:uid="{00000000-0005-0000-0000-000027200000}"/>
    <cellStyle name="20% - Accent3 5 10" xfId="7400" xr:uid="{00000000-0005-0000-0000-000028200000}"/>
    <cellStyle name="20% - Accent3 5 11" xfId="14501" xr:uid="{00000000-0005-0000-0000-000029200000}"/>
    <cellStyle name="20% - Accent3 5 12" xfId="21603" xr:uid="{00000000-0005-0000-0000-00002A200000}"/>
    <cellStyle name="20% - Accent3 5 13" xfId="28705" xr:uid="{00000000-0005-0000-0000-00002B200000}"/>
    <cellStyle name="20% - Accent3 5 14" xfId="35807" xr:uid="{00000000-0005-0000-0000-00002C200000}"/>
    <cellStyle name="20% - Accent3 5 15" xfId="37005" xr:uid="{00000000-0005-0000-0000-00002D200000}"/>
    <cellStyle name="20% - Accent3 5 2" xfId="434" xr:uid="{00000000-0005-0000-0000-00002E200000}"/>
    <cellStyle name="20% - Accent3 5 2 10" xfId="37006" xr:uid="{00000000-0005-0000-0000-00002F200000}"/>
    <cellStyle name="20% - Accent3 5 2 2" xfId="1215" xr:uid="{00000000-0005-0000-0000-000030200000}"/>
    <cellStyle name="20% - Accent3 5 2 2 2" xfId="2706" xr:uid="{00000000-0005-0000-0000-000031200000}"/>
    <cellStyle name="20% - Accent3 5 2 2 2 2" xfId="6974" xr:uid="{00000000-0005-0000-0000-000032200000}"/>
    <cellStyle name="20% - Accent3 5 2 2 2 2 2" xfId="14074" xr:uid="{00000000-0005-0000-0000-000033200000}"/>
    <cellStyle name="20% - Accent3 5 2 2 2 2 3" xfId="21175" xr:uid="{00000000-0005-0000-0000-000034200000}"/>
    <cellStyle name="20% - Accent3 5 2 2 2 2 4" xfId="28277" xr:uid="{00000000-0005-0000-0000-000035200000}"/>
    <cellStyle name="20% - Accent3 5 2 2 2 2 5" xfId="35379" xr:uid="{00000000-0005-0000-0000-000036200000}"/>
    <cellStyle name="20% - Accent3 5 2 2 2 3" xfId="9814" xr:uid="{00000000-0005-0000-0000-000037200000}"/>
    <cellStyle name="20% - Accent3 5 2 2 2 4" xfId="16915" xr:uid="{00000000-0005-0000-0000-000038200000}"/>
    <cellStyle name="20% - Accent3 5 2 2 2 5" xfId="24017" xr:uid="{00000000-0005-0000-0000-000039200000}"/>
    <cellStyle name="20% - Accent3 5 2 2 2 6" xfId="31119" xr:uid="{00000000-0005-0000-0000-00003A200000}"/>
    <cellStyle name="20% - Accent3 5 2 2 2 7" xfId="37007" xr:uid="{00000000-0005-0000-0000-00003B200000}"/>
    <cellStyle name="20% - Accent3 5 2 2 3" xfId="5553" xr:uid="{00000000-0005-0000-0000-00003C200000}"/>
    <cellStyle name="20% - Accent3 5 2 2 3 2" xfId="12654" xr:uid="{00000000-0005-0000-0000-00003D200000}"/>
    <cellStyle name="20% - Accent3 5 2 2 3 3" xfId="19755" xr:uid="{00000000-0005-0000-0000-00003E200000}"/>
    <cellStyle name="20% - Accent3 5 2 2 3 4" xfId="26857" xr:uid="{00000000-0005-0000-0000-00003F200000}"/>
    <cellStyle name="20% - Accent3 5 2 2 3 5" xfId="33959" xr:uid="{00000000-0005-0000-0000-000040200000}"/>
    <cellStyle name="20% - Accent3 5 2 2 4" xfId="4128" xr:uid="{00000000-0005-0000-0000-000041200000}"/>
    <cellStyle name="20% - Accent3 5 2 2 4 2" xfId="11234" xr:uid="{00000000-0005-0000-0000-000042200000}"/>
    <cellStyle name="20% - Accent3 5 2 2 4 3" xfId="18335" xr:uid="{00000000-0005-0000-0000-000043200000}"/>
    <cellStyle name="20% - Accent3 5 2 2 4 4" xfId="25437" xr:uid="{00000000-0005-0000-0000-000044200000}"/>
    <cellStyle name="20% - Accent3 5 2 2 4 5" xfId="32539" xr:uid="{00000000-0005-0000-0000-000045200000}"/>
    <cellStyle name="20% - Accent3 5 2 2 5" xfId="8394" xr:uid="{00000000-0005-0000-0000-000046200000}"/>
    <cellStyle name="20% - Accent3 5 2 2 6" xfId="15495" xr:uid="{00000000-0005-0000-0000-000047200000}"/>
    <cellStyle name="20% - Accent3 5 2 2 7" xfId="22597" xr:uid="{00000000-0005-0000-0000-000048200000}"/>
    <cellStyle name="20% - Accent3 5 2 2 8" xfId="29699" xr:uid="{00000000-0005-0000-0000-000049200000}"/>
    <cellStyle name="20% - Accent3 5 2 2 9" xfId="37008" xr:uid="{00000000-0005-0000-0000-00004A200000}"/>
    <cellStyle name="20% - Accent3 5 2 3" xfId="1925" xr:uid="{00000000-0005-0000-0000-00004B200000}"/>
    <cellStyle name="20% - Accent3 5 2 3 2" xfId="6193" xr:uid="{00000000-0005-0000-0000-00004C200000}"/>
    <cellStyle name="20% - Accent3 5 2 3 2 2" xfId="13293" xr:uid="{00000000-0005-0000-0000-00004D200000}"/>
    <cellStyle name="20% - Accent3 5 2 3 2 3" xfId="20394" xr:uid="{00000000-0005-0000-0000-00004E200000}"/>
    <cellStyle name="20% - Accent3 5 2 3 2 4" xfId="27496" xr:uid="{00000000-0005-0000-0000-00004F200000}"/>
    <cellStyle name="20% - Accent3 5 2 3 2 5" xfId="34598" xr:uid="{00000000-0005-0000-0000-000050200000}"/>
    <cellStyle name="20% - Accent3 5 2 3 2 6" xfId="37009" xr:uid="{00000000-0005-0000-0000-000051200000}"/>
    <cellStyle name="20% - Accent3 5 2 3 3" xfId="9033" xr:uid="{00000000-0005-0000-0000-000052200000}"/>
    <cellStyle name="20% - Accent3 5 2 3 4" xfId="16134" xr:uid="{00000000-0005-0000-0000-000053200000}"/>
    <cellStyle name="20% - Accent3 5 2 3 5" xfId="23236" xr:uid="{00000000-0005-0000-0000-000054200000}"/>
    <cellStyle name="20% - Accent3 5 2 3 6" xfId="30338" xr:uid="{00000000-0005-0000-0000-000055200000}"/>
    <cellStyle name="20% - Accent3 5 2 3 7" xfId="37010" xr:uid="{00000000-0005-0000-0000-000056200000}"/>
    <cellStyle name="20% - Accent3 5 2 4" xfId="4772" xr:uid="{00000000-0005-0000-0000-000057200000}"/>
    <cellStyle name="20% - Accent3 5 2 4 2" xfId="11873" xr:uid="{00000000-0005-0000-0000-000058200000}"/>
    <cellStyle name="20% - Accent3 5 2 4 3" xfId="18974" xr:uid="{00000000-0005-0000-0000-000059200000}"/>
    <cellStyle name="20% - Accent3 5 2 4 4" xfId="26076" xr:uid="{00000000-0005-0000-0000-00005A200000}"/>
    <cellStyle name="20% - Accent3 5 2 4 5" xfId="33178" xr:uid="{00000000-0005-0000-0000-00005B200000}"/>
    <cellStyle name="20% - Accent3 5 2 4 6" xfId="37011" xr:uid="{00000000-0005-0000-0000-00005C200000}"/>
    <cellStyle name="20% - Accent3 5 2 5" xfId="3347" xr:uid="{00000000-0005-0000-0000-00005D200000}"/>
    <cellStyle name="20% - Accent3 5 2 5 2" xfId="10453" xr:uid="{00000000-0005-0000-0000-00005E200000}"/>
    <cellStyle name="20% - Accent3 5 2 5 3" xfId="17554" xr:uid="{00000000-0005-0000-0000-00005F200000}"/>
    <cellStyle name="20% - Accent3 5 2 5 4" xfId="24656" xr:uid="{00000000-0005-0000-0000-000060200000}"/>
    <cellStyle name="20% - Accent3 5 2 5 5" xfId="31758" xr:uid="{00000000-0005-0000-0000-000061200000}"/>
    <cellStyle name="20% - Accent3 5 2 6" xfId="7613" xr:uid="{00000000-0005-0000-0000-000062200000}"/>
    <cellStyle name="20% - Accent3 5 2 7" xfId="14714" xr:uid="{00000000-0005-0000-0000-000063200000}"/>
    <cellStyle name="20% - Accent3 5 2 8" xfId="21816" xr:uid="{00000000-0005-0000-0000-000064200000}"/>
    <cellStyle name="20% - Accent3 5 2 9" xfId="28918" xr:uid="{00000000-0005-0000-0000-000065200000}"/>
    <cellStyle name="20% - Accent3 5 3" xfId="647" xr:uid="{00000000-0005-0000-0000-000066200000}"/>
    <cellStyle name="20% - Accent3 5 3 2" xfId="2138" xr:uid="{00000000-0005-0000-0000-000067200000}"/>
    <cellStyle name="20% - Accent3 5 3 2 2" xfId="6406" xr:uid="{00000000-0005-0000-0000-000068200000}"/>
    <cellStyle name="20% - Accent3 5 3 2 2 2" xfId="13506" xr:uid="{00000000-0005-0000-0000-000069200000}"/>
    <cellStyle name="20% - Accent3 5 3 2 2 3" xfId="20607" xr:uid="{00000000-0005-0000-0000-00006A200000}"/>
    <cellStyle name="20% - Accent3 5 3 2 2 4" xfId="27709" xr:uid="{00000000-0005-0000-0000-00006B200000}"/>
    <cellStyle name="20% - Accent3 5 3 2 2 5" xfId="34811" xr:uid="{00000000-0005-0000-0000-00006C200000}"/>
    <cellStyle name="20% - Accent3 5 3 2 2 6" xfId="37012" xr:uid="{00000000-0005-0000-0000-00006D200000}"/>
    <cellStyle name="20% - Accent3 5 3 2 3" xfId="9246" xr:uid="{00000000-0005-0000-0000-00006E200000}"/>
    <cellStyle name="20% - Accent3 5 3 2 4" xfId="16347" xr:uid="{00000000-0005-0000-0000-00006F200000}"/>
    <cellStyle name="20% - Accent3 5 3 2 5" xfId="23449" xr:uid="{00000000-0005-0000-0000-000070200000}"/>
    <cellStyle name="20% - Accent3 5 3 2 6" xfId="30551" xr:uid="{00000000-0005-0000-0000-000071200000}"/>
    <cellStyle name="20% - Accent3 5 3 2 7" xfId="37013" xr:uid="{00000000-0005-0000-0000-000072200000}"/>
    <cellStyle name="20% - Accent3 5 3 3" xfId="4985" xr:uid="{00000000-0005-0000-0000-000073200000}"/>
    <cellStyle name="20% - Accent3 5 3 3 2" xfId="12086" xr:uid="{00000000-0005-0000-0000-000074200000}"/>
    <cellStyle name="20% - Accent3 5 3 3 2 2" xfId="37014" xr:uid="{00000000-0005-0000-0000-000075200000}"/>
    <cellStyle name="20% - Accent3 5 3 3 3" xfId="19187" xr:uid="{00000000-0005-0000-0000-000076200000}"/>
    <cellStyle name="20% - Accent3 5 3 3 4" xfId="26289" xr:uid="{00000000-0005-0000-0000-000077200000}"/>
    <cellStyle name="20% - Accent3 5 3 3 5" xfId="33391" xr:uid="{00000000-0005-0000-0000-000078200000}"/>
    <cellStyle name="20% - Accent3 5 3 3 6" xfId="37015" xr:uid="{00000000-0005-0000-0000-000079200000}"/>
    <cellStyle name="20% - Accent3 5 3 4" xfId="3560" xr:uid="{00000000-0005-0000-0000-00007A200000}"/>
    <cellStyle name="20% - Accent3 5 3 4 2" xfId="10666" xr:uid="{00000000-0005-0000-0000-00007B200000}"/>
    <cellStyle name="20% - Accent3 5 3 4 3" xfId="17767" xr:uid="{00000000-0005-0000-0000-00007C200000}"/>
    <cellStyle name="20% - Accent3 5 3 4 4" xfId="24869" xr:uid="{00000000-0005-0000-0000-00007D200000}"/>
    <cellStyle name="20% - Accent3 5 3 4 5" xfId="31971" xr:uid="{00000000-0005-0000-0000-00007E200000}"/>
    <cellStyle name="20% - Accent3 5 3 4 6" xfId="37016" xr:uid="{00000000-0005-0000-0000-00007F200000}"/>
    <cellStyle name="20% - Accent3 5 3 5" xfId="7826" xr:uid="{00000000-0005-0000-0000-000080200000}"/>
    <cellStyle name="20% - Accent3 5 3 6" xfId="14927" xr:uid="{00000000-0005-0000-0000-000081200000}"/>
    <cellStyle name="20% - Accent3 5 3 7" xfId="22029" xr:uid="{00000000-0005-0000-0000-000082200000}"/>
    <cellStyle name="20% - Accent3 5 3 8" xfId="29131" xr:uid="{00000000-0005-0000-0000-000083200000}"/>
    <cellStyle name="20% - Accent3 5 3 9" xfId="37017" xr:uid="{00000000-0005-0000-0000-000084200000}"/>
    <cellStyle name="20% - Accent3 5 4" xfId="860" xr:uid="{00000000-0005-0000-0000-000085200000}"/>
    <cellStyle name="20% - Accent3 5 4 2" xfId="2351" xr:uid="{00000000-0005-0000-0000-000086200000}"/>
    <cellStyle name="20% - Accent3 5 4 2 2" xfId="6619" xr:uid="{00000000-0005-0000-0000-000087200000}"/>
    <cellStyle name="20% - Accent3 5 4 2 2 2" xfId="13719" xr:uid="{00000000-0005-0000-0000-000088200000}"/>
    <cellStyle name="20% - Accent3 5 4 2 2 3" xfId="20820" xr:uid="{00000000-0005-0000-0000-000089200000}"/>
    <cellStyle name="20% - Accent3 5 4 2 2 4" xfId="27922" xr:uid="{00000000-0005-0000-0000-00008A200000}"/>
    <cellStyle name="20% - Accent3 5 4 2 2 5" xfId="35024" xr:uid="{00000000-0005-0000-0000-00008B200000}"/>
    <cellStyle name="20% - Accent3 5 4 2 2 6" xfId="37018" xr:uid="{00000000-0005-0000-0000-00008C200000}"/>
    <cellStyle name="20% - Accent3 5 4 2 3" xfId="9459" xr:uid="{00000000-0005-0000-0000-00008D200000}"/>
    <cellStyle name="20% - Accent3 5 4 2 4" xfId="16560" xr:uid="{00000000-0005-0000-0000-00008E200000}"/>
    <cellStyle name="20% - Accent3 5 4 2 5" xfId="23662" xr:uid="{00000000-0005-0000-0000-00008F200000}"/>
    <cellStyle name="20% - Accent3 5 4 2 6" xfId="30764" xr:uid="{00000000-0005-0000-0000-000090200000}"/>
    <cellStyle name="20% - Accent3 5 4 2 7" xfId="37019" xr:uid="{00000000-0005-0000-0000-000091200000}"/>
    <cellStyle name="20% - Accent3 5 4 3" xfId="5198" xr:uid="{00000000-0005-0000-0000-000092200000}"/>
    <cellStyle name="20% - Accent3 5 4 3 2" xfId="12299" xr:uid="{00000000-0005-0000-0000-000093200000}"/>
    <cellStyle name="20% - Accent3 5 4 3 2 2" xfId="37020" xr:uid="{00000000-0005-0000-0000-000094200000}"/>
    <cellStyle name="20% - Accent3 5 4 3 3" xfId="19400" xr:uid="{00000000-0005-0000-0000-000095200000}"/>
    <cellStyle name="20% - Accent3 5 4 3 4" xfId="26502" xr:uid="{00000000-0005-0000-0000-000096200000}"/>
    <cellStyle name="20% - Accent3 5 4 3 5" xfId="33604" xr:uid="{00000000-0005-0000-0000-000097200000}"/>
    <cellStyle name="20% - Accent3 5 4 3 6" xfId="37021" xr:uid="{00000000-0005-0000-0000-000098200000}"/>
    <cellStyle name="20% - Accent3 5 4 4" xfId="3773" xr:uid="{00000000-0005-0000-0000-000099200000}"/>
    <cellStyle name="20% - Accent3 5 4 4 2" xfId="10879" xr:uid="{00000000-0005-0000-0000-00009A200000}"/>
    <cellStyle name="20% - Accent3 5 4 4 3" xfId="17980" xr:uid="{00000000-0005-0000-0000-00009B200000}"/>
    <cellStyle name="20% - Accent3 5 4 4 4" xfId="25082" xr:uid="{00000000-0005-0000-0000-00009C200000}"/>
    <cellStyle name="20% - Accent3 5 4 4 5" xfId="32184" xr:uid="{00000000-0005-0000-0000-00009D200000}"/>
    <cellStyle name="20% - Accent3 5 4 4 6" xfId="37022" xr:uid="{00000000-0005-0000-0000-00009E200000}"/>
    <cellStyle name="20% - Accent3 5 4 5" xfId="8039" xr:uid="{00000000-0005-0000-0000-00009F200000}"/>
    <cellStyle name="20% - Accent3 5 4 6" xfId="15140" xr:uid="{00000000-0005-0000-0000-0000A0200000}"/>
    <cellStyle name="20% - Accent3 5 4 7" xfId="22242" xr:uid="{00000000-0005-0000-0000-0000A1200000}"/>
    <cellStyle name="20% - Accent3 5 4 8" xfId="29344" xr:uid="{00000000-0005-0000-0000-0000A2200000}"/>
    <cellStyle name="20% - Accent3 5 4 9" xfId="37023" xr:uid="{00000000-0005-0000-0000-0000A3200000}"/>
    <cellStyle name="20% - Accent3 5 5" xfId="1002" xr:uid="{00000000-0005-0000-0000-0000A4200000}"/>
    <cellStyle name="20% - Accent3 5 5 2" xfId="2493" xr:uid="{00000000-0005-0000-0000-0000A5200000}"/>
    <cellStyle name="20% - Accent3 5 5 2 2" xfId="6761" xr:uid="{00000000-0005-0000-0000-0000A6200000}"/>
    <cellStyle name="20% - Accent3 5 5 2 2 2" xfId="13861" xr:uid="{00000000-0005-0000-0000-0000A7200000}"/>
    <cellStyle name="20% - Accent3 5 5 2 2 3" xfId="20962" xr:uid="{00000000-0005-0000-0000-0000A8200000}"/>
    <cellStyle name="20% - Accent3 5 5 2 2 4" xfId="28064" xr:uid="{00000000-0005-0000-0000-0000A9200000}"/>
    <cellStyle name="20% - Accent3 5 5 2 2 5" xfId="35166" xr:uid="{00000000-0005-0000-0000-0000AA200000}"/>
    <cellStyle name="20% - Accent3 5 5 2 3" xfId="9601" xr:uid="{00000000-0005-0000-0000-0000AB200000}"/>
    <cellStyle name="20% - Accent3 5 5 2 4" xfId="16702" xr:uid="{00000000-0005-0000-0000-0000AC200000}"/>
    <cellStyle name="20% - Accent3 5 5 2 5" xfId="23804" xr:uid="{00000000-0005-0000-0000-0000AD200000}"/>
    <cellStyle name="20% - Accent3 5 5 2 6" xfId="30906" xr:uid="{00000000-0005-0000-0000-0000AE200000}"/>
    <cellStyle name="20% - Accent3 5 5 2 7" xfId="37024" xr:uid="{00000000-0005-0000-0000-0000AF200000}"/>
    <cellStyle name="20% - Accent3 5 5 3" xfId="5340" xr:uid="{00000000-0005-0000-0000-0000B0200000}"/>
    <cellStyle name="20% - Accent3 5 5 3 2" xfId="12441" xr:uid="{00000000-0005-0000-0000-0000B1200000}"/>
    <cellStyle name="20% - Accent3 5 5 3 3" xfId="19542" xr:uid="{00000000-0005-0000-0000-0000B2200000}"/>
    <cellStyle name="20% - Accent3 5 5 3 4" xfId="26644" xr:uid="{00000000-0005-0000-0000-0000B3200000}"/>
    <cellStyle name="20% - Accent3 5 5 3 5" xfId="33746" xr:uid="{00000000-0005-0000-0000-0000B4200000}"/>
    <cellStyle name="20% - Accent3 5 5 4" xfId="3915" xr:uid="{00000000-0005-0000-0000-0000B5200000}"/>
    <cellStyle name="20% - Accent3 5 5 4 2" xfId="11021" xr:uid="{00000000-0005-0000-0000-0000B6200000}"/>
    <cellStyle name="20% - Accent3 5 5 4 3" xfId="18122" xr:uid="{00000000-0005-0000-0000-0000B7200000}"/>
    <cellStyle name="20% - Accent3 5 5 4 4" xfId="25224" xr:uid="{00000000-0005-0000-0000-0000B8200000}"/>
    <cellStyle name="20% - Accent3 5 5 4 5" xfId="32326" xr:uid="{00000000-0005-0000-0000-0000B9200000}"/>
    <cellStyle name="20% - Accent3 5 5 5" xfId="8181" xr:uid="{00000000-0005-0000-0000-0000BA200000}"/>
    <cellStyle name="20% - Accent3 5 5 6" xfId="15282" xr:uid="{00000000-0005-0000-0000-0000BB200000}"/>
    <cellStyle name="20% - Accent3 5 5 7" xfId="22384" xr:uid="{00000000-0005-0000-0000-0000BC200000}"/>
    <cellStyle name="20% - Accent3 5 5 8" xfId="29486" xr:uid="{00000000-0005-0000-0000-0000BD200000}"/>
    <cellStyle name="20% - Accent3 5 5 9" xfId="37025" xr:uid="{00000000-0005-0000-0000-0000BE200000}"/>
    <cellStyle name="20% - Accent3 5 6" xfId="1428" xr:uid="{00000000-0005-0000-0000-0000BF200000}"/>
    <cellStyle name="20% - Accent3 5 6 2" xfId="2919" xr:uid="{00000000-0005-0000-0000-0000C0200000}"/>
    <cellStyle name="20% - Accent3 5 6 2 2" xfId="7187" xr:uid="{00000000-0005-0000-0000-0000C1200000}"/>
    <cellStyle name="20% - Accent3 5 6 2 2 2" xfId="14287" xr:uid="{00000000-0005-0000-0000-0000C2200000}"/>
    <cellStyle name="20% - Accent3 5 6 2 2 3" xfId="21388" xr:uid="{00000000-0005-0000-0000-0000C3200000}"/>
    <cellStyle name="20% - Accent3 5 6 2 2 4" xfId="28490" xr:uid="{00000000-0005-0000-0000-0000C4200000}"/>
    <cellStyle name="20% - Accent3 5 6 2 2 5" xfId="35592" xr:uid="{00000000-0005-0000-0000-0000C5200000}"/>
    <cellStyle name="20% - Accent3 5 6 2 3" xfId="10027" xr:uid="{00000000-0005-0000-0000-0000C6200000}"/>
    <cellStyle name="20% - Accent3 5 6 2 4" xfId="17128" xr:uid="{00000000-0005-0000-0000-0000C7200000}"/>
    <cellStyle name="20% - Accent3 5 6 2 5" xfId="24230" xr:uid="{00000000-0005-0000-0000-0000C8200000}"/>
    <cellStyle name="20% - Accent3 5 6 2 6" xfId="31332" xr:uid="{00000000-0005-0000-0000-0000C9200000}"/>
    <cellStyle name="20% - Accent3 5 6 2 7" xfId="37026" xr:uid="{00000000-0005-0000-0000-0000CA200000}"/>
    <cellStyle name="20% - Accent3 5 6 3" xfId="5766" xr:uid="{00000000-0005-0000-0000-0000CB200000}"/>
    <cellStyle name="20% - Accent3 5 6 3 2" xfId="12867" xr:uid="{00000000-0005-0000-0000-0000CC200000}"/>
    <cellStyle name="20% - Accent3 5 6 3 3" xfId="19968" xr:uid="{00000000-0005-0000-0000-0000CD200000}"/>
    <cellStyle name="20% - Accent3 5 6 3 4" xfId="27070" xr:uid="{00000000-0005-0000-0000-0000CE200000}"/>
    <cellStyle name="20% - Accent3 5 6 3 5" xfId="34172" xr:uid="{00000000-0005-0000-0000-0000CF200000}"/>
    <cellStyle name="20% - Accent3 5 6 4" xfId="4341" xr:uid="{00000000-0005-0000-0000-0000D0200000}"/>
    <cellStyle name="20% - Accent3 5 6 4 2" xfId="11447" xr:uid="{00000000-0005-0000-0000-0000D1200000}"/>
    <cellStyle name="20% - Accent3 5 6 4 3" xfId="18548" xr:uid="{00000000-0005-0000-0000-0000D2200000}"/>
    <cellStyle name="20% - Accent3 5 6 4 4" xfId="25650" xr:uid="{00000000-0005-0000-0000-0000D3200000}"/>
    <cellStyle name="20% - Accent3 5 6 4 5" xfId="32752" xr:uid="{00000000-0005-0000-0000-0000D4200000}"/>
    <cellStyle name="20% - Accent3 5 6 5" xfId="8607" xr:uid="{00000000-0005-0000-0000-0000D5200000}"/>
    <cellStyle name="20% - Accent3 5 6 6" xfId="15708" xr:uid="{00000000-0005-0000-0000-0000D6200000}"/>
    <cellStyle name="20% - Accent3 5 6 7" xfId="22810" xr:uid="{00000000-0005-0000-0000-0000D7200000}"/>
    <cellStyle name="20% - Accent3 5 6 8" xfId="29912" xr:uid="{00000000-0005-0000-0000-0000D8200000}"/>
    <cellStyle name="20% - Accent3 5 6 9" xfId="37027" xr:uid="{00000000-0005-0000-0000-0000D9200000}"/>
    <cellStyle name="20% - Accent3 5 7" xfId="1712" xr:uid="{00000000-0005-0000-0000-0000DA200000}"/>
    <cellStyle name="20% - Accent3 5 7 2" xfId="5980" xr:uid="{00000000-0005-0000-0000-0000DB200000}"/>
    <cellStyle name="20% - Accent3 5 7 2 2" xfId="13080" xr:uid="{00000000-0005-0000-0000-0000DC200000}"/>
    <cellStyle name="20% - Accent3 5 7 2 3" xfId="20181" xr:uid="{00000000-0005-0000-0000-0000DD200000}"/>
    <cellStyle name="20% - Accent3 5 7 2 4" xfId="27283" xr:uid="{00000000-0005-0000-0000-0000DE200000}"/>
    <cellStyle name="20% - Accent3 5 7 2 5" xfId="34385" xr:uid="{00000000-0005-0000-0000-0000DF200000}"/>
    <cellStyle name="20% - Accent3 5 7 3" xfId="8820" xr:uid="{00000000-0005-0000-0000-0000E0200000}"/>
    <cellStyle name="20% - Accent3 5 7 4" xfId="15921" xr:uid="{00000000-0005-0000-0000-0000E1200000}"/>
    <cellStyle name="20% - Accent3 5 7 5" xfId="23023" xr:uid="{00000000-0005-0000-0000-0000E2200000}"/>
    <cellStyle name="20% - Accent3 5 7 6" xfId="30125" xr:uid="{00000000-0005-0000-0000-0000E3200000}"/>
    <cellStyle name="20% - Accent3 5 7 7" xfId="37028" xr:uid="{00000000-0005-0000-0000-0000E4200000}"/>
    <cellStyle name="20% - Accent3 5 8" xfId="4559" xr:uid="{00000000-0005-0000-0000-0000E5200000}"/>
    <cellStyle name="20% - Accent3 5 8 2" xfId="11660" xr:uid="{00000000-0005-0000-0000-0000E6200000}"/>
    <cellStyle name="20% - Accent3 5 8 3" xfId="18761" xr:uid="{00000000-0005-0000-0000-0000E7200000}"/>
    <cellStyle name="20% - Accent3 5 8 4" xfId="25863" xr:uid="{00000000-0005-0000-0000-0000E8200000}"/>
    <cellStyle name="20% - Accent3 5 8 5" xfId="32965" xr:uid="{00000000-0005-0000-0000-0000E9200000}"/>
    <cellStyle name="20% - Accent3 5 9" xfId="3134" xr:uid="{00000000-0005-0000-0000-0000EA200000}"/>
    <cellStyle name="20% - Accent3 5 9 2" xfId="10240" xr:uid="{00000000-0005-0000-0000-0000EB200000}"/>
    <cellStyle name="20% - Accent3 5 9 3" xfId="17341" xr:uid="{00000000-0005-0000-0000-0000EC200000}"/>
    <cellStyle name="20% - Accent3 5 9 4" xfId="24443" xr:uid="{00000000-0005-0000-0000-0000ED200000}"/>
    <cellStyle name="20% - Accent3 5 9 5" xfId="31545" xr:uid="{00000000-0005-0000-0000-0000EE200000}"/>
    <cellStyle name="20% - Accent3 6" xfId="149" xr:uid="{00000000-0005-0000-0000-0000EF200000}"/>
    <cellStyle name="20% - Accent3 6 10" xfId="7329" xr:uid="{00000000-0005-0000-0000-0000F0200000}"/>
    <cellStyle name="20% - Accent3 6 11" xfId="14430" xr:uid="{00000000-0005-0000-0000-0000F1200000}"/>
    <cellStyle name="20% - Accent3 6 12" xfId="21532" xr:uid="{00000000-0005-0000-0000-0000F2200000}"/>
    <cellStyle name="20% - Accent3 6 13" xfId="28634" xr:uid="{00000000-0005-0000-0000-0000F3200000}"/>
    <cellStyle name="20% - Accent3 6 14" xfId="35736" xr:uid="{00000000-0005-0000-0000-0000F4200000}"/>
    <cellStyle name="20% - Accent3 6 15" xfId="37029" xr:uid="{00000000-0005-0000-0000-0000F5200000}"/>
    <cellStyle name="20% - Accent3 6 2" xfId="363" xr:uid="{00000000-0005-0000-0000-0000F6200000}"/>
    <cellStyle name="20% - Accent3 6 2 2" xfId="1854" xr:uid="{00000000-0005-0000-0000-0000F7200000}"/>
    <cellStyle name="20% - Accent3 6 2 2 2" xfId="6122" xr:uid="{00000000-0005-0000-0000-0000F8200000}"/>
    <cellStyle name="20% - Accent3 6 2 2 2 2" xfId="13222" xr:uid="{00000000-0005-0000-0000-0000F9200000}"/>
    <cellStyle name="20% - Accent3 6 2 2 2 3" xfId="20323" xr:uid="{00000000-0005-0000-0000-0000FA200000}"/>
    <cellStyle name="20% - Accent3 6 2 2 2 4" xfId="27425" xr:uid="{00000000-0005-0000-0000-0000FB200000}"/>
    <cellStyle name="20% - Accent3 6 2 2 2 5" xfId="34527" xr:uid="{00000000-0005-0000-0000-0000FC200000}"/>
    <cellStyle name="20% - Accent3 6 2 2 2 6" xfId="37030" xr:uid="{00000000-0005-0000-0000-0000FD200000}"/>
    <cellStyle name="20% - Accent3 6 2 2 3" xfId="8962" xr:uid="{00000000-0005-0000-0000-0000FE200000}"/>
    <cellStyle name="20% - Accent3 6 2 2 4" xfId="16063" xr:uid="{00000000-0005-0000-0000-0000FF200000}"/>
    <cellStyle name="20% - Accent3 6 2 2 5" xfId="23165" xr:uid="{00000000-0005-0000-0000-000000210000}"/>
    <cellStyle name="20% - Accent3 6 2 2 6" xfId="30267" xr:uid="{00000000-0005-0000-0000-000001210000}"/>
    <cellStyle name="20% - Accent3 6 2 2 7" xfId="37031" xr:uid="{00000000-0005-0000-0000-000002210000}"/>
    <cellStyle name="20% - Accent3 6 2 3" xfId="4701" xr:uid="{00000000-0005-0000-0000-000003210000}"/>
    <cellStyle name="20% - Accent3 6 2 3 2" xfId="11802" xr:uid="{00000000-0005-0000-0000-000004210000}"/>
    <cellStyle name="20% - Accent3 6 2 3 2 2" xfId="37032" xr:uid="{00000000-0005-0000-0000-000005210000}"/>
    <cellStyle name="20% - Accent3 6 2 3 3" xfId="18903" xr:uid="{00000000-0005-0000-0000-000006210000}"/>
    <cellStyle name="20% - Accent3 6 2 3 4" xfId="26005" xr:uid="{00000000-0005-0000-0000-000007210000}"/>
    <cellStyle name="20% - Accent3 6 2 3 5" xfId="33107" xr:uid="{00000000-0005-0000-0000-000008210000}"/>
    <cellStyle name="20% - Accent3 6 2 3 6" xfId="37033" xr:uid="{00000000-0005-0000-0000-000009210000}"/>
    <cellStyle name="20% - Accent3 6 2 4" xfId="3276" xr:uid="{00000000-0005-0000-0000-00000A210000}"/>
    <cellStyle name="20% - Accent3 6 2 4 2" xfId="10382" xr:uid="{00000000-0005-0000-0000-00000B210000}"/>
    <cellStyle name="20% - Accent3 6 2 4 3" xfId="17483" xr:uid="{00000000-0005-0000-0000-00000C210000}"/>
    <cellStyle name="20% - Accent3 6 2 4 4" xfId="24585" xr:uid="{00000000-0005-0000-0000-00000D210000}"/>
    <cellStyle name="20% - Accent3 6 2 4 5" xfId="31687" xr:uid="{00000000-0005-0000-0000-00000E210000}"/>
    <cellStyle name="20% - Accent3 6 2 4 6" xfId="37034" xr:uid="{00000000-0005-0000-0000-00000F210000}"/>
    <cellStyle name="20% - Accent3 6 2 5" xfId="7542" xr:uid="{00000000-0005-0000-0000-000010210000}"/>
    <cellStyle name="20% - Accent3 6 2 6" xfId="14643" xr:uid="{00000000-0005-0000-0000-000011210000}"/>
    <cellStyle name="20% - Accent3 6 2 7" xfId="21745" xr:uid="{00000000-0005-0000-0000-000012210000}"/>
    <cellStyle name="20% - Accent3 6 2 8" xfId="28847" xr:uid="{00000000-0005-0000-0000-000013210000}"/>
    <cellStyle name="20% - Accent3 6 2 9" xfId="37035" xr:uid="{00000000-0005-0000-0000-000014210000}"/>
    <cellStyle name="20% - Accent3 6 3" xfId="576" xr:uid="{00000000-0005-0000-0000-000015210000}"/>
    <cellStyle name="20% - Accent3 6 3 2" xfId="2067" xr:uid="{00000000-0005-0000-0000-000016210000}"/>
    <cellStyle name="20% - Accent3 6 3 2 2" xfId="6335" xr:uid="{00000000-0005-0000-0000-000017210000}"/>
    <cellStyle name="20% - Accent3 6 3 2 2 2" xfId="13435" xr:uid="{00000000-0005-0000-0000-000018210000}"/>
    <cellStyle name="20% - Accent3 6 3 2 2 3" xfId="20536" xr:uid="{00000000-0005-0000-0000-000019210000}"/>
    <cellStyle name="20% - Accent3 6 3 2 2 4" xfId="27638" xr:uid="{00000000-0005-0000-0000-00001A210000}"/>
    <cellStyle name="20% - Accent3 6 3 2 2 5" xfId="34740" xr:uid="{00000000-0005-0000-0000-00001B210000}"/>
    <cellStyle name="20% - Accent3 6 3 2 2 6" xfId="37036" xr:uid="{00000000-0005-0000-0000-00001C210000}"/>
    <cellStyle name="20% - Accent3 6 3 2 3" xfId="9175" xr:uid="{00000000-0005-0000-0000-00001D210000}"/>
    <cellStyle name="20% - Accent3 6 3 2 4" xfId="16276" xr:uid="{00000000-0005-0000-0000-00001E210000}"/>
    <cellStyle name="20% - Accent3 6 3 2 5" xfId="23378" xr:uid="{00000000-0005-0000-0000-00001F210000}"/>
    <cellStyle name="20% - Accent3 6 3 2 6" xfId="30480" xr:uid="{00000000-0005-0000-0000-000020210000}"/>
    <cellStyle name="20% - Accent3 6 3 2 7" xfId="37037" xr:uid="{00000000-0005-0000-0000-000021210000}"/>
    <cellStyle name="20% - Accent3 6 3 3" xfId="4914" xr:uid="{00000000-0005-0000-0000-000022210000}"/>
    <cellStyle name="20% - Accent3 6 3 3 2" xfId="12015" xr:uid="{00000000-0005-0000-0000-000023210000}"/>
    <cellStyle name="20% - Accent3 6 3 3 2 2" xfId="37038" xr:uid="{00000000-0005-0000-0000-000024210000}"/>
    <cellStyle name="20% - Accent3 6 3 3 3" xfId="19116" xr:uid="{00000000-0005-0000-0000-000025210000}"/>
    <cellStyle name="20% - Accent3 6 3 3 4" xfId="26218" xr:uid="{00000000-0005-0000-0000-000026210000}"/>
    <cellStyle name="20% - Accent3 6 3 3 5" xfId="33320" xr:uid="{00000000-0005-0000-0000-000027210000}"/>
    <cellStyle name="20% - Accent3 6 3 3 6" xfId="37039" xr:uid="{00000000-0005-0000-0000-000028210000}"/>
    <cellStyle name="20% - Accent3 6 3 4" xfId="3489" xr:uid="{00000000-0005-0000-0000-000029210000}"/>
    <cellStyle name="20% - Accent3 6 3 4 2" xfId="10595" xr:uid="{00000000-0005-0000-0000-00002A210000}"/>
    <cellStyle name="20% - Accent3 6 3 4 3" xfId="17696" xr:uid="{00000000-0005-0000-0000-00002B210000}"/>
    <cellStyle name="20% - Accent3 6 3 4 4" xfId="24798" xr:uid="{00000000-0005-0000-0000-00002C210000}"/>
    <cellStyle name="20% - Accent3 6 3 4 5" xfId="31900" xr:uid="{00000000-0005-0000-0000-00002D210000}"/>
    <cellStyle name="20% - Accent3 6 3 4 6" xfId="37040" xr:uid="{00000000-0005-0000-0000-00002E210000}"/>
    <cellStyle name="20% - Accent3 6 3 5" xfId="7755" xr:uid="{00000000-0005-0000-0000-00002F210000}"/>
    <cellStyle name="20% - Accent3 6 3 6" xfId="14856" xr:uid="{00000000-0005-0000-0000-000030210000}"/>
    <cellStyle name="20% - Accent3 6 3 7" xfId="21958" xr:uid="{00000000-0005-0000-0000-000031210000}"/>
    <cellStyle name="20% - Accent3 6 3 8" xfId="29060" xr:uid="{00000000-0005-0000-0000-000032210000}"/>
    <cellStyle name="20% - Accent3 6 3 9" xfId="37041" xr:uid="{00000000-0005-0000-0000-000033210000}"/>
    <cellStyle name="20% - Accent3 6 4" xfId="789" xr:uid="{00000000-0005-0000-0000-000034210000}"/>
    <cellStyle name="20% - Accent3 6 4 2" xfId="2280" xr:uid="{00000000-0005-0000-0000-000035210000}"/>
    <cellStyle name="20% - Accent3 6 4 2 2" xfId="6548" xr:uid="{00000000-0005-0000-0000-000036210000}"/>
    <cellStyle name="20% - Accent3 6 4 2 2 2" xfId="13648" xr:uid="{00000000-0005-0000-0000-000037210000}"/>
    <cellStyle name="20% - Accent3 6 4 2 2 3" xfId="20749" xr:uid="{00000000-0005-0000-0000-000038210000}"/>
    <cellStyle name="20% - Accent3 6 4 2 2 4" xfId="27851" xr:uid="{00000000-0005-0000-0000-000039210000}"/>
    <cellStyle name="20% - Accent3 6 4 2 2 5" xfId="34953" xr:uid="{00000000-0005-0000-0000-00003A210000}"/>
    <cellStyle name="20% - Accent3 6 4 2 2 6" xfId="37042" xr:uid="{00000000-0005-0000-0000-00003B210000}"/>
    <cellStyle name="20% - Accent3 6 4 2 3" xfId="9388" xr:uid="{00000000-0005-0000-0000-00003C210000}"/>
    <cellStyle name="20% - Accent3 6 4 2 4" xfId="16489" xr:uid="{00000000-0005-0000-0000-00003D210000}"/>
    <cellStyle name="20% - Accent3 6 4 2 5" xfId="23591" xr:uid="{00000000-0005-0000-0000-00003E210000}"/>
    <cellStyle name="20% - Accent3 6 4 2 6" xfId="30693" xr:uid="{00000000-0005-0000-0000-00003F210000}"/>
    <cellStyle name="20% - Accent3 6 4 2 7" xfId="37043" xr:uid="{00000000-0005-0000-0000-000040210000}"/>
    <cellStyle name="20% - Accent3 6 4 3" xfId="5127" xr:uid="{00000000-0005-0000-0000-000041210000}"/>
    <cellStyle name="20% - Accent3 6 4 3 2" xfId="12228" xr:uid="{00000000-0005-0000-0000-000042210000}"/>
    <cellStyle name="20% - Accent3 6 4 3 2 2" xfId="37044" xr:uid="{00000000-0005-0000-0000-000043210000}"/>
    <cellStyle name="20% - Accent3 6 4 3 3" xfId="19329" xr:uid="{00000000-0005-0000-0000-000044210000}"/>
    <cellStyle name="20% - Accent3 6 4 3 4" xfId="26431" xr:uid="{00000000-0005-0000-0000-000045210000}"/>
    <cellStyle name="20% - Accent3 6 4 3 5" xfId="33533" xr:uid="{00000000-0005-0000-0000-000046210000}"/>
    <cellStyle name="20% - Accent3 6 4 3 6" xfId="37045" xr:uid="{00000000-0005-0000-0000-000047210000}"/>
    <cellStyle name="20% - Accent3 6 4 4" xfId="3702" xr:uid="{00000000-0005-0000-0000-000048210000}"/>
    <cellStyle name="20% - Accent3 6 4 4 2" xfId="10808" xr:uid="{00000000-0005-0000-0000-000049210000}"/>
    <cellStyle name="20% - Accent3 6 4 4 3" xfId="17909" xr:uid="{00000000-0005-0000-0000-00004A210000}"/>
    <cellStyle name="20% - Accent3 6 4 4 4" xfId="25011" xr:uid="{00000000-0005-0000-0000-00004B210000}"/>
    <cellStyle name="20% - Accent3 6 4 4 5" xfId="32113" xr:uid="{00000000-0005-0000-0000-00004C210000}"/>
    <cellStyle name="20% - Accent3 6 4 4 6" xfId="37046" xr:uid="{00000000-0005-0000-0000-00004D210000}"/>
    <cellStyle name="20% - Accent3 6 4 5" xfId="7968" xr:uid="{00000000-0005-0000-0000-00004E210000}"/>
    <cellStyle name="20% - Accent3 6 4 6" xfId="15069" xr:uid="{00000000-0005-0000-0000-00004F210000}"/>
    <cellStyle name="20% - Accent3 6 4 7" xfId="22171" xr:uid="{00000000-0005-0000-0000-000050210000}"/>
    <cellStyle name="20% - Accent3 6 4 8" xfId="29273" xr:uid="{00000000-0005-0000-0000-000051210000}"/>
    <cellStyle name="20% - Accent3 6 4 9" xfId="37047" xr:uid="{00000000-0005-0000-0000-000052210000}"/>
    <cellStyle name="20% - Accent3 6 5" xfId="1144" xr:uid="{00000000-0005-0000-0000-000053210000}"/>
    <cellStyle name="20% - Accent3 6 5 2" xfId="2635" xr:uid="{00000000-0005-0000-0000-000054210000}"/>
    <cellStyle name="20% - Accent3 6 5 2 2" xfId="6903" xr:uid="{00000000-0005-0000-0000-000055210000}"/>
    <cellStyle name="20% - Accent3 6 5 2 2 2" xfId="14003" xr:uid="{00000000-0005-0000-0000-000056210000}"/>
    <cellStyle name="20% - Accent3 6 5 2 2 3" xfId="21104" xr:uid="{00000000-0005-0000-0000-000057210000}"/>
    <cellStyle name="20% - Accent3 6 5 2 2 4" xfId="28206" xr:uid="{00000000-0005-0000-0000-000058210000}"/>
    <cellStyle name="20% - Accent3 6 5 2 2 5" xfId="35308" xr:uid="{00000000-0005-0000-0000-000059210000}"/>
    <cellStyle name="20% - Accent3 6 5 2 3" xfId="9743" xr:uid="{00000000-0005-0000-0000-00005A210000}"/>
    <cellStyle name="20% - Accent3 6 5 2 4" xfId="16844" xr:uid="{00000000-0005-0000-0000-00005B210000}"/>
    <cellStyle name="20% - Accent3 6 5 2 5" xfId="23946" xr:uid="{00000000-0005-0000-0000-00005C210000}"/>
    <cellStyle name="20% - Accent3 6 5 2 6" xfId="31048" xr:uid="{00000000-0005-0000-0000-00005D210000}"/>
    <cellStyle name="20% - Accent3 6 5 2 7" xfId="37048" xr:uid="{00000000-0005-0000-0000-00005E210000}"/>
    <cellStyle name="20% - Accent3 6 5 3" xfId="5482" xr:uid="{00000000-0005-0000-0000-00005F210000}"/>
    <cellStyle name="20% - Accent3 6 5 3 2" xfId="12583" xr:uid="{00000000-0005-0000-0000-000060210000}"/>
    <cellStyle name="20% - Accent3 6 5 3 3" xfId="19684" xr:uid="{00000000-0005-0000-0000-000061210000}"/>
    <cellStyle name="20% - Accent3 6 5 3 4" xfId="26786" xr:uid="{00000000-0005-0000-0000-000062210000}"/>
    <cellStyle name="20% - Accent3 6 5 3 5" xfId="33888" xr:uid="{00000000-0005-0000-0000-000063210000}"/>
    <cellStyle name="20% - Accent3 6 5 4" xfId="4057" xr:uid="{00000000-0005-0000-0000-000064210000}"/>
    <cellStyle name="20% - Accent3 6 5 4 2" xfId="11163" xr:uid="{00000000-0005-0000-0000-000065210000}"/>
    <cellStyle name="20% - Accent3 6 5 4 3" xfId="18264" xr:uid="{00000000-0005-0000-0000-000066210000}"/>
    <cellStyle name="20% - Accent3 6 5 4 4" xfId="25366" xr:uid="{00000000-0005-0000-0000-000067210000}"/>
    <cellStyle name="20% - Accent3 6 5 4 5" xfId="32468" xr:uid="{00000000-0005-0000-0000-000068210000}"/>
    <cellStyle name="20% - Accent3 6 5 5" xfId="8323" xr:uid="{00000000-0005-0000-0000-000069210000}"/>
    <cellStyle name="20% - Accent3 6 5 6" xfId="15424" xr:uid="{00000000-0005-0000-0000-00006A210000}"/>
    <cellStyle name="20% - Accent3 6 5 7" xfId="22526" xr:uid="{00000000-0005-0000-0000-00006B210000}"/>
    <cellStyle name="20% - Accent3 6 5 8" xfId="29628" xr:uid="{00000000-0005-0000-0000-00006C210000}"/>
    <cellStyle name="20% - Accent3 6 5 9" xfId="37049" xr:uid="{00000000-0005-0000-0000-00006D210000}"/>
    <cellStyle name="20% - Accent3 6 6" xfId="1357" xr:uid="{00000000-0005-0000-0000-00006E210000}"/>
    <cellStyle name="20% - Accent3 6 6 2" xfId="2848" xr:uid="{00000000-0005-0000-0000-00006F210000}"/>
    <cellStyle name="20% - Accent3 6 6 2 2" xfId="7116" xr:uid="{00000000-0005-0000-0000-000070210000}"/>
    <cellStyle name="20% - Accent3 6 6 2 2 2" xfId="14216" xr:uid="{00000000-0005-0000-0000-000071210000}"/>
    <cellStyle name="20% - Accent3 6 6 2 2 3" xfId="21317" xr:uid="{00000000-0005-0000-0000-000072210000}"/>
    <cellStyle name="20% - Accent3 6 6 2 2 4" xfId="28419" xr:uid="{00000000-0005-0000-0000-000073210000}"/>
    <cellStyle name="20% - Accent3 6 6 2 2 5" xfId="35521" xr:uid="{00000000-0005-0000-0000-000074210000}"/>
    <cellStyle name="20% - Accent3 6 6 2 3" xfId="9956" xr:uid="{00000000-0005-0000-0000-000075210000}"/>
    <cellStyle name="20% - Accent3 6 6 2 4" xfId="17057" xr:uid="{00000000-0005-0000-0000-000076210000}"/>
    <cellStyle name="20% - Accent3 6 6 2 5" xfId="24159" xr:uid="{00000000-0005-0000-0000-000077210000}"/>
    <cellStyle name="20% - Accent3 6 6 2 6" xfId="31261" xr:uid="{00000000-0005-0000-0000-000078210000}"/>
    <cellStyle name="20% - Accent3 6 6 2 7" xfId="37050" xr:uid="{00000000-0005-0000-0000-000079210000}"/>
    <cellStyle name="20% - Accent3 6 6 3" xfId="5695" xr:uid="{00000000-0005-0000-0000-00007A210000}"/>
    <cellStyle name="20% - Accent3 6 6 3 2" xfId="12796" xr:uid="{00000000-0005-0000-0000-00007B210000}"/>
    <cellStyle name="20% - Accent3 6 6 3 3" xfId="19897" xr:uid="{00000000-0005-0000-0000-00007C210000}"/>
    <cellStyle name="20% - Accent3 6 6 3 4" xfId="26999" xr:uid="{00000000-0005-0000-0000-00007D210000}"/>
    <cellStyle name="20% - Accent3 6 6 3 5" xfId="34101" xr:uid="{00000000-0005-0000-0000-00007E210000}"/>
    <cellStyle name="20% - Accent3 6 6 4" xfId="4270" xr:uid="{00000000-0005-0000-0000-00007F210000}"/>
    <cellStyle name="20% - Accent3 6 6 4 2" xfId="11376" xr:uid="{00000000-0005-0000-0000-000080210000}"/>
    <cellStyle name="20% - Accent3 6 6 4 3" xfId="18477" xr:uid="{00000000-0005-0000-0000-000081210000}"/>
    <cellStyle name="20% - Accent3 6 6 4 4" xfId="25579" xr:uid="{00000000-0005-0000-0000-000082210000}"/>
    <cellStyle name="20% - Accent3 6 6 4 5" xfId="32681" xr:uid="{00000000-0005-0000-0000-000083210000}"/>
    <cellStyle name="20% - Accent3 6 6 5" xfId="8536" xr:uid="{00000000-0005-0000-0000-000084210000}"/>
    <cellStyle name="20% - Accent3 6 6 6" xfId="15637" xr:uid="{00000000-0005-0000-0000-000085210000}"/>
    <cellStyle name="20% - Accent3 6 6 7" xfId="22739" xr:uid="{00000000-0005-0000-0000-000086210000}"/>
    <cellStyle name="20% - Accent3 6 6 8" xfId="29841" xr:uid="{00000000-0005-0000-0000-000087210000}"/>
    <cellStyle name="20% - Accent3 6 6 9" xfId="37051" xr:uid="{00000000-0005-0000-0000-000088210000}"/>
    <cellStyle name="20% - Accent3 6 7" xfId="1641" xr:uid="{00000000-0005-0000-0000-000089210000}"/>
    <cellStyle name="20% - Accent3 6 7 2" xfId="5909" xr:uid="{00000000-0005-0000-0000-00008A210000}"/>
    <cellStyle name="20% - Accent3 6 7 2 2" xfId="13009" xr:uid="{00000000-0005-0000-0000-00008B210000}"/>
    <cellStyle name="20% - Accent3 6 7 2 3" xfId="20110" xr:uid="{00000000-0005-0000-0000-00008C210000}"/>
    <cellStyle name="20% - Accent3 6 7 2 4" xfId="27212" xr:uid="{00000000-0005-0000-0000-00008D210000}"/>
    <cellStyle name="20% - Accent3 6 7 2 5" xfId="34314" xr:uid="{00000000-0005-0000-0000-00008E210000}"/>
    <cellStyle name="20% - Accent3 6 7 3" xfId="8749" xr:uid="{00000000-0005-0000-0000-00008F210000}"/>
    <cellStyle name="20% - Accent3 6 7 4" xfId="15850" xr:uid="{00000000-0005-0000-0000-000090210000}"/>
    <cellStyle name="20% - Accent3 6 7 5" xfId="22952" xr:uid="{00000000-0005-0000-0000-000091210000}"/>
    <cellStyle name="20% - Accent3 6 7 6" xfId="30054" xr:uid="{00000000-0005-0000-0000-000092210000}"/>
    <cellStyle name="20% - Accent3 6 7 7" xfId="37052" xr:uid="{00000000-0005-0000-0000-000093210000}"/>
    <cellStyle name="20% - Accent3 6 8" xfId="4488" xr:uid="{00000000-0005-0000-0000-000094210000}"/>
    <cellStyle name="20% - Accent3 6 8 2" xfId="11589" xr:uid="{00000000-0005-0000-0000-000095210000}"/>
    <cellStyle name="20% - Accent3 6 8 3" xfId="18690" xr:uid="{00000000-0005-0000-0000-000096210000}"/>
    <cellStyle name="20% - Accent3 6 8 4" xfId="25792" xr:uid="{00000000-0005-0000-0000-000097210000}"/>
    <cellStyle name="20% - Accent3 6 8 5" xfId="32894" xr:uid="{00000000-0005-0000-0000-000098210000}"/>
    <cellStyle name="20% - Accent3 6 9" xfId="3063" xr:uid="{00000000-0005-0000-0000-000099210000}"/>
    <cellStyle name="20% - Accent3 6 9 2" xfId="10169" xr:uid="{00000000-0005-0000-0000-00009A210000}"/>
    <cellStyle name="20% - Accent3 6 9 3" xfId="17270" xr:uid="{00000000-0005-0000-0000-00009B210000}"/>
    <cellStyle name="20% - Accent3 6 9 4" xfId="24372" xr:uid="{00000000-0005-0000-0000-00009C210000}"/>
    <cellStyle name="20% - Accent3 6 9 5" xfId="31474" xr:uid="{00000000-0005-0000-0000-00009D210000}"/>
    <cellStyle name="20% - Accent3 7" xfId="292" xr:uid="{00000000-0005-0000-0000-00009E210000}"/>
    <cellStyle name="20% - Accent3 7 10" xfId="37053" xr:uid="{00000000-0005-0000-0000-00009F210000}"/>
    <cellStyle name="20% - Accent3 7 2" xfId="1073" xr:uid="{00000000-0005-0000-0000-0000A0210000}"/>
    <cellStyle name="20% - Accent3 7 2 2" xfId="2564" xr:uid="{00000000-0005-0000-0000-0000A1210000}"/>
    <cellStyle name="20% - Accent3 7 2 2 2" xfId="6832" xr:uid="{00000000-0005-0000-0000-0000A2210000}"/>
    <cellStyle name="20% - Accent3 7 2 2 2 2" xfId="13932" xr:uid="{00000000-0005-0000-0000-0000A3210000}"/>
    <cellStyle name="20% - Accent3 7 2 2 2 3" xfId="21033" xr:uid="{00000000-0005-0000-0000-0000A4210000}"/>
    <cellStyle name="20% - Accent3 7 2 2 2 4" xfId="28135" xr:uid="{00000000-0005-0000-0000-0000A5210000}"/>
    <cellStyle name="20% - Accent3 7 2 2 2 5" xfId="35237" xr:uid="{00000000-0005-0000-0000-0000A6210000}"/>
    <cellStyle name="20% - Accent3 7 2 2 3" xfId="9672" xr:uid="{00000000-0005-0000-0000-0000A7210000}"/>
    <cellStyle name="20% - Accent3 7 2 2 4" xfId="16773" xr:uid="{00000000-0005-0000-0000-0000A8210000}"/>
    <cellStyle name="20% - Accent3 7 2 2 5" xfId="23875" xr:uid="{00000000-0005-0000-0000-0000A9210000}"/>
    <cellStyle name="20% - Accent3 7 2 2 6" xfId="30977" xr:uid="{00000000-0005-0000-0000-0000AA210000}"/>
    <cellStyle name="20% - Accent3 7 2 2 7" xfId="37054" xr:uid="{00000000-0005-0000-0000-0000AB210000}"/>
    <cellStyle name="20% - Accent3 7 2 3" xfId="5411" xr:uid="{00000000-0005-0000-0000-0000AC210000}"/>
    <cellStyle name="20% - Accent3 7 2 3 2" xfId="12512" xr:uid="{00000000-0005-0000-0000-0000AD210000}"/>
    <cellStyle name="20% - Accent3 7 2 3 3" xfId="19613" xr:uid="{00000000-0005-0000-0000-0000AE210000}"/>
    <cellStyle name="20% - Accent3 7 2 3 4" xfId="26715" xr:uid="{00000000-0005-0000-0000-0000AF210000}"/>
    <cellStyle name="20% - Accent3 7 2 3 5" xfId="33817" xr:uid="{00000000-0005-0000-0000-0000B0210000}"/>
    <cellStyle name="20% - Accent3 7 2 4" xfId="3986" xr:uid="{00000000-0005-0000-0000-0000B1210000}"/>
    <cellStyle name="20% - Accent3 7 2 4 2" xfId="11092" xr:uid="{00000000-0005-0000-0000-0000B2210000}"/>
    <cellStyle name="20% - Accent3 7 2 4 3" xfId="18193" xr:uid="{00000000-0005-0000-0000-0000B3210000}"/>
    <cellStyle name="20% - Accent3 7 2 4 4" xfId="25295" xr:uid="{00000000-0005-0000-0000-0000B4210000}"/>
    <cellStyle name="20% - Accent3 7 2 4 5" xfId="32397" xr:uid="{00000000-0005-0000-0000-0000B5210000}"/>
    <cellStyle name="20% - Accent3 7 2 5" xfId="8252" xr:uid="{00000000-0005-0000-0000-0000B6210000}"/>
    <cellStyle name="20% - Accent3 7 2 6" xfId="15353" xr:uid="{00000000-0005-0000-0000-0000B7210000}"/>
    <cellStyle name="20% - Accent3 7 2 7" xfId="22455" xr:uid="{00000000-0005-0000-0000-0000B8210000}"/>
    <cellStyle name="20% - Accent3 7 2 8" xfId="29557" xr:uid="{00000000-0005-0000-0000-0000B9210000}"/>
    <cellStyle name="20% - Accent3 7 2 9" xfId="37055" xr:uid="{00000000-0005-0000-0000-0000BA210000}"/>
    <cellStyle name="20% - Accent3 7 3" xfId="1783" xr:uid="{00000000-0005-0000-0000-0000BB210000}"/>
    <cellStyle name="20% - Accent3 7 3 2" xfId="6051" xr:uid="{00000000-0005-0000-0000-0000BC210000}"/>
    <cellStyle name="20% - Accent3 7 3 2 2" xfId="13151" xr:uid="{00000000-0005-0000-0000-0000BD210000}"/>
    <cellStyle name="20% - Accent3 7 3 2 3" xfId="20252" xr:uid="{00000000-0005-0000-0000-0000BE210000}"/>
    <cellStyle name="20% - Accent3 7 3 2 4" xfId="27354" xr:uid="{00000000-0005-0000-0000-0000BF210000}"/>
    <cellStyle name="20% - Accent3 7 3 2 5" xfId="34456" xr:uid="{00000000-0005-0000-0000-0000C0210000}"/>
    <cellStyle name="20% - Accent3 7 3 2 6" xfId="37056" xr:uid="{00000000-0005-0000-0000-0000C1210000}"/>
    <cellStyle name="20% - Accent3 7 3 3" xfId="8891" xr:uid="{00000000-0005-0000-0000-0000C2210000}"/>
    <cellStyle name="20% - Accent3 7 3 4" xfId="15992" xr:uid="{00000000-0005-0000-0000-0000C3210000}"/>
    <cellStyle name="20% - Accent3 7 3 5" xfId="23094" xr:uid="{00000000-0005-0000-0000-0000C4210000}"/>
    <cellStyle name="20% - Accent3 7 3 6" xfId="30196" xr:uid="{00000000-0005-0000-0000-0000C5210000}"/>
    <cellStyle name="20% - Accent3 7 3 7" xfId="37057" xr:uid="{00000000-0005-0000-0000-0000C6210000}"/>
    <cellStyle name="20% - Accent3 7 4" xfId="4630" xr:uid="{00000000-0005-0000-0000-0000C7210000}"/>
    <cellStyle name="20% - Accent3 7 4 2" xfId="11731" xr:uid="{00000000-0005-0000-0000-0000C8210000}"/>
    <cellStyle name="20% - Accent3 7 4 3" xfId="18832" xr:uid="{00000000-0005-0000-0000-0000C9210000}"/>
    <cellStyle name="20% - Accent3 7 4 4" xfId="25934" xr:uid="{00000000-0005-0000-0000-0000CA210000}"/>
    <cellStyle name="20% - Accent3 7 4 5" xfId="33036" xr:uid="{00000000-0005-0000-0000-0000CB210000}"/>
    <cellStyle name="20% - Accent3 7 4 6" xfId="37058" xr:uid="{00000000-0005-0000-0000-0000CC210000}"/>
    <cellStyle name="20% - Accent3 7 5" xfId="3205" xr:uid="{00000000-0005-0000-0000-0000CD210000}"/>
    <cellStyle name="20% - Accent3 7 5 2" xfId="10311" xr:uid="{00000000-0005-0000-0000-0000CE210000}"/>
    <cellStyle name="20% - Accent3 7 5 3" xfId="17412" xr:uid="{00000000-0005-0000-0000-0000CF210000}"/>
    <cellStyle name="20% - Accent3 7 5 4" xfId="24514" xr:uid="{00000000-0005-0000-0000-0000D0210000}"/>
    <cellStyle name="20% - Accent3 7 5 5" xfId="31616" xr:uid="{00000000-0005-0000-0000-0000D1210000}"/>
    <cellStyle name="20% - Accent3 7 6" xfId="7471" xr:uid="{00000000-0005-0000-0000-0000D2210000}"/>
    <cellStyle name="20% - Accent3 7 7" xfId="14572" xr:uid="{00000000-0005-0000-0000-0000D3210000}"/>
    <cellStyle name="20% - Accent3 7 8" xfId="21674" xr:uid="{00000000-0005-0000-0000-0000D4210000}"/>
    <cellStyle name="20% - Accent3 7 9" xfId="28776" xr:uid="{00000000-0005-0000-0000-0000D5210000}"/>
    <cellStyle name="20% - Accent3 8" xfId="505" xr:uid="{00000000-0005-0000-0000-0000D6210000}"/>
    <cellStyle name="20% - Accent3 8 2" xfId="1996" xr:uid="{00000000-0005-0000-0000-0000D7210000}"/>
    <cellStyle name="20% - Accent3 8 2 2" xfId="6264" xr:uid="{00000000-0005-0000-0000-0000D8210000}"/>
    <cellStyle name="20% - Accent3 8 2 2 2" xfId="13364" xr:uid="{00000000-0005-0000-0000-0000D9210000}"/>
    <cellStyle name="20% - Accent3 8 2 2 3" xfId="20465" xr:uid="{00000000-0005-0000-0000-0000DA210000}"/>
    <cellStyle name="20% - Accent3 8 2 2 4" xfId="27567" xr:uid="{00000000-0005-0000-0000-0000DB210000}"/>
    <cellStyle name="20% - Accent3 8 2 2 5" xfId="34669" xr:uid="{00000000-0005-0000-0000-0000DC210000}"/>
    <cellStyle name="20% - Accent3 8 2 2 6" xfId="37059" xr:uid="{00000000-0005-0000-0000-0000DD210000}"/>
    <cellStyle name="20% - Accent3 8 2 3" xfId="9104" xr:uid="{00000000-0005-0000-0000-0000DE210000}"/>
    <cellStyle name="20% - Accent3 8 2 4" xfId="16205" xr:uid="{00000000-0005-0000-0000-0000DF210000}"/>
    <cellStyle name="20% - Accent3 8 2 5" xfId="23307" xr:uid="{00000000-0005-0000-0000-0000E0210000}"/>
    <cellStyle name="20% - Accent3 8 2 6" xfId="30409" xr:uid="{00000000-0005-0000-0000-0000E1210000}"/>
    <cellStyle name="20% - Accent3 8 2 7" xfId="37060" xr:uid="{00000000-0005-0000-0000-0000E2210000}"/>
    <cellStyle name="20% - Accent3 8 3" xfId="4843" xr:uid="{00000000-0005-0000-0000-0000E3210000}"/>
    <cellStyle name="20% - Accent3 8 3 2" xfId="11944" xr:uid="{00000000-0005-0000-0000-0000E4210000}"/>
    <cellStyle name="20% - Accent3 8 3 2 2" xfId="37061" xr:uid="{00000000-0005-0000-0000-0000E5210000}"/>
    <cellStyle name="20% - Accent3 8 3 3" xfId="19045" xr:uid="{00000000-0005-0000-0000-0000E6210000}"/>
    <cellStyle name="20% - Accent3 8 3 4" xfId="26147" xr:uid="{00000000-0005-0000-0000-0000E7210000}"/>
    <cellStyle name="20% - Accent3 8 3 5" xfId="33249" xr:uid="{00000000-0005-0000-0000-0000E8210000}"/>
    <cellStyle name="20% - Accent3 8 3 6" xfId="37062" xr:uid="{00000000-0005-0000-0000-0000E9210000}"/>
    <cellStyle name="20% - Accent3 8 4" xfId="3418" xr:uid="{00000000-0005-0000-0000-0000EA210000}"/>
    <cellStyle name="20% - Accent3 8 4 2" xfId="10524" xr:uid="{00000000-0005-0000-0000-0000EB210000}"/>
    <cellStyle name="20% - Accent3 8 4 3" xfId="17625" xr:uid="{00000000-0005-0000-0000-0000EC210000}"/>
    <cellStyle name="20% - Accent3 8 4 4" xfId="24727" xr:uid="{00000000-0005-0000-0000-0000ED210000}"/>
    <cellStyle name="20% - Accent3 8 4 5" xfId="31829" xr:uid="{00000000-0005-0000-0000-0000EE210000}"/>
    <cellStyle name="20% - Accent3 8 4 6" xfId="37063" xr:uid="{00000000-0005-0000-0000-0000EF210000}"/>
    <cellStyle name="20% - Accent3 8 5" xfId="7684" xr:uid="{00000000-0005-0000-0000-0000F0210000}"/>
    <cellStyle name="20% - Accent3 8 6" xfId="14785" xr:uid="{00000000-0005-0000-0000-0000F1210000}"/>
    <cellStyle name="20% - Accent3 8 7" xfId="21887" xr:uid="{00000000-0005-0000-0000-0000F2210000}"/>
    <cellStyle name="20% - Accent3 8 8" xfId="28989" xr:uid="{00000000-0005-0000-0000-0000F3210000}"/>
    <cellStyle name="20% - Accent3 8 9" xfId="37064" xr:uid="{00000000-0005-0000-0000-0000F4210000}"/>
    <cellStyle name="20% - Accent3 9" xfId="718" xr:uid="{00000000-0005-0000-0000-0000F5210000}"/>
    <cellStyle name="20% - Accent3 9 2" xfId="2209" xr:uid="{00000000-0005-0000-0000-0000F6210000}"/>
    <cellStyle name="20% - Accent3 9 2 2" xfId="6477" xr:uid="{00000000-0005-0000-0000-0000F7210000}"/>
    <cellStyle name="20% - Accent3 9 2 2 2" xfId="13577" xr:uid="{00000000-0005-0000-0000-0000F8210000}"/>
    <cellStyle name="20% - Accent3 9 2 2 3" xfId="20678" xr:uid="{00000000-0005-0000-0000-0000F9210000}"/>
    <cellStyle name="20% - Accent3 9 2 2 4" xfId="27780" xr:uid="{00000000-0005-0000-0000-0000FA210000}"/>
    <cellStyle name="20% - Accent3 9 2 2 5" xfId="34882" xr:uid="{00000000-0005-0000-0000-0000FB210000}"/>
    <cellStyle name="20% - Accent3 9 2 2 6" xfId="37065" xr:uid="{00000000-0005-0000-0000-0000FC210000}"/>
    <cellStyle name="20% - Accent3 9 2 3" xfId="9317" xr:uid="{00000000-0005-0000-0000-0000FD210000}"/>
    <cellStyle name="20% - Accent3 9 2 4" xfId="16418" xr:uid="{00000000-0005-0000-0000-0000FE210000}"/>
    <cellStyle name="20% - Accent3 9 2 5" xfId="23520" xr:uid="{00000000-0005-0000-0000-0000FF210000}"/>
    <cellStyle name="20% - Accent3 9 2 6" xfId="30622" xr:uid="{00000000-0005-0000-0000-000000220000}"/>
    <cellStyle name="20% - Accent3 9 2 7" xfId="37066" xr:uid="{00000000-0005-0000-0000-000001220000}"/>
    <cellStyle name="20% - Accent3 9 3" xfId="5056" xr:uid="{00000000-0005-0000-0000-000002220000}"/>
    <cellStyle name="20% - Accent3 9 3 2" xfId="12157" xr:uid="{00000000-0005-0000-0000-000003220000}"/>
    <cellStyle name="20% - Accent3 9 3 2 2" xfId="37067" xr:uid="{00000000-0005-0000-0000-000004220000}"/>
    <cellStyle name="20% - Accent3 9 3 3" xfId="19258" xr:uid="{00000000-0005-0000-0000-000005220000}"/>
    <cellStyle name="20% - Accent3 9 3 4" xfId="26360" xr:uid="{00000000-0005-0000-0000-000006220000}"/>
    <cellStyle name="20% - Accent3 9 3 5" xfId="33462" xr:uid="{00000000-0005-0000-0000-000007220000}"/>
    <cellStyle name="20% - Accent3 9 3 6" xfId="37068" xr:uid="{00000000-0005-0000-0000-000008220000}"/>
    <cellStyle name="20% - Accent3 9 4" xfId="3631" xr:uid="{00000000-0005-0000-0000-000009220000}"/>
    <cellStyle name="20% - Accent3 9 4 2" xfId="10737" xr:uid="{00000000-0005-0000-0000-00000A220000}"/>
    <cellStyle name="20% - Accent3 9 4 3" xfId="17838" xr:uid="{00000000-0005-0000-0000-00000B220000}"/>
    <cellStyle name="20% - Accent3 9 4 4" xfId="24940" xr:uid="{00000000-0005-0000-0000-00000C220000}"/>
    <cellStyle name="20% - Accent3 9 4 5" xfId="32042" xr:uid="{00000000-0005-0000-0000-00000D220000}"/>
    <cellStyle name="20% - Accent3 9 4 6" xfId="37069" xr:uid="{00000000-0005-0000-0000-00000E220000}"/>
    <cellStyle name="20% - Accent3 9 5" xfId="7897" xr:uid="{00000000-0005-0000-0000-00000F220000}"/>
    <cellStyle name="20% - Accent3 9 6" xfId="14998" xr:uid="{00000000-0005-0000-0000-000010220000}"/>
    <cellStyle name="20% - Accent3 9 7" xfId="22100" xr:uid="{00000000-0005-0000-0000-000011220000}"/>
    <cellStyle name="20% - Accent3 9 8" xfId="29202" xr:uid="{00000000-0005-0000-0000-000012220000}"/>
    <cellStyle name="20% - Accent3 9 9" xfId="37070" xr:uid="{00000000-0005-0000-0000-000013220000}"/>
    <cellStyle name="20% - Accent4" xfId="54" builtinId="42" customBuiltin="1"/>
    <cellStyle name="20% - Accent4 10" xfId="933" xr:uid="{00000000-0005-0000-0000-000015220000}"/>
    <cellStyle name="20% - Accent4 10 2" xfId="2424" xr:uid="{00000000-0005-0000-0000-000016220000}"/>
    <cellStyle name="20% - Accent4 10 2 2" xfId="6692" xr:uid="{00000000-0005-0000-0000-000017220000}"/>
    <cellStyle name="20% - Accent4 10 2 2 2" xfId="13792" xr:uid="{00000000-0005-0000-0000-000018220000}"/>
    <cellStyle name="20% - Accent4 10 2 2 3" xfId="20893" xr:uid="{00000000-0005-0000-0000-000019220000}"/>
    <cellStyle name="20% - Accent4 10 2 2 4" xfId="27995" xr:uid="{00000000-0005-0000-0000-00001A220000}"/>
    <cellStyle name="20% - Accent4 10 2 2 5" xfId="35097" xr:uid="{00000000-0005-0000-0000-00001B220000}"/>
    <cellStyle name="20% - Accent4 10 2 3" xfId="9532" xr:uid="{00000000-0005-0000-0000-00001C220000}"/>
    <cellStyle name="20% - Accent4 10 2 4" xfId="16633" xr:uid="{00000000-0005-0000-0000-00001D220000}"/>
    <cellStyle name="20% - Accent4 10 2 5" xfId="23735" xr:uid="{00000000-0005-0000-0000-00001E220000}"/>
    <cellStyle name="20% - Accent4 10 2 6" xfId="30837" xr:uid="{00000000-0005-0000-0000-00001F220000}"/>
    <cellStyle name="20% - Accent4 10 2 7" xfId="37071" xr:uid="{00000000-0005-0000-0000-000020220000}"/>
    <cellStyle name="20% - Accent4 10 3" xfId="5271" xr:uid="{00000000-0005-0000-0000-000021220000}"/>
    <cellStyle name="20% - Accent4 10 3 2" xfId="12372" xr:uid="{00000000-0005-0000-0000-000022220000}"/>
    <cellStyle name="20% - Accent4 10 3 3" xfId="19473" xr:uid="{00000000-0005-0000-0000-000023220000}"/>
    <cellStyle name="20% - Accent4 10 3 4" xfId="26575" xr:uid="{00000000-0005-0000-0000-000024220000}"/>
    <cellStyle name="20% - Accent4 10 3 5" xfId="33677" xr:uid="{00000000-0005-0000-0000-000025220000}"/>
    <cellStyle name="20% - Accent4 10 4" xfId="3846" xr:uid="{00000000-0005-0000-0000-000026220000}"/>
    <cellStyle name="20% - Accent4 10 4 2" xfId="10952" xr:uid="{00000000-0005-0000-0000-000027220000}"/>
    <cellStyle name="20% - Accent4 10 4 3" xfId="18053" xr:uid="{00000000-0005-0000-0000-000028220000}"/>
    <cellStyle name="20% - Accent4 10 4 4" xfId="25155" xr:uid="{00000000-0005-0000-0000-000029220000}"/>
    <cellStyle name="20% - Accent4 10 4 5" xfId="32257" xr:uid="{00000000-0005-0000-0000-00002A220000}"/>
    <cellStyle name="20% - Accent4 10 5" xfId="8112" xr:uid="{00000000-0005-0000-0000-00002B220000}"/>
    <cellStyle name="20% - Accent4 10 6" xfId="15213" xr:uid="{00000000-0005-0000-0000-00002C220000}"/>
    <cellStyle name="20% - Accent4 10 7" xfId="22315" xr:uid="{00000000-0005-0000-0000-00002D220000}"/>
    <cellStyle name="20% - Accent4 10 8" xfId="29417" xr:uid="{00000000-0005-0000-0000-00002E220000}"/>
    <cellStyle name="20% - Accent4 10 9" xfId="37072" xr:uid="{00000000-0005-0000-0000-00002F220000}"/>
    <cellStyle name="20% - Accent4 11" xfId="1288" xr:uid="{00000000-0005-0000-0000-000030220000}"/>
    <cellStyle name="20% - Accent4 11 2" xfId="2779" xr:uid="{00000000-0005-0000-0000-000031220000}"/>
    <cellStyle name="20% - Accent4 11 2 2" xfId="7047" xr:uid="{00000000-0005-0000-0000-000032220000}"/>
    <cellStyle name="20% - Accent4 11 2 2 2" xfId="14147" xr:uid="{00000000-0005-0000-0000-000033220000}"/>
    <cellStyle name="20% - Accent4 11 2 2 3" xfId="21248" xr:uid="{00000000-0005-0000-0000-000034220000}"/>
    <cellStyle name="20% - Accent4 11 2 2 4" xfId="28350" xr:uid="{00000000-0005-0000-0000-000035220000}"/>
    <cellStyle name="20% - Accent4 11 2 2 5" xfId="35452" xr:uid="{00000000-0005-0000-0000-000036220000}"/>
    <cellStyle name="20% - Accent4 11 2 3" xfId="9887" xr:uid="{00000000-0005-0000-0000-000037220000}"/>
    <cellStyle name="20% - Accent4 11 2 4" xfId="16988" xr:uid="{00000000-0005-0000-0000-000038220000}"/>
    <cellStyle name="20% - Accent4 11 2 5" xfId="24090" xr:uid="{00000000-0005-0000-0000-000039220000}"/>
    <cellStyle name="20% - Accent4 11 2 6" xfId="31192" xr:uid="{00000000-0005-0000-0000-00003A220000}"/>
    <cellStyle name="20% - Accent4 11 2 7" xfId="37073" xr:uid="{00000000-0005-0000-0000-00003B220000}"/>
    <cellStyle name="20% - Accent4 11 3" xfId="5626" xr:uid="{00000000-0005-0000-0000-00003C220000}"/>
    <cellStyle name="20% - Accent4 11 3 2" xfId="12727" xr:uid="{00000000-0005-0000-0000-00003D220000}"/>
    <cellStyle name="20% - Accent4 11 3 3" xfId="19828" xr:uid="{00000000-0005-0000-0000-00003E220000}"/>
    <cellStyle name="20% - Accent4 11 3 4" xfId="26930" xr:uid="{00000000-0005-0000-0000-00003F220000}"/>
    <cellStyle name="20% - Accent4 11 3 5" xfId="34032" xr:uid="{00000000-0005-0000-0000-000040220000}"/>
    <cellStyle name="20% - Accent4 11 4" xfId="4201" xr:uid="{00000000-0005-0000-0000-000041220000}"/>
    <cellStyle name="20% - Accent4 11 4 2" xfId="11307" xr:uid="{00000000-0005-0000-0000-000042220000}"/>
    <cellStyle name="20% - Accent4 11 4 3" xfId="18408" xr:uid="{00000000-0005-0000-0000-000043220000}"/>
    <cellStyle name="20% - Accent4 11 4 4" xfId="25510" xr:uid="{00000000-0005-0000-0000-000044220000}"/>
    <cellStyle name="20% - Accent4 11 4 5" xfId="32612" xr:uid="{00000000-0005-0000-0000-000045220000}"/>
    <cellStyle name="20% - Accent4 11 5" xfId="8467" xr:uid="{00000000-0005-0000-0000-000046220000}"/>
    <cellStyle name="20% - Accent4 11 6" xfId="15568" xr:uid="{00000000-0005-0000-0000-000047220000}"/>
    <cellStyle name="20% - Accent4 11 7" xfId="22670" xr:uid="{00000000-0005-0000-0000-000048220000}"/>
    <cellStyle name="20% - Accent4 11 8" xfId="29772" xr:uid="{00000000-0005-0000-0000-000049220000}"/>
    <cellStyle name="20% - Accent4 11 9" xfId="37074" xr:uid="{00000000-0005-0000-0000-00004A220000}"/>
    <cellStyle name="20% - Accent4 12" xfId="1556" xr:uid="{00000000-0005-0000-0000-00004B220000}"/>
    <cellStyle name="20% - Accent4 12 2" xfId="5839" xr:uid="{00000000-0005-0000-0000-00004C220000}"/>
    <cellStyle name="20% - Accent4 12 2 2" xfId="12940" xr:uid="{00000000-0005-0000-0000-00004D220000}"/>
    <cellStyle name="20% - Accent4 12 2 3" xfId="20041" xr:uid="{00000000-0005-0000-0000-00004E220000}"/>
    <cellStyle name="20% - Accent4 12 2 4" xfId="27143" xr:uid="{00000000-0005-0000-0000-00004F220000}"/>
    <cellStyle name="20% - Accent4 12 2 5" xfId="34245" xr:uid="{00000000-0005-0000-0000-000050220000}"/>
    <cellStyle name="20% - Accent4 12 3" xfId="8680" xr:uid="{00000000-0005-0000-0000-000051220000}"/>
    <cellStyle name="20% - Accent4 12 4" xfId="15781" xr:uid="{00000000-0005-0000-0000-000052220000}"/>
    <cellStyle name="20% - Accent4 12 5" xfId="22883" xr:uid="{00000000-0005-0000-0000-000053220000}"/>
    <cellStyle name="20% - Accent4 12 6" xfId="29985" xr:uid="{00000000-0005-0000-0000-000054220000}"/>
    <cellStyle name="20% - Accent4 12 7" xfId="37075" xr:uid="{00000000-0005-0000-0000-000055220000}"/>
    <cellStyle name="20% - Accent4 13" xfId="4419" xr:uid="{00000000-0005-0000-0000-000056220000}"/>
    <cellStyle name="20% - Accent4 13 2" xfId="11520" xr:uid="{00000000-0005-0000-0000-000057220000}"/>
    <cellStyle name="20% - Accent4 13 3" xfId="18621" xr:uid="{00000000-0005-0000-0000-000058220000}"/>
    <cellStyle name="20% - Accent4 13 4" xfId="25723" xr:uid="{00000000-0005-0000-0000-000059220000}"/>
    <cellStyle name="20% - Accent4 13 5" xfId="32825" xr:uid="{00000000-0005-0000-0000-00005A220000}"/>
    <cellStyle name="20% - Accent4 14" xfId="2994" xr:uid="{00000000-0005-0000-0000-00005B220000}"/>
    <cellStyle name="20% - Accent4 14 2" xfId="10100" xr:uid="{00000000-0005-0000-0000-00005C220000}"/>
    <cellStyle name="20% - Accent4 14 3" xfId="17201" xr:uid="{00000000-0005-0000-0000-00005D220000}"/>
    <cellStyle name="20% - Accent4 14 4" xfId="24303" xr:uid="{00000000-0005-0000-0000-00005E220000}"/>
    <cellStyle name="20% - Accent4 14 5" xfId="31405" xr:uid="{00000000-0005-0000-0000-00005F220000}"/>
    <cellStyle name="20% - Accent4 15" xfId="7260" xr:uid="{00000000-0005-0000-0000-000060220000}"/>
    <cellStyle name="20% - Accent4 16" xfId="14361" xr:uid="{00000000-0005-0000-0000-000061220000}"/>
    <cellStyle name="20% - Accent4 17" xfId="21463" xr:uid="{00000000-0005-0000-0000-000062220000}"/>
    <cellStyle name="20% - Accent4 18" xfId="28565" xr:uid="{00000000-0005-0000-0000-000063220000}"/>
    <cellStyle name="20% - Accent4 19" xfId="35667" xr:uid="{00000000-0005-0000-0000-000064220000}"/>
    <cellStyle name="20% - Accent4 2" xfId="79" xr:uid="{00000000-0005-0000-0000-000065220000}"/>
    <cellStyle name="20% - Accent4 2 10" xfId="1580" xr:uid="{00000000-0005-0000-0000-000066220000}"/>
    <cellStyle name="20% - Accent4 2 10 2" xfId="5854" xr:uid="{00000000-0005-0000-0000-000067220000}"/>
    <cellStyle name="20% - Accent4 2 10 2 2" xfId="12954" xr:uid="{00000000-0005-0000-0000-000068220000}"/>
    <cellStyle name="20% - Accent4 2 10 2 3" xfId="20055" xr:uid="{00000000-0005-0000-0000-000069220000}"/>
    <cellStyle name="20% - Accent4 2 10 2 4" xfId="27157" xr:uid="{00000000-0005-0000-0000-00006A220000}"/>
    <cellStyle name="20% - Accent4 2 10 2 5" xfId="34259" xr:uid="{00000000-0005-0000-0000-00006B220000}"/>
    <cellStyle name="20% - Accent4 2 10 2 6" xfId="37076" xr:uid="{00000000-0005-0000-0000-00006C220000}"/>
    <cellStyle name="20% - Accent4 2 10 3" xfId="8694" xr:uid="{00000000-0005-0000-0000-00006D220000}"/>
    <cellStyle name="20% - Accent4 2 10 4" xfId="15795" xr:uid="{00000000-0005-0000-0000-00006E220000}"/>
    <cellStyle name="20% - Accent4 2 10 5" xfId="22897" xr:uid="{00000000-0005-0000-0000-00006F220000}"/>
    <cellStyle name="20% - Accent4 2 10 6" xfId="29999" xr:uid="{00000000-0005-0000-0000-000070220000}"/>
    <cellStyle name="20% - Accent4 2 10 7" xfId="37077" xr:uid="{00000000-0005-0000-0000-000071220000}"/>
    <cellStyle name="20% - Accent4 2 11" xfId="4433" xr:uid="{00000000-0005-0000-0000-000072220000}"/>
    <cellStyle name="20% - Accent4 2 11 2" xfId="11534" xr:uid="{00000000-0005-0000-0000-000073220000}"/>
    <cellStyle name="20% - Accent4 2 11 3" xfId="18635" xr:uid="{00000000-0005-0000-0000-000074220000}"/>
    <cellStyle name="20% - Accent4 2 11 4" xfId="25737" xr:uid="{00000000-0005-0000-0000-000075220000}"/>
    <cellStyle name="20% - Accent4 2 11 5" xfId="32839" xr:uid="{00000000-0005-0000-0000-000076220000}"/>
    <cellStyle name="20% - Accent4 2 11 6" xfId="37078" xr:uid="{00000000-0005-0000-0000-000077220000}"/>
    <cellStyle name="20% - Accent4 2 12" xfId="3008" xr:uid="{00000000-0005-0000-0000-000078220000}"/>
    <cellStyle name="20% - Accent4 2 12 2" xfId="10114" xr:uid="{00000000-0005-0000-0000-000079220000}"/>
    <cellStyle name="20% - Accent4 2 12 3" xfId="17215" xr:uid="{00000000-0005-0000-0000-00007A220000}"/>
    <cellStyle name="20% - Accent4 2 12 4" xfId="24317" xr:uid="{00000000-0005-0000-0000-00007B220000}"/>
    <cellStyle name="20% - Accent4 2 12 5" xfId="31419" xr:uid="{00000000-0005-0000-0000-00007C220000}"/>
    <cellStyle name="20% - Accent4 2 13" xfId="7274" xr:uid="{00000000-0005-0000-0000-00007D220000}"/>
    <cellStyle name="20% - Accent4 2 14" xfId="14375" xr:uid="{00000000-0005-0000-0000-00007E220000}"/>
    <cellStyle name="20% - Accent4 2 15" xfId="21477" xr:uid="{00000000-0005-0000-0000-00007F220000}"/>
    <cellStyle name="20% - Accent4 2 16" xfId="28579" xr:uid="{00000000-0005-0000-0000-000080220000}"/>
    <cellStyle name="20% - Accent4 2 17" xfId="35681" xr:uid="{00000000-0005-0000-0000-000081220000}"/>
    <cellStyle name="20% - Accent4 2 18" xfId="37079" xr:uid="{00000000-0005-0000-0000-000082220000}"/>
    <cellStyle name="20% - Accent4 2 19" xfId="37080" xr:uid="{00000000-0005-0000-0000-000083220000}"/>
    <cellStyle name="20% - Accent4 2 2" xfId="124" xr:uid="{00000000-0005-0000-0000-000084220000}"/>
    <cellStyle name="20% - Accent4 2 2 10" xfId="4464" xr:uid="{00000000-0005-0000-0000-000085220000}"/>
    <cellStyle name="20% - Accent4 2 2 10 2" xfId="11565" xr:uid="{00000000-0005-0000-0000-000086220000}"/>
    <cellStyle name="20% - Accent4 2 2 10 3" xfId="18666" xr:uid="{00000000-0005-0000-0000-000087220000}"/>
    <cellStyle name="20% - Accent4 2 2 10 4" xfId="25768" xr:uid="{00000000-0005-0000-0000-000088220000}"/>
    <cellStyle name="20% - Accent4 2 2 10 5" xfId="32870" xr:uid="{00000000-0005-0000-0000-000089220000}"/>
    <cellStyle name="20% - Accent4 2 2 11" xfId="3039" xr:uid="{00000000-0005-0000-0000-00008A220000}"/>
    <cellStyle name="20% - Accent4 2 2 11 2" xfId="10145" xr:uid="{00000000-0005-0000-0000-00008B220000}"/>
    <cellStyle name="20% - Accent4 2 2 11 3" xfId="17246" xr:uid="{00000000-0005-0000-0000-00008C220000}"/>
    <cellStyle name="20% - Accent4 2 2 11 4" xfId="24348" xr:uid="{00000000-0005-0000-0000-00008D220000}"/>
    <cellStyle name="20% - Accent4 2 2 11 5" xfId="31450" xr:uid="{00000000-0005-0000-0000-00008E220000}"/>
    <cellStyle name="20% - Accent4 2 2 12" xfId="7305" xr:uid="{00000000-0005-0000-0000-00008F220000}"/>
    <cellStyle name="20% - Accent4 2 2 13" xfId="14406" xr:uid="{00000000-0005-0000-0000-000090220000}"/>
    <cellStyle name="20% - Accent4 2 2 14" xfId="21508" xr:uid="{00000000-0005-0000-0000-000091220000}"/>
    <cellStyle name="20% - Accent4 2 2 15" xfId="28610" xr:uid="{00000000-0005-0000-0000-000092220000}"/>
    <cellStyle name="20% - Accent4 2 2 16" xfId="35712" xr:uid="{00000000-0005-0000-0000-000093220000}"/>
    <cellStyle name="20% - Accent4 2 2 17" xfId="37081" xr:uid="{00000000-0005-0000-0000-000094220000}"/>
    <cellStyle name="20% - Accent4 2 2 18" xfId="37082" xr:uid="{00000000-0005-0000-0000-000095220000}"/>
    <cellStyle name="20% - Accent4 2 2 2" xfId="268" xr:uid="{00000000-0005-0000-0000-000096220000}"/>
    <cellStyle name="20% - Accent4 2 2 2 10" xfId="7447" xr:uid="{00000000-0005-0000-0000-000097220000}"/>
    <cellStyle name="20% - Accent4 2 2 2 11" xfId="14548" xr:uid="{00000000-0005-0000-0000-000098220000}"/>
    <cellStyle name="20% - Accent4 2 2 2 12" xfId="21650" xr:uid="{00000000-0005-0000-0000-000099220000}"/>
    <cellStyle name="20% - Accent4 2 2 2 13" xfId="28752" xr:uid="{00000000-0005-0000-0000-00009A220000}"/>
    <cellStyle name="20% - Accent4 2 2 2 14" xfId="35854" xr:uid="{00000000-0005-0000-0000-00009B220000}"/>
    <cellStyle name="20% - Accent4 2 2 2 15" xfId="37083" xr:uid="{00000000-0005-0000-0000-00009C220000}"/>
    <cellStyle name="20% - Accent4 2 2 2 2" xfId="481" xr:uid="{00000000-0005-0000-0000-00009D220000}"/>
    <cellStyle name="20% - Accent4 2 2 2 2 10" xfId="37084" xr:uid="{00000000-0005-0000-0000-00009E220000}"/>
    <cellStyle name="20% - Accent4 2 2 2 2 2" xfId="1262" xr:uid="{00000000-0005-0000-0000-00009F220000}"/>
    <cellStyle name="20% - Accent4 2 2 2 2 2 2" xfId="2753" xr:uid="{00000000-0005-0000-0000-0000A0220000}"/>
    <cellStyle name="20% - Accent4 2 2 2 2 2 2 2" xfId="7021" xr:uid="{00000000-0005-0000-0000-0000A1220000}"/>
    <cellStyle name="20% - Accent4 2 2 2 2 2 2 2 2" xfId="14121" xr:uid="{00000000-0005-0000-0000-0000A2220000}"/>
    <cellStyle name="20% - Accent4 2 2 2 2 2 2 2 3" xfId="21222" xr:uid="{00000000-0005-0000-0000-0000A3220000}"/>
    <cellStyle name="20% - Accent4 2 2 2 2 2 2 2 4" xfId="28324" xr:uid="{00000000-0005-0000-0000-0000A4220000}"/>
    <cellStyle name="20% - Accent4 2 2 2 2 2 2 2 5" xfId="35426" xr:uid="{00000000-0005-0000-0000-0000A5220000}"/>
    <cellStyle name="20% - Accent4 2 2 2 2 2 2 3" xfId="9861" xr:uid="{00000000-0005-0000-0000-0000A6220000}"/>
    <cellStyle name="20% - Accent4 2 2 2 2 2 2 4" xfId="16962" xr:uid="{00000000-0005-0000-0000-0000A7220000}"/>
    <cellStyle name="20% - Accent4 2 2 2 2 2 2 5" xfId="24064" xr:uid="{00000000-0005-0000-0000-0000A8220000}"/>
    <cellStyle name="20% - Accent4 2 2 2 2 2 2 6" xfId="31166" xr:uid="{00000000-0005-0000-0000-0000A9220000}"/>
    <cellStyle name="20% - Accent4 2 2 2 2 2 2 7" xfId="37085" xr:uid="{00000000-0005-0000-0000-0000AA220000}"/>
    <cellStyle name="20% - Accent4 2 2 2 2 2 3" xfId="5600" xr:uid="{00000000-0005-0000-0000-0000AB220000}"/>
    <cellStyle name="20% - Accent4 2 2 2 2 2 3 2" xfId="12701" xr:uid="{00000000-0005-0000-0000-0000AC220000}"/>
    <cellStyle name="20% - Accent4 2 2 2 2 2 3 3" xfId="19802" xr:uid="{00000000-0005-0000-0000-0000AD220000}"/>
    <cellStyle name="20% - Accent4 2 2 2 2 2 3 4" xfId="26904" xr:uid="{00000000-0005-0000-0000-0000AE220000}"/>
    <cellStyle name="20% - Accent4 2 2 2 2 2 3 5" xfId="34006" xr:uid="{00000000-0005-0000-0000-0000AF220000}"/>
    <cellStyle name="20% - Accent4 2 2 2 2 2 4" xfId="4175" xr:uid="{00000000-0005-0000-0000-0000B0220000}"/>
    <cellStyle name="20% - Accent4 2 2 2 2 2 4 2" xfId="11281" xr:uid="{00000000-0005-0000-0000-0000B1220000}"/>
    <cellStyle name="20% - Accent4 2 2 2 2 2 4 3" xfId="18382" xr:uid="{00000000-0005-0000-0000-0000B2220000}"/>
    <cellStyle name="20% - Accent4 2 2 2 2 2 4 4" xfId="25484" xr:uid="{00000000-0005-0000-0000-0000B3220000}"/>
    <cellStyle name="20% - Accent4 2 2 2 2 2 4 5" xfId="32586" xr:uid="{00000000-0005-0000-0000-0000B4220000}"/>
    <cellStyle name="20% - Accent4 2 2 2 2 2 5" xfId="8441" xr:uid="{00000000-0005-0000-0000-0000B5220000}"/>
    <cellStyle name="20% - Accent4 2 2 2 2 2 6" xfId="15542" xr:uid="{00000000-0005-0000-0000-0000B6220000}"/>
    <cellStyle name="20% - Accent4 2 2 2 2 2 7" xfId="22644" xr:uid="{00000000-0005-0000-0000-0000B7220000}"/>
    <cellStyle name="20% - Accent4 2 2 2 2 2 8" xfId="29746" xr:uid="{00000000-0005-0000-0000-0000B8220000}"/>
    <cellStyle name="20% - Accent4 2 2 2 2 2 9" xfId="37086" xr:uid="{00000000-0005-0000-0000-0000B9220000}"/>
    <cellStyle name="20% - Accent4 2 2 2 2 3" xfId="1972" xr:uid="{00000000-0005-0000-0000-0000BA220000}"/>
    <cellStyle name="20% - Accent4 2 2 2 2 3 2" xfId="6240" xr:uid="{00000000-0005-0000-0000-0000BB220000}"/>
    <cellStyle name="20% - Accent4 2 2 2 2 3 2 2" xfId="13340" xr:uid="{00000000-0005-0000-0000-0000BC220000}"/>
    <cellStyle name="20% - Accent4 2 2 2 2 3 2 3" xfId="20441" xr:uid="{00000000-0005-0000-0000-0000BD220000}"/>
    <cellStyle name="20% - Accent4 2 2 2 2 3 2 4" xfId="27543" xr:uid="{00000000-0005-0000-0000-0000BE220000}"/>
    <cellStyle name="20% - Accent4 2 2 2 2 3 2 5" xfId="34645" xr:uid="{00000000-0005-0000-0000-0000BF220000}"/>
    <cellStyle name="20% - Accent4 2 2 2 2 3 2 6" xfId="37087" xr:uid="{00000000-0005-0000-0000-0000C0220000}"/>
    <cellStyle name="20% - Accent4 2 2 2 2 3 3" xfId="9080" xr:uid="{00000000-0005-0000-0000-0000C1220000}"/>
    <cellStyle name="20% - Accent4 2 2 2 2 3 4" xfId="16181" xr:uid="{00000000-0005-0000-0000-0000C2220000}"/>
    <cellStyle name="20% - Accent4 2 2 2 2 3 5" xfId="23283" xr:uid="{00000000-0005-0000-0000-0000C3220000}"/>
    <cellStyle name="20% - Accent4 2 2 2 2 3 6" xfId="30385" xr:uid="{00000000-0005-0000-0000-0000C4220000}"/>
    <cellStyle name="20% - Accent4 2 2 2 2 3 7" xfId="37088" xr:uid="{00000000-0005-0000-0000-0000C5220000}"/>
    <cellStyle name="20% - Accent4 2 2 2 2 4" xfId="4819" xr:uid="{00000000-0005-0000-0000-0000C6220000}"/>
    <cellStyle name="20% - Accent4 2 2 2 2 4 2" xfId="11920" xr:uid="{00000000-0005-0000-0000-0000C7220000}"/>
    <cellStyle name="20% - Accent4 2 2 2 2 4 3" xfId="19021" xr:uid="{00000000-0005-0000-0000-0000C8220000}"/>
    <cellStyle name="20% - Accent4 2 2 2 2 4 4" xfId="26123" xr:uid="{00000000-0005-0000-0000-0000C9220000}"/>
    <cellStyle name="20% - Accent4 2 2 2 2 4 5" xfId="33225" xr:uid="{00000000-0005-0000-0000-0000CA220000}"/>
    <cellStyle name="20% - Accent4 2 2 2 2 4 6" xfId="37089" xr:uid="{00000000-0005-0000-0000-0000CB220000}"/>
    <cellStyle name="20% - Accent4 2 2 2 2 5" xfId="3394" xr:uid="{00000000-0005-0000-0000-0000CC220000}"/>
    <cellStyle name="20% - Accent4 2 2 2 2 5 2" xfId="10500" xr:uid="{00000000-0005-0000-0000-0000CD220000}"/>
    <cellStyle name="20% - Accent4 2 2 2 2 5 3" xfId="17601" xr:uid="{00000000-0005-0000-0000-0000CE220000}"/>
    <cellStyle name="20% - Accent4 2 2 2 2 5 4" xfId="24703" xr:uid="{00000000-0005-0000-0000-0000CF220000}"/>
    <cellStyle name="20% - Accent4 2 2 2 2 5 5" xfId="31805" xr:uid="{00000000-0005-0000-0000-0000D0220000}"/>
    <cellStyle name="20% - Accent4 2 2 2 2 6" xfId="7660" xr:uid="{00000000-0005-0000-0000-0000D1220000}"/>
    <cellStyle name="20% - Accent4 2 2 2 2 7" xfId="14761" xr:uid="{00000000-0005-0000-0000-0000D2220000}"/>
    <cellStyle name="20% - Accent4 2 2 2 2 8" xfId="21863" xr:uid="{00000000-0005-0000-0000-0000D3220000}"/>
    <cellStyle name="20% - Accent4 2 2 2 2 9" xfId="28965" xr:uid="{00000000-0005-0000-0000-0000D4220000}"/>
    <cellStyle name="20% - Accent4 2 2 2 3" xfId="694" xr:uid="{00000000-0005-0000-0000-0000D5220000}"/>
    <cellStyle name="20% - Accent4 2 2 2 3 2" xfId="2185" xr:uid="{00000000-0005-0000-0000-0000D6220000}"/>
    <cellStyle name="20% - Accent4 2 2 2 3 2 2" xfId="6453" xr:uid="{00000000-0005-0000-0000-0000D7220000}"/>
    <cellStyle name="20% - Accent4 2 2 2 3 2 2 2" xfId="13553" xr:uid="{00000000-0005-0000-0000-0000D8220000}"/>
    <cellStyle name="20% - Accent4 2 2 2 3 2 2 3" xfId="20654" xr:uid="{00000000-0005-0000-0000-0000D9220000}"/>
    <cellStyle name="20% - Accent4 2 2 2 3 2 2 4" xfId="27756" xr:uid="{00000000-0005-0000-0000-0000DA220000}"/>
    <cellStyle name="20% - Accent4 2 2 2 3 2 2 5" xfId="34858" xr:uid="{00000000-0005-0000-0000-0000DB220000}"/>
    <cellStyle name="20% - Accent4 2 2 2 3 2 2 6" xfId="37090" xr:uid="{00000000-0005-0000-0000-0000DC220000}"/>
    <cellStyle name="20% - Accent4 2 2 2 3 2 3" xfId="9293" xr:uid="{00000000-0005-0000-0000-0000DD220000}"/>
    <cellStyle name="20% - Accent4 2 2 2 3 2 4" xfId="16394" xr:uid="{00000000-0005-0000-0000-0000DE220000}"/>
    <cellStyle name="20% - Accent4 2 2 2 3 2 5" xfId="23496" xr:uid="{00000000-0005-0000-0000-0000DF220000}"/>
    <cellStyle name="20% - Accent4 2 2 2 3 2 6" xfId="30598" xr:uid="{00000000-0005-0000-0000-0000E0220000}"/>
    <cellStyle name="20% - Accent4 2 2 2 3 2 7" xfId="37091" xr:uid="{00000000-0005-0000-0000-0000E1220000}"/>
    <cellStyle name="20% - Accent4 2 2 2 3 3" xfId="5032" xr:uid="{00000000-0005-0000-0000-0000E2220000}"/>
    <cellStyle name="20% - Accent4 2 2 2 3 3 2" xfId="12133" xr:uid="{00000000-0005-0000-0000-0000E3220000}"/>
    <cellStyle name="20% - Accent4 2 2 2 3 3 2 2" xfId="37092" xr:uid="{00000000-0005-0000-0000-0000E4220000}"/>
    <cellStyle name="20% - Accent4 2 2 2 3 3 3" xfId="19234" xr:uid="{00000000-0005-0000-0000-0000E5220000}"/>
    <cellStyle name="20% - Accent4 2 2 2 3 3 4" xfId="26336" xr:uid="{00000000-0005-0000-0000-0000E6220000}"/>
    <cellStyle name="20% - Accent4 2 2 2 3 3 5" xfId="33438" xr:uid="{00000000-0005-0000-0000-0000E7220000}"/>
    <cellStyle name="20% - Accent4 2 2 2 3 3 6" xfId="37093" xr:uid="{00000000-0005-0000-0000-0000E8220000}"/>
    <cellStyle name="20% - Accent4 2 2 2 3 4" xfId="3607" xr:uid="{00000000-0005-0000-0000-0000E9220000}"/>
    <cellStyle name="20% - Accent4 2 2 2 3 4 2" xfId="10713" xr:uid="{00000000-0005-0000-0000-0000EA220000}"/>
    <cellStyle name="20% - Accent4 2 2 2 3 4 3" xfId="17814" xr:uid="{00000000-0005-0000-0000-0000EB220000}"/>
    <cellStyle name="20% - Accent4 2 2 2 3 4 4" xfId="24916" xr:uid="{00000000-0005-0000-0000-0000EC220000}"/>
    <cellStyle name="20% - Accent4 2 2 2 3 4 5" xfId="32018" xr:uid="{00000000-0005-0000-0000-0000ED220000}"/>
    <cellStyle name="20% - Accent4 2 2 2 3 4 6" xfId="37094" xr:uid="{00000000-0005-0000-0000-0000EE220000}"/>
    <cellStyle name="20% - Accent4 2 2 2 3 5" xfId="7873" xr:uid="{00000000-0005-0000-0000-0000EF220000}"/>
    <cellStyle name="20% - Accent4 2 2 2 3 6" xfId="14974" xr:uid="{00000000-0005-0000-0000-0000F0220000}"/>
    <cellStyle name="20% - Accent4 2 2 2 3 7" xfId="22076" xr:uid="{00000000-0005-0000-0000-0000F1220000}"/>
    <cellStyle name="20% - Accent4 2 2 2 3 8" xfId="29178" xr:uid="{00000000-0005-0000-0000-0000F2220000}"/>
    <cellStyle name="20% - Accent4 2 2 2 3 9" xfId="37095" xr:uid="{00000000-0005-0000-0000-0000F3220000}"/>
    <cellStyle name="20% - Accent4 2 2 2 4" xfId="907" xr:uid="{00000000-0005-0000-0000-0000F4220000}"/>
    <cellStyle name="20% - Accent4 2 2 2 4 2" xfId="2398" xr:uid="{00000000-0005-0000-0000-0000F5220000}"/>
    <cellStyle name="20% - Accent4 2 2 2 4 2 2" xfId="6666" xr:uid="{00000000-0005-0000-0000-0000F6220000}"/>
    <cellStyle name="20% - Accent4 2 2 2 4 2 2 2" xfId="13766" xr:uid="{00000000-0005-0000-0000-0000F7220000}"/>
    <cellStyle name="20% - Accent4 2 2 2 4 2 2 3" xfId="20867" xr:uid="{00000000-0005-0000-0000-0000F8220000}"/>
    <cellStyle name="20% - Accent4 2 2 2 4 2 2 4" xfId="27969" xr:uid="{00000000-0005-0000-0000-0000F9220000}"/>
    <cellStyle name="20% - Accent4 2 2 2 4 2 2 5" xfId="35071" xr:uid="{00000000-0005-0000-0000-0000FA220000}"/>
    <cellStyle name="20% - Accent4 2 2 2 4 2 2 6" xfId="37096" xr:uid="{00000000-0005-0000-0000-0000FB220000}"/>
    <cellStyle name="20% - Accent4 2 2 2 4 2 3" xfId="9506" xr:uid="{00000000-0005-0000-0000-0000FC220000}"/>
    <cellStyle name="20% - Accent4 2 2 2 4 2 4" xfId="16607" xr:uid="{00000000-0005-0000-0000-0000FD220000}"/>
    <cellStyle name="20% - Accent4 2 2 2 4 2 5" xfId="23709" xr:uid="{00000000-0005-0000-0000-0000FE220000}"/>
    <cellStyle name="20% - Accent4 2 2 2 4 2 6" xfId="30811" xr:uid="{00000000-0005-0000-0000-0000FF220000}"/>
    <cellStyle name="20% - Accent4 2 2 2 4 2 7" xfId="37097" xr:uid="{00000000-0005-0000-0000-000000230000}"/>
    <cellStyle name="20% - Accent4 2 2 2 4 3" xfId="5245" xr:uid="{00000000-0005-0000-0000-000001230000}"/>
    <cellStyle name="20% - Accent4 2 2 2 4 3 2" xfId="12346" xr:uid="{00000000-0005-0000-0000-000002230000}"/>
    <cellStyle name="20% - Accent4 2 2 2 4 3 2 2" xfId="37098" xr:uid="{00000000-0005-0000-0000-000003230000}"/>
    <cellStyle name="20% - Accent4 2 2 2 4 3 3" xfId="19447" xr:uid="{00000000-0005-0000-0000-000004230000}"/>
    <cellStyle name="20% - Accent4 2 2 2 4 3 4" xfId="26549" xr:uid="{00000000-0005-0000-0000-000005230000}"/>
    <cellStyle name="20% - Accent4 2 2 2 4 3 5" xfId="33651" xr:uid="{00000000-0005-0000-0000-000006230000}"/>
    <cellStyle name="20% - Accent4 2 2 2 4 3 6" xfId="37099" xr:uid="{00000000-0005-0000-0000-000007230000}"/>
    <cellStyle name="20% - Accent4 2 2 2 4 4" xfId="3820" xr:uid="{00000000-0005-0000-0000-000008230000}"/>
    <cellStyle name="20% - Accent4 2 2 2 4 4 2" xfId="10926" xr:uid="{00000000-0005-0000-0000-000009230000}"/>
    <cellStyle name="20% - Accent4 2 2 2 4 4 3" xfId="18027" xr:uid="{00000000-0005-0000-0000-00000A230000}"/>
    <cellStyle name="20% - Accent4 2 2 2 4 4 4" xfId="25129" xr:uid="{00000000-0005-0000-0000-00000B230000}"/>
    <cellStyle name="20% - Accent4 2 2 2 4 4 5" xfId="32231" xr:uid="{00000000-0005-0000-0000-00000C230000}"/>
    <cellStyle name="20% - Accent4 2 2 2 4 4 6" xfId="37100" xr:uid="{00000000-0005-0000-0000-00000D230000}"/>
    <cellStyle name="20% - Accent4 2 2 2 4 5" xfId="8086" xr:uid="{00000000-0005-0000-0000-00000E230000}"/>
    <cellStyle name="20% - Accent4 2 2 2 4 6" xfId="15187" xr:uid="{00000000-0005-0000-0000-00000F230000}"/>
    <cellStyle name="20% - Accent4 2 2 2 4 7" xfId="22289" xr:uid="{00000000-0005-0000-0000-000010230000}"/>
    <cellStyle name="20% - Accent4 2 2 2 4 8" xfId="29391" xr:uid="{00000000-0005-0000-0000-000011230000}"/>
    <cellStyle name="20% - Accent4 2 2 2 4 9" xfId="37101" xr:uid="{00000000-0005-0000-0000-000012230000}"/>
    <cellStyle name="20% - Accent4 2 2 2 5" xfId="1049" xr:uid="{00000000-0005-0000-0000-000013230000}"/>
    <cellStyle name="20% - Accent4 2 2 2 5 2" xfId="2540" xr:uid="{00000000-0005-0000-0000-000014230000}"/>
    <cellStyle name="20% - Accent4 2 2 2 5 2 2" xfId="6808" xr:uid="{00000000-0005-0000-0000-000015230000}"/>
    <cellStyle name="20% - Accent4 2 2 2 5 2 2 2" xfId="13908" xr:uid="{00000000-0005-0000-0000-000016230000}"/>
    <cellStyle name="20% - Accent4 2 2 2 5 2 2 3" xfId="21009" xr:uid="{00000000-0005-0000-0000-000017230000}"/>
    <cellStyle name="20% - Accent4 2 2 2 5 2 2 4" xfId="28111" xr:uid="{00000000-0005-0000-0000-000018230000}"/>
    <cellStyle name="20% - Accent4 2 2 2 5 2 2 5" xfId="35213" xr:uid="{00000000-0005-0000-0000-000019230000}"/>
    <cellStyle name="20% - Accent4 2 2 2 5 2 3" xfId="9648" xr:uid="{00000000-0005-0000-0000-00001A230000}"/>
    <cellStyle name="20% - Accent4 2 2 2 5 2 4" xfId="16749" xr:uid="{00000000-0005-0000-0000-00001B230000}"/>
    <cellStyle name="20% - Accent4 2 2 2 5 2 5" xfId="23851" xr:uid="{00000000-0005-0000-0000-00001C230000}"/>
    <cellStyle name="20% - Accent4 2 2 2 5 2 6" xfId="30953" xr:uid="{00000000-0005-0000-0000-00001D230000}"/>
    <cellStyle name="20% - Accent4 2 2 2 5 2 7" xfId="37102" xr:uid="{00000000-0005-0000-0000-00001E230000}"/>
    <cellStyle name="20% - Accent4 2 2 2 5 3" xfId="5387" xr:uid="{00000000-0005-0000-0000-00001F230000}"/>
    <cellStyle name="20% - Accent4 2 2 2 5 3 2" xfId="12488" xr:uid="{00000000-0005-0000-0000-000020230000}"/>
    <cellStyle name="20% - Accent4 2 2 2 5 3 3" xfId="19589" xr:uid="{00000000-0005-0000-0000-000021230000}"/>
    <cellStyle name="20% - Accent4 2 2 2 5 3 4" xfId="26691" xr:uid="{00000000-0005-0000-0000-000022230000}"/>
    <cellStyle name="20% - Accent4 2 2 2 5 3 5" xfId="33793" xr:uid="{00000000-0005-0000-0000-000023230000}"/>
    <cellStyle name="20% - Accent4 2 2 2 5 4" xfId="3962" xr:uid="{00000000-0005-0000-0000-000024230000}"/>
    <cellStyle name="20% - Accent4 2 2 2 5 4 2" xfId="11068" xr:uid="{00000000-0005-0000-0000-000025230000}"/>
    <cellStyle name="20% - Accent4 2 2 2 5 4 3" xfId="18169" xr:uid="{00000000-0005-0000-0000-000026230000}"/>
    <cellStyle name="20% - Accent4 2 2 2 5 4 4" xfId="25271" xr:uid="{00000000-0005-0000-0000-000027230000}"/>
    <cellStyle name="20% - Accent4 2 2 2 5 4 5" xfId="32373" xr:uid="{00000000-0005-0000-0000-000028230000}"/>
    <cellStyle name="20% - Accent4 2 2 2 5 5" xfId="8228" xr:uid="{00000000-0005-0000-0000-000029230000}"/>
    <cellStyle name="20% - Accent4 2 2 2 5 6" xfId="15329" xr:uid="{00000000-0005-0000-0000-00002A230000}"/>
    <cellStyle name="20% - Accent4 2 2 2 5 7" xfId="22431" xr:uid="{00000000-0005-0000-0000-00002B230000}"/>
    <cellStyle name="20% - Accent4 2 2 2 5 8" xfId="29533" xr:uid="{00000000-0005-0000-0000-00002C230000}"/>
    <cellStyle name="20% - Accent4 2 2 2 5 9" xfId="37103" xr:uid="{00000000-0005-0000-0000-00002D230000}"/>
    <cellStyle name="20% - Accent4 2 2 2 6" xfId="1475" xr:uid="{00000000-0005-0000-0000-00002E230000}"/>
    <cellStyle name="20% - Accent4 2 2 2 6 2" xfId="2966" xr:uid="{00000000-0005-0000-0000-00002F230000}"/>
    <cellStyle name="20% - Accent4 2 2 2 6 2 2" xfId="7234" xr:uid="{00000000-0005-0000-0000-000030230000}"/>
    <cellStyle name="20% - Accent4 2 2 2 6 2 2 2" xfId="14334" xr:uid="{00000000-0005-0000-0000-000031230000}"/>
    <cellStyle name="20% - Accent4 2 2 2 6 2 2 3" xfId="21435" xr:uid="{00000000-0005-0000-0000-000032230000}"/>
    <cellStyle name="20% - Accent4 2 2 2 6 2 2 4" xfId="28537" xr:uid="{00000000-0005-0000-0000-000033230000}"/>
    <cellStyle name="20% - Accent4 2 2 2 6 2 2 5" xfId="35639" xr:uid="{00000000-0005-0000-0000-000034230000}"/>
    <cellStyle name="20% - Accent4 2 2 2 6 2 3" xfId="10074" xr:uid="{00000000-0005-0000-0000-000035230000}"/>
    <cellStyle name="20% - Accent4 2 2 2 6 2 4" xfId="17175" xr:uid="{00000000-0005-0000-0000-000036230000}"/>
    <cellStyle name="20% - Accent4 2 2 2 6 2 5" xfId="24277" xr:uid="{00000000-0005-0000-0000-000037230000}"/>
    <cellStyle name="20% - Accent4 2 2 2 6 2 6" xfId="31379" xr:uid="{00000000-0005-0000-0000-000038230000}"/>
    <cellStyle name="20% - Accent4 2 2 2 6 2 7" xfId="37104" xr:uid="{00000000-0005-0000-0000-000039230000}"/>
    <cellStyle name="20% - Accent4 2 2 2 6 3" xfId="5813" xr:uid="{00000000-0005-0000-0000-00003A230000}"/>
    <cellStyle name="20% - Accent4 2 2 2 6 3 2" xfId="12914" xr:uid="{00000000-0005-0000-0000-00003B230000}"/>
    <cellStyle name="20% - Accent4 2 2 2 6 3 3" xfId="20015" xr:uid="{00000000-0005-0000-0000-00003C230000}"/>
    <cellStyle name="20% - Accent4 2 2 2 6 3 4" xfId="27117" xr:uid="{00000000-0005-0000-0000-00003D230000}"/>
    <cellStyle name="20% - Accent4 2 2 2 6 3 5" xfId="34219" xr:uid="{00000000-0005-0000-0000-00003E230000}"/>
    <cellStyle name="20% - Accent4 2 2 2 6 4" xfId="4388" xr:uid="{00000000-0005-0000-0000-00003F230000}"/>
    <cellStyle name="20% - Accent4 2 2 2 6 4 2" xfId="11494" xr:uid="{00000000-0005-0000-0000-000040230000}"/>
    <cellStyle name="20% - Accent4 2 2 2 6 4 3" xfId="18595" xr:uid="{00000000-0005-0000-0000-000041230000}"/>
    <cellStyle name="20% - Accent4 2 2 2 6 4 4" xfId="25697" xr:uid="{00000000-0005-0000-0000-000042230000}"/>
    <cellStyle name="20% - Accent4 2 2 2 6 4 5" xfId="32799" xr:uid="{00000000-0005-0000-0000-000043230000}"/>
    <cellStyle name="20% - Accent4 2 2 2 6 5" xfId="8654" xr:uid="{00000000-0005-0000-0000-000044230000}"/>
    <cellStyle name="20% - Accent4 2 2 2 6 6" xfId="15755" xr:uid="{00000000-0005-0000-0000-000045230000}"/>
    <cellStyle name="20% - Accent4 2 2 2 6 7" xfId="22857" xr:uid="{00000000-0005-0000-0000-000046230000}"/>
    <cellStyle name="20% - Accent4 2 2 2 6 8" xfId="29959" xr:uid="{00000000-0005-0000-0000-000047230000}"/>
    <cellStyle name="20% - Accent4 2 2 2 6 9" xfId="37105" xr:uid="{00000000-0005-0000-0000-000048230000}"/>
    <cellStyle name="20% - Accent4 2 2 2 7" xfId="1759" xr:uid="{00000000-0005-0000-0000-000049230000}"/>
    <cellStyle name="20% - Accent4 2 2 2 7 2" xfId="6027" xr:uid="{00000000-0005-0000-0000-00004A230000}"/>
    <cellStyle name="20% - Accent4 2 2 2 7 2 2" xfId="13127" xr:uid="{00000000-0005-0000-0000-00004B230000}"/>
    <cellStyle name="20% - Accent4 2 2 2 7 2 3" xfId="20228" xr:uid="{00000000-0005-0000-0000-00004C230000}"/>
    <cellStyle name="20% - Accent4 2 2 2 7 2 4" xfId="27330" xr:uid="{00000000-0005-0000-0000-00004D230000}"/>
    <cellStyle name="20% - Accent4 2 2 2 7 2 5" xfId="34432" xr:uid="{00000000-0005-0000-0000-00004E230000}"/>
    <cellStyle name="20% - Accent4 2 2 2 7 3" xfId="8867" xr:uid="{00000000-0005-0000-0000-00004F230000}"/>
    <cellStyle name="20% - Accent4 2 2 2 7 4" xfId="15968" xr:uid="{00000000-0005-0000-0000-000050230000}"/>
    <cellStyle name="20% - Accent4 2 2 2 7 5" xfId="23070" xr:uid="{00000000-0005-0000-0000-000051230000}"/>
    <cellStyle name="20% - Accent4 2 2 2 7 6" xfId="30172" xr:uid="{00000000-0005-0000-0000-000052230000}"/>
    <cellStyle name="20% - Accent4 2 2 2 7 7" xfId="37106" xr:uid="{00000000-0005-0000-0000-000053230000}"/>
    <cellStyle name="20% - Accent4 2 2 2 8" xfId="4606" xr:uid="{00000000-0005-0000-0000-000054230000}"/>
    <cellStyle name="20% - Accent4 2 2 2 8 2" xfId="11707" xr:uid="{00000000-0005-0000-0000-000055230000}"/>
    <cellStyle name="20% - Accent4 2 2 2 8 3" xfId="18808" xr:uid="{00000000-0005-0000-0000-000056230000}"/>
    <cellStyle name="20% - Accent4 2 2 2 8 4" xfId="25910" xr:uid="{00000000-0005-0000-0000-000057230000}"/>
    <cellStyle name="20% - Accent4 2 2 2 8 5" xfId="33012" xr:uid="{00000000-0005-0000-0000-000058230000}"/>
    <cellStyle name="20% - Accent4 2 2 2 9" xfId="3181" xr:uid="{00000000-0005-0000-0000-000059230000}"/>
    <cellStyle name="20% - Accent4 2 2 2 9 2" xfId="10287" xr:uid="{00000000-0005-0000-0000-00005A230000}"/>
    <cellStyle name="20% - Accent4 2 2 2 9 3" xfId="17388" xr:uid="{00000000-0005-0000-0000-00005B230000}"/>
    <cellStyle name="20% - Accent4 2 2 2 9 4" xfId="24490" xr:uid="{00000000-0005-0000-0000-00005C230000}"/>
    <cellStyle name="20% - Accent4 2 2 2 9 5" xfId="31592" xr:uid="{00000000-0005-0000-0000-00005D230000}"/>
    <cellStyle name="20% - Accent4 2 2 3" xfId="197" xr:uid="{00000000-0005-0000-0000-00005E230000}"/>
    <cellStyle name="20% - Accent4 2 2 3 10" xfId="7376" xr:uid="{00000000-0005-0000-0000-00005F230000}"/>
    <cellStyle name="20% - Accent4 2 2 3 11" xfId="14477" xr:uid="{00000000-0005-0000-0000-000060230000}"/>
    <cellStyle name="20% - Accent4 2 2 3 12" xfId="21579" xr:uid="{00000000-0005-0000-0000-000061230000}"/>
    <cellStyle name="20% - Accent4 2 2 3 13" xfId="28681" xr:uid="{00000000-0005-0000-0000-000062230000}"/>
    <cellStyle name="20% - Accent4 2 2 3 14" xfId="35783" xr:uid="{00000000-0005-0000-0000-000063230000}"/>
    <cellStyle name="20% - Accent4 2 2 3 15" xfId="37107" xr:uid="{00000000-0005-0000-0000-000064230000}"/>
    <cellStyle name="20% - Accent4 2 2 3 2" xfId="410" xr:uid="{00000000-0005-0000-0000-000065230000}"/>
    <cellStyle name="20% - Accent4 2 2 3 2 2" xfId="1901" xr:uid="{00000000-0005-0000-0000-000066230000}"/>
    <cellStyle name="20% - Accent4 2 2 3 2 2 2" xfId="6169" xr:uid="{00000000-0005-0000-0000-000067230000}"/>
    <cellStyle name="20% - Accent4 2 2 3 2 2 2 2" xfId="13269" xr:uid="{00000000-0005-0000-0000-000068230000}"/>
    <cellStyle name="20% - Accent4 2 2 3 2 2 2 3" xfId="20370" xr:uid="{00000000-0005-0000-0000-000069230000}"/>
    <cellStyle name="20% - Accent4 2 2 3 2 2 2 4" xfId="27472" xr:uid="{00000000-0005-0000-0000-00006A230000}"/>
    <cellStyle name="20% - Accent4 2 2 3 2 2 2 5" xfId="34574" xr:uid="{00000000-0005-0000-0000-00006B230000}"/>
    <cellStyle name="20% - Accent4 2 2 3 2 2 2 6" xfId="37108" xr:uid="{00000000-0005-0000-0000-00006C230000}"/>
    <cellStyle name="20% - Accent4 2 2 3 2 2 3" xfId="9009" xr:uid="{00000000-0005-0000-0000-00006D230000}"/>
    <cellStyle name="20% - Accent4 2 2 3 2 2 4" xfId="16110" xr:uid="{00000000-0005-0000-0000-00006E230000}"/>
    <cellStyle name="20% - Accent4 2 2 3 2 2 5" xfId="23212" xr:uid="{00000000-0005-0000-0000-00006F230000}"/>
    <cellStyle name="20% - Accent4 2 2 3 2 2 6" xfId="30314" xr:uid="{00000000-0005-0000-0000-000070230000}"/>
    <cellStyle name="20% - Accent4 2 2 3 2 2 7" xfId="37109" xr:uid="{00000000-0005-0000-0000-000071230000}"/>
    <cellStyle name="20% - Accent4 2 2 3 2 3" xfId="4748" xr:uid="{00000000-0005-0000-0000-000072230000}"/>
    <cellStyle name="20% - Accent4 2 2 3 2 3 2" xfId="11849" xr:uid="{00000000-0005-0000-0000-000073230000}"/>
    <cellStyle name="20% - Accent4 2 2 3 2 3 2 2" xfId="37110" xr:uid="{00000000-0005-0000-0000-000074230000}"/>
    <cellStyle name="20% - Accent4 2 2 3 2 3 3" xfId="18950" xr:uid="{00000000-0005-0000-0000-000075230000}"/>
    <cellStyle name="20% - Accent4 2 2 3 2 3 4" xfId="26052" xr:uid="{00000000-0005-0000-0000-000076230000}"/>
    <cellStyle name="20% - Accent4 2 2 3 2 3 5" xfId="33154" xr:uid="{00000000-0005-0000-0000-000077230000}"/>
    <cellStyle name="20% - Accent4 2 2 3 2 3 6" xfId="37111" xr:uid="{00000000-0005-0000-0000-000078230000}"/>
    <cellStyle name="20% - Accent4 2 2 3 2 4" xfId="3323" xr:uid="{00000000-0005-0000-0000-000079230000}"/>
    <cellStyle name="20% - Accent4 2 2 3 2 4 2" xfId="10429" xr:uid="{00000000-0005-0000-0000-00007A230000}"/>
    <cellStyle name="20% - Accent4 2 2 3 2 4 3" xfId="17530" xr:uid="{00000000-0005-0000-0000-00007B230000}"/>
    <cellStyle name="20% - Accent4 2 2 3 2 4 4" xfId="24632" xr:uid="{00000000-0005-0000-0000-00007C230000}"/>
    <cellStyle name="20% - Accent4 2 2 3 2 4 5" xfId="31734" xr:uid="{00000000-0005-0000-0000-00007D230000}"/>
    <cellStyle name="20% - Accent4 2 2 3 2 4 6" xfId="37112" xr:uid="{00000000-0005-0000-0000-00007E230000}"/>
    <cellStyle name="20% - Accent4 2 2 3 2 5" xfId="7589" xr:uid="{00000000-0005-0000-0000-00007F230000}"/>
    <cellStyle name="20% - Accent4 2 2 3 2 6" xfId="14690" xr:uid="{00000000-0005-0000-0000-000080230000}"/>
    <cellStyle name="20% - Accent4 2 2 3 2 7" xfId="21792" xr:uid="{00000000-0005-0000-0000-000081230000}"/>
    <cellStyle name="20% - Accent4 2 2 3 2 8" xfId="28894" xr:uid="{00000000-0005-0000-0000-000082230000}"/>
    <cellStyle name="20% - Accent4 2 2 3 2 9" xfId="37113" xr:uid="{00000000-0005-0000-0000-000083230000}"/>
    <cellStyle name="20% - Accent4 2 2 3 3" xfId="623" xr:uid="{00000000-0005-0000-0000-000084230000}"/>
    <cellStyle name="20% - Accent4 2 2 3 3 2" xfId="2114" xr:uid="{00000000-0005-0000-0000-000085230000}"/>
    <cellStyle name="20% - Accent4 2 2 3 3 2 2" xfId="6382" xr:uid="{00000000-0005-0000-0000-000086230000}"/>
    <cellStyle name="20% - Accent4 2 2 3 3 2 2 2" xfId="13482" xr:uid="{00000000-0005-0000-0000-000087230000}"/>
    <cellStyle name="20% - Accent4 2 2 3 3 2 2 3" xfId="20583" xr:uid="{00000000-0005-0000-0000-000088230000}"/>
    <cellStyle name="20% - Accent4 2 2 3 3 2 2 4" xfId="27685" xr:uid="{00000000-0005-0000-0000-000089230000}"/>
    <cellStyle name="20% - Accent4 2 2 3 3 2 2 5" xfId="34787" xr:uid="{00000000-0005-0000-0000-00008A230000}"/>
    <cellStyle name="20% - Accent4 2 2 3 3 2 2 6" xfId="37114" xr:uid="{00000000-0005-0000-0000-00008B230000}"/>
    <cellStyle name="20% - Accent4 2 2 3 3 2 3" xfId="9222" xr:uid="{00000000-0005-0000-0000-00008C230000}"/>
    <cellStyle name="20% - Accent4 2 2 3 3 2 4" xfId="16323" xr:uid="{00000000-0005-0000-0000-00008D230000}"/>
    <cellStyle name="20% - Accent4 2 2 3 3 2 5" xfId="23425" xr:uid="{00000000-0005-0000-0000-00008E230000}"/>
    <cellStyle name="20% - Accent4 2 2 3 3 2 6" xfId="30527" xr:uid="{00000000-0005-0000-0000-00008F230000}"/>
    <cellStyle name="20% - Accent4 2 2 3 3 2 7" xfId="37115" xr:uid="{00000000-0005-0000-0000-000090230000}"/>
    <cellStyle name="20% - Accent4 2 2 3 3 3" xfId="4961" xr:uid="{00000000-0005-0000-0000-000091230000}"/>
    <cellStyle name="20% - Accent4 2 2 3 3 3 2" xfId="12062" xr:uid="{00000000-0005-0000-0000-000092230000}"/>
    <cellStyle name="20% - Accent4 2 2 3 3 3 2 2" xfId="37116" xr:uid="{00000000-0005-0000-0000-000093230000}"/>
    <cellStyle name="20% - Accent4 2 2 3 3 3 3" xfId="19163" xr:uid="{00000000-0005-0000-0000-000094230000}"/>
    <cellStyle name="20% - Accent4 2 2 3 3 3 4" xfId="26265" xr:uid="{00000000-0005-0000-0000-000095230000}"/>
    <cellStyle name="20% - Accent4 2 2 3 3 3 5" xfId="33367" xr:uid="{00000000-0005-0000-0000-000096230000}"/>
    <cellStyle name="20% - Accent4 2 2 3 3 3 6" xfId="37117" xr:uid="{00000000-0005-0000-0000-000097230000}"/>
    <cellStyle name="20% - Accent4 2 2 3 3 4" xfId="3536" xr:uid="{00000000-0005-0000-0000-000098230000}"/>
    <cellStyle name="20% - Accent4 2 2 3 3 4 2" xfId="10642" xr:uid="{00000000-0005-0000-0000-000099230000}"/>
    <cellStyle name="20% - Accent4 2 2 3 3 4 3" xfId="17743" xr:uid="{00000000-0005-0000-0000-00009A230000}"/>
    <cellStyle name="20% - Accent4 2 2 3 3 4 4" xfId="24845" xr:uid="{00000000-0005-0000-0000-00009B230000}"/>
    <cellStyle name="20% - Accent4 2 2 3 3 4 5" xfId="31947" xr:uid="{00000000-0005-0000-0000-00009C230000}"/>
    <cellStyle name="20% - Accent4 2 2 3 3 4 6" xfId="37118" xr:uid="{00000000-0005-0000-0000-00009D230000}"/>
    <cellStyle name="20% - Accent4 2 2 3 3 5" xfId="7802" xr:uid="{00000000-0005-0000-0000-00009E230000}"/>
    <cellStyle name="20% - Accent4 2 2 3 3 6" xfId="14903" xr:uid="{00000000-0005-0000-0000-00009F230000}"/>
    <cellStyle name="20% - Accent4 2 2 3 3 7" xfId="22005" xr:uid="{00000000-0005-0000-0000-0000A0230000}"/>
    <cellStyle name="20% - Accent4 2 2 3 3 8" xfId="29107" xr:uid="{00000000-0005-0000-0000-0000A1230000}"/>
    <cellStyle name="20% - Accent4 2 2 3 3 9" xfId="37119" xr:uid="{00000000-0005-0000-0000-0000A2230000}"/>
    <cellStyle name="20% - Accent4 2 2 3 4" xfId="836" xr:uid="{00000000-0005-0000-0000-0000A3230000}"/>
    <cellStyle name="20% - Accent4 2 2 3 4 2" xfId="2327" xr:uid="{00000000-0005-0000-0000-0000A4230000}"/>
    <cellStyle name="20% - Accent4 2 2 3 4 2 2" xfId="6595" xr:uid="{00000000-0005-0000-0000-0000A5230000}"/>
    <cellStyle name="20% - Accent4 2 2 3 4 2 2 2" xfId="13695" xr:uid="{00000000-0005-0000-0000-0000A6230000}"/>
    <cellStyle name="20% - Accent4 2 2 3 4 2 2 3" xfId="20796" xr:uid="{00000000-0005-0000-0000-0000A7230000}"/>
    <cellStyle name="20% - Accent4 2 2 3 4 2 2 4" xfId="27898" xr:uid="{00000000-0005-0000-0000-0000A8230000}"/>
    <cellStyle name="20% - Accent4 2 2 3 4 2 2 5" xfId="35000" xr:uid="{00000000-0005-0000-0000-0000A9230000}"/>
    <cellStyle name="20% - Accent4 2 2 3 4 2 2 6" xfId="37120" xr:uid="{00000000-0005-0000-0000-0000AA230000}"/>
    <cellStyle name="20% - Accent4 2 2 3 4 2 3" xfId="9435" xr:uid="{00000000-0005-0000-0000-0000AB230000}"/>
    <cellStyle name="20% - Accent4 2 2 3 4 2 4" xfId="16536" xr:uid="{00000000-0005-0000-0000-0000AC230000}"/>
    <cellStyle name="20% - Accent4 2 2 3 4 2 5" xfId="23638" xr:uid="{00000000-0005-0000-0000-0000AD230000}"/>
    <cellStyle name="20% - Accent4 2 2 3 4 2 6" xfId="30740" xr:uid="{00000000-0005-0000-0000-0000AE230000}"/>
    <cellStyle name="20% - Accent4 2 2 3 4 2 7" xfId="37121" xr:uid="{00000000-0005-0000-0000-0000AF230000}"/>
    <cellStyle name="20% - Accent4 2 2 3 4 3" xfId="5174" xr:uid="{00000000-0005-0000-0000-0000B0230000}"/>
    <cellStyle name="20% - Accent4 2 2 3 4 3 2" xfId="12275" xr:uid="{00000000-0005-0000-0000-0000B1230000}"/>
    <cellStyle name="20% - Accent4 2 2 3 4 3 2 2" xfId="37122" xr:uid="{00000000-0005-0000-0000-0000B2230000}"/>
    <cellStyle name="20% - Accent4 2 2 3 4 3 3" xfId="19376" xr:uid="{00000000-0005-0000-0000-0000B3230000}"/>
    <cellStyle name="20% - Accent4 2 2 3 4 3 4" xfId="26478" xr:uid="{00000000-0005-0000-0000-0000B4230000}"/>
    <cellStyle name="20% - Accent4 2 2 3 4 3 5" xfId="33580" xr:uid="{00000000-0005-0000-0000-0000B5230000}"/>
    <cellStyle name="20% - Accent4 2 2 3 4 3 6" xfId="37123" xr:uid="{00000000-0005-0000-0000-0000B6230000}"/>
    <cellStyle name="20% - Accent4 2 2 3 4 4" xfId="3749" xr:uid="{00000000-0005-0000-0000-0000B7230000}"/>
    <cellStyle name="20% - Accent4 2 2 3 4 4 2" xfId="10855" xr:uid="{00000000-0005-0000-0000-0000B8230000}"/>
    <cellStyle name="20% - Accent4 2 2 3 4 4 3" xfId="17956" xr:uid="{00000000-0005-0000-0000-0000B9230000}"/>
    <cellStyle name="20% - Accent4 2 2 3 4 4 4" xfId="25058" xr:uid="{00000000-0005-0000-0000-0000BA230000}"/>
    <cellStyle name="20% - Accent4 2 2 3 4 4 5" xfId="32160" xr:uid="{00000000-0005-0000-0000-0000BB230000}"/>
    <cellStyle name="20% - Accent4 2 2 3 4 4 6" xfId="37124" xr:uid="{00000000-0005-0000-0000-0000BC230000}"/>
    <cellStyle name="20% - Accent4 2 2 3 4 5" xfId="8015" xr:uid="{00000000-0005-0000-0000-0000BD230000}"/>
    <cellStyle name="20% - Accent4 2 2 3 4 6" xfId="15116" xr:uid="{00000000-0005-0000-0000-0000BE230000}"/>
    <cellStyle name="20% - Accent4 2 2 3 4 7" xfId="22218" xr:uid="{00000000-0005-0000-0000-0000BF230000}"/>
    <cellStyle name="20% - Accent4 2 2 3 4 8" xfId="29320" xr:uid="{00000000-0005-0000-0000-0000C0230000}"/>
    <cellStyle name="20% - Accent4 2 2 3 4 9" xfId="37125" xr:uid="{00000000-0005-0000-0000-0000C1230000}"/>
    <cellStyle name="20% - Accent4 2 2 3 5" xfId="1191" xr:uid="{00000000-0005-0000-0000-0000C2230000}"/>
    <cellStyle name="20% - Accent4 2 2 3 5 2" xfId="2682" xr:uid="{00000000-0005-0000-0000-0000C3230000}"/>
    <cellStyle name="20% - Accent4 2 2 3 5 2 2" xfId="6950" xr:uid="{00000000-0005-0000-0000-0000C4230000}"/>
    <cellStyle name="20% - Accent4 2 2 3 5 2 2 2" xfId="14050" xr:uid="{00000000-0005-0000-0000-0000C5230000}"/>
    <cellStyle name="20% - Accent4 2 2 3 5 2 2 3" xfId="21151" xr:uid="{00000000-0005-0000-0000-0000C6230000}"/>
    <cellStyle name="20% - Accent4 2 2 3 5 2 2 4" xfId="28253" xr:uid="{00000000-0005-0000-0000-0000C7230000}"/>
    <cellStyle name="20% - Accent4 2 2 3 5 2 2 5" xfId="35355" xr:uid="{00000000-0005-0000-0000-0000C8230000}"/>
    <cellStyle name="20% - Accent4 2 2 3 5 2 3" xfId="9790" xr:uid="{00000000-0005-0000-0000-0000C9230000}"/>
    <cellStyle name="20% - Accent4 2 2 3 5 2 4" xfId="16891" xr:uid="{00000000-0005-0000-0000-0000CA230000}"/>
    <cellStyle name="20% - Accent4 2 2 3 5 2 5" xfId="23993" xr:uid="{00000000-0005-0000-0000-0000CB230000}"/>
    <cellStyle name="20% - Accent4 2 2 3 5 2 6" xfId="31095" xr:uid="{00000000-0005-0000-0000-0000CC230000}"/>
    <cellStyle name="20% - Accent4 2 2 3 5 2 7" xfId="37126" xr:uid="{00000000-0005-0000-0000-0000CD230000}"/>
    <cellStyle name="20% - Accent4 2 2 3 5 3" xfId="5529" xr:uid="{00000000-0005-0000-0000-0000CE230000}"/>
    <cellStyle name="20% - Accent4 2 2 3 5 3 2" xfId="12630" xr:uid="{00000000-0005-0000-0000-0000CF230000}"/>
    <cellStyle name="20% - Accent4 2 2 3 5 3 3" xfId="19731" xr:uid="{00000000-0005-0000-0000-0000D0230000}"/>
    <cellStyle name="20% - Accent4 2 2 3 5 3 4" xfId="26833" xr:uid="{00000000-0005-0000-0000-0000D1230000}"/>
    <cellStyle name="20% - Accent4 2 2 3 5 3 5" xfId="33935" xr:uid="{00000000-0005-0000-0000-0000D2230000}"/>
    <cellStyle name="20% - Accent4 2 2 3 5 4" xfId="4104" xr:uid="{00000000-0005-0000-0000-0000D3230000}"/>
    <cellStyle name="20% - Accent4 2 2 3 5 4 2" xfId="11210" xr:uid="{00000000-0005-0000-0000-0000D4230000}"/>
    <cellStyle name="20% - Accent4 2 2 3 5 4 3" xfId="18311" xr:uid="{00000000-0005-0000-0000-0000D5230000}"/>
    <cellStyle name="20% - Accent4 2 2 3 5 4 4" xfId="25413" xr:uid="{00000000-0005-0000-0000-0000D6230000}"/>
    <cellStyle name="20% - Accent4 2 2 3 5 4 5" xfId="32515" xr:uid="{00000000-0005-0000-0000-0000D7230000}"/>
    <cellStyle name="20% - Accent4 2 2 3 5 5" xfId="8370" xr:uid="{00000000-0005-0000-0000-0000D8230000}"/>
    <cellStyle name="20% - Accent4 2 2 3 5 6" xfId="15471" xr:uid="{00000000-0005-0000-0000-0000D9230000}"/>
    <cellStyle name="20% - Accent4 2 2 3 5 7" xfId="22573" xr:uid="{00000000-0005-0000-0000-0000DA230000}"/>
    <cellStyle name="20% - Accent4 2 2 3 5 8" xfId="29675" xr:uid="{00000000-0005-0000-0000-0000DB230000}"/>
    <cellStyle name="20% - Accent4 2 2 3 5 9" xfId="37127" xr:uid="{00000000-0005-0000-0000-0000DC230000}"/>
    <cellStyle name="20% - Accent4 2 2 3 6" xfId="1404" xr:uid="{00000000-0005-0000-0000-0000DD230000}"/>
    <cellStyle name="20% - Accent4 2 2 3 6 2" xfId="2895" xr:uid="{00000000-0005-0000-0000-0000DE230000}"/>
    <cellStyle name="20% - Accent4 2 2 3 6 2 2" xfId="7163" xr:uid="{00000000-0005-0000-0000-0000DF230000}"/>
    <cellStyle name="20% - Accent4 2 2 3 6 2 2 2" xfId="14263" xr:uid="{00000000-0005-0000-0000-0000E0230000}"/>
    <cellStyle name="20% - Accent4 2 2 3 6 2 2 3" xfId="21364" xr:uid="{00000000-0005-0000-0000-0000E1230000}"/>
    <cellStyle name="20% - Accent4 2 2 3 6 2 2 4" xfId="28466" xr:uid="{00000000-0005-0000-0000-0000E2230000}"/>
    <cellStyle name="20% - Accent4 2 2 3 6 2 2 5" xfId="35568" xr:uid="{00000000-0005-0000-0000-0000E3230000}"/>
    <cellStyle name="20% - Accent4 2 2 3 6 2 3" xfId="10003" xr:uid="{00000000-0005-0000-0000-0000E4230000}"/>
    <cellStyle name="20% - Accent4 2 2 3 6 2 4" xfId="17104" xr:uid="{00000000-0005-0000-0000-0000E5230000}"/>
    <cellStyle name="20% - Accent4 2 2 3 6 2 5" xfId="24206" xr:uid="{00000000-0005-0000-0000-0000E6230000}"/>
    <cellStyle name="20% - Accent4 2 2 3 6 2 6" xfId="31308" xr:uid="{00000000-0005-0000-0000-0000E7230000}"/>
    <cellStyle name="20% - Accent4 2 2 3 6 2 7" xfId="37128" xr:uid="{00000000-0005-0000-0000-0000E8230000}"/>
    <cellStyle name="20% - Accent4 2 2 3 6 3" xfId="5742" xr:uid="{00000000-0005-0000-0000-0000E9230000}"/>
    <cellStyle name="20% - Accent4 2 2 3 6 3 2" xfId="12843" xr:uid="{00000000-0005-0000-0000-0000EA230000}"/>
    <cellStyle name="20% - Accent4 2 2 3 6 3 3" xfId="19944" xr:uid="{00000000-0005-0000-0000-0000EB230000}"/>
    <cellStyle name="20% - Accent4 2 2 3 6 3 4" xfId="27046" xr:uid="{00000000-0005-0000-0000-0000EC230000}"/>
    <cellStyle name="20% - Accent4 2 2 3 6 3 5" xfId="34148" xr:uid="{00000000-0005-0000-0000-0000ED230000}"/>
    <cellStyle name="20% - Accent4 2 2 3 6 4" xfId="4317" xr:uid="{00000000-0005-0000-0000-0000EE230000}"/>
    <cellStyle name="20% - Accent4 2 2 3 6 4 2" xfId="11423" xr:uid="{00000000-0005-0000-0000-0000EF230000}"/>
    <cellStyle name="20% - Accent4 2 2 3 6 4 3" xfId="18524" xr:uid="{00000000-0005-0000-0000-0000F0230000}"/>
    <cellStyle name="20% - Accent4 2 2 3 6 4 4" xfId="25626" xr:uid="{00000000-0005-0000-0000-0000F1230000}"/>
    <cellStyle name="20% - Accent4 2 2 3 6 4 5" xfId="32728" xr:uid="{00000000-0005-0000-0000-0000F2230000}"/>
    <cellStyle name="20% - Accent4 2 2 3 6 5" xfId="8583" xr:uid="{00000000-0005-0000-0000-0000F3230000}"/>
    <cellStyle name="20% - Accent4 2 2 3 6 6" xfId="15684" xr:uid="{00000000-0005-0000-0000-0000F4230000}"/>
    <cellStyle name="20% - Accent4 2 2 3 6 7" xfId="22786" xr:uid="{00000000-0005-0000-0000-0000F5230000}"/>
    <cellStyle name="20% - Accent4 2 2 3 6 8" xfId="29888" xr:uid="{00000000-0005-0000-0000-0000F6230000}"/>
    <cellStyle name="20% - Accent4 2 2 3 6 9" xfId="37129" xr:uid="{00000000-0005-0000-0000-0000F7230000}"/>
    <cellStyle name="20% - Accent4 2 2 3 7" xfId="1688" xr:uid="{00000000-0005-0000-0000-0000F8230000}"/>
    <cellStyle name="20% - Accent4 2 2 3 7 2" xfId="5956" xr:uid="{00000000-0005-0000-0000-0000F9230000}"/>
    <cellStyle name="20% - Accent4 2 2 3 7 2 2" xfId="13056" xr:uid="{00000000-0005-0000-0000-0000FA230000}"/>
    <cellStyle name="20% - Accent4 2 2 3 7 2 3" xfId="20157" xr:uid="{00000000-0005-0000-0000-0000FB230000}"/>
    <cellStyle name="20% - Accent4 2 2 3 7 2 4" xfId="27259" xr:uid="{00000000-0005-0000-0000-0000FC230000}"/>
    <cellStyle name="20% - Accent4 2 2 3 7 2 5" xfId="34361" xr:uid="{00000000-0005-0000-0000-0000FD230000}"/>
    <cellStyle name="20% - Accent4 2 2 3 7 3" xfId="8796" xr:uid="{00000000-0005-0000-0000-0000FE230000}"/>
    <cellStyle name="20% - Accent4 2 2 3 7 4" xfId="15897" xr:uid="{00000000-0005-0000-0000-0000FF230000}"/>
    <cellStyle name="20% - Accent4 2 2 3 7 5" xfId="22999" xr:uid="{00000000-0005-0000-0000-000000240000}"/>
    <cellStyle name="20% - Accent4 2 2 3 7 6" xfId="30101" xr:uid="{00000000-0005-0000-0000-000001240000}"/>
    <cellStyle name="20% - Accent4 2 2 3 7 7" xfId="37130" xr:uid="{00000000-0005-0000-0000-000002240000}"/>
    <cellStyle name="20% - Accent4 2 2 3 8" xfId="4535" xr:uid="{00000000-0005-0000-0000-000003240000}"/>
    <cellStyle name="20% - Accent4 2 2 3 8 2" xfId="11636" xr:uid="{00000000-0005-0000-0000-000004240000}"/>
    <cellStyle name="20% - Accent4 2 2 3 8 3" xfId="18737" xr:uid="{00000000-0005-0000-0000-000005240000}"/>
    <cellStyle name="20% - Accent4 2 2 3 8 4" xfId="25839" xr:uid="{00000000-0005-0000-0000-000006240000}"/>
    <cellStyle name="20% - Accent4 2 2 3 8 5" xfId="32941" xr:uid="{00000000-0005-0000-0000-000007240000}"/>
    <cellStyle name="20% - Accent4 2 2 3 9" xfId="3110" xr:uid="{00000000-0005-0000-0000-000008240000}"/>
    <cellStyle name="20% - Accent4 2 2 3 9 2" xfId="10216" xr:uid="{00000000-0005-0000-0000-000009240000}"/>
    <cellStyle name="20% - Accent4 2 2 3 9 3" xfId="17317" xr:uid="{00000000-0005-0000-0000-00000A240000}"/>
    <cellStyle name="20% - Accent4 2 2 3 9 4" xfId="24419" xr:uid="{00000000-0005-0000-0000-00000B240000}"/>
    <cellStyle name="20% - Accent4 2 2 3 9 5" xfId="31521" xr:uid="{00000000-0005-0000-0000-00000C240000}"/>
    <cellStyle name="20% - Accent4 2 2 4" xfId="339" xr:uid="{00000000-0005-0000-0000-00000D240000}"/>
    <cellStyle name="20% - Accent4 2 2 4 10" xfId="37131" xr:uid="{00000000-0005-0000-0000-00000E240000}"/>
    <cellStyle name="20% - Accent4 2 2 4 2" xfId="1120" xr:uid="{00000000-0005-0000-0000-00000F240000}"/>
    <cellStyle name="20% - Accent4 2 2 4 2 2" xfId="2611" xr:uid="{00000000-0005-0000-0000-000010240000}"/>
    <cellStyle name="20% - Accent4 2 2 4 2 2 2" xfId="6879" xr:uid="{00000000-0005-0000-0000-000011240000}"/>
    <cellStyle name="20% - Accent4 2 2 4 2 2 2 2" xfId="13979" xr:uid="{00000000-0005-0000-0000-000012240000}"/>
    <cellStyle name="20% - Accent4 2 2 4 2 2 2 3" xfId="21080" xr:uid="{00000000-0005-0000-0000-000013240000}"/>
    <cellStyle name="20% - Accent4 2 2 4 2 2 2 4" xfId="28182" xr:uid="{00000000-0005-0000-0000-000014240000}"/>
    <cellStyle name="20% - Accent4 2 2 4 2 2 2 5" xfId="35284" xr:uid="{00000000-0005-0000-0000-000015240000}"/>
    <cellStyle name="20% - Accent4 2 2 4 2 2 3" xfId="9719" xr:uid="{00000000-0005-0000-0000-000016240000}"/>
    <cellStyle name="20% - Accent4 2 2 4 2 2 4" xfId="16820" xr:uid="{00000000-0005-0000-0000-000017240000}"/>
    <cellStyle name="20% - Accent4 2 2 4 2 2 5" xfId="23922" xr:uid="{00000000-0005-0000-0000-000018240000}"/>
    <cellStyle name="20% - Accent4 2 2 4 2 2 6" xfId="31024" xr:uid="{00000000-0005-0000-0000-000019240000}"/>
    <cellStyle name="20% - Accent4 2 2 4 2 2 7" xfId="37132" xr:uid="{00000000-0005-0000-0000-00001A240000}"/>
    <cellStyle name="20% - Accent4 2 2 4 2 3" xfId="5458" xr:uid="{00000000-0005-0000-0000-00001B240000}"/>
    <cellStyle name="20% - Accent4 2 2 4 2 3 2" xfId="12559" xr:uid="{00000000-0005-0000-0000-00001C240000}"/>
    <cellStyle name="20% - Accent4 2 2 4 2 3 3" xfId="19660" xr:uid="{00000000-0005-0000-0000-00001D240000}"/>
    <cellStyle name="20% - Accent4 2 2 4 2 3 4" xfId="26762" xr:uid="{00000000-0005-0000-0000-00001E240000}"/>
    <cellStyle name="20% - Accent4 2 2 4 2 3 5" xfId="33864" xr:uid="{00000000-0005-0000-0000-00001F240000}"/>
    <cellStyle name="20% - Accent4 2 2 4 2 4" xfId="4033" xr:uid="{00000000-0005-0000-0000-000020240000}"/>
    <cellStyle name="20% - Accent4 2 2 4 2 4 2" xfId="11139" xr:uid="{00000000-0005-0000-0000-000021240000}"/>
    <cellStyle name="20% - Accent4 2 2 4 2 4 3" xfId="18240" xr:uid="{00000000-0005-0000-0000-000022240000}"/>
    <cellStyle name="20% - Accent4 2 2 4 2 4 4" xfId="25342" xr:uid="{00000000-0005-0000-0000-000023240000}"/>
    <cellStyle name="20% - Accent4 2 2 4 2 4 5" xfId="32444" xr:uid="{00000000-0005-0000-0000-000024240000}"/>
    <cellStyle name="20% - Accent4 2 2 4 2 5" xfId="8299" xr:uid="{00000000-0005-0000-0000-000025240000}"/>
    <cellStyle name="20% - Accent4 2 2 4 2 6" xfId="15400" xr:uid="{00000000-0005-0000-0000-000026240000}"/>
    <cellStyle name="20% - Accent4 2 2 4 2 7" xfId="22502" xr:uid="{00000000-0005-0000-0000-000027240000}"/>
    <cellStyle name="20% - Accent4 2 2 4 2 8" xfId="29604" xr:uid="{00000000-0005-0000-0000-000028240000}"/>
    <cellStyle name="20% - Accent4 2 2 4 2 9" xfId="37133" xr:uid="{00000000-0005-0000-0000-000029240000}"/>
    <cellStyle name="20% - Accent4 2 2 4 3" xfId="1830" xr:uid="{00000000-0005-0000-0000-00002A240000}"/>
    <cellStyle name="20% - Accent4 2 2 4 3 2" xfId="6098" xr:uid="{00000000-0005-0000-0000-00002B240000}"/>
    <cellStyle name="20% - Accent4 2 2 4 3 2 2" xfId="13198" xr:uid="{00000000-0005-0000-0000-00002C240000}"/>
    <cellStyle name="20% - Accent4 2 2 4 3 2 3" xfId="20299" xr:uid="{00000000-0005-0000-0000-00002D240000}"/>
    <cellStyle name="20% - Accent4 2 2 4 3 2 4" xfId="27401" xr:uid="{00000000-0005-0000-0000-00002E240000}"/>
    <cellStyle name="20% - Accent4 2 2 4 3 2 5" xfId="34503" xr:uid="{00000000-0005-0000-0000-00002F240000}"/>
    <cellStyle name="20% - Accent4 2 2 4 3 2 6" xfId="37134" xr:uid="{00000000-0005-0000-0000-000030240000}"/>
    <cellStyle name="20% - Accent4 2 2 4 3 3" xfId="8938" xr:uid="{00000000-0005-0000-0000-000031240000}"/>
    <cellStyle name="20% - Accent4 2 2 4 3 4" xfId="16039" xr:uid="{00000000-0005-0000-0000-000032240000}"/>
    <cellStyle name="20% - Accent4 2 2 4 3 5" xfId="23141" xr:uid="{00000000-0005-0000-0000-000033240000}"/>
    <cellStyle name="20% - Accent4 2 2 4 3 6" xfId="30243" xr:uid="{00000000-0005-0000-0000-000034240000}"/>
    <cellStyle name="20% - Accent4 2 2 4 3 7" xfId="37135" xr:uid="{00000000-0005-0000-0000-000035240000}"/>
    <cellStyle name="20% - Accent4 2 2 4 4" xfId="4677" xr:uid="{00000000-0005-0000-0000-000036240000}"/>
    <cellStyle name="20% - Accent4 2 2 4 4 2" xfId="11778" xr:uid="{00000000-0005-0000-0000-000037240000}"/>
    <cellStyle name="20% - Accent4 2 2 4 4 3" xfId="18879" xr:uid="{00000000-0005-0000-0000-000038240000}"/>
    <cellStyle name="20% - Accent4 2 2 4 4 4" xfId="25981" xr:uid="{00000000-0005-0000-0000-000039240000}"/>
    <cellStyle name="20% - Accent4 2 2 4 4 5" xfId="33083" xr:uid="{00000000-0005-0000-0000-00003A240000}"/>
    <cellStyle name="20% - Accent4 2 2 4 4 6" xfId="37136" xr:uid="{00000000-0005-0000-0000-00003B240000}"/>
    <cellStyle name="20% - Accent4 2 2 4 5" xfId="3252" xr:uid="{00000000-0005-0000-0000-00003C240000}"/>
    <cellStyle name="20% - Accent4 2 2 4 5 2" xfId="10358" xr:uid="{00000000-0005-0000-0000-00003D240000}"/>
    <cellStyle name="20% - Accent4 2 2 4 5 3" xfId="17459" xr:uid="{00000000-0005-0000-0000-00003E240000}"/>
    <cellStyle name="20% - Accent4 2 2 4 5 4" xfId="24561" xr:uid="{00000000-0005-0000-0000-00003F240000}"/>
    <cellStyle name="20% - Accent4 2 2 4 5 5" xfId="31663" xr:uid="{00000000-0005-0000-0000-000040240000}"/>
    <cellStyle name="20% - Accent4 2 2 4 6" xfId="7518" xr:uid="{00000000-0005-0000-0000-000041240000}"/>
    <cellStyle name="20% - Accent4 2 2 4 7" xfId="14619" xr:uid="{00000000-0005-0000-0000-000042240000}"/>
    <cellStyle name="20% - Accent4 2 2 4 8" xfId="21721" xr:uid="{00000000-0005-0000-0000-000043240000}"/>
    <cellStyle name="20% - Accent4 2 2 4 9" xfId="28823" xr:uid="{00000000-0005-0000-0000-000044240000}"/>
    <cellStyle name="20% - Accent4 2 2 5" xfId="552" xr:uid="{00000000-0005-0000-0000-000045240000}"/>
    <cellStyle name="20% - Accent4 2 2 5 2" xfId="2043" xr:uid="{00000000-0005-0000-0000-000046240000}"/>
    <cellStyle name="20% - Accent4 2 2 5 2 2" xfId="6311" xr:uid="{00000000-0005-0000-0000-000047240000}"/>
    <cellStyle name="20% - Accent4 2 2 5 2 2 2" xfId="13411" xr:uid="{00000000-0005-0000-0000-000048240000}"/>
    <cellStyle name="20% - Accent4 2 2 5 2 2 3" xfId="20512" xr:uid="{00000000-0005-0000-0000-000049240000}"/>
    <cellStyle name="20% - Accent4 2 2 5 2 2 4" xfId="27614" xr:uid="{00000000-0005-0000-0000-00004A240000}"/>
    <cellStyle name="20% - Accent4 2 2 5 2 2 5" xfId="34716" xr:uid="{00000000-0005-0000-0000-00004B240000}"/>
    <cellStyle name="20% - Accent4 2 2 5 2 2 6" xfId="37137" xr:uid="{00000000-0005-0000-0000-00004C240000}"/>
    <cellStyle name="20% - Accent4 2 2 5 2 3" xfId="9151" xr:uid="{00000000-0005-0000-0000-00004D240000}"/>
    <cellStyle name="20% - Accent4 2 2 5 2 4" xfId="16252" xr:uid="{00000000-0005-0000-0000-00004E240000}"/>
    <cellStyle name="20% - Accent4 2 2 5 2 5" xfId="23354" xr:uid="{00000000-0005-0000-0000-00004F240000}"/>
    <cellStyle name="20% - Accent4 2 2 5 2 6" xfId="30456" xr:uid="{00000000-0005-0000-0000-000050240000}"/>
    <cellStyle name="20% - Accent4 2 2 5 2 7" xfId="37138" xr:uid="{00000000-0005-0000-0000-000051240000}"/>
    <cellStyle name="20% - Accent4 2 2 5 3" xfId="4890" xr:uid="{00000000-0005-0000-0000-000052240000}"/>
    <cellStyle name="20% - Accent4 2 2 5 3 2" xfId="11991" xr:uid="{00000000-0005-0000-0000-000053240000}"/>
    <cellStyle name="20% - Accent4 2 2 5 3 2 2" xfId="37139" xr:uid="{00000000-0005-0000-0000-000054240000}"/>
    <cellStyle name="20% - Accent4 2 2 5 3 3" xfId="19092" xr:uid="{00000000-0005-0000-0000-000055240000}"/>
    <cellStyle name="20% - Accent4 2 2 5 3 4" xfId="26194" xr:uid="{00000000-0005-0000-0000-000056240000}"/>
    <cellStyle name="20% - Accent4 2 2 5 3 5" xfId="33296" xr:uid="{00000000-0005-0000-0000-000057240000}"/>
    <cellStyle name="20% - Accent4 2 2 5 3 6" xfId="37140" xr:uid="{00000000-0005-0000-0000-000058240000}"/>
    <cellStyle name="20% - Accent4 2 2 5 4" xfId="3465" xr:uid="{00000000-0005-0000-0000-000059240000}"/>
    <cellStyle name="20% - Accent4 2 2 5 4 2" xfId="10571" xr:uid="{00000000-0005-0000-0000-00005A240000}"/>
    <cellStyle name="20% - Accent4 2 2 5 4 3" xfId="17672" xr:uid="{00000000-0005-0000-0000-00005B240000}"/>
    <cellStyle name="20% - Accent4 2 2 5 4 4" xfId="24774" xr:uid="{00000000-0005-0000-0000-00005C240000}"/>
    <cellStyle name="20% - Accent4 2 2 5 4 5" xfId="31876" xr:uid="{00000000-0005-0000-0000-00005D240000}"/>
    <cellStyle name="20% - Accent4 2 2 5 4 6" xfId="37141" xr:uid="{00000000-0005-0000-0000-00005E240000}"/>
    <cellStyle name="20% - Accent4 2 2 5 5" xfId="7731" xr:uid="{00000000-0005-0000-0000-00005F240000}"/>
    <cellStyle name="20% - Accent4 2 2 5 6" xfId="14832" xr:uid="{00000000-0005-0000-0000-000060240000}"/>
    <cellStyle name="20% - Accent4 2 2 5 7" xfId="21934" xr:uid="{00000000-0005-0000-0000-000061240000}"/>
    <cellStyle name="20% - Accent4 2 2 5 8" xfId="29036" xr:uid="{00000000-0005-0000-0000-000062240000}"/>
    <cellStyle name="20% - Accent4 2 2 5 9" xfId="37142" xr:uid="{00000000-0005-0000-0000-000063240000}"/>
    <cellStyle name="20% - Accent4 2 2 6" xfId="765" xr:uid="{00000000-0005-0000-0000-000064240000}"/>
    <cellStyle name="20% - Accent4 2 2 6 2" xfId="2256" xr:uid="{00000000-0005-0000-0000-000065240000}"/>
    <cellStyle name="20% - Accent4 2 2 6 2 2" xfId="6524" xr:uid="{00000000-0005-0000-0000-000066240000}"/>
    <cellStyle name="20% - Accent4 2 2 6 2 2 2" xfId="13624" xr:uid="{00000000-0005-0000-0000-000067240000}"/>
    <cellStyle name="20% - Accent4 2 2 6 2 2 3" xfId="20725" xr:uid="{00000000-0005-0000-0000-000068240000}"/>
    <cellStyle name="20% - Accent4 2 2 6 2 2 4" xfId="27827" xr:uid="{00000000-0005-0000-0000-000069240000}"/>
    <cellStyle name="20% - Accent4 2 2 6 2 2 5" xfId="34929" xr:uid="{00000000-0005-0000-0000-00006A240000}"/>
    <cellStyle name="20% - Accent4 2 2 6 2 2 6" xfId="37143" xr:uid="{00000000-0005-0000-0000-00006B240000}"/>
    <cellStyle name="20% - Accent4 2 2 6 2 3" xfId="9364" xr:uid="{00000000-0005-0000-0000-00006C240000}"/>
    <cellStyle name="20% - Accent4 2 2 6 2 4" xfId="16465" xr:uid="{00000000-0005-0000-0000-00006D240000}"/>
    <cellStyle name="20% - Accent4 2 2 6 2 5" xfId="23567" xr:uid="{00000000-0005-0000-0000-00006E240000}"/>
    <cellStyle name="20% - Accent4 2 2 6 2 6" xfId="30669" xr:uid="{00000000-0005-0000-0000-00006F240000}"/>
    <cellStyle name="20% - Accent4 2 2 6 2 7" xfId="37144" xr:uid="{00000000-0005-0000-0000-000070240000}"/>
    <cellStyle name="20% - Accent4 2 2 6 3" xfId="5103" xr:uid="{00000000-0005-0000-0000-000071240000}"/>
    <cellStyle name="20% - Accent4 2 2 6 3 2" xfId="12204" xr:uid="{00000000-0005-0000-0000-000072240000}"/>
    <cellStyle name="20% - Accent4 2 2 6 3 2 2" xfId="37145" xr:uid="{00000000-0005-0000-0000-000073240000}"/>
    <cellStyle name="20% - Accent4 2 2 6 3 3" xfId="19305" xr:uid="{00000000-0005-0000-0000-000074240000}"/>
    <cellStyle name="20% - Accent4 2 2 6 3 4" xfId="26407" xr:uid="{00000000-0005-0000-0000-000075240000}"/>
    <cellStyle name="20% - Accent4 2 2 6 3 5" xfId="33509" xr:uid="{00000000-0005-0000-0000-000076240000}"/>
    <cellStyle name="20% - Accent4 2 2 6 3 6" xfId="37146" xr:uid="{00000000-0005-0000-0000-000077240000}"/>
    <cellStyle name="20% - Accent4 2 2 6 4" xfId="3678" xr:uid="{00000000-0005-0000-0000-000078240000}"/>
    <cellStyle name="20% - Accent4 2 2 6 4 2" xfId="10784" xr:uid="{00000000-0005-0000-0000-000079240000}"/>
    <cellStyle name="20% - Accent4 2 2 6 4 3" xfId="17885" xr:uid="{00000000-0005-0000-0000-00007A240000}"/>
    <cellStyle name="20% - Accent4 2 2 6 4 4" xfId="24987" xr:uid="{00000000-0005-0000-0000-00007B240000}"/>
    <cellStyle name="20% - Accent4 2 2 6 4 5" xfId="32089" xr:uid="{00000000-0005-0000-0000-00007C240000}"/>
    <cellStyle name="20% - Accent4 2 2 6 4 6" xfId="37147" xr:uid="{00000000-0005-0000-0000-00007D240000}"/>
    <cellStyle name="20% - Accent4 2 2 6 5" xfId="7944" xr:uid="{00000000-0005-0000-0000-00007E240000}"/>
    <cellStyle name="20% - Accent4 2 2 6 6" xfId="15045" xr:uid="{00000000-0005-0000-0000-00007F240000}"/>
    <cellStyle name="20% - Accent4 2 2 6 7" xfId="22147" xr:uid="{00000000-0005-0000-0000-000080240000}"/>
    <cellStyle name="20% - Accent4 2 2 6 8" xfId="29249" xr:uid="{00000000-0005-0000-0000-000081240000}"/>
    <cellStyle name="20% - Accent4 2 2 6 9" xfId="37148" xr:uid="{00000000-0005-0000-0000-000082240000}"/>
    <cellStyle name="20% - Accent4 2 2 7" xfId="978" xr:uid="{00000000-0005-0000-0000-000083240000}"/>
    <cellStyle name="20% - Accent4 2 2 7 2" xfId="2469" xr:uid="{00000000-0005-0000-0000-000084240000}"/>
    <cellStyle name="20% - Accent4 2 2 7 2 2" xfId="6737" xr:uid="{00000000-0005-0000-0000-000085240000}"/>
    <cellStyle name="20% - Accent4 2 2 7 2 2 2" xfId="13837" xr:uid="{00000000-0005-0000-0000-000086240000}"/>
    <cellStyle name="20% - Accent4 2 2 7 2 2 3" xfId="20938" xr:uid="{00000000-0005-0000-0000-000087240000}"/>
    <cellStyle name="20% - Accent4 2 2 7 2 2 4" xfId="28040" xr:uid="{00000000-0005-0000-0000-000088240000}"/>
    <cellStyle name="20% - Accent4 2 2 7 2 2 5" xfId="35142" xr:uid="{00000000-0005-0000-0000-000089240000}"/>
    <cellStyle name="20% - Accent4 2 2 7 2 3" xfId="9577" xr:uid="{00000000-0005-0000-0000-00008A240000}"/>
    <cellStyle name="20% - Accent4 2 2 7 2 4" xfId="16678" xr:uid="{00000000-0005-0000-0000-00008B240000}"/>
    <cellStyle name="20% - Accent4 2 2 7 2 5" xfId="23780" xr:uid="{00000000-0005-0000-0000-00008C240000}"/>
    <cellStyle name="20% - Accent4 2 2 7 2 6" xfId="30882" xr:uid="{00000000-0005-0000-0000-00008D240000}"/>
    <cellStyle name="20% - Accent4 2 2 7 2 7" xfId="37149" xr:uid="{00000000-0005-0000-0000-00008E240000}"/>
    <cellStyle name="20% - Accent4 2 2 7 3" xfId="5316" xr:uid="{00000000-0005-0000-0000-00008F240000}"/>
    <cellStyle name="20% - Accent4 2 2 7 3 2" xfId="12417" xr:uid="{00000000-0005-0000-0000-000090240000}"/>
    <cellStyle name="20% - Accent4 2 2 7 3 3" xfId="19518" xr:uid="{00000000-0005-0000-0000-000091240000}"/>
    <cellStyle name="20% - Accent4 2 2 7 3 4" xfId="26620" xr:uid="{00000000-0005-0000-0000-000092240000}"/>
    <cellStyle name="20% - Accent4 2 2 7 3 5" xfId="33722" xr:uid="{00000000-0005-0000-0000-000093240000}"/>
    <cellStyle name="20% - Accent4 2 2 7 4" xfId="3891" xr:uid="{00000000-0005-0000-0000-000094240000}"/>
    <cellStyle name="20% - Accent4 2 2 7 4 2" xfId="10997" xr:uid="{00000000-0005-0000-0000-000095240000}"/>
    <cellStyle name="20% - Accent4 2 2 7 4 3" xfId="18098" xr:uid="{00000000-0005-0000-0000-000096240000}"/>
    <cellStyle name="20% - Accent4 2 2 7 4 4" xfId="25200" xr:uid="{00000000-0005-0000-0000-000097240000}"/>
    <cellStyle name="20% - Accent4 2 2 7 4 5" xfId="32302" xr:uid="{00000000-0005-0000-0000-000098240000}"/>
    <cellStyle name="20% - Accent4 2 2 7 5" xfId="8157" xr:uid="{00000000-0005-0000-0000-000099240000}"/>
    <cellStyle name="20% - Accent4 2 2 7 6" xfId="15258" xr:uid="{00000000-0005-0000-0000-00009A240000}"/>
    <cellStyle name="20% - Accent4 2 2 7 7" xfId="22360" xr:uid="{00000000-0005-0000-0000-00009B240000}"/>
    <cellStyle name="20% - Accent4 2 2 7 8" xfId="29462" xr:uid="{00000000-0005-0000-0000-00009C240000}"/>
    <cellStyle name="20% - Accent4 2 2 7 9" xfId="37150" xr:uid="{00000000-0005-0000-0000-00009D240000}"/>
    <cellStyle name="20% - Accent4 2 2 8" xfId="1333" xr:uid="{00000000-0005-0000-0000-00009E240000}"/>
    <cellStyle name="20% - Accent4 2 2 8 2" xfId="2824" xr:uid="{00000000-0005-0000-0000-00009F240000}"/>
    <cellStyle name="20% - Accent4 2 2 8 2 2" xfId="7092" xr:uid="{00000000-0005-0000-0000-0000A0240000}"/>
    <cellStyle name="20% - Accent4 2 2 8 2 2 2" xfId="14192" xr:uid="{00000000-0005-0000-0000-0000A1240000}"/>
    <cellStyle name="20% - Accent4 2 2 8 2 2 3" xfId="21293" xr:uid="{00000000-0005-0000-0000-0000A2240000}"/>
    <cellStyle name="20% - Accent4 2 2 8 2 2 4" xfId="28395" xr:uid="{00000000-0005-0000-0000-0000A3240000}"/>
    <cellStyle name="20% - Accent4 2 2 8 2 2 5" xfId="35497" xr:uid="{00000000-0005-0000-0000-0000A4240000}"/>
    <cellStyle name="20% - Accent4 2 2 8 2 3" xfId="9932" xr:uid="{00000000-0005-0000-0000-0000A5240000}"/>
    <cellStyle name="20% - Accent4 2 2 8 2 4" xfId="17033" xr:uid="{00000000-0005-0000-0000-0000A6240000}"/>
    <cellStyle name="20% - Accent4 2 2 8 2 5" xfId="24135" xr:uid="{00000000-0005-0000-0000-0000A7240000}"/>
    <cellStyle name="20% - Accent4 2 2 8 2 6" xfId="31237" xr:uid="{00000000-0005-0000-0000-0000A8240000}"/>
    <cellStyle name="20% - Accent4 2 2 8 2 7" xfId="37151" xr:uid="{00000000-0005-0000-0000-0000A9240000}"/>
    <cellStyle name="20% - Accent4 2 2 8 3" xfId="5671" xr:uid="{00000000-0005-0000-0000-0000AA240000}"/>
    <cellStyle name="20% - Accent4 2 2 8 3 2" xfId="12772" xr:uid="{00000000-0005-0000-0000-0000AB240000}"/>
    <cellStyle name="20% - Accent4 2 2 8 3 3" xfId="19873" xr:uid="{00000000-0005-0000-0000-0000AC240000}"/>
    <cellStyle name="20% - Accent4 2 2 8 3 4" xfId="26975" xr:uid="{00000000-0005-0000-0000-0000AD240000}"/>
    <cellStyle name="20% - Accent4 2 2 8 3 5" xfId="34077" xr:uid="{00000000-0005-0000-0000-0000AE240000}"/>
    <cellStyle name="20% - Accent4 2 2 8 4" xfId="4246" xr:uid="{00000000-0005-0000-0000-0000AF240000}"/>
    <cellStyle name="20% - Accent4 2 2 8 4 2" xfId="11352" xr:uid="{00000000-0005-0000-0000-0000B0240000}"/>
    <cellStyle name="20% - Accent4 2 2 8 4 3" xfId="18453" xr:uid="{00000000-0005-0000-0000-0000B1240000}"/>
    <cellStyle name="20% - Accent4 2 2 8 4 4" xfId="25555" xr:uid="{00000000-0005-0000-0000-0000B2240000}"/>
    <cellStyle name="20% - Accent4 2 2 8 4 5" xfId="32657" xr:uid="{00000000-0005-0000-0000-0000B3240000}"/>
    <cellStyle name="20% - Accent4 2 2 8 5" xfId="8512" xr:uid="{00000000-0005-0000-0000-0000B4240000}"/>
    <cellStyle name="20% - Accent4 2 2 8 6" xfId="15613" xr:uid="{00000000-0005-0000-0000-0000B5240000}"/>
    <cellStyle name="20% - Accent4 2 2 8 7" xfId="22715" xr:uid="{00000000-0005-0000-0000-0000B6240000}"/>
    <cellStyle name="20% - Accent4 2 2 8 8" xfId="29817" xr:uid="{00000000-0005-0000-0000-0000B7240000}"/>
    <cellStyle name="20% - Accent4 2 2 8 9" xfId="37152" xr:uid="{00000000-0005-0000-0000-0000B8240000}"/>
    <cellStyle name="20% - Accent4 2 2 9" xfId="1617" xr:uid="{00000000-0005-0000-0000-0000B9240000}"/>
    <cellStyle name="20% - Accent4 2 2 9 2" xfId="5885" xr:uid="{00000000-0005-0000-0000-0000BA240000}"/>
    <cellStyle name="20% - Accent4 2 2 9 2 2" xfId="12985" xr:uid="{00000000-0005-0000-0000-0000BB240000}"/>
    <cellStyle name="20% - Accent4 2 2 9 2 3" xfId="20086" xr:uid="{00000000-0005-0000-0000-0000BC240000}"/>
    <cellStyle name="20% - Accent4 2 2 9 2 4" xfId="27188" xr:uid="{00000000-0005-0000-0000-0000BD240000}"/>
    <cellStyle name="20% - Accent4 2 2 9 2 5" xfId="34290" xr:uid="{00000000-0005-0000-0000-0000BE240000}"/>
    <cellStyle name="20% - Accent4 2 2 9 3" xfId="8725" xr:uid="{00000000-0005-0000-0000-0000BF240000}"/>
    <cellStyle name="20% - Accent4 2 2 9 4" xfId="15826" xr:uid="{00000000-0005-0000-0000-0000C0240000}"/>
    <cellStyle name="20% - Accent4 2 2 9 5" xfId="22928" xr:uid="{00000000-0005-0000-0000-0000C1240000}"/>
    <cellStyle name="20% - Accent4 2 2 9 6" xfId="30030" xr:uid="{00000000-0005-0000-0000-0000C2240000}"/>
    <cellStyle name="20% - Accent4 2 2 9 7" xfId="37153" xr:uid="{00000000-0005-0000-0000-0000C3240000}"/>
    <cellStyle name="20% - Accent4 2 3" xfId="237" xr:uid="{00000000-0005-0000-0000-0000C4240000}"/>
    <cellStyle name="20% - Accent4 2 3 10" xfId="7416" xr:uid="{00000000-0005-0000-0000-0000C5240000}"/>
    <cellStyle name="20% - Accent4 2 3 11" xfId="14517" xr:uid="{00000000-0005-0000-0000-0000C6240000}"/>
    <cellStyle name="20% - Accent4 2 3 12" xfId="21619" xr:uid="{00000000-0005-0000-0000-0000C7240000}"/>
    <cellStyle name="20% - Accent4 2 3 13" xfId="28721" xr:uid="{00000000-0005-0000-0000-0000C8240000}"/>
    <cellStyle name="20% - Accent4 2 3 14" xfId="35823" xr:uid="{00000000-0005-0000-0000-0000C9240000}"/>
    <cellStyle name="20% - Accent4 2 3 15" xfId="37154" xr:uid="{00000000-0005-0000-0000-0000CA240000}"/>
    <cellStyle name="20% - Accent4 2 3 2" xfId="450" xr:uid="{00000000-0005-0000-0000-0000CB240000}"/>
    <cellStyle name="20% - Accent4 2 3 2 10" xfId="37155" xr:uid="{00000000-0005-0000-0000-0000CC240000}"/>
    <cellStyle name="20% - Accent4 2 3 2 2" xfId="1231" xr:uid="{00000000-0005-0000-0000-0000CD240000}"/>
    <cellStyle name="20% - Accent4 2 3 2 2 2" xfId="2722" xr:uid="{00000000-0005-0000-0000-0000CE240000}"/>
    <cellStyle name="20% - Accent4 2 3 2 2 2 2" xfId="6990" xr:uid="{00000000-0005-0000-0000-0000CF240000}"/>
    <cellStyle name="20% - Accent4 2 3 2 2 2 2 2" xfId="14090" xr:uid="{00000000-0005-0000-0000-0000D0240000}"/>
    <cellStyle name="20% - Accent4 2 3 2 2 2 2 3" xfId="21191" xr:uid="{00000000-0005-0000-0000-0000D1240000}"/>
    <cellStyle name="20% - Accent4 2 3 2 2 2 2 4" xfId="28293" xr:uid="{00000000-0005-0000-0000-0000D2240000}"/>
    <cellStyle name="20% - Accent4 2 3 2 2 2 2 5" xfId="35395" xr:uid="{00000000-0005-0000-0000-0000D3240000}"/>
    <cellStyle name="20% - Accent4 2 3 2 2 2 3" xfId="9830" xr:uid="{00000000-0005-0000-0000-0000D4240000}"/>
    <cellStyle name="20% - Accent4 2 3 2 2 2 4" xfId="16931" xr:uid="{00000000-0005-0000-0000-0000D5240000}"/>
    <cellStyle name="20% - Accent4 2 3 2 2 2 5" xfId="24033" xr:uid="{00000000-0005-0000-0000-0000D6240000}"/>
    <cellStyle name="20% - Accent4 2 3 2 2 2 6" xfId="31135" xr:uid="{00000000-0005-0000-0000-0000D7240000}"/>
    <cellStyle name="20% - Accent4 2 3 2 2 2 7" xfId="37156" xr:uid="{00000000-0005-0000-0000-0000D8240000}"/>
    <cellStyle name="20% - Accent4 2 3 2 2 3" xfId="5569" xr:uid="{00000000-0005-0000-0000-0000D9240000}"/>
    <cellStyle name="20% - Accent4 2 3 2 2 3 2" xfId="12670" xr:uid="{00000000-0005-0000-0000-0000DA240000}"/>
    <cellStyle name="20% - Accent4 2 3 2 2 3 3" xfId="19771" xr:uid="{00000000-0005-0000-0000-0000DB240000}"/>
    <cellStyle name="20% - Accent4 2 3 2 2 3 4" xfId="26873" xr:uid="{00000000-0005-0000-0000-0000DC240000}"/>
    <cellStyle name="20% - Accent4 2 3 2 2 3 5" xfId="33975" xr:uid="{00000000-0005-0000-0000-0000DD240000}"/>
    <cellStyle name="20% - Accent4 2 3 2 2 4" xfId="4144" xr:uid="{00000000-0005-0000-0000-0000DE240000}"/>
    <cellStyle name="20% - Accent4 2 3 2 2 4 2" xfId="11250" xr:uid="{00000000-0005-0000-0000-0000DF240000}"/>
    <cellStyle name="20% - Accent4 2 3 2 2 4 3" xfId="18351" xr:uid="{00000000-0005-0000-0000-0000E0240000}"/>
    <cellStyle name="20% - Accent4 2 3 2 2 4 4" xfId="25453" xr:uid="{00000000-0005-0000-0000-0000E1240000}"/>
    <cellStyle name="20% - Accent4 2 3 2 2 4 5" xfId="32555" xr:uid="{00000000-0005-0000-0000-0000E2240000}"/>
    <cellStyle name="20% - Accent4 2 3 2 2 5" xfId="8410" xr:uid="{00000000-0005-0000-0000-0000E3240000}"/>
    <cellStyle name="20% - Accent4 2 3 2 2 6" xfId="15511" xr:uid="{00000000-0005-0000-0000-0000E4240000}"/>
    <cellStyle name="20% - Accent4 2 3 2 2 7" xfId="22613" xr:uid="{00000000-0005-0000-0000-0000E5240000}"/>
    <cellStyle name="20% - Accent4 2 3 2 2 8" xfId="29715" xr:uid="{00000000-0005-0000-0000-0000E6240000}"/>
    <cellStyle name="20% - Accent4 2 3 2 2 9" xfId="37157" xr:uid="{00000000-0005-0000-0000-0000E7240000}"/>
    <cellStyle name="20% - Accent4 2 3 2 3" xfId="1941" xr:uid="{00000000-0005-0000-0000-0000E8240000}"/>
    <cellStyle name="20% - Accent4 2 3 2 3 2" xfId="6209" xr:uid="{00000000-0005-0000-0000-0000E9240000}"/>
    <cellStyle name="20% - Accent4 2 3 2 3 2 2" xfId="13309" xr:uid="{00000000-0005-0000-0000-0000EA240000}"/>
    <cellStyle name="20% - Accent4 2 3 2 3 2 3" xfId="20410" xr:uid="{00000000-0005-0000-0000-0000EB240000}"/>
    <cellStyle name="20% - Accent4 2 3 2 3 2 4" xfId="27512" xr:uid="{00000000-0005-0000-0000-0000EC240000}"/>
    <cellStyle name="20% - Accent4 2 3 2 3 2 5" xfId="34614" xr:uid="{00000000-0005-0000-0000-0000ED240000}"/>
    <cellStyle name="20% - Accent4 2 3 2 3 2 6" xfId="37158" xr:uid="{00000000-0005-0000-0000-0000EE240000}"/>
    <cellStyle name="20% - Accent4 2 3 2 3 3" xfId="9049" xr:uid="{00000000-0005-0000-0000-0000EF240000}"/>
    <cellStyle name="20% - Accent4 2 3 2 3 4" xfId="16150" xr:uid="{00000000-0005-0000-0000-0000F0240000}"/>
    <cellStyle name="20% - Accent4 2 3 2 3 5" xfId="23252" xr:uid="{00000000-0005-0000-0000-0000F1240000}"/>
    <cellStyle name="20% - Accent4 2 3 2 3 6" xfId="30354" xr:uid="{00000000-0005-0000-0000-0000F2240000}"/>
    <cellStyle name="20% - Accent4 2 3 2 3 7" xfId="37159" xr:uid="{00000000-0005-0000-0000-0000F3240000}"/>
    <cellStyle name="20% - Accent4 2 3 2 4" xfId="4788" xr:uid="{00000000-0005-0000-0000-0000F4240000}"/>
    <cellStyle name="20% - Accent4 2 3 2 4 2" xfId="11889" xr:uid="{00000000-0005-0000-0000-0000F5240000}"/>
    <cellStyle name="20% - Accent4 2 3 2 4 3" xfId="18990" xr:uid="{00000000-0005-0000-0000-0000F6240000}"/>
    <cellStyle name="20% - Accent4 2 3 2 4 4" xfId="26092" xr:uid="{00000000-0005-0000-0000-0000F7240000}"/>
    <cellStyle name="20% - Accent4 2 3 2 4 5" xfId="33194" xr:uid="{00000000-0005-0000-0000-0000F8240000}"/>
    <cellStyle name="20% - Accent4 2 3 2 4 6" xfId="37160" xr:uid="{00000000-0005-0000-0000-0000F9240000}"/>
    <cellStyle name="20% - Accent4 2 3 2 5" xfId="3363" xr:uid="{00000000-0005-0000-0000-0000FA240000}"/>
    <cellStyle name="20% - Accent4 2 3 2 5 2" xfId="10469" xr:uid="{00000000-0005-0000-0000-0000FB240000}"/>
    <cellStyle name="20% - Accent4 2 3 2 5 3" xfId="17570" xr:uid="{00000000-0005-0000-0000-0000FC240000}"/>
    <cellStyle name="20% - Accent4 2 3 2 5 4" xfId="24672" xr:uid="{00000000-0005-0000-0000-0000FD240000}"/>
    <cellStyle name="20% - Accent4 2 3 2 5 5" xfId="31774" xr:uid="{00000000-0005-0000-0000-0000FE240000}"/>
    <cellStyle name="20% - Accent4 2 3 2 6" xfId="7629" xr:uid="{00000000-0005-0000-0000-0000FF240000}"/>
    <cellStyle name="20% - Accent4 2 3 2 7" xfId="14730" xr:uid="{00000000-0005-0000-0000-000000250000}"/>
    <cellStyle name="20% - Accent4 2 3 2 8" xfId="21832" xr:uid="{00000000-0005-0000-0000-000001250000}"/>
    <cellStyle name="20% - Accent4 2 3 2 9" xfId="28934" xr:uid="{00000000-0005-0000-0000-000002250000}"/>
    <cellStyle name="20% - Accent4 2 3 3" xfId="663" xr:uid="{00000000-0005-0000-0000-000003250000}"/>
    <cellStyle name="20% - Accent4 2 3 3 2" xfId="2154" xr:uid="{00000000-0005-0000-0000-000004250000}"/>
    <cellStyle name="20% - Accent4 2 3 3 2 2" xfId="6422" xr:uid="{00000000-0005-0000-0000-000005250000}"/>
    <cellStyle name="20% - Accent4 2 3 3 2 2 2" xfId="13522" xr:uid="{00000000-0005-0000-0000-000006250000}"/>
    <cellStyle name="20% - Accent4 2 3 3 2 2 3" xfId="20623" xr:uid="{00000000-0005-0000-0000-000007250000}"/>
    <cellStyle name="20% - Accent4 2 3 3 2 2 4" xfId="27725" xr:uid="{00000000-0005-0000-0000-000008250000}"/>
    <cellStyle name="20% - Accent4 2 3 3 2 2 5" xfId="34827" xr:uid="{00000000-0005-0000-0000-000009250000}"/>
    <cellStyle name="20% - Accent4 2 3 3 2 2 6" xfId="37161" xr:uid="{00000000-0005-0000-0000-00000A250000}"/>
    <cellStyle name="20% - Accent4 2 3 3 2 3" xfId="9262" xr:uid="{00000000-0005-0000-0000-00000B250000}"/>
    <cellStyle name="20% - Accent4 2 3 3 2 4" xfId="16363" xr:uid="{00000000-0005-0000-0000-00000C250000}"/>
    <cellStyle name="20% - Accent4 2 3 3 2 5" xfId="23465" xr:uid="{00000000-0005-0000-0000-00000D250000}"/>
    <cellStyle name="20% - Accent4 2 3 3 2 6" xfId="30567" xr:uid="{00000000-0005-0000-0000-00000E250000}"/>
    <cellStyle name="20% - Accent4 2 3 3 2 7" xfId="37162" xr:uid="{00000000-0005-0000-0000-00000F250000}"/>
    <cellStyle name="20% - Accent4 2 3 3 3" xfId="5001" xr:uid="{00000000-0005-0000-0000-000010250000}"/>
    <cellStyle name="20% - Accent4 2 3 3 3 2" xfId="12102" xr:uid="{00000000-0005-0000-0000-000011250000}"/>
    <cellStyle name="20% - Accent4 2 3 3 3 2 2" xfId="37163" xr:uid="{00000000-0005-0000-0000-000012250000}"/>
    <cellStyle name="20% - Accent4 2 3 3 3 3" xfId="19203" xr:uid="{00000000-0005-0000-0000-000013250000}"/>
    <cellStyle name="20% - Accent4 2 3 3 3 4" xfId="26305" xr:uid="{00000000-0005-0000-0000-000014250000}"/>
    <cellStyle name="20% - Accent4 2 3 3 3 5" xfId="33407" xr:uid="{00000000-0005-0000-0000-000015250000}"/>
    <cellStyle name="20% - Accent4 2 3 3 3 6" xfId="37164" xr:uid="{00000000-0005-0000-0000-000016250000}"/>
    <cellStyle name="20% - Accent4 2 3 3 4" xfId="3576" xr:uid="{00000000-0005-0000-0000-000017250000}"/>
    <cellStyle name="20% - Accent4 2 3 3 4 2" xfId="10682" xr:uid="{00000000-0005-0000-0000-000018250000}"/>
    <cellStyle name="20% - Accent4 2 3 3 4 3" xfId="17783" xr:uid="{00000000-0005-0000-0000-000019250000}"/>
    <cellStyle name="20% - Accent4 2 3 3 4 4" xfId="24885" xr:uid="{00000000-0005-0000-0000-00001A250000}"/>
    <cellStyle name="20% - Accent4 2 3 3 4 5" xfId="31987" xr:uid="{00000000-0005-0000-0000-00001B250000}"/>
    <cellStyle name="20% - Accent4 2 3 3 4 6" xfId="37165" xr:uid="{00000000-0005-0000-0000-00001C250000}"/>
    <cellStyle name="20% - Accent4 2 3 3 5" xfId="7842" xr:uid="{00000000-0005-0000-0000-00001D250000}"/>
    <cellStyle name="20% - Accent4 2 3 3 6" xfId="14943" xr:uid="{00000000-0005-0000-0000-00001E250000}"/>
    <cellStyle name="20% - Accent4 2 3 3 7" xfId="22045" xr:uid="{00000000-0005-0000-0000-00001F250000}"/>
    <cellStyle name="20% - Accent4 2 3 3 8" xfId="29147" xr:uid="{00000000-0005-0000-0000-000020250000}"/>
    <cellStyle name="20% - Accent4 2 3 3 9" xfId="37166" xr:uid="{00000000-0005-0000-0000-000021250000}"/>
    <cellStyle name="20% - Accent4 2 3 4" xfId="876" xr:uid="{00000000-0005-0000-0000-000022250000}"/>
    <cellStyle name="20% - Accent4 2 3 4 2" xfId="2367" xr:uid="{00000000-0005-0000-0000-000023250000}"/>
    <cellStyle name="20% - Accent4 2 3 4 2 2" xfId="6635" xr:uid="{00000000-0005-0000-0000-000024250000}"/>
    <cellStyle name="20% - Accent4 2 3 4 2 2 2" xfId="13735" xr:uid="{00000000-0005-0000-0000-000025250000}"/>
    <cellStyle name="20% - Accent4 2 3 4 2 2 3" xfId="20836" xr:uid="{00000000-0005-0000-0000-000026250000}"/>
    <cellStyle name="20% - Accent4 2 3 4 2 2 4" xfId="27938" xr:uid="{00000000-0005-0000-0000-000027250000}"/>
    <cellStyle name="20% - Accent4 2 3 4 2 2 5" xfId="35040" xr:uid="{00000000-0005-0000-0000-000028250000}"/>
    <cellStyle name="20% - Accent4 2 3 4 2 2 6" xfId="37167" xr:uid="{00000000-0005-0000-0000-000029250000}"/>
    <cellStyle name="20% - Accent4 2 3 4 2 3" xfId="9475" xr:uid="{00000000-0005-0000-0000-00002A250000}"/>
    <cellStyle name="20% - Accent4 2 3 4 2 4" xfId="16576" xr:uid="{00000000-0005-0000-0000-00002B250000}"/>
    <cellStyle name="20% - Accent4 2 3 4 2 5" xfId="23678" xr:uid="{00000000-0005-0000-0000-00002C250000}"/>
    <cellStyle name="20% - Accent4 2 3 4 2 6" xfId="30780" xr:uid="{00000000-0005-0000-0000-00002D250000}"/>
    <cellStyle name="20% - Accent4 2 3 4 2 7" xfId="37168" xr:uid="{00000000-0005-0000-0000-00002E250000}"/>
    <cellStyle name="20% - Accent4 2 3 4 3" xfId="5214" xr:uid="{00000000-0005-0000-0000-00002F250000}"/>
    <cellStyle name="20% - Accent4 2 3 4 3 2" xfId="12315" xr:uid="{00000000-0005-0000-0000-000030250000}"/>
    <cellStyle name="20% - Accent4 2 3 4 3 2 2" xfId="37169" xr:uid="{00000000-0005-0000-0000-000031250000}"/>
    <cellStyle name="20% - Accent4 2 3 4 3 3" xfId="19416" xr:uid="{00000000-0005-0000-0000-000032250000}"/>
    <cellStyle name="20% - Accent4 2 3 4 3 4" xfId="26518" xr:uid="{00000000-0005-0000-0000-000033250000}"/>
    <cellStyle name="20% - Accent4 2 3 4 3 5" xfId="33620" xr:uid="{00000000-0005-0000-0000-000034250000}"/>
    <cellStyle name="20% - Accent4 2 3 4 3 6" xfId="37170" xr:uid="{00000000-0005-0000-0000-000035250000}"/>
    <cellStyle name="20% - Accent4 2 3 4 4" xfId="3789" xr:uid="{00000000-0005-0000-0000-000036250000}"/>
    <cellStyle name="20% - Accent4 2 3 4 4 2" xfId="10895" xr:uid="{00000000-0005-0000-0000-000037250000}"/>
    <cellStyle name="20% - Accent4 2 3 4 4 3" xfId="17996" xr:uid="{00000000-0005-0000-0000-000038250000}"/>
    <cellStyle name="20% - Accent4 2 3 4 4 4" xfId="25098" xr:uid="{00000000-0005-0000-0000-000039250000}"/>
    <cellStyle name="20% - Accent4 2 3 4 4 5" xfId="32200" xr:uid="{00000000-0005-0000-0000-00003A250000}"/>
    <cellStyle name="20% - Accent4 2 3 4 4 6" xfId="37171" xr:uid="{00000000-0005-0000-0000-00003B250000}"/>
    <cellStyle name="20% - Accent4 2 3 4 5" xfId="8055" xr:uid="{00000000-0005-0000-0000-00003C250000}"/>
    <cellStyle name="20% - Accent4 2 3 4 6" xfId="15156" xr:uid="{00000000-0005-0000-0000-00003D250000}"/>
    <cellStyle name="20% - Accent4 2 3 4 7" xfId="22258" xr:uid="{00000000-0005-0000-0000-00003E250000}"/>
    <cellStyle name="20% - Accent4 2 3 4 8" xfId="29360" xr:uid="{00000000-0005-0000-0000-00003F250000}"/>
    <cellStyle name="20% - Accent4 2 3 4 9" xfId="37172" xr:uid="{00000000-0005-0000-0000-000040250000}"/>
    <cellStyle name="20% - Accent4 2 3 5" xfId="1018" xr:uid="{00000000-0005-0000-0000-000041250000}"/>
    <cellStyle name="20% - Accent4 2 3 5 2" xfId="2509" xr:uid="{00000000-0005-0000-0000-000042250000}"/>
    <cellStyle name="20% - Accent4 2 3 5 2 2" xfId="6777" xr:uid="{00000000-0005-0000-0000-000043250000}"/>
    <cellStyle name="20% - Accent4 2 3 5 2 2 2" xfId="13877" xr:uid="{00000000-0005-0000-0000-000044250000}"/>
    <cellStyle name="20% - Accent4 2 3 5 2 2 3" xfId="20978" xr:uid="{00000000-0005-0000-0000-000045250000}"/>
    <cellStyle name="20% - Accent4 2 3 5 2 2 4" xfId="28080" xr:uid="{00000000-0005-0000-0000-000046250000}"/>
    <cellStyle name="20% - Accent4 2 3 5 2 2 5" xfId="35182" xr:uid="{00000000-0005-0000-0000-000047250000}"/>
    <cellStyle name="20% - Accent4 2 3 5 2 3" xfId="9617" xr:uid="{00000000-0005-0000-0000-000048250000}"/>
    <cellStyle name="20% - Accent4 2 3 5 2 4" xfId="16718" xr:uid="{00000000-0005-0000-0000-000049250000}"/>
    <cellStyle name="20% - Accent4 2 3 5 2 5" xfId="23820" xr:uid="{00000000-0005-0000-0000-00004A250000}"/>
    <cellStyle name="20% - Accent4 2 3 5 2 6" xfId="30922" xr:uid="{00000000-0005-0000-0000-00004B250000}"/>
    <cellStyle name="20% - Accent4 2 3 5 2 7" xfId="37173" xr:uid="{00000000-0005-0000-0000-00004C250000}"/>
    <cellStyle name="20% - Accent4 2 3 5 3" xfId="5356" xr:uid="{00000000-0005-0000-0000-00004D250000}"/>
    <cellStyle name="20% - Accent4 2 3 5 3 2" xfId="12457" xr:uid="{00000000-0005-0000-0000-00004E250000}"/>
    <cellStyle name="20% - Accent4 2 3 5 3 3" xfId="19558" xr:uid="{00000000-0005-0000-0000-00004F250000}"/>
    <cellStyle name="20% - Accent4 2 3 5 3 4" xfId="26660" xr:uid="{00000000-0005-0000-0000-000050250000}"/>
    <cellStyle name="20% - Accent4 2 3 5 3 5" xfId="33762" xr:uid="{00000000-0005-0000-0000-000051250000}"/>
    <cellStyle name="20% - Accent4 2 3 5 4" xfId="3931" xr:uid="{00000000-0005-0000-0000-000052250000}"/>
    <cellStyle name="20% - Accent4 2 3 5 4 2" xfId="11037" xr:uid="{00000000-0005-0000-0000-000053250000}"/>
    <cellStyle name="20% - Accent4 2 3 5 4 3" xfId="18138" xr:uid="{00000000-0005-0000-0000-000054250000}"/>
    <cellStyle name="20% - Accent4 2 3 5 4 4" xfId="25240" xr:uid="{00000000-0005-0000-0000-000055250000}"/>
    <cellStyle name="20% - Accent4 2 3 5 4 5" xfId="32342" xr:uid="{00000000-0005-0000-0000-000056250000}"/>
    <cellStyle name="20% - Accent4 2 3 5 5" xfId="8197" xr:uid="{00000000-0005-0000-0000-000057250000}"/>
    <cellStyle name="20% - Accent4 2 3 5 6" xfId="15298" xr:uid="{00000000-0005-0000-0000-000058250000}"/>
    <cellStyle name="20% - Accent4 2 3 5 7" xfId="22400" xr:uid="{00000000-0005-0000-0000-000059250000}"/>
    <cellStyle name="20% - Accent4 2 3 5 8" xfId="29502" xr:uid="{00000000-0005-0000-0000-00005A250000}"/>
    <cellStyle name="20% - Accent4 2 3 5 9" xfId="37174" xr:uid="{00000000-0005-0000-0000-00005B250000}"/>
    <cellStyle name="20% - Accent4 2 3 6" xfId="1444" xr:uid="{00000000-0005-0000-0000-00005C250000}"/>
    <cellStyle name="20% - Accent4 2 3 6 2" xfId="2935" xr:uid="{00000000-0005-0000-0000-00005D250000}"/>
    <cellStyle name="20% - Accent4 2 3 6 2 2" xfId="7203" xr:uid="{00000000-0005-0000-0000-00005E250000}"/>
    <cellStyle name="20% - Accent4 2 3 6 2 2 2" xfId="14303" xr:uid="{00000000-0005-0000-0000-00005F250000}"/>
    <cellStyle name="20% - Accent4 2 3 6 2 2 3" xfId="21404" xr:uid="{00000000-0005-0000-0000-000060250000}"/>
    <cellStyle name="20% - Accent4 2 3 6 2 2 4" xfId="28506" xr:uid="{00000000-0005-0000-0000-000061250000}"/>
    <cellStyle name="20% - Accent4 2 3 6 2 2 5" xfId="35608" xr:uid="{00000000-0005-0000-0000-000062250000}"/>
    <cellStyle name="20% - Accent4 2 3 6 2 3" xfId="10043" xr:uid="{00000000-0005-0000-0000-000063250000}"/>
    <cellStyle name="20% - Accent4 2 3 6 2 4" xfId="17144" xr:uid="{00000000-0005-0000-0000-000064250000}"/>
    <cellStyle name="20% - Accent4 2 3 6 2 5" xfId="24246" xr:uid="{00000000-0005-0000-0000-000065250000}"/>
    <cellStyle name="20% - Accent4 2 3 6 2 6" xfId="31348" xr:uid="{00000000-0005-0000-0000-000066250000}"/>
    <cellStyle name="20% - Accent4 2 3 6 2 7" xfId="37175" xr:uid="{00000000-0005-0000-0000-000067250000}"/>
    <cellStyle name="20% - Accent4 2 3 6 3" xfId="5782" xr:uid="{00000000-0005-0000-0000-000068250000}"/>
    <cellStyle name="20% - Accent4 2 3 6 3 2" xfId="12883" xr:uid="{00000000-0005-0000-0000-000069250000}"/>
    <cellStyle name="20% - Accent4 2 3 6 3 3" xfId="19984" xr:uid="{00000000-0005-0000-0000-00006A250000}"/>
    <cellStyle name="20% - Accent4 2 3 6 3 4" xfId="27086" xr:uid="{00000000-0005-0000-0000-00006B250000}"/>
    <cellStyle name="20% - Accent4 2 3 6 3 5" xfId="34188" xr:uid="{00000000-0005-0000-0000-00006C250000}"/>
    <cellStyle name="20% - Accent4 2 3 6 4" xfId="4357" xr:uid="{00000000-0005-0000-0000-00006D250000}"/>
    <cellStyle name="20% - Accent4 2 3 6 4 2" xfId="11463" xr:uid="{00000000-0005-0000-0000-00006E250000}"/>
    <cellStyle name="20% - Accent4 2 3 6 4 3" xfId="18564" xr:uid="{00000000-0005-0000-0000-00006F250000}"/>
    <cellStyle name="20% - Accent4 2 3 6 4 4" xfId="25666" xr:uid="{00000000-0005-0000-0000-000070250000}"/>
    <cellStyle name="20% - Accent4 2 3 6 4 5" xfId="32768" xr:uid="{00000000-0005-0000-0000-000071250000}"/>
    <cellStyle name="20% - Accent4 2 3 6 5" xfId="8623" xr:uid="{00000000-0005-0000-0000-000072250000}"/>
    <cellStyle name="20% - Accent4 2 3 6 6" xfId="15724" xr:uid="{00000000-0005-0000-0000-000073250000}"/>
    <cellStyle name="20% - Accent4 2 3 6 7" xfId="22826" xr:uid="{00000000-0005-0000-0000-000074250000}"/>
    <cellStyle name="20% - Accent4 2 3 6 8" xfId="29928" xr:uid="{00000000-0005-0000-0000-000075250000}"/>
    <cellStyle name="20% - Accent4 2 3 6 9" xfId="37176" xr:uid="{00000000-0005-0000-0000-000076250000}"/>
    <cellStyle name="20% - Accent4 2 3 7" xfId="1728" xr:uid="{00000000-0005-0000-0000-000077250000}"/>
    <cellStyle name="20% - Accent4 2 3 7 2" xfId="5996" xr:uid="{00000000-0005-0000-0000-000078250000}"/>
    <cellStyle name="20% - Accent4 2 3 7 2 2" xfId="13096" xr:uid="{00000000-0005-0000-0000-000079250000}"/>
    <cellStyle name="20% - Accent4 2 3 7 2 3" xfId="20197" xr:uid="{00000000-0005-0000-0000-00007A250000}"/>
    <cellStyle name="20% - Accent4 2 3 7 2 4" xfId="27299" xr:uid="{00000000-0005-0000-0000-00007B250000}"/>
    <cellStyle name="20% - Accent4 2 3 7 2 5" xfId="34401" xr:uid="{00000000-0005-0000-0000-00007C250000}"/>
    <cellStyle name="20% - Accent4 2 3 7 3" xfId="8836" xr:uid="{00000000-0005-0000-0000-00007D250000}"/>
    <cellStyle name="20% - Accent4 2 3 7 4" xfId="15937" xr:uid="{00000000-0005-0000-0000-00007E250000}"/>
    <cellStyle name="20% - Accent4 2 3 7 5" xfId="23039" xr:uid="{00000000-0005-0000-0000-00007F250000}"/>
    <cellStyle name="20% - Accent4 2 3 7 6" xfId="30141" xr:uid="{00000000-0005-0000-0000-000080250000}"/>
    <cellStyle name="20% - Accent4 2 3 7 7" xfId="37177" xr:uid="{00000000-0005-0000-0000-000081250000}"/>
    <cellStyle name="20% - Accent4 2 3 8" xfId="4575" xr:uid="{00000000-0005-0000-0000-000082250000}"/>
    <cellStyle name="20% - Accent4 2 3 8 2" xfId="11676" xr:uid="{00000000-0005-0000-0000-000083250000}"/>
    <cellStyle name="20% - Accent4 2 3 8 3" xfId="18777" xr:uid="{00000000-0005-0000-0000-000084250000}"/>
    <cellStyle name="20% - Accent4 2 3 8 4" xfId="25879" xr:uid="{00000000-0005-0000-0000-000085250000}"/>
    <cellStyle name="20% - Accent4 2 3 8 5" xfId="32981" xr:uid="{00000000-0005-0000-0000-000086250000}"/>
    <cellStyle name="20% - Accent4 2 3 9" xfId="3150" xr:uid="{00000000-0005-0000-0000-000087250000}"/>
    <cellStyle name="20% - Accent4 2 3 9 2" xfId="10256" xr:uid="{00000000-0005-0000-0000-000088250000}"/>
    <cellStyle name="20% - Accent4 2 3 9 3" xfId="17357" xr:uid="{00000000-0005-0000-0000-000089250000}"/>
    <cellStyle name="20% - Accent4 2 3 9 4" xfId="24459" xr:uid="{00000000-0005-0000-0000-00008A250000}"/>
    <cellStyle name="20% - Accent4 2 3 9 5" xfId="31561" xr:uid="{00000000-0005-0000-0000-00008B250000}"/>
    <cellStyle name="20% - Accent4 2 4" xfId="166" xr:uid="{00000000-0005-0000-0000-00008C250000}"/>
    <cellStyle name="20% - Accent4 2 4 10" xfId="7345" xr:uid="{00000000-0005-0000-0000-00008D250000}"/>
    <cellStyle name="20% - Accent4 2 4 11" xfId="14446" xr:uid="{00000000-0005-0000-0000-00008E250000}"/>
    <cellStyle name="20% - Accent4 2 4 12" xfId="21548" xr:uid="{00000000-0005-0000-0000-00008F250000}"/>
    <cellStyle name="20% - Accent4 2 4 13" xfId="28650" xr:uid="{00000000-0005-0000-0000-000090250000}"/>
    <cellStyle name="20% - Accent4 2 4 14" xfId="35752" xr:uid="{00000000-0005-0000-0000-000091250000}"/>
    <cellStyle name="20% - Accent4 2 4 15" xfId="37178" xr:uid="{00000000-0005-0000-0000-000092250000}"/>
    <cellStyle name="20% - Accent4 2 4 2" xfId="379" xr:uid="{00000000-0005-0000-0000-000093250000}"/>
    <cellStyle name="20% - Accent4 2 4 2 2" xfId="1870" xr:uid="{00000000-0005-0000-0000-000094250000}"/>
    <cellStyle name="20% - Accent4 2 4 2 2 2" xfId="6138" xr:uid="{00000000-0005-0000-0000-000095250000}"/>
    <cellStyle name="20% - Accent4 2 4 2 2 2 2" xfId="13238" xr:uid="{00000000-0005-0000-0000-000096250000}"/>
    <cellStyle name="20% - Accent4 2 4 2 2 2 3" xfId="20339" xr:uid="{00000000-0005-0000-0000-000097250000}"/>
    <cellStyle name="20% - Accent4 2 4 2 2 2 4" xfId="27441" xr:uid="{00000000-0005-0000-0000-000098250000}"/>
    <cellStyle name="20% - Accent4 2 4 2 2 2 5" xfId="34543" xr:uid="{00000000-0005-0000-0000-000099250000}"/>
    <cellStyle name="20% - Accent4 2 4 2 2 2 6" xfId="37179" xr:uid="{00000000-0005-0000-0000-00009A250000}"/>
    <cellStyle name="20% - Accent4 2 4 2 2 3" xfId="8978" xr:uid="{00000000-0005-0000-0000-00009B250000}"/>
    <cellStyle name="20% - Accent4 2 4 2 2 4" xfId="16079" xr:uid="{00000000-0005-0000-0000-00009C250000}"/>
    <cellStyle name="20% - Accent4 2 4 2 2 5" xfId="23181" xr:uid="{00000000-0005-0000-0000-00009D250000}"/>
    <cellStyle name="20% - Accent4 2 4 2 2 6" xfId="30283" xr:uid="{00000000-0005-0000-0000-00009E250000}"/>
    <cellStyle name="20% - Accent4 2 4 2 2 7" xfId="37180" xr:uid="{00000000-0005-0000-0000-00009F250000}"/>
    <cellStyle name="20% - Accent4 2 4 2 3" xfId="4717" xr:uid="{00000000-0005-0000-0000-0000A0250000}"/>
    <cellStyle name="20% - Accent4 2 4 2 3 2" xfId="11818" xr:uid="{00000000-0005-0000-0000-0000A1250000}"/>
    <cellStyle name="20% - Accent4 2 4 2 3 2 2" xfId="37181" xr:uid="{00000000-0005-0000-0000-0000A2250000}"/>
    <cellStyle name="20% - Accent4 2 4 2 3 3" xfId="18919" xr:uid="{00000000-0005-0000-0000-0000A3250000}"/>
    <cellStyle name="20% - Accent4 2 4 2 3 4" xfId="26021" xr:uid="{00000000-0005-0000-0000-0000A4250000}"/>
    <cellStyle name="20% - Accent4 2 4 2 3 5" xfId="33123" xr:uid="{00000000-0005-0000-0000-0000A5250000}"/>
    <cellStyle name="20% - Accent4 2 4 2 3 6" xfId="37182" xr:uid="{00000000-0005-0000-0000-0000A6250000}"/>
    <cellStyle name="20% - Accent4 2 4 2 4" xfId="3292" xr:uid="{00000000-0005-0000-0000-0000A7250000}"/>
    <cellStyle name="20% - Accent4 2 4 2 4 2" xfId="10398" xr:uid="{00000000-0005-0000-0000-0000A8250000}"/>
    <cellStyle name="20% - Accent4 2 4 2 4 3" xfId="17499" xr:uid="{00000000-0005-0000-0000-0000A9250000}"/>
    <cellStyle name="20% - Accent4 2 4 2 4 4" xfId="24601" xr:uid="{00000000-0005-0000-0000-0000AA250000}"/>
    <cellStyle name="20% - Accent4 2 4 2 4 5" xfId="31703" xr:uid="{00000000-0005-0000-0000-0000AB250000}"/>
    <cellStyle name="20% - Accent4 2 4 2 4 6" xfId="37183" xr:uid="{00000000-0005-0000-0000-0000AC250000}"/>
    <cellStyle name="20% - Accent4 2 4 2 5" xfId="7558" xr:uid="{00000000-0005-0000-0000-0000AD250000}"/>
    <cellStyle name="20% - Accent4 2 4 2 6" xfId="14659" xr:uid="{00000000-0005-0000-0000-0000AE250000}"/>
    <cellStyle name="20% - Accent4 2 4 2 7" xfId="21761" xr:uid="{00000000-0005-0000-0000-0000AF250000}"/>
    <cellStyle name="20% - Accent4 2 4 2 8" xfId="28863" xr:uid="{00000000-0005-0000-0000-0000B0250000}"/>
    <cellStyle name="20% - Accent4 2 4 2 9" xfId="37184" xr:uid="{00000000-0005-0000-0000-0000B1250000}"/>
    <cellStyle name="20% - Accent4 2 4 3" xfId="592" xr:uid="{00000000-0005-0000-0000-0000B2250000}"/>
    <cellStyle name="20% - Accent4 2 4 3 2" xfId="2083" xr:uid="{00000000-0005-0000-0000-0000B3250000}"/>
    <cellStyle name="20% - Accent4 2 4 3 2 2" xfId="6351" xr:uid="{00000000-0005-0000-0000-0000B4250000}"/>
    <cellStyle name="20% - Accent4 2 4 3 2 2 2" xfId="13451" xr:uid="{00000000-0005-0000-0000-0000B5250000}"/>
    <cellStyle name="20% - Accent4 2 4 3 2 2 3" xfId="20552" xr:uid="{00000000-0005-0000-0000-0000B6250000}"/>
    <cellStyle name="20% - Accent4 2 4 3 2 2 4" xfId="27654" xr:uid="{00000000-0005-0000-0000-0000B7250000}"/>
    <cellStyle name="20% - Accent4 2 4 3 2 2 5" xfId="34756" xr:uid="{00000000-0005-0000-0000-0000B8250000}"/>
    <cellStyle name="20% - Accent4 2 4 3 2 2 6" xfId="37185" xr:uid="{00000000-0005-0000-0000-0000B9250000}"/>
    <cellStyle name="20% - Accent4 2 4 3 2 3" xfId="9191" xr:uid="{00000000-0005-0000-0000-0000BA250000}"/>
    <cellStyle name="20% - Accent4 2 4 3 2 4" xfId="16292" xr:uid="{00000000-0005-0000-0000-0000BB250000}"/>
    <cellStyle name="20% - Accent4 2 4 3 2 5" xfId="23394" xr:uid="{00000000-0005-0000-0000-0000BC250000}"/>
    <cellStyle name="20% - Accent4 2 4 3 2 6" xfId="30496" xr:uid="{00000000-0005-0000-0000-0000BD250000}"/>
    <cellStyle name="20% - Accent4 2 4 3 2 7" xfId="37186" xr:uid="{00000000-0005-0000-0000-0000BE250000}"/>
    <cellStyle name="20% - Accent4 2 4 3 3" xfId="4930" xr:uid="{00000000-0005-0000-0000-0000BF250000}"/>
    <cellStyle name="20% - Accent4 2 4 3 3 2" xfId="12031" xr:uid="{00000000-0005-0000-0000-0000C0250000}"/>
    <cellStyle name="20% - Accent4 2 4 3 3 2 2" xfId="37187" xr:uid="{00000000-0005-0000-0000-0000C1250000}"/>
    <cellStyle name="20% - Accent4 2 4 3 3 3" xfId="19132" xr:uid="{00000000-0005-0000-0000-0000C2250000}"/>
    <cellStyle name="20% - Accent4 2 4 3 3 4" xfId="26234" xr:uid="{00000000-0005-0000-0000-0000C3250000}"/>
    <cellStyle name="20% - Accent4 2 4 3 3 5" xfId="33336" xr:uid="{00000000-0005-0000-0000-0000C4250000}"/>
    <cellStyle name="20% - Accent4 2 4 3 3 6" xfId="37188" xr:uid="{00000000-0005-0000-0000-0000C5250000}"/>
    <cellStyle name="20% - Accent4 2 4 3 4" xfId="3505" xr:uid="{00000000-0005-0000-0000-0000C6250000}"/>
    <cellStyle name="20% - Accent4 2 4 3 4 2" xfId="10611" xr:uid="{00000000-0005-0000-0000-0000C7250000}"/>
    <cellStyle name="20% - Accent4 2 4 3 4 3" xfId="17712" xr:uid="{00000000-0005-0000-0000-0000C8250000}"/>
    <cellStyle name="20% - Accent4 2 4 3 4 4" xfId="24814" xr:uid="{00000000-0005-0000-0000-0000C9250000}"/>
    <cellStyle name="20% - Accent4 2 4 3 4 5" xfId="31916" xr:uid="{00000000-0005-0000-0000-0000CA250000}"/>
    <cellStyle name="20% - Accent4 2 4 3 4 6" xfId="37189" xr:uid="{00000000-0005-0000-0000-0000CB250000}"/>
    <cellStyle name="20% - Accent4 2 4 3 5" xfId="7771" xr:uid="{00000000-0005-0000-0000-0000CC250000}"/>
    <cellStyle name="20% - Accent4 2 4 3 6" xfId="14872" xr:uid="{00000000-0005-0000-0000-0000CD250000}"/>
    <cellStyle name="20% - Accent4 2 4 3 7" xfId="21974" xr:uid="{00000000-0005-0000-0000-0000CE250000}"/>
    <cellStyle name="20% - Accent4 2 4 3 8" xfId="29076" xr:uid="{00000000-0005-0000-0000-0000CF250000}"/>
    <cellStyle name="20% - Accent4 2 4 3 9" xfId="37190" xr:uid="{00000000-0005-0000-0000-0000D0250000}"/>
    <cellStyle name="20% - Accent4 2 4 4" xfId="805" xr:uid="{00000000-0005-0000-0000-0000D1250000}"/>
    <cellStyle name="20% - Accent4 2 4 4 2" xfId="2296" xr:uid="{00000000-0005-0000-0000-0000D2250000}"/>
    <cellStyle name="20% - Accent4 2 4 4 2 2" xfId="6564" xr:uid="{00000000-0005-0000-0000-0000D3250000}"/>
    <cellStyle name="20% - Accent4 2 4 4 2 2 2" xfId="13664" xr:uid="{00000000-0005-0000-0000-0000D4250000}"/>
    <cellStyle name="20% - Accent4 2 4 4 2 2 3" xfId="20765" xr:uid="{00000000-0005-0000-0000-0000D5250000}"/>
    <cellStyle name="20% - Accent4 2 4 4 2 2 4" xfId="27867" xr:uid="{00000000-0005-0000-0000-0000D6250000}"/>
    <cellStyle name="20% - Accent4 2 4 4 2 2 5" xfId="34969" xr:uid="{00000000-0005-0000-0000-0000D7250000}"/>
    <cellStyle name="20% - Accent4 2 4 4 2 2 6" xfId="37191" xr:uid="{00000000-0005-0000-0000-0000D8250000}"/>
    <cellStyle name="20% - Accent4 2 4 4 2 3" xfId="9404" xr:uid="{00000000-0005-0000-0000-0000D9250000}"/>
    <cellStyle name="20% - Accent4 2 4 4 2 4" xfId="16505" xr:uid="{00000000-0005-0000-0000-0000DA250000}"/>
    <cellStyle name="20% - Accent4 2 4 4 2 5" xfId="23607" xr:uid="{00000000-0005-0000-0000-0000DB250000}"/>
    <cellStyle name="20% - Accent4 2 4 4 2 6" xfId="30709" xr:uid="{00000000-0005-0000-0000-0000DC250000}"/>
    <cellStyle name="20% - Accent4 2 4 4 2 7" xfId="37192" xr:uid="{00000000-0005-0000-0000-0000DD250000}"/>
    <cellStyle name="20% - Accent4 2 4 4 3" xfId="5143" xr:uid="{00000000-0005-0000-0000-0000DE250000}"/>
    <cellStyle name="20% - Accent4 2 4 4 3 2" xfId="12244" xr:uid="{00000000-0005-0000-0000-0000DF250000}"/>
    <cellStyle name="20% - Accent4 2 4 4 3 2 2" xfId="37193" xr:uid="{00000000-0005-0000-0000-0000E0250000}"/>
    <cellStyle name="20% - Accent4 2 4 4 3 3" xfId="19345" xr:uid="{00000000-0005-0000-0000-0000E1250000}"/>
    <cellStyle name="20% - Accent4 2 4 4 3 4" xfId="26447" xr:uid="{00000000-0005-0000-0000-0000E2250000}"/>
    <cellStyle name="20% - Accent4 2 4 4 3 5" xfId="33549" xr:uid="{00000000-0005-0000-0000-0000E3250000}"/>
    <cellStyle name="20% - Accent4 2 4 4 3 6" xfId="37194" xr:uid="{00000000-0005-0000-0000-0000E4250000}"/>
    <cellStyle name="20% - Accent4 2 4 4 4" xfId="3718" xr:uid="{00000000-0005-0000-0000-0000E5250000}"/>
    <cellStyle name="20% - Accent4 2 4 4 4 2" xfId="10824" xr:uid="{00000000-0005-0000-0000-0000E6250000}"/>
    <cellStyle name="20% - Accent4 2 4 4 4 3" xfId="17925" xr:uid="{00000000-0005-0000-0000-0000E7250000}"/>
    <cellStyle name="20% - Accent4 2 4 4 4 4" xfId="25027" xr:uid="{00000000-0005-0000-0000-0000E8250000}"/>
    <cellStyle name="20% - Accent4 2 4 4 4 5" xfId="32129" xr:uid="{00000000-0005-0000-0000-0000E9250000}"/>
    <cellStyle name="20% - Accent4 2 4 4 4 6" xfId="37195" xr:uid="{00000000-0005-0000-0000-0000EA250000}"/>
    <cellStyle name="20% - Accent4 2 4 4 5" xfId="7984" xr:uid="{00000000-0005-0000-0000-0000EB250000}"/>
    <cellStyle name="20% - Accent4 2 4 4 6" xfId="15085" xr:uid="{00000000-0005-0000-0000-0000EC250000}"/>
    <cellStyle name="20% - Accent4 2 4 4 7" xfId="22187" xr:uid="{00000000-0005-0000-0000-0000ED250000}"/>
    <cellStyle name="20% - Accent4 2 4 4 8" xfId="29289" xr:uid="{00000000-0005-0000-0000-0000EE250000}"/>
    <cellStyle name="20% - Accent4 2 4 4 9" xfId="37196" xr:uid="{00000000-0005-0000-0000-0000EF250000}"/>
    <cellStyle name="20% - Accent4 2 4 5" xfId="1160" xr:uid="{00000000-0005-0000-0000-0000F0250000}"/>
    <cellStyle name="20% - Accent4 2 4 5 2" xfId="2651" xr:uid="{00000000-0005-0000-0000-0000F1250000}"/>
    <cellStyle name="20% - Accent4 2 4 5 2 2" xfId="6919" xr:uid="{00000000-0005-0000-0000-0000F2250000}"/>
    <cellStyle name="20% - Accent4 2 4 5 2 2 2" xfId="14019" xr:uid="{00000000-0005-0000-0000-0000F3250000}"/>
    <cellStyle name="20% - Accent4 2 4 5 2 2 3" xfId="21120" xr:uid="{00000000-0005-0000-0000-0000F4250000}"/>
    <cellStyle name="20% - Accent4 2 4 5 2 2 4" xfId="28222" xr:uid="{00000000-0005-0000-0000-0000F5250000}"/>
    <cellStyle name="20% - Accent4 2 4 5 2 2 5" xfId="35324" xr:uid="{00000000-0005-0000-0000-0000F6250000}"/>
    <cellStyle name="20% - Accent4 2 4 5 2 3" xfId="9759" xr:uid="{00000000-0005-0000-0000-0000F7250000}"/>
    <cellStyle name="20% - Accent4 2 4 5 2 4" xfId="16860" xr:uid="{00000000-0005-0000-0000-0000F8250000}"/>
    <cellStyle name="20% - Accent4 2 4 5 2 5" xfId="23962" xr:uid="{00000000-0005-0000-0000-0000F9250000}"/>
    <cellStyle name="20% - Accent4 2 4 5 2 6" xfId="31064" xr:uid="{00000000-0005-0000-0000-0000FA250000}"/>
    <cellStyle name="20% - Accent4 2 4 5 2 7" xfId="37197" xr:uid="{00000000-0005-0000-0000-0000FB250000}"/>
    <cellStyle name="20% - Accent4 2 4 5 3" xfId="5498" xr:uid="{00000000-0005-0000-0000-0000FC250000}"/>
    <cellStyle name="20% - Accent4 2 4 5 3 2" xfId="12599" xr:uid="{00000000-0005-0000-0000-0000FD250000}"/>
    <cellStyle name="20% - Accent4 2 4 5 3 3" xfId="19700" xr:uid="{00000000-0005-0000-0000-0000FE250000}"/>
    <cellStyle name="20% - Accent4 2 4 5 3 4" xfId="26802" xr:uid="{00000000-0005-0000-0000-0000FF250000}"/>
    <cellStyle name="20% - Accent4 2 4 5 3 5" xfId="33904" xr:uid="{00000000-0005-0000-0000-000000260000}"/>
    <cellStyle name="20% - Accent4 2 4 5 4" xfId="4073" xr:uid="{00000000-0005-0000-0000-000001260000}"/>
    <cellStyle name="20% - Accent4 2 4 5 4 2" xfId="11179" xr:uid="{00000000-0005-0000-0000-000002260000}"/>
    <cellStyle name="20% - Accent4 2 4 5 4 3" xfId="18280" xr:uid="{00000000-0005-0000-0000-000003260000}"/>
    <cellStyle name="20% - Accent4 2 4 5 4 4" xfId="25382" xr:uid="{00000000-0005-0000-0000-000004260000}"/>
    <cellStyle name="20% - Accent4 2 4 5 4 5" xfId="32484" xr:uid="{00000000-0005-0000-0000-000005260000}"/>
    <cellStyle name="20% - Accent4 2 4 5 5" xfId="8339" xr:uid="{00000000-0005-0000-0000-000006260000}"/>
    <cellStyle name="20% - Accent4 2 4 5 6" xfId="15440" xr:uid="{00000000-0005-0000-0000-000007260000}"/>
    <cellStyle name="20% - Accent4 2 4 5 7" xfId="22542" xr:uid="{00000000-0005-0000-0000-000008260000}"/>
    <cellStyle name="20% - Accent4 2 4 5 8" xfId="29644" xr:uid="{00000000-0005-0000-0000-000009260000}"/>
    <cellStyle name="20% - Accent4 2 4 5 9" xfId="37198" xr:uid="{00000000-0005-0000-0000-00000A260000}"/>
    <cellStyle name="20% - Accent4 2 4 6" xfId="1373" xr:uid="{00000000-0005-0000-0000-00000B260000}"/>
    <cellStyle name="20% - Accent4 2 4 6 2" xfId="2864" xr:uid="{00000000-0005-0000-0000-00000C260000}"/>
    <cellStyle name="20% - Accent4 2 4 6 2 2" xfId="7132" xr:uid="{00000000-0005-0000-0000-00000D260000}"/>
    <cellStyle name="20% - Accent4 2 4 6 2 2 2" xfId="14232" xr:uid="{00000000-0005-0000-0000-00000E260000}"/>
    <cellStyle name="20% - Accent4 2 4 6 2 2 3" xfId="21333" xr:uid="{00000000-0005-0000-0000-00000F260000}"/>
    <cellStyle name="20% - Accent4 2 4 6 2 2 4" xfId="28435" xr:uid="{00000000-0005-0000-0000-000010260000}"/>
    <cellStyle name="20% - Accent4 2 4 6 2 2 5" xfId="35537" xr:uid="{00000000-0005-0000-0000-000011260000}"/>
    <cellStyle name="20% - Accent4 2 4 6 2 3" xfId="9972" xr:uid="{00000000-0005-0000-0000-000012260000}"/>
    <cellStyle name="20% - Accent4 2 4 6 2 4" xfId="17073" xr:uid="{00000000-0005-0000-0000-000013260000}"/>
    <cellStyle name="20% - Accent4 2 4 6 2 5" xfId="24175" xr:uid="{00000000-0005-0000-0000-000014260000}"/>
    <cellStyle name="20% - Accent4 2 4 6 2 6" xfId="31277" xr:uid="{00000000-0005-0000-0000-000015260000}"/>
    <cellStyle name="20% - Accent4 2 4 6 2 7" xfId="37199" xr:uid="{00000000-0005-0000-0000-000016260000}"/>
    <cellStyle name="20% - Accent4 2 4 6 3" xfId="5711" xr:uid="{00000000-0005-0000-0000-000017260000}"/>
    <cellStyle name="20% - Accent4 2 4 6 3 2" xfId="12812" xr:uid="{00000000-0005-0000-0000-000018260000}"/>
    <cellStyle name="20% - Accent4 2 4 6 3 3" xfId="19913" xr:uid="{00000000-0005-0000-0000-000019260000}"/>
    <cellStyle name="20% - Accent4 2 4 6 3 4" xfId="27015" xr:uid="{00000000-0005-0000-0000-00001A260000}"/>
    <cellStyle name="20% - Accent4 2 4 6 3 5" xfId="34117" xr:uid="{00000000-0005-0000-0000-00001B260000}"/>
    <cellStyle name="20% - Accent4 2 4 6 4" xfId="4286" xr:uid="{00000000-0005-0000-0000-00001C260000}"/>
    <cellStyle name="20% - Accent4 2 4 6 4 2" xfId="11392" xr:uid="{00000000-0005-0000-0000-00001D260000}"/>
    <cellStyle name="20% - Accent4 2 4 6 4 3" xfId="18493" xr:uid="{00000000-0005-0000-0000-00001E260000}"/>
    <cellStyle name="20% - Accent4 2 4 6 4 4" xfId="25595" xr:uid="{00000000-0005-0000-0000-00001F260000}"/>
    <cellStyle name="20% - Accent4 2 4 6 4 5" xfId="32697" xr:uid="{00000000-0005-0000-0000-000020260000}"/>
    <cellStyle name="20% - Accent4 2 4 6 5" xfId="8552" xr:uid="{00000000-0005-0000-0000-000021260000}"/>
    <cellStyle name="20% - Accent4 2 4 6 6" xfId="15653" xr:uid="{00000000-0005-0000-0000-000022260000}"/>
    <cellStyle name="20% - Accent4 2 4 6 7" xfId="22755" xr:uid="{00000000-0005-0000-0000-000023260000}"/>
    <cellStyle name="20% - Accent4 2 4 6 8" xfId="29857" xr:uid="{00000000-0005-0000-0000-000024260000}"/>
    <cellStyle name="20% - Accent4 2 4 6 9" xfId="37200" xr:uid="{00000000-0005-0000-0000-000025260000}"/>
    <cellStyle name="20% - Accent4 2 4 7" xfId="1657" xr:uid="{00000000-0005-0000-0000-000026260000}"/>
    <cellStyle name="20% - Accent4 2 4 7 2" xfId="5925" xr:uid="{00000000-0005-0000-0000-000027260000}"/>
    <cellStyle name="20% - Accent4 2 4 7 2 2" xfId="13025" xr:uid="{00000000-0005-0000-0000-000028260000}"/>
    <cellStyle name="20% - Accent4 2 4 7 2 3" xfId="20126" xr:uid="{00000000-0005-0000-0000-000029260000}"/>
    <cellStyle name="20% - Accent4 2 4 7 2 4" xfId="27228" xr:uid="{00000000-0005-0000-0000-00002A260000}"/>
    <cellStyle name="20% - Accent4 2 4 7 2 5" xfId="34330" xr:uid="{00000000-0005-0000-0000-00002B260000}"/>
    <cellStyle name="20% - Accent4 2 4 7 3" xfId="8765" xr:uid="{00000000-0005-0000-0000-00002C260000}"/>
    <cellStyle name="20% - Accent4 2 4 7 4" xfId="15866" xr:uid="{00000000-0005-0000-0000-00002D260000}"/>
    <cellStyle name="20% - Accent4 2 4 7 5" xfId="22968" xr:uid="{00000000-0005-0000-0000-00002E260000}"/>
    <cellStyle name="20% - Accent4 2 4 7 6" xfId="30070" xr:uid="{00000000-0005-0000-0000-00002F260000}"/>
    <cellStyle name="20% - Accent4 2 4 7 7" xfId="37201" xr:uid="{00000000-0005-0000-0000-000030260000}"/>
    <cellStyle name="20% - Accent4 2 4 8" xfId="4504" xr:uid="{00000000-0005-0000-0000-000031260000}"/>
    <cellStyle name="20% - Accent4 2 4 8 2" xfId="11605" xr:uid="{00000000-0005-0000-0000-000032260000}"/>
    <cellStyle name="20% - Accent4 2 4 8 3" xfId="18706" xr:uid="{00000000-0005-0000-0000-000033260000}"/>
    <cellStyle name="20% - Accent4 2 4 8 4" xfId="25808" xr:uid="{00000000-0005-0000-0000-000034260000}"/>
    <cellStyle name="20% - Accent4 2 4 8 5" xfId="32910" xr:uid="{00000000-0005-0000-0000-000035260000}"/>
    <cellStyle name="20% - Accent4 2 4 9" xfId="3079" xr:uid="{00000000-0005-0000-0000-000036260000}"/>
    <cellStyle name="20% - Accent4 2 4 9 2" xfId="10185" xr:uid="{00000000-0005-0000-0000-000037260000}"/>
    <cellStyle name="20% - Accent4 2 4 9 3" xfId="17286" xr:uid="{00000000-0005-0000-0000-000038260000}"/>
    <cellStyle name="20% - Accent4 2 4 9 4" xfId="24388" xr:uid="{00000000-0005-0000-0000-000039260000}"/>
    <cellStyle name="20% - Accent4 2 4 9 5" xfId="31490" xr:uid="{00000000-0005-0000-0000-00003A260000}"/>
    <cellStyle name="20% - Accent4 2 5" xfId="308" xr:uid="{00000000-0005-0000-0000-00003B260000}"/>
    <cellStyle name="20% - Accent4 2 5 10" xfId="37202" xr:uid="{00000000-0005-0000-0000-00003C260000}"/>
    <cellStyle name="20% - Accent4 2 5 2" xfId="1089" xr:uid="{00000000-0005-0000-0000-00003D260000}"/>
    <cellStyle name="20% - Accent4 2 5 2 2" xfId="2580" xr:uid="{00000000-0005-0000-0000-00003E260000}"/>
    <cellStyle name="20% - Accent4 2 5 2 2 2" xfId="6848" xr:uid="{00000000-0005-0000-0000-00003F260000}"/>
    <cellStyle name="20% - Accent4 2 5 2 2 2 2" xfId="13948" xr:uid="{00000000-0005-0000-0000-000040260000}"/>
    <cellStyle name="20% - Accent4 2 5 2 2 2 3" xfId="21049" xr:uid="{00000000-0005-0000-0000-000041260000}"/>
    <cellStyle name="20% - Accent4 2 5 2 2 2 4" xfId="28151" xr:uid="{00000000-0005-0000-0000-000042260000}"/>
    <cellStyle name="20% - Accent4 2 5 2 2 2 5" xfId="35253" xr:uid="{00000000-0005-0000-0000-000043260000}"/>
    <cellStyle name="20% - Accent4 2 5 2 2 2 6" xfId="37203" xr:uid="{00000000-0005-0000-0000-000044260000}"/>
    <cellStyle name="20% - Accent4 2 5 2 2 3" xfId="9688" xr:uid="{00000000-0005-0000-0000-000045260000}"/>
    <cellStyle name="20% - Accent4 2 5 2 2 4" xfId="16789" xr:uid="{00000000-0005-0000-0000-000046260000}"/>
    <cellStyle name="20% - Accent4 2 5 2 2 5" xfId="23891" xr:uid="{00000000-0005-0000-0000-000047260000}"/>
    <cellStyle name="20% - Accent4 2 5 2 2 6" xfId="30993" xr:uid="{00000000-0005-0000-0000-000048260000}"/>
    <cellStyle name="20% - Accent4 2 5 2 2 7" xfId="37204" xr:uid="{00000000-0005-0000-0000-000049260000}"/>
    <cellStyle name="20% - Accent4 2 5 2 3" xfId="5427" xr:uid="{00000000-0005-0000-0000-00004A260000}"/>
    <cellStyle name="20% - Accent4 2 5 2 3 2" xfId="12528" xr:uid="{00000000-0005-0000-0000-00004B260000}"/>
    <cellStyle name="20% - Accent4 2 5 2 3 2 2" xfId="37205" xr:uid="{00000000-0005-0000-0000-00004C260000}"/>
    <cellStyle name="20% - Accent4 2 5 2 3 3" xfId="19629" xr:uid="{00000000-0005-0000-0000-00004D260000}"/>
    <cellStyle name="20% - Accent4 2 5 2 3 4" xfId="26731" xr:uid="{00000000-0005-0000-0000-00004E260000}"/>
    <cellStyle name="20% - Accent4 2 5 2 3 5" xfId="33833" xr:uid="{00000000-0005-0000-0000-00004F260000}"/>
    <cellStyle name="20% - Accent4 2 5 2 3 6" xfId="37206" xr:uid="{00000000-0005-0000-0000-000050260000}"/>
    <cellStyle name="20% - Accent4 2 5 2 4" xfId="4002" xr:uid="{00000000-0005-0000-0000-000051260000}"/>
    <cellStyle name="20% - Accent4 2 5 2 4 2" xfId="11108" xr:uid="{00000000-0005-0000-0000-000052260000}"/>
    <cellStyle name="20% - Accent4 2 5 2 4 3" xfId="18209" xr:uid="{00000000-0005-0000-0000-000053260000}"/>
    <cellStyle name="20% - Accent4 2 5 2 4 4" xfId="25311" xr:uid="{00000000-0005-0000-0000-000054260000}"/>
    <cellStyle name="20% - Accent4 2 5 2 4 5" xfId="32413" xr:uid="{00000000-0005-0000-0000-000055260000}"/>
    <cellStyle name="20% - Accent4 2 5 2 4 6" xfId="37207" xr:uid="{00000000-0005-0000-0000-000056260000}"/>
    <cellStyle name="20% - Accent4 2 5 2 5" xfId="8268" xr:uid="{00000000-0005-0000-0000-000057260000}"/>
    <cellStyle name="20% - Accent4 2 5 2 6" xfId="15369" xr:uid="{00000000-0005-0000-0000-000058260000}"/>
    <cellStyle name="20% - Accent4 2 5 2 7" xfId="22471" xr:uid="{00000000-0005-0000-0000-000059260000}"/>
    <cellStyle name="20% - Accent4 2 5 2 8" xfId="29573" xr:uid="{00000000-0005-0000-0000-00005A260000}"/>
    <cellStyle name="20% - Accent4 2 5 2 9" xfId="37208" xr:uid="{00000000-0005-0000-0000-00005B260000}"/>
    <cellStyle name="20% - Accent4 2 5 3" xfId="1799" xr:uid="{00000000-0005-0000-0000-00005C260000}"/>
    <cellStyle name="20% - Accent4 2 5 3 2" xfId="6067" xr:uid="{00000000-0005-0000-0000-00005D260000}"/>
    <cellStyle name="20% - Accent4 2 5 3 2 2" xfId="13167" xr:uid="{00000000-0005-0000-0000-00005E260000}"/>
    <cellStyle name="20% - Accent4 2 5 3 2 2 2" xfId="37209" xr:uid="{00000000-0005-0000-0000-00005F260000}"/>
    <cellStyle name="20% - Accent4 2 5 3 2 3" xfId="20268" xr:uid="{00000000-0005-0000-0000-000060260000}"/>
    <cellStyle name="20% - Accent4 2 5 3 2 4" xfId="27370" xr:uid="{00000000-0005-0000-0000-000061260000}"/>
    <cellStyle name="20% - Accent4 2 5 3 2 5" xfId="34472" xr:uid="{00000000-0005-0000-0000-000062260000}"/>
    <cellStyle name="20% - Accent4 2 5 3 2 6" xfId="37210" xr:uid="{00000000-0005-0000-0000-000063260000}"/>
    <cellStyle name="20% - Accent4 2 5 3 3" xfId="8907" xr:uid="{00000000-0005-0000-0000-000064260000}"/>
    <cellStyle name="20% - Accent4 2 5 3 3 2" xfId="37211" xr:uid="{00000000-0005-0000-0000-000065260000}"/>
    <cellStyle name="20% - Accent4 2 5 3 3 3" xfId="37212" xr:uid="{00000000-0005-0000-0000-000066260000}"/>
    <cellStyle name="20% - Accent4 2 5 3 4" xfId="16008" xr:uid="{00000000-0005-0000-0000-000067260000}"/>
    <cellStyle name="20% - Accent4 2 5 3 4 2" xfId="37213" xr:uid="{00000000-0005-0000-0000-000068260000}"/>
    <cellStyle name="20% - Accent4 2 5 3 5" xfId="23110" xr:uid="{00000000-0005-0000-0000-000069260000}"/>
    <cellStyle name="20% - Accent4 2 5 3 6" xfId="30212" xr:uid="{00000000-0005-0000-0000-00006A260000}"/>
    <cellStyle name="20% - Accent4 2 5 3 7" xfId="37214" xr:uid="{00000000-0005-0000-0000-00006B260000}"/>
    <cellStyle name="20% - Accent4 2 5 4" xfId="4646" xr:uid="{00000000-0005-0000-0000-00006C260000}"/>
    <cellStyle name="20% - Accent4 2 5 4 2" xfId="11747" xr:uid="{00000000-0005-0000-0000-00006D260000}"/>
    <cellStyle name="20% - Accent4 2 5 4 2 2" xfId="37215" xr:uid="{00000000-0005-0000-0000-00006E260000}"/>
    <cellStyle name="20% - Accent4 2 5 4 2 3" xfId="37216" xr:uid="{00000000-0005-0000-0000-00006F260000}"/>
    <cellStyle name="20% - Accent4 2 5 4 3" xfId="18848" xr:uid="{00000000-0005-0000-0000-000070260000}"/>
    <cellStyle name="20% - Accent4 2 5 4 3 2" xfId="37217" xr:uid="{00000000-0005-0000-0000-000071260000}"/>
    <cellStyle name="20% - Accent4 2 5 4 3 3" xfId="37218" xr:uid="{00000000-0005-0000-0000-000072260000}"/>
    <cellStyle name="20% - Accent4 2 5 4 4" xfId="25950" xr:uid="{00000000-0005-0000-0000-000073260000}"/>
    <cellStyle name="20% - Accent4 2 5 4 4 2" xfId="37219" xr:uid="{00000000-0005-0000-0000-000074260000}"/>
    <cellStyle name="20% - Accent4 2 5 4 5" xfId="33052" xr:uid="{00000000-0005-0000-0000-000075260000}"/>
    <cellStyle name="20% - Accent4 2 5 4 6" xfId="37220" xr:uid="{00000000-0005-0000-0000-000076260000}"/>
    <cellStyle name="20% - Accent4 2 5 5" xfId="3221" xr:uid="{00000000-0005-0000-0000-000077260000}"/>
    <cellStyle name="20% - Accent4 2 5 5 2" xfId="10327" xr:uid="{00000000-0005-0000-0000-000078260000}"/>
    <cellStyle name="20% - Accent4 2 5 5 2 2" xfId="37221" xr:uid="{00000000-0005-0000-0000-000079260000}"/>
    <cellStyle name="20% - Accent4 2 5 5 3" xfId="17428" xr:uid="{00000000-0005-0000-0000-00007A260000}"/>
    <cellStyle name="20% - Accent4 2 5 5 4" xfId="24530" xr:uid="{00000000-0005-0000-0000-00007B260000}"/>
    <cellStyle name="20% - Accent4 2 5 5 5" xfId="31632" xr:uid="{00000000-0005-0000-0000-00007C260000}"/>
    <cellStyle name="20% - Accent4 2 5 5 6" xfId="37222" xr:uid="{00000000-0005-0000-0000-00007D260000}"/>
    <cellStyle name="20% - Accent4 2 5 6" xfId="7487" xr:uid="{00000000-0005-0000-0000-00007E260000}"/>
    <cellStyle name="20% - Accent4 2 5 6 2" xfId="37223" xr:uid="{00000000-0005-0000-0000-00007F260000}"/>
    <cellStyle name="20% - Accent4 2 5 6 3" xfId="37224" xr:uid="{00000000-0005-0000-0000-000080260000}"/>
    <cellStyle name="20% - Accent4 2 5 7" xfId="14588" xr:uid="{00000000-0005-0000-0000-000081260000}"/>
    <cellStyle name="20% - Accent4 2 5 7 2" xfId="37225" xr:uid="{00000000-0005-0000-0000-000082260000}"/>
    <cellStyle name="20% - Accent4 2 5 8" xfId="21690" xr:uid="{00000000-0005-0000-0000-000083260000}"/>
    <cellStyle name="20% - Accent4 2 5 9" xfId="28792" xr:uid="{00000000-0005-0000-0000-000084260000}"/>
    <cellStyle name="20% - Accent4 2 6" xfId="521" xr:uid="{00000000-0005-0000-0000-000085260000}"/>
    <cellStyle name="20% - Accent4 2 6 2" xfId="2012" xr:uid="{00000000-0005-0000-0000-000086260000}"/>
    <cellStyle name="20% - Accent4 2 6 2 2" xfId="6280" xr:uid="{00000000-0005-0000-0000-000087260000}"/>
    <cellStyle name="20% - Accent4 2 6 2 2 2" xfId="13380" xr:uid="{00000000-0005-0000-0000-000088260000}"/>
    <cellStyle name="20% - Accent4 2 6 2 2 3" xfId="20481" xr:uid="{00000000-0005-0000-0000-000089260000}"/>
    <cellStyle name="20% - Accent4 2 6 2 2 4" xfId="27583" xr:uid="{00000000-0005-0000-0000-00008A260000}"/>
    <cellStyle name="20% - Accent4 2 6 2 2 5" xfId="34685" xr:uid="{00000000-0005-0000-0000-00008B260000}"/>
    <cellStyle name="20% - Accent4 2 6 2 2 6" xfId="37226" xr:uid="{00000000-0005-0000-0000-00008C260000}"/>
    <cellStyle name="20% - Accent4 2 6 2 3" xfId="9120" xr:uid="{00000000-0005-0000-0000-00008D260000}"/>
    <cellStyle name="20% - Accent4 2 6 2 4" xfId="16221" xr:uid="{00000000-0005-0000-0000-00008E260000}"/>
    <cellStyle name="20% - Accent4 2 6 2 5" xfId="23323" xr:uid="{00000000-0005-0000-0000-00008F260000}"/>
    <cellStyle name="20% - Accent4 2 6 2 6" xfId="30425" xr:uid="{00000000-0005-0000-0000-000090260000}"/>
    <cellStyle name="20% - Accent4 2 6 2 7" xfId="37227" xr:uid="{00000000-0005-0000-0000-000091260000}"/>
    <cellStyle name="20% - Accent4 2 6 3" xfId="4859" xr:uid="{00000000-0005-0000-0000-000092260000}"/>
    <cellStyle name="20% - Accent4 2 6 3 2" xfId="11960" xr:uid="{00000000-0005-0000-0000-000093260000}"/>
    <cellStyle name="20% - Accent4 2 6 3 2 2" xfId="37228" xr:uid="{00000000-0005-0000-0000-000094260000}"/>
    <cellStyle name="20% - Accent4 2 6 3 3" xfId="19061" xr:uid="{00000000-0005-0000-0000-000095260000}"/>
    <cellStyle name="20% - Accent4 2 6 3 4" xfId="26163" xr:uid="{00000000-0005-0000-0000-000096260000}"/>
    <cellStyle name="20% - Accent4 2 6 3 5" xfId="33265" xr:uid="{00000000-0005-0000-0000-000097260000}"/>
    <cellStyle name="20% - Accent4 2 6 3 6" xfId="37229" xr:uid="{00000000-0005-0000-0000-000098260000}"/>
    <cellStyle name="20% - Accent4 2 6 4" xfId="3434" xr:uid="{00000000-0005-0000-0000-000099260000}"/>
    <cellStyle name="20% - Accent4 2 6 4 2" xfId="10540" xr:uid="{00000000-0005-0000-0000-00009A260000}"/>
    <cellStyle name="20% - Accent4 2 6 4 3" xfId="17641" xr:uid="{00000000-0005-0000-0000-00009B260000}"/>
    <cellStyle name="20% - Accent4 2 6 4 4" xfId="24743" xr:uid="{00000000-0005-0000-0000-00009C260000}"/>
    <cellStyle name="20% - Accent4 2 6 4 5" xfId="31845" xr:uid="{00000000-0005-0000-0000-00009D260000}"/>
    <cellStyle name="20% - Accent4 2 6 4 6" xfId="37230" xr:uid="{00000000-0005-0000-0000-00009E260000}"/>
    <cellStyle name="20% - Accent4 2 6 5" xfId="7700" xr:uid="{00000000-0005-0000-0000-00009F260000}"/>
    <cellStyle name="20% - Accent4 2 6 6" xfId="14801" xr:uid="{00000000-0005-0000-0000-0000A0260000}"/>
    <cellStyle name="20% - Accent4 2 6 7" xfId="21903" xr:uid="{00000000-0005-0000-0000-0000A1260000}"/>
    <cellStyle name="20% - Accent4 2 6 8" xfId="29005" xr:uid="{00000000-0005-0000-0000-0000A2260000}"/>
    <cellStyle name="20% - Accent4 2 6 9" xfId="37231" xr:uid="{00000000-0005-0000-0000-0000A3260000}"/>
    <cellStyle name="20% - Accent4 2 7" xfId="734" xr:uid="{00000000-0005-0000-0000-0000A4260000}"/>
    <cellStyle name="20% - Accent4 2 7 2" xfId="2225" xr:uid="{00000000-0005-0000-0000-0000A5260000}"/>
    <cellStyle name="20% - Accent4 2 7 2 2" xfId="6493" xr:uid="{00000000-0005-0000-0000-0000A6260000}"/>
    <cellStyle name="20% - Accent4 2 7 2 2 2" xfId="13593" xr:uid="{00000000-0005-0000-0000-0000A7260000}"/>
    <cellStyle name="20% - Accent4 2 7 2 2 3" xfId="20694" xr:uid="{00000000-0005-0000-0000-0000A8260000}"/>
    <cellStyle name="20% - Accent4 2 7 2 2 4" xfId="27796" xr:uid="{00000000-0005-0000-0000-0000A9260000}"/>
    <cellStyle name="20% - Accent4 2 7 2 2 5" xfId="34898" xr:uid="{00000000-0005-0000-0000-0000AA260000}"/>
    <cellStyle name="20% - Accent4 2 7 2 2 6" xfId="37232" xr:uid="{00000000-0005-0000-0000-0000AB260000}"/>
    <cellStyle name="20% - Accent4 2 7 2 3" xfId="9333" xr:uid="{00000000-0005-0000-0000-0000AC260000}"/>
    <cellStyle name="20% - Accent4 2 7 2 4" xfId="16434" xr:uid="{00000000-0005-0000-0000-0000AD260000}"/>
    <cellStyle name="20% - Accent4 2 7 2 5" xfId="23536" xr:uid="{00000000-0005-0000-0000-0000AE260000}"/>
    <cellStyle name="20% - Accent4 2 7 2 6" xfId="30638" xr:uid="{00000000-0005-0000-0000-0000AF260000}"/>
    <cellStyle name="20% - Accent4 2 7 2 7" xfId="37233" xr:uid="{00000000-0005-0000-0000-0000B0260000}"/>
    <cellStyle name="20% - Accent4 2 7 3" xfId="5072" xr:uid="{00000000-0005-0000-0000-0000B1260000}"/>
    <cellStyle name="20% - Accent4 2 7 3 2" xfId="12173" xr:uid="{00000000-0005-0000-0000-0000B2260000}"/>
    <cellStyle name="20% - Accent4 2 7 3 2 2" xfId="37234" xr:uid="{00000000-0005-0000-0000-0000B3260000}"/>
    <cellStyle name="20% - Accent4 2 7 3 3" xfId="19274" xr:uid="{00000000-0005-0000-0000-0000B4260000}"/>
    <cellStyle name="20% - Accent4 2 7 3 4" xfId="26376" xr:uid="{00000000-0005-0000-0000-0000B5260000}"/>
    <cellStyle name="20% - Accent4 2 7 3 5" xfId="33478" xr:uid="{00000000-0005-0000-0000-0000B6260000}"/>
    <cellStyle name="20% - Accent4 2 7 3 6" xfId="37235" xr:uid="{00000000-0005-0000-0000-0000B7260000}"/>
    <cellStyle name="20% - Accent4 2 7 4" xfId="3647" xr:uid="{00000000-0005-0000-0000-0000B8260000}"/>
    <cellStyle name="20% - Accent4 2 7 4 2" xfId="10753" xr:uid="{00000000-0005-0000-0000-0000B9260000}"/>
    <cellStyle name="20% - Accent4 2 7 4 3" xfId="17854" xr:uid="{00000000-0005-0000-0000-0000BA260000}"/>
    <cellStyle name="20% - Accent4 2 7 4 4" xfId="24956" xr:uid="{00000000-0005-0000-0000-0000BB260000}"/>
    <cellStyle name="20% - Accent4 2 7 4 5" xfId="32058" xr:uid="{00000000-0005-0000-0000-0000BC260000}"/>
    <cellStyle name="20% - Accent4 2 7 4 6" xfId="37236" xr:uid="{00000000-0005-0000-0000-0000BD260000}"/>
    <cellStyle name="20% - Accent4 2 7 5" xfId="7913" xr:uid="{00000000-0005-0000-0000-0000BE260000}"/>
    <cellStyle name="20% - Accent4 2 7 6" xfId="15014" xr:uid="{00000000-0005-0000-0000-0000BF260000}"/>
    <cellStyle name="20% - Accent4 2 7 7" xfId="22116" xr:uid="{00000000-0005-0000-0000-0000C0260000}"/>
    <cellStyle name="20% - Accent4 2 7 8" xfId="29218" xr:uid="{00000000-0005-0000-0000-0000C1260000}"/>
    <cellStyle name="20% - Accent4 2 7 9" xfId="37237" xr:uid="{00000000-0005-0000-0000-0000C2260000}"/>
    <cellStyle name="20% - Accent4 2 8" xfId="947" xr:uid="{00000000-0005-0000-0000-0000C3260000}"/>
    <cellStyle name="20% - Accent4 2 8 2" xfId="2438" xr:uid="{00000000-0005-0000-0000-0000C4260000}"/>
    <cellStyle name="20% - Accent4 2 8 2 2" xfId="6706" xr:uid="{00000000-0005-0000-0000-0000C5260000}"/>
    <cellStyle name="20% - Accent4 2 8 2 2 2" xfId="13806" xr:uid="{00000000-0005-0000-0000-0000C6260000}"/>
    <cellStyle name="20% - Accent4 2 8 2 2 3" xfId="20907" xr:uid="{00000000-0005-0000-0000-0000C7260000}"/>
    <cellStyle name="20% - Accent4 2 8 2 2 4" xfId="28009" xr:uid="{00000000-0005-0000-0000-0000C8260000}"/>
    <cellStyle name="20% - Accent4 2 8 2 2 5" xfId="35111" xr:uid="{00000000-0005-0000-0000-0000C9260000}"/>
    <cellStyle name="20% - Accent4 2 8 2 2 6" xfId="37238" xr:uid="{00000000-0005-0000-0000-0000CA260000}"/>
    <cellStyle name="20% - Accent4 2 8 2 3" xfId="9546" xr:uid="{00000000-0005-0000-0000-0000CB260000}"/>
    <cellStyle name="20% - Accent4 2 8 2 4" xfId="16647" xr:uid="{00000000-0005-0000-0000-0000CC260000}"/>
    <cellStyle name="20% - Accent4 2 8 2 5" xfId="23749" xr:uid="{00000000-0005-0000-0000-0000CD260000}"/>
    <cellStyle name="20% - Accent4 2 8 2 6" xfId="30851" xr:uid="{00000000-0005-0000-0000-0000CE260000}"/>
    <cellStyle name="20% - Accent4 2 8 2 7" xfId="37239" xr:uid="{00000000-0005-0000-0000-0000CF260000}"/>
    <cellStyle name="20% - Accent4 2 8 3" xfId="5285" xr:uid="{00000000-0005-0000-0000-0000D0260000}"/>
    <cellStyle name="20% - Accent4 2 8 3 2" xfId="12386" xr:uid="{00000000-0005-0000-0000-0000D1260000}"/>
    <cellStyle name="20% - Accent4 2 8 3 2 2" xfId="37240" xr:uid="{00000000-0005-0000-0000-0000D2260000}"/>
    <cellStyle name="20% - Accent4 2 8 3 3" xfId="19487" xr:uid="{00000000-0005-0000-0000-0000D3260000}"/>
    <cellStyle name="20% - Accent4 2 8 3 4" xfId="26589" xr:uid="{00000000-0005-0000-0000-0000D4260000}"/>
    <cellStyle name="20% - Accent4 2 8 3 5" xfId="33691" xr:uid="{00000000-0005-0000-0000-0000D5260000}"/>
    <cellStyle name="20% - Accent4 2 8 3 6" xfId="37241" xr:uid="{00000000-0005-0000-0000-0000D6260000}"/>
    <cellStyle name="20% - Accent4 2 8 4" xfId="3860" xr:uid="{00000000-0005-0000-0000-0000D7260000}"/>
    <cellStyle name="20% - Accent4 2 8 4 2" xfId="10966" xr:uid="{00000000-0005-0000-0000-0000D8260000}"/>
    <cellStyle name="20% - Accent4 2 8 4 3" xfId="18067" xr:uid="{00000000-0005-0000-0000-0000D9260000}"/>
    <cellStyle name="20% - Accent4 2 8 4 4" xfId="25169" xr:uid="{00000000-0005-0000-0000-0000DA260000}"/>
    <cellStyle name="20% - Accent4 2 8 4 5" xfId="32271" xr:uid="{00000000-0005-0000-0000-0000DB260000}"/>
    <cellStyle name="20% - Accent4 2 8 4 6" xfId="37242" xr:uid="{00000000-0005-0000-0000-0000DC260000}"/>
    <cellStyle name="20% - Accent4 2 8 5" xfId="8126" xr:uid="{00000000-0005-0000-0000-0000DD260000}"/>
    <cellStyle name="20% - Accent4 2 8 6" xfId="15227" xr:uid="{00000000-0005-0000-0000-0000DE260000}"/>
    <cellStyle name="20% - Accent4 2 8 7" xfId="22329" xr:uid="{00000000-0005-0000-0000-0000DF260000}"/>
    <cellStyle name="20% - Accent4 2 8 8" xfId="29431" xr:uid="{00000000-0005-0000-0000-0000E0260000}"/>
    <cellStyle name="20% - Accent4 2 8 9" xfId="37243" xr:uid="{00000000-0005-0000-0000-0000E1260000}"/>
    <cellStyle name="20% - Accent4 2 9" xfId="1302" xr:uid="{00000000-0005-0000-0000-0000E2260000}"/>
    <cellStyle name="20% - Accent4 2 9 2" xfId="2793" xr:uid="{00000000-0005-0000-0000-0000E3260000}"/>
    <cellStyle name="20% - Accent4 2 9 2 2" xfId="7061" xr:uid="{00000000-0005-0000-0000-0000E4260000}"/>
    <cellStyle name="20% - Accent4 2 9 2 2 2" xfId="14161" xr:uid="{00000000-0005-0000-0000-0000E5260000}"/>
    <cellStyle name="20% - Accent4 2 9 2 2 3" xfId="21262" xr:uid="{00000000-0005-0000-0000-0000E6260000}"/>
    <cellStyle name="20% - Accent4 2 9 2 2 4" xfId="28364" xr:uid="{00000000-0005-0000-0000-0000E7260000}"/>
    <cellStyle name="20% - Accent4 2 9 2 2 5" xfId="35466" xr:uid="{00000000-0005-0000-0000-0000E8260000}"/>
    <cellStyle name="20% - Accent4 2 9 2 3" xfId="9901" xr:uid="{00000000-0005-0000-0000-0000E9260000}"/>
    <cellStyle name="20% - Accent4 2 9 2 4" xfId="17002" xr:uid="{00000000-0005-0000-0000-0000EA260000}"/>
    <cellStyle name="20% - Accent4 2 9 2 5" xfId="24104" xr:uid="{00000000-0005-0000-0000-0000EB260000}"/>
    <cellStyle name="20% - Accent4 2 9 2 6" xfId="31206" xr:uid="{00000000-0005-0000-0000-0000EC260000}"/>
    <cellStyle name="20% - Accent4 2 9 2 7" xfId="37244" xr:uid="{00000000-0005-0000-0000-0000ED260000}"/>
    <cellStyle name="20% - Accent4 2 9 3" xfId="5640" xr:uid="{00000000-0005-0000-0000-0000EE260000}"/>
    <cellStyle name="20% - Accent4 2 9 3 2" xfId="12741" xr:uid="{00000000-0005-0000-0000-0000EF260000}"/>
    <cellStyle name="20% - Accent4 2 9 3 3" xfId="19842" xr:uid="{00000000-0005-0000-0000-0000F0260000}"/>
    <cellStyle name="20% - Accent4 2 9 3 4" xfId="26944" xr:uid="{00000000-0005-0000-0000-0000F1260000}"/>
    <cellStyle name="20% - Accent4 2 9 3 5" xfId="34046" xr:uid="{00000000-0005-0000-0000-0000F2260000}"/>
    <cellStyle name="20% - Accent4 2 9 4" xfId="4215" xr:uid="{00000000-0005-0000-0000-0000F3260000}"/>
    <cellStyle name="20% - Accent4 2 9 4 2" xfId="11321" xr:uid="{00000000-0005-0000-0000-0000F4260000}"/>
    <cellStyle name="20% - Accent4 2 9 4 3" xfId="18422" xr:uid="{00000000-0005-0000-0000-0000F5260000}"/>
    <cellStyle name="20% - Accent4 2 9 4 4" xfId="25524" xr:uid="{00000000-0005-0000-0000-0000F6260000}"/>
    <cellStyle name="20% - Accent4 2 9 4 5" xfId="32626" xr:uid="{00000000-0005-0000-0000-0000F7260000}"/>
    <cellStyle name="20% - Accent4 2 9 5" xfId="8481" xr:uid="{00000000-0005-0000-0000-0000F8260000}"/>
    <cellStyle name="20% - Accent4 2 9 6" xfId="15582" xr:uid="{00000000-0005-0000-0000-0000F9260000}"/>
    <cellStyle name="20% - Accent4 2 9 7" xfId="22684" xr:uid="{00000000-0005-0000-0000-0000FA260000}"/>
    <cellStyle name="20% - Accent4 2 9 8" xfId="29786" xr:uid="{00000000-0005-0000-0000-0000FB260000}"/>
    <cellStyle name="20% - Accent4 2 9 9" xfId="37245" xr:uid="{00000000-0005-0000-0000-0000FC260000}"/>
    <cellStyle name="20% - Accent4 20" xfId="37246" xr:uid="{00000000-0005-0000-0000-0000FD260000}"/>
    <cellStyle name="20% - Accent4 21" xfId="37247" xr:uid="{00000000-0005-0000-0000-0000FE260000}"/>
    <cellStyle name="20% - Accent4 22" xfId="37248" xr:uid="{00000000-0005-0000-0000-0000FF260000}"/>
    <cellStyle name="20% - Accent4 23" xfId="37249" xr:uid="{00000000-0005-0000-0000-000000270000}"/>
    <cellStyle name="20% - Accent4 24" xfId="37250" xr:uid="{00000000-0005-0000-0000-000001270000}"/>
    <cellStyle name="20% - Accent4 25" xfId="37251" xr:uid="{00000000-0005-0000-0000-000002270000}"/>
    <cellStyle name="20% - Accent4 3" xfId="103" xr:uid="{00000000-0005-0000-0000-000003270000}"/>
    <cellStyle name="20% - Accent4 3 10" xfId="4447" xr:uid="{00000000-0005-0000-0000-000004270000}"/>
    <cellStyle name="20% - Accent4 3 10 2" xfId="11548" xr:uid="{00000000-0005-0000-0000-000005270000}"/>
    <cellStyle name="20% - Accent4 3 10 3" xfId="18649" xr:uid="{00000000-0005-0000-0000-000006270000}"/>
    <cellStyle name="20% - Accent4 3 10 4" xfId="25751" xr:uid="{00000000-0005-0000-0000-000007270000}"/>
    <cellStyle name="20% - Accent4 3 10 5" xfId="32853" xr:uid="{00000000-0005-0000-0000-000008270000}"/>
    <cellStyle name="20% - Accent4 3 11" xfId="3022" xr:uid="{00000000-0005-0000-0000-000009270000}"/>
    <cellStyle name="20% - Accent4 3 11 2" xfId="10128" xr:uid="{00000000-0005-0000-0000-00000A270000}"/>
    <cellStyle name="20% - Accent4 3 11 3" xfId="17229" xr:uid="{00000000-0005-0000-0000-00000B270000}"/>
    <cellStyle name="20% - Accent4 3 11 4" xfId="24331" xr:uid="{00000000-0005-0000-0000-00000C270000}"/>
    <cellStyle name="20% - Accent4 3 11 5" xfId="31433" xr:uid="{00000000-0005-0000-0000-00000D270000}"/>
    <cellStyle name="20% - Accent4 3 12" xfId="7288" xr:uid="{00000000-0005-0000-0000-00000E270000}"/>
    <cellStyle name="20% - Accent4 3 13" xfId="14389" xr:uid="{00000000-0005-0000-0000-00000F270000}"/>
    <cellStyle name="20% - Accent4 3 14" xfId="21491" xr:uid="{00000000-0005-0000-0000-000010270000}"/>
    <cellStyle name="20% - Accent4 3 15" xfId="28593" xr:uid="{00000000-0005-0000-0000-000011270000}"/>
    <cellStyle name="20% - Accent4 3 16" xfId="35695" xr:uid="{00000000-0005-0000-0000-000012270000}"/>
    <cellStyle name="20% - Accent4 3 17" xfId="37252" xr:uid="{00000000-0005-0000-0000-000013270000}"/>
    <cellStyle name="20% - Accent4 3 18" xfId="37253" xr:uid="{00000000-0005-0000-0000-000014270000}"/>
    <cellStyle name="20% - Accent4 3 2" xfId="251" xr:uid="{00000000-0005-0000-0000-000015270000}"/>
    <cellStyle name="20% - Accent4 3 2 10" xfId="7430" xr:uid="{00000000-0005-0000-0000-000016270000}"/>
    <cellStyle name="20% - Accent4 3 2 11" xfId="14531" xr:uid="{00000000-0005-0000-0000-000017270000}"/>
    <cellStyle name="20% - Accent4 3 2 12" xfId="21633" xr:uid="{00000000-0005-0000-0000-000018270000}"/>
    <cellStyle name="20% - Accent4 3 2 13" xfId="28735" xr:uid="{00000000-0005-0000-0000-000019270000}"/>
    <cellStyle name="20% - Accent4 3 2 14" xfId="35837" xr:uid="{00000000-0005-0000-0000-00001A270000}"/>
    <cellStyle name="20% - Accent4 3 2 15" xfId="37254" xr:uid="{00000000-0005-0000-0000-00001B270000}"/>
    <cellStyle name="20% - Accent4 3 2 2" xfId="464" xr:uid="{00000000-0005-0000-0000-00001C270000}"/>
    <cellStyle name="20% - Accent4 3 2 2 10" xfId="37255" xr:uid="{00000000-0005-0000-0000-00001D270000}"/>
    <cellStyle name="20% - Accent4 3 2 2 2" xfId="1245" xr:uid="{00000000-0005-0000-0000-00001E270000}"/>
    <cellStyle name="20% - Accent4 3 2 2 2 2" xfId="2736" xr:uid="{00000000-0005-0000-0000-00001F270000}"/>
    <cellStyle name="20% - Accent4 3 2 2 2 2 2" xfId="7004" xr:uid="{00000000-0005-0000-0000-000020270000}"/>
    <cellStyle name="20% - Accent4 3 2 2 2 2 2 2" xfId="14104" xr:uid="{00000000-0005-0000-0000-000021270000}"/>
    <cellStyle name="20% - Accent4 3 2 2 2 2 2 3" xfId="21205" xr:uid="{00000000-0005-0000-0000-000022270000}"/>
    <cellStyle name="20% - Accent4 3 2 2 2 2 2 4" xfId="28307" xr:uid="{00000000-0005-0000-0000-000023270000}"/>
    <cellStyle name="20% - Accent4 3 2 2 2 2 2 5" xfId="35409" xr:uid="{00000000-0005-0000-0000-000024270000}"/>
    <cellStyle name="20% - Accent4 3 2 2 2 2 3" xfId="9844" xr:uid="{00000000-0005-0000-0000-000025270000}"/>
    <cellStyle name="20% - Accent4 3 2 2 2 2 4" xfId="16945" xr:uid="{00000000-0005-0000-0000-000026270000}"/>
    <cellStyle name="20% - Accent4 3 2 2 2 2 5" xfId="24047" xr:uid="{00000000-0005-0000-0000-000027270000}"/>
    <cellStyle name="20% - Accent4 3 2 2 2 2 6" xfId="31149" xr:uid="{00000000-0005-0000-0000-000028270000}"/>
    <cellStyle name="20% - Accent4 3 2 2 2 2 7" xfId="37256" xr:uid="{00000000-0005-0000-0000-000029270000}"/>
    <cellStyle name="20% - Accent4 3 2 2 2 3" xfId="5583" xr:uid="{00000000-0005-0000-0000-00002A270000}"/>
    <cellStyle name="20% - Accent4 3 2 2 2 3 2" xfId="12684" xr:uid="{00000000-0005-0000-0000-00002B270000}"/>
    <cellStyle name="20% - Accent4 3 2 2 2 3 3" xfId="19785" xr:uid="{00000000-0005-0000-0000-00002C270000}"/>
    <cellStyle name="20% - Accent4 3 2 2 2 3 4" xfId="26887" xr:uid="{00000000-0005-0000-0000-00002D270000}"/>
    <cellStyle name="20% - Accent4 3 2 2 2 3 5" xfId="33989" xr:uid="{00000000-0005-0000-0000-00002E270000}"/>
    <cellStyle name="20% - Accent4 3 2 2 2 4" xfId="4158" xr:uid="{00000000-0005-0000-0000-00002F270000}"/>
    <cellStyle name="20% - Accent4 3 2 2 2 4 2" xfId="11264" xr:uid="{00000000-0005-0000-0000-000030270000}"/>
    <cellStyle name="20% - Accent4 3 2 2 2 4 3" xfId="18365" xr:uid="{00000000-0005-0000-0000-000031270000}"/>
    <cellStyle name="20% - Accent4 3 2 2 2 4 4" xfId="25467" xr:uid="{00000000-0005-0000-0000-000032270000}"/>
    <cellStyle name="20% - Accent4 3 2 2 2 4 5" xfId="32569" xr:uid="{00000000-0005-0000-0000-000033270000}"/>
    <cellStyle name="20% - Accent4 3 2 2 2 5" xfId="8424" xr:uid="{00000000-0005-0000-0000-000034270000}"/>
    <cellStyle name="20% - Accent4 3 2 2 2 6" xfId="15525" xr:uid="{00000000-0005-0000-0000-000035270000}"/>
    <cellStyle name="20% - Accent4 3 2 2 2 7" xfId="22627" xr:uid="{00000000-0005-0000-0000-000036270000}"/>
    <cellStyle name="20% - Accent4 3 2 2 2 8" xfId="29729" xr:uid="{00000000-0005-0000-0000-000037270000}"/>
    <cellStyle name="20% - Accent4 3 2 2 2 9" xfId="37257" xr:uid="{00000000-0005-0000-0000-000038270000}"/>
    <cellStyle name="20% - Accent4 3 2 2 3" xfId="1955" xr:uid="{00000000-0005-0000-0000-000039270000}"/>
    <cellStyle name="20% - Accent4 3 2 2 3 2" xfId="6223" xr:uid="{00000000-0005-0000-0000-00003A270000}"/>
    <cellStyle name="20% - Accent4 3 2 2 3 2 2" xfId="13323" xr:uid="{00000000-0005-0000-0000-00003B270000}"/>
    <cellStyle name="20% - Accent4 3 2 2 3 2 3" xfId="20424" xr:uid="{00000000-0005-0000-0000-00003C270000}"/>
    <cellStyle name="20% - Accent4 3 2 2 3 2 4" xfId="27526" xr:uid="{00000000-0005-0000-0000-00003D270000}"/>
    <cellStyle name="20% - Accent4 3 2 2 3 2 5" xfId="34628" xr:uid="{00000000-0005-0000-0000-00003E270000}"/>
    <cellStyle name="20% - Accent4 3 2 2 3 2 6" xfId="37258" xr:uid="{00000000-0005-0000-0000-00003F270000}"/>
    <cellStyle name="20% - Accent4 3 2 2 3 3" xfId="9063" xr:uid="{00000000-0005-0000-0000-000040270000}"/>
    <cellStyle name="20% - Accent4 3 2 2 3 4" xfId="16164" xr:uid="{00000000-0005-0000-0000-000041270000}"/>
    <cellStyle name="20% - Accent4 3 2 2 3 5" xfId="23266" xr:uid="{00000000-0005-0000-0000-000042270000}"/>
    <cellStyle name="20% - Accent4 3 2 2 3 6" xfId="30368" xr:uid="{00000000-0005-0000-0000-000043270000}"/>
    <cellStyle name="20% - Accent4 3 2 2 3 7" xfId="37259" xr:uid="{00000000-0005-0000-0000-000044270000}"/>
    <cellStyle name="20% - Accent4 3 2 2 4" xfId="4802" xr:uid="{00000000-0005-0000-0000-000045270000}"/>
    <cellStyle name="20% - Accent4 3 2 2 4 2" xfId="11903" xr:uid="{00000000-0005-0000-0000-000046270000}"/>
    <cellStyle name="20% - Accent4 3 2 2 4 3" xfId="19004" xr:uid="{00000000-0005-0000-0000-000047270000}"/>
    <cellStyle name="20% - Accent4 3 2 2 4 4" xfId="26106" xr:uid="{00000000-0005-0000-0000-000048270000}"/>
    <cellStyle name="20% - Accent4 3 2 2 4 5" xfId="33208" xr:uid="{00000000-0005-0000-0000-000049270000}"/>
    <cellStyle name="20% - Accent4 3 2 2 4 6" xfId="37260" xr:uid="{00000000-0005-0000-0000-00004A270000}"/>
    <cellStyle name="20% - Accent4 3 2 2 5" xfId="3377" xr:uid="{00000000-0005-0000-0000-00004B270000}"/>
    <cellStyle name="20% - Accent4 3 2 2 5 2" xfId="10483" xr:uid="{00000000-0005-0000-0000-00004C270000}"/>
    <cellStyle name="20% - Accent4 3 2 2 5 3" xfId="17584" xr:uid="{00000000-0005-0000-0000-00004D270000}"/>
    <cellStyle name="20% - Accent4 3 2 2 5 4" xfId="24686" xr:uid="{00000000-0005-0000-0000-00004E270000}"/>
    <cellStyle name="20% - Accent4 3 2 2 5 5" xfId="31788" xr:uid="{00000000-0005-0000-0000-00004F270000}"/>
    <cellStyle name="20% - Accent4 3 2 2 6" xfId="7643" xr:uid="{00000000-0005-0000-0000-000050270000}"/>
    <cellStyle name="20% - Accent4 3 2 2 7" xfId="14744" xr:uid="{00000000-0005-0000-0000-000051270000}"/>
    <cellStyle name="20% - Accent4 3 2 2 8" xfId="21846" xr:uid="{00000000-0005-0000-0000-000052270000}"/>
    <cellStyle name="20% - Accent4 3 2 2 9" xfId="28948" xr:uid="{00000000-0005-0000-0000-000053270000}"/>
    <cellStyle name="20% - Accent4 3 2 3" xfId="677" xr:uid="{00000000-0005-0000-0000-000054270000}"/>
    <cellStyle name="20% - Accent4 3 2 3 2" xfId="2168" xr:uid="{00000000-0005-0000-0000-000055270000}"/>
    <cellStyle name="20% - Accent4 3 2 3 2 2" xfId="6436" xr:uid="{00000000-0005-0000-0000-000056270000}"/>
    <cellStyle name="20% - Accent4 3 2 3 2 2 2" xfId="13536" xr:uid="{00000000-0005-0000-0000-000057270000}"/>
    <cellStyle name="20% - Accent4 3 2 3 2 2 3" xfId="20637" xr:uid="{00000000-0005-0000-0000-000058270000}"/>
    <cellStyle name="20% - Accent4 3 2 3 2 2 4" xfId="27739" xr:uid="{00000000-0005-0000-0000-000059270000}"/>
    <cellStyle name="20% - Accent4 3 2 3 2 2 5" xfId="34841" xr:uid="{00000000-0005-0000-0000-00005A270000}"/>
    <cellStyle name="20% - Accent4 3 2 3 2 2 6" xfId="37261" xr:uid="{00000000-0005-0000-0000-00005B270000}"/>
    <cellStyle name="20% - Accent4 3 2 3 2 3" xfId="9276" xr:uid="{00000000-0005-0000-0000-00005C270000}"/>
    <cellStyle name="20% - Accent4 3 2 3 2 4" xfId="16377" xr:uid="{00000000-0005-0000-0000-00005D270000}"/>
    <cellStyle name="20% - Accent4 3 2 3 2 5" xfId="23479" xr:uid="{00000000-0005-0000-0000-00005E270000}"/>
    <cellStyle name="20% - Accent4 3 2 3 2 6" xfId="30581" xr:uid="{00000000-0005-0000-0000-00005F270000}"/>
    <cellStyle name="20% - Accent4 3 2 3 2 7" xfId="37262" xr:uid="{00000000-0005-0000-0000-000060270000}"/>
    <cellStyle name="20% - Accent4 3 2 3 3" xfId="5015" xr:uid="{00000000-0005-0000-0000-000061270000}"/>
    <cellStyle name="20% - Accent4 3 2 3 3 2" xfId="12116" xr:uid="{00000000-0005-0000-0000-000062270000}"/>
    <cellStyle name="20% - Accent4 3 2 3 3 2 2" xfId="37263" xr:uid="{00000000-0005-0000-0000-000063270000}"/>
    <cellStyle name="20% - Accent4 3 2 3 3 3" xfId="19217" xr:uid="{00000000-0005-0000-0000-000064270000}"/>
    <cellStyle name="20% - Accent4 3 2 3 3 4" xfId="26319" xr:uid="{00000000-0005-0000-0000-000065270000}"/>
    <cellStyle name="20% - Accent4 3 2 3 3 5" xfId="33421" xr:uid="{00000000-0005-0000-0000-000066270000}"/>
    <cellStyle name="20% - Accent4 3 2 3 3 6" xfId="37264" xr:uid="{00000000-0005-0000-0000-000067270000}"/>
    <cellStyle name="20% - Accent4 3 2 3 4" xfId="3590" xr:uid="{00000000-0005-0000-0000-000068270000}"/>
    <cellStyle name="20% - Accent4 3 2 3 4 2" xfId="10696" xr:uid="{00000000-0005-0000-0000-000069270000}"/>
    <cellStyle name="20% - Accent4 3 2 3 4 3" xfId="17797" xr:uid="{00000000-0005-0000-0000-00006A270000}"/>
    <cellStyle name="20% - Accent4 3 2 3 4 4" xfId="24899" xr:uid="{00000000-0005-0000-0000-00006B270000}"/>
    <cellStyle name="20% - Accent4 3 2 3 4 5" xfId="32001" xr:uid="{00000000-0005-0000-0000-00006C270000}"/>
    <cellStyle name="20% - Accent4 3 2 3 4 6" xfId="37265" xr:uid="{00000000-0005-0000-0000-00006D270000}"/>
    <cellStyle name="20% - Accent4 3 2 3 5" xfId="7856" xr:uid="{00000000-0005-0000-0000-00006E270000}"/>
    <cellStyle name="20% - Accent4 3 2 3 6" xfId="14957" xr:uid="{00000000-0005-0000-0000-00006F270000}"/>
    <cellStyle name="20% - Accent4 3 2 3 7" xfId="22059" xr:uid="{00000000-0005-0000-0000-000070270000}"/>
    <cellStyle name="20% - Accent4 3 2 3 8" xfId="29161" xr:uid="{00000000-0005-0000-0000-000071270000}"/>
    <cellStyle name="20% - Accent4 3 2 3 9" xfId="37266" xr:uid="{00000000-0005-0000-0000-000072270000}"/>
    <cellStyle name="20% - Accent4 3 2 4" xfId="890" xr:uid="{00000000-0005-0000-0000-000073270000}"/>
    <cellStyle name="20% - Accent4 3 2 4 2" xfId="2381" xr:uid="{00000000-0005-0000-0000-000074270000}"/>
    <cellStyle name="20% - Accent4 3 2 4 2 2" xfId="6649" xr:uid="{00000000-0005-0000-0000-000075270000}"/>
    <cellStyle name="20% - Accent4 3 2 4 2 2 2" xfId="13749" xr:uid="{00000000-0005-0000-0000-000076270000}"/>
    <cellStyle name="20% - Accent4 3 2 4 2 2 3" xfId="20850" xr:uid="{00000000-0005-0000-0000-000077270000}"/>
    <cellStyle name="20% - Accent4 3 2 4 2 2 4" xfId="27952" xr:uid="{00000000-0005-0000-0000-000078270000}"/>
    <cellStyle name="20% - Accent4 3 2 4 2 2 5" xfId="35054" xr:uid="{00000000-0005-0000-0000-000079270000}"/>
    <cellStyle name="20% - Accent4 3 2 4 2 2 6" xfId="37267" xr:uid="{00000000-0005-0000-0000-00007A270000}"/>
    <cellStyle name="20% - Accent4 3 2 4 2 3" xfId="9489" xr:uid="{00000000-0005-0000-0000-00007B270000}"/>
    <cellStyle name="20% - Accent4 3 2 4 2 4" xfId="16590" xr:uid="{00000000-0005-0000-0000-00007C270000}"/>
    <cellStyle name="20% - Accent4 3 2 4 2 5" xfId="23692" xr:uid="{00000000-0005-0000-0000-00007D270000}"/>
    <cellStyle name="20% - Accent4 3 2 4 2 6" xfId="30794" xr:uid="{00000000-0005-0000-0000-00007E270000}"/>
    <cellStyle name="20% - Accent4 3 2 4 2 7" xfId="37268" xr:uid="{00000000-0005-0000-0000-00007F270000}"/>
    <cellStyle name="20% - Accent4 3 2 4 3" xfId="5228" xr:uid="{00000000-0005-0000-0000-000080270000}"/>
    <cellStyle name="20% - Accent4 3 2 4 3 2" xfId="12329" xr:uid="{00000000-0005-0000-0000-000081270000}"/>
    <cellStyle name="20% - Accent4 3 2 4 3 2 2" xfId="37269" xr:uid="{00000000-0005-0000-0000-000082270000}"/>
    <cellStyle name="20% - Accent4 3 2 4 3 3" xfId="19430" xr:uid="{00000000-0005-0000-0000-000083270000}"/>
    <cellStyle name="20% - Accent4 3 2 4 3 4" xfId="26532" xr:uid="{00000000-0005-0000-0000-000084270000}"/>
    <cellStyle name="20% - Accent4 3 2 4 3 5" xfId="33634" xr:uid="{00000000-0005-0000-0000-000085270000}"/>
    <cellStyle name="20% - Accent4 3 2 4 3 6" xfId="37270" xr:uid="{00000000-0005-0000-0000-000086270000}"/>
    <cellStyle name="20% - Accent4 3 2 4 4" xfId="3803" xr:uid="{00000000-0005-0000-0000-000087270000}"/>
    <cellStyle name="20% - Accent4 3 2 4 4 2" xfId="10909" xr:uid="{00000000-0005-0000-0000-000088270000}"/>
    <cellStyle name="20% - Accent4 3 2 4 4 3" xfId="18010" xr:uid="{00000000-0005-0000-0000-000089270000}"/>
    <cellStyle name="20% - Accent4 3 2 4 4 4" xfId="25112" xr:uid="{00000000-0005-0000-0000-00008A270000}"/>
    <cellStyle name="20% - Accent4 3 2 4 4 5" xfId="32214" xr:uid="{00000000-0005-0000-0000-00008B270000}"/>
    <cellStyle name="20% - Accent4 3 2 4 4 6" xfId="37271" xr:uid="{00000000-0005-0000-0000-00008C270000}"/>
    <cellStyle name="20% - Accent4 3 2 4 5" xfId="8069" xr:uid="{00000000-0005-0000-0000-00008D270000}"/>
    <cellStyle name="20% - Accent4 3 2 4 6" xfId="15170" xr:uid="{00000000-0005-0000-0000-00008E270000}"/>
    <cellStyle name="20% - Accent4 3 2 4 7" xfId="22272" xr:uid="{00000000-0005-0000-0000-00008F270000}"/>
    <cellStyle name="20% - Accent4 3 2 4 8" xfId="29374" xr:uid="{00000000-0005-0000-0000-000090270000}"/>
    <cellStyle name="20% - Accent4 3 2 4 9" xfId="37272" xr:uid="{00000000-0005-0000-0000-000091270000}"/>
    <cellStyle name="20% - Accent4 3 2 5" xfId="1032" xr:uid="{00000000-0005-0000-0000-000092270000}"/>
    <cellStyle name="20% - Accent4 3 2 5 2" xfId="2523" xr:uid="{00000000-0005-0000-0000-000093270000}"/>
    <cellStyle name="20% - Accent4 3 2 5 2 2" xfId="6791" xr:uid="{00000000-0005-0000-0000-000094270000}"/>
    <cellStyle name="20% - Accent4 3 2 5 2 2 2" xfId="13891" xr:uid="{00000000-0005-0000-0000-000095270000}"/>
    <cellStyle name="20% - Accent4 3 2 5 2 2 3" xfId="20992" xr:uid="{00000000-0005-0000-0000-000096270000}"/>
    <cellStyle name="20% - Accent4 3 2 5 2 2 4" xfId="28094" xr:uid="{00000000-0005-0000-0000-000097270000}"/>
    <cellStyle name="20% - Accent4 3 2 5 2 2 5" xfId="35196" xr:uid="{00000000-0005-0000-0000-000098270000}"/>
    <cellStyle name="20% - Accent4 3 2 5 2 3" xfId="9631" xr:uid="{00000000-0005-0000-0000-000099270000}"/>
    <cellStyle name="20% - Accent4 3 2 5 2 4" xfId="16732" xr:uid="{00000000-0005-0000-0000-00009A270000}"/>
    <cellStyle name="20% - Accent4 3 2 5 2 5" xfId="23834" xr:uid="{00000000-0005-0000-0000-00009B270000}"/>
    <cellStyle name="20% - Accent4 3 2 5 2 6" xfId="30936" xr:uid="{00000000-0005-0000-0000-00009C270000}"/>
    <cellStyle name="20% - Accent4 3 2 5 2 7" xfId="37273" xr:uid="{00000000-0005-0000-0000-00009D270000}"/>
    <cellStyle name="20% - Accent4 3 2 5 3" xfId="5370" xr:uid="{00000000-0005-0000-0000-00009E270000}"/>
    <cellStyle name="20% - Accent4 3 2 5 3 2" xfId="12471" xr:uid="{00000000-0005-0000-0000-00009F270000}"/>
    <cellStyle name="20% - Accent4 3 2 5 3 3" xfId="19572" xr:uid="{00000000-0005-0000-0000-0000A0270000}"/>
    <cellStyle name="20% - Accent4 3 2 5 3 4" xfId="26674" xr:uid="{00000000-0005-0000-0000-0000A1270000}"/>
    <cellStyle name="20% - Accent4 3 2 5 3 5" xfId="33776" xr:uid="{00000000-0005-0000-0000-0000A2270000}"/>
    <cellStyle name="20% - Accent4 3 2 5 4" xfId="3945" xr:uid="{00000000-0005-0000-0000-0000A3270000}"/>
    <cellStyle name="20% - Accent4 3 2 5 4 2" xfId="11051" xr:uid="{00000000-0005-0000-0000-0000A4270000}"/>
    <cellStyle name="20% - Accent4 3 2 5 4 3" xfId="18152" xr:uid="{00000000-0005-0000-0000-0000A5270000}"/>
    <cellStyle name="20% - Accent4 3 2 5 4 4" xfId="25254" xr:uid="{00000000-0005-0000-0000-0000A6270000}"/>
    <cellStyle name="20% - Accent4 3 2 5 4 5" xfId="32356" xr:uid="{00000000-0005-0000-0000-0000A7270000}"/>
    <cellStyle name="20% - Accent4 3 2 5 5" xfId="8211" xr:uid="{00000000-0005-0000-0000-0000A8270000}"/>
    <cellStyle name="20% - Accent4 3 2 5 6" xfId="15312" xr:uid="{00000000-0005-0000-0000-0000A9270000}"/>
    <cellStyle name="20% - Accent4 3 2 5 7" xfId="22414" xr:uid="{00000000-0005-0000-0000-0000AA270000}"/>
    <cellStyle name="20% - Accent4 3 2 5 8" xfId="29516" xr:uid="{00000000-0005-0000-0000-0000AB270000}"/>
    <cellStyle name="20% - Accent4 3 2 5 9" xfId="37274" xr:uid="{00000000-0005-0000-0000-0000AC270000}"/>
    <cellStyle name="20% - Accent4 3 2 6" xfId="1458" xr:uid="{00000000-0005-0000-0000-0000AD270000}"/>
    <cellStyle name="20% - Accent4 3 2 6 2" xfId="2949" xr:uid="{00000000-0005-0000-0000-0000AE270000}"/>
    <cellStyle name="20% - Accent4 3 2 6 2 2" xfId="7217" xr:uid="{00000000-0005-0000-0000-0000AF270000}"/>
    <cellStyle name="20% - Accent4 3 2 6 2 2 2" xfId="14317" xr:uid="{00000000-0005-0000-0000-0000B0270000}"/>
    <cellStyle name="20% - Accent4 3 2 6 2 2 3" xfId="21418" xr:uid="{00000000-0005-0000-0000-0000B1270000}"/>
    <cellStyle name="20% - Accent4 3 2 6 2 2 4" xfId="28520" xr:uid="{00000000-0005-0000-0000-0000B2270000}"/>
    <cellStyle name="20% - Accent4 3 2 6 2 2 5" xfId="35622" xr:uid="{00000000-0005-0000-0000-0000B3270000}"/>
    <cellStyle name="20% - Accent4 3 2 6 2 3" xfId="10057" xr:uid="{00000000-0005-0000-0000-0000B4270000}"/>
    <cellStyle name="20% - Accent4 3 2 6 2 4" xfId="17158" xr:uid="{00000000-0005-0000-0000-0000B5270000}"/>
    <cellStyle name="20% - Accent4 3 2 6 2 5" xfId="24260" xr:uid="{00000000-0005-0000-0000-0000B6270000}"/>
    <cellStyle name="20% - Accent4 3 2 6 2 6" xfId="31362" xr:uid="{00000000-0005-0000-0000-0000B7270000}"/>
    <cellStyle name="20% - Accent4 3 2 6 2 7" xfId="37275" xr:uid="{00000000-0005-0000-0000-0000B8270000}"/>
    <cellStyle name="20% - Accent4 3 2 6 3" xfId="5796" xr:uid="{00000000-0005-0000-0000-0000B9270000}"/>
    <cellStyle name="20% - Accent4 3 2 6 3 2" xfId="12897" xr:uid="{00000000-0005-0000-0000-0000BA270000}"/>
    <cellStyle name="20% - Accent4 3 2 6 3 3" xfId="19998" xr:uid="{00000000-0005-0000-0000-0000BB270000}"/>
    <cellStyle name="20% - Accent4 3 2 6 3 4" xfId="27100" xr:uid="{00000000-0005-0000-0000-0000BC270000}"/>
    <cellStyle name="20% - Accent4 3 2 6 3 5" xfId="34202" xr:uid="{00000000-0005-0000-0000-0000BD270000}"/>
    <cellStyle name="20% - Accent4 3 2 6 4" xfId="4371" xr:uid="{00000000-0005-0000-0000-0000BE270000}"/>
    <cellStyle name="20% - Accent4 3 2 6 4 2" xfId="11477" xr:uid="{00000000-0005-0000-0000-0000BF270000}"/>
    <cellStyle name="20% - Accent4 3 2 6 4 3" xfId="18578" xr:uid="{00000000-0005-0000-0000-0000C0270000}"/>
    <cellStyle name="20% - Accent4 3 2 6 4 4" xfId="25680" xr:uid="{00000000-0005-0000-0000-0000C1270000}"/>
    <cellStyle name="20% - Accent4 3 2 6 4 5" xfId="32782" xr:uid="{00000000-0005-0000-0000-0000C2270000}"/>
    <cellStyle name="20% - Accent4 3 2 6 5" xfId="8637" xr:uid="{00000000-0005-0000-0000-0000C3270000}"/>
    <cellStyle name="20% - Accent4 3 2 6 6" xfId="15738" xr:uid="{00000000-0005-0000-0000-0000C4270000}"/>
    <cellStyle name="20% - Accent4 3 2 6 7" xfId="22840" xr:uid="{00000000-0005-0000-0000-0000C5270000}"/>
    <cellStyle name="20% - Accent4 3 2 6 8" xfId="29942" xr:uid="{00000000-0005-0000-0000-0000C6270000}"/>
    <cellStyle name="20% - Accent4 3 2 6 9" xfId="37276" xr:uid="{00000000-0005-0000-0000-0000C7270000}"/>
    <cellStyle name="20% - Accent4 3 2 7" xfId="1742" xr:uid="{00000000-0005-0000-0000-0000C8270000}"/>
    <cellStyle name="20% - Accent4 3 2 7 2" xfId="6010" xr:uid="{00000000-0005-0000-0000-0000C9270000}"/>
    <cellStyle name="20% - Accent4 3 2 7 2 2" xfId="13110" xr:uid="{00000000-0005-0000-0000-0000CA270000}"/>
    <cellStyle name="20% - Accent4 3 2 7 2 3" xfId="20211" xr:uid="{00000000-0005-0000-0000-0000CB270000}"/>
    <cellStyle name="20% - Accent4 3 2 7 2 4" xfId="27313" xr:uid="{00000000-0005-0000-0000-0000CC270000}"/>
    <cellStyle name="20% - Accent4 3 2 7 2 5" xfId="34415" xr:uid="{00000000-0005-0000-0000-0000CD270000}"/>
    <cellStyle name="20% - Accent4 3 2 7 3" xfId="8850" xr:uid="{00000000-0005-0000-0000-0000CE270000}"/>
    <cellStyle name="20% - Accent4 3 2 7 4" xfId="15951" xr:uid="{00000000-0005-0000-0000-0000CF270000}"/>
    <cellStyle name="20% - Accent4 3 2 7 5" xfId="23053" xr:uid="{00000000-0005-0000-0000-0000D0270000}"/>
    <cellStyle name="20% - Accent4 3 2 7 6" xfId="30155" xr:uid="{00000000-0005-0000-0000-0000D1270000}"/>
    <cellStyle name="20% - Accent4 3 2 7 7" xfId="37277" xr:uid="{00000000-0005-0000-0000-0000D2270000}"/>
    <cellStyle name="20% - Accent4 3 2 8" xfId="4589" xr:uid="{00000000-0005-0000-0000-0000D3270000}"/>
    <cellStyle name="20% - Accent4 3 2 8 2" xfId="11690" xr:uid="{00000000-0005-0000-0000-0000D4270000}"/>
    <cellStyle name="20% - Accent4 3 2 8 3" xfId="18791" xr:uid="{00000000-0005-0000-0000-0000D5270000}"/>
    <cellStyle name="20% - Accent4 3 2 8 4" xfId="25893" xr:uid="{00000000-0005-0000-0000-0000D6270000}"/>
    <cellStyle name="20% - Accent4 3 2 8 5" xfId="32995" xr:uid="{00000000-0005-0000-0000-0000D7270000}"/>
    <cellStyle name="20% - Accent4 3 2 9" xfId="3164" xr:uid="{00000000-0005-0000-0000-0000D8270000}"/>
    <cellStyle name="20% - Accent4 3 2 9 2" xfId="10270" xr:uid="{00000000-0005-0000-0000-0000D9270000}"/>
    <cellStyle name="20% - Accent4 3 2 9 3" xfId="17371" xr:uid="{00000000-0005-0000-0000-0000DA270000}"/>
    <cellStyle name="20% - Accent4 3 2 9 4" xfId="24473" xr:uid="{00000000-0005-0000-0000-0000DB270000}"/>
    <cellStyle name="20% - Accent4 3 2 9 5" xfId="31575" xr:uid="{00000000-0005-0000-0000-0000DC270000}"/>
    <cellStyle name="20% - Accent4 3 3" xfId="180" xr:uid="{00000000-0005-0000-0000-0000DD270000}"/>
    <cellStyle name="20% - Accent4 3 3 10" xfId="7359" xr:uid="{00000000-0005-0000-0000-0000DE270000}"/>
    <cellStyle name="20% - Accent4 3 3 11" xfId="14460" xr:uid="{00000000-0005-0000-0000-0000DF270000}"/>
    <cellStyle name="20% - Accent4 3 3 12" xfId="21562" xr:uid="{00000000-0005-0000-0000-0000E0270000}"/>
    <cellStyle name="20% - Accent4 3 3 13" xfId="28664" xr:uid="{00000000-0005-0000-0000-0000E1270000}"/>
    <cellStyle name="20% - Accent4 3 3 14" xfId="35766" xr:uid="{00000000-0005-0000-0000-0000E2270000}"/>
    <cellStyle name="20% - Accent4 3 3 15" xfId="37278" xr:uid="{00000000-0005-0000-0000-0000E3270000}"/>
    <cellStyle name="20% - Accent4 3 3 2" xfId="393" xr:uid="{00000000-0005-0000-0000-0000E4270000}"/>
    <cellStyle name="20% - Accent4 3 3 2 2" xfId="1884" xr:uid="{00000000-0005-0000-0000-0000E5270000}"/>
    <cellStyle name="20% - Accent4 3 3 2 2 2" xfId="6152" xr:uid="{00000000-0005-0000-0000-0000E6270000}"/>
    <cellStyle name="20% - Accent4 3 3 2 2 2 2" xfId="13252" xr:uid="{00000000-0005-0000-0000-0000E7270000}"/>
    <cellStyle name="20% - Accent4 3 3 2 2 2 3" xfId="20353" xr:uid="{00000000-0005-0000-0000-0000E8270000}"/>
    <cellStyle name="20% - Accent4 3 3 2 2 2 4" xfId="27455" xr:uid="{00000000-0005-0000-0000-0000E9270000}"/>
    <cellStyle name="20% - Accent4 3 3 2 2 2 5" xfId="34557" xr:uid="{00000000-0005-0000-0000-0000EA270000}"/>
    <cellStyle name="20% - Accent4 3 3 2 2 2 6" xfId="37279" xr:uid="{00000000-0005-0000-0000-0000EB270000}"/>
    <cellStyle name="20% - Accent4 3 3 2 2 3" xfId="8992" xr:uid="{00000000-0005-0000-0000-0000EC270000}"/>
    <cellStyle name="20% - Accent4 3 3 2 2 4" xfId="16093" xr:uid="{00000000-0005-0000-0000-0000ED270000}"/>
    <cellStyle name="20% - Accent4 3 3 2 2 5" xfId="23195" xr:uid="{00000000-0005-0000-0000-0000EE270000}"/>
    <cellStyle name="20% - Accent4 3 3 2 2 6" xfId="30297" xr:uid="{00000000-0005-0000-0000-0000EF270000}"/>
    <cellStyle name="20% - Accent4 3 3 2 2 7" xfId="37280" xr:uid="{00000000-0005-0000-0000-0000F0270000}"/>
    <cellStyle name="20% - Accent4 3 3 2 3" xfId="4731" xr:uid="{00000000-0005-0000-0000-0000F1270000}"/>
    <cellStyle name="20% - Accent4 3 3 2 3 2" xfId="11832" xr:uid="{00000000-0005-0000-0000-0000F2270000}"/>
    <cellStyle name="20% - Accent4 3 3 2 3 2 2" xfId="37281" xr:uid="{00000000-0005-0000-0000-0000F3270000}"/>
    <cellStyle name="20% - Accent4 3 3 2 3 3" xfId="18933" xr:uid="{00000000-0005-0000-0000-0000F4270000}"/>
    <cellStyle name="20% - Accent4 3 3 2 3 4" xfId="26035" xr:uid="{00000000-0005-0000-0000-0000F5270000}"/>
    <cellStyle name="20% - Accent4 3 3 2 3 5" xfId="33137" xr:uid="{00000000-0005-0000-0000-0000F6270000}"/>
    <cellStyle name="20% - Accent4 3 3 2 3 6" xfId="37282" xr:uid="{00000000-0005-0000-0000-0000F7270000}"/>
    <cellStyle name="20% - Accent4 3 3 2 4" xfId="3306" xr:uid="{00000000-0005-0000-0000-0000F8270000}"/>
    <cellStyle name="20% - Accent4 3 3 2 4 2" xfId="10412" xr:uid="{00000000-0005-0000-0000-0000F9270000}"/>
    <cellStyle name="20% - Accent4 3 3 2 4 3" xfId="17513" xr:uid="{00000000-0005-0000-0000-0000FA270000}"/>
    <cellStyle name="20% - Accent4 3 3 2 4 4" xfId="24615" xr:uid="{00000000-0005-0000-0000-0000FB270000}"/>
    <cellStyle name="20% - Accent4 3 3 2 4 5" xfId="31717" xr:uid="{00000000-0005-0000-0000-0000FC270000}"/>
    <cellStyle name="20% - Accent4 3 3 2 4 6" xfId="37283" xr:uid="{00000000-0005-0000-0000-0000FD270000}"/>
    <cellStyle name="20% - Accent4 3 3 2 5" xfId="7572" xr:uid="{00000000-0005-0000-0000-0000FE270000}"/>
    <cellStyle name="20% - Accent4 3 3 2 6" xfId="14673" xr:uid="{00000000-0005-0000-0000-0000FF270000}"/>
    <cellStyle name="20% - Accent4 3 3 2 7" xfId="21775" xr:uid="{00000000-0005-0000-0000-000000280000}"/>
    <cellStyle name="20% - Accent4 3 3 2 8" xfId="28877" xr:uid="{00000000-0005-0000-0000-000001280000}"/>
    <cellStyle name="20% - Accent4 3 3 2 9" xfId="37284" xr:uid="{00000000-0005-0000-0000-000002280000}"/>
    <cellStyle name="20% - Accent4 3 3 3" xfId="606" xr:uid="{00000000-0005-0000-0000-000003280000}"/>
    <cellStyle name="20% - Accent4 3 3 3 2" xfId="2097" xr:uid="{00000000-0005-0000-0000-000004280000}"/>
    <cellStyle name="20% - Accent4 3 3 3 2 2" xfId="6365" xr:uid="{00000000-0005-0000-0000-000005280000}"/>
    <cellStyle name="20% - Accent4 3 3 3 2 2 2" xfId="13465" xr:uid="{00000000-0005-0000-0000-000006280000}"/>
    <cellStyle name="20% - Accent4 3 3 3 2 2 3" xfId="20566" xr:uid="{00000000-0005-0000-0000-000007280000}"/>
    <cellStyle name="20% - Accent4 3 3 3 2 2 4" xfId="27668" xr:uid="{00000000-0005-0000-0000-000008280000}"/>
    <cellStyle name="20% - Accent4 3 3 3 2 2 5" xfId="34770" xr:uid="{00000000-0005-0000-0000-000009280000}"/>
    <cellStyle name="20% - Accent4 3 3 3 2 2 6" xfId="37285" xr:uid="{00000000-0005-0000-0000-00000A280000}"/>
    <cellStyle name="20% - Accent4 3 3 3 2 3" xfId="9205" xr:uid="{00000000-0005-0000-0000-00000B280000}"/>
    <cellStyle name="20% - Accent4 3 3 3 2 4" xfId="16306" xr:uid="{00000000-0005-0000-0000-00000C280000}"/>
    <cellStyle name="20% - Accent4 3 3 3 2 5" xfId="23408" xr:uid="{00000000-0005-0000-0000-00000D280000}"/>
    <cellStyle name="20% - Accent4 3 3 3 2 6" xfId="30510" xr:uid="{00000000-0005-0000-0000-00000E280000}"/>
    <cellStyle name="20% - Accent4 3 3 3 2 7" xfId="37286" xr:uid="{00000000-0005-0000-0000-00000F280000}"/>
    <cellStyle name="20% - Accent4 3 3 3 3" xfId="4944" xr:uid="{00000000-0005-0000-0000-000010280000}"/>
    <cellStyle name="20% - Accent4 3 3 3 3 2" xfId="12045" xr:uid="{00000000-0005-0000-0000-000011280000}"/>
    <cellStyle name="20% - Accent4 3 3 3 3 2 2" xfId="37287" xr:uid="{00000000-0005-0000-0000-000012280000}"/>
    <cellStyle name="20% - Accent4 3 3 3 3 3" xfId="19146" xr:uid="{00000000-0005-0000-0000-000013280000}"/>
    <cellStyle name="20% - Accent4 3 3 3 3 4" xfId="26248" xr:uid="{00000000-0005-0000-0000-000014280000}"/>
    <cellStyle name="20% - Accent4 3 3 3 3 5" xfId="33350" xr:uid="{00000000-0005-0000-0000-000015280000}"/>
    <cellStyle name="20% - Accent4 3 3 3 3 6" xfId="37288" xr:uid="{00000000-0005-0000-0000-000016280000}"/>
    <cellStyle name="20% - Accent4 3 3 3 4" xfId="3519" xr:uid="{00000000-0005-0000-0000-000017280000}"/>
    <cellStyle name="20% - Accent4 3 3 3 4 2" xfId="10625" xr:uid="{00000000-0005-0000-0000-000018280000}"/>
    <cellStyle name="20% - Accent4 3 3 3 4 3" xfId="17726" xr:uid="{00000000-0005-0000-0000-000019280000}"/>
    <cellStyle name="20% - Accent4 3 3 3 4 4" xfId="24828" xr:uid="{00000000-0005-0000-0000-00001A280000}"/>
    <cellStyle name="20% - Accent4 3 3 3 4 5" xfId="31930" xr:uid="{00000000-0005-0000-0000-00001B280000}"/>
    <cellStyle name="20% - Accent4 3 3 3 4 6" xfId="37289" xr:uid="{00000000-0005-0000-0000-00001C280000}"/>
    <cellStyle name="20% - Accent4 3 3 3 5" xfId="7785" xr:uid="{00000000-0005-0000-0000-00001D280000}"/>
    <cellStyle name="20% - Accent4 3 3 3 6" xfId="14886" xr:uid="{00000000-0005-0000-0000-00001E280000}"/>
    <cellStyle name="20% - Accent4 3 3 3 7" xfId="21988" xr:uid="{00000000-0005-0000-0000-00001F280000}"/>
    <cellStyle name="20% - Accent4 3 3 3 8" xfId="29090" xr:uid="{00000000-0005-0000-0000-000020280000}"/>
    <cellStyle name="20% - Accent4 3 3 3 9" xfId="37290" xr:uid="{00000000-0005-0000-0000-000021280000}"/>
    <cellStyle name="20% - Accent4 3 3 4" xfId="819" xr:uid="{00000000-0005-0000-0000-000022280000}"/>
    <cellStyle name="20% - Accent4 3 3 4 2" xfId="2310" xr:uid="{00000000-0005-0000-0000-000023280000}"/>
    <cellStyle name="20% - Accent4 3 3 4 2 2" xfId="6578" xr:uid="{00000000-0005-0000-0000-000024280000}"/>
    <cellStyle name="20% - Accent4 3 3 4 2 2 2" xfId="13678" xr:uid="{00000000-0005-0000-0000-000025280000}"/>
    <cellStyle name="20% - Accent4 3 3 4 2 2 3" xfId="20779" xr:uid="{00000000-0005-0000-0000-000026280000}"/>
    <cellStyle name="20% - Accent4 3 3 4 2 2 4" xfId="27881" xr:uid="{00000000-0005-0000-0000-000027280000}"/>
    <cellStyle name="20% - Accent4 3 3 4 2 2 5" xfId="34983" xr:uid="{00000000-0005-0000-0000-000028280000}"/>
    <cellStyle name="20% - Accent4 3 3 4 2 2 6" xfId="37291" xr:uid="{00000000-0005-0000-0000-000029280000}"/>
    <cellStyle name="20% - Accent4 3 3 4 2 3" xfId="9418" xr:uid="{00000000-0005-0000-0000-00002A280000}"/>
    <cellStyle name="20% - Accent4 3 3 4 2 4" xfId="16519" xr:uid="{00000000-0005-0000-0000-00002B280000}"/>
    <cellStyle name="20% - Accent4 3 3 4 2 5" xfId="23621" xr:uid="{00000000-0005-0000-0000-00002C280000}"/>
    <cellStyle name="20% - Accent4 3 3 4 2 6" xfId="30723" xr:uid="{00000000-0005-0000-0000-00002D280000}"/>
    <cellStyle name="20% - Accent4 3 3 4 2 7" xfId="37292" xr:uid="{00000000-0005-0000-0000-00002E280000}"/>
    <cellStyle name="20% - Accent4 3 3 4 3" xfId="5157" xr:uid="{00000000-0005-0000-0000-00002F280000}"/>
    <cellStyle name="20% - Accent4 3 3 4 3 2" xfId="12258" xr:uid="{00000000-0005-0000-0000-000030280000}"/>
    <cellStyle name="20% - Accent4 3 3 4 3 2 2" xfId="37293" xr:uid="{00000000-0005-0000-0000-000031280000}"/>
    <cellStyle name="20% - Accent4 3 3 4 3 3" xfId="19359" xr:uid="{00000000-0005-0000-0000-000032280000}"/>
    <cellStyle name="20% - Accent4 3 3 4 3 4" xfId="26461" xr:uid="{00000000-0005-0000-0000-000033280000}"/>
    <cellStyle name="20% - Accent4 3 3 4 3 5" xfId="33563" xr:uid="{00000000-0005-0000-0000-000034280000}"/>
    <cellStyle name="20% - Accent4 3 3 4 3 6" xfId="37294" xr:uid="{00000000-0005-0000-0000-000035280000}"/>
    <cellStyle name="20% - Accent4 3 3 4 4" xfId="3732" xr:uid="{00000000-0005-0000-0000-000036280000}"/>
    <cellStyle name="20% - Accent4 3 3 4 4 2" xfId="10838" xr:uid="{00000000-0005-0000-0000-000037280000}"/>
    <cellStyle name="20% - Accent4 3 3 4 4 3" xfId="17939" xr:uid="{00000000-0005-0000-0000-000038280000}"/>
    <cellStyle name="20% - Accent4 3 3 4 4 4" xfId="25041" xr:uid="{00000000-0005-0000-0000-000039280000}"/>
    <cellStyle name="20% - Accent4 3 3 4 4 5" xfId="32143" xr:uid="{00000000-0005-0000-0000-00003A280000}"/>
    <cellStyle name="20% - Accent4 3 3 4 4 6" xfId="37295" xr:uid="{00000000-0005-0000-0000-00003B280000}"/>
    <cellStyle name="20% - Accent4 3 3 4 5" xfId="7998" xr:uid="{00000000-0005-0000-0000-00003C280000}"/>
    <cellStyle name="20% - Accent4 3 3 4 6" xfId="15099" xr:uid="{00000000-0005-0000-0000-00003D280000}"/>
    <cellStyle name="20% - Accent4 3 3 4 7" xfId="22201" xr:uid="{00000000-0005-0000-0000-00003E280000}"/>
    <cellStyle name="20% - Accent4 3 3 4 8" xfId="29303" xr:uid="{00000000-0005-0000-0000-00003F280000}"/>
    <cellStyle name="20% - Accent4 3 3 4 9" xfId="37296" xr:uid="{00000000-0005-0000-0000-000040280000}"/>
    <cellStyle name="20% - Accent4 3 3 5" xfId="1174" xr:uid="{00000000-0005-0000-0000-000041280000}"/>
    <cellStyle name="20% - Accent4 3 3 5 2" xfId="2665" xr:uid="{00000000-0005-0000-0000-000042280000}"/>
    <cellStyle name="20% - Accent4 3 3 5 2 2" xfId="6933" xr:uid="{00000000-0005-0000-0000-000043280000}"/>
    <cellStyle name="20% - Accent4 3 3 5 2 2 2" xfId="14033" xr:uid="{00000000-0005-0000-0000-000044280000}"/>
    <cellStyle name="20% - Accent4 3 3 5 2 2 3" xfId="21134" xr:uid="{00000000-0005-0000-0000-000045280000}"/>
    <cellStyle name="20% - Accent4 3 3 5 2 2 4" xfId="28236" xr:uid="{00000000-0005-0000-0000-000046280000}"/>
    <cellStyle name="20% - Accent4 3 3 5 2 2 5" xfId="35338" xr:uid="{00000000-0005-0000-0000-000047280000}"/>
    <cellStyle name="20% - Accent4 3 3 5 2 3" xfId="9773" xr:uid="{00000000-0005-0000-0000-000048280000}"/>
    <cellStyle name="20% - Accent4 3 3 5 2 4" xfId="16874" xr:uid="{00000000-0005-0000-0000-000049280000}"/>
    <cellStyle name="20% - Accent4 3 3 5 2 5" xfId="23976" xr:uid="{00000000-0005-0000-0000-00004A280000}"/>
    <cellStyle name="20% - Accent4 3 3 5 2 6" xfId="31078" xr:uid="{00000000-0005-0000-0000-00004B280000}"/>
    <cellStyle name="20% - Accent4 3 3 5 2 7" xfId="37297" xr:uid="{00000000-0005-0000-0000-00004C280000}"/>
    <cellStyle name="20% - Accent4 3 3 5 3" xfId="5512" xr:uid="{00000000-0005-0000-0000-00004D280000}"/>
    <cellStyle name="20% - Accent4 3 3 5 3 2" xfId="12613" xr:uid="{00000000-0005-0000-0000-00004E280000}"/>
    <cellStyle name="20% - Accent4 3 3 5 3 3" xfId="19714" xr:uid="{00000000-0005-0000-0000-00004F280000}"/>
    <cellStyle name="20% - Accent4 3 3 5 3 4" xfId="26816" xr:uid="{00000000-0005-0000-0000-000050280000}"/>
    <cellStyle name="20% - Accent4 3 3 5 3 5" xfId="33918" xr:uid="{00000000-0005-0000-0000-000051280000}"/>
    <cellStyle name="20% - Accent4 3 3 5 4" xfId="4087" xr:uid="{00000000-0005-0000-0000-000052280000}"/>
    <cellStyle name="20% - Accent4 3 3 5 4 2" xfId="11193" xr:uid="{00000000-0005-0000-0000-000053280000}"/>
    <cellStyle name="20% - Accent4 3 3 5 4 3" xfId="18294" xr:uid="{00000000-0005-0000-0000-000054280000}"/>
    <cellStyle name="20% - Accent4 3 3 5 4 4" xfId="25396" xr:uid="{00000000-0005-0000-0000-000055280000}"/>
    <cellStyle name="20% - Accent4 3 3 5 4 5" xfId="32498" xr:uid="{00000000-0005-0000-0000-000056280000}"/>
    <cellStyle name="20% - Accent4 3 3 5 5" xfId="8353" xr:uid="{00000000-0005-0000-0000-000057280000}"/>
    <cellStyle name="20% - Accent4 3 3 5 6" xfId="15454" xr:uid="{00000000-0005-0000-0000-000058280000}"/>
    <cellStyle name="20% - Accent4 3 3 5 7" xfId="22556" xr:uid="{00000000-0005-0000-0000-000059280000}"/>
    <cellStyle name="20% - Accent4 3 3 5 8" xfId="29658" xr:uid="{00000000-0005-0000-0000-00005A280000}"/>
    <cellStyle name="20% - Accent4 3 3 5 9" xfId="37298" xr:uid="{00000000-0005-0000-0000-00005B280000}"/>
    <cellStyle name="20% - Accent4 3 3 6" xfId="1387" xr:uid="{00000000-0005-0000-0000-00005C280000}"/>
    <cellStyle name="20% - Accent4 3 3 6 2" xfId="2878" xr:uid="{00000000-0005-0000-0000-00005D280000}"/>
    <cellStyle name="20% - Accent4 3 3 6 2 2" xfId="7146" xr:uid="{00000000-0005-0000-0000-00005E280000}"/>
    <cellStyle name="20% - Accent4 3 3 6 2 2 2" xfId="14246" xr:uid="{00000000-0005-0000-0000-00005F280000}"/>
    <cellStyle name="20% - Accent4 3 3 6 2 2 3" xfId="21347" xr:uid="{00000000-0005-0000-0000-000060280000}"/>
    <cellStyle name="20% - Accent4 3 3 6 2 2 4" xfId="28449" xr:uid="{00000000-0005-0000-0000-000061280000}"/>
    <cellStyle name="20% - Accent4 3 3 6 2 2 5" xfId="35551" xr:uid="{00000000-0005-0000-0000-000062280000}"/>
    <cellStyle name="20% - Accent4 3 3 6 2 3" xfId="9986" xr:uid="{00000000-0005-0000-0000-000063280000}"/>
    <cellStyle name="20% - Accent4 3 3 6 2 4" xfId="17087" xr:uid="{00000000-0005-0000-0000-000064280000}"/>
    <cellStyle name="20% - Accent4 3 3 6 2 5" xfId="24189" xr:uid="{00000000-0005-0000-0000-000065280000}"/>
    <cellStyle name="20% - Accent4 3 3 6 2 6" xfId="31291" xr:uid="{00000000-0005-0000-0000-000066280000}"/>
    <cellStyle name="20% - Accent4 3 3 6 2 7" xfId="37299" xr:uid="{00000000-0005-0000-0000-000067280000}"/>
    <cellStyle name="20% - Accent4 3 3 6 3" xfId="5725" xr:uid="{00000000-0005-0000-0000-000068280000}"/>
    <cellStyle name="20% - Accent4 3 3 6 3 2" xfId="12826" xr:uid="{00000000-0005-0000-0000-000069280000}"/>
    <cellStyle name="20% - Accent4 3 3 6 3 3" xfId="19927" xr:uid="{00000000-0005-0000-0000-00006A280000}"/>
    <cellStyle name="20% - Accent4 3 3 6 3 4" xfId="27029" xr:uid="{00000000-0005-0000-0000-00006B280000}"/>
    <cellStyle name="20% - Accent4 3 3 6 3 5" xfId="34131" xr:uid="{00000000-0005-0000-0000-00006C280000}"/>
    <cellStyle name="20% - Accent4 3 3 6 4" xfId="4300" xr:uid="{00000000-0005-0000-0000-00006D280000}"/>
    <cellStyle name="20% - Accent4 3 3 6 4 2" xfId="11406" xr:uid="{00000000-0005-0000-0000-00006E280000}"/>
    <cellStyle name="20% - Accent4 3 3 6 4 3" xfId="18507" xr:uid="{00000000-0005-0000-0000-00006F280000}"/>
    <cellStyle name="20% - Accent4 3 3 6 4 4" xfId="25609" xr:uid="{00000000-0005-0000-0000-000070280000}"/>
    <cellStyle name="20% - Accent4 3 3 6 4 5" xfId="32711" xr:uid="{00000000-0005-0000-0000-000071280000}"/>
    <cellStyle name="20% - Accent4 3 3 6 5" xfId="8566" xr:uid="{00000000-0005-0000-0000-000072280000}"/>
    <cellStyle name="20% - Accent4 3 3 6 6" xfId="15667" xr:uid="{00000000-0005-0000-0000-000073280000}"/>
    <cellStyle name="20% - Accent4 3 3 6 7" xfId="22769" xr:uid="{00000000-0005-0000-0000-000074280000}"/>
    <cellStyle name="20% - Accent4 3 3 6 8" xfId="29871" xr:uid="{00000000-0005-0000-0000-000075280000}"/>
    <cellStyle name="20% - Accent4 3 3 6 9" xfId="37300" xr:uid="{00000000-0005-0000-0000-000076280000}"/>
    <cellStyle name="20% - Accent4 3 3 7" xfId="1671" xr:uid="{00000000-0005-0000-0000-000077280000}"/>
    <cellStyle name="20% - Accent4 3 3 7 2" xfId="5939" xr:uid="{00000000-0005-0000-0000-000078280000}"/>
    <cellStyle name="20% - Accent4 3 3 7 2 2" xfId="13039" xr:uid="{00000000-0005-0000-0000-000079280000}"/>
    <cellStyle name="20% - Accent4 3 3 7 2 3" xfId="20140" xr:uid="{00000000-0005-0000-0000-00007A280000}"/>
    <cellStyle name="20% - Accent4 3 3 7 2 4" xfId="27242" xr:uid="{00000000-0005-0000-0000-00007B280000}"/>
    <cellStyle name="20% - Accent4 3 3 7 2 5" xfId="34344" xr:uid="{00000000-0005-0000-0000-00007C280000}"/>
    <cellStyle name="20% - Accent4 3 3 7 3" xfId="8779" xr:uid="{00000000-0005-0000-0000-00007D280000}"/>
    <cellStyle name="20% - Accent4 3 3 7 4" xfId="15880" xr:uid="{00000000-0005-0000-0000-00007E280000}"/>
    <cellStyle name="20% - Accent4 3 3 7 5" xfId="22982" xr:uid="{00000000-0005-0000-0000-00007F280000}"/>
    <cellStyle name="20% - Accent4 3 3 7 6" xfId="30084" xr:uid="{00000000-0005-0000-0000-000080280000}"/>
    <cellStyle name="20% - Accent4 3 3 7 7" xfId="37301" xr:uid="{00000000-0005-0000-0000-000081280000}"/>
    <cellStyle name="20% - Accent4 3 3 8" xfId="4518" xr:uid="{00000000-0005-0000-0000-000082280000}"/>
    <cellStyle name="20% - Accent4 3 3 8 2" xfId="11619" xr:uid="{00000000-0005-0000-0000-000083280000}"/>
    <cellStyle name="20% - Accent4 3 3 8 3" xfId="18720" xr:uid="{00000000-0005-0000-0000-000084280000}"/>
    <cellStyle name="20% - Accent4 3 3 8 4" xfId="25822" xr:uid="{00000000-0005-0000-0000-000085280000}"/>
    <cellStyle name="20% - Accent4 3 3 8 5" xfId="32924" xr:uid="{00000000-0005-0000-0000-000086280000}"/>
    <cellStyle name="20% - Accent4 3 3 9" xfId="3093" xr:uid="{00000000-0005-0000-0000-000087280000}"/>
    <cellStyle name="20% - Accent4 3 3 9 2" xfId="10199" xr:uid="{00000000-0005-0000-0000-000088280000}"/>
    <cellStyle name="20% - Accent4 3 3 9 3" xfId="17300" xr:uid="{00000000-0005-0000-0000-000089280000}"/>
    <cellStyle name="20% - Accent4 3 3 9 4" xfId="24402" xr:uid="{00000000-0005-0000-0000-00008A280000}"/>
    <cellStyle name="20% - Accent4 3 3 9 5" xfId="31504" xr:uid="{00000000-0005-0000-0000-00008B280000}"/>
    <cellStyle name="20% - Accent4 3 4" xfId="322" xr:uid="{00000000-0005-0000-0000-00008C280000}"/>
    <cellStyle name="20% - Accent4 3 4 10" xfId="37302" xr:uid="{00000000-0005-0000-0000-00008D280000}"/>
    <cellStyle name="20% - Accent4 3 4 2" xfId="1103" xr:uid="{00000000-0005-0000-0000-00008E280000}"/>
    <cellStyle name="20% - Accent4 3 4 2 2" xfId="2594" xr:uid="{00000000-0005-0000-0000-00008F280000}"/>
    <cellStyle name="20% - Accent4 3 4 2 2 2" xfId="6862" xr:uid="{00000000-0005-0000-0000-000090280000}"/>
    <cellStyle name="20% - Accent4 3 4 2 2 2 2" xfId="13962" xr:uid="{00000000-0005-0000-0000-000091280000}"/>
    <cellStyle name="20% - Accent4 3 4 2 2 2 3" xfId="21063" xr:uid="{00000000-0005-0000-0000-000092280000}"/>
    <cellStyle name="20% - Accent4 3 4 2 2 2 4" xfId="28165" xr:uid="{00000000-0005-0000-0000-000093280000}"/>
    <cellStyle name="20% - Accent4 3 4 2 2 2 5" xfId="35267" xr:uid="{00000000-0005-0000-0000-000094280000}"/>
    <cellStyle name="20% - Accent4 3 4 2 2 3" xfId="9702" xr:uid="{00000000-0005-0000-0000-000095280000}"/>
    <cellStyle name="20% - Accent4 3 4 2 2 4" xfId="16803" xr:uid="{00000000-0005-0000-0000-000096280000}"/>
    <cellStyle name="20% - Accent4 3 4 2 2 5" xfId="23905" xr:uid="{00000000-0005-0000-0000-000097280000}"/>
    <cellStyle name="20% - Accent4 3 4 2 2 6" xfId="31007" xr:uid="{00000000-0005-0000-0000-000098280000}"/>
    <cellStyle name="20% - Accent4 3 4 2 2 7" xfId="37303" xr:uid="{00000000-0005-0000-0000-000099280000}"/>
    <cellStyle name="20% - Accent4 3 4 2 3" xfId="5441" xr:uid="{00000000-0005-0000-0000-00009A280000}"/>
    <cellStyle name="20% - Accent4 3 4 2 3 2" xfId="12542" xr:uid="{00000000-0005-0000-0000-00009B280000}"/>
    <cellStyle name="20% - Accent4 3 4 2 3 3" xfId="19643" xr:uid="{00000000-0005-0000-0000-00009C280000}"/>
    <cellStyle name="20% - Accent4 3 4 2 3 4" xfId="26745" xr:uid="{00000000-0005-0000-0000-00009D280000}"/>
    <cellStyle name="20% - Accent4 3 4 2 3 5" xfId="33847" xr:uid="{00000000-0005-0000-0000-00009E280000}"/>
    <cellStyle name="20% - Accent4 3 4 2 4" xfId="4016" xr:uid="{00000000-0005-0000-0000-00009F280000}"/>
    <cellStyle name="20% - Accent4 3 4 2 4 2" xfId="11122" xr:uid="{00000000-0005-0000-0000-0000A0280000}"/>
    <cellStyle name="20% - Accent4 3 4 2 4 3" xfId="18223" xr:uid="{00000000-0005-0000-0000-0000A1280000}"/>
    <cellStyle name="20% - Accent4 3 4 2 4 4" xfId="25325" xr:uid="{00000000-0005-0000-0000-0000A2280000}"/>
    <cellStyle name="20% - Accent4 3 4 2 4 5" xfId="32427" xr:uid="{00000000-0005-0000-0000-0000A3280000}"/>
    <cellStyle name="20% - Accent4 3 4 2 5" xfId="8282" xr:uid="{00000000-0005-0000-0000-0000A4280000}"/>
    <cellStyle name="20% - Accent4 3 4 2 6" xfId="15383" xr:uid="{00000000-0005-0000-0000-0000A5280000}"/>
    <cellStyle name="20% - Accent4 3 4 2 7" xfId="22485" xr:uid="{00000000-0005-0000-0000-0000A6280000}"/>
    <cellStyle name="20% - Accent4 3 4 2 8" xfId="29587" xr:uid="{00000000-0005-0000-0000-0000A7280000}"/>
    <cellStyle name="20% - Accent4 3 4 2 9" xfId="37304" xr:uid="{00000000-0005-0000-0000-0000A8280000}"/>
    <cellStyle name="20% - Accent4 3 4 3" xfId="1813" xr:uid="{00000000-0005-0000-0000-0000A9280000}"/>
    <cellStyle name="20% - Accent4 3 4 3 2" xfId="6081" xr:uid="{00000000-0005-0000-0000-0000AA280000}"/>
    <cellStyle name="20% - Accent4 3 4 3 2 2" xfId="13181" xr:uid="{00000000-0005-0000-0000-0000AB280000}"/>
    <cellStyle name="20% - Accent4 3 4 3 2 3" xfId="20282" xr:uid="{00000000-0005-0000-0000-0000AC280000}"/>
    <cellStyle name="20% - Accent4 3 4 3 2 4" xfId="27384" xr:uid="{00000000-0005-0000-0000-0000AD280000}"/>
    <cellStyle name="20% - Accent4 3 4 3 2 5" xfId="34486" xr:uid="{00000000-0005-0000-0000-0000AE280000}"/>
    <cellStyle name="20% - Accent4 3 4 3 2 6" xfId="37305" xr:uid="{00000000-0005-0000-0000-0000AF280000}"/>
    <cellStyle name="20% - Accent4 3 4 3 3" xfId="8921" xr:uid="{00000000-0005-0000-0000-0000B0280000}"/>
    <cellStyle name="20% - Accent4 3 4 3 4" xfId="16022" xr:uid="{00000000-0005-0000-0000-0000B1280000}"/>
    <cellStyle name="20% - Accent4 3 4 3 5" xfId="23124" xr:uid="{00000000-0005-0000-0000-0000B2280000}"/>
    <cellStyle name="20% - Accent4 3 4 3 6" xfId="30226" xr:uid="{00000000-0005-0000-0000-0000B3280000}"/>
    <cellStyle name="20% - Accent4 3 4 3 7" xfId="37306" xr:uid="{00000000-0005-0000-0000-0000B4280000}"/>
    <cellStyle name="20% - Accent4 3 4 4" xfId="4660" xr:uid="{00000000-0005-0000-0000-0000B5280000}"/>
    <cellStyle name="20% - Accent4 3 4 4 2" xfId="11761" xr:uid="{00000000-0005-0000-0000-0000B6280000}"/>
    <cellStyle name="20% - Accent4 3 4 4 3" xfId="18862" xr:uid="{00000000-0005-0000-0000-0000B7280000}"/>
    <cellStyle name="20% - Accent4 3 4 4 4" xfId="25964" xr:uid="{00000000-0005-0000-0000-0000B8280000}"/>
    <cellStyle name="20% - Accent4 3 4 4 5" xfId="33066" xr:uid="{00000000-0005-0000-0000-0000B9280000}"/>
    <cellStyle name="20% - Accent4 3 4 4 6" xfId="37307" xr:uid="{00000000-0005-0000-0000-0000BA280000}"/>
    <cellStyle name="20% - Accent4 3 4 5" xfId="3235" xr:uid="{00000000-0005-0000-0000-0000BB280000}"/>
    <cellStyle name="20% - Accent4 3 4 5 2" xfId="10341" xr:uid="{00000000-0005-0000-0000-0000BC280000}"/>
    <cellStyle name="20% - Accent4 3 4 5 3" xfId="17442" xr:uid="{00000000-0005-0000-0000-0000BD280000}"/>
    <cellStyle name="20% - Accent4 3 4 5 4" xfId="24544" xr:uid="{00000000-0005-0000-0000-0000BE280000}"/>
    <cellStyle name="20% - Accent4 3 4 5 5" xfId="31646" xr:uid="{00000000-0005-0000-0000-0000BF280000}"/>
    <cellStyle name="20% - Accent4 3 4 6" xfId="7501" xr:uid="{00000000-0005-0000-0000-0000C0280000}"/>
    <cellStyle name="20% - Accent4 3 4 7" xfId="14602" xr:uid="{00000000-0005-0000-0000-0000C1280000}"/>
    <cellStyle name="20% - Accent4 3 4 8" xfId="21704" xr:uid="{00000000-0005-0000-0000-0000C2280000}"/>
    <cellStyle name="20% - Accent4 3 4 9" xfId="28806" xr:uid="{00000000-0005-0000-0000-0000C3280000}"/>
    <cellStyle name="20% - Accent4 3 5" xfId="535" xr:uid="{00000000-0005-0000-0000-0000C4280000}"/>
    <cellStyle name="20% - Accent4 3 5 2" xfId="2026" xr:uid="{00000000-0005-0000-0000-0000C5280000}"/>
    <cellStyle name="20% - Accent4 3 5 2 2" xfId="6294" xr:uid="{00000000-0005-0000-0000-0000C6280000}"/>
    <cellStyle name="20% - Accent4 3 5 2 2 2" xfId="13394" xr:uid="{00000000-0005-0000-0000-0000C7280000}"/>
    <cellStyle name="20% - Accent4 3 5 2 2 3" xfId="20495" xr:uid="{00000000-0005-0000-0000-0000C8280000}"/>
    <cellStyle name="20% - Accent4 3 5 2 2 4" xfId="27597" xr:uid="{00000000-0005-0000-0000-0000C9280000}"/>
    <cellStyle name="20% - Accent4 3 5 2 2 5" xfId="34699" xr:uid="{00000000-0005-0000-0000-0000CA280000}"/>
    <cellStyle name="20% - Accent4 3 5 2 2 6" xfId="37308" xr:uid="{00000000-0005-0000-0000-0000CB280000}"/>
    <cellStyle name="20% - Accent4 3 5 2 3" xfId="9134" xr:uid="{00000000-0005-0000-0000-0000CC280000}"/>
    <cellStyle name="20% - Accent4 3 5 2 4" xfId="16235" xr:uid="{00000000-0005-0000-0000-0000CD280000}"/>
    <cellStyle name="20% - Accent4 3 5 2 5" xfId="23337" xr:uid="{00000000-0005-0000-0000-0000CE280000}"/>
    <cellStyle name="20% - Accent4 3 5 2 6" xfId="30439" xr:uid="{00000000-0005-0000-0000-0000CF280000}"/>
    <cellStyle name="20% - Accent4 3 5 2 7" xfId="37309" xr:uid="{00000000-0005-0000-0000-0000D0280000}"/>
    <cellStyle name="20% - Accent4 3 5 3" xfId="4873" xr:uid="{00000000-0005-0000-0000-0000D1280000}"/>
    <cellStyle name="20% - Accent4 3 5 3 2" xfId="11974" xr:uid="{00000000-0005-0000-0000-0000D2280000}"/>
    <cellStyle name="20% - Accent4 3 5 3 2 2" xfId="37310" xr:uid="{00000000-0005-0000-0000-0000D3280000}"/>
    <cellStyle name="20% - Accent4 3 5 3 3" xfId="19075" xr:uid="{00000000-0005-0000-0000-0000D4280000}"/>
    <cellStyle name="20% - Accent4 3 5 3 4" xfId="26177" xr:uid="{00000000-0005-0000-0000-0000D5280000}"/>
    <cellStyle name="20% - Accent4 3 5 3 5" xfId="33279" xr:uid="{00000000-0005-0000-0000-0000D6280000}"/>
    <cellStyle name="20% - Accent4 3 5 3 6" xfId="37311" xr:uid="{00000000-0005-0000-0000-0000D7280000}"/>
    <cellStyle name="20% - Accent4 3 5 4" xfId="3448" xr:uid="{00000000-0005-0000-0000-0000D8280000}"/>
    <cellStyle name="20% - Accent4 3 5 4 2" xfId="10554" xr:uid="{00000000-0005-0000-0000-0000D9280000}"/>
    <cellStyle name="20% - Accent4 3 5 4 3" xfId="17655" xr:uid="{00000000-0005-0000-0000-0000DA280000}"/>
    <cellStyle name="20% - Accent4 3 5 4 4" xfId="24757" xr:uid="{00000000-0005-0000-0000-0000DB280000}"/>
    <cellStyle name="20% - Accent4 3 5 4 5" xfId="31859" xr:uid="{00000000-0005-0000-0000-0000DC280000}"/>
    <cellStyle name="20% - Accent4 3 5 4 6" xfId="37312" xr:uid="{00000000-0005-0000-0000-0000DD280000}"/>
    <cellStyle name="20% - Accent4 3 5 5" xfId="7714" xr:uid="{00000000-0005-0000-0000-0000DE280000}"/>
    <cellStyle name="20% - Accent4 3 5 6" xfId="14815" xr:uid="{00000000-0005-0000-0000-0000DF280000}"/>
    <cellStyle name="20% - Accent4 3 5 7" xfId="21917" xr:uid="{00000000-0005-0000-0000-0000E0280000}"/>
    <cellStyle name="20% - Accent4 3 5 8" xfId="29019" xr:uid="{00000000-0005-0000-0000-0000E1280000}"/>
    <cellStyle name="20% - Accent4 3 5 9" xfId="37313" xr:uid="{00000000-0005-0000-0000-0000E2280000}"/>
    <cellStyle name="20% - Accent4 3 6" xfId="748" xr:uid="{00000000-0005-0000-0000-0000E3280000}"/>
    <cellStyle name="20% - Accent4 3 6 2" xfId="2239" xr:uid="{00000000-0005-0000-0000-0000E4280000}"/>
    <cellStyle name="20% - Accent4 3 6 2 2" xfId="6507" xr:uid="{00000000-0005-0000-0000-0000E5280000}"/>
    <cellStyle name="20% - Accent4 3 6 2 2 2" xfId="13607" xr:uid="{00000000-0005-0000-0000-0000E6280000}"/>
    <cellStyle name="20% - Accent4 3 6 2 2 3" xfId="20708" xr:uid="{00000000-0005-0000-0000-0000E7280000}"/>
    <cellStyle name="20% - Accent4 3 6 2 2 4" xfId="27810" xr:uid="{00000000-0005-0000-0000-0000E8280000}"/>
    <cellStyle name="20% - Accent4 3 6 2 2 5" xfId="34912" xr:uid="{00000000-0005-0000-0000-0000E9280000}"/>
    <cellStyle name="20% - Accent4 3 6 2 2 6" xfId="37314" xr:uid="{00000000-0005-0000-0000-0000EA280000}"/>
    <cellStyle name="20% - Accent4 3 6 2 3" xfId="9347" xr:uid="{00000000-0005-0000-0000-0000EB280000}"/>
    <cellStyle name="20% - Accent4 3 6 2 4" xfId="16448" xr:uid="{00000000-0005-0000-0000-0000EC280000}"/>
    <cellStyle name="20% - Accent4 3 6 2 5" xfId="23550" xr:uid="{00000000-0005-0000-0000-0000ED280000}"/>
    <cellStyle name="20% - Accent4 3 6 2 6" xfId="30652" xr:uid="{00000000-0005-0000-0000-0000EE280000}"/>
    <cellStyle name="20% - Accent4 3 6 2 7" xfId="37315" xr:uid="{00000000-0005-0000-0000-0000EF280000}"/>
    <cellStyle name="20% - Accent4 3 6 3" xfId="5086" xr:uid="{00000000-0005-0000-0000-0000F0280000}"/>
    <cellStyle name="20% - Accent4 3 6 3 2" xfId="12187" xr:uid="{00000000-0005-0000-0000-0000F1280000}"/>
    <cellStyle name="20% - Accent4 3 6 3 2 2" xfId="37316" xr:uid="{00000000-0005-0000-0000-0000F2280000}"/>
    <cellStyle name="20% - Accent4 3 6 3 3" xfId="19288" xr:uid="{00000000-0005-0000-0000-0000F3280000}"/>
    <cellStyle name="20% - Accent4 3 6 3 4" xfId="26390" xr:uid="{00000000-0005-0000-0000-0000F4280000}"/>
    <cellStyle name="20% - Accent4 3 6 3 5" xfId="33492" xr:uid="{00000000-0005-0000-0000-0000F5280000}"/>
    <cellStyle name="20% - Accent4 3 6 3 6" xfId="37317" xr:uid="{00000000-0005-0000-0000-0000F6280000}"/>
    <cellStyle name="20% - Accent4 3 6 4" xfId="3661" xr:uid="{00000000-0005-0000-0000-0000F7280000}"/>
    <cellStyle name="20% - Accent4 3 6 4 2" xfId="10767" xr:uid="{00000000-0005-0000-0000-0000F8280000}"/>
    <cellStyle name="20% - Accent4 3 6 4 3" xfId="17868" xr:uid="{00000000-0005-0000-0000-0000F9280000}"/>
    <cellStyle name="20% - Accent4 3 6 4 4" xfId="24970" xr:uid="{00000000-0005-0000-0000-0000FA280000}"/>
    <cellStyle name="20% - Accent4 3 6 4 5" xfId="32072" xr:uid="{00000000-0005-0000-0000-0000FB280000}"/>
    <cellStyle name="20% - Accent4 3 6 4 6" xfId="37318" xr:uid="{00000000-0005-0000-0000-0000FC280000}"/>
    <cellStyle name="20% - Accent4 3 6 5" xfId="7927" xr:uid="{00000000-0005-0000-0000-0000FD280000}"/>
    <cellStyle name="20% - Accent4 3 6 6" xfId="15028" xr:uid="{00000000-0005-0000-0000-0000FE280000}"/>
    <cellStyle name="20% - Accent4 3 6 7" xfId="22130" xr:uid="{00000000-0005-0000-0000-0000FF280000}"/>
    <cellStyle name="20% - Accent4 3 6 8" xfId="29232" xr:uid="{00000000-0005-0000-0000-000000290000}"/>
    <cellStyle name="20% - Accent4 3 6 9" xfId="37319" xr:uid="{00000000-0005-0000-0000-000001290000}"/>
    <cellStyle name="20% - Accent4 3 7" xfId="961" xr:uid="{00000000-0005-0000-0000-000002290000}"/>
    <cellStyle name="20% - Accent4 3 7 2" xfId="2452" xr:uid="{00000000-0005-0000-0000-000003290000}"/>
    <cellStyle name="20% - Accent4 3 7 2 2" xfId="6720" xr:uid="{00000000-0005-0000-0000-000004290000}"/>
    <cellStyle name="20% - Accent4 3 7 2 2 2" xfId="13820" xr:uid="{00000000-0005-0000-0000-000005290000}"/>
    <cellStyle name="20% - Accent4 3 7 2 2 3" xfId="20921" xr:uid="{00000000-0005-0000-0000-000006290000}"/>
    <cellStyle name="20% - Accent4 3 7 2 2 4" xfId="28023" xr:uid="{00000000-0005-0000-0000-000007290000}"/>
    <cellStyle name="20% - Accent4 3 7 2 2 5" xfId="35125" xr:uid="{00000000-0005-0000-0000-000008290000}"/>
    <cellStyle name="20% - Accent4 3 7 2 3" xfId="9560" xr:uid="{00000000-0005-0000-0000-000009290000}"/>
    <cellStyle name="20% - Accent4 3 7 2 4" xfId="16661" xr:uid="{00000000-0005-0000-0000-00000A290000}"/>
    <cellStyle name="20% - Accent4 3 7 2 5" xfId="23763" xr:uid="{00000000-0005-0000-0000-00000B290000}"/>
    <cellStyle name="20% - Accent4 3 7 2 6" xfId="30865" xr:uid="{00000000-0005-0000-0000-00000C290000}"/>
    <cellStyle name="20% - Accent4 3 7 2 7" xfId="37320" xr:uid="{00000000-0005-0000-0000-00000D290000}"/>
    <cellStyle name="20% - Accent4 3 7 3" xfId="5299" xr:uid="{00000000-0005-0000-0000-00000E290000}"/>
    <cellStyle name="20% - Accent4 3 7 3 2" xfId="12400" xr:uid="{00000000-0005-0000-0000-00000F290000}"/>
    <cellStyle name="20% - Accent4 3 7 3 3" xfId="19501" xr:uid="{00000000-0005-0000-0000-000010290000}"/>
    <cellStyle name="20% - Accent4 3 7 3 4" xfId="26603" xr:uid="{00000000-0005-0000-0000-000011290000}"/>
    <cellStyle name="20% - Accent4 3 7 3 5" xfId="33705" xr:uid="{00000000-0005-0000-0000-000012290000}"/>
    <cellStyle name="20% - Accent4 3 7 4" xfId="3874" xr:uid="{00000000-0005-0000-0000-000013290000}"/>
    <cellStyle name="20% - Accent4 3 7 4 2" xfId="10980" xr:uid="{00000000-0005-0000-0000-000014290000}"/>
    <cellStyle name="20% - Accent4 3 7 4 3" xfId="18081" xr:uid="{00000000-0005-0000-0000-000015290000}"/>
    <cellStyle name="20% - Accent4 3 7 4 4" xfId="25183" xr:uid="{00000000-0005-0000-0000-000016290000}"/>
    <cellStyle name="20% - Accent4 3 7 4 5" xfId="32285" xr:uid="{00000000-0005-0000-0000-000017290000}"/>
    <cellStyle name="20% - Accent4 3 7 5" xfId="8140" xr:uid="{00000000-0005-0000-0000-000018290000}"/>
    <cellStyle name="20% - Accent4 3 7 6" xfId="15241" xr:uid="{00000000-0005-0000-0000-000019290000}"/>
    <cellStyle name="20% - Accent4 3 7 7" xfId="22343" xr:uid="{00000000-0005-0000-0000-00001A290000}"/>
    <cellStyle name="20% - Accent4 3 7 8" xfId="29445" xr:uid="{00000000-0005-0000-0000-00001B290000}"/>
    <cellStyle name="20% - Accent4 3 7 9" xfId="37321" xr:uid="{00000000-0005-0000-0000-00001C290000}"/>
    <cellStyle name="20% - Accent4 3 8" xfId="1316" xr:uid="{00000000-0005-0000-0000-00001D290000}"/>
    <cellStyle name="20% - Accent4 3 8 2" xfId="2807" xr:uid="{00000000-0005-0000-0000-00001E290000}"/>
    <cellStyle name="20% - Accent4 3 8 2 2" xfId="7075" xr:uid="{00000000-0005-0000-0000-00001F290000}"/>
    <cellStyle name="20% - Accent4 3 8 2 2 2" xfId="14175" xr:uid="{00000000-0005-0000-0000-000020290000}"/>
    <cellStyle name="20% - Accent4 3 8 2 2 3" xfId="21276" xr:uid="{00000000-0005-0000-0000-000021290000}"/>
    <cellStyle name="20% - Accent4 3 8 2 2 4" xfId="28378" xr:uid="{00000000-0005-0000-0000-000022290000}"/>
    <cellStyle name="20% - Accent4 3 8 2 2 5" xfId="35480" xr:uid="{00000000-0005-0000-0000-000023290000}"/>
    <cellStyle name="20% - Accent4 3 8 2 3" xfId="9915" xr:uid="{00000000-0005-0000-0000-000024290000}"/>
    <cellStyle name="20% - Accent4 3 8 2 4" xfId="17016" xr:uid="{00000000-0005-0000-0000-000025290000}"/>
    <cellStyle name="20% - Accent4 3 8 2 5" xfId="24118" xr:uid="{00000000-0005-0000-0000-000026290000}"/>
    <cellStyle name="20% - Accent4 3 8 2 6" xfId="31220" xr:uid="{00000000-0005-0000-0000-000027290000}"/>
    <cellStyle name="20% - Accent4 3 8 2 7" xfId="37322" xr:uid="{00000000-0005-0000-0000-000028290000}"/>
    <cellStyle name="20% - Accent4 3 8 3" xfId="5654" xr:uid="{00000000-0005-0000-0000-000029290000}"/>
    <cellStyle name="20% - Accent4 3 8 3 2" xfId="12755" xr:uid="{00000000-0005-0000-0000-00002A290000}"/>
    <cellStyle name="20% - Accent4 3 8 3 3" xfId="19856" xr:uid="{00000000-0005-0000-0000-00002B290000}"/>
    <cellStyle name="20% - Accent4 3 8 3 4" xfId="26958" xr:uid="{00000000-0005-0000-0000-00002C290000}"/>
    <cellStyle name="20% - Accent4 3 8 3 5" xfId="34060" xr:uid="{00000000-0005-0000-0000-00002D290000}"/>
    <cellStyle name="20% - Accent4 3 8 4" xfId="4229" xr:uid="{00000000-0005-0000-0000-00002E290000}"/>
    <cellStyle name="20% - Accent4 3 8 4 2" xfId="11335" xr:uid="{00000000-0005-0000-0000-00002F290000}"/>
    <cellStyle name="20% - Accent4 3 8 4 3" xfId="18436" xr:uid="{00000000-0005-0000-0000-000030290000}"/>
    <cellStyle name="20% - Accent4 3 8 4 4" xfId="25538" xr:uid="{00000000-0005-0000-0000-000031290000}"/>
    <cellStyle name="20% - Accent4 3 8 4 5" xfId="32640" xr:uid="{00000000-0005-0000-0000-000032290000}"/>
    <cellStyle name="20% - Accent4 3 8 5" xfId="8495" xr:uid="{00000000-0005-0000-0000-000033290000}"/>
    <cellStyle name="20% - Accent4 3 8 6" xfId="15596" xr:uid="{00000000-0005-0000-0000-000034290000}"/>
    <cellStyle name="20% - Accent4 3 8 7" xfId="22698" xr:uid="{00000000-0005-0000-0000-000035290000}"/>
    <cellStyle name="20% - Accent4 3 8 8" xfId="29800" xr:uid="{00000000-0005-0000-0000-000036290000}"/>
    <cellStyle name="20% - Accent4 3 8 9" xfId="37323" xr:uid="{00000000-0005-0000-0000-000037290000}"/>
    <cellStyle name="20% - Accent4 3 9" xfId="1598" xr:uid="{00000000-0005-0000-0000-000038290000}"/>
    <cellStyle name="20% - Accent4 3 9 2" xfId="5868" xr:uid="{00000000-0005-0000-0000-000039290000}"/>
    <cellStyle name="20% - Accent4 3 9 2 2" xfId="12968" xr:uid="{00000000-0005-0000-0000-00003A290000}"/>
    <cellStyle name="20% - Accent4 3 9 2 3" xfId="20069" xr:uid="{00000000-0005-0000-0000-00003B290000}"/>
    <cellStyle name="20% - Accent4 3 9 2 4" xfId="27171" xr:uid="{00000000-0005-0000-0000-00003C290000}"/>
    <cellStyle name="20% - Accent4 3 9 2 5" xfId="34273" xr:uid="{00000000-0005-0000-0000-00003D290000}"/>
    <cellStyle name="20% - Accent4 3 9 3" xfId="8708" xr:uid="{00000000-0005-0000-0000-00003E290000}"/>
    <cellStyle name="20% - Accent4 3 9 4" xfId="15809" xr:uid="{00000000-0005-0000-0000-00003F290000}"/>
    <cellStyle name="20% - Accent4 3 9 5" xfId="22911" xr:uid="{00000000-0005-0000-0000-000040290000}"/>
    <cellStyle name="20% - Accent4 3 9 6" xfId="30013" xr:uid="{00000000-0005-0000-0000-000041290000}"/>
    <cellStyle name="20% - Accent4 3 9 7" xfId="37324" xr:uid="{00000000-0005-0000-0000-000042290000}"/>
    <cellStyle name="20% - Accent4 4" xfId="138" xr:uid="{00000000-0005-0000-0000-000043290000}"/>
    <cellStyle name="20% - Accent4 4 10" xfId="4478" xr:uid="{00000000-0005-0000-0000-000044290000}"/>
    <cellStyle name="20% - Accent4 4 10 2" xfId="11579" xr:uid="{00000000-0005-0000-0000-000045290000}"/>
    <cellStyle name="20% - Accent4 4 10 3" xfId="18680" xr:uid="{00000000-0005-0000-0000-000046290000}"/>
    <cellStyle name="20% - Accent4 4 10 4" xfId="25782" xr:uid="{00000000-0005-0000-0000-000047290000}"/>
    <cellStyle name="20% - Accent4 4 10 5" xfId="32884" xr:uid="{00000000-0005-0000-0000-000048290000}"/>
    <cellStyle name="20% - Accent4 4 11" xfId="3053" xr:uid="{00000000-0005-0000-0000-000049290000}"/>
    <cellStyle name="20% - Accent4 4 11 2" xfId="10159" xr:uid="{00000000-0005-0000-0000-00004A290000}"/>
    <cellStyle name="20% - Accent4 4 11 3" xfId="17260" xr:uid="{00000000-0005-0000-0000-00004B290000}"/>
    <cellStyle name="20% - Accent4 4 11 4" xfId="24362" xr:uid="{00000000-0005-0000-0000-00004C290000}"/>
    <cellStyle name="20% - Accent4 4 11 5" xfId="31464" xr:uid="{00000000-0005-0000-0000-00004D290000}"/>
    <cellStyle name="20% - Accent4 4 12" xfId="7319" xr:uid="{00000000-0005-0000-0000-00004E290000}"/>
    <cellStyle name="20% - Accent4 4 13" xfId="14420" xr:uid="{00000000-0005-0000-0000-00004F290000}"/>
    <cellStyle name="20% - Accent4 4 14" xfId="21522" xr:uid="{00000000-0005-0000-0000-000050290000}"/>
    <cellStyle name="20% - Accent4 4 15" xfId="28624" xr:uid="{00000000-0005-0000-0000-000051290000}"/>
    <cellStyle name="20% - Accent4 4 16" xfId="35726" xr:uid="{00000000-0005-0000-0000-000052290000}"/>
    <cellStyle name="20% - Accent4 4 17" xfId="37325" xr:uid="{00000000-0005-0000-0000-000053290000}"/>
    <cellStyle name="20% - Accent4 4 18" xfId="37326" xr:uid="{00000000-0005-0000-0000-000054290000}"/>
    <cellStyle name="20% - Accent4 4 2" xfId="282" xr:uid="{00000000-0005-0000-0000-000055290000}"/>
    <cellStyle name="20% - Accent4 4 2 10" xfId="7461" xr:uid="{00000000-0005-0000-0000-000056290000}"/>
    <cellStyle name="20% - Accent4 4 2 11" xfId="14562" xr:uid="{00000000-0005-0000-0000-000057290000}"/>
    <cellStyle name="20% - Accent4 4 2 12" xfId="21664" xr:uid="{00000000-0005-0000-0000-000058290000}"/>
    <cellStyle name="20% - Accent4 4 2 13" xfId="28766" xr:uid="{00000000-0005-0000-0000-000059290000}"/>
    <cellStyle name="20% - Accent4 4 2 14" xfId="35868" xr:uid="{00000000-0005-0000-0000-00005A290000}"/>
    <cellStyle name="20% - Accent4 4 2 15" xfId="37327" xr:uid="{00000000-0005-0000-0000-00005B290000}"/>
    <cellStyle name="20% - Accent4 4 2 2" xfId="495" xr:uid="{00000000-0005-0000-0000-00005C290000}"/>
    <cellStyle name="20% - Accent4 4 2 2 10" xfId="37328" xr:uid="{00000000-0005-0000-0000-00005D290000}"/>
    <cellStyle name="20% - Accent4 4 2 2 2" xfId="1276" xr:uid="{00000000-0005-0000-0000-00005E290000}"/>
    <cellStyle name="20% - Accent4 4 2 2 2 2" xfId="2767" xr:uid="{00000000-0005-0000-0000-00005F290000}"/>
    <cellStyle name="20% - Accent4 4 2 2 2 2 2" xfId="7035" xr:uid="{00000000-0005-0000-0000-000060290000}"/>
    <cellStyle name="20% - Accent4 4 2 2 2 2 2 2" xfId="14135" xr:uid="{00000000-0005-0000-0000-000061290000}"/>
    <cellStyle name="20% - Accent4 4 2 2 2 2 2 3" xfId="21236" xr:uid="{00000000-0005-0000-0000-000062290000}"/>
    <cellStyle name="20% - Accent4 4 2 2 2 2 2 4" xfId="28338" xr:uid="{00000000-0005-0000-0000-000063290000}"/>
    <cellStyle name="20% - Accent4 4 2 2 2 2 2 5" xfId="35440" xr:uid="{00000000-0005-0000-0000-000064290000}"/>
    <cellStyle name="20% - Accent4 4 2 2 2 2 3" xfId="9875" xr:uid="{00000000-0005-0000-0000-000065290000}"/>
    <cellStyle name="20% - Accent4 4 2 2 2 2 4" xfId="16976" xr:uid="{00000000-0005-0000-0000-000066290000}"/>
    <cellStyle name="20% - Accent4 4 2 2 2 2 5" xfId="24078" xr:uid="{00000000-0005-0000-0000-000067290000}"/>
    <cellStyle name="20% - Accent4 4 2 2 2 2 6" xfId="31180" xr:uid="{00000000-0005-0000-0000-000068290000}"/>
    <cellStyle name="20% - Accent4 4 2 2 2 2 7" xfId="37329" xr:uid="{00000000-0005-0000-0000-000069290000}"/>
    <cellStyle name="20% - Accent4 4 2 2 2 3" xfId="5614" xr:uid="{00000000-0005-0000-0000-00006A290000}"/>
    <cellStyle name="20% - Accent4 4 2 2 2 3 2" xfId="12715" xr:uid="{00000000-0005-0000-0000-00006B290000}"/>
    <cellStyle name="20% - Accent4 4 2 2 2 3 3" xfId="19816" xr:uid="{00000000-0005-0000-0000-00006C290000}"/>
    <cellStyle name="20% - Accent4 4 2 2 2 3 4" xfId="26918" xr:uid="{00000000-0005-0000-0000-00006D290000}"/>
    <cellStyle name="20% - Accent4 4 2 2 2 3 5" xfId="34020" xr:uid="{00000000-0005-0000-0000-00006E290000}"/>
    <cellStyle name="20% - Accent4 4 2 2 2 4" xfId="4189" xr:uid="{00000000-0005-0000-0000-00006F290000}"/>
    <cellStyle name="20% - Accent4 4 2 2 2 4 2" xfId="11295" xr:uid="{00000000-0005-0000-0000-000070290000}"/>
    <cellStyle name="20% - Accent4 4 2 2 2 4 3" xfId="18396" xr:uid="{00000000-0005-0000-0000-000071290000}"/>
    <cellStyle name="20% - Accent4 4 2 2 2 4 4" xfId="25498" xr:uid="{00000000-0005-0000-0000-000072290000}"/>
    <cellStyle name="20% - Accent4 4 2 2 2 4 5" xfId="32600" xr:uid="{00000000-0005-0000-0000-000073290000}"/>
    <cellStyle name="20% - Accent4 4 2 2 2 5" xfId="8455" xr:uid="{00000000-0005-0000-0000-000074290000}"/>
    <cellStyle name="20% - Accent4 4 2 2 2 6" xfId="15556" xr:uid="{00000000-0005-0000-0000-000075290000}"/>
    <cellStyle name="20% - Accent4 4 2 2 2 7" xfId="22658" xr:uid="{00000000-0005-0000-0000-000076290000}"/>
    <cellStyle name="20% - Accent4 4 2 2 2 8" xfId="29760" xr:uid="{00000000-0005-0000-0000-000077290000}"/>
    <cellStyle name="20% - Accent4 4 2 2 2 9" xfId="37330" xr:uid="{00000000-0005-0000-0000-000078290000}"/>
    <cellStyle name="20% - Accent4 4 2 2 3" xfId="1986" xr:uid="{00000000-0005-0000-0000-000079290000}"/>
    <cellStyle name="20% - Accent4 4 2 2 3 2" xfId="6254" xr:uid="{00000000-0005-0000-0000-00007A290000}"/>
    <cellStyle name="20% - Accent4 4 2 2 3 2 2" xfId="13354" xr:uid="{00000000-0005-0000-0000-00007B290000}"/>
    <cellStyle name="20% - Accent4 4 2 2 3 2 3" xfId="20455" xr:uid="{00000000-0005-0000-0000-00007C290000}"/>
    <cellStyle name="20% - Accent4 4 2 2 3 2 4" xfId="27557" xr:uid="{00000000-0005-0000-0000-00007D290000}"/>
    <cellStyle name="20% - Accent4 4 2 2 3 2 5" xfId="34659" xr:uid="{00000000-0005-0000-0000-00007E290000}"/>
    <cellStyle name="20% - Accent4 4 2 2 3 2 6" xfId="37331" xr:uid="{00000000-0005-0000-0000-00007F290000}"/>
    <cellStyle name="20% - Accent4 4 2 2 3 3" xfId="9094" xr:uid="{00000000-0005-0000-0000-000080290000}"/>
    <cellStyle name="20% - Accent4 4 2 2 3 4" xfId="16195" xr:uid="{00000000-0005-0000-0000-000081290000}"/>
    <cellStyle name="20% - Accent4 4 2 2 3 5" xfId="23297" xr:uid="{00000000-0005-0000-0000-000082290000}"/>
    <cellStyle name="20% - Accent4 4 2 2 3 6" xfId="30399" xr:uid="{00000000-0005-0000-0000-000083290000}"/>
    <cellStyle name="20% - Accent4 4 2 2 3 7" xfId="37332" xr:uid="{00000000-0005-0000-0000-000084290000}"/>
    <cellStyle name="20% - Accent4 4 2 2 4" xfId="4833" xr:uid="{00000000-0005-0000-0000-000085290000}"/>
    <cellStyle name="20% - Accent4 4 2 2 4 2" xfId="11934" xr:uid="{00000000-0005-0000-0000-000086290000}"/>
    <cellStyle name="20% - Accent4 4 2 2 4 3" xfId="19035" xr:uid="{00000000-0005-0000-0000-000087290000}"/>
    <cellStyle name="20% - Accent4 4 2 2 4 4" xfId="26137" xr:uid="{00000000-0005-0000-0000-000088290000}"/>
    <cellStyle name="20% - Accent4 4 2 2 4 5" xfId="33239" xr:uid="{00000000-0005-0000-0000-000089290000}"/>
    <cellStyle name="20% - Accent4 4 2 2 4 6" xfId="37333" xr:uid="{00000000-0005-0000-0000-00008A290000}"/>
    <cellStyle name="20% - Accent4 4 2 2 5" xfId="3408" xr:uid="{00000000-0005-0000-0000-00008B290000}"/>
    <cellStyle name="20% - Accent4 4 2 2 5 2" xfId="10514" xr:uid="{00000000-0005-0000-0000-00008C290000}"/>
    <cellStyle name="20% - Accent4 4 2 2 5 3" xfId="17615" xr:uid="{00000000-0005-0000-0000-00008D290000}"/>
    <cellStyle name="20% - Accent4 4 2 2 5 4" xfId="24717" xr:uid="{00000000-0005-0000-0000-00008E290000}"/>
    <cellStyle name="20% - Accent4 4 2 2 5 5" xfId="31819" xr:uid="{00000000-0005-0000-0000-00008F290000}"/>
    <cellStyle name="20% - Accent4 4 2 2 6" xfId="7674" xr:uid="{00000000-0005-0000-0000-000090290000}"/>
    <cellStyle name="20% - Accent4 4 2 2 7" xfId="14775" xr:uid="{00000000-0005-0000-0000-000091290000}"/>
    <cellStyle name="20% - Accent4 4 2 2 8" xfId="21877" xr:uid="{00000000-0005-0000-0000-000092290000}"/>
    <cellStyle name="20% - Accent4 4 2 2 9" xfId="28979" xr:uid="{00000000-0005-0000-0000-000093290000}"/>
    <cellStyle name="20% - Accent4 4 2 3" xfId="708" xr:uid="{00000000-0005-0000-0000-000094290000}"/>
    <cellStyle name="20% - Accent4 4 2 3 2" xfId="2199" xr:uid="{00000000-0005-0000-0000-000095290000}"/>
    <cellStyle name="20% - Accent4 4 2 3 2 2" xfId="6467" xr:uid="{00000000-0005-0000-0000-000096290000}"/>
    <cellStyle name="20% - Accent4 4 2 3 2 2 2" xfId="13567" xr:uid="{00000000-0005-0000-0000-000097290000}"/>
    <cellStyle name="20% - Accent4 4 2 3 2 2 3" xfId="20668" xr:uid="{00000000-0005-0000-0000-000098290000}"/>
    <cellStyle name="20% - Accent4 4 2 3 2 2 4" xfId="27770" xr:uid="{00000000-0005-0000-0000-000099290000}"/>
    <cellStyle name="20% - Accent4 4 2 3 2 2 5" xfId="34872" xr:uid="{00000000-0005-0000-0000-00009A290000}"/>
    <cellStyle name="20% - Accent4 4 2 3 2 2 6" xfId="37334" xr:uid="{00000000-0005-0000-0000-00009B290000}"/>
    <cellStyle name="20% - Accent4 4 2 3 2 3" xfId="9307" xr:uid="{00000000-0005-0000-0000-00009C290000}"/>
    <cellStyle name="20% - Accent4 4 2 3 2 4" xfId="16408" xr:uid="{00000000-0005-0000-0000-00009D290000}"/>
    <cellStyle name="20% - Accent4 4 2 3 2 5" xfId="23510" xr:uid="{00000000-0005-0000-0000-00009E290000}"/>
    <cellStyle name="20% - Accent4 4 2 3 2 6" xfId="30612" xr:uid="{00000000-0005-0000-0000-00009F290000}"/>
    <cellStyle name="20% - Accent4 4 2 3 2 7" xfId="37335" xr:uid="{00000000-0005-0000-0000-0000A0290000}"/>
    <cellStyle name="20% - Accent4 4 2 3 3" xfId="5046" xr:uid="{00000000-0005-0000-0000-0000A1290000}"/>
    <cellStyle name="20% - Accent4 4 2 3 3 2" xfId="12147" xr:uid="{00000000-0005-0000-0000-0000A2290000}"/>
    <cellStyle name="20% - Accent4 4 2 3 3 2 2" xfId="37336" xr:uid="{00000000-0005-0000-0000-0000A3290000}"/>
    <cellStyle name="20% - Accent4 4 2 3 3 3" xfId="19248" xr:uid="{00000000-0005-0000-0000-0000A4290000}"/>
    <cellStyle name="20% - Accent4 4 2 3 3 4" xfId="26350" xr:uid="{00000000-0005-0000-0000-0000A5290000}"/>
    <cellStyle name="20% - Accent4 4 2 3 3 5" xfId="33452" xr:uid="{00000000-0005-0000-0000-0000A6290000}"/>
    <cellStyle name="20% - Accent4 4 2 3 3 6" xfId="37337" xr:uid="{00000000-0005-0000-0000-0000A7290000}"/>
    <cellStyle name="20% - Accent4 4 2 3 4" xfId="3621" xr:uid="{00000000-0005-0000-0000-0000A8290000}"/>
    <cellStyle name="20% - Accent4 4 2 3 4 2" xfId="10727" xr:uid="{00000000-0005-0000-0000-0000A9290000}"/>
    <cellStyle name="20% - Accent4 4 2 3 4 3" xfId="17828" xr:uid="{00000000-0005-0000-0000-0000AA290000}"/>
    <cellStyle name="20% - Accent4 4 2 3 4 4" xfId="24930" xr:uid="{00000000-0005-0000-0000-0000AB290000}"/>
    <cellStyle name="20% - Accent4 4 2 3 4 5" xfId="32032" xr:uid="{00000000-0005-0000-0000-0000AC290000}"/>
    <cellStyle name="20% - Accent4 4 2 3 4 6" xfId="37338" xr:uid="{00000000-0005-0000-0000-0000AD290000}"/>
    <cellStyle name="20% - Accent4 4 2 3 5" xfId="7887" xr:uid="{00000000-0005-0000-0000-0000AE290000}"/>
    <cellStyle name="20% - Accent4 4 2 3 6" xfId="14988" xr:uid="{00000000-0005-0000-0000-0000AF290000}"/>
    <cellStyle name="20% - Accent4 4 2 3 7" xfId="22090" xr:uid="{00000000-0005-0000-0000-0000B0290000}"/>
    <cellStyle name="20% - Accent4 4 2 3 8" xfId="29192" xr:uid="{00000000-0005-0000-0000-0000B1290000}"/>
    <cellStyle name="20% - Accent4 4 2 3 9" xfId="37339" xr:uid="{00000000-0005-0000-0000-0000B2290000}"/>
    <cellStyle name="20% - Accent4 4 2 4" xfId="921" xr:uid="{00000000-0005-0000-0000-0000B3290000}"/>
    <cellStyle name="20% - Accent4 4 2 4 2" xfId="2412" xr:uid="{00000000-0005-0000-0000-0000B4290000}"/>
    <cellStyle name="20% - Accent4 4 2 4 2 2" xfId="6680" xr:uid="{00000000-0005-0000-0000-0000B5290000}"/>
    <cellStyle name="20% - Accent4 4 2 4 2 2 2" xfId="13780" xr:uid="{00000000-0005-0000-0000-0000B6290000}"/>
    <cellStyle name="20% - Accent4 4 2 4 2 2 3" xfId="20881" xr:uid="{00000000-0005-0000-0000-0000B7290000}"/>
    <cellStyle name="20% - Accent4 4 2 4 2 2 4" xfId="27983" xr:uid="{00000000-0005-0000-0000-0000B8290000}"/>
    <cellStyle name="20% - Accent4 4 2 4 2 2 5" xfId="35085" xr:uid="{00000000-0005-0000-0000-0000B9290000}"/>
    <cellStyle name="20% - Accent4 4 2 4 2 2 6" xfId="37340" xr:uid="{00000000-0005-0000-0000-0000BA290000}"/>
    <cellStyle name="20% - Accent4 4 2 4 2 3" xfId="9520" xr:uid="{00000000-0005-0000-0000-0000BB290000}"/>
    <cellStyle name="20% - Accent4 4 2 4 2 4" xfId="16621" xr:uid="{00000000-0005-0000-0000-0000BC290000}"/>
    <cellStyle name="20% - Accent4 4 2 4 2 5" xfId="23723" xr:uid="{00000000-0005-0000-0000-0000BD290000}"/>
    <cellStyle name="20% - Accent4 4 2 4 2 6" xfId="30825" xr:uid="{00000000-0005-0000-0000-0000BE290000}"/>
    <cellStyle name="20% - Accent4 4 2 4 2 7" xfId="37341" xr:uid="{00000000-0005-0000-0000-0000BF290000}"/>
    <cellStyle name="20% - Accent4 4 2 4 3" xfId="5259" xr:uid="{00000000-0005-0000-0000-0000C0290000}"/>
    <cellStyle name="20% - Accent4 4 2 4 3 2" xfId="12360" xr:uid="{00000000-0005-0000-0000-0000C1290000}"/>
    <cellStyle name="20% - Accent4 4 2 4 3 2 2" xfId="37342" xr:uid="{00000000-0005-0000-0000-0000C2290000}"/>
    <cellStyle name="20% - Accent4 4 2 4 3 3" xfId="19461" xr:uid="{00000000-0005-0000-0000-0000C3290000}"/>
    <cellStyle name="20% - Accent4 4 2 4 3 4" xfId="26563" xr:uid="{00000000-0005-0000-0000-0000C4290000}"/>
    <cellStyle name="20% - Accent4 4 2 4 3 5" xfId="33665" xr:uid="{00000000-0005-0000-0000-0000C5290000}"/>
    <cellStyle name="20% - Accent4 4 2 4 3 6" xfId="37343" xr:uid="{00000000-0005-0000-0000-0000C6290000}"/>
    <cellStyle name="20% - Accent4 4 2 4 4" xfId="3834" xr:uid="{00000000-0005-0000-0000-0000C7290000}"/>
    <cellStyle name="20% - Accent4 4 2 4 4 2" xfId="10940" xr:uid="{00000000-0005-0000-0000-0000C8290000}"/>
    <cellStyle name="20% - Accent4 4 2 4 4 3" xfId="18041" xr:uid="{00000000-0005-0000-0000-0000C9290000}"/>
    <cellStyle name="20% - Accent4 4 2 4 4 4" xfId="25143" xr:uid="{00000000-0005-0000-0000-0000CA290000}"/>
    <cellStyle name="20% - Accent4 4 2 4 4 5" xfId="32245" xr:uid="{00000000-0005-0000-0000-0000CB290000}"/>
    <cellStyle name="20% - Accent4 4 2 4 4 6" xfId="37344" xr:uid="{00000000-0005-0000-0000-0000CC290000}"/>
    <cellStyle name="20% - Accent4 4 2 4 5" xfId="8100" xr:uid="{00000000-0005-0000-0000-0000CD290000}"/>
    <cellStyle name="20% - Accent4 4 2 4 6" xfId="15201" xr:uid="{00000000-0005-0000-0000-0000CE290000}"/>
    <cellStyle name="20% - Accent4 4 2 4 7" xfId="22303" xr:uid="{00000000-0005-0000-0000-0000CF290000}"/>
    <cellStyle name="20% - Accent4 4 2 4 8" xfId="29405" xr:uid="{00000000-0005-0000-0000-0000D0290000}"/>
    <cellStyle name="20% - Accent4 4 2 4 9" xfId="37345" xr:uid="{00000000-0005-0000-0000-0000D1290000}"/>
    <cellStyle name="20% - Accent4 4 2 5" xfId="1063" xr:uid="{00000000-0005-0000-0000-0000D2290000}"/>
    <cellStyle name="20% - Accent4 4 2 5 2" xfId="2554" xr:uid="{00000000-0005-0000-0000-0000D3290000}"/>
    <cellStyle name="20% - Accent4 4 2 5 2 2" xfId="6822" xr:uid="{00000000-0005-0000-0000-0000D4290000}"/>
    <cellStyle name="20% - Accent4 4 2 5 2 2 2" xfId="13922" xr:uid="{00000000-0005-0000-0000-0000D5290000}"/>
    <cellStyle name="20% - Accent4 4 2 5 2 2 3" xfId="21023" xr:uid="{00000000-0005-0000-0000-0000D6290000}"/>
    <cellStyle name="20% - Accent4 4 2 5 2 2 4" xfId="28125" xr:uid="{00000000-0005-0000-0000-0000D7290000}"/>
    <cellStyle name="20% - Accent4 4 2 5 2 2 5" xfId="35227" xr:uid="{00000000-0005-0000-0000-0000D8290000}"/>
    <cellStyle name="20% - Accent4 4 2 5 2 3" xfId="9662" xr:uid="{00000000-0005-0000-0000-0000D9290000}"/>
    <cellStyle name="20% - Accent4 4 2 5 2 4" xfId="16763" xr:uid="{00000000-0005-0000-0000-0000DA290000}"/>
    <cellStyle name="20% - Accent4 4 2 5 2 5" xfId="23865" xr:uid="{00000000-0005-0000-0000-0000DB290000}"/>
    <cellStyle name="20% - Accent4 4 2 5 2 6" xfId="30967" xr:uid="{00000000-0005-0000-0000-0000DC290000}"/>
    <cellStyle name="20% - Accent4 4 2 5 2 7" xfId="37346" xr:uid="{00000000-0005-0000-0000-0000DD290000}"/>
    <cellStyle name="20% - Accent4 4 2 5 3" xfId="5401" xr:uid="{00000000-0005-0000-0000-0000DE290000}"/>
    <cellStyle name="20% - Accent4 4 2 5 3 2" xfId="12502" xr:uid="{00000000-0005-0000-0000-0000DF290000}"/>
    <cellStyle name="20% - Accent4 4 2 5 3 3" xfId="19603" xr:uid="{00000000-0005-0000-0000-0000E0290000}"/>
    <cellStyle name="20% - Accent4 4 2 5 3 4" xfId="26705" xr:uid="{00000000-0005-0000-0000-0000E1290000}"/>
    <cellStyle name="20% - Accent4 4 2 5 3 5" xfId="33807" xr:uid="{00000000-0005-0000-0000-0000E2290000}"/>
    <cellStyle name="20% - Accent4 4 2 5 4" xfId="3976" xr:uid="{00000000-0005-0000-0000-0000E3290000}"/>
    <cellStyle name="20% - Accent4 4 2 5 4 2" xfId="11082" xr:uid="{00000000-0005-0000-0000-0000E4290000}"/>
    <cellStyle name="20% - Accent4 4 2 5 4 3" xfId="18183" xr:uid="{00000000-0005-0000-0000-0000E5290000}"/>
    <cellStyle name="20% - Accent4 4 2 5 4 4" xfId="25285" xr:uid="{00000000-0005-0000-0000-0000E6290000}"/>
    <cellStyle name="20% - Accent4 4 2 5 4 5" xfId="32387" xr:uid="{00000000-0005-0000-0000-0000E7290000}"/>
    <cellStyle name="20% - Accent4 4 2 5 5" xfId="8242" xr:uid="{00000000-0005-0000-0000-0000E8290000}"/>
    <cellStyle name="20% - Accent4 4 2 5 6" xfId="15343" xr:uid="{00000000-0005-0000-0000-0000E9290000}"/>
    <cellStyle name="20% - Accent4 4 2 5 7" xfId="22445" xr:uid="{00000000-0005-0000-0000-0000EA290000}"/>
    <cellStyle name="20% - Accent4 4 2 5 8" xfId="29547" xr:uid="{00000000-0005-0000-0000-0000EB290000}"/>
    <cellStyle name="20% - Accent4 4 2 5 9" xfId="37347" xr:uid="{00000000-0005-0000-0000-0000EC290000}"/>
    <cellStyle name="20% - Accent4 4 2 6" xfId="1489" xr:uid="{00000000-0005-0000-0000-0000ED290000}"/>
    <cellStyle name="20% - Accent4 4 2 6 2" xfId="2980" xr:uid="{00000000-0005-0000-0000-0000EE290000}"/>
    <cellStyle name="20% - Accent4 4 2 6 2 2" xfId="7248" xr:uid="{00000000-0005-0000-0000-0000EF290000}"/>
    <cellStyle name="20% - Accent4 4 2 6 2 2 2" xfId="14348" xr:uid="{00000000-0005-0000-0000-0000F0290000}"/>
    <cellStyle name="20% - Accent4 4 2 6 2 2 3" xfId="21449" xr:uid="{00000000-0005-0000-0000-0000F1290000}"/>
    <cellStyle name="20% - Accent4 4 2 6 2 2 4" xfId="28551" xr:uid="{00000000-0005-0000-0000-0000F2290000}"/>
    <cellStyle name="20% - Accent4 4 2 6 2 2 5" xfId="35653" xr:uid="{00000000-0005-0000-0000-0000F3290000}"/>
    <cellStyle name="20% - Accent4 4 2 6 2 3" xfId="10088" xr:uid="{00000000-0005-0000-0000-0000F4290000}"/>
    <cellStyle name="20% - Accent4 4 2 6 2 4" xfId="17189" xr:uid="{00000000-0005-0000-0000-0000F5290000}"/>
    <cellStyle name="20% - Accent4 4 2 6 2 5" xfId="24291" xr:uid="{00000000-0005-0000-0000-0000F6290000}"/>
    <cellStyle name="20% - Accent4 4 2 6 2 6" xfId="31393" xr:uid="{00000000-0005-0000-0000-0000F7290000}"/>
    <cellStyle name="20% - Accent4 4 2 6 2 7" xfId="37348" xr:uid="{00000000-0005-0000-0000-0000F8290000}"/>
    <cellStyle name="20% - Accent4 4 2 6 3" xfId="5827" xr:uid="{00000000-0005-0000-0000-0000F9290000}"/>
    <cellStyle name="20% - Accent4 4 2 6 3 2" xfId="12928" xr:uid="{00000000-0005-0000-0000-0000FA290000}"/>
    <cellStyle name="20% - Accent4 4 2 6 3 3" xfId="20029" xr:uid="{00000000-0005-0000-0000-0000FB290000}"/>
    <cellStyle name="20% - Accent4 4 2 6 3 4" xfId="27131" xr:uid="{00000000-0005-0000-0000-0000FC290000}"/>
    <cellStyle name="20% - Accent4 4 2 6 3 5" xfId="34233" xr:uid="{00000000-0005-0000-0000-0000FD290000}"/>
    <cellStyle name="20% - Accent4 4 2 6 4" xfId="4402" xr:uid="{00000000-0005-0000-0000-0000FE290000}"/>
    <cellStyle name="20% - Accent4 4 2 6 4 2" xfId="11508" xr:uid="{00000000-0005-0000-0000-0000FF290000}"/>
    <cellStyle name="20% - Accent4 4 2 6 4 3" xfId="18609" xr:uid="{00000000-0005-0000-0000-0000002A0000}"/>
    <cellStyle name="20% - Accent4 4 2 6 4 4" xfId="25711" xr:uid="{00000000-0005-0000-0000-0000012A0000}"/>
    <cellStyle name="20% - Accent4 4 2 6 4 5" xfId="32813" xr:uid="{00000000-0005-0000-0000-0000022A0000}"/>
    <cellStyle name="20% - Accent4 4 2 6 5" xfId="8668" xr:uid="{00000000-0005-0000-0000-0000032A0000}"/>
    <cellStyle name="20% - Accent4 4 2 6 6" xfId="15769" xr:uid="{00000000-0005-0000-0000-0000042A0000}"/>
    <cellStyle name="20% - Accent4 4 2 6 7" xfId="22871" xr:uid="{00000000-0005-0000-0000-0000052A0000}"/>
    <cellStyle name="20% - Accent4 4 2 6 8" xfId="29973" xr:uid="{00000000-0005-0000-0000-0000062A0000}"/>
    <cellStyle name="20% - Accent4 4 2 6 9" xfId="37349" xr:uid="{00000000-0005-0000-0000-0000072A0000}"/>
    <cellStyle name="20% - Accent4 4 2 7" xfId="1773" xr:uid="{00000000-0005-0000-0000-0000082A0000}"/>
    <cellStyle name="20% - Accent4 4 2 7 2" xfId="6041" xr:uid="{00000000-0005-0000-0000-0000092A0000}"/>
    <cellStyle name="20% - Accent4 4 2 7 2 2" xfId="13141" xr:uid="{00000000-0005-0000-0000-00000A2A0000}"/>
    <cellStyle name="20% - Accent4 4 2 7 2 3" xfId="20242" xr:uid="{00000000-0005-0000-0000-00000B2A0000}"/>
    <cellStyle name="20% - Accent4 4 2 7 2 4" xfId="27344" xr:uid="{00000000-0005-0000-0000-00000C2A0000}"/>
    <cellStyle name="20% - Accent4 4 2 7 2 5" xfId="34446" xr:uid="{00000000-0005-0000-0000-00000D2A0000}"/>
    <cellStyle name="20% - Accent4 4 2 7 3" xfId="8881" xr:uid="{00000000-0005-0000-0000-00000E2A0000}"/>
    <cellStyle name="20% - Accent4 4 2 7 4" xfId="15982" xr:uid="{00000000-0005-0000-0000-00000F2A0000}"/>
    <cellStyle name="20% - Accent4 4 2 7 5" xfId="23084" xr:uid="{00000000-0005-0000-0000-0000102A0000}"/>
    <cellStyle name="20% - Accent4 4 2 7 6" xfId="30186" xr:uid="{00000000-0005-0000-0000-0000112A0000}"/>
    <cellStyle name="20% - Accent4 4 2 7 7" xfId="37350" xr:uid="{00000000-0005-0000-0000-0000122A0000}"/>
    <cellStyle name="20% - Accent4 4 2 8" xfId="4620" xr:uid="{00000000-0005-0000-0000-0000132A0000}"/>
    <cellStyle name="20% - Accent4 4 2 8 2" xfId="11721" xr:uid="{00000000-0005-0000-0000-0000142A0000}"/>
    <cellStyle name="20% - Accent4 4 2 8 3" xfId="18822" xr:uid="{00000000-0005-0000-0000-0000152A0000}"/>
    <cellStyle name="20% - Accent4 4 2 8 4" xfId="25924" xr:uid="{00000000-0005-0000-0000-0000162A0000}"/>
    <cellStyle name="20% - Accent4 4 2 8 5" xfId="33026" xr:uid="{00000000-0005-0000-0000-0000172A0000}"/>
    <cellStyle name="20% - Accent4 4 2 9" xfId="3195" xr:uid="{00000000-0005-0000-0000-0000182A0000}"/>
    <cellStyle name="20% - Accent4 4 2 9 2" xfId="10301" xr:uid="{00000000-0005-0000-0000-0000192A0000}"/>
    <cellStyle name="20% - Accent4 4 2 9 3" xfId="17402" xr:uid="{00000000-0005-0000-0000-00001A2A0000}"/>
    <cellStyle name="20% - Accent4 4 2 9 4" xfId="24504" xr:uid="{00000000-0005-0000-0000-00001B2A0000}"/>
    <cellStyle name="20% - Accent4 4 2 9 5" xfId="31606" xr:uid="{00000000-0005-0000-0000-00001C2A0000}"/>
    <cellStyle name="20% - Accent4 4 3" xfId="211" xr:uid="{00000000-0005-0000-0000-00001D2A0000}"/>
    <cellStyle name="20% - Accent4 4 3 10" xfId="7390" xr:uid="{00000000-0005-0000-0000-00001E2A0000}"/>
    <cellStyle name="20% - Accent4 4 3 11" xfId="14491" xr:uid="{00000000-0005-0000-0000-00001F2A0000}"/>
    <cellStyle name="20% - Accent4 4 3 12" xfId="21593" xr:uid="{00000000-0005-0000-0000-0000202A0000}"/>
    <cellStyle name="20% - Accent4 4 3 13" xfId="28695" xr:uid="{00000000-0005-0000-0000-0000212A0000}"/>
    <cellStyle name="20% - Accent4 4 3 14" xfId="35797" xr:uid="{00000000-0005-0000-0000-0000222A0000}"/>
    <cellStyle name="20% - Accent4 4 3 15" xfId="37351" xr:uid="{00000000-0005-0000-0000-0000232A0000}"/>
    <cellStyle name="20% - Accent4 4 3 2" xfId="424" xr:uid="{00000000-0005-0000-0000-0000242A0000}"/>
    <cellStyle name="20% - Accent4 4 3 2 2" xfId="1915" xr:uid="{00000000-0005-0000-0000-0000252A0000}"/>
    <cellStyle name="20% - Accent4 4 3 2 2 2" xfId="6183" xr:uid="{00000000-0005-0000-0000-0000262A0000}"/>
    <cellStyle name="20% - Accent4 4 3 2 2 2 2" xfId="13283" xr:uid="{00000000-0005-0000-0000-0000272A0000}"/>
    <cellStyle name="20% - Accent4 4 3 2 2 2 3" xfId="20384" xr:uid="{00000000-0005-0000-0000-0000282A0000}"/>
    <cellStyle name="20% - Accent4 4 3 2 2 2 4" xfId="27486" xr:uid="{00000000-0005-0000-0000-0000292A0000}"/>
    <cellStyle name="20% - Accent4 4 3 2 2 2 5" xfId="34588" xr:uid="{00000000-0005-0000-0000-00002A2A0000}"/>
    <cellStyle name="20% - Accent4 4 3 2 2 2 6" xfId="37352" xr:uid="{00000000-0005-0000-0000-00002B2A0000}"/>
    <cellStyle name="20% - Accent4 4 3 2 2 3" xfId="9023" xr:uid="{00000000-0005-0000-0000-00002C2A0000}"/>
    <cellStyle name="20% - Accent4 4 3 2 2 4" xfId="16124" xr:uid="{00000000-0005-0000-0000-00002D2A0000}"/>
    <cellStyle name="20% - Accent4 4 3 2 2 5" xfId="23226" xr:uid="{00000000-0005-0000-0000-00002E2A0000}"/>
    <cellStyle name="20% - Accent4 4 3 2 2 6" xfId="30328" xr:uid="{00000000-0005-0000-0000-00002F2A0000}"/>
    <cellStyle name="20% - Accent4 4 3 2 2 7" xfId="37353" xr:uid="{00000000-0005-0000-0000-0000302A0000}"/>
    <cellStyle name="20% - Accent4 4 3 2 3" xfId="4762" xr:uid="{00000000-0005-0000-0000-0000312A0000}"/>
    <cellStyle name="20% - Accent4 4 3 2 3 2" xfId="11863" xr:uid="{00000000-0005-0000-0000-0000322A0000}"/>
    <cellStyle name="20% - Accent4 4 3 2 3 2 2" xfId="37354" xr:uid="{00000000-0005-0000-0000-0000332A0000}"/>
    <cellStyle name="20% - Accent4 4 3 2 3 3" xfId="18964" xr:uid="{00000000-0005-0000-0000-0000342A0000}"/>
    <cellStyle name="20% - Accent4 4 3 2 3 4" xfId="26066" xr:uid="{00000000-0005-0000-0000-0000352A0000}"/>
    <cellStyle name="20% - Accent4 4 3 2 3 5" xfId="33168" xr:uid="{00000000-0005-0000-0000-0000362A0000}"/>
    <cellStyle name="20% - Accent4 4 3 2 3 6" xfId="37355" xr:uid="{00000000-0005-0000-0000-0000372A0000}"/>
    <cellStyle name="20% - Accent4 4 3 2 4" xfId="3337" xr:uid="{00000000-0005-0000-0000-0000382A0000}"/>
    <cellStyle name="20% - Accent4 4 3 2 4 2" xfId="10443" xr:uid="{00000000-0005-0000-0000-0000392A0000}"/>
    <cellStyle name="20% - Accent4 4 3 2 4 3" xfId="17544" xr:uid="{00000000-0005-0000-0000-00003A2A0000}"/>
    <cellStyle name="20% - Accent4 4 3 2 4 4" xfId="24646" xr:uid="{00000000-0005-0000-0000-00003B2A0000}"/>
    <cellStyle name="20% - Accent4 4 3 2 4 5" xfId="31748" xr:uid="{00000000-0005-0000-0000-00003C2A0000}"/>
    <cellStyle name="20% - Accent4 4 3 2 4 6" xfId="37356" xr:uid="{00000000-0005-0000-0000-00003D2A0000}"/>
    <cellStyle name="20% - Accent4 4 3 2 5" xfId="7603" xr:uid="{00000000-0005-0000-0000-00003E2A0000}"/>
    <cellStyle name="20% - Accent4 4 3 2 6" xfId="14704" xr:uid="{00000000-0005-0000-0000-00003F2A0000}"/>
    <cellStyle name="20% - Accent4 4 3 2 7" xfId="21806" xr:uid="{00000000-0005-0000-0000-0000402A0000}"/>
    <cellStyle name="20% - Accent4 4 3 2 8" xfId="28908" xr:uid="{00000000-0005-0000-0000-0000412A0000}"/>
    <cellStyle name="20% - Accent4 4 3 2 9" xfId="37357" xr:uid="{00000000-0005-0000-0000-0000422A0000}"/>
    <cellStyle name="20% - Accent4 4 3 3" xfId="637" xr:uid="{00000000-0005-0000-0000-0000432A0000}"/>
    <cellStyle name="20% - Accent4 4 3 3 2" xfId="2128" xr:uid="{00000000-0005-0000-0000-0000442A0000}"/>
    <cellStyle name="20% - Accent4 4 3 3 2 2" xfId="6396" xr:uid="{00000000-0005-0000-0000-0000452A0000}"/>
    <cellStyle name="20% - Accent4 4 3 3 2 2 2" xfId="13496" xr:uid="{00000000-0005-0000-0000-0000462A0000}"/>
    <cellStyle name="20% - Accent4 4 3 3 2 2 3" xfId="20597" xr:uid="{00000000-0005-0000-0000-0000472A0000}"/>
    <cellStyle name="20% - Accent4 4 3 3 2 2 4" xfId="27699" xr:uid="{00000000-0005-0000-0000-0000482A0000}"/>
    <cellStyle name="20% - Accent4 4 3 3 2 2 5" xfId="34801" xr:uid="{00000000-0005-0000-0000-0000492A0000}"/>
    <cellStyle name="20% - Accent4 4 3 3 2 2 6" xfId="37358" xr:uid="{00000000-0005-0000-0000-00004A2A0000}"/>
    <cellStyle name="20% - Accent4 4 3 3 2 3" xfId="9236" xr:uid="{00000000-0005-0000-0000-00004B2A0000}"/>
    <cellStyle name="20% - Accent4 4 3 3 2 4" xfId="16337" xr:uid="{00000000-0005-0000-0000-00004C2A0000}"/>
    <cellStyle name="20% - Accent4 4 3 3 2 5" xfId="23439" xr:uid="{00000000-0005-0000-0000-00004D2A0000}"/>
    <cellStyle name="20% - Accent4 4 3 3 2 6" xfId="30541" xr:uid="{00000000-0005-0000-0000-00004E2A0000}"/>
    <cellStyle name="20% - Accent4 4 3 3 2 7" xfId="37359" xr:uid="{00000000-0005-0000-0000-00004F2A0000}"/>
    <cellStyle name="20% - Accent4 4 3 3 3" xfId="4975" xr:uid="{00000000-0005-0000-0000-0000502A0000}"/>
    <cellStyle name="20% - Accent4 4 3 3 3 2" xfId="12076" xr:uid="{00000000-0005-0000-0000-0000512A0000}"/>
    <cellStyle name="20% - Accent4 4 3 3 3 2 2" xfId="37360" xr:uid="{00000000-0005-0000-0000-0000522A0000}"/>
    <cellStyle name="20% - Accent4 4 3 3 3 3" xfId="19177" xr:uid="{00000000-0005-0000-0000-0000532A0000}"/>
    <cellStyle name="20% - Accent4 4 3 3 3 4" xfId="26279" xr:uid="{00000000-0005-0000-0000-0000542A0000}"/>
    <cellStyle name="20% - Accent4 4 3 3 3 5" xfId="33381" xr:uid="{00000000-0005-0000-0000-0000552A0000}"/>
    <cellStyle name="20% - Accent4 4 3 3 3 6" xfId="37361" xr:uid="{00000000-0005-0000-0000-0000562A0000}"/>
    <cellStyle name="20% - Accent4 4 3 3 4" xfId="3550" xr:uid="{00000000-0005-0000-0000-0000572A0000}"/>
    <cellStyle name="20% - Accent4 4 3 3 4 2" xfId="10656" xr:uid="{00000000-0005-0000-0000-0000582A0000}"/>
    <cellStyle name="20% - Accent4 4 3 3 4 3" xfId="17757" xr:uid="{00000000-0005-0000-0000-0000592A0000}"/>
    <cellStyle name="20% - Accent4 4 3 3 4 4" xfId="24859" xr:uid="{00000000-0005-0000-0000-00005A2A0000}"/>
    <cellStyle name="20% - Accent4 4 3 3 4 5" xfId="31961" xr:uid="{00000000-0005-0000-0000-00005B2A0000}"/>
    <cellStyle name="20% - Accent4 4 3 3 4 6" xfId="37362" xr:uid="{00000000-0005-0000-0000-00005C2A0000}"/>
    <cellStyle name="20% - Accent4 4 3 3 5" xfId="7816" xr:uid="{00000000-0005-0000-0000-00005D2A0000}"/>
    <cellStyle name="20% - Accent4 4 3 3 6" xfId="14917" xr:uid="{00000000-0005-0000-0000-00005E2A0000}"/>
    <cellStyle name="20% - Accent4 4 3 3 7" xfId="22019" xr:uid="{00000000-0005-0000-0000-00005F2A0000}"/>
    <cellStyle name="20% - Accent4 4 3 3 8" xfId="29121" xr:uid="{00000000-0005-0000-0000-0000602A0000}"/>
    <cellStyle name="20% - Accent4 4 3 3 9" xfId="37363" xr:uid="{00000000-0005-0000-0000-0000612A0000}"/>
    <cellStyle name="20% - Accent4 4 3 4" xfId="850" xr:uid="{00000000-0005-0000-0000-0000622A0000}"/>
    <cellStyle name="20% - Accent4 4 3 4 2" xfId="2341" xr:uid="{00000000-0005-0000-0000-0000632A0000}"/>
    <cellStyle name="20% - Accent4 4 3 4 2 2" xfId="6609" xr:uid="{00000000-0005-0000-0000-0000642A0000}"/>
    <cellStyle name="20% - Accent4 4 3 4 2 2 2" xfId="13709" xr:uid="{00000000-0005-0000-0000-0000652A0000}"/>
    <cellStyle name="20% - Accent4 4 3 4 2 2 3" xfId="20810" xr:uid="{00000000-0005-0000-0000-0000662A0000}"/>
    <cellStyle name="20% - Accent4 4 3 4 2 2 4" xfId="27912" xr:uid="{00000000-0005-0000-0000-0000672A0000}"/>
    <cellStyle name="20% - Accent4 4 3 4 2 2 5" xfId="35014" xr:uid="{00000000-0005-0000-0000-0000682A0000}"/>
    <cellStyle name="20% - Accent4 4 3 4 2 2 6" xfId="37364" xr:uid="{00000000-0005-0000-0000-0000692A0000}"/>
    <cellStyle name="20% - Accent4 4 3 4 2 3" xfId="9449" xr:uid="{00000000-0005-0000-0000-00006A2A0000}"/>
    <cellStyle name="20% - Accent4 4 3 4 2 4" xfId="16550" xr:uid="{00000000-0005-0000-0000-00006B2A0000}"/>
    <cellStyle name="20% - Accent4 4 3 4 2 5" xfId="23652" xr:uid="{00000000-0005-0000-0000-00006C2A0000}"/>
    <cellStyle name="20% - Accent4 4 3 4 2 6" xfId="30754" xr:uid="{00000000-0005-0000-0000-00006D2A0000}"/>
    <cellStyle name="20% - Accent4 4 3 4 2 7" xfId="37365" xr:uid="{00000000-0005-0000-0000-00006E2A0000}"/>
    <cellStyle name="20% - Accent4 4 3 4 3" xfId="5188" xr:uid="{00000000-0005-0000-0000-00006F2A0000}"/>
    <cellStyle name="20% - Accent4 4 3 4 3 2" xfId="12289" xr:uid="{00000000-0005-0000-0000-0000702A0000}"/>
    <cellStyle name="20% - Accent4 4 3 4 3 2 2" xfId="37366" xr:uid="{00000000-0005-0000-0000-0000712A0000}"/>
    <cellStyle name="20% - Accent4 4 3 4 3 3" xfId="19390" xr:uid="{00000000-0005-0000-0000-0000722A0000}"/>
    <cellStyle name="20% - Accent4 4 3 4 3 4" xfId="26492" xr:uid="{00000000-0005-0000-0000-0000732A0000}"/>
    <cellStyle name="20% - Accent4 4 3 4 3 5" xfId="33594" xr:uid="{00000000-0005-0000-0000-0000742A0000}"/>
    <cellStyle name="20% - Accent4 4 3 4 3 6" xfId="37367" xr:uid="{00000000-0005-0000-0000-0000752A0000}"/>
    <cellStyle name="20% - Accent4 4 3 4 4" xfId="3763" xr:uid="{00000000-0005-0000-0000-0000762A0000}"/>
    <cellStyle name="20% - Accent4 4 3 4 4 2" xfId="10869" xr:uid="{00000000-0005-0000-0000-0000772A0000}"/>
    <cellStyle name="20% - Accent4 4 3 4 4 3" xfId="17970" xr:uid="{00000000-0005-0000-0000-0000782A0000}"/>
    <cellStyle name="20% - Accent4 4 3 4 4 4" xfId="25072" xr:uid="{00000000-0005-0000-0000-0000792A0000}"/>
    <cellStyle name="20% - Accent4 4 3 4 4 5" xfId="32174" xr:uid="{00000000-0005-0000-0000-00007A2A0000}"/>
    <cellStyle name="20% - Accent4 4 3 4 4 6" xfId="37368" xr:uid="{00000000-0005-0000-0000-00007B2A0000}"/>
    <cellStyle name="20% - Accent4 4 3 4 5" xfId="8029" xr:uid="{00000000-0005-0000-0000-00007C2A0000}"/>
    <cellStyle name="20% - Accent4 4 3 4 6" xfId="15130" xr:uid="{00000000-0005-0000-0000-00007D2A0000}"/>
    <cellStyle name="20% - Accent4 4 3 4 7" xfId="22232" xr:uid="{00000000-0005-0000-0000-00007E2A0000}"/>
    <cellStyle name="20% - Accent4 4 3 4 8" xfId="29334" xr:uid="{00000000-0005-0000-0000-00007F2A0000}"/>
    <cellStyle name="20% - Accent4 4 3 4 9" xfId="37369" xr:uid="{00000000-0005-0000-0000-0000802A0000}"/>
    <cellStyle name="20% - Accent4 4 3 5" xfId="1205" xr:uid="{00000000-0005-0000-0000-0000812A0000}"/>
    <cellStyle name="20% - Accent4 4 3 5 2" xfId="2696" xr:uid="{00000000-0005-0000-0000-0000822A0000}"/>
    <cellStyle name="20% - Accent4 4 3 5 2 2" xfId="6964" xr:uid="{00000000-0005-0000-0000-0000832A0000}"/>
    <cellStyle name="20% - Accent4 4 3 5 2 2 2" xfId="14064" xr:uid="{00000000-0005-0000-0000-0000842A0000}"/>
    <cellStyle name="20% - Accent4 4 3 5 2 2 3" xfId="21165" xr:uid="{00000000-0005-0000-0000-0000852A0000}"/>
    <cellStyle name="20% - Accent4 4 3 5 2 2 4" xfId="28267" xr:uid="{00000000-0005-0000-0000-0000862A0000}"/>
    <cellStyle name="20% - Accent4 4 3 5 2 2 5" xfId="35369" xr:uid="{00000000-0005-0000-0000-0000872A0000}"/>
    <cellStyle name="20% - Accent4 4 3 5 2 3" xfId="9804" xr:uid="{00000000-0005-0000-0000-0000882A0000}"/>
    <cellStyle name="20% - Accent4 4 3 5 2 4" xfId="16905" xr:uid="{00000000-0005-0000-0000-0000892A0000}"/>
    <cellStyle name="20% - Accent4 4 3 5 2 5" xfId="24007" xr:uid="{00000000-0005-0000-0000-00008A2A0000}"/>
    <cellStyle name="20% - Accent4 4 3 5 2 6" xfId="31109" xr:uid="{00000000-0005-0000-0000-00008B2A0000}"/>
    <cellStyle name="20% - Accent4 4 3 5 2 7" xfId="37370" xr:uid="{00000000-0005-0000-0000-00008C2A0000}"/>
    <cellStyle name="20% - Accent4 4 3 5 3" xfId="5543" xr:uid="{00000000-0005-0000-0000-00008D2A0000}"/>
    <cellStyle name="20% - Accent4 4 3 5 3 2" xfId="12644" xr:uid="{00000000-0005-0000-0000-00008E2A0000}"/>
    <cellStyle name="20% - Accent4 4 3 5 3 3" xfId="19745" xr:uid="{00000000-0005-0000-0000-00008F2A0000}"/>
    <cellStyle name="20% - Accent4 4 3 5 3 4" xfId="26847" xr:uid="{00000000-0005-0000-0000-0000902A0000}"/>
    <cellStyle name="20% - Accent4 4 3 5 3 5" xfId="33949" xr:uid="{00000000-0005-0000-0000-0000912A0000}"/>
    <cellStyle name="20% - Accent4 4 3 5 4" xfId="4118" xr:uid="{00000000-0005-0000-0000-0000922A0000}"/>
    <cellStyle name="20% - Accent4 4 3 5 4 2" xfId="11224" xr:uid="{00000000-0005-0000-0000-0000932A0000}"/>
    <cellStyle name="20% - Accent4 4 3 5 4 3" xfId="18325" xr:uid="{00000000-0005-0000-0000-0000942A0000}"/>
    <cellStyle name="20% - Accent4 4 3 5 4 4" xfId="25427" xr:uid="{00000000-0005-0000-0000-0000952A0000}"/>
    <cellStyle name="20% - Accent4 4 3 5 4 5" xfId="32529" xr:uid="{00000000-0005-0000-0000-0000962A0000}"/>
    <cellStyle name="20% - Accent4 4 3 5 5" xfId="8384" xr:uid="{00000000-0005-0000-0000-0000972A0000}"/>
    <cellStyle name="20% - Accent4 4 3 5 6" xfId="15485" xr:uid="{00000000-0005-0000-0000-0000982A0000}"/>
    <cellStyle name="20% - Accent4 4 3 5 7" xfId="22587" xr:uid="{00000000-0005-0000-0000-0000992A0000}"/>
    <cellStyle name="20% - Accent4 4 3 5 8" xfId="29689" xr:uid="{00000000-0005-0000-0000-00009A2A0000}"/>
    <cellStyle name="20% - Accent4 4 3 5 9" xfId="37371" xr:uid="{00000000-0005-0000-0000-00009B2A0000}"/>
    <cellStyle name="20% - Accent4 4 3 6" xfId="1418" xr:uid="{00000000-0005-0000-0000-00009C2A0000}"/>
    <cellStyle name="20% - Accent4 4 3 6 2" xfId="2909" xr:uid="{00000000-0005-0000-0000-00009D2A0000}"/>
    <cellStyle name="20% - Accent4 4 3 6 2 2" xfId="7177" xr:uid="{00000000-0005-0000-0000-00009E2A0000}"/>
    <cellStyle name="20% - Accent4 4 3 6 2 2 2" xfId="14277" xr:uid="{00000000-0005-0000-0000-00009F2A0000}"/>
    <cellStyle name="20% - Accent4 4 3 6 2 2 3" xfId="21378" xr:uid="{00000000-0005-0000-0000-0000A02A0000}"/>
    <cellStyle name="20% - Accent4 4 3 6 2 2 4" xfId="28480" xr:uid="{00000000-0005-0000-0000-0000A12A0000}"/>
    <cellStyle name="20% - Accent4 4 3 6 2 2 5" xfId="35582" xr:uid="{00000000-0005-0000-0000-0000A22A0000}"/>
    <cellStyle name="20% - Accent4 4 3 6 2 3" xfId="10017" xr:uid="{00000000-0005-0000-0000-0000A32A0000}"/>
    <cellStyle name="20% - Accent4 4 3 6 2 4" xfId="17118" xr:uid="{00000000-0005-0000-0000-0000A42A0000}"/>
    <cellStyle name="20% - Accent4 4 3 6 2 5" xfId="24220" xr:uid="{00000000-0005-0000-0000-0000A52A0000}"/>
    <cellStyle name="20% - Accent4 4 3 6 2 6" xfId="31322" xr:uid="{00000000-0005-0000-0000-0000A62A0000}"/>
    <cellStyle name="20% - Accent4 4 3 6 2 7" xfId="37372" xr:uid="{00000000-0005-0000-0000-0000A72A0000}"/>
    <cellStyle name="20% - Accent4 4 3 6 3" xfId="5756" xr:uid="{00000000-0005-0000-0000-0000A82A0000}"/>
    <cellStyle name="20% - Accent4 4 3 6 3 2" xfId="12857" xr:uid="{00000000-0005-0000-0000-0000A92A0000}"/>
    <cellStyle name="20% - Accent4 4 3 6 3 3" xfId="19958" xr:uid="{00000000-0005-0000-0000-0000AA2A0000}"/>
    <cellStyle name="20% - Accent4 4 3 6 3 4" xfId="27060" xr:uid="{00000000-0005-0000-0000-0000AB2A0000}"/>
    <cellStyle name="20% - Accent4 4 3 6 3 5" xfId="34162" xr:uid="{00000000-0005-0000-0000-0000AC2A0000}"/>
    <cellStyle name="20% - Accent4 4 3 6 4" xfId="4331" xr:uid="{00000000-0005-0000-0000-0000AD2A0000}"/>
    <cellStyle name="20% - Accent4 4 3 6 4 2" xfId="11437" xr:uid="{00000000-0005-0000-0000-0000AE2A0000}"/>
    <cellStyle name="20% - Accent4 4 3 6 4 3" xfId="18538" xr:uid="{00000000-0005-0000-0000-0000AF2A0000}"/>
    <cellStyle name="20% - Accent4 4 3 6 4 4" xfId="25640" xr:uid="{00000000-0005-0000-0000-0000B02A0000}"/>
    <cellStyle name="20% - Accent4 4 3 6 4 5" xfId="32742" xr:uid="{00000000-0005-0000-0000-0000B12A0000}"/>
    <cellStyle name="20% - Accent4 4 3 6 5" xfId="8597" xr:uid="{00000000-0005-0000-0000-0000B22A0000}"/>
    <cellStyle name="20% - Accent4 4 3 6 6" xfId="15698" xr:uid="{00000000-0005-0000-0000-0000B32A0000}"/>
    <cellStyle name="20% - Accent4 4 3 6 7" xfId="22800" xr:uid="{00000000-0005-0000-0000-0000B42A0000}"/>
    <cellStyle name="20% - Accent4 4 3 6 8" xfId="29902" xr:uid="{00000000-0005-0000-0000-0000B52A0000}"/>
    <cellStyle name="20% - Accent4 4 3 6 9" xfId="37373" xr:uid="{00000000-0005-0000-0000-0000B62A0000}"/>
    <cellStyle name="20% - Accent4 4 3 7" xfId="1702" xr:uid="{00000000-0005-0000-0000-0000B72A0000}"/>
    <cellStyle name="20% - Accent4 4 3 7 2" xfId="5970" xr:uid="{00000000-0005-0000-0000-0000B82A0000}"/>
    <cellStyle name="20% - Accent4 4 3 7 2 2" xfId="13070" xr:uid="{00000000-0005-0000-0000-0000B92A0000}"/>
    <cellStyle name="20% - Accent4 4 3 7 2 3" xfId="20171" xr:uid="{00000000-0005-0000-0000-0000BA2A0000}"/>
    <cellStyle name="20% - Accent4 4 3 7 2 4" xfId="27273" xr:uid="{00000000-0005-0000-0000-0000BB2A0000}"/>
    <cellStyle name="20% - Accent4 4 3 7 2 5" xfId="34375" xr:uid="{00000000-0005-0000-0000-0000BC2A0000}"/>
    <cellStyle name="20% - Accent4 4 3 7 3" xfId="8810" xr:uid="{00000000-0005-0000-0000-0000BD2A0000}"/>
    <cellStyle name="20% - Accent4 4 3 7 4" xfId="15911" xr:uid="{00000000-0005-0000-0000-0000BE2A0000}"/>
    <cellStyle name="20% - Accent4 4 3 7 5" xfId="23013" xr:uid="{00000000-0005-0000-0000-0000BF2A0000}"/>
    <cellStyle name="20% - Accent4 4 3 7 6" xfId="30115" xr:uid="{00000000-0005-0000-0000-0000C02A0000}"/>
    <cellStyle name="20% - Accent4 4 3 7 7" xfId="37374" xr:uid="{00000000-0005-0000-0000-0000C12A0000}"/>
    <cellStyle name="20% - Accent4 4 3 8" xfId="4549" xr:uid="{00000000-0005-0000-0000-0000C22A0000}"/>
    <cellStyle name="20% - Accent4 4 3 8 2" xfId="11650" xr:uid="{00000000-0005-0000-0000-0000C32A0000}"/>
    <cellStyle name="20% - Accent4 4 3 8 3" xfId="18751" xr:uid="{00000000-0005-0000-0000-0000C42A0000}"/>
    <cellStyle name="20% - Accent4 4 3 8 4" xfId="25853" xr:uid="{00000000-0005-0000-0000-0000C52A0000}"/>
    <cellStyle name="20% - Accent4 4 3 8 5" xfId="32955" xr:uid="{00000000-0005-0000-0000-0000C62A0000}"/>
    <cellStyle name="20% - Accent4 4 3 9" xfId="3124" xr:uid="{00000000-0005-0000-0000-0000C72A0000}"/>
    <cellStyle name="20% - Accent4 4 3 9 2" xfId="10230" xr:uid="{00000000-0005-0000-0000-0000C82A0000}"/>
    <cellStyle name="20% - Accent4 4 3 9 3" xfId="17331" xr:uid="{00000000-0005-0000-0000-0000C92A0000}"/>
    <cellStyle name="20% - Accent4 4 3 9 4" xfId="24433" xr:uid="{00000000-0005-0000-0000-0000CA2A0000}"/>
    <cellStyle name="20% - Accent4 4 3 9 5" xfId="31535" xr:uid="{00000000-0005-0000-0000-0000CB2A0000}"/>
    <cellStyle name="20% - Accent4 4 4" xfId="353" xr:uid="{00000000-0005-0000-0000-0000CC2A0000}"/>
    <cellStyle name="20% - Accent4 4 4 10" xfId="37375" xr:uid="{00000000-0005-0000-0000-0000CD2A0000}"/>
    <cellStyle name="20% - Accent4 4 4 2" xfId="1134" xr:uid="{00000000-0005-0000-0000-0000CE2A0000}"/>
    <cellStyle name="20% - Accent4 4 4 2 2" xfId="2625" xr:uid="{00000000-0005-0000-0000-0000CF2A0000}"/>
    <cellStyle name="20% - Accent4 4 4 2 2 2" xfId="6893" xr:uid="{00000000-0005-0000-0000-0000D02A0000}"/>
    <cellStyle name="20% - Accent4 4 4 2 2 2 2" xfId="13993" xr:uid="{00000000-0005-0000-0000-0000D12A0000}"/>
    <cellStyle name="20% - Accent4 4 4 2 2 2 3" xfId="21094" xr:uid="{00000000-0005-0000-0000-0000D22A0000}"/>
    <cellStyle name="20% - Accent4 4 4 2 2 2 4" xfId="28196" xr:uid="{00000000-0005-0000-0000-0000D32A0000}"/>
    <cellStyle name="20% - Accent4 4 4 2 2 2 5" xfId="35298" xr:uid="{00000000-0005-0000-0000-0000D42A0000}"/>
    <cellStyle name="20% - Accent4 4 4 2 2 3" xfId="9733" xr:uid="{00000000-0005-0000-0000-0000D52A0000}"/>
    <cellStyle name="20% - Accent4 4 4 2 2 4" xfId="16834" xr:uid="{00000000-0005-0000-0000-0000D62A0000}"/>
    <cellStyle name="20% - Accent4 4 4 2 2 5" xfId="23936" xr:uid="{00000000-0005-0000-0000-0000D72A0000}"/>
    <cellStyle name="20% - Accent4 4 4 2 2 6" xfId="31038" xr:uid="{00000000-0005-0000-0000-0000D82A0000}"/>
    <cellStyle name="20% - Accent4 4 4 2 2 7" xfId="37376" xr:uid="{00000000-0005-0000-0000-0000D92A0000}"/>
    <cellStyle name="20% - Accent4 4 4 2 3" xfId="5472" xr:uid="{00000000-0005-0000-0000-0000DA2A0000}"/>
    <cellStyle name="20% - Accent4 4 4 2 3 2" xfId="12573" xr:uid="{00000000-0005-0000-0000-0000DB2A0000}"/>
    <cellStyle name="20% - Accent4 4 4 2 3 3" xfId="19674" xr:uid="{00000000-0005-0000-0000-0000DC2A0000}"/>
    <cellStyle name="20% - Accent4 4 4 2 3 4" xfId="26776" xr:uid="{00000000-0005-0000-0000-0000DD2A0000}"/>
    <cellStyle name="20% - Accent4 4 4 2 3 5" xfId="33878" xr:uid="{00000000-0005-0000-0000-0000DE2A0000}"/>
    <cellStyle name="20% - Accent4 4 4 2 4" xfId="4047" xr:uid="{00000000-0005-0000-0000-0000DF2A0000}"/>
    <cellStyle name="20% - Accent4 4 4 2 4 2" xfId="11153" xr:uid="{00000000-0005-0000-0000-0000E02A0000}"/>
    <cellStyle name="20% - Accent4 4 4 2 4 3" xfId="18254" xr:uid="{00000000-0005-0000-0000-0000E12A0000}"/>
    <cellStyle name="20% - Accent4 4 4 2 4 4" xfId="25356" xr:uid="{00000000-0005-0000-0000-0000E22A0000}"/>
    <cellStyle name="20% - Accent4 4 4 2 4 5" xfId="32458" xr:uid="{00000000-0005-0000-0000-0000E32A0000}"/>
    <cellStyle name="20% - Accent4 4 4 2 5" xfId="8313" xr:uid="{00000000-0005-0000-0000-0000E42A0000}"/>
    <cellStyle name="20% - Accent4 4 4 2 6" xfId="15414" xr:uid="{00000000-0005-0000-0000-0000E52A0000}"/>
    <cellStyle name="20% - Accent4 4 4 2 7" xfId="22516" xr:uid="{00000000-0005-0000-0000-0000E62A0000}"/>
    <cellStyle name="20% - Accent4 4 4 2 8" xfId="29618" xr:uid="{00000000-0005-0000-0000-0000E72A0000}"/>
    <cellStyle name="20% - Accent4 4 4 2 9" xfId="37377" xr:uid="{00000000-0005-0000-0000-0000E82A0000}"/>
    <cellStyle name="20% - Accent4 4 4 3" xfId="1844" xr:uid="{00000000-0005-0000-0000-0000E92A0000}"/>
    <cellStyle name="20% - Accent4 4 4 3 2" xfId="6112" xr:uid="{00000000-0005-0000-0000-0000EA2A0000}"/>
    <cellStyle name="20% - Accent4 4 4 3 2 2" xfId="13212" xr:uid="{00000000-0005-0000-0000-0000EB2A0000}"/>
    <cellStyle name="20% - Accent4 4 4 3 2 3" xfId="20313" xr:uid="{00000000-0005-0000-0000-0000EC2A0000}"/>
    <cellStyle name="20% - Accent4 4 4 3 2 4" xfId="27415" xr:uid="{00000000-0005-0000-0000-0000ED2A0000}"/>
    <cellStyle name="20% - Accent4 4 4 3 2 5" xfId="34517" xr:uid="{00000000-0005-0000-0000-0000EE2A0000}"/>
    <cellStyle name="20% - Accent4 4 4 3 2 6" xfId="37378" xr:uid="{00000000-0005-0000-0000-0000EF2A0000}"/>
    <cellStyle name="20% - Accent4 4 4 3 3" xfId="8952" xr:uid="{00000000-0005-0000-0000-0000F02A0000}"/>
    <cellStyle name="20% - Accent4 4 4 3 4" xfId="16053" xr:uid="{00000000-0005-0000-0000-0000F12A0000}"/>
    <cellStyle name="20% - Accent4 4 4 3 5" xfId="23155" xr:uid="{00000000-0005-0000-0000-0000F22A0000}"/>
    <cellStyle name="20% - Accent4 4 4 3 6" xfId="30257" xr:uid="{00000000-0005-0000-0000-0000F32A0000}"/>
    <cellStyle name="20% - Accent4 4 4 3 7" xfId="37379" xr:uid="{00000000-0005-0000-0000-0000F42A0000}"/>
    <cellStyle name="20% - Accent4 4 4 4" xfId="4691" xr:uid="{00000000-0005-0000-0000-0000F52A0000}"/>
    <cellStyle name="20% - Accent4 4 4 4 2" xfId="11792" xr:uid="{00000000-0005-0000-0000-0000F62A0000}"/>
    <cellStyle name="20% - Accent4 4 4 4 3" xfId="18893" xr:uid="{00000000-0005-0000-0000-0000F72A0000}"/>
    <cellStyle name="20% - Accent4 4 4 4 4" xfId="25995" xr:uid="{00000000-0005-0000-0000-0000F82A0000}"/>
    <cellStyle name="20% - Accent4 4 4 4 5" xfId="33097" xr:uid="{00000000-0005-0000-0000-0000F92A0000}"/>
    <cellStyle name="20% - Accent4 4 4 4 6" xfId="37380" xr:uid="{00000000-0005-0000-0000-0000FA2A0000}"/>
    <cellStyle name="20% - Accent4 4 4 5" xfId="3266" xr:uid="{00000000-0005-0000-0000-0000FB2A0000}"/>
    <cellStyle name="20% - Accent4 4 4 5 2" xfId="10372" xr:uid="{00000000-0005-0000-0000-0000FC2A0000}"/>
    <cellStyle name="20% - Accent4 4 4 5 3" xfId="17473" xr:uid="{00000000-0005-0000-0000-0000FD2A0000}"/>
    <cellStyle name="20% - Accent4 4 4 5 4" xfId="24575" xr:uid="{00000000-0005-0000-0000-0000FE2A0000}"/>
    <cellStyle name="20% - Accent4 4 4 5 5" xfId="31677" xr:uid="{00000000-0005-0000-0000-0000FF2A0000}"/>
    <cellStyle name="20% - Accent4 4 4 6" xfId="7532" xr:uid="{00000000-0005-0000-0000-0000002B0000}"/>
    <cellStyle name="20% - Accent4 4 4 7" xfId="14633" xr:uid="{00000000-0005-0000-0000-0000012B0000}"/>
    <cellStyle name="20% - Accent4 4 4 8" xfId="21735" xr:uid="{00000000-0005-0000-0000-0000022B0000}"/>
    <cellStyle name="20% - Accent4 4 4 9" xfId="28837" xr:uid="{00000000-0005-0000-0000-0000032B0000}"/>
    <cellStyle name="20% - Accent4 4 5" xfId="566" xr:uid="{00000000-0005-0000-0000-0000042B0000}"/>
    <cellStyle name="20% - Accent4 4 5 2" xfId="2057" xr:uid="{00000000-0005-0000-0000-0000052B0000}"/>
    <cellStyle name="20% - Accent4 4 5 2 2" xfId="6325" xr:uid="{00000000-0005-0000-0000-0000062B0000}"/>
    <cellStyle name="20% - Accent4 4 5 2 2 2" xfId="13425" xr:uid="{00000000-0005-0000-0000-0000072B0000}"/>
    <cellStyle name="20% - Accent4 4 5 2 2 3" xfId="20526" xr:uid="{00000000-0005-0000-0000-0000082B0000}"/>
    <cellStyle name="20% - Accent4 4 5 2 2 4" xfId="27628" xr:uid="{00000000-0005-0000-0000-0000092B0000}"/>
    <cellStyle name="20% - Accent4 4 5 2 2 5" xfId="34730" xr:uid="{00000000-0005-0000-0000-00000A2B0000}"/>
    <cellStyle name="20% - Accent4 4 5 2 2 6" xfId="37381" xr:uid="{00000000-0005-0000-0000-00000B2B0000}"/>
    <cellStyle name="20% - Accent4 4 5 2 3" xfId="9165" xr:uid="{00000000-0005-0000-0000-00000C2B0000}"/>
    <cellStyle name="20% - Accent4 4 5 2 4" xfId="16266" xr:uid="{00000000-0005-0000-0000-00000D2B0000}"/>
    <cellStyle name="20% - Accent4 4 5 2 5" xfId="23368" xr:uid="{00000000-0005-0000-0000-00000E2B0000}"/>
    <cellStyle name="20% - Accent4 4 5 2 6" xfId="30470" xr:uid="{00000000-0005-0000-0000-00000F2B0000}"/>
    <cellStyle name="20% - Accent4 4 5 2 7" xfId="37382" xr:uid="{00000000-0005-0000-0000-0000102B0000}"/>
    <cellStyle name="20% - Accent4 4 5 3" xfId="4904" xr:uid="{00000000-0005-0000-0000-0000112B0000}"/>
    <cellStyle name="20% - Accent4 4 5 3 2" xfId="12005" xr:uid="{00000000-0005-0000-0000-0000122B0000}"/>
    <cellStyle name="20% - Accent4 4 5 3 2 2" xfId="37383" xr:uid="{00000000-0005-0000-0000-0000132B0000}"/>
    <cellStyle name="20% - Accent4 4 5 3 3" xfId="19106" xr:uid="{00000000-0005-0000-0000-0000142B0000}"/>
    <cellStyle name="20% - Accent4 4 5 3 4" xfId="26208" xr:uid="{00000000-0005-0000-0000-0000152B0000}"/>
    <cellStyle name="20% - Accent4 4 5 3 5" xfId="33310" xr:uid="{00000000-0005-0000-0000-0000162B0000}"/>
    <cellStyle name="20% - Accent4 4 5 3 6" xfId="37384" xr:uid="{00000000-0005-0000-0000-0000172B0000}"/>
    <cellStyle name="20% - Accent4 4 5 4" xfId="3479" xr:uid="{00000000-0005-0000-0000-0000182B0000}"/>
    <cellStyle name="20% - Accent4 4 5 4 2" xfId="10585" xr:uid="{00000000-0005-0000-0000-0000192B0000}"/>
    <cellStyle name="20% - Accent4 4 5 4 3" xfId="17686" xr:uid="{00000000-0005-0000-0000-00001A2B0000}"/>
    <cellStyle name="20% - Accent4 4 5 4 4" xfId="24788" xr:uid="{00000000-0005-0000-0000-00001B2B0000}"/>
    <cellStyle name="20% - Accent4 4 5 4 5" xfId="31890" xr:uid="{00000000-0005-0000-0000-00001C2B0000}"/>
    <cellStyle name="20% - Accent4 4 5 4 6" xfId="37385" xr:uid="{00000000-0005-0000-0000-00001D2B0000}"/>
    <cellStyle name="20% - Accent4 4 5 5" xfId="7745" xr:uid="{00000000-0005-0000-0000-00001E2B0000}"/>
    <cellStyle name="20% - Accent4 4 5 6" xfId="14846" xr:uid="{00000000-0005-0000-0000-00001F2B0000}"/>
    <cellStyle name="20% - Accent4 4 5 7" xfId="21948" xr:uid="{00000000-0005-0000-0000-0000202B0000}"/>
    <cellStyle name="20% - Accent4 4 5 8" xfId="29050" xr:uid="{00000000-0005-0000-0000-0000212B0000}"/>
    <cellStyle name="20% - Accent4 4 5 9" xfId="37386" xr:uid="{00000000-0005-0000-0000-0000222B0000}"/>
    <cellStyle name="20% - Accent4 4 6" xfId="779" xr:uid="{00000000-0005-0000-0000-0000232B0000}"/>
    <cellStyle name="20% - Accent4 4 6 2" xfId="2270" xr:uid="{00000000-0005-0000-0000-0000242B0000}"/>
    <cellStyle name="20% - Accent4 4 6 2 2" xfId="6538" xr:uid="{00000000-0005-0000-0000-0000252B0000}"/>
    <cellStyle name="20% - Accent4 4 6 2 2 2" xfId="13638" xr:uid="{00000000-0005-0000-0000-0000262B0000}"/>
    <cellStyle name="20% - Accent4 4 6 2 2 3" xfId="20739" xr:uid="{00000000-0005-0000-0000-0000272B0000}"/>
    <cellStyle name="20% - Accent4 4 6 2 2 4" xfId="27841" xr:uid="{00000000-0005-0000-0000-0000282B0000}"/>
    <cellStyle name="20% - Accent4 4 6 2 2 5" xfId="34943" xr:uid="{00000000-0005-0000-0000-0000292B0000}"/>
    <cellStyle name="20% - Accent4 4 6 2 2 6" xfId="37387" xr:uid="{00000000-0005-0000-0000-00002A2B0000}"/>
    <cellStyle name="20% - Accent4 4 6 2 3" xfId="9378" xr:uid="{00000000-0005-0000-0000-00002B2B0000}"/>
    <cellStyle name="20% - Accent4 4 6 2 4" xfId="16479" xr:uid="{00000000-0005-0000-0000-00002C2B0000}"/>
    <cellStyle name="20% - Accent4 4 6 2 5" xfId="23581" xr:uid="{00000000-0005-0000-0000-00002D2B0000}"/>
    <cellStyle name="20% - Accent4 4 6 2 6" xfId="30683" xr:uid="{00000000-0005-0000-0000-00002E2B0000}"/>
    <cellStyle name="20% - Accent4 4 6 2 7" xfId="37388" xr:uid="{00000000-0005-0000-0000-00002F2B0000}"/>
    <cellStyle name="20% - Accent4 4 6 3" xfId="5117" xr:uid="{00000000-0005-0000-0000-0000302B0000}"/>
    <cellStyle name="20% - Accent4 4 6 3 2" xfId="12218" xr:uid="{00000000-0005-0000-0000-0000312B0000}"/>
    <cellStyle name="20% - Accent4 4 6 3 2 2" xfId="37389" xr:uid="{00000000-0005-0000-0000-0000322B0000}"/>
    <cellStyle name="20% - Accent4 4 6 3 3" xfId="19319" xr:uid="{00000000-0005-0000-0000-0000332B0000}"/>
    <cellStyle name="20% - Accent4 4 6 3 4" xfId="26421" xr:uid="{00000000-0005-0000-0000-0000342B0000}"/>
    <cellStyle name="20% - Accent4 4 6 3 5" xfId="33523" xr:uid="{00000000-0005-0000-0000-0000352B0000}"/>
    <cellStyle name="20% - Accent4 4 6 3 6" xfId="37390" xr:uid="{00000000-0005-0000-0000-0000362B0000}"/>
    <cellStyle name="20% - Accent4 4 6 4" xfId="3692" xr:uid="{00000000-0005-0000-0000-0000372B0000}"/>
    <cellStyle name="20% - Accent4 4 6 4 2" xfId="10798" xr:uid="{00000000-0005-0000-0000-0000382B0000}"/>
    <cellStyle name="20% - Accent4 4 6 4 3" xfId="17899" xr:uid="{00000000-0005-0000-0000-0000392B0000}"/>
    <cellStyle name="20% - Accent4 4 6 4 4" xfId="25001" xr:uid="{00000000-0005-0000-0000-00003A2B0000}"/>
    <cellStyle name="20% - Accent4 4 6 4 5" xfId="32103" xr:uid="{00000000-0005-0000-0000-00003B2B0000}"/>
    <cellStyle name="20% - Accent4 4 6 4 6" xfId="37391" xr:uid="{00000000-0005-0000-0000-00003C2B0000}"/>
    <cellStyle name="20% - Accent4 4 6 5" xfId="7958" xr:uid="{00000000-0005-0000-0000-00003D2B0000}"/>
    <cellStyle name="20% - Accent4 4 6 6" xfId="15059" xr:uid="{00000000-0005-0000-0000-00003E2B0000}"/>
    <cellStyle name="20% - Accent4 4 6 7" xfId="22161" xr:uid="{00000000-0005-0000-0000-00003F2B0000}"/>
    <cellStyle name="20% - Accent4 4 6 8" xfId="29263" xr:uid="{00000000-0005-0000-0000-0000402B0000}"/>
    <cellStyle name="20% - Accent4 4 6 9" xfId="37392" xr:uid="{00000000-0005-0000-0000-0000412B0000}"/>
    <cellStyle name="20% - Accent4 4 7" xfId="992" xr:uid="{00000000-0005-0000-0000-0000422B0000}"/>
    <cellStyle name="20% - Accent4 4 7 2" xfId="2483" xr:uid="{00000000-0005-0000-0000-0000432B0000}"/>
    <cellStyle name="20% - Accent4 4 7 2 2" xfId="6751" xr:uid="{00000000-0005-0000-0000-0000442B0000}"/>
    <cellStyle name="20% - Accent4 4 7 2 2 2" xfId="13851" xr:uid="{00000000-0005-0000-0000-0000452B0000}"/>
    <cellStyle name="20% - Accent4 4 7 2 2 3" xfId="20952" xr:uid="{00000000-0005-0000-0000-0000462B0000}"/>
    <cellStyle name="20% - Accent4 4 7 2 2 4" xfId="28054" xr:uid="{00000000-0005-0000-0000-0000472B0000}"/>
    <cellStyle name="20% - Accent4 4 7 2 2 5" xfId="35156" xr:uid="{00000000-0005-0000-0000-0000482B0000}"/>
    <cellStyle name="20% - Accent4 4 7 2 3" xfId="9591" xr:uid="{00000000-0005-0000-0000-0000492B0000}"/>
    <cellStyle name="20% - Accent4 4 7 2 4" xfId="16692" xr:uid="{00000000-0005-0000-0000-00004A2B0000}"/>
    <cellStyle name="20% - Accent4 4 7 2 5" xfId="23794" xr:uid="{00000000-0005-0000-0000-00004B2B0000}"/>
    <cellStyle name="20% - Accent4 4 7 2 6" xfId="30896" xr:uid="{00000000-0005-0000-0000-00004C2B0000}"/>
    <cellStyle name="20% - Accent4 4 7 2 7" xfId="37393" xr:uid="{00000000-0005-0000-0000-00004D2B0000}"/>
    <cellStyle name="20% - Accent4 4 7 3" xfId="5330" xr:uid="{00000000-0005-0000-0000-00004E2B0000}"/>
    <cellStyle name="20% - Accent4 4 7 3 2" xfId="12431" xr:uid="{00000000-0005-0000-0000-00004F2B0000}"/>
    <cellStyle name="20% - Accent4 4 7 3 3" xfId="19532" xr:uid="{00000000-0005-0000-0000-0000502B0000}"/>
    <cellStyle name="20% - Accent4 4 7 3 4" xfId="26634" xr:uid="{00000000-0005-0000-0000-0000512B0000}"/>
    <cellStyle name="20% - Accent4 4 7 3 5" xfId="33736" xr:uid="{00000000-0005-0000-0000-0000522B0000}"/>
    <cellStyle name="20% - Accent4 4 7 4" xfId="3905" xr:uid="{00000000-0005-0000-0000-0000532B0000}"/>
    <cellStyle name="20% - Accent4 4 7 4 2" xfId="11011" xr:uid="{00000000-0005-0000-0000-0000542B0000}"/>
    <cellStyle name="20% - Accent4 4 7 4 3" xfId="18112" xr:uid="{00000000-0005-0000-0000-0000552B0000}"/>
    <cellStyle name="20% - Accent4 4 7 4 4" xfId="25214" xr:uid="{00000000-0005-0000-0000-0000562B0000}"/>
    <cellStyle name="20% - Accent4 4 7 4 5" xfId="32316" xr:uid="{00000000-0005-0000-0000-0000572B0000}"/>
    <cellStyle name="20% - Accent4 4 7 5" xfId="8171" xr:uid="{00000000-0005-0000-0000-0000582B0000}"/>
    <cellStyle name="20% - Accent4 4 7 6" xfId="15272" xr:uid="{00000000-0005-0000-0000-0000592B0000}"/>
    <cellStyle name="20% - Accent4 4 7 7" xfId="22374" xr:uid="{00000000-0005-0000-0000-00005A2B0000}"/>
    <cellStyle name="20% - Accent4 4 7 8" xfId="29476" xr:uid="{00000000-0005-0000-0000-00005B2B0000}"/>
    <cellStyle name="20% - Accent4 4 7 9" xfId="37394" xr:uid="{00000000-0005-0000-0000-00005C2B0000}"/>
    <cellStyle name="20% - Accent4 4 8" xfId="1347" xr:uid="{00000000-0005-0000-0000-00005D2B0000}"/>
    <cellStyle name="20% - Accent4 4 8 2" xfId="2838" xr:uid="{00000000-0005-0000-0000-00005E2B0000}"/>
    <cellStyle name="20% - Accent4 4 8 2 2" xfId="7106" xr:uid="{00000000-0005-0000-0000-00005F2B0000}"/>
    <cellStyle name="20% - Accent4 4 8 2 2 2" xfId="14206" xr:uid="{00000000-0005-0000-0000-0000602B0000}"/>
    <cellStyle name="20% - Accent4 4 8 2 2 3" xfId="21307" xr:uid="{00000000-0005-0000-0000-0000612B0000}"/>
    <cellStyle name="20% - Accent4 4 8 2 2 4" xfId="28409" xr:uid="{00000000-0005-0000-0000-0000622B0000}"/>
    <cellStyle name="20% - Accent4 4 8 2 2 5" xfId="35511" xr:uid="{00000000-0005-0000-0000-0000632B0000}"/>
    <cellStyle name="20% - Accent4 4 8 2 3" xfId="9946" xr:uid="{00000000-0005-0000-0000-0000642B0000}"/>
    <cellStyle name="20% - Accent4 4 8 2 4" xfId="17047" xr:uid="{00000000-0005-0000-0000-0000652B0000}"/>
    <cellStyle name="20% - Accent4 4 8 2 5" xfId="24149" xr:uid="{00000000-0005-0000-0000-0000662B0000}"/>
    <cellStyle name="20% - Accent4 4 8 2 6" xfId="31251" xr:uid="{00000000-0005-0000-0000-0000672B0000}"/>
    <cellStyle name="20% - Accent4 4 8 2 7" xfId="37395" xr:uid="{00000000-0005-0000-0000-0000682B0000}"/>
    <cellStyle name="20% - Accent4 4 8 3" xfId="5685" xr:uid="{00000000-0005-0000-0000-0000692B0000}"/>
    <cellStyle name="20% - Accent4 4 8 3 2" xfId="12786" xr:uid="{00000000-0005-0000-0000-00006A2B0000}"/>
    <cellStyle name="20% - Accent4 4 8 3 3" xfId="19887" xr:uid="{00000000-0005-0000-0000-00006B2B0000}"/>
    <cellStyle name="20% - Accent4 4 8 3 4" xfId="26989" xr:uid="{00000000-0005-0000-0000-00006C2B0000}"/>
    <cellStyle name="20% - Accent4 4 8 3 5" xfId="34091" xr:uid="{00000000-0005-0000-0000-00006D2B0000}"/>
    <cellStyle name="20% - Accent4 4 8 4" xfId="4260" xr:uid="{00000000-0005-0000-0000-00006E2B0000}"/>
    <cellStyle name="20% - Accent4 4 8 4 2" xfId="11366" xr:uid="{00000000-0005-0000-0000-00006F2B0000}"/>
    <cellStyle name="20% - Accent4 4 8 4 3" xfId="18467" xr:uid="{00000000-0005-0000-0000-0000702B0000}"/>
    <cellStyle name="20% - Accent4 4 8 4 4" xfId="25569" xr:uid="{00000000-0005-0000-0000-0000712B0000}"/>
    <cellStyle name="20% - Accent4 4 8 4 5" xfId="32671" xr:uid="{00000000-0005-0000-0000-0000722B0000}"/>
    <cellStyle name="20% - Accent4 4 8 5" xfId="8526" xr:uid="{00000000-0005-0000-0000-0000732B0000}"/>
    <cellStyle name="20% - Accent4 4 8 6" xfId="15627" xr:uid="{00000000-0005-0000-0000-0000742B0000}"/>
    <cellStyle name="20% - Accent4 4 8 7" xfId="22729" xr:uid="{00000000-0005-0000-0000-0000752B0000}"/>
    <cellStyle name="20% - Accent4 4 8 8" xfId="29831" xr:uid="{00000000-0005-0000-0000-0000762B0000}"/>
    <cellStyle name="20% - Accent4 4 8 9" xfId="37396" xr:uid="{00000000-0005-0000-0000-0000772B0000}"/>
    <cellStyle name="20% - Accent4 4 9" xfId="1631" xr:uid="{00000000-0005-0000-0000-0000782B0000}"/>
    <cellStyle name="20% - Accent4 4 9 2" xfId="5899" xr:uid="{00000000-0005-0000-0000-0000792B0000}"/>
    <cellStyle name="20% - Accent4 4 9 2 2" xfId="12999" xr:uid="{00000000-0005-0000-0000-00007A2B0000}"/>
    <cellStyle name="20% - Accent4 4 9 2 3" xfId="20100" xr:uid="{00000000-0005-0000-0000-00007B2B0000}"/>
    <cellStyle name="20% - Accent4 4 9 2 4" xfId="27202" xr:uid="{00000000-0005-0000-0000-00007C2B0000}"/>
    <cellStyle name="20% - Accent4 4 9 2 5" xfId="34304" xr:uid="{00000000-0005-0000-0000-00007D2B0000}"/>
    <cellStyle name="20% - Accent4 4 9 3" xfId="8739" xr:uid="{00000000-0005-0000-0000-00007E2B0000}"/>
    <cellStyle name="20% - Accent4 4 9 4" xfId="15840" xr:uid="{00000000-0005-0000-0000-00007F2B0000}"/>
    <cellStyle name="20% - Accent4 4 9 5" xfId="22942" xr:uid="{00000000-0005-0000-0000-0000802B0000}"/>
    <cellStyle name="20% - Accent4 4 9 6" xfId="30044" xr:uid="{00000000-0005-0000-0000-0000812B0000}"/>
    <cellStyle name="20% - Accent4 4 9 7" xfId="37397" xr:uid="{00000000-0005-0000-0000-0000822B0000}"/>
    <cellStyle name="20% - Accent4 5" xfId="223" xr:uid="{00000000-0005-0000-0000-0000832B0000}"/>
    <cellStyle name="20% - Accent4 5 10" xfId="7402" xr:uid="{00000000-0005-0000-0000-0000842B0000}"/>
    <cellStyle name="20% - Accent4 5 11" xfId="14503" xr:uid="{00000000-0005-0000-0000-0000852B0000}"/>
    <cellStyle name="20% - Accent4 5 12" xfId="21605" xr:uid="{00000000-0005-0000-0000-0000862B0000}"/>
    <cellStyle name="20% - Accent4 5 13" xfId="28707" xr:uid="{00000000-0005-0000-0000-0000872B0000}"/>
    <cellStyle name="20% - Accent4 5 14" xfId="35809" xr:uid="{00000000-0005-0000-0000-0000882B0000}"/>
    <cellStyle name="20% - Accent4 5 15" xfId="37398" xr:uid="{00000000-0005-0000-0000-0000892B0000}"/>
    <cellStyle name="20% - Accent4 5 2" xfId="436" xr:uid="{00000000-0005-0000-0000-00008A2B0000}"/>
    <cellStyle name="20% - Accent4 5 2 10" xfId="37399" xr:uid="{00000000-0005-0000-0000-00008B2B0000}"/>
    <cellStyle name="20% - Accent4 5 2 2" xfId="1217" xr:uid="{00000000-0005-0000-0000-00008C2B0000}"/>
    <cellStyle name="20% - Accent4 5 2 2 2" xfId="2708" xr:uid="{00000000-0005-0000-0000-00008D2B0000}"/>
    <cellStyle name="20% - Accent4 5 2 2 2 2" xfId="6976" xr:uid="{00000000-0005-0000-0000-00008E2B0000}"/>
    <cellStyle name="20% - Accent4 5 2 2 2 2 2" xfId="14076" xr:uid="{00000000-0005-0000-0000-00008F2B0000}"/>
    <cellStyle name="20% - Accent4 5 2 2 2 2 3" xfId="21177" xr:uid="{00000000-0005-0000-0000-0000902B0000}"/>
    <cellStyle name="20% - Accent4 5 2 2 2 2 4" xfId="28279" xr:uid="{00000000-0005-0000-0000-0000912B0000}"/>
    <cellStyle name="20% - Accent4 5 2 2 2 2 5" xfId="35381" xr:uid="{00000000-0005-0000-0000-0000922B0000}"/>
    <cellStyle name="20% - Accent4 5 2 2 2 3" xfId="9816" xr:uid="{00000000-0005-0000-0000-0000932B0000}"/>
    <cellStyle name="20% - Accent4 5 2 2 2 4" xfId="16917" xr:uid="{00000000-0005-0000-0000-0000942B0000}"/>
    <cellStyle name="20% - Accent4 5 2 2 2 5" xfId="24019" xr:uid="{00000000-0005-0000-0000-0000952B0000}"/>
    <cellStyle name="20% - Accent4 5 2 2 2 6" xfId="31121" xr:uid="{00000000-0005-0000-0000-0000962B0000}"/>
    <cellStyle name="20% - Accent4 5 2 2 2 7" xfId="37400" xr:uid="{00000000-0005-0000-0000-0000972B0000}"/>
    <cellStyle name="20% - Accent4 5 2 2 3" xfId="5555" xr:uid="{00000000-0005-0000-0000-0000982B0000}"/>
    <cellStyle name="20% - Accent4 5 2 2 3 2" xfId="12656" xr:uid="{00000000-0005-0000-0000-0000992B0000}"/>
    <cellStyle name="20% - Accent4 5 2 2 3 3" xfId="19757" xr:uid="{00000000-0005-0000-0000-00009A2B0000}"/>
    <cellStyle name="20% - Accent4 5 2 2 3 4" xfId="26859" xr:uid="{00000000-0005-0000-0000-00009B2B0000}"/>
    <cellStyle name="20% - Accent4 5 2 2 3 5" xfId="33961" xr:uid="{00000000-0005-0000-0000-00009C2B0000}"/>
    <cellStyle name="20% - Accent4 5 2 2 4" xfId="4130" xr:uid="{00000000-0005-0000-0000-00009D2B0000}"/>
    <cellStyle name="20% - Accent4 5 2 2 4 2" xfId="11236" xr:uid="{00000000-0005-0000-0000-00009E2B0000}"/>
    <cellStyle name="20% - Accent4 5 2 2 4 3" xfId="18337" xr:uid="{00000000-0005-0000-0000-00009F2B0000}"/>
    <cellStyle name="20% - Accent4 5 2 2 4 4" xfId="25439" xr:uid="{00000000-0005-0000-0000-0000A02B0000}"/>
    <cellStyle name="20% - Accent4 5 2 2 4 5" xfId="32541" xr:uid="{00000000-0005-0000-0000-0000A12B0000}"/>
    <cellStyle name="20% - Accent4 5 2 2 5" xfId="8396" xr:uid="{00000000-0005-0000-0000-0000A22B0000}"/>
    <cellStyle name="20% - Accent4 5 2 2 6" xfId="15497" xr:uid="{00000000-0005-0000-0000-0000A32B0000}"/>
    <cellStyle name="20% - Accent4 5 2 2 7" xfId="22599" xr:uid="{00000000-0005-0000-0000-0000A42B0000}"/>
    <cellStyle name="20% - Accent4 5 2 2 8" xfId="29701" xr:uid="{00000000-0005-0000-0000-0000A52B0000}"/>
    <cellStyle name="20% - Accent4 5 2 2 9" xfId="37401" xr:uid="{00000000-0005-0000-0000-0000A62B0000}"/>
    <cellStyle name="20% - Accent4 5 2 3" xfId="1927" xr:uid="{00000000-0005-0000-0000-0000A72B0000}"/>
    <cellStyle name="20% - Accent4 5 2 3 2" xfId="6195" xr:uid="{00000000-0005-0000-0000-0000A82B0000}"/>
    <cellStyle name="20% - Accent4 5 2 3 2 2" xfId="13295" xr:uid="{00000000-0005-0000-0000-0000A92B0000}"/>
    <cellStyle name="20% - Accent4 5 2 3 2 3" xfId="20396" xr:uid="{00000000-0005-0000-0000-0000AA2B0000}"/>
    <cellStyle name="20% - Accent4 5 2 3 2 4" xfId="27498" xr:uid="{00000000-0005-0000-0000-0000AB2B0000}"/>
    <cellStyle name="20% - Accent4 5 2 3 2 5" xfId="34600" xr:uid="{00000000-0005-0000-0000-0000AC2B0000}"/>
    <cellStyle name="20% - Accent4 5 2 3 2 6" xfId="37402" xr:uid="{00000000-0005-0000-0000-0000AD2B0000}"/>
    <cellStyle name="20% - Accent4 5 2 3 3" xfId="9035" xr:uid="{00000000-0005-0000-0000-0000AE2B0000}"/>
    <cellStyle name="20% - Accent4 5 2 3 4" xfId="16136" xr:uid="{00000000-0005-0000-0000-0000AF2B0000}"/>
    <cellStyle name="20% - Accent4 5 2 3 5" xfId="23238" xr:uid="{00000000-0005-0000-0000-0000B02B0000}"/>
    <cellStyle name="20% - Accent4 5 2 3 6" xfId="30340" xr:uid="{00000000-0005-0000-0000-0000B12B0000}"/>
    <cellStyle name="20% - Accent4 5 2 3 7" xfId="37403" xr:uid="{00000000-0005-0000-0000-0000B22B0000}"/>
    <cellStyle name="20% - Accent4 5 2 4" xfId="4774" xr:uid="{00000000-0005-0000-0000-0000B32B0000}"/>
    <cellStyle name="20% - Accent4 5 2 4 2" xfId="11875" xr:uid="{00000000-0005-0000-0000-0000B42B0000}"/>
    <cellStyle name="20% - Accent4 5 2 4 3" xfId="18976" xr:uid="{00000000-0005-0000-0000-0000B52B0000}"/>
    <cellStyle name="20% - Accent4 5 2 4 4" xfId="26078" xr:uid="{00000000-0005-0000-0000-0000B62B0000}"/>
    <cellStyle name="20% - Accent4 5 2 4 5" xfId="33180" xr:uid="{00000000-0005-0000-0000-0000B72B0000}"/>
    <cellStyle name="20% - Accent4 5 2 4 6" xfId="37404" xr:uid="{00000000-0005-0000-0000-0000B82B0000}"/>
    <cellStyle name="20% - Accent4 5 2 5" xfId="3349" xr:uid="{00000000-0005-0000-0000-0000B92B0000}"/>
    <cellStyle name="20% - Accent4 5 2 5 2" xfId="10455" xr:uid="{00000000-0005-0000-0000-0000BA2B0000}"/>
    <cellStyle name="20% - Accent4 5 2 5 3" xfId="17556" xr:uid="{00000000-0005-0000-0000-0000BB2B0000}"/>
    <cellStyle name="20% - Accent4 5 2 5 4" xfId="24658" xr:uid="{00000000-0005-0000-0000-0000BC2B0000}"/>
    <cellStyle name="20% - Accent4 5 2 5 5" xfId="31760" xr:uid="{00000000-0005-0000-0000-0000BD2B0000}"/>
    <cellStyle name="20% - Accent4 5 2 6" xfId="7615" xr:uid="{00000000-0005-0000-0000-0000BE2B0000}"/>
    <cellStyle name="20% - Accent4 5 2 7" xfId="14716" xr:uid="{00000000-0005-0000-0000-0000BF2B0000}"/>
    <cellStyle name="20% - Accent4 5 2 8" xfId="21818" xr:uid="{00000000-0005-0000-0000-0000C02B0000}"/>
    <cellStyle name="20% - Accent4 5 2 9" xfId="28920" xr:uid="{00000000-0005-0000-0000-0000C12B0000}"/>
    <cellStyle name="20% - Accent4 5 3" xfId="649" xr:uid="{00000000-0005-0000-0000-0000C22B0000}"/>
    <cellStyle name="20% - Accent4 5 3 2" xfId="2140" xr:uid="{00000000-0005-0000-0000-0000C32B0000}"/>
    <cellStyle name="20% - Accent4 5 3 2 2" xfId="6408" xr:uid="{00000000-0005-0000-0000-0000C42B0000}"/>
    <cellStyle name="20% - Accent4 5 3 2 2 2" xfId="13508" xr:uid="{00000000-0005-0000-0000-0000C52B0000}"/>
    <cellStyle name="20% - Accent4 5 3 2 2 3" xfId="20609" xr:uid="{00000000-0005-0000-0000-0000C62B0000}"/>
    <cellStyle name="20% - Accent4 5 3 2 2 4" xfId="27711" xr:uid="{00000000-0005-0000-0000-0000C72B0000}"/>
    <cellStyle name="20% - Accent4 5 3 2 2 5" xfId="34813" xr:uid="{00000000-0005-0000-0000-0000C82B0000}"/>
    <cellStyle name="20% - Accent4 5 3 2 2 6" xfId="37405" xr:uid="{00000000-0005-0000-0000-0000C92B0000}"/>
    <cellStyle name="20% - Accent4 5 3 2 3" xfId="9248" xr:uid="{00000000-0005-0000-0000-0000CA2B0000}"/>
    <cellStyle name="20% - Accent4 5 3 2 4" xfId="16349" xr:uid="{00000000-0005-0000-0000-0000CB2B0000}"/>
    <cellStyle name="20% - Accent4 5 3 2 5" xfId="23451" xr:uid="{00000000-0005-0000-0000-0000CC2B0000}"/>
    <cellStyle name="20% - Accent4 5 3 2 6" xfId="30553" xr:uid="{00000000-0005-0000-0000-0000CD2B0000}"/>
    <cellStyle name="20% - Accent4 5 3 2 7" xfId="37406" xr:uid="{00000000-0005-0000-0000-0000CE2B0000}"/>
    <cellStyle name="20% - Accent4 5 3 3" xfId="4987" xr:uid="{00000000-0005-0000-0000-0000CF2B0000}"/>
    <cellStyle name="20% - Accent4 5 3 3 2" xfId="12088" xr:uid="{00000000-0005-0000-0000-0000D02B0000}"/>
    <cellStyle name="20% - Accent4 5 3 3 2 2" xfId="37407" xr:uid="{00000000-0005-0000-0000-0000D12B0000}"/>
    <cellStyle name="20% - Accent4 5 3 3 3" xfId="19189" xr:uid="{00000000-0005-0000-0000-0000D22B0000}"/>
    <cellStyle name="20% - Accent4 5 3 3 4" xfId="26291" xr:uid="{00000000-0005-0000-0000-0000D32B0000}"/>
    <cellStyle name="20% - Accent4 5 3 3 5" xfId="33393" xr:uid="{00000000-0005-0000-0000-0000D42B0000}"/>
    <cellStyle name="20% - Accent4 5 3 3 6" xfId="37408" xr:uid="{00000000-0005-0000-0000-0000D52B0000}"/>
    <cellStyle name="20% - Accent4 5 3 4" xfId="3562" xr:uid="{00000000-0005-0000-0000-0000D62B0000}"/>
    <cellStyle name="20% - Accent4 5 3 4 2" xfId="10668" xr:uid="{00000000-0005-0000-0000-0000D72B0000}"/>
    <cellStyle name="20% - Accent4 5 3 4 3" xfId="17769" xr:uid="{00000000-0005-0000-0000-0000D82B0000}"/>
    <cellStyle name="20% - Accent4 5 3 4 4" xfId="24871" xr:uid="{00000000-0005-0000-0000-0000D92B0000}"/>
    <cellStyle name="20% - Accent4 5 3 4 5" xfId="31973" xr:uid="{00000000-0005-0000-0000-0000DA2B0000}"/>
    <cellStyle name="20% - Accent4 5 3 4 6" xfId="37409" xr:uid="{00000000-0005-0000-0000-0000DB2B0000}"/>
    <cellStyle name="20% - Accent4 5 3 5" xfId="7828" xr:uid="{00000000-0005-0000-0000-0000DC2B0000}"/>
    <cellStyle name="20% - Accent4 5 3 6" xfId="14929" xr:uid="{00000000-0005-0000-0000-0000DD2B0000}"/>
    <cellStyle name="20% - Accent4 5 3 7" xfId="22031" xr:uid="{00000000-0005-0000-0000-0000DE2B0000}"/>
    <cellStyle name="20% - Accent4 5 3 8" xfId="29133" xr:uid="{00000000-0005-0000-0000-0000DF2B0000}"/>
    <cellStyle name="20% - Accent4 5 3 9" xfId="37410" xr:uid="{00000000-0005-0000-0000-0000E02B0000}"/>
    <cellStyle name="20% - Accent4 5 4" xfId="862" xr:uid="{00000000-0005-0000-0000-0000E12B0000}"/>
    <cellStyle name="20% - Accent4 5 4 2" xfId="2353" xr:uid="{00000000-0005-0000-0000-0000E22B0000}"/>
    <cellStyle name="20% - Accent4 5 4 2 2" xfId="6621" xr:uid="{00000000-0005-0000-0000-0000E32B0000}"/>
    <cellStyle name="20% - Accent4 5 4 2 2 2" xfId="13721" xr:uid="{00000000-0005-0000-0000-0000E42B0000}"/>
    <cellStyle name="20% - Accent4 5 4 2 2 3" xfId="20822" xr:uid="{00000000-0005-0000-0000-0000E52B0000}"/>
    <cellStyle name="20% - Accent4 5 4 2 2 4" xfId="27924" xr:uid="{00000000-0005-0000-0000-0000E62B0000}"/>
    <cellStyle name="20% - Accent4 5 4 2 2 5" xfId="35026" xr:uid="{00000000-0005-0000-0000-0000E72B0000}"/>
    <cellStyle name="20% - Accent4 5 4 2 2 6" xfId="37411" xr:uid="{00000000-0005-0000-0000-0000E82B0000}"/>
    <cellStyle name="20% - Accent4 5 4 2 3" xfId="9461" xr:uid="{00000000-0005-0000-0000-0000E92B0000}"/>
    <cellStyle name="20% - Accent4 5 4 2 4" xfId="16562" xr:uid="{00000000-0005-0000-0000-0000EA2B0000}"/>
    <cellStyle name="20% - Accent4 5 4 2 5" xfId="23664" xr:uid="{00000000-0005-0000-0000-0000EB2B0000}"/>
    <cellStyle name="20% - Accent4 5 4 2 6" xfId="30766" xr:uid="{00000000-0005-0000-0000-0000EC2B0000}"/>
    <cellStyle name="20% - Accent4 5 4 2 7" xfId="37412" xr:uid="{00000000-0005-0000-0000-0000ED2B0000}"/>
    <cellStyle name="20% - Accent4 5 4 3" xfId="5200" xr:uid="{00000000-0005-0000-0000-0000EE2B0000}"/>
    <cellStyle name="20% - Accent4 5 4 3 2" xfId="12301" xr:uid="{00000000-0005-0000-0000-0000EF2B0000}"/>
    <cellStyle name="20% - Accent4 5 4 3 2 2" xfId="37413" xr:uid="{00000000-0005-0000-0000-0000F02B0000}"/>
    <cellStyle name="20% - Accent4 5 4 3 3" xfId="19402" xr:uid="{00000000-0005-0000-0000-0000F12B0000}"/>
    <cellStyle name="20% - Accent4 5 4 3 4" xfId="26504" xr:uid="{00000000-0005-0000-0000-0000F22B0000}"/>
    <cellStyle name="20% - Accent4 5 4 3 5" xfId="33606" xr:uid="{00000000-0005-0000-0000-0000F32B0000}"/>
    <cellStyle name="20% - Accent4 5 4 3 6" xfId="37414" xr:uid="{00000000-0005-0000-0000-0000F42B0000}"/>
    <cellStyle name="20% - Accent4 5 4 4" xfId="3775" xr:uid="{00000000-0005-0000-0000-0000F52B0000}"/>
    <cellStyle name="20% - Accent4 5 4 4 2" xfId="10881" xr:uid="{00000000-0005-0000-0000-0000F62B0000}"/>
    <cellStyle name="20% - Accent4 5 4 4 3" xfId="17982" xr:uid="{00000000-0005-0000-0000-0000F72B0000}"/>
    <cellStyle name="20% - Accent4 5 4 4 4" xfId="25084" xr:uid="{00000000-0005-0000-0000-0000F82B0000}"/>
    <cellStyle name="20% - Accent4 5 4 4 5" xfId="32186" xr:uid="{00000000-0005-0000-0000-0000F92B0000}"/>
    <cellStyle name="20% - Accent4 5 4 4 6" xfId="37415" xr:uid="{00000000-0005-0000-0000-0000FA2B0000}"/>
    <cellStyle name="20% - Accent4 5 4 5" xfId="8041" xr:uid="{00000000-0005-0000-0000-0000FB2B0000}"/>
    <cellStyle name="20% - Accent4 5 4 6" xfId="15142" xr:uid="{00000000-0005-0000-0000-0000FC2B0000}"/>
    <cellStyle name="20% - Accent4 5 4 7" xfId="22244" xr:uid="{00000000-0005-0000-0000-0000FD2B0000}"/>
    <cellStyle name="20% - Accent4 5 4 8" xfId="29346" xr:uid="{00000000-0005-0000-0000-0000FE2B0000}"/>
    <cellStyle name="20% - Accent4 5 4 9" xfId="37416" xr:uid="{00000000-0005-0000-0000-0000FF2B0000}"/>
    <cellStyle name="20% - Accent4 5 5" xfId="1004" xr:uid="{00000000-0005-0000-0000-0000002C0000}"/>
    <cellStyle name="20% - Accent4 5 5 2" xfId="2495" xr:uid="{00000000-0005-0000-0000-0000012C0000}"/>
    <cellStyle name="20% - Accent4 5 5 2 2" xfId="6763" xr:uid="{00000000-0005-0000-0000-0000022C0000}"/>
    <cellStyle name="20% - Accent4 5 5 2 2 2" xfId="13863" xr:uid="{00000000-0005-0000-0000-0000032C0000}"/>
    <cellStyle name="20% - Accent4 5 5 2 2 3" xfId="20964" xr:uid="{00000000-0005-0000-0000-0000042C0000}"/>
    <cellStyle name="20% - Accent4 5 5 2 2 4" xfId="28066" xr:uid="{00000000-0005-0000-0000-0000052C0000}"/>
    <cellStyle name="20% - Accent4 5 5 2 2 5" xfId="35168" xr:uid="{00000000-0005-0000-0000-0000062C0000}"/>
    <cellStyle name="20% - Accent4 5 5 2 3" xfId="9603" xr:uid="{00000000-0005-0000-0000-0000072C0000}"/>
    <cellStyle name="20% - Accent4 5 5 2 4" xfId="16704" xr:uid="{00000000-0005-0000-0000-0000082C0000}"/>
    <cellStyle name="20% - Accent4 5 5 2 5" xfId="23806" xr:uid="{00000000-0005-0000-0000-0000092C0000}"/>
    <cellStyle name="20% - Accent4 5 5 2 6" xfId="30908" xr:uid="{00000000-0005-0000-0000-00000A2C0000}"/>
    <cellStyle name="20% - Accent4 5 5 2 7" xfId="37417" xr:uid="{00000000-0005-0000-0000-00000B2C0000}"/>
    <cellStyle name="20% - Accent4 5 5 3" xfId="5342" xr:uid="{00000000-0005-0000-0000-00000C2C0000}"/>
    <cellStyle name="20% - Accent4 5 5 3 2" xfId="12443" xr:uid="{00000000-0005-0000-0000-00000D2C0000}"/>
    <cellStyle name="20% - Accent4 5 5 3 3" xfId="19544" xr:uid="{00000000-0005-0000-0000-00000E2C0000}"/>
    <cellStyle name="20% - Accent4 5 5 3 4" xfId="26646" xr:uid="{00000000-0005-0000-0000-00000F2C0000}"/>
    <cellStyle name="20% - Accent4 5 5 3 5" xfId="33748" xr:uid="{00000000-0005-0000-0000-0000102C0000}"/>
    <cellStyle name="20% - Accent4 5 5 4" xfId="3917" xr:uid="{00000000-0005-0000-0000-0000112C0000}"/>
    <cellStyle name="20% - Accent4 5 5 4 2" xfId="11023" xr:uid="{00000000-0005-0000-0000-0000122C0000}"/>
    <cellStyle name="20% - Accent4 5 5 4 3" xfId="18124" xr:uid="{00000000-0005-0000-0000-0000132C0000}"/>
    <cellStyle name="20% - Accent4 5 5 4 4" xfId="25226" xr:uid="{00000000-0005-0000-0000-0000142C0000}"/>
    <cellStyle name="20% - Accent4 5 5 4 5" xfId="32328" xr:uid="{00000000-0005-0000-0000-0000152C0000}"/>
    <cellStyle name="20% - Accent4 5 5 5" xfId="8183" xr:uid="{00000000-0005-0000-0000-0000162C0000}"/>
    <cellStyle name="20% - Accent4 5 5 6" xfId="15284" xr:uid="{00000000-0005-0000-0000-0000172C0000}"/>
    <cellStyle name="20% - Accent4 5 5 7" xfId="22386" xr:uid="{00000000-0005-0000-0000-0000182C0000}"/>
    <cellStyle name="20% - Accent4 5 5 8" xfId="29488" xr:uid="{00000000-0005-0000-0000-0000192C0000}"/>
    <cellStyle name="20% - Accent4 5 5 9" xfId="37418" xr:uid="{00000000-0005-0000-0000-00001A2C0000}"/>
    <cellStyle name="20% - Accent4 5 6" xfId="1430" xr:uid="{00000000-0005-0000-0000-00001B2C0000}"/>
    <cellStyle name="20% - Accent4 5 6 2" xfId="2921" xr:uid="{00000000-0005-0000-0000-00001C2C0000}"/>
    <cellStyle name="20% - Accent4 5 6 2 2" xfId="7189" xr:uid="{00000000-0005-0000-0000-00001D2C0000}"/>
    <cellStyle name="20% - Accent4 5 6 2 2 2" xfId="14289" xr:uid="{00000000-0005-0000-0000-00001E2C0000}"/>
    <cellStyle name="20% - Accent4 5 6 2 2 3" xfId="21390" xr:uid="{00000000-0005-0000-0000-00001F2C0000}"/>
    <cellStyle name="20% - Accent4 5 6 2 2 4" xfId="28492" xr:uid="{00000000-0005-0000-0000-0000202C0000}"/>
    <cellStyle name="20% - Accent4 5 6 2 2 5" xfId="35594" xr:uid="{00000000-0005-0000-0000-0000212C0000}"/>
    <cellStyle name="20% - Accent4 5 6 2 3" xfId="10029" xr:uid="{00000000-0005-0000-0000-0000222C0000}"/>
    <cellStyle name="20% - Accent4 5 6 2 4" xfId="17130" xr:uid="{00000000-0005-0000-0000-0000232C0000}"/>
    <cellStyle name="20% - Accent4 5 6 2 5" xfId="24232" xr:uid="{00000000-0005-0000-0000-0000242C0000}"/>
    <cellStyle name="20% - Accent4 5 6 2 6" xfId="31334" xr:uid="{00000000-0005-0000-0000-0000252C0000}"/>
    <cellStyle name="20% - Accent4 5 6 2 7" xfId="37419" xr:uid="{00000000-0005-0000-0000-0000262C0000}"/>
    <cellStyle name="20% - Accent4 5 6 3" xfId="5768" xr:uid="{00000000-0005-0000-0000-0000272C0000}"/>
    <cellStyle name="20% - Accent4 5 6 3 2" xfId="12869" xr:uid="{00000000-0005-0000-0000-0000282C0000}"/>
    <cellStyle name="20% - Accent4 5 6 3 3" xfId="19970" xr:uid="{00000000-0005-0000-0000-0000292C0000}"/>
    <cellStyle name="20% - Accent4 5 6 3 4" xfId="27072" xr:uid="{00000000-0005-0000-0000-00002A2C0000}"/>
    <cellStyle name="20% - Accent4 5 6 3 5" xfId="34174" xr:uid="{00000000-0005-0000-0000-00002B2C0000}"/>
    <cellStyle name="20% - Accent4 5 6 4" xfId="4343" xr:uid="{00000000-0005-0000-0000-00002C2C0000}"/>
    <cellStyle name="20% - Accent4 5 6 4 2" xfId="11449" xr:uid="{00000000-0005-0000-0000-00002D2C0000}"/>
    <cellStyle name="20% - Accent4 5 6 4 3" xfId="18550" xr:uid="{00000000-0005-0000-0000-00002E2C0000}"/>
    <cellStyle name="20% - Accent4 5 6 4 4" xfId="25652" xr:uid="{00000000-0005-0000-0000-00002F2C0000}"/>
    <cellStyle name="20% - Accent4 5 6 4 5" xfId="32754" xr:uid="{00000000-0005-0000-0000-0000302C0000}"/>
    <cellStyle name="20% - Accent4 5 6 5" xfId="8609" xr:uid="{00000000-0005-0000-0000-0000312C0000}"/>
    <cellStyle name="20% - Accent4 5 6 6" xfId="15710" xr:uid="{00000000-0005-0000-0000-0000322C0000}"/>
    <cellStyle name="20% - Accent4 5 6 7" xfId="22812" xr:uid="{00000000-0005-0000-0000-0000332C0000}"/>
    <cellStyle name="20% - Accent4 5 6 8" xfId="29914" xr:uid="{00000000-0005-0000-0000-0000342C0000}"/>
    <cellStyle name="20% - Accent4 5 6 9" xfId="37420" xr:uid="{00000000-0005-0000-0000-0000352C0000}"/>
    <cellStyle name="20% - Accent4 5 7" xfId="1714" xr:uid="{00000000-0005-0000-0000-0000362C0000}"/>
    <cellStyle name="20% - Accent4 5 7 2" xfId="5982" xr:uid="{00000000-0005-0000-0000-0000372C0000}"/>
    <cellStyle name="20% - Accent4 5 7 2 2" xfId="13082" xr:uid="{00000000-0005-0000-0000-0000382C0000}"/>
    <cellStyle name="20% - Accent4 5 7 2 3" xfId="20183" xr:uid="{00000000-0005-0000-0000-0000392C0000}"/>
    <cellStyle name="20% - Accent4 5 7 2 4" xfId="27285" xr:uid="{00000000-0005-0000-0000-00003A2C0000}"/>
    <cellStyle name="20% - Accent4 5 7 2 5" xfId="34387" xr:uid="{00000000-0005-0000-0000-00003B2C0000}"/>
    <cellStyle name="20% - Accent4 5 7 3" xfId="8822" xr:uid="{00000000-0005-0000-0000-00003C2C0000}"/>
    <cellStyle name="20% - Accent4 5 7 4" xfId="15923" xr:uid="{00000000-0005-0000-0000-00003D2C0000}"/>
    <cellStyle name="20% - Accent4 5 7 5" xfId="23025" xr:uid="{00000000-0005-0000-0000-00003E2C0000}"/>
    <cellStyle name="20% - Accent4 5 7 6" xfId="30127" xr:uid="{00000000-0005-0000-0000-00003F2C0000}"/>
    <cellStyle name="20% - Accent4 5 7 7" xfId="37421" xr:uid="{00000000-0005-0000-0000-0000402C0000}"/>
    <cellStyle name="20% - Accent4 5 8" xfId="4561" xr:uid="{00000000-0005-0000-0000-0000412C0000}"/>
    <cellStyle name="20% - Accent4 5 8 2" xfId="11662" xr:uid="{00000000-0005-0000-0000-0000422C0000}"/>
    <cellStyle name="20% - Accent4 5 8 3" xfId="18763" xr:uid="{00000000-0005-0000-0000-0000432C0000}"/>
    <cellStyle name="20% - Accent4 5 8 4" xfId="25865" xr:uid="{00000000-0005-0000-0000-0000442C0000}"/>
    <cellStyle name="20% - Accent4 5 8 5" xfId="32967" xr:uid="{00000000-0005-0000-0000-0000452C0000}"/>
    <cellStyle name="20% - Accent4 5 9" xfId="3136" xr:uid="{00000000-0005-0000-0000-0000462C0000}"/>
    <cellStyle name="20% - Accent4 5 9 2" xfId="10242" xr:uid="{00000000-0005-0000-0000-0000472C0000}"/>
    <cellStyle name="20% - Accent4 5 9 3" xfId="17343" xr:uid="{00000000-0005-0000-0000-0000482C0000}"/>
    <cellStyle name="20% - Accent4 5 9 4" xfId="24445" xr:uid="{00000000-0005-0000-0000-0000492C0000}"/>
    <cellStyle name="20% - Accent4 5 9 5" xfId="31547" xr:uid="{00000000-0005-0000-0000-00004A2C0000}"/>
    <cellStyle name="20% - Accent4 6" xfId="151" xr:uid="{00000000-0005-0000-0000-00004B2C0000}"/>
    <cellStyle name="20% - Accent4 6 10" xfId="7331" xr:uid="{00000000-0005-0000-0000-00004C2C0000}"/>
    <cellStyle name="20% - Accent4 6 11" xfId="14432" xr:uid="{00000000-0005-0000-0000-00004D2C0000}"/>
    <cellStyle name="20% - Accent4 6 12" xfId="21534" xr:uid="{00000000-0005-0000-0000-00004E2C0000}"/>
    <cellStyle name="20% - Accent4 6 13" xfId="28636" xr:uid="{00000000-0005-0000-0000-00004F2C0000}"/>
    <cellStyle name="20% - Accent4 6 14" xfId="35738" xr:uid="{00000000-0005-0000-0000-0000502C0000}"/>
    <cellStyle name="20% - Accent4 6 15" xfId="37422" xr:uid="{00000000-0005-0000-0000-0000512C0000}"/>
    <cellStyle name="20% - Accent4 6 2" xfId="365" xr:uid="{00000000-0005-0000-0000-0000522C0000}"/>
    <cellStyle name="20% - Accent4 6 2 2" xfId="1856" xr:uid="{00000000-0005-0000-0000-0000532C0000}"/>
    <cellStyle name="20% - Accent4 6 2 2 2" xfId="6124" xr:uid="{00000000-0005-0000-0000-0000542C0000}"/>
    <cellStyle name="20% - Accent4 6 2 2 2 2" xfId="13224" xr:uid="{00000000-0005-0000-0000-0000552C0000}"/>
    <cellStyle name="20% - Accent4 6 2 2 2 3" xfId="20325" xr:uid="{00000000-0005-0000-0000-0000562C0000}"/>
    <cellStyle name="20% - Accent4 6 2 2 2 4" xfId="27427" xr:uid="{00000000-0005-0000-0000-0000572C0000}"/>
    <cellStyle name="20% - Accent4 6 2 2 2 5" xfId="34529" xr:uid="{00000000-0005-0000-0000-0000582C0000}"/>
    <cellStyle name="20% - Accent4 6 2 2 2 6" xfId="37423" xr:uid="{00000000-0005-0000-0000-0000592C0000}"/>
    <cellStyle name="20% - Accent4 6 2 2 3" xfId="8964" xr:uid="{00000000-0005-0000-0000-00005A2C0000}"/>
    <cellStyle name="20% - Accent4 6 2 2 4" xfId="16065" xr:uid="{00000000-0005-0000-0000-00005B2C0000}"/>
    <cellStyle name="20% - Accent4 6 2 2 5" xfId="23167" xr:uid="{00000000-0005-0000-0000-00005C2C0000}"/>
    <cellStyle name="20% - Accent4 6 2 2 6" xfId="30269" xr:uid="{00000000-0005-0000-0000-00005D2C0000}"/>
    <cellStyle name="20% - Accent4 6 2 2 7" xfId="37424" xr:uid="{00000000-0005-0000-0000-00005E2C0000}"/>
    <cellStyle name="20% - Accent4 6 2 3" xfId="4703" xr:uid="{00000000-0005-0000-0000-00005F2C0000}"/>
    <cellStyle name="20% - Accent4 6 2 3 2" xfId="11804" xr:uid="{00000000-0005-0000-0000-0000602C0000}"/>
    <cellStyle name="20% - Accent4 6 2 3 2 2" xfId="37425" xr:uid="{00000000-0005-0000-0000-0000612C0000}"/>
    <cellStyle name="20% - Accent4 6 2 3 3" xfId="18905" xr:uid="{00000000-0005-0000-0000-0000622C0000}"/>
    <cellStyle name="20% - Accent4 6 2 3 4" xfId="26007" xr:uid="{00000000-0005-0000-0000-0000632C0000}"/>
    <cellStyle name="20% - Accent4 6 2 3 5" xfId="33109" xr:uid="{00000000-0005-0000-0000-0000642C0000}"/>
    <cellStyle name="20% - Accent4 6 2 3 6" xfId="37426" xr:uid="{00000000-0005-0000-0000-0000652C0000}"/>
    <cellStyle name="20% - Accent4 6 2 4" xfId="3278" xr:uid="{00000000-0005-0000-0000-0000662C0000}"/>
    <cellStyle name="20% - Accent4 6 2 4 2" xfId="10384" xr:uid="{00000000-0005-0000-0000-0000672C0000}"/>
    <cellStyle name="20% - Accent4 6 2 4 3" xfId="17485" xr:uid="{00000000-0005-0000-0000-0000682C0000}"/>
    <cellStyle name="20% - Accent4 6 2 4 4" xfId="24587" xr:uid="{00000000-0005-0000-0000-0000692C0000}"/>
    <cellStyle name="20% - Accent4 6 2 4 5" xfId="31689" xr:uid="{00000000-0005-0000-0000-00006A2C0000}"/>
    <cellStyle name="20% - Accent4 6 2 4 6" xfId="37427" xr:uid="{00000000-0005-0000-0000-00006B2C0000}"/>
    <cellStyle name="20% - Accent4 6 2 5" xfId="7544" xr:uid="{00000000-0005-0000-0000-00006C2C0000}"/>
    <cellStyle name="20% - Accent4 6 2 6" xfId="14645" xr:uid="{00000000-0005-0000-0000-00006D2C0000}"/>
    <cellStyle name="20% - Accent4 6 2 7" xfId="21747" xr:uid="{00000000-0005-0000-0000-00006E2C0000}"/>
    <cellStyle name="20% - Accent4 6 2 8" xfId="28849" xr:uid="{00000000-0005-0000-0000-00006F2C0000}"/>
    <cellStyle name="20% - Accent4 6 2 9" xfId="37428" xr:uid="{00000000-0005-0000-0000-0000702C0000}"/>
    <cellStyle name="20% - Accent4 6 3" xfId="578" xr:uid="{00000000-0005-0000-0000-0000712C0000}"/>
    <cellStyle name="20% - Accent4 6 3 2" xfId="2069" xr:uid="{00000000-0005-0000-0000-0000722C0000}"/>
    <cellStyle name="20% - Accent4 6 3 2 2" xfId="6337" xr:uid="{00000000-0005-0000-0000-0000732C0000}"/>
    <cellStyle name="20% - Accent4 6 3 2 2 2" xfId="13437" xr:uid="{00000000-0005-0000-0000-0000742C0000}"/>
    <cellStyle name="20% - Accent4 6 3 2 2 3" xfId="20538" xr:uid="{00000000-0005-0000-0000-0000752C0000}"/>
    <cellStyle name="20% - Accent4 6 3 2 2 4" xfId="27640" xr:uid="{00000000-0005-0000-0000-0000762C0000}"/>
    <cellStyle name="20% - Accent4 6 3 2 2 5" xfId="34742" xr:uid="{00000000-0005-0000-0000-0000772C0000}"/>
    <cellStyle name="20% - Accent4 6 3 2 2 6" xfId="37429" xr:uid="{00000000-0005-0000-0000-0000782C0000}"/>
    <cellStyle name="20% - Accent4 6 3 2 3" xfId="9177" xr:uid="{00000000-0005-0000-0000-0000792C0000}"/>
    <cellStyle name="20% - Accent4 6 3 2 4" xfId="16278" xr:uid="{00000000-0005-0000-0000-00007A2C0000}"/>
    <cellStyle name="20% - Accent4 6 3 2 5" xfId="23380" xr:uid="{00000000-0005-0000-0000-00007B2C0000}"/>
    <cellStyle name="20% - Accent4 6 3 2 6" xfId="30482" xr:uid="{00000000-0005-0000-0000-00007C2C0000}"/>
    <cellStyle name="20% - Accent4 6 3 2 7" xfId="37430" xr:uid="{00000000-0005-0000-0000-00007D2C0000}"/>
    <cellStyle name="20% - Accent4 6 3 3" xfId="4916" xr:uid="{00000000-0005-0000-0000-00007E2C0000}"/>
    <cellStyle name="20% - Accent4 6 3 3 2" xfId="12017" xr:uid="{00000000-0005-0000-0000-00007F2C0000}"/>
    <cellStyle name="20% - Accent4 6 3 3 2 2" xfId="37431" xr:uid="{00000000-0005-0000-0000-0000802C0000}"/>
    <cellStyle name="20% - Accent4 6 3 3 3" xfId="19118" xr:uid="{00000000-0005-0000-0000-0000812C0000}"/>
    <cellStyle name="20% - Accent4 6 3 3 4" xfId="26220" xr:uid="{00000000-0005-0000-0000-0000822C0000}"/>
    <cellStyle name="20% - Accent4 6 3 3 5" xfId="33322" xr:uid="{00000000-0005-0000-0000-0000832C0000}"/>
    <cellStyle name="20% - Accent4 6 3 3 6" xfId="37432" xr:uid="{00000000-0005-0000-0000-0000842C0000}"/>
    <cellStyle name="20% - Accent4 6 3 4" xfId="3491" xr:uid="{00000000-0005-0000-0000-0000852C0000}"/>
    <cellStyle name="20% - Accent4 6 3 4 2" xfId="10597" xr:uid="{00000000-0005-0000-0000-0000862C0000}"/>
    <cellStyle name="20% - Accent4 6 3 4 3" xfId="17698" xr:uid="{00000000-0005-0000-0000-0000872C0000}"/>
    <cellStyle name="20% - Accent4 6 3 4 4" xfId="24800" xr:uid="{00000000-0005-0000-0000-0000882C0000}"/>
    <cellStyle name="20% - Accent4 6 3 4 5" xfId="31902" xr:uid="{00000000-0005-0000-0000-0000892C0000}"/>
    <cellStyle name="20% - Accent4 6 3 4 6" xfId="37433" xr:uid="{00000000-0005-0000-0000-00008A2C0000}"/>
    <cellStyle name="20% - Accent4 6 3 5" xfId="7757" xr:uid="{00000000-0005-0000-0000-00008B2C0000}"/>
    <cellStyle name="20% - Accent4 6 3 6" xfId="14858" xr:uid="{00000000-0005-0000-0000-00008C2C0000}"/>
    <cellStyle name="20% - Accent4 6 3 7" xfId="21960" xr:uid="{00000000-0005-0000-0000-00008D2C0000}"/>
    <cellStyle name="20% - Accent4 6 3 8" xfId="29062" xr:uid="{00000000-0005-0000-0000-00008E2C0000}"/>
    <cellStyle name="20% - Accent4 6 3 9" xfId="37434" xr:uid="{00000000-0005-0000-0000-00008F2C0000}"/>
    <cellStyle name="20% - Accent4 6 4" xfId="791" xr:uid="{00000000-0005-0000-0000-0000902C0000}"/>
    <cellStyle name="20% - Accent4 6 4 2" xfId="2282" xr:uid="{00000000-0005-0000-0000-0000912C0000}"/>
    <cellStyle name="20% - Accent4 6 4 2 2" xfId="6550" xr:uid="{00000000-0005-0000-0000-0000922C0000}"/>
    <cellStyle name="20% - Accent4 6 4 2 2 2" xfId="13650" xr:uid="{00000000-0005-0000-0000-0000932C0000}"/>
    <cellStyle name="20% - Accent4 6 4 2 2 3" xfId="20751" xr:uid="{00000000-0005-0000-0000-0000942C0000}"/>
    <cellStyle name="20% - Accent4 6 4 2 2 4" xfId="27853" xr:uid="{00000000-0005-0000-0000-0000952C0000}"/>
    <cellStyle name="20% - Accent4 6 4 2 2 5" xfId="34955" xr:uid="{00000000-0005-0000-0000-0000962C0000}"/>
    <cellStyle name="20% - Accent4 6 4 2 2 6" xfId="37435" xr:uid="{00000000-0005-0000-0000-0000972C0000}"/>
    <cellStyle name="20% - Accent4 6 4 2 3" xfId="9390" xr:uid="{00000000-0005-0000-0000-0000982C0000}"/>
    <cellStyle name="20% - Accent4 6 4 2 4" xfId="16491" xr:uid="{00000000-0005-0000-0000-0000992C0000}"/>
    <cellStyle name="20% - Accent4 6 4 2 5" xfId="23593" xr:uid="{00000000-0005-0000-0000-00009A2C0000}"/>
    <cellStyle name="20% - Accent4 6 4 2 6" xfId="30695" xr:uid="{00000000-0005-0000-0000-00009B2C0000}"/>
    <cellStyle name="20% - Accent4 6 4 2 7" xfId="37436" xr:uid="{00000000-0005-0000-0000-00009C2C0000}"/>
    <cellStyle name="20% - Accent4 6 4 3" xfId="5129" xr:uid="{00000000-0005-0000-0000-00009D2C0000}"/>
    <cellStyle name="20% - Accent4 6 4 3 2" xfId="12230" xr:uid="{00000000-0005-0000-0000-00009E2C0000}"/>
    <cellStyle name="20% - Accent4 6 4 3 2 2" xfId="37437" xr:uid="{00000000-0005-0000-0000-00009F2C0000}"/>
    <cellStyle name="20% - Accent4 6 4 3 3" xfId="19331" xr:uid="{00000000-0005-0000-0000-0000A02C0000}"/>
    <cellStyle name="20% - Accent4 6 4 3 4" xfId="26433" xr:uid="{00000000-0005-0000-0000-0000A12C0000}"/>
    <cellStyle name="20% - Accent4 6 4 3 5" xfId="33535" xr:uid="{00000000-0005-0000-0000-0000A22C0000}"/>
    <cellStyle name="20% - Accent4 6 4 3 6" xfId="37438" xr:uid="{00000000-0005-0000-0000-0000A32C0000}"/>
    <cellStyle name="20% - Accent4 6 4 4" xfId="3704" xr:uid="{00000000-0005-0000-0000-0000A42C0000}"/>
    <cellStyle name="20% - Accent4 6 4 4 2" xfId="10810" xr:uid="{00000000-0005-0000-0000-0000A52C0000}"/>
    <cellStyle name="20% - Accent4 6 4 4 3" xfId="17911" xr:uid="{00000000-0005-0000-0000-0000A62C0000}"/>
    <cellStyle name="20% - Accent4 6 4 4 4" xfId="25013" xr:uid="{00000000-0005-0000-0000-0000A72C0000}"/>
    <cellStyle name="20% - Accent4 6 4 4 5" xfId="32115" xr:uid="{00000000-0005-0000-0000-0000A82C0000}"/>
    <cellStyle name="20% - Accent4 6 4 4 6" xfId="37439" xr:uid="{00000000-0005-0000-0000-0000A92C0000}"/>
    <cellStyle name="20% - Accent4 6 4 5" xfId="7970" xr:uid="{00000000-0005-0000-0000-0000AA2C0000}"/>
    <cellStyle name="20% - Accent4 6 4 6" xfId="15071" xr:uid="{00000000-0005-0000-0000-0000AB2C0000}"/>
    <cellStyle name="20% - Accent4 6 4 7" xfId="22173" xr:uid="{00000000-0005-0000-0000-0000AC2C0000}"/>
    <cellStyle name="20% - Accent4 6 4 8" xfId="29275" xr:uid="{00000000-0005-0000-0000-0000AD2C0000}"/>
    <cellStyle name="20% - Accent4 6 4 9" xfId="37440" xr:uid="{00000000-0005-0000-0000-0000AE2C0000}"/>
    <cellStyle name="20% - Accent4 6 5" xfId="1146" xr:uid="{00000000-0005-0000-0000-0000AF2C0000}"/>
    <cellStyle name="20% - Accent4 6 5 2" xfId="2637" xr:uid="{00000000-0005-0000-0000-0000B02C0000}"/>
    <cellStyle name="20% - Accent4 6 5 2 2" xfId="6905" xr:uid="{00000000-0005-0000-0000-0000B12C0000}"/>
    <cellStyle name="20% - Accent4 6 5 2 2 2" xfId="14005" xr:uid="{00000000-0005-0000-0000-0000B22C0000}"/>
    <cellStyle name="20% - Accent4 6 5 2 2 3" xfId="21106" xr:uid="{00000000-0005-0000-0000-0000B32C0000}"/>
    <cellStyle name="20% - Accent4 6 5 2 2 4" xfId="28208" xr:uid="{00000000-0005-0000-0000-0000B42C0000}"/>
    <cellStyle name="20% - Accent4 6 5 2 2 5" xfId="35310" xr:uid="{00000000-0005-0000-0000-0000B52C0000}"/>
    <cellStyle name="20% - Accent4 6 5 2 3" xfId="9745" xr:uid="{00000000-0005-0000-0000-0000B62C0000}"/>
    <cellStyle name="20% - Accent4 6 5 2 4" xfId="16846" xr:uid="{00000000-0005-0000-0000-0000B72C0000}"/>
    <cellStyle name="20% - Accent4 6 5 2 5" xfId="23948" xr:uid="{00000000-0005-0000-0000-0000B82C0000}"/>
    <cellStyle name="20% - Accent4 6 5 2 6" xfId="31050" xr:uid="{00000000-0005-0000-0000-0000B92C0000}"/>
    <cellStyle name="20% - Accent4 6 5 2 7" xfId="37441" xr:uid="{00000000-0005-0000-0000-0000BA2C0000}"/>
    <cellStyle name="20% - Accent4 6 5 3" xfId="5484" xr:uid="{00000000-0005-0000-0000-0000BB2C0000}"/>
    <cellStyle name="20% - Accent4 6 5 3 2" xfId="12585" xr:uid="{00000000-0005-0000-0000-0000BC2C0000}"/>
    <cellStyle name="20% - Accent4 6 5 3 3" xfId="19686" xr:uid="{00000000-0005-0000-0000-0000BD2C0000}"/>
    <cellStyle name="20% - Accent4 6 5 3 4" xfId="26788" xr:uid="{00000000-0005-0000-0000-0000BE2C0000}"/>
    <cellStyle name="20% - Accent4 6 5 3 5" xfId="33890" xr:uid="{00000000-0005-0000-0000-0000BF2C0000}"/>
    <cellStyle name="20% - Accent4 6 5 4" xfId="4059" xr:uid="{00000000-0005-0000-0000-0000C02C0000}"/>
    <cellStyle name="20% - Accent4 6 5 4 2" xfId="11165" xr:uid="{00000000-0005-0000-0000-0000C12C0000}"/>
    <cellStyle name="20% - Accent4 6 5 4 3" xfId="18266" xr:uid="{00000000-0005-0000-0000-0000C22C0000}"/>
    <cellStyle name="20% - Accent4 6 5 4 4" xfId="25368" xr:uid="{00000000-0005-0000-0000-0000C32C0000}"/>
    <cellStyle name="20% - Accent4 6 5 4 5" xfId="32470" xr:uid="{00000000-0005-0000-0000-0000C42C0000}"/>
    <cellStyle name="20% - Accent4 6 5 5" xfId="8325" xr:uid="{00000000-0005-0000-0000-0000C52C0000}"/>
    <cellStyle name="20% - Accent4 6 5 6" xfId="15426" xr:uid="{00000000-0005-0000-0000-0000C62C0000}"/>
    <cellStyle name="20% - Accent4 6 5 7" xfId="22528" xr:uid="{00000000-0005-0000-0000-0000C72C0000}"/>
    <cellStyle name="20% - Accent4 6 5 8" xfId="29630" xr:uid="{00000000-0005-0000-0000-0000C82C0000}"/>
    <cellStyle name="20% - Accent4 6 5 9" xfId="37442" xr:uid="{00000000-0005-0000-0000-0000C92C0000}"/>
    <cellStyle name="20% - Accent4 6 6" xfId="1359" xr:uid="{00000000-0005-0000-0000-0000CA2C0000}"/>
    <cellStyle name="20% - Accent4 6 6 2" xfId="2850" xr:uid="{00000000-0005-0000-0000-0000CB2C0000}"/>
    <cellStyle name="20% - Accent4 6 6 2 2" xfId="7118" xr:uid="{00000000-0005-0000-0000-0000CC2C0000}"/>
    <cellStyle name="20% - Accent4 6 6 2 2 2" xfId="14218" xr:uid="{00000000-0005-0000-0000-0000CD2C0000}"/>
    <cellStyle name="20% - Accent4 6 6 2 2 3" xfId="21319" xr:uid="{00000000-0005-0000-0000-0000CE2C0000}"/>
    <cellStyle name="20% - Accent4 6 6 2 2 4" xfId="28421" xr:uid="{00000000-0005-0000-0000-0000CF2C0000}"/>
    <cellStyle name="20% - Accent4 6 6 2 2 5" xfId="35523" xr:uid="{00000000-0005-0000-0000-0000D02C0000}"/>
    <cellStyle name="20% - Accent4 6 6 2 3" xfId="9958" xr:uid="{00000000-0005-0000-0000-0000D12C0000}"/>
    <cellStyle name="20% - Accent4 6 6 2 4" xfId="17059" xr:uid="{00000000-0005-0000-0000-0000D22C0000}"/>
    <cellStyle name="20% - Accent4 6 6 2 5" xfId="24161" xr:uid="{00000000-0005-0000-0000-0000D32C0000}"/>
    <cellStyle name="20% - Accent4 6 6 2 6" xfId="31263" xr:uid="{00000000-0005-0000-0000-0000D42C0000}"/>
    <cellStyle name="20% - Accent4 6 6 2 7" xfId="37443" xr:uid="{00000000-0005-0000-0000-0000D52C0000}"/>
    <cellStyle name="20% - Accent4 6 6 3" xfId="5697" xr:uid="{00000000-0005-0000-0000-0000D62C0000}"/>
    <cellStyle name="20% - Accent4 6 6 3 2" xfId="12798" xr:uid="{00000000-0005-0000-0000-0000D72C0000}"/>
    <cellStyle name="20% - Accent4 6 6 3 3" xfId="19899" xr:uid="{00000000-0005-0000-0000-0000D82C0000}"/>
    <cellStyle name="20% - Accent4 6 6 3 4" xfId="27001" xr:uid="{00000000-0005-0000-0000-0000D92C0000}"/>
    <cellStyle name="20% - Accent4 6 6 3 5" xfId="34103" xr:uid="{00000000-0005-0000-0000-0000DA2C0000}"/>
    <cellStyle name="20% - Accent4 6 6 4" xfId="4272" xr:uid="{00000000-0005-0000-0000-0000DB2C0000}"/>
    <cellStyle name="20% - Accent4 6 6 4 2" xfId="11378" xr:uid="{00000000-0005-0000-0000-0000DC2C0000}"/>
    <cellStyle name="20% - Accent4 6 6 4 3" xfId="18479" xr:uid="{00000000-0005-0000-0000-0000DD2C0000}"/>
    <cellStyle name="20% - Accent4 6 6 4 4" xfId="25581" xr:uid="{00000000-0005-0000-0000-0000DE2C0000}"/>
    <cellStyle name="20% - Accent4 6 6 4 5" xfId="32683" xr:uid="{00000000-0005-0000-0000-0000DF2C0000}"/>
    <cellStyle name="20% - Accent4 6 6 5" xfId="8538" xr:uid="{00000000-0005-0000-0000-0000E02C0000}"/>
    <cellStyle name="20% - Accent4 6 6 6" xfId="15639" xr:uid="{00000000-0005-0000-0000-0000E12C0000}"/>
    <cellStyle name="20% - Accent4 6 6 7" xfId="22741" xr:uid="{00000000-0005-0000-0000-0000E22C0000}"/>
    <cellStyle name="20% - Accent4 6 6 8" xfId="29843" xr:uid="{00000000-0005-0000-0000-0000E32C0000}"/>
    <cellStyle name="20% - Accent4 6 6 9" xfId="37444" xr:uid="{00000000-0005-0000-0000-0000E42C0000}"/>
    <cellStyle name="20% - Accent4 6 7" xfId="1643" xr:uid="{00000000-0005-0000-0000-0000E52C0000}"/>
    <cellStyle name="20% - Accent4 6 7 2" xfId="5911" xr:uid="{00000000-0005-0000-0000-0000E62C0000}"/>
    <cellStyle name="20% - Accent4 6 7 2 2" xfId="13011" xr:uid="{00000000-0005-0000-0000-0000E72C0000}"/>
    <cellStyle name="20% - Accent4 6 7 2 3" xfId="20112" xr:uid="{00000000-0005-0000-0000-0000E82C0000}"/>
    <cellStyle name="20% - Accent4 6 7 2 4" xfId="27214" xr:uid="{00000000-0005-0000-0000-0000E92C0000}"/>
    <cellStyle name="20% - Accent4 6 7 2 5" xfId="34316" xr:uid="{00000000-0005-0000-0000-0000EA2C0000}"/>
    <cellStyle name="20% - Accent4 6 7 3" xfId="8751" xr:uid="{00000000-0005-0000-0000-0000EB2C0000}"/>
    <cellStyle name="20% - Accent4 6 7 4" xfId="15852" xr:uid="{00000000-0005-0000-0000-0000EC2C0000}"/>
    <cellStyle name="20% - Accent4 6 7 5" xfId="22954" xr:uid="{00000000-0005-0000-0000-0000ED2C0000}"/>
    <cellStyle name="20% - Accent4 6 7 6" xfId="30056" xr:uid="{00000000-0005-0000-0000-0000EE2C0000}"/>
    <cellStyle name="20% - Accent4 6 7 7" xfId="37445" xr:uid="{00000000-0005-0000-0000-0000EF2C0000}"/>
    <cellStyle name="20% - Accent4 6 8" xfId="4490" xr:uid="{00000000-0005-0000-0000-0000F02C0000}"/>
    <cellStyle name="20% - Accent4 6 8 2" xfId="11591" xr:uid="{00000000-0005-0000-0000-0000F12C0000}"/>
    <cellStyle name="20% - Accent4 6 8 3" xfId="18692" xr:uid="{00000000-0005-0000-0000-0000F22C0000}"/>
    <cellStyle name="20% - Accent4 6 8 4" xfId="25794" xr:uid="{00000000-0005-0000-0000-0000F32C0000}"/>
    <cellStyle name="20% - Accent4 6 8 5" xfId="32896" xr:uid="{00000000-0005-0000-0000-0000F42C0000}"/>
    <cellStyle name="20% - Accent4 6 9" xfId="3065" xr:uid="{00000000-0005-0000-0000-0000F52C0000}"/>
    <cellStyle name="20% - Accent4 6 9 2" xfId="10171" xr:uid="{00000000-0005-0000-0000-0000F62C0000}"/>
    <cellStyle name="20% - Accent4 6 9 3" xfId="17272" xr:uid="{00000000-0005-0000-0000-0000F72C0000}"/>
    <cellStyle name="20% - Accent4 6 9 4" xfId="24374" xr:uid="{00000000-0005-0000-0000-0000F82C0000}"/>
    <cellStyle name="20% - Accent4 6 9 5" xfId="31476" xr:uid="{00000000-0005-0000-0000-0000F92C0000}"/>
    <cellStyle name="20% - Accent4 7" xfId="294" xr:uid="{00000000-0005-0000-0000-0000FA2C0000}"/>
    <cellStyle name="20% - Accent4 7 10" xfId="37446" xr:uid="{00000000-0005-0000-0000-0000FB2C0000}"/>
    <cellStyle name="20% - Accent4 7 2" xfId="1075" xr:uid="{00000000-0005-0000-0000-0000FC2C0000}"/>
    <cellStyle name="20% - Accent4 7 2 2" xfId="2566" xr:uid="{00000000-0005-0000-0000-0000FD2C0000}"/>
    <cellStyle name="20% - Accent4 7 2 2 2" xfId="6834" xr:uid="{00000000-0005-0000-0000-0000FE2C0000}"/>
    <cellStyle name="20% - Accent4 7 2 2 2 2" xfId="13934" xr:uid="{00000000-0005-0000-0000-0000FF2C0000}"/>
    <cellStyle name="20% - Accent4 7 2 2 2 3" xfId="21035" xr:uid="{00000000-0005-0000-0000-0000002D0000}"/>
    <cellStyle name="20% - Accent4 7 2 2 2 4" xfId="28137" xr:uid="{00000000-0005-0000-0000-0000012D0000}"/>
    <cellStyle name="20% - Accent4 7 2 2 2 5" xfId="35239" xr:uid="{00000000-0005-0000-0000-0000022D0000}"/>
    <cellStyle name="20% - Accent4 7 2 2 3" xfId="9674" xr:uid="{00000000-0005-0000-0000-0000032D0000}"/>
    <cellStyle name="20% - Accent4 7 2 2 4" xfId="16775" xr:uid="{00000000-0005-0000-0000-0000042D0000}"/>
    <cellStyle name="20% - Accent4 7 2 2 5" xfId="23877" xr:uid="{00000000-0005-0000-0000-0000052D0000}"/>
    <cellStyle name="20% - Accent4 7 2 2 6" xfId="30979" xr:uid="{00000000-0005-0000-0000-0000062D0000}"/>
    <cellStyle name="20% - Accent4 7 2 2 7" xfId="37447" xr:uid="{00000000-0005-0000-0000-0000072D0000}"/>
    <cellStyle name="20% - Accent4 7 2 3" xfId="5413" xr:uid="{00000000-0005-0000-0000-0000082D0000}"/>
    <cellStyle name="20% - Accent4 7 2 3 2" xfId="12514" xr:uid="{00000000-0005-0000-0000-0000092D0000}"/>
    <cellStyle name="20% - Accent4 7 2 3 3" xfId="19615" xr:uid="{00000000-0005-0000-0000-00000A2D0000}"/>
    <cellStyle name="20% - Accent4 7 2 3 4" xfId="26717" xr:uid="{00000000-0005-0000-0000-00000B2D0000}"/>
    <cellStyle name="20% - Accent4 7 2 3 5" xfId="33819" xr:uid="{00000000-0005-0000-0000-00000C2D0000}"/>
    <cellStyle name="20% - Accent4 7 2 4" xfId="3988" xr:uid="{00000000-0005-0000-0000-00000D2D0000}"/>
    <cellStyle name="20% - Accent4 7 2 4 2" xfId="11094" xr:uid="{00000000-0005-0000-0000-00000E2D0000}"/>
    <cellStyle name="20% - Accent4 7 2 4 3" xfId="18195" xr:uid="{00000000-0005-0000-0000-00000F2D0000}"/>
    <cellStyle name="20% - Accent4 7 2 4 4" xfId="25297" xr:uid="{00000000-0005-0000-0000-0000102D0000}"/>
    <cellStyle name="20% - Accent4 7 2 4 5" xfId="32399" xr:uid="{00000000-0005-0000-0000-0000112D0000}"/>
    <cellStyle name="20% - Accent4 7 2 5" xfId="8254" xr:uid="{00000000-0005-0000-0000-0000122D0000}"/>
    <cellStyle name="20% - Accent4 7 2 6" xfId="15355" xr:uid="{00000000-0005-0000-0000-0000132D0000}"/>
    <cellStyle name="20% - Accent4 7 2 7" xfId="22457" xr:uid="{00000000-0005-0000-0000-0000142D0000}"/>
    <cellStyle name="20% - Accent4 7 2 8" xfId="29559" xr:uid="{00000000-0005-0000-0000-0000152D0000}"/>
    <cellStyle name="20% - Accent4 7 2 9" xfId="37448" xr:uid="{00000000-0005-0000-0000-0000162D0000}"/>
    <cellStyle name="20% - Accent4 7 3" xfId="1785" xr:uid="{00000000-0005-0000-0000-0000172D0000}"/>
    <cellStyle name="20% - Accent4 7 3 2" xfId="6053" xr:uid="{00000000-0005-0000-0000-0000182D0000}"/>
    <cellStyle name="20% - Accent4 7 3 2 2" xfId="13153" xr:uid="{00000000-0005-0000-0000-0000192D0000}"/>
    <cellStyle name="20% - Accent4 7 3 2 3" xfId="20254" xr:uid="{00000000-0005-0000-0000-00001A2D0000}"/>
    <cellStyle name="20% - Accent4 7 3 2 4" xfId="27356" xr:uid="{00000000-0005-0000-0000-00001B2D0000}"/>
    <cellStyle name="20% - Accent4 7 3 2 5" xfId="34458" xr:uid="{00000000-0005-0000-0000-00001C2D0000}"/>
    <cellStyle name="20% - Accent4 7 3 2 6" xfId="37449" xr:uid="{00000000-0005-0000-0000-00001D2D0000}"/>
    <cellStyle name="20% - Accent4 7 3 3" xfId="8893" xr:uid="{00000000-0005-0000-0000-00001E2D0000}"/>
    <cellStyle name="20% - Accent4 7 3 4" xfId="15994" xr:uid="{00000000-0005-0000-0000-00001F2D0000}"/>
    <cellStyle name="20% - Accent4 7 3 5" xfId="23096" xr:uid="{00000000-0005-0000-0000-0000202D0000}"/>
    <cellStyle name="20% - Accent4 7 3 6" xfId="30198" xr:uid="{00000000-0005-0000-0000-0000212D0000}"/>
    <cellStyle name="20% - Accent4 7 3 7" xfId="37450" xr:uid="{00000000-0005-0000-0000-0000222D0000}"/>
    <cellStyle name="20% - Accent4 7 4" xfId="4632" xr:uid="{00000000-0005-0000-0000-0000232D0000}"/>
    <cellStyle name="20% - Accent4 7 4 2" xfId="11733" xr:uid="{00000000-0005-0000-0000-0000242D0000}"/>
    <cellStyle name="20% - Accent4 7 4 3" xfId="18834" xr:uid="{00000000-0005-0000-0000-0000252D0000}"/>
    <cellStyle name="20% - Accent4 7 4 4" xfId="25936" xr:uid="{00000000-0005-0000-0000-0000262D0000}"/>
    <cellStyle name="20% - Accent4 7 4 5" xfId="33038" xr:uid="{00000000-0005-0000-0000-0000272D0000}"/>
    <cellStyle name="20% - Accent4 7 4 6" xfId="37451" xr:uid="{00000000-0005-0000-0000-0000282D0000}"/>
    <cellStyle name="20% - Accent4 7 5" xfId="3207" xr:uid="{00000000-0005-0000-0000-0000292D0000}"/>
    <cellStyle name="20% - Accent4 7 5 2" xfId="10313" xr:uid="{00000000-0005-0000-0000-00002A2D0000}"/>
    <cellStyle name="20% - Accent4 7 5 3" xfId="17414" xr:uid="{00000000-0005-0000-0000-00002B2D0000}"/>
    <cellStyle name="20% - Accent4 7 5 4" xfId="24516" xr:uid="{00000000-0005-0000-0000-00002C2D0000}"/>
    <cellStyle name="20% - Accent4 7 5 5" xfId="31618" xr:uid="{00000000-0005-0000-0000-00002D2D0000}"/>
    <cellStyle name="20% - Accent4 7 6" xfId="7473" xr:uid="{00000000-0005-0000-0000-00002E2D0000}"/>
    <cellStyle name="20% - Accent4 7 7" xfId="14574" xr:uid="{00000000-0005-0000-0000-00002F2D0000}"/>
    <cellStyle name="20% - Accent4 7 8" xfId="21676" xr:uid="{00000000-0005-0000-0000-0000302D0000}"/>
    <cellStyle name="20% - Accent4 7 9" xfId="28778" xr:uid="{00000000-0005-0000-0000-0000312D0000}"/>
    <cellStyle name="20% - Accent4 8" xfId="507" xr:uid="{00000000-0005-0000-0000-0000322D0000}"/>
    <cellStyle name="20% - Accent4 8 2" xfId="1998" xr:uid="{00000000-0005-0000-0000-0000332D0000}"/>
    <cellStyle name="20% - Accent4 8 2 2" xfId="6266" xr:uid="{00000000-0005-0000-0000-0000342D0000}"/>
    <cellStyle name="20% - Accent4 8 2 2 2" xfId="13366" xr:uid="{00000000-0005-0000-0000-0000352D0000}"/>
    <cellStyle name="20% - Accent4 8 2 2 3" xfId="20467" xr:uid="{00000000-0005-0000-0000-0000362D0000}"/>
    <cellStyle name="20% - Accent4 8 2 2 4" xfId="27569" xr:uid="{00000000-0005-0000-0000-0000372D0000}"/>
    <cellStyle name="20% - Accent4 8 2 2 5" xfId="34671" xr:uid="{00000000-0005-0000-0000-0000382D0000}"/>
    <cellStyle name="20% - Accent4 8 2 2 6" xfId="37452" xr:uid="{00000000-0005-0000-0000-0000392D0000}"/>
    <cellStyle name="20% - Accent4 8 2 3" xfId="9106" xr:uid="{00000000-0005-0000-0000-00003A2D0000}"/>
    <cellStyle name="20% - Accent4 8 2 4" xfId="16207" xr:uid="{00000000-0005-0000-0000-00003B2D0000}"/>
    <cellStyle name="20% - Accent4 8 2 5" xfId="23309" xr:uid="{00000000-0005-0000-0000-00003C2D0000}"/>
    <cellStyle name="20% - Accent4 8 2 6" xfId="30411" xr:uid="{00000000-0005-0000-0000-00003D2D0000}"/>
    <cellStyle name="20% - Accent4 8 2 7" xfId="37453" xr:uid="{00000000-0005-0000-0000-00003E2D0000}"/>
    <cellStyle name="20% - Accent4 8 3" xfId="4845" xr:uid="{00000000-0005-0000-0000-00003F2D0000}"/>
    <cellStyle name="20% - Accent4 8 3 2" xfId="11946" xr:uid="{00000000-0005-0000-0000-0000402D0000}"/>
    <cellStyle name="20% - Accent4 8 3 2 2" xfId="37454" xr:uid="{00000000-0005-0000-0000-0000412D0000}"/>
    <cellStyle name="20% - Accent4 8 3 3" xfId="19047" xr:uid="{00000000-0005-0000-0000-0000422D0000}"/>
    <cellStyle name="20% - Accent4 8 3 4" xfId="26149" xr:uid="{00000000-0005-0000-0000-0000432D0000}"/>
    <cellStyle name="20% - Accent4 8 3 5" xfId="33251" xr:uid="{00000000-0005-0000-0000-0000442D0000}"/>
    <cellStyle name="20% - Accent4 8 3 6" xfId="37455" xr:uid="{00000000-0005-0000-0000-0000452D0000}"/>
    <cellStyle name="20% - Accent4 8 4" xfId="3420" xr:uid="{00000000-0005-0000-0000-0000462D0000}"/>
    <cellStyle name="20% - Accent4 8 4 2" xfId="10526" xr:uid="{00000000-0005-0000-0000-0000472D0000}"/>
    <cellStyle name="20% - Accent4 8 4 3" xfId="17627" xr:uid="{00000000-0005-0000-0000-0000482D0000}"/>
    <cellStyle name="20% - Accent4 8 4 4" xfId="24729" xr:uid="{00000000-0005-0000-0000-0000492D0000}"/>
    <cellStyle name="20% - Accent4 8 4 5" xfId="31831" xr:uid="{00000000-0005-0000-0000-00004A2D0000}"/>
    <cellStyle name="20% - Accent4 8 4 6" xfId="37456" xr:uid="{00000000-0005-0000-0000-00004B2D0000}"/>
    <cellStyle name="20% - Accent4 8 5" xfId="7686" xr:uid="{00000000-0005-0000-0000-00004C2D0000}"/>
    <cellStyle name="20% - Accent4 8 6" xfId="14787" xr:uid="{00000000-0005-0000-0000-00004D2D0000}"/>
    <cellStyle name="20% - Accent4 8 7" xfId="21889" xr:uid="{00000000-0005-0000-0000-00004E2D0000}"/>
    <cellStyle name="20% - Accent4 8 8" xfId="28991" xr:uid="{00000000-0005-0000-0000-00004F2D0000}"/>
    <cellStyle name="20% - Accent4 8 9" xfId="37457" xr:uid="{00000000-0005-0000-0000-0000502D0000}"/>
    <cellStyle name="20% - Accent4 9" xfId="720" xr:uid="{00000000-0005-0000-0000-0000512D0000}"/>
    <cellStyle name="20% - Accent4 9 2" xfId="2211" xr:uid="{00000000-0005-0000-0000-0000522D0000}"/>
    <cellStyle name="20% - Accent4 9 2 2" xfId="6479" xr:uid="{00000000-0005-0000-0000-0000532D0000}"/>
    <cellStyle name="20% - Accent4 9 2 2 2" xfId="13579" xr:uid="{00000000-0005-0000-0000-0000542D0000}"/>
    <cellStyle name="20% - Accent4 9 2 2 3" xfId="20680" xr:uid="{00000000-0005-0000-0000-0000552D0000}"/>
    <cellStyle name="20% - Accent4 9 2 2 4" xfId="27782" xr:uid="{00000000-0005-0000-0000-0000562D0000}"/>
    <cellStyle name="20% - Accent4 9 2 2 5" xfId="34884" xr:uid="{00000000-0005-0000-0000-0000572D0000}"/>
    <cellStyle name="20% - Accent4 9 2 2 6" xfId="37458" xr:uid="{00000000-0005-0000-0000-0000582D0000}"/>
    <cellStyle name="20% - Accent4 9 2 3" xfId="9319" xr:uid="{00000000-0005-0000-0000-0000592D0000}"/>
    <cellStyle name="20% - Accent4 9 2 4" xfId="16420" xr:uid="{00000000-0005-0000-0000-00005A2D0000}"/>
    <cellStyle name="20% - Accent4 9 2 5" xfId="23522" xr:uid="{00000000-0005-0000-0000-00005B2D0000}"/>
    <cellStyle name="20% - Accent4 9 2 6" xfId="30624" xr:uid="{00000000-0005-0000-0000-00005C2D0000}"/>
    <cellStyle name="20% - Accent4 9 2 7" xfId="37459" xr:uid="{00000000-0005-0000-0000-00005D2D0000}"/>
    <cellStyle name="20% - Accent4 9 3" xfId="5058" xr:uid="{00000000-0005-0000-0000-00005E2D0000}"/>
    <cellStyle name="20% - Accent4 9 3 2" xfId="12159" xr:uid="{00000000-0005-0000-0000-00005F2D0000}"/>
    <cellStyle name="20% - Accent4 9 3 2 2" xfId="37460" xr:uid="{00000000-0005-0000-0000-0000602D0000}"/>
    <cellStyle name="20% - Accent4 9 3 3" xfId="19260" xr:uid="{00000000-0005-0000-0000-0000612D0000}"/>
    <cellStyle name="20% - Accent4 9 3 4" xfId="26362" xr:uid="{00000000-0005-0000-0000-0000622D0000}"/>
    <cellStyle name="20% - Accent4 9 3 5" xfId="33464" xr:uid="{00000000-0005-0000-0000-0000632D0000}"/>
    <cellStyle name="20% - Accent4 9 3 6" xfId="37461" xr:uid="{00000000-0005-0000-0000-0000642D0000}"/>
    <cellStyle name="20% - Accent4 9 4" xfId="3633" xr:uid="{00000000-0005-0000-0000-0000652D0000}"/>
    <cellStyle name="20% - Accent4 9 4 2" xfId="10739" xr:uid="{00000000-0005-0000-0000-0000662D0000}"/>
    <cellStyle name="20% - Accent4 9 4 3" xfId="17840" xr:uid="{00000000-0005-0000-0000-0000672D0000}"/>
    <cellStyle name="20% - Accent4 9 4 4" xfId="24942" xr:uid="{00000000-0005-0000-0000-0000682D0000}"/>
    <cellStyle name="20% - Accent4 9 4 5" xfId="32044" xr:uid="{00000000-0005-0000-0000-0000692D0000}"/>
    <cellStyle name="20% - Accent4 9 4 6" xfId="37462" xr:uid="{00000000-0005-0000-0000-00006A2D0000}"/>
    <cellStyle name="20% - Accent4 9 5" xfId="7899" xr:uid="{00000000-0005-0000-0000-00006B2D0000}"/>
    <cellStyle name="20% - Accent4 9 6" xfId="15000" xr:uid="{00000000-0005-0000-0000-00006C2D0000}"/>
    <cellStyle name="20% - Accent4 9 7" xfId="22102" xr:uid="{00000000-0005-0000-0000-00006D2D0000}"/>
    <cellStyle name="20% - Accent4 9 8" xfId="29204" xr:uid="{00000000-0005-0000-0000-00006E2D0000}"/>
    <cellStyle name="20% - Accent4 9 9" xfId="37463" xr:uid="{00000000-0005-0000-0000-00006F2D0000}"/>
    <cellStyle name="20% - Accent5" xfId="58" builtinId="46" customBuiltin="1"/>
    <cellStyle name="20% - Accent5 10" xfId="935" xr:uid="{00000000-0005-0000-0000-0000712D0000}"/>
    <cellStyle name="20% - Accent5 10 2" xfId="2426" xr:uid="{00000000-0005-0000-0000-0000722D0000}"/>
    <cellStyle name="20% - Accent5 10 2 2" xfId="6694" xr:uid="{00000000-0005-0000-0000-0000732D0000}"/>
    <cellStyle name="20% - Accent5 10 2 2 2" xfId="13794" xr:uid="{00000000-0005-0000-0000-0000742D0000}"/>
    <cellStyle name="20% - Accent5 10 2 2 3" xfId="20895" xr:uid="{00000000-0005-0000-0000-0000752D0000}"/>
    <cellStyle name="20% - Accent5 10 2 2 4" xfId="27997" xr:uid="{00000000-0005-0000-0000-0000762D0000}"/>
    <cellStyle name="20% - Accent5 10 2 2 5" xfId="35099" xr:uid="{00000000-0005-0000-0000-0000772D0000}"/>
    <cellStyle name="20% - Accent5 10 2 3" xfId="9534" xr:uid="{00000000-0005-0000-0000-0000782D0000}"/>
    <cellStyle name="20% - Accent5 10 2 4" xfId="16635" xr:uid="{00000000-0005-0000-0000-0000792D0000}"/>
    <cellStyle name="20% - Accent5 10 2 5" xfId="23737" xr:uid="{00000000-0005-0000-0000-00007A2D0000}"/>
    <cellStyle name="20% - Accent5 10 2 6" xfId="30839" xr:uid="{00000000-0005-0000-0000-00007B2D0000}"/>
    <cellStyle name="20% - Accent5 10 2 7" xfId="37464" xr:uid="{00000000-0005-0000-0000-00007C2D0000}"/>
    <cellStyle name="20% - Accent5 10 3" xfId="5273" xr:uid="{00000000-0005-0000-0000-00007D2D0000}"/>
    <cellStyle name="20% - Accent5 10 3 2" xfId="12374" xr:uid="{00000000-0005-0000-0000-00007E2D0000}"/>
    <cellStyle name="20% - Accent5 10 3 3" xfId="19475" xr:uid="{00000000-0005-0000-0000-00007F2D0000}"/>
    <cellStyle name="20% - Accent5 10 3 4" xfId="26577" xr:uid="{00000000-0005-0000-0000-0000802D0000}"/>
    <cellStyle name="20% - Accent5 10 3 5" xfId="33679" xr:uid="{00000000-0005-0000-0000-0000812D0000}"/>
    <cellStyle name="20% - Accent5 10 4" xfId="3848" xr:uid="{00000000-0005-0000-0000-0000822D0000}"/>
    <cellStyle name="20% - Accent5 10 4 2" xfId="10954" xr:uid="{00000000-0005-0000-0000-0000832D0000}"/>
    <cellStyle name="20% - Accent5 10 4 3" xfId="18055" xr:uid="{00000000-0005-0000-0000-0000842D0000}"/>
    <cellStyle name="20% - Accent5 10 4 4" xfId="25157" xr:uid="{00000000-0005-0000-0000-0000852D0000}"/>
    <cellStyle name="20% - Accent5 10 4 5" xfId="32259" xr:uid="{00000000-0005-0000-0000-0000862D0000}"/>
    <cellStyle name="20% - Accent5 10 5" xfId="8114" xr:uid="{00000000-0005-0000-0000-0000872D0000}"/>
    <cellStyle name="20% - Accent5 10 6" xfId="15215" xr:uid="{00000000-0005-0000-0000-0000882D0000}"/>
    <cellStyle name="20% - Accent5 10 7" xfId="22317" xr:uid="{00000000-0005-0000-0000-0000892D0000}"/>
    <cellStyle name="20% - Accent5 10 8" xfId="29419" xr:uid="{00000000-0005-0000-0000-00008A2D0000}"/>
    <cellStyle name="20% - Accent5 10 9" xfId="37465" xr:uid="{00000000-0005-0000-0000-00008B2D0000}"/>
    <cellStyle name="20% - Accent5 11" xfId="1290" xr:uid="{00000000-0005-0000-0000-00008C2D0000}"/>
    <cellStyle name="20% - Accent5 11 2" xfId="2781" xr:uid="{00000000-0005-0000-0000-00008D2D0000}"/>
    <cellStyle name="20% - Accent5 11 2 2" xfId="7049" xr:uid="{00000000-0005-0000-0000-00008E2D0000}"/>
    <cellStyle name="20% - Accent5 11 2 2 2" xfId="14149" xr:uid="{00000000-0005-0000-0000-00008F2D0000}"/>
    <cellStyle name="20% - Accent5 11 2 2 3" xfId="21250" xr:uid="{00000000-0005-0000-0000-0000902D0000}"/>
    <cellStyle name="20% - Accent5 11 2 2 4" xfId="28352" xr:uid="{00000000-0005-0000-0000-0000912D0000}"/>
    <cellStyle name="20% - Accent5 11 2 2 5" xfId="35454" xr:uid="{00000000-0005-0000-0000-0000922D0000}"/>
    <cellStyle name="20% - Accent5 11 2 3" xfId="9889" xr:uid="{00000000-0005-0000-0000-0000932D0000}"/>
    <cellStyle name="20% - Accent5 11 2 4" xfId="16990" xr:uid="{00000000-0005-0000-0000-0000942D0000}"/>
    <cellStyle name="20% - Accent5 11 2 5" xfId="24092" xr:uid="{00000000-0005-0000-0000-0000952D0000}"/>
    <cellStyle name="20% - Accent5 11 2 6" xfId="31194" xr:uid="{00000000-0005-0000-0000-0000962D0000}"/>
    <cellStyle name="20% - Accent5 11 2 7" xfId="37466" xr:uid="{00000000-0005-0000-0000-0000972D0000}"/>
    <cellStyle name="20% - Accent5 11 3" xfId="5628" xr:uid="{00000000-0005-0000-0000-0000982D0000}"/>
    <cellStyle name="20% - Accent5 11 3 2" xfId="12729" xr:uid="{00000000-0005-0000-0000-0000992D0000}"/>
    <cellStyle name="20% - Accent5 11 3 3" xfId="19830" xr:uid="{00000000-0005-0000-0000-00009A2D0000}"/>
    <cellStyle name="20% - Accent5 11 3 4" xfId="26932" xr:uid="{00000000-0005-0000-0000-00009B2D0000}"/>
    <cellStyle name="20% - Accent5 11 3 5" xfId="34034" xr:uid="{00000000-0005-0000-0000-00009C2D0000}"/>
    <cellStyle name="20% - Accent5 11 4" xfId="4203" xr:uid="{00000000-0005-0000-0000-00009D2D0000}"/>
    <cellStyle name="20% - Accent5 11 4 2" xfId="11309" xr:uid="{00000000-0005-0000-0000-00009E2D0000}"/>
    <cellStyle name="20% - Accent5 11 4 3" xfId="18410" xr:uid="{00000000-0005-0000-0000-00009F2D0000}"/>
    <cellStyle name="20% - Accent5 11 4 4" xfId="25512" xr:uid="{00000000-0005-0000-0000-0000A02D0000}"/>
    <cellStyle name="20% - Accent5 11 4 5" xfId="32614" xr:uid="{00000000-0005-0000-0000-0000A12D0000}"/>
    <cellStyle name="20% - Accent5 11 5" xfId="8469" xr:uid="{00000000-0005-0000-0000-0000A22D0000}"/>
    <cellStyle name="20% - Accent5 11 6" xfId="15570" xr:uid="{00000000-0005-0000-0000-0000A32D0000}"/>
    <cellStyle name="20% - Accent5 11 7" xfId="22672" xr:uid="{00000000-0005-0000-0000-0000A42D0000}"/>
    <cellStyle name="20% - Accent5 11 8" xfId="29774" xr:uid="{00000000-0005-0000-0000-0000A52D0000}"/>
    <cellStyle name="20% - Accent5 11 9" xfId="37467" xr:uid="{00000000-0005-0000-0000-0000A62D0000}"/>
    <cellStyle name="20% - Accent5 12" xfId="1558" xr:uid="{00000000-0005-0000-0000-0000A72D0000}"/>
    <cellStyle name="20% - Accent5 12 2" xfId="5841" xr:uid="{00000000-0005-0000-0000-0000A82D0000}"/>
    <cellStyle name="20% - Accent5 12 2 2" xfId="12942" xr:uid="{00000000-0005-0000-0000-0000A92D0000}"/>
    <cellStyle name="20% - Accent5 12 2 3" xfId="20043" xr:uid="{00000000-0005-0000-0000-0000AA2D0000}"/>
    <cellStyle name="20% - Accent5 12 2 4" xfId="27145" xr:uid="{00000000-0005-0000-0000-0000AB2D0000}"/>
    <cellStyle name="20% - Accent5 12 2 5" xfId="34247" xr:uid="{00000000-0005-0000-0000-0000AC2D0000}"/>
    <cellStyle name="20% - Accent5 12 3" xfId="8682" xr:uid="{00000000-0005-0000-0000-0000AD2D0000}"/>
    <cellStyle name="20% - Accent5 12 4" xfId="15783" xr:uid="{00000000-0005-0000-0000-0000AE2D0000}"/>
    <cellStyle name="20% - Accent5 12 5" xfId="22885" xr:uid="{00000000-0005-0000-0000-0000AF2D0000}"/>
    <cellStyle name="20% - Accent5 12 6" xfId="29987" xr:uid="{00000000-0005-0000-0000-0000B02D0000}"/>
    <cellStyle name="20% - Accent5 12 7" xfId="37468" xr:uid="{00000000-0005-0000-0000-0000B12D0000}"/>
    <cellStyle name="20% - Accent5 13" xfId="4421" xr:uid="{00000000-0005-0000-0000-0000B22D0000}"/>
    <cellStyle name="20% - Accent5 13 2" xfId="11522" xr:uid="{00000000-0005-0000-0000-0000B32D0000}"/>
    <cellStyle name="20% - Accent5 13 3" xfId="18623" xr:uid="{00000000-0005-0000-0000-0000B42D0000}"/>
    <cellStyle name="20% - Accent5 13 4" xfId="25725" xr:uid="{00000000-0005-0000-0000-0000B52D0000}"/>
    <cellStyle name="20% - Accent5 13 5" xfId="32827" xr:uid="{00000000-0005-0000-0000-0000B62D0000}"/>
    <cellStyle name="20% - Accent5 14" xfId="2996" xr:uid="{00000000-0005-0000-0000-0000B72D0000}"/>
    <cellStyle name="20% - Accent5 14 2" xfId="10102" xr:uid="{00000000-0005-0000-0000-0000B82D0000}"/>
    <cellStyle name="20% - Accent5 14 3" xfId="17203" xr:uid="{00000000-0005-0000-0000-0000B92D0000}"/>
    <cellStyle name="20% - Accent5 14 4" xfId="24305" xr:uid="{00000000-0005-0000-0000-0000BA2D0000}"/>
    <cellStyle name="20% - Accent5 14 5" xfId="31407" xr:uid="{00000000-0005-0000-0000-0000BB2D0000}"/>
    <cellStyle name="20% - Accent5 15" xfId="7262" xr:uid="{00000000-0005-0000-0000-0000BC2D0000}"/>
    <cellStyle name="20% - Accent5 16" xfId="14363" xr:uid="{00000000-0005-0000-0000-0000BD2D0000}"/>
    <cellStyle name="20% - Accent5 17" xfId="21465" xr:uid="{00000000-0005-0000-0000-0000BE2D0000}"/>
    <cellStyle name="20% - Accent5 18" xfId="28567" xr:uid="{00000000-0005-0000-0000-0000BF2D0000}"/>
    <cellStyle name="20% - Accent5 19" xfId="35669" xr:uid="{00000000-0005-0000-0000-0000C02D0000}"/>
    <cellStyle name="20% - Accent5 2" xfId="81" xr:uid="{00000000-0005-0000-0000-0000C12D0000}"/>
    <cellStyle name="20% - Accent5 2 10" xfId="1582" xr:uid="{00000000-0005-0000-0000-0000C22D0000}"/>
    <cellStyle name="20% - Accent5 2 10 2" xfId="5856" xr:uid="{00000000-0005-0000-0000-0000C32D0000}"/>
    <cellStyle name="20% - Accent5 2 10 2 2" xfId="12956" xr:uid="{00000000-0005-0000-0000-0000C42D0000}"/>
    <cellStyle name="20% - Accent5 2 10 2 3" xfId="20057" xr:uid="{00000000-0005-0000-0000-0000C52D0000}"/>
    <cellStyle name="20% - Accent5 2 10 2 4" xfId="27159" xr:uid="{00000000-0005-0000-0000-0000C62D0000}"/>
    <cellStyle name="20% - Accent5 2 10 2 5" xfId="34261" xr:uid="{00000000-0005-0000-0000-0000C72D0000}"/>
    <cellStyle name="20% - Accent5 2 10 2 6" xfId="37469" xr:uid="{00000000-0005-0000-0000-0000C82D0000}"/>
    <cellStyle name="20% - Accent5 2 10 3" xfId="8696" xr:uid="{00000000-0005-0000-0000-0000C92D0000}"/>
    <cellStyle name="20% - Accent5 2 10 4" xfId="15797" xr:uid="{00000000-0005-0000-0000-0000CA2D0000}"/>
    <cellStyle name="20% - Accent5 2 10 5" xfId="22899" xr:uid="{00000000-0005-0000-0000-0000CB2D0000}"/>
    <cellStyle name="20% - Accent5 2 10 6" xfId="30001" xr:uid="{00000000-0005-0000-0000-0000CC2D0000}"/>
    <cellStyle name="20% - Accent5 2 10 7" xfId="37470" xr:uid="{00000000-0005-0000-0000-0000CD2D0000}"/>
    <cellStyle name="20% - Accent5 2 11" xfId="4435" xr:uid="{00000000-0005-0000-0000-0000CE2D0000}"/>
    <cellStyle name="20% - Accent5 2 11 2" xfId="11536" xr:uid="{00000000-0005-0000-0000-0000CF2D0000}"/>
    <cellStyle name="20% - Accent5 2 11 3" xfId="18637" xr:uid="{00000000-0005-0000-0000-0000D02D0000}"/>
    <cellStyle name="20% - Accent5 2 11 4" xfId="25739" xr:uid="{00000000-0005-0000-0000-0000D12D0000}"/>
    <cellStyle name="20% - Accent5 2 11 5" xfId="32841" xr:uid="{00000000-0005-0000-0000-0000D22D0000}"/>
    <cellStyle name="20% - Accent5 2 11 6" xfId="37471" xr:uid="{00000000-0005-0000-0000-0000D32D0000}"/>
    <cellStyle name="20% - Accent5 2 12" xfId="3010" xr:uid="{00000000-0005-0000-0000-0000D42D0000}"/>
    <cellStyle name="20% - Accent5 2 12 2" xfId="10116" xr:uid="{00000000-0005-0000-0000-0000D52D0000}"/>
    <cellStyle name="20% - Accent5 2 12 3" xfId="17217" xr:uid="{00000000-0005-0000-0000-0000D62D0000}"/>
    <cellStyle name="20% - Accent5 2 12 4" xfId="24319" xr:uid="{00000000-0005-0000-0000-0000D72D0000}"/>
    <cellStyle name="20% - Accent5 2 12 5" xfId="31421" xr:uid="{00000000-0005-0000-0000-0000D82D0000}"/>
    <cellStyle name="20% - Accent5 2 13" xfId="7276" xr:uid="{00000000-0005-0000-0000-0000D92D0000}"/>
    <cellStyle name="20% - Accent5 2 14" xfId="14377" xr:uid="{00000000-0005-0000-0000-0000DA2D0000}"/>
    <cellStyle name="20% - Accent5 2 15" xfId="21479" xr:uid="{00000000-0005-0000-0000-0000DB2D0000}"/>
    <cellStyle name="20% - Accent5 2 16" xfId="28581" xr:uid="{00000000-0005-0000-0000-0000DC2D0000}"/>
    <cellStyle name="20% - Accent5 2 17" xfId="35683" xr:uid="{00000000-0005-0000-0000-0000DD2D0000}"/>
    <cellStyle name="20% - Accent5 2 18" xfId="37472" xr:uid="{00000000-0005-0000-0000-0000DE2D0000}"/>
    <cellStyle name="20% - Accent5 2 19" xfId="37473" xr:uid="{00000000-0005-0000-0000-0000DF2D0000}"/>
    <cellStyle name="20% - Accent5 2 2" xfId="126" xr:uid="{00000000-0005-0000-0000-0000E02D0000}"/>
    <cellStyle name="20% - Accent5 2 2 10" xfId="4466" xr:uid="{00000000-0005-0000-0000-0000E12D0000}"/>
    <cellStyle name="20% - Accent5 2 2 10 2" xfId="11567" xr:uid="{00000000-0005-0000-0000-0000E22D0000}"/>
    <cellStyle name="20% - Accent5 2 2 10 3" xfId="18668" xr:uid="{00000000-0005-0000-0000-0000E32D0000}"/>
    <cellStyle name="20% - Accent5 2 2 10 4" xfId="25770" xr:uid="{00000000-0005-0000-0000-0000E42D0000}"/>
    <cellStyle name="20% - Accent5 2 2 10 5" xfId="32872" xr:uid="{00000000-0005-0000-0000-0000E52D0000}"/>
    <cellStyle name="20% - Accent5 2 2 11" xfId="3041" xr:uid="{00000000-0005-0000-0000-0000E62D0000}"/>
    <cellStyle name="20% - Accent5 2 2 11 2" xfId="10147" xr:uid="{00000000-0005-0000-0000-0000E72D0000}"/>
    <cellStyle name="20% - Accent5 2 2 11 3" xfId="17248" xr:uid="{00000000-0005-0000-0000-0000E82D0000}"/>
    <cellStyle name="20% - Accent5 2 2 11 4" xfId="24350" xr:uid="{00000000-0005-0000-0000-0000E92D0000}"/>
    <cellStyle name="20% - Accent5 2 2 11 5" xfId="31452" xr:uid="{00000000-0005-0000-0000-0000EA2D0000}"/>
    <cellStyle name="20% - Accent5 2 2 12" xfId="7307" xr:uid="{00000000-0005-0000-0000-0000EB2D0000}"/>
    <cellStyle name="20% - Accent5 2 2 13" xfId="14408" xr:uid="{00000000-0005-0000-0000-0000EC2D0000}"/>
    <cellStyle name="20% - Accent5 2 2 14" xfId="21510" xr:uid="{00000000-0005-0000-0000-0000ED2D0000}"/>
    <cellStyle name="20% - Accent5 2 2 15" xfId="28612" xr:uid="{00000000-0005-0000-0000-0000EE2D0000}"/>
    <cellStyle name="20% - Accent5 2 2 16" xfId="35714" xr:uid="{00000000-0005-0000-0000-0000EF2D0000}"/>
    <cellStyle name="20% - Accent5 2 2 17" xfId="37474" xr:uid="{00000000-0005-0000-0000-0000F02D0000}"/>
    <cellStyle name="20% - Accent5 2 2 18" xfId="37475" xr:uid="{00000000-0005-0000-0000-0000F12D0000}"/>
    <cellStyle name="20% - Accent5 2 2 2" xfId="270" xr:uid="{00000000-0005-0000-0000-0000F22D0000}"/>
    <cellStyle name="20% - Accent5 2 2 2 10" xfId="7449" xr:uid="{00000000-0005-0000-0000-0000F32D0000}"/>
    <cellStyle name="20% - Accent5 2 2 2 11" xfId="14550" xr:uid="{00000000-0005-0000-0000-0000F42D0000}"/>
    <cellStyle name="20% - Accent5 2 2 2 12" xfId="21652" xr:uid="{00000000-0005-0000-0000-0000F52D0000}"/>
    <cellStyle name="20% - Accent5 2 2 2 13" xfId="28754" xr:uid="{00000000-0005-0000-0000-0000F62D0000}"/>
    <cellStyle name="20% - Accent5 2 2 2 14" xfId="35856" xr:uid="{00000000-0005-0000-0000-0000F72D0000}"/>
    <cellStyle name="20% - Accent5 2 2 2 15" xfId="37476" xr:uid="{00000000-0005-0000-0000-0000F82D0000}"/>
    <cellStyle name="20% - Accent5 2 2 2 2" xfId="483" xr:uid="{00000000-0005-0000-0000-0000F92D0000}"/>
    <cellStyle name="20% - Accent5 2 2 2 2 10" xfId="37477" xr:uid="{00000000-0005-0000-0000-0000FA2D0000}"/>
    <cellStyle name="20% - Accent5 2 2 2 2 2" xfId="1264" xr:uid="{00000000-0005-0000-0000-0000FB2D0000}"/>
    <cellStyle name="20% - Accent5 2 2 2 2 2 2" xfId="2755" xr:uid="{00000000-0005-0000-0000-0000FC2D0000}"/>
    <cellStyle name="20% - Accent5 2 2 2 2 2 2 2" xfId="7023" xr:uid="{00000000-0005-0000-0000-0000FD2D0000}"/>
    <cellStyle name="20% - Accent5 2 2 2 2 2 2 2 2" xfId="14123" xr:uid="{00000000-0005-0000-0000-0000FE2D0000}"/>
    <cellStyle name="20% - Accent5 2 2 2 2 2 2 2 3" xfId="21224" xr:uid="{00000000-0005-0000-0000-0000FF2D0000}"/>
    <cellStyle name="20% - Accent5 2 2 2 2 2 2 2 4" xfId="28326" xr:uid="{00000000-0005-0000-0000-0000002E0000}"/>
    <cellStyle name="20% - Accent5 2 2 2 2 2 2 2 5" xfId="35428" xr:uid="{00000000-0005-0000-0000-0000012E0000}"/>
    <cellStyle name="20% - Accent5 2 2 2 2 2 2 3" xfId="9863" xr:uid="{00000000-0005-0000-0000-0000022E0000}"/>
    <cellStyle name="20% - Accent5 2 2 2 2 2 2 4" xfId="16964" xr:uid="{00000000-0005-0000-0000-0000032E0000}"/>
    <cellStyle name="20% - Accent5 2 2 2 2 2 2 5" xfId="24066" xr:uid="{00000000-0005-0000-0000-0000042E0000}"/>
    <cellStyle name="20% - Accent5 2 2 2 2 2 2 6" xfId="31168" xr:uid="{00000000-0005-0000-0000-0000052E0000}"/>
    <cellStyle name="20% - Accent5 2 2 2 2 2 2 7" xfId="37478" xr:uid="{00000000-0005-0000-0000-0000062E0000}"/>
    <cellStyle name="20% - Accent5 2 2 2 2 2 3" xfId="5602" xr:uid="{00000000-0005-0000-0000-0000072E0000}"/>
    <cellStyle name="20% - Accent5 2 2 2 2 2 3 2" xfId="12703" xr:uid="{00000000-0005-0000-0000-0000082E0000}"/>
    <cellStyle name="20% - Accent5 2 2 2 2 2 3 3" xfId="19804" xr:uid="{00000000-0005-0000-0000-0000092E0000}"/>
    <cellStyle name="20% - Accent5 2 2 2 2 2 3 4" xfId="26906" xr:uid="{00000000-0005-0000-0000-00000A2E0000}"/>
    <cellStyle name="20% - Accent5 2 2 2 2 2 3 5" xfId="34008" xr:uid="{00000000-0005-0000-0000-00000B2E0000}"/>
    <cellStyle name="20% - Accent5 2 2 2 2 2 4" xfId="4177" xr:uid="{00000000-0005-0000-0000-00000C2E0000}"/>
    <cellStyle name="20% - Accent5 2 2 2 2 2 4 2" xfId="11283" xr:uid="{00000000-0005-0000-0000-00000D2E0000}"/>
    <cellStyle name="20% - Accent5 2 2 2 2 2 4 3" xfId="18384" xr:uid="{00000000-0005-0000-0000-00000E2E0000}"/>
    <cellStyle name="20% - Accent5 2 2 2 2 2 4 4" xfId="25486" xr:uid="{00000000-0005-0000-0000-00000F2E0000}"/>
    <cellStyle name="20% - Accent5 2 2 2 2 2 4 5" xfId="32588" xr:uid="{00000000-0005-0000-0000-0000102E0000}"/>
    <cellStyle name="20% - Accent5 2 2 2 2 2 5" xfId="8443" xr:uid="{00000000-0005-0000-0000-0000112E0000}"/>
    <cellStyle name="20% - Accent5 2 2 2 2 2 6" xfId="15544" xr:uid="{00000000-0005-0000-0000-0000122E0000}"/>
    <cellStyle name="20% - Accent5 2 2 2 2 2 7" xfId="22646" xr:uid="{00000000-0005-0000-0000-0000132E0000}"/>
    <cellStyle name="20% - Accent5 2 2 2 2 2 8" xfId="29748" xr:uid="{00000000-0005-0000-0000-0000142E0000}"/>
    <cellStyle name="20% - Accent5 2 2 2 2 2 9" xfId="37479" xr:uid="{00000000-0005-0000-0000-0000152E0000}"/>
    <cellStyle name="20% - Accent5 2 2 2 2 3" xfId="1974" xr:uid="{00000000-0005-0000-0000-0000162E0000}"/>
    <cellStyle name="20% - Accent5 2 2 2 2 3 2" xfId="6242" xr:uid="{00000000-0005-0000-0000-0000172E0000}"/>
    <cellStyle name="20% - Accent5 2 2 2 2 3 2 2" xfId="13342" xr:uid="{00000000-0005-0000-0000-0000182E0000}"/>
    <cellStyle name="20% - Accent5 2 2 2 2 3 2 3" xfId="20443" xr:uid="{00000000-0005-0000-0000-0000192E0000}"/>
    <cellStyle name="20% - Accent5 2 2 2 2 3 2 4" xfId="27545" xr:uid="{00000000-0005-0000-0000-00001A2E0000}"/>
    <cellStyle name="20% - Accent5 2 2 2 2 3 2 5" xfId="34647" xr:uid="{00000000-0005-0000-0000-00001B2E0000}"/>
    <cellStyle name="20% - Accent5 2 2 2 2 3 2 6" xfId="37480" xr:uid="{00000000-0005-0000-0000-00001C2E0000}"/>
    <cellStyle name="20% - Accent5 2 2 2 2 3 3" xfId="9082" xr:uid="{00000000-0005-0000-0000-00001D2E0000}"/>
    <cellStyle name="20% - Accent5 2 2 2 2 3 4" xfId="16183" xr:uid="{00000000-0005-0000-0000-00001E2E0000}"/>
    <cellStyle name="20% - Accent5 2 2 2 2 3 5" xfId="23285" xr:uid="{00000000-0005-0000-0000-00001F2E0000}"/>
    <cellStyle name="20% - Accent5 2 2 2 2 3 6" xfId="30387" xr:uid="{00000000-0005-0000-0000-0000202E0000}"/>
    <cellStyle name="20% - Accent5 2 2 2 2 3 7" xfId="37481" xr:uid="{00000000-0005-0000-0000-0000212E0000}"/>
    <cellStyle name="20% - Accent5 2 2 2 2 4" xfId="4821" xr:uid="{00000000-0005-0000-0000-0000222E0000}"/>
    <cellStyle name="20% - Accent5 2 2 2 2 4 2" xfId="11922" xr:uid="{00000000-0005-0000-0000-0000232E0000}"/>
    <cellStyle name="20% - Accent5 2 2 2 2 4 3" xfId="19023" xr:uid="{00000000-0005-0000-0000-0000242E0000}"/>
    <cellStyle name="20% - Accent5 2 2 2 2 4 4" xfId="26125" xr:uid="{00000000-0005-0000-0000-0000252E0000}"/>
    <cellStyle name="20% - Accent5 2 2 2 2 4 5" xfId="33227" xr:uid="{00000000-0005-0000-0000-0000262E0000}"/>
    <cellStyle name="20% - Accent5 2 2 2 2 4 6" xfId="37482" xr:uid="{00000000-0005-0000-0000-0000272E0000}"/>
    <cellStyle name="20% - Accent5 2 2 2 2 5" xfId="3396" xr:uid="{00000000-0005-0000-0000-0000282E0000}"/>
    <cellStyle name="20% - Accent5 2 2 2 2 5 2" xfId="10502" xr:uid="{00000000-0005-0000-0000-0000292E0000}"/>
    <cellStyle name="20% - Accent5 2 2 2 2 5 3" xfId="17603" xr:uid="{00000000-0005-0000-0000-00002A2E0000}"/>
    <cellStyle name="20% - Accent5 2 2 2 2 5 4" xfId="24705" xr:uid="{00000000-0005-0000-0000-00002B2E0000}"/>
    <cellStyle name="20% - Accent5 2 2 2 2 5 5" xfId="31807" xr:uid="{00000000-0005-0000-0000-00002C2E0000}"/>
    <cellStyle name="20% - Accent5 2 2 2 2 6" xfId="7662" xr:uid="{00000000-0005-0000-0000-00002D2E0000}"/>
    <cellStyle name="20% - Accent5 2 2 2 2 7" xfId="14763" xr:uid="{00000000-0005-0000-0000-00002E2E0000}"/>
    <cellStyle name="20% - Accent5 2 2 2 2 8" xfId="21865" xr:uid="{00000000-0005-0000-0000-00002F2E0000}"/>
    <cellStyle name="20% - Accent5 2 2 2 2 9" xfId="28967" xr:uid="{00000000-0005-0000-0000-0000302E0000}"/>
    <cellStyle name="20% - Accent5 2 2 2 3" xfId="696" xr:uid="{00000000-0005-0000-0000-0000312E0000}"/>
    <cellStyle name="20% - Accent5 2 2 2 3 2" xfId="2187" xr:uid="{00000000-0005-0000-0000-0000322E0000}"/>
    <cellStyle name="20% - Accent5 2 2 2 3 2 2" xfId="6455" xr:uid="{00000000-0005-0000-0000-0000332E0000}"/>
    <cellStyle name="20% - Accent5 2 2 2 3 2 2 2" xfId="13555" xr:uid="{00000000-0005-0000-0000-0000342E0000}"/>
    <cellStyle name="20% - Accent5 2 2 2 3 2 2 3" xfId="20656" xr:uid="{00000000-0005-0000-0000-0000352E0000}"/>
    <cellStyle name="20% - Accent5 2 2 2 3 2 2 4" xfId="27758" xr:uid="{00000000-0005-0000-0000-0000362E0000}"/>
    <cellStyle name="20% - Accent5 2 2 2 3 2 2 5" xfId="34860" xr:uid="{00000000-0005-0000-0000-0000372E0000}"/>
    <cellStyle name="20% - Accent5 2 2 2 3 2 2 6" xfId="37483" xr:uid="{00000000-0005-0000-0000-0000382E0000}"/>
    <cellStyle name="20% - Accent5 2 2 2 3 2 3" xfId="9295" xr:uid="{00000000-0005-0000-0000-0000392E0000}"/>
    <cellStyle name="20% - Accent5 2 2 2 3 2 4" xfId="16396" xr:uid="{00000000-0005-0000-0000-00003A2E0000}"/>
    <cellStyle name="20% - Accent5 2 2 2 3 2 5" xfId="23498" xr:uid="{00000000-0005-0000-0000-00003B2E0000}"/>
    <cellStyle name="20% - Accent5 2 2 2 3 2 6" xfId="30600" xr:uid="{00000000-0005-0000-0000-00003C2E0000}"/>
    <cellStyle name="20% - Accent5 2 2 2 3 2 7" xfId="37484" xr:uid="{00000000-0005-0000-0000-00003D2E0000}"/>
    <cellStyle name="20% - Accent5 2 2 2 3 3" xfId="5034" xr:uid="{00000000-0005-0000-0000-00003E2E0000}"/>
    <cellStyle name="20% - Accent5 2 2 2 3 3 2" xfId="12135" xr:uid="{00000000-0005-0000-0000-00003F2E0000}"/>
    <cellStyle name="20% - Accent5 2 2 2 3 3 2 2" xfId="37485" xr:uid="{00000000-0005-0000-0000-0000402E0000}"/>
    <cellStyle name="20% - Accent5 2 2 2 3 3 3" xfId="19236" xr:uid="{00000000-0005-0000-0000-0000412E0000}"/>
    <cellStyle name="20% - Accent5 2 2 2 3 3 4" xfId="26338" xr:uid="{00000000-0005-0000-0000-0000422E0000}"/>
    <cellStyle name="20% - Accent5 2 2 2 3 3 5" xfId="33440" xr:uid="{00000000-0005-0000-0000-0000432E0000}"/>
    <cellStyle name="20% - Accent5 2 2 2 3 3 6" xfId="37486" xr:uid="{00000000-0005-0000-0000-0000442E0000}"/>
    <cellStyle name="20% - Accent5 2 2 2 3 4" xfId="3609" xr:uid="{00000000-0005-0000-0000-0000452E0000}"/>
    <cellStyle name="20% - Accent5 2 2 2 3 4 2" xfId="10715" xr:uid="{00000000-0005-0000-0000-0000462E0000}"/>
    <cellStyle name="20% - Accent5 2 2 2 3 4 3" xfId="17816" xr:uid="{00000000-0005-0000-0000-0000472E0000}"/>
    <cellStyle name="20% - Accent5 2 2 2 3 4 4" xfId="24918" xr:uid="{00000000-0005-0000-0000-0000482E0000}"/>
    <cellStyle name="20% - Accent5 2 2 2 3 4 5" xfId="32020" xr:uid="{00000000-0005-0000-0000-0000492E0000}"/>
    <cellStyle name="20% - Accent5 2 2 2 3 4 6" xfId="37487" xr:uid="{00000000-0005-0000-0000-00004A2E0000}"/>
    <cellStyle name="20% - Accent5 2 2 2 3 5" xfId="7875" xr:uid="{00000000-0005-0000-0000-00004B2E0000}"/>
    <cellStyle name="20% - Accent5 2 2 2 3 6" xfId="14976" xr:uid="{00000000-0005-0000-0000-00004C2E0000}"/>
    <cellStyle name="20% - Accent5 2 2 2 3 7" xfId="22078" xr:uid="{00000000-0005-0000-0000-00004D2E0000}"/>
    <cellStyle name="20% - Accent5 2 2 2 3 8" xfId="29180" xr:uid="{00000000-0005-0000-0000-00004E2E0000}"/>
    <cellStyle name="20% - Accent5 2 2 2 3 9" xfId="37488" xr:uid="{00000000-0005-0000-0000-00004F2E0000}"/>
    <cellStyle name="20% - Accent5 2 2 2 4" xfId="909" xr:uid="{00000000-0005-0000-0000-0000502E0000}"/>
    <cellStyle name="20% - Accent5 2 2 2 4 2" xfId="2400" xr:uid="{00000000-0005-0000-0000-0000512E0000}"/>
    <cellStyle name="20% - Accent5 2 2 2 4 2 2" xfId="6668" xr:uid="{00000000-0005-0000-0000-0000522E0000}"/>
    <cellStyle name="20% - Accent5 2 2 2 4 2 2 2" xfId="13768" xr:uid="{00000000-0005-0000-0000-0000532E0000}"/>
    <cellStyle name="20% - Accent5 2 2 2 4 2 2 3" xfId="20869" xr:uid="{00000000-0005-0000-0000-0000542E0000}"/>
    <cellStyle name="20% - Accent5 2 2 2 4 2 2 4" xfId="27971" xr:uid="{00000000-0005-0000-0000-0000552E0000}"/>
    <cellStyle name="20% - Accent5 2 2 2 4 2 2 5" xfId="35073" xr:uid="{00000000-0005-0000-0000-0000562E0000}"/>
    <cellStyle name="20% - Accent5 2 2 2 4 2 2 6" xfId="37489" xr:uid="{00000000-0005-0000-0000-0000572E0000}"/>
    <cellStyle name="20% - Accent5 2 2 2 4 2 3" xfId="9508" xr:uid="{00000000-0005-0000-0000-0000582E0000}"/>
    <cellStyle name="20% - Accent5 2 2 2 4 2 4" xfId="16609" xr:uid="{00000000-0005-0000-0000-0000592E0000}"/>
    <cellStyle name="20% - Accent5 2 2 2 4 2 5" xfId="23711" xr:uid="{00000000-0005-0000-0000-00005A2E0000}"/>
    <cellStyle name="20% - Accent5 2 2 2 4 2 6" xfId="30813" xr:uid="{00000000-0005-0000-0000-00005B2E0000}"/>
    <cellStyle name="20% - Accent5 2 2 2 4 2 7" xfId="37490" xr:uid="{00000000-0005-0000-0000-00005C2E0000}"/>
    <cellStyle name="20% - Accent5 2 2 2 4 3" xfId="5247" xr:uid="{00000000-0005-0000-0000-00005D2E0000}"/>
    <cellStyle name="20% - Accent5 2 2 2 4 3 2" xfId="12348" xr:uid="{00000000-0005-0000-0000-00005E2E0000}"/>
    <cellStyle name="20% - Accent5 2 2 2 4 3 2 2" xfId="37491" xr:uid="{00000000-0005-0000-0000-00005F2E0000}"/>
    <cellStyle name="20% - Accent5 2 2 2 4 3 3" xfId="19449" xr:uid="{00000000-0005-0000-0000-0000602E0000}"/>
    <cellStyle name="20% - Accent5 2 2 2 4 3 4" xfId="26551" xr:uid="{00000000-0005-0000-0000-0000612E0000}"/>
    <cellStyle name="20% - Accent5 2 2 2 4 3 5" xfId="33653" xr:uid="{00000000-0005-0000-0000-0000622E0000}"/>
    <cellStyle name="20% - Accent5 2 2 2 4 3 6" xfId="37492" xr:uid="{00000000-0005-0000-0000-0000632E0000}"/>
    <cellStyle name="20% - Accent5 2 2 2 4 4" xfId="3822" xr:uid="{00000000-0005-0000-0000-0000642E0000}"/>
    <cellStyle name="20% - Accent5 2 2 2 4 4 2" xfId="10928" xr:uid="{00000000-0005-0000-0000-0000652E0000}"/>
    <cellStyle name="20% - Accent5 2 2 2 4 4 3" xfId="18029" xr:uid="{00000000-0005-0000-0000-0000662E0000}"/>
    <cellStyle name="20% - Accent5 2 2 2 4 4 4" xfId="25131" xr:uid="{00000000-0005-0000-0000-0000672E0000}"/>
    <cellStyle name="20% - Accent5 2 2 2 4 4 5" xfId="32233" xr:uid="{00000000-0005-0000-0000-0000682E0000}"/>
    <cellStyle name="20% - Accent5 2 2 2 4 4 6" xfId="37493" xr:uid="{00000000-0005-0000-0000-0000692E0000}"/>
    <cellStyle name="20% - Accent5 2 2 2 4 5" xfId="8088" xr:uid="{00000000-0005-0000-0000-00006A2E0000}"/>
    <cellStyle name="20% - Accent5 2 2 2 4 6" xfId="15189" xr:uid="{00000000-0005-0000-0000-00006B2E0000}"/>
    <cellStyle name="20% - Accent5 2 2 2 4 7" xfId="22291" xr:uid="{00000000-0005-0000-0000-00006C2E0000}"/>
    <cellStyle name="20% - Accent5 2 2 2 4 8" xfId="29393" xr:uid="{00000000-0005-0000-0000-00006D2E0000}"/>
    <cellStyle name="20% - Accent5 2 2 2 4 9" xfId="37494" xr:uid="{00000000-0005-0000-0000-00006E2E0000}"/>
    <cellStyle name="20% - Accent5 2 2 2 5" xfId="1051" xr:uid="{00000000-0005-0000-0000-00006F2E0000}"/>
    <cellStyle name="20% - Accent5 2 2 2 5 2" xfId="2542" xr:uid="{00000000-0005-0000-0000-0000702E0000}"/>
    <cellStyle name="20% - Accent5 2 2 2 5 2 2" xfId="6810" xr:uid="{00000000-0005-0000-0000-0000712E0000}"/>
    <cellStyle name="20% - Accent5 2 2 2 5 2 2 2" xfId="13910" xr:uid="{00000000-0005-0000-0000-0000722E0000}"/>
    <cellStyle name="20% - Accent5 2 2 2 5 2 2 3" xfId="21011" xr:uid="{00000000-0005-0000-0000-0000732E0000}"/>
    <cellStyle name="20% - Accent5 2 2 2 5 2 2 4" xfId="28113" xr:uid="{00000000-0005-0000-0000-0000742E0000}"/>
    <cellStyle name="20% - Accent5 2 2 2 5 2 2 5" xfId="35215" xr:uid="{00000000-0005-0000-0000-0000752E0000}"/>
    <cellStyle name="20% - Accent5 2 2 2 5 2 3" xfId="9650" xr:uid="{00000000-0005-0000-0000-0000762E0000}"/>
    <cellStyle name="20% - Accent5 2 2 2 5 2 4" xfId="16751" xr:uid="{00000000-0005-0000-0000-0000772E0000}"/>
    <cellStyle name="20% - Accent5 2 2 2 5 2 5" xfId="23853" xr:uid="{00000000-0005-0000-0000-0000782E0000}"/>
    <cellStyle name="20% - Accent5 2 2 2 5 2 6" xfId="30955" xr:uid="{00000000-0005-0000-0000-0000792E0000}"/>
    <cellStyle name="20% - Accent5 2 2 2 5 2 7" xfId="37495" xr:uid="{00000000-0005-0000-0000-00007A2E0000}"/>
    <cellStyle name="20% - Accent5 2 2 2 5 3" xfId="5389" xr:uid="{00000000-0005-0000-0000-00007B2E0000}"/>
    <cellStyle name="20% - Accent5 2 2 2 5 3 2" xfId="12490" xr:uid="{00000000-0005-0000-0000-00007C2E0000}"/>
    <cellStyle name="20% - Accent5 2 2 2 5 3 3" xfId="19591" xr:uid="{00000000-0005-0000-0000-00007D2E0000}"/>
    <cellStyle name="20% - Accent5 2 2 2 5 3 4" xfId="26693" xr:uid="{00000000-0005-0000-0000-00007E2E0000}"/>
    <cellStyle name="20% - Accent5 2 2 2 5 3 5" xfId="33795" xr:uid="{00000000-0005-0000-0000-00007F2E0000}"/>
    <cellStyle name="20% - Accent5 2 2 2 5 4" xfId="3964" xr:uid="{00000000-0005-0000-0000-0000802E0000}"/>
    <cellStyle name="20% - Accent5 2 2 2 5 4 2" xfId="11070" xr:uid="{00000000-0005-0000-0000-0000812E0000}"/>
    <cellStyle name="20% - Accent5 2 2 2 5 4 3" xfId="18171" xr:uid="{00000000-0005-0000-0000-0000822E0000}"/>
    <cellStyle name="20% - Accent5 2 2 2 5 4 4" xfId="25273" xr:uid="{00000000-0005-0000-0000-0000832E0000}"/>
    <cellStyle name="20% - Accent5 2 2 2 5 4 5" xfId="32375" xr:uid="{00000000-0005-0000-0000-0000842E0000}"/>
    <cellStyle name="20% - Accent5 2 2 2 5 5" xfId="8230" xr:uid="{00000000-0005-0000-0000-0000852E0000}"/>
    <cellStyle name="20% - Accent5 2 2 2 5 6" xfId="15331" xr:uid="{00000000-0005-0000-0000-0000862E0000}"/>
    <cellStyle name="20% - Accent5 2 2 2 5 7" xfId="22433" xr:uid="{00000000-0005-0000-0000-0000872E0000}"/>
    <cellStyle name="20% - Accent5 2 2 2 5 8" xfId="29535" xr:uid="{00000000-0005-0000-0000-0000882E0000}"/>
    <cellStyle name="20% - Accent5 2 2 2 5 9" xfId="37496" xr:uid="{00000000-0005-0000-0000-0000892E0000}"/>
    <cellStyle name="20% - Accent5 2 2 2 6" xfId="1477" xr:uid="{00000000-0005-0000-0000-00008A2E0000}"/>
    <cellStyle name="20% - Accent5 2 2 2 6 2" xfId="2968" xr:uid="{00000000-0005-0000-0000-00008B2E0000}"/>
    <cellStyle name="20% - Accent5 2 2 2 6 2 2" xfId="7236" xr:uid="{00000000-0005-0000-0000-00008C2E0000}"/>
    <cellStyle name="20% - Accent5 2 2 2 6 2 2 2" xfId="14336" xr:uid="{00000000-0005-0000-0000-00008D2E0000}"/>
    <cellStyle name="20% - Accent5 2 2 2 6 2 2 3" xfId="21437" xr:uid="{00000000-0005-0000-0000-00008E2E0000}"/>
    <cellStyle name="20% - Accent5 2 2 2 6 2 2 4" xfId="28539" xr:uid="{00000000-0005-0000-0000-00008F2E0000}"/>
    <cellStyle name="20% - Accent5 2 2 2 6 2 2 5" xfId="35641" xr:uid="{00000000-0005-0000-0000-0000902E0000}"/>
    <cellStyle name="20% - Accent5 2 2 2 6 2 3" xfId="10076" xr:uid="{00000000-0005-0000-0000-0000912E0000}"/>
    <cellStyle name="20% - Accent5 2 2 2 6 2 4" xfId="17177" xr:uid="{00000000-0005-0000-0000-0000922E0000}"/>
    <cellStyle name="20% - Accent5 2 2 2 6 2 5" xfId="24279" xr:uid="{00000000-0005-0000-0000-0000932E0000}"/>
    <cellStyle name="20% - Accent5 2 2 2 6 2 6" xfId="31381" xr:uid="{00000000-0005-0000-0000-0000942E0000}"/>
    <cellStyle name="20% - Accent5 2 2 2 6 2 7" xfId="37497" xr:uid="{00000000-0005-0000-0000-0000952E0000}"/>
    <cellStyle name="20% - Accent5 2 2 2 6 3" xfId="5815" xr:uid="{00000000-0005-0000-0000-0000962E0000}"/>
    <cellStyle name="20% - Accent5 2 2 2 6 3 2" xfId="12916" xr:uid="{00000000-0005-0000-0000-0000972E0000}"/>
    <cellStyle name="20% - Accent5 2 2 2 6 3 3" xfId="20017" xr:uid="{00000000-0005-0000-0000-0000982E0000}"/>
    <cellStyle name="20% - Accent5 2 2 2 6 3 4" xfId="27119" xr:uid="{00000000-0005-0000-0000-0000992E0000}"/>
    <cellStyle name="20% - Accent5 2 2 2 6 3 5" xfId="34221" xr:uid="{00000000-0005-0000-0000-00009A2E0000}"/>
    <cellStyle name="20% - Accent5 2 2 2 6 4" xfId="4390" xr:uid="{00000000-0005-0000-0000-00009B2E0000}"/>
    <cellStyle name="20% - Accent5 2 2 2 6 4 2" xfId="11496" xr:uid="{00000000-0005-0000-0000-00009C2E0000}"/>
    <cellStyle name="20% - Accent5 2 2 2 6 4 3" xfId="18597" xr:uid="{00000000-0005-0000-0000-00009D2E0000}"/>
    <cellStyle name="20% - Accent5 2 2 2 6 4 4" xfId="25699" xr:uid="{00000000-0005-0000-0000-00009E2E0000}"/>
    <cellStyle name="20% - Accent5 2 2 2 6 4 5" xfId="32801" xr:uid="{00000000-0005-0000-0000-00009F2E0000}"/>
    <cellStyle name="20% - Accent5 2 2 2 6 5" xfId="8656" xr:uid="{00000000-0005-0000-0000-0000A02E0000}"/>
    <cellStyle name="20% - Accent5 2 2 2 6 6" xfId="15757" xr:uid="{00000000-0005-0000-0000-0000A12E0000}"/>
    <cellStyle name="20% - Accent5 2 2 2 6 7" xfId="22859" xr:uid="{00000000-0005-0000-0000-0000A22E0000}"/>
    <cellStyle name="20% - Accent5 2 2 2 6 8" xfId="29961" xr:uid="{00000000-0005-0000-0000-0000A32E0000}"/>
    <cellStyle name="20% - Accent5 2 2 2 6 9" xfId="37498" xr:uid="{00000000-0005-0000-0000-0000A42E0000}"/>
    <cellStyle name="20% - Accent5 2 2 2 7" xfId="1761" xr:uid="{00000000-0005-0000-0000-0000A52E0000}"/>
    <cellStyle name="20% - Accent5 2 2 2 7 2" xfId="6029" xr:uid="{00000000-0005-0000-0000-0000A62E0000}"/>
    <cellStyle name="20% - Accent5 2 2 2 7 2 2" xfId="13129" xr:uid="{00000000-0005-0000-0000-0000A72E0000}"/>
    <cellStyle name="20% - Accent5 2 2 2 7 2 3" xfId="20230" xr:uid="{00000000-0005-0000-0000-0000A82E0000}"/>
    <cellStyle name="20% - Accent5 2 2 2 7 2 4" xfId="27332" xr:uid="{00000000-0005-0000-0000-0000A92E0000}"/>
    <cellStyle name="20% - Accent5 2 2 2 7 2 5" xfId="34434" xr:uid="{00000000-0005-0000-0000-0000AA2E0000}"/>
    <cellStyle name="20% - Accent5 2 2 2 7 3" xfId="8869" xr:uid="{00000000-0005-0000-0000-0000AB2E0000}"/>
    <cellStyle name="20% - Accent5 2 2 2 7 4" xfId="15970" xr:uid="{00000000-0005-0000-0000-0000AC2E0000}"/>
    <cellStyle name="20% - Accent5 2 2 2 7 5" xfId="23072" xr:uid="{00000000-0005-0000-0000-0000AD2E0000}"/>
    <cellStyle name="20% - Accent5 2 2 2 7 6" xfId="30174" xr:uid="{00000000-0005-0000-0000-0000AE2E0000}"/>
    <cellStyle name="20% - Accent5 2 2 2 7 7" xfId="37499" xr:uid="{00000000-0005-0000-0000-0000AF2E0000}"/>
    <cellStyle name="20% - Accent5 2 2 2 8" xfId="4608" xr:uid="{00000000-0005-0000-0000-0000B02E0000}"/>
    <cellStyle name="20% - Accent5 2 2 2 8 2" xfId="11709" xr:uid="{00000000-0005-0000-0000-0000B12E0000}"/>
    <cellStyle name="20% - Accent5 2 2 2 8 3" xfId="18810" xr:uid="{00000000-0005-0000-0000-0000B22E0000}"/>
    <cellStyle name="20% - Accent5 2 2 2 8 4" xfId="25912" xr:uid="{00000000-0005-0000-0000-0000B32E0000}"/>
    <cellStyle name="20% - Accent5 2 2 2 8 5" xfId="33014" xr:uid="{00000000-0005-0000-0000-0000B42E0000}"/>
    <cellStyle name="20% - Accent5 2 2 2 9" xfId="3183" xr:uid="{00000000-0005-0000-0000-0000B52E0000}"/>
    <cellStyle name="20% - Accent5 2 2 2 9 2" xfId="10289" xr:uid="{00000000-0005-0000-0000-0000B62E0000}"/>
    <cellStyle name="20% - Accent5 2 2 2 9 3" xfId="17390" xr:uid="{00000000-0005-0000-0000-0000B72E0000}"/>
    <cellStyle name="20% - Accent5 2 2 2 9 4" xfId="24492" xr:uid="{00000000-0005-0000-0000-0000B82E0000}"/>
    <cellStyle name="20% - Accent5 2 2 2 9 5" xfId="31594" xr:uid="{00000000-0005-0000-0000-0000B92E0000}"/>
    <cellStyle name="20% - Accent5 2 2 3" xfId="199" xr:uid="{00000000-0005-0000-0000-0000BA2E0000}"/>
    <cellStyle name="20% - Accent5 2 2 3 10" xfId="7378" xr:uid="{00000000-0005-0000-0000-0000BB2E0000}"/>
    <cellStyle name="20% - Accent5 2 2 3 11" xfId="14479" xr:uid="{00000000-0005-0000-0000-0000BC2E0000}"/>
    <cellStyle name="20% - Accent5 2 2 3 12" xfId="21581" xr:uid="{00000000-0005-0000-0000-0000BD2E0000}"/>
    <cellStyle name="20% - Accent5 2 2 3 13" xfId="28683" xr:uid="{00000000-0005-0000-0000-0000BE2E0000}"/>
    <cellStyle name="20% - Accent5 2 2 3 14" xfId="35785" xr:uid="{00000000-0005-0000-0000-0000BF2E0000}"/>
    <cellStyle name="20% - Accent5 2 2 3 15" xfId="37500" xr:uid="{00000000-0005-0000-0000-0000C02E0000}"/>
    <cellStyle name="20% - Accent5 2 2 3 2" xfId="412" xr:uid="{00000000-0005-0000-0000-0000C12E0000}"/>
    <cellStyle name="20% - Accent5 2 2 3 2 2" xfId="1903" xr:uid="{00000000-0005-0000-0000-0000C22E0000}"/>
    <cellStyle name="20% - Accent5 2 2 3 2 2 2" xfId="6171" xr:uid="{00000000-0005-0000-0000-0000C32E0000}"/>
    <cellStyle name="20% - Accent5 2 2 3 2 2 2 2" xfId="13271" xr:uid="{00000000-0005-0000-0000-0000C42E0000}"/>
    <cellStyle name="20% - Accent5 2 2 3 2 2 2 3" xfId="20372" xr:uid="{00000000-0005-0000-0000-0000C52E0000}"/>
    <cellStyle name="20% - Accent5 2 2 3 2 2 2 4" xfId="27474" xr:uid="{00000000-0005-0000-0000-0000C62E0000}"/>
    <cellStyle name="20% - Accent5 2 2 3 2 2 2 5" xfId="34576" xr:uid="{00000000-0005-0000-0000-0000C72E0000}"/>
    <cellStyle name="20% - Accent5 2 2 3 2 2 2 6" xfId="37501" xr:uid="{00000000-0005-0000-0000-0000C82E0000}"/>
    <cellStyle name="20% - Accent5 2 2 3 2 2 3" xfId="9011" xr:uid="{00000000-0005-0000-0000-0000C92E0000}"/>
    <cellStyle name="20% - Accent5 2 2 3 2 2 4" xfId="16112" xr:uid="{00000000-0005-0000-0000-0000CA2E0000}"/>
    <cellStyle name="20% - Accent5 2 2 3 2 2 5" xfId="23214" xr:uid="{00000000-0005-0000-0000-0000CB2E0000}"/>
    <cellStyle name="20% - Accent5 2 2 3 2 2 6" xfId="30316" xr:uid="{00000000-0005-0000-0000-0000CC2E0000}"/>
    <cellStyle name="20% - Accent5 2 2 3 2 2 7" xfId="37502" xr:uid="{00000000-0005-0000-0000-0000CD2E0000}"/>
    <cellStyle name="20% - Accent5 2 2 3 2 3" xfId="4750" xr:uid="{00000000-0005-0000-0000-0000CE2E0000}"/>
    <cellStyle name="20% - Accent5 2 2 3 2 3 2" xfId="11851" xr:uid="{00000000-0005-0000-0000-0000CF2E0000}"/>
    <cellStyle name="20% - Accent5 2 2 3 2 3 2 2" xfId="37503" xr:uid="{00000000-0005-0000-0000-0000D02E0000}"/>
    <cellStyle name="20% - Accent5 2 2 3 2 3 3" xfId="18952" xr:uid="{00000000-0005-0000-0000-0000D12E0000}"/>
    <cellStyle name="20% - Accent5 2 2 3 2 3 4" xfId="26054" xr:uid="{00000000-0005-0000-0000-0000D22E0000}"/>
    <cellStyle name="20% - Accent5 2 2 3 2 3 5" xfId="33156" xr:uid="{00000000-0005-0000-0000-0000D32E0000}"/>
    <cellStyle name="20% - Accent5 2 2 3 2 3 6" xfId="37504" xr:uid="{00000000-0005-0000-0000-0000D42E0000}"/>
    <cellStyle name="20% - Accent5 2 2 3 2 4" xfId="3325" xr:uid="{00000000-0005-0000-0000-0000D52E0000}"/>
    <cellStyle name="20% - Accent5 2 2 3 2 4 2" xfId="10431" xr:uid="{00000000-0005-0000-0000-0000D62E0000}"/>
    <cellStyle name="20% - Accent5 2 2 3 2 4 3" xfId="17532" xr:uid="{00000000-0005-0000-0000-0000D72E0000}"/>
    <cellStyle name="20% - Accent5 2 2 3 2 4 4" xfId="24634" xr:uid="{00000000-0005-0000-0000-0000D82E0000}"/>
    <cellStyle name="20% - Accent5 2 2 3 2 4 5" xfId="31736" xr:uid="{00000000-0005-0000-0000-0000D92E0000}"/>
    <cellStyle name="20% - Accent5 2 2 3 2 4 6" xfId="37505" xr:uid="{00000000-0005-0000-0000-0000DA2E0000}"/>
    <cellStyle name="20% - Accent5 2 2 3 2 5" xfId="7591" xr:uid="{00000000-0005-0000-0000-0000DB2E0000}"/>
    <cellStyle name="20% - Accent5 2 2 3 2 6" xfId="14692" xr:uid="{00000000-0005-0000-0000-0000DC2E0000}"/>
    <cellStyle name="20% - Accent5 2 2 3 2 7" xfId="21794" xr:uid="{00000000-0005-0000-0000-0000DD2E0000}"/>
    <cellStyle name="20% - Accent5 2 2 3 2 8" xfId="28896" xr:uid="{00000000-0005-0000-0000-0000DE2E0000}"/>
    <cellStyle name="20% - Accent5 2 2 3 2 9" xfId="37506" xr:uid="{00000000-0005-0000-0000-0000DF2E0000}"/>
    <cellStyle name="20% - Accent5 2 2 3 3" xfId="625" xr:uid="{00000000-0005-0000-0000-0000E02E0000}"/>
    <cellStyle name="20% - Accent5 2 2 3 3 2" xfId="2116" xr:uid="{00000000-0005-0000-0000-0000E12E0000}"/>
    <cellStyle name="20% - Accent5 2 2 3 3 2 2" xfId="6384" xr:uid="{00000000-0005-0000-0000-0000E22E0000}"/>
    <cellStyle name="20% - Accent5 2 2 3 3 2 2 2" xfId="13484" xr:uid="{00000000-0005-0000-0000-0000E32E0000}"/>
    <cellStyle name="20% - Accent5 2 2 3 3 2 2 3" xfId="20585" xr:uid="{00000000-0005-0000-0000-0000E42E0000}"/>
    <cellStyle name="20% - Accent5 2 2 3 3 2 2 4" xfId="27687" xr:uid="{00000000-0005-0000-0000-0000E52E0000}"/>
    <cellStyle name="20% - Accent5 2 2 3 3 2 2 5" xfId="34789" xr:uid="{00000000-0005-0000-0000-0000E62E0000}"/>
    <cellStyle name="20% - Accent5 2 2 3 3 2 2 6" xfId="37507" xr:uid="{00000000-0005-0000-0000-0000E72E0000}"/>
    <cellStyle name="20% - Accent5 2 2 3 3 2 3" xfId="9224" xr:uid="{00000000-0005-0000-0000-0000E82E0000}"/>
    <cellStyle name="20% - Accent5 2 2 3 3 2 4" xfId="16325" xr:uid="{00000000-0005-0000-0000-0000E92E0000}"/>
    <cellStyle name="20% - Accent5 2 2 3 3 2 5" xfId="23427" xr:uid="{00000000-0005-0000-0000-0000EA2E0000}"/>
    <cellStyle name="20% - Accent5 2 2 3 3 2 6" xfId="30529" xr:uid="{00000000-0005-0000-0000-0000EB2E0000}"/>
    <cellStyle name="20% - Accent5 2 2 3 3 2 7" xfId="37508" xr:uid="{00000000-0005-0000-0000-0000EC2E0000}"/>
    <cellStyle name="20% - Accent5 2 2 3 3 3" xfId="4963" xr:uid="{00000000-0005-0000-0000-0000ED2E0000}"/>
    <cellStyle name="20% - Accent5 2 2 3 3 3 2" xfId="12064" xr:uid="{00000000-0005-0000-0000-0000EE2E0000}"/>
    <cellStyle name="20% - Accent5 2 2 3 3 3 2 2" xfId="37509" xr:uid="{00000000-0005-0000-0000-0000EF2E0000}"/>
    <cellStyle name="20% - Accent5 2 2 3 3 3 3" xfId="19165" xr:uid="{00000000-0005-0000-0000-0000F02E0000}"/>
    <cellStyle name="20% - Accent5 2 2 3 3 3 4" xfId="26267" xr:uid="{00000000-0005-0000-0000-0000F12E0000}"/>
    <cellStyle name="20% - Accent5 2 2 3 3 3 5" xfId="33369" xr:uid="{00000000-0005-0000-0000-0000F22E0000}"/>
    <cellStyle name="20% - Accent5 2 2 3 3 3 6" xfId="37510" xr:uid="{00000000-0005-0000-0000-0000F32E0000}"/>
    <cellStyle name="20% - Accent5 2 2 3 3 4" xfId="3538" xr:uid="{00000000-0005-0000-0000-0000F42E0000}"/>
    <cellStyle name="20% - Accent5 2 2 3 3 4 2" xfId="10644" xr:uid="{00000000-0005-0000-0000-0000F52E0000}"/>
    <cellStyle name="20% - Accent5 2 2 3 3 4 3" xfId="17745" xr:uid="{00000000-0005-0000-0000-0000F62E0000}"/>
    <cellStyle name="20% - Accent5 2 2 3 3 4 4" xfId="24847" xr:uid="{00000000-0005-0000-0000-0000F72E0000}"/>
    <cellStyle name="20% - Accent5 2 2 3 3 4 5" xfId="31949" xr:uid="{00000000-0005-0000-0000-0000F82E0000}"/>
    <cellStyle name="20% - Accent5 2 2 3 3 4 6" xfId="37511" xr:uid="{00000000-0005-0000-0000-0000F92E0000}"/>
    <cellStyle name="20% - Accent5 2 2 3 3 5" xfId="7804" xr:uid="{00000000-0005-0000-0000-0000FA2E0000}"/>
    <cellStyle name="20% - Accent5 2 2 3 3 6" xfId="14905" xr:uid="{00000000-0005-0000-0000-0000FB2E0000}"/>
    <cellStyle name="20% - Accent5 2 2 3 3 7" xfId="22007" xr:uid="{00000000-0005-0000-0000-0000FC2E0000}"/>
    <cellStyle name="20% - Accent5 2 2 3 3 8" xfId="29109" xr:uid="{00000000-0005-0000-0000-0000FD2E0000}"/>
    <cellStyle name="20% - Accent5 2 2 3 3 9" xfId="37512" xr:uid="{00000000-0005-0000-0000-0000FE2E0000}"/>
    <cellStyle name="20% - Accent5 2 2 3 4" xfId="838" xr:uid="{00000000-0005-0000-0000-0000FF2E0000}"/>
    <cellStyle name="20% - Accent5 2 2 3 4 2" xfId="2329" xr:uid="{00000000-0005-0000-0000-0000002F0000}"/>
    <cellStyle name="20% - Accent5 2 2 3 4 2 2" xfId="6597" xr:uid="{00000000-0005-0000-0000-0000012F0000}"/>
    <cellStyle name="20% - Accent5 2 2 3 4 2 2 2" xfId="13697" xr:uid="{00000000-0005-0000-0000-0000022F0000}"/>
    <cellStyle name="20% - Accent5 2 2 3 4 2 2 3" xfId="20798" xr:uid="{00000000-0005-0000-0000-0000032F0000}"/>
    <cellStyle name="20% - Accent5 2 2 3 4 2 2 4" xfId="27900" xr:uid="{00000000-0005-0000-0000-0000042F0000}"/>
    <cellStyle name="20% - Accent5 2 2 3 4 2 2 5" xfId="35002" xr:uid="{00000000-0005-0000-0000-0000052F0000}"/>
    <cellStyle name="20% - Accent5 2 2 3 4 2 2 6" xfId="37513" xr:uid="{00000000-0005-0000-0000-0000062F0000}"/>
    <cellStyle name="20% - Accent5 2 2 3 4 2 3" xfId="9437" xr:uid="{00000000-0005-0000-0000-0000072F0000}"/>
    <cellStyle name="20% - Accent5 2 2 3 4 2 4" xfId="16538" xr:uid="{00000000-0005-0000-0000-0000082F0000}"/>
    <cellStyle name="20% - Accent5 2 2 3 4 2 5" xfId="23640" xr:uid="{00000000-0005-0000-0000-0000092F0000}"/>
    <cellStyle name="20% - Accent5 2 2 3 4 2 6" xfId="30742" xr:uid="{00000000-0005-0000-0000-00000A2F0000}"/>
    <cellStyle name="20% - Accent5 2 2 3 4 2 7" xfId="37514" xr:uid="{00000000-0005-0000-0000-00000B2F0000}"/>
    <cellStyle name="20% - Accent5 2 2 3 4 3" xfId="5176" xr:uid="{00000000-0005-0000-0000-00000C2F0000}"/>
    <cellStyle name="20% - Accent5 2 2 3 4 3 2" xfId="12277" xr:uid="{00000000-0005-0000-0000-00000D2F0000}"/>
    <cellStyle name="20% - Accent5 2 2 3 4 3 2 2" xfId="37515" xr:uid="{00000000-0005-0000-0000-00000E2F0000}"/>
    <cellStyle name="20% - Accent5 2 2 3 4 3 3" xfId="19378" xr:uid="{00000000-0005-0000-0000-00000F2F0000}"/>
    <cellStyle name="20% - Accent5 2 2 3 4 3 4" xfId="26480" xr:uid="{00000000-0005-0000-0000-0000102F0000}"/>
    <cellStyle name="20% - Accent5 2 2 3 4 3 5" xfId="33582" xr:uid="{00000000-0005-0000-0000-0000112F0000}"/>
    <cellStyle name="20% - Accent5 2 2 3 4 3 6" xfId="37516" xr:uid="{00000000-0005-0000-0000-0000122F0000}"/>
    <cellStyle name="20% - Accent5 2 2 3 4 4" xfId="3751" xr:uid="{00000000-0005-0000-0000-0000132F0000}"/>
    <cellStyle name="20% - Accent5 2 2 3 4 4 2" xfId="10857" xr:uid="{00000000-0005-0000-0000-0000142F0000}"/>
    <cellStyle name="20% - Accent5 2 2 3 4 4 3" xfId="17958" xr:uid="{00000000-0005-0000-0000-0000152F0000}"/>
    <cellStyle name="20% - Accent5 2 2 3 4 4 4" xfId="25060" xr:uid="{00000000-0005-0000-0000-0000162F0000}"/>
    <cellStyle name="20% - Accent5 2 2 3 4 4 5" xfId="32162" xr:uid="{00000000-0005-0000-0000-0000172F0000}"/>
    <cellStyle name="20% - Accent5 2 2 3 4 4 6" xfId="37517" xr:uid="{00000000-0005-0000-0000-0000182F0000}"/>
    <cellStyle name="20% - Accent5 2 2 3 4 5" xfId="8017" xr:uid="{00000000-0005-0000-0000-0000192F0000}"/>
    <cellStyle name="20% - Accent5 2 2 3 4 6" xfId="15118" xr:uid="{00000000-0005-0000-0000-00001A2F0000}"/>
    <cellStyle name="20% - Accent5 2 2 3 4 7" xfId="22220" xr:uid="{00000000-0005-0000-0000-00001B2F0000}"/>
    <cellStyle name="20% - Accent5 2 2 3 4 8" xfId="29322" xr:uid="{00000000-0005-0000-0000-00001C2F0000}"/>
    <cellStyle name="20% - Accent5 2 2 3 4 9" xfId="37518" xr:uid="{00000000-0005-0000-0000-00001D2F0000}"/>
    <cellStyle name="20% - Accent5 2 2 3 5" xfId="1193" xr:uid="{00000000-0005-0000-0000-00001E2F0000}"/>
    <cellStyle name="20% - Accent5 2 2 3 5 2" xfId="2684" xr:uid="{00000000-0005-0000-0000-00001F2F0000}"/>
    <cellStyle name="20% - Accent5 2 2 3 5 2 2" xfId="6952" xr:uid="{00000000-0005-0000-0000-0000202F0000}"/>
    <cellStyle name="20% - Accent5 2 2 3 5 2 2 2" xfId="14052" xr:uid="{00000000-0005-0000-0000-0000212F0000}"/>
    <cellStyle name="20% - Accent5 2 2 3 5 2 2 3" xfId="21153" xr:uid="{00000000-0005-0000-0000-0000222F0000}"/>
    <cellStyle name="20% - Accent5 2 2 3 5 2 2 4" xfId="28255" xr:uid="{00000000-0005-0000-0000-0000232F0000}"/>
    <cellStyle name="20% - Accent5 2 2 3 5 2 2 5" xfId="35357" xr:uid="{00000000-0005-0000-0000-0000242F0000}"/>
    <cellStyle name="20% - Accent5 2 2 3 5 2 3" xfId="9792" xr:uid="{00000000-0005-0000-0000-0000252F0000}"/>
    <cellStyle name="20% - Accent5 2 2 3 5 2 4" xfId="16893" xr:uid="{00000000-0005-0000-0000-0000262F0000}"/>
    <cellStyle name="20% - Accent5 2 2 3 5 2 5" xfId="23995" xr:uid="{00000000-0005-0000-0000-0000272F0000}"/>
    <cellStyle name="20% - Accent5 2 2 3 5 2 6" xfId="31097" xr:uid="{00000000-0005-0000-0000-0000282F0000}"/>
    <cellStyle name="20% - Accent5 2 2 3 5 2 7" xfId="37519" xr:uid="{00000000-0005-0000-0000-0000292F0000}"/>
    <cellStyle name="20% - Accent5 2 2 3 5 3" xfId="5531" xr:uid="{00000000-0005-0000-0000-00002A2F0000}"/>
    <cellStyle name="20% - Accent5 2 2 3 5 3 2" xfId="12632" xr:uid="{00000000-0005-0000-0000-00002B2F0000}"/>
    <cellStyle name="20% - Accent5 2 2 3 5 3 3" xfId="19733" xr:uid="{00000000-0005-0000-0000-00002C2F0000}"/>
    <cellStyle name="20% - Accent5 2 2 3 5 3 4" xfId="26835" xr:uid="{00000000-0005-0000-0000-00002D2F0000}"/>
    <cellStyle name="20% - Accent5 2 2 3 5 3 5" xfId="33937" xr:uid="{00000000-0005-0000-0000-00002E2F0000}"/>
    <cellStyle name="20% - Accent5 2 2 3 5 4" xfId="4106" xr:uid="{00000000-0005-0000-0000-00002F2F0000}"/>
    <cellStyle name="20% - Accent5 2 2 3 5 4 2" xfId="11212" xr:uid="{00000000-0005-0000-0000-0000302F0000}"/>
    <cellStyle name="20% - Accent5 2 2 3 5 4 3" xfId="18313" xr:uid="{00000000-0005-0000-0000-0000312F0000}"/>
    <cellStyle name="20% - Accent5 2 2 3 5 4 4" xfId="25415" xr:uid="{00000000-0005-0000-0000-0000322F0000}"/>
    <cellStyle name="20% - Accent5 2 2 3 5 4 5" xfId="32517" xr:uid="{00000000-0005-0000-0000-0000332F0000}"/>
    <cellStyle name="20% - Accent5 2 2 3 5 5" xfId="8372" xr:uid="{00000000-0005-0000-0000-0000342F0000}"/>
    <cellStyle name="20% - Accent5 2 2 3 5 6" xfId="15473" xr:uid="{00000000-0005-0000-0000-0000352F0000}"/>
    <cellStyle name="20% - Accent5 2 2 3 5 7" xfId="22575" xr:uid="{00000000-0005-0000-0000-0000362F0000}"/>
    <cellStyle name="20% - Accent5 2 2 3 5 8" xfId="29677" xr:uid="{00000000-0005-0000-0000-0000372F0000}"/>
    <cellStyle name="20% - Accent5 2 2 3 5 9" xfId="37520" xr:uid="{00000000-0005-0000-0000-0000382F0000}"/>
    <cellStyle name="20% - Accent5 2 2 3 6" xfId="1406" xr:uid="{00000000-0005-0000-0000-0000392F0000}"/>
    <cellStyle name="20% - Accent5 2 2 3 6 2" xfId="2897" xr:uid="{00000000-0005-0000-0000-00003A2F0000}"/>
    <cellStyle name="20% - Accent5 2 2 3 6 2 2" xfId="7165" xr:uid="{00000000-0005-0000-0000-00003B2F0000}"/>
    <cellStyle name="20% - Accent5 2 2 3 6 2 2 2" xfId="14265" xr:uid="{00000000-0005-0000-0000-00003C2F0000}"/>
    <cellStyle name="20% - Accent5 2 2 3 6 2 2 3" xfId="21366" xr:uid="{00000000-0005-0000-0000-00003D2F0000}"/>
    <cellStyle name="20% - Accent5 2 2 3 6 2 2 4" xfId="28468" xr:uid="{00000000-0005-0000-0000-00003E2F0000}"/>
    <cellStyle name="20% - Accent5 2 2 3 6 2 2 5" xfId="35570" xr:uid="{00000000-0005-0000-0000-00003F2F0000}"/>
    <cellStyle name="20% - Accent5 2 2 3 6 2 3" xfId="10005" xr:uid="{00000000-0005-0000-0000-0000402F0000}"/>
    <cellStyle name="20% - Accent5 2 2 3 6 2 4" xfId="17106" xr:uid="{00000000-0005-0000-0000-0000412F0000}"/>
    <cellStyle name="20% - Accent5 2 2 3 6 2 5" xfId="24208" xr:uid="{00000000-0005-0000-0000-0000422F0000}"/>
    <cellStyle name="20% - Accent5 2 2 3 6 2 6" xfId="31310" xr:uid="{00000000-0005-0000-0000-0000432F0000}"/>
    <cellStyle name="20% - Accent5 2 2 3 6 2 7" xfId="37521" xr:uid="{00000000-0005-0000-0000-0000442F0000}"/>
    <cellStyle name="20% - Accent5 2 2 3 6 3" xfId="5744" xr:uid="{00000000-0005-0000-0000-0000452F0000}"/>
    <cellStyle name="20% - Accent5 2 2 3 6 3 2" xfId="12845" xr:uid="{00000000-0005-0000-0000-0000462F0000}"/>
    <cellStyle name="20% - Accent5 2 2 3 6 3 3" xfId="19946" xr:uid="{00000000-0005-0000-0000-0000472F0000}"/>
    <cellStyle name="20% - Accent5 2 2 3 6 3 4" xfId="27048" xr:uid="{00000000-0005-0000-0000-0000482F0000}"/>
    <cellStyle name="20% - Accent5 2 2 3 6 3 5" xfId="34150" xr:uid="{00000000-0005-0000-0000-0000492F0000}"/>
    <cellStyle name="20% - Accent5 2 2 3 6 4" xfId="4319" xr:uid="{00000000-0005-0000-0000-00004A2F0000}"/>
    <cellStyle name="20% - Accent5 2 2 3 6 4 2" xfId="11425" xr:uid="{00000000-0005-0000-0000-00004B2F0000}"/>
    <cellStyle name="20% - Accent5 2 2 3 6 4 3" xfId="18526" xr:uid="{00000000-0005-0000-0000-00004C2F0000}"/>
    <cellStyle name="20% - Accent5 2 2 3 6 4 4" xfId="25628" xr:uid="{00000000-0005-0000-0000-00004D2F0000}"/>
    <cellStyle name="20% - Accent5 2 2 3 6 4 5" xfId="32730" xr:uid="{00000000-0005-0000-0000-00004E2F0000}"/>
    <cellStyle name="20% - Accent5 2 2 3 6 5" xfId="8585" xr:uid="{00000000-0005-0000-0000-00004F2F0000}"/>
    <cellStyle name="20% - Accent5 2 2 3 6 6" xfId="15686" xr:uid="{00000000-0005-0000-0000-0000502F0000}"/>
    <cellStyle name="20% - Accent5 2 2 3 6 7" xfId="22788" xr:uid="{00000000-0005-0000-0000-0000512F0000}"/>
    <cellStyle name="20% - Accent5 2 2 3 6 8" xfId="29890" xr:uid="{00000000-0005-0000-0000-0000522F0000}"/>
    <cellStyle name="20% - Accent5 2 2 3 6 9" xfId="37522" xr:uid="{00000000-0005-0000-0000-0000532F0000}"/>
    <cellStyle name="20% - Accent5 2 2 3 7" xfId="1690" xr:uid="{00000000-0005-0000-0000-0000542F0000}"/>
    <cellStyle name="20% - Accent5 2 2 3 7 2" xfId="5958" xr:uid="{00000000-0005-0000-0000-0000552F0000}"/>
    <cellStyle name="20% - Accent5 2 2 3 7 2 2" xfId="13058" xr:uid="{00000000-0005-0000-0000-0000562F0000}"/>
    <cellStyle name="20% - Accent5 2 2 3 7 2 3" xfId="20159" xr:uid="{00000000-0005-0000-0000-0000572F0000}"/>
    <cellStyle name="20% - Accent5 2 2 3 7 2 4" xfId="27261" xr:uid="{00000000-0005-0000-0000-0000582F0000}"/>
    <cellStyle name="20% - Accent5 2 2 3 7 2 5" xfId="34363" xr:uid="{00000000-0005-0000-0000-0000592F0000}"/>
    <cellStyle name="20% - Accent5 2 2 3 7 3" xfId="8798" xr:uid="{00000000-0005-0000-0000-00005A2F0000}"/>
    <cellStyle name="20% - Accent5 2 2 3 7 4" xfId="15899" xr:uid="{00000000-0005-0000-0000-00005B2F0000}"/>
    <cellStyle name="20% - Accent5 2 2 3 7 5" xfId="23001" xr:uid="{00000000-0005-0000-0000-00005C2F0000}"/>
    <cellStyle name="20% - Accent5 2 2 3 7 6" xfId="30103" xr:uid="{00000000-0005-0000-0000-00005D2F0000}"/>
    <cellStyle name="20% - Accent5 2 2 3 7 7" xfId="37523" xr:uid="{00000000-0005-0000-0000-00005E2F0000}"/>
    <cellStyle name="20% - Accent5 2 2 3 8" xfId="4537" xr:uid="{00000000-0005-0000-0000-00005F2F0000}"/>
    <cellStyle name="20% - Accent5 2 2 3 8 2" xfId="11638" xr:uid="{00000000-0005-0000-0000-0000602F0000}"/>
    <cellStyle name="20% - Accent5 2 2 3 8 3" xfId="18739" xr:uid="{00000000-0005-0000-0000-0000612F0000}"/>
    <cellStyle name="20% - Accent5 2 2 3 8 4" xfId="25841" xr:uid="{00000000-0005-0000-0000-0000622F0000}"/>
    <cellStyle name="20% - Accent5 2 2 3 8 5" xfId="32943" xr:uid="{00000000-0005-0000-0000-0000632F0000}"/>
    <cellStyle name="20% - Accent5 2 2 3 9" xfId="3112" xr:uid="{00000000-0005-0000-0000-0000642F0000}"/>
    <cellStyle name="20% - Accent5 2 2 3 9 2" xfId="10218" xr:uid="{00000000-0005-0000-0000-0000652F0000}"/>
    <cellStyle name="20% - Accent5 2 2 3 9 3" xfId="17319" xr:uid="{00000000-0005-0000-0000-0000662F0000}"/>
    <cellStyle name="20% - Accent5 2 2 3 9 4" xfId="24421" xr:uid="{00000000-0005-0000-0000-0000672F0000}"/>
    <cellStyle name="20% - Accent5 2 2 3 9 5" xfId="31523" xr:uid="{00000000-0005-0000-0000-0000682F0000}"/>
    <cellStyle name="20% - Accent5 2 2 4" xfId="341" xr:uid="{00000000-0005-0000-0000-0000692F0000}"/>
    <cellStyle name="20% - Accent5 2 2 4 10" xfId="37524" xr:uid="{00000000-0005-0000-0000-00006A2F0000}"/>
    <cellStyle name="20% - Accent5 2 2 4 2" xfId="1122" xr:uid="{00000000-0005-0000-0000-00006B2F0000}"/>
    <cellStyle name="20% - Accent5 2 2 4 2 2" xfId="2613" xr:uid="{00000000-0005-0000-0000-00006C2F0000}"/>
    <cellStyle name="20% - Accent5 2 2 4 2 2 2" xfId="6881" xr:uid="{00000000-0005-0000-0000-00006D2F0000}"/>
    <cellStyle name="20% - Accent5 2 2 4 2 2 2 2" xfId="13981" xr:uid="{00000000-0005-0000-0000-00006E2F0000}"/>
    <cellStyle name="20% - Accent5 2 2 4 2 2 2 3" xfId="21082" xr:uid="{00000000-0005-0000-0000-00006F2F0000}"/>
    <cellStyle name="20% - Accent5 2 2 4 2 2 2 4" xfId="28184" xr:uid="{00000000-0005-0000-0000-0000702F0000}"/>
    <cellStyle name="20% - Accent5 2 2 4 2 2 2 5" xfId="35286" xr:uid="{00000000-0005-0000-0000-0000712F0000}"/>
    <cellStyle name="20% - Accent5 2 2 4 2 2 3" xfId="9721" xr:uid="{00000000-0005-0000-0000-0000722F0000}"/>
    <cellStyle name="20% - Accent5 2 2 4 2 2 4" xfId="16822" xr:uid="{00000000-0005-0000-0000-0000732F0000}"/>
    <cellStyle name="20% - Accent5 2 2 4 2 2 5" xfId="23924" xr:uid="{00000000-0005-0000-0000-0000742F0000}"/>
    <cellStyle name="20% - Accent5 2 2 4 2 2 6" xfId="31026" xr:uid="{00000000-0005-0000-0000-0000752F0000}"/>
    <cellStyle name="20% - Accent5 2 2 4 2 2 7" xfId="37525" xr:uid="{00000000-0005-0000-0000-0000762F0000}"/>
    <cellStyle name="20% - Accent5 2 2 4 2 3" xfId="5460" xr:uid="{00000000-0005-0000-0000-0000772F0000}"/>
    <cellStyle name="20% - Accent5 2 2 4 2 3 2" xfId="12561" xr:uid="{00000000-0005-0000-0000-0000782F0000}"/>
    <cellStyle name="20% - Accent5 2 2 4 2 3 3" xfId="19662" xr:uid="{00000000-0005-0000-0000-0000792F0000}"/>
    <cellStyle name="20% - Accent5 2 2 4 2 3 4" xfId="26764" xr:uid="{00000000-0005-0000-0000-00007A2F0000}"/>
    <cellStyle name="20% - Accent5 2 2 4 2 3 5" xfId="33866" xr:uid="{00000000-0005-0000-0000-00007B2F0000}"/>
    <cellStyle name="20% - Accent5 2 2 4 2 4" xfId="4035" xr:uid="{00000000-0005-0000-0000-00007C2F0000}"/>
    <cellStyle name="20% - Accent5 2 2 4 2 4 2" xfId="11141" xr:uid="{00000000-0005-0000-0000-00007D2F0000}"/>
    <cellStyle name="20% - Accent5 2 2 4 2 4 3" xfId="18242" xr:uid="{00000000-0005-0000-0000-00007E2F0000}"/>
    <cellStyle name="20% - Accent5 2 2 4 2 4 4" xfId="25344" xr:uid="{00000000-0005-0000-0000-00007F2F0000}"/>
    <cellStyle name="20% - Accent5 2 2 4 2 4 5" xfId="32446" xr:uid="{00000000-0005-0000-0000-0000802F0000}"/>
    <cellStyle name="20% - Accent5 2 2 4 2 5" xfId="8301" xr:uid="{00000000-0005-0000-0000-0000812F0000}"/>
    <cellStyle name="20% - Accent5 2 2 4 2 6" xfId="15402" xr:uid="{00000000-0005-0000-0000-0000822F0000}"/>
    <cellStyle name="20% - Accent5 2 2 4 2 7" xfId="22504" xr:uid="{00000000-0005-0000-0000-0000832F0000}"/>
    <cellStyle name="20% - Accent5 2 2 4 2 8" xfId="29606" xr:uid="{00000000-0005-0000-0000-0000842F0000}"/>
    <cellStyle name="20% - Accent5 2 2 4 2 9" xfId="37526" xr:uid="{00000000-0005-0000-0000-0000852F0000}"/>
    <cellStyle name="20% - Accent5 2 2 4 3" xfId="1832" xr:uid="{00000000-0005-0000-0000-0000862F0000}"/>
    <cellStyle name="20% - Accent5 2 2 4 3 2" xfId="6100" xr:uid="{00000000-0005-0000-0000-0000872F0000}"/>
    <cellStyle name="20% - Accent5 2 2 4 3 2 2" xfId="13200" xr:uid="{00000000-0005-0000-0000-0000882F0000}"/>
    <cellStyle name="20% - Accent5 2 2 4 3 2 3" xfId="20301" xr:uid="{00000000-0005-0000-0000-0000892F0000}"/>
    <cellStyle name="20% - Accent5 2 2 4 3 2 4" xfId="27403" xr:uid="{00000000-0005-0000-0000-00008A2F0000}"/>
    <cellStyle name="20% - Accent5 2 2 4 3 2 5" xfId="34505" xr:uid="{00000000-0005-0000-0000-00008B2F0000}"/>
    <cellStyle name="20% - Accent5 2 2 4 3 2 6" xfId="37527" xr:uid="{00000000-0005-0000-0000-00008C2F0000}"/>
    <cellStyle name="20% - Accent5 2 2 4 3 3" xfId="8940" xr:uid="{00000000-0005-0000-0000-00008D2F0000}"/>
    <cellStyle name="20% - Accent5 2 2 4 3 4" xfId="16041" xr:uid="{00000000-0005-0000-0000-00008E2F0000}"/>
    <cellStyle name="20% - Accent5 2 2 4 3 5" xfId="23143" xr:uid="{00000000-0005-0000-0000-00008F2F0000}"/>
    <cellStyle name="20% - Accent5 2 2 4 3 6" xfId="30245" xr:uid="{00000000-0005-0000-0000-0000902F0000}"/>
    <cellStyle name="20% - Accent5 2 2 4 3 7" xfId="37528" xr:uid="{00000000-0005-0000-0000-0000912F0000}"/>
    <cellStyle name="20% - Accent5 2 2 4 4" xfId="4679" xr:uid="{00000000-0005-0000-0000-0000922F0000}"/>
    <cellStyle name="20% - Accent5 2 2 4 4 2" xfId="11780" xr:uid="{00000000-0005-0000-0000-0000932F0000}"/>
    <cellStyle name="20% - Accent5 2 2 4 4 3" xfId="18881" xr:uid="{00000000-0005-0000-0000-0000942F0000}"/>
    <cellStyle name="20% - Accent5 2 2 4 4 4" xfId="25983" xr:uid="{00000000-0005-0000-0000-0000952F0000}"/>
    <cellStyle name="20% - Accent5 2 2 4 4 5" xfId="33085" xr:uid="{00000000-0005-0000-0000-0000962F0000}"/>
    <cellStyle name="20% - Accent5 2 2 4 4 6" xfId="37529" xr:uid="{00000000-0005-0000-0000-0000972F0000}"/>
    <cellStyle name="20% - Accent5 2 2 4 5" xfId="3254" xr:uid="{00000000-0005-0000-0000-0000982F0000}"/>
    <cellStyle name="20% - Accent5 2 2 4 5 2" xfId="10360" xr:uid="{00000000-0005-0000-0000-0000992F0000}"/>
    <cellStyle name="20% - Accent5 2 2 4 5 3" xfId="17461" xr:uid="{00000000-0005-0000-0000-00009A2F0000}"/>
    <cellStyle name="20% - Accent5 2 2 4 5 4" xfId="24563" xr:uid="{00000000-0005-0000-0000-00009B2F0000}"/>
    <cellStyle name="20% - Accent5 2 2 4 5 5" xfId="31665" xr:uid="{00000000-0005-0000-0000-00009C2F0000}"/>
    <cellStyle name="20% - Accent5 2 2 4 6" xfId="7520" xr:uid="{00000000-0005-0000-0000-00009D2F0000}"/>
    <cellStyle name="20% - Accent5 2 2 4 7" xfId="14621" xr:uid="{00000000-0005-0000-0000-00009E2F0000}"/>
    <cellStyle name="20% - Accent5 2 2 4 8" xfId="21723" xr:uid="{00000000-0005-0000-0000-00009F2F0000}"/>
    <cellStyle name="20% - Accent5 2 2 4 9" xfId="28825" xr:uid="{00000000-0005-0000-0000-0000A02F0000}"/>
    <cellStyle name="20% - Accent5 2 2 5" xfId="554" xr:uid="{00000000-0005-0000-0000-0000A12F0000}"/>
    <cellStyle name="20% - Accent5 2 2 5 2" xfId="2045" xr:uid="{00000000-0005-0000-0000-0000A22F0000}"/>
    <cellStyle name="20% - Accent5 2 2 5 2 2" xfId="6313" xr:uid="{00000000-0005-0000-0000-0000A32F0000}"/>
    <cellStyle name="20% - Accent5 2 2 5 2 2 2" xfId="13413" xr:uid="{00000000-0005-0000-0000-0000A42F0000}"/>
    <cellStyle name="20% - Accent5 2 2 5 2 2 3" xfId="20514" xr:uid="{00000000-0005-0000-0000-0000A52F0000}"/>
    <cellStyle name="20% - Accent5 2 2 5 2 2 4" xfId="27616" xr:uid="{00000000-0005-0000-0000-0000A62F0000}"/>
    <cellStyle name="20% - Accent5 2 2 5 2 2 5" xfId="34718" xr:uid="{00000000-0005-0000-0000-0000A72F0000}"/>
    <cellStyle name="20% - Accent5 2 2 5 2 2 6" xfId="37530" xr:uid="{00000000-0005-0000-0000-0000A82F0000}"/>
    <cellStyle name="20% - Accent5 2 2 5 2 3" xfId="9153" xr:uid="{00000000-0005-0000-0000-0000A92F0000}"/>
    <cellStyle name="20% - Accent5 2 2 5 2 4" xfId="16254" xr:uid="{00000000-0005-0000-0000-0000AA2F0000}"/>
    <cellStyle name="20% - Accent5 2 2 5 2 5" xfId="23356" xr:uid="{00000000-0005-0000-0000-0000AB2F0000}"/>
    <cellStyle name="20% - Accent5 2 2 5 2 6" xfId="30458" xr:uid="{00000000-0005-0000-0000-0000AC2F0000}"/>
    <cellStyle name="20% - Accent5 2 2 5 2 7" xfId="37531" xr:uid="{00000000-0005-0000-0000-0000AD2F0000}"/>
    <cellStyle name="20% - Accent5 2 2 5 3" xfId="4892" xr:uid="{00000000-0005-0000-0000-0000AE2F0000}"/>
    <cellStyle name="20% - Accent5 2 2 5 3 2" xfId="11993" xr:uid="{00000000-0005-0000-0000-0000AF2F0000}"/>
    <cellStyle name="20% - Accent5 2 2 5 3 2 2" xfId="37532" xr:uid="{00000000-0005-0000-0000-0000B02F0000}"/>
    <cellStyle name="20% - Accent5 2 2 5 3 3" xfId="19094" xr:uid="{00000000-0005-0000-0000-0000B12F0000}"/>
    <cellStyle name="20% - Accent5 2 2 5 3 4" xfId="26196" xr:uid="{00000000-0005-0000-0000-0000B22F0000}"/>
    <cellStyle name="20% - Accent5 2 2 5 3 5" xfId="33298" xr:uid="{00000000-0005-0000-0000-0000B32F0000}"/>
    <cellStyle name="20% - Accent5 2 2 5 3 6" xfId="37533" xr:uid="{00000000-0005-0000-0000-0000B42F0000}"/>
    <cellStyle name="20% - Accent5 2 2 5 4" xfId="3467" xr:uid="{00000000-0005-0000-0000-0000B52F0000}"/>
    <cellStyle name="20% - Accent5 2 2 5 4 2" xfId="10573" xr:uid="{00000000-0005-0000-0000-0000B62F0000}"/>
    <cellStyle name="20% - Accent5 2 2 5 4 3" xfId="17674" xr:uid="{00000000-0005-0000-0000-0000B72F0000}"/>
    <cellStyle name="20% - Accent5 2 2 5 4 4" xfId="24776" xr:uid="{00000000-0005-0000-0000-0000B82F0000}"/>
    <cellStyle name="20% - Accent5 2 2 5 4 5" xfId="31878" xr:uid="{00000000-0005-0000-0000-0000B92F0000}"/>
    <cellStyle name="20% - Accent5 2 2 5 4 6" xfId="37534" xr:uid="{00000000-0005-0000-0000-0000BA2F0000}"/>
    <cellStyle name="20% - Accent5 2 2 5 5" xfId="7733" xr:uid="{00000000-0005-0000-0000-0000BB2F0000}"/>
    <cellStyle name="20% - Accent5 2 2 5 6" xfId="14834" xr:uid="{00000000-0005-0000-0000-0000BC2F0000}"/>
    <cellStyle name="20% - Accent5 2 2 5 7" xfId="21936" xr:uid="{00000000-0005-0000-0000-0000BD2F0000}"/>
    <cellStyle name="20% - Accent5 2 2 5 8" xfId="29038" xr:uid="{00000000-0005-0000-0000-0000BE2F0000}"/>
    <cellStyle name="20% - Accent5 2 2 5 9" xfId="37535" xr:uid="{00000000-0005-0000-0000-0000BF2F0000}"/>
    <cellStyle name="20% - Accent5 2 2 6" xfId="767" xr:uid="{00000000-0005-0000-0000-0000C02F0000}"/>
    <cellStyle name="20% - Accent5 2 2 6 2" xfId="2258" xr:uid="{00000000-0005-0000-0000-0000C12F0000}"/>
    <cellStyle name="20% - Accent5 2 2 6 2 2" xfId="6526" xr:uid="{00000000-0005-0000-0000-0000C22F0000}"/>
    <cellStyle name="20% - Accent5 2 2 6 2 2 2" xfId="13626" xr:uid="{00000000-0005-0000-0000-0000C32F0000}"/>
    <cellStyle name="20% - Accent5 2 2 6 2 2 3" xfId="20727" xr:uid="{00000000-0005-0000-0000-0000C42F0000}"/>
    <cellStyle name="20% - Accent5 2 2 6 2 2 4" xfId="27829" xr:uid="{00000000-0005-0000-0000-0000C52F0000}"/>
    <cellStyle name="20% - Accent5 2 2 6 2 2 5" xfId="34931" xr:uid="{00000000-0005-0000-0000-0000C62F0000}"/>
    <cellStyle name="20% - Accent5 2 2 6 2 2 6" xfId="37536" xr:uid="{00000000-0005-0000-0000-0000C72F0000}"/>
    <cellStyle name="20% - Accent5 2 2 6 2 3" xfId="9366" xr:uid="{00000000-0005-0000-0000-0000C82F0000}"/>
    <cellStyle name="20% - Accent5 2 2 6 2 4" xfId="16467" xr:uid="{00000000-0005-0000-0000-0000C92F0000}"/>
    <cellStyle name="20% - Accent5 2 2 6 2 5" xfId="23569" xr:uid="{00000000-0005-0000-0000-0000CA2F0000}"/>
    <cellStyle name="20% - Accent5 2 2 6 2 6" xfId="30671" xr:uid="{00000000-0005-0000-0000-0000CB2F0000}"/>
    <cellStyle name="20% - Accent5 2 2 6 2 7" xfId="37537" xr:uid="{00000000-0005-0000-0000-0000CC2F0000}"/>
    <cellStyle name="20% - Accent5 2 2 6 3" xfId="5105" xr:uid="{00000000-0005-0000-0000-0000CD2F0000}"/>
    <cellStyle name="20% - Accent5 2 2 6 3 2" xfId="12206" xr:uid="{00000000-0005-0000-0000-0000CE2F0000}"/>
    <cellStyle name="20% - Accent5 2 2 6 3 2 2" xfId="37538" xr:uid="{00000000-0005-0000-0000-0000CF2F0000}"/>
    <cellStyle name="20% - Accent5 2 2 6 3 3" xfId="19307" xr:uid="{00000000-0005-0000-0000-0000D02F0000}"/>
    <cellStyle name="20% - Accent5 2 2 6 3 4" xfId="26409" xr:uid="{00000000-0005-0000-0000-0000D12F0000}"/>
    <cellStyle name="20% - Accent5 2 2 6 3 5" xfId="33511" xr:uid="{00000000-0005-0000-0000-0000D22F0000}"/>
    <cellStyle name="20% - Accent5 2 2 6 3 6" xfId="37539" xr:uid="{00000000-0005-0000-0000-0000D32F0000}"/>
    <cellStyle name="20% - Accent5 2 2 6 4" xfId="3680" xr:uid="{00000000-0005-0000-0000-0000D42F0000}"/>
    <cellStyle name="20% - Accent5 2 2 6 4 2" xfId="10786" xr:uid="{00000000-0005-0000-0000-0000D52F0000}"/>
    <cellStyle name="20% - Accent5 2 2 6 4 3" xfId="17887" xr:uid="{00000000-0005-0000-0000-0000D62F0000}"/>
    <cellStyle name="20% - Accent5 2 2 6 4 4" xfId="24989" xr:uid="{00000000-0005-0000-0000-0000D72F0000}"/>
    <cellStyle name="20% - Accent5 2 2 6 4 5" xfId="32091" xr:uid="{00000000-0005-0000-0000-0000D82F0000}"/>
    <cellStyle name="20% - Accent5 2 2 6 4 6" xfId="37540" xr:uid="{00000000-0005-0000-0000-0000D92F0000}"/>
    <cellStyle name="20% - Accent5 2 2 6 5" xfId="7946" xr:uid="{00000000-0005-0000-0000-0000DA2F0000}"/>
    <cellStyle name="20% - Accent5 2 2 6 6" xfId="15047" xr:uid="{00000000-0005-0000-0000-0000DB2F0000}"/>
    <cellStyle name="20% - Accent5 2 2 6 7" xfId="22149" xr:uid="{00000000-0005-0000-0000-0000DC2F0000}"/>
    <cellStyle name="20% - Accent5 2 2 6 8" xfId="29251" xr:uid="{00000000-0005-0000-0000-0000DD2F0000}"/>
    <cellStyle name="20% - Accent5 2 2 6 9" xfId="37541" xr:uid="{00000000-0005-0000-0000-0000DE2F0000}"/>
    <cellStyle name="20% - Accent5 2 2 7" xfId="980" xr:uid="{00000000-0005-0000-0000-0000DF2F0000}"/>
    <cellStyle name="20% - Accent5 2 2 7 2" xfId="2471" xr:uid="{00000000-0005-0000-0000-0000E02F0000}"/>
    <cellStyle name="20% - Accent5 2 2 7 2 2" xfId="6739" xr:uid="{00000000-0005-0000-0000-0000E12F0000}"/>
    <cellStyle name="20% - Accent5 2 2 7 2 2 2" xfId="13839" xr:uid="{00000000-0005-0000-0000-0000E22F0000}"/>
    <cellStyle name="20% - Accent5 2 2 7 2 2 3" xfId="20940" xr:uid="{00000000-0005-0000-0000-0000E32F0000}"/>
    <cellStyle name="20% - Accent5 2 2 7 2 2 4" xfId="28042" xr:uid="{00000000-0005-0000-0000-0000E42F0000}"/>
    <cellStyle name="20% - Accent5 2 2 7 2 2 5" xfId="35144" xr:uid="{00000000-0005-0000-0000-0000E52F0000}"/>
    <cellStyle name="20% - Accent5 2 2 7 2 3" xfId="9579" xr:uid="{00000000-0005-0000-0000-0000E62F0000}"/>
    <cellStyle name="20% - Accent5 2 2 7 2 4" xfId="16680" xr:uid="{00000000-0005-0000-0000-0000E72F0000}"/>
    <cellStyle name="20% - Accent5 2 2 7 2 5" xfId="23782" xr:uid="{00000000-0005-0000-0000-0000E82F0000}"/>
    <cellStyle name="20% - Accent5 2 2 7 2 6" xfId="30884" xr:uid="{00000000-0005-0000-0000-0000E92F0000}"/>
    <cellStyle name="20% - Accent5 2 2 7 2 7" xfId="37542" xr:uid="{00000000-0005-0000-0000-0000EA2F0000}"/>
    <cellStyle name="20% - Accent5 2 2 7 3" xfId="5318" xr:uid="{00000000-0005-0000-0000-0000EB2F0000}"/>
    <cellStyle name="20% - Accent5 2 2 7 3 2" xfId="12419" xr:uid="{00000000-0005-0000-0000-0000EC2F0000}"/>
    <cellStyle name="20% - Accent5 2 2 7 3 3" xfId="19520" xr:uid="{00000000-0005-0000-0000-0000ED2F0000}"/>
    <cellStyle name="20% - Accent5 2 2 7 3 4" xfId="26622" xr:uid="{00000000-0005-0000-0000-0000EE2F0000}"/>
    <cellStyle name="20% - Accent5 2 2 7 3 5" xfId="33724" xr:uid="{00000000-0005-0000-0000-0000EF2F0000}"/>
    <cellStyle name="20% - Accent5 2 2 7 4" xfId="3893" xr:uid="{00000000-0005-0000-0000-0000F02F0000}"/>
    <cellStyle name="20% - Accent5 2 2 7 4 2" xfId="10999" xr:uid="{00000000-0005-0000-0000-0000F12F0000}"/>
    <cellStyle name="20% - Accent5 2 2 7 4 3" xfId="18100" xr:uid="{00000000-0005-0000-0000-0000F22F0000}"/>
    <cellStyle name="20% - Accent5 2 2 7 4 4" xfId="25202" xr:uid="{00000000-0005-0000-0000-0000F32F0000}"/>
    <cellStyle name="20% - Accent5 2 2 7 4 5" xfId="32304" xr:uid="{00000000-0005-0000-0000-0000F42F0000}"/>
    <cellStyle name="20% - Accent5 2 2 7 5" xfId="8159" xr:uid="{00000000-0005-0000-0000-0000F52F0000}"/>
    <cellStyle name="20% - Accent5 2 2 7 6" xfId="15260" xr:uid="{00000000-0005-0000-0000-0000F62F0000}"/>
    <cellStyle name="20% - Accent5 2 2 7 7" xfId="22362" xr:uid="{00000000-0005-0000-0000-0000F72F0000}"/>
    <cellStyle name="20% - Accent5 2 2 7 8" xfId="29464" xr:uid="{00000000-0005-0000-0000-0000F82F0000}"/>
    <cellStyle name="20% - Accent5 2 2 7 9" xfId="37543" xr:uid="{00000000-0005-0000-0000-0000F92F0000}"/>
    <cellStyle name="20% - Accent5 2 2 8" xfId="1335" xr:uid="{00000000-0005-0000-0000-0000FA2F0000}"/>
    <cellStyle name="20% - Accent5 2 2 8 2" xfId="2826" xr:uid="{00000000-0005-0000-0000-0000FB2F0000}"/>
    <cellStyle name="20% - Accent5 2 2 8 2 2" xfId="7094" xr:uid="{00000000-0005-0000-0000-0000FC2F0000}"/>
    <cellStyle name="20% - Accent5 2 2 8 2 2 2" xfId="14194" xr:uid="{00000000-0005-0000-0000-0000FD2F0000}"/>
    <cellStyle name="20% - Accent5 2 2 8 2 2 3" xfId="21295" xr:uid="{00000000-0005-0000-0000-0000FE2F0000}"/>
    <cellStyle name="20% - Accent5 2 2 8 2 2 4" xfId="28397" xr:uid="{00000000-0005-0000-0000-0000FF2F0000}"/>
    <cellStyle name="20% - Accent5 2 2 8 2 2 5" xfId="35499" xr:uid="{00000000-0005-0000-0000-000000300000}"/>
    <cellStyle name="20% - Accent5 2 2 8 2 3" xfId="9934" xr:uid="{00000000-0005-0000-0000-000001300000}"/>
    <cellStyle name="20% - Accent5 2 2 8 2 4" xfId="17035" xr:uid="{00000000-0005-0000-0000-000002300000}"/>
    <cellStyle name="20% - Accent5 2 2 8 2 5" xfId="24137" xr:uid="{00000000-0005-0000-0000-000003300000}"/>
    <cellStyle name="20% - Accent5 2 2 8 2 6" xfId="31239" xr:uid="{00000000-0005-0000-0000-000004300000}"/>
    <cellStyle name="20% - Accent5 2 2 8 2 7" xfId="37544" xr:uid="{00000000-0005-0000-0000-000005300000}"/>
    <cellStyle name="20% - Accent5 2 2 8 3" xfId="5673" xr:uid="{00000000-0005-0000-0000-000006300000}"/>
    <cellStyle name="20% - Accent5 2 2 8 3 2" xfId="12774" xr:uid="{00000000-0005-0000-0000-000007300000}"/>
    <cellStyle name="20% - Accent5 2 2 8 3 3" xfId="19875" xr:uid="{00000000-0005-0000-0000-000008300000}"/>
    <cellStyle name="20% - Accent5 2 2 8 3 4" xfId="26977" xr:uid="{00000000-0005-0000-0000-000009300000}"/>
    <cellStyle name="20% - Accent5 2 2 8 3 5" xfId="34079" xr:uid="{00000000-0005-0000-0000-00000A300000}"/>
    <cellStyle name="20% - Accent5 2 2 8 4" xfId="4248" xr:uid="{00000000-0005-0000-0000-00000B300000}"/>
    <cellStyle name="20% - Accent5 2 2 8 4 2" xfId="11354" xr:uid="{00000000-0005-0000-0000-00000C300000}"/>
    <cellStyle name="20% - Accent5 2 2 8 4 3" xfId="18455" xr:uid="{00000000-0005-0000-0000-00000D300000}"/>
    <cellStyle name="20% - Accent5 2 2 8 4 4" xfId="25557" xr:uid="{00000000-0005-0000-0000-00000E300000}"/>
    <cellStyle name="20% - Accent5 2 2 8 4 5" xfId="32659" xr:uid="{00000000-0005-0000-0000-00000F300000}"/>
    <cellStyle name="20% - Accent5 2 2 8 5" xfId="8514" xr:uid="{00000000-0005-0000-0000-000010300000}"/>
    <cellStyle name="20% - Accent5 2 2 8 6" xfId="15615" xr:uid="{00000000-0005-0000-0000-000011300000}"/>
    <cellStyle name="20% - Accent5 2 2 8 7" xfId="22717" xr:uid="{00000000-0005-0000-0000-000012300000}"/>
    <cellStyle name="20% - Accent5 2 2 8 8" xfId="29819" xr:uid="{00000000-0005-0000-0000-000013300000}"/>
    <cellStyle name="20% - Accent5 2 2 8 9" xfId="37545" xr:uid="{00000000-0005-0000-0000-000014300000}"/>
    <cellStyle name="20% - Accent5 2 2 9" xfId="1619" xr:uid="{00000000-0005-0000-0000-000015300000}"/>
    <cellStyle name="20% - Accent5 2 2 9 2" xfId="5887" xr:uid="{00000000-0005-0000-0000-000016300000}"/>
    <cellStyle name="20% - Accent5 2 2 9 2 2" xfId="12987" xr:uid="{00000000-0005-0000-0000-000017300000}"/>
    <cellStyle name="20% - Accent5 2 2 9 2 3" xfId="20088" xr:uid="{00000000-0005-0000-0000-000018300000}"/>
    <cellStyle name="20% - Accent5 2 2 9 2 4" xfId="27190" xr:uid="{00000000-0005-0000-0000-000019300000}"/>
    <cellStyle name="20% - Accent5 2 2 9 2 5" xfId="34292" xr:uid="{00000000-0005-0000-0000-00001A300000}"/>
    <cellStyle name="20% - Accent5 2 2 9 3" xfId="8727" xr:uid="{00000000-0005-0000-0000-00001B300000}"/>
    <cellStyle name="20% - Accent5 2 2 9 4" xfId="15828" xr:uid="{00000000-0005-0000-0000-00001C300000}"/>
    <cellStyle name="20% - Accent5 2 2 9 5" xfId="22930" xr:uid="{00000000-0005-0000-0000-00001D300000}"/>
    <cellStyle name="20% - Accent5 2 2 9 6" xfId="30032" xr:uid="{00000000-0005-0000-0000-00001E300000}"/>
    <cellStyle name="20% - Accent5 2 2 9 7" xfId="37546" xr:uid="{00000000-0005-0000-0000-00001F300000}"/>
    <cellStyle name="20% - Accent5 2 3" xfId="239" xr:uid="{00000000-0005-0000-0000-000020300000}"/>
    <cellStyle name="20% - Accent5 2 3 10" xfId="7418" xr:uid="{00000000-0005-0000-0000-000021300000}"/>
    <cellStyle name="20% - Accent5 2 3 11" xfId="14519" xr:uid="{00000000-0005-0000-0000-000022300000}"/>
    <cellStyle name="20% - Accent5 2 3 12" xfId="21621" xr:uid="{00000000-0005-0000-0000-000023300000}"/>
    <cellStyle name="20% - Accent5 2 3 13" xfId="28723" xr:uid="{00000000-0005-0000-0000-000024300000}"/>
    <cellStyle name="20% - Accent5 2 3 14" xfId="35825" xr:uid="{00000000-0005-0000-0000-000025300000}"/>
    <cellStyle name="20% - Accent5 2 3 15" xfId="37547" xr:uid="{00000000-0005-0000-0000-000026300000}"/>
    <cellStyle name="20% - Accent5 2 3 2" xfId="452" xr:uid="{00000000-0005-0000-0000-000027300000}"/>
    <cellStyle name="20% - Accent5 2 3 2 10" xfId="37548" xr:uid="{00000000-0005-0000-0000-000028300000}"/>
    <cellStyle name="20% - Accent5 2 3 2 2" xfId="1233" xr:uid="{00000000-0005-0000-0000-000029300000}"/>
    <cellStyle name="20% - Accent5 2 3 2 2 2" xfId="2724" xr:uid="{00000000-0005-0000-0000-00002A300000}"/>
    <cellStyle name="20% - Accent5 2 3 2 2 2 2" xfId="6992" xr:uid="{00000000-0005-0000-0000-00002B300000}"/>
    <cellStyle name="20% - Accent5 2 3 2 2 2 2 2" xfId="14092" xr:uid="{00000000-0005-0000-0000-00002C300000}"/>
    <cellStyle name="20% - Accent5 2 3 2 2 2 2 3" xfId="21193" xr:uid="{00000000-0005-0000-0000-00002D300000}"/>
    <cellStyle name="20% - Accent5 2 3 2 2 2 2 4" xfId="28295" xr:uid="{00000000-0005-0000-0000-00002E300000}"/>
    <cellStyle name="20% - Accent5 2 3 2 2 2 2 5" xfId="35397" xr:uid="{00000000-0005-0000-0000-00002F300000}"/>
    <cellStyle name="20% - Accent5 2 3 2 2 2 3" xfId="9832" xr:uid="{00000000-0005-0000-0000-000030300000}"/>
    <cellStyle name="20% - Accent5 2 3 2 2 2 4" xfId="16933" xr:uid="{00000000-0005-0000-0000-000031300000}"/>
    <cellStyle name="20% - Accent5 2 3 2 2 2 5" xfId="24035" xr:uid="{00000000-0005-0000-0000-000032300000}"/>
    <cellStyle name="20% - Accent5 2 3 2 2 2 6" xfId="31137" xr:uid="{00000000-0005-0000-0000-000033300000}"/>
    <cellStyle name="20% - Accent5 2 3 2 2 2 7" xfId="37549" xr:uid="{00000000-0005-0000-0000-000034300000}"/>
    <cellStyle name="20% - Accent5 2 3 2 2 3" xfId="5571" xr:uid="{00000000-0005-0000-0000-000035300000}"/>
    <cellStyle name="20% - Accent5 2 3 2 2 3 2" xfId="12672" xr:uid="{00000000-0005-0000-0000-000036300000}"/>
    <cellStyle name="20% - Accent5 2 3 2 2 3 3" xfId="19773" xr:uid="{00000000-0005-0000-0000-000037300000}"/>
    <cellStyle name="20% - Accent5 2 3 2 2 3 4" xfId="26875" xr:uid="{00000000-0005-0000-0000-000038300000}"/>
    <cellStyle name="20% - Accent5 2 3 2 2 3 5" xfId="33977" xr:uid="{00000000-0005-0000-0000-000039300000}"/>
    <cellStyle name="20% - Accent5 2 3 2 2 4" xfId="4146" xr:uid="{00000000-0005-0000-0000-00003A300000}"/>
    <cellStyle name="20% - Accent5 2 3 2 2 4 2" xfId="11252" xr:uid="{00000000-0005-0000-0000-00003B300000}"/>
    <cellStyle name="20% - Accent5 2 3 2 2 4 3" xfId="18353" xr:uid="{00000000-0005-0000-0000-00003C300000}"/>
    <cellStyle name="20% - Accent5 2 3 2 2 4 4" xfId="25455" xr:uid="{00000000-0005-0000-0000-00003D300000}"/>
    <cellStyle name="20% - Accent5 2 3 2 2 4 5" xfId="32557" xr:uid="{00000000-0005-0000-0000-00003E300000}"/>
    <cellStyle name="20% - Accent5 2 3 2 2 5" xfId="8412" xr:uid="{00000000-0005-0000-0000-00003F300000}"/>
    <cellStyle name="20% - Accent5 2 3 2 2 6" xfId="15513" xr:uid="{00000000-0005-0000-0000-000040300000}"/>
    <cellStyle name="20% - Accent5 2 3 2 2 7" xfId="22615" xr:uid="{00000000-0005-0000-0000-000041300000}"/>
    <cellStyle name="20% - Accent5 2 3 2 2 8" xfId="29717" xr:uid="{00000000-0005-0000-0000-000042300000}"/>
    <cellStyle name="20% - Accent5 2 3 2 2 9" xfId="37550" xr:uid="{00000000-0005-0000-0000-000043300000}"/>
    <cellStyle name="20% - Accent5 2 3 2 3" xfId="1943" xr:uid="{00000000-0005-0000-0000-000044300000}"/>
    <cellStyle name="20% - Accent5 2 3 2 3 2" xfId="6211" xr:uid="{00000000-0005-0000-0000-000045300000}"/>
    <cellStyle name="20% - Accent5 2 3 2 3 2 2" xfId="13311" xr:uid="{00000000-0005-0000-0000-000046300000}"/>
    <cellStyle name="20% - Accent5 2 3 2 3 2 3" xfId="20412" xr:uid="{00000000-0005-0000-0000-000047300000}"/>
    <cellStyle name="20% - Accent5 2 3 2 3 2 4" xfId="27514" xr:uid="{00000000-0005-0000-0000-000048300000}"/>
    <cellStyle name="20% - Accent5 2 3 2 3 2 5" xfId="34616" xr:uid="{00000000-0005-0000-0000-000049300000}"/>
    <cellStyle name="20% - Accent5 2 3 2 3 2 6" xfId="37551" xr:uid="{00000000-0005-0000-0000-00004A300000}"/>
    <cellStyle name="20% - Accent5 2 3 2 3 3" xfId="9051" xr:uid="{00000000-0005-0000-0000-00004B300000}"/>
    <cellStyle name="20% - Accent5 2 3 2 3 4" xfId="16152" xr:uid="{00000000-0005-0000-0000-00004C300000}"/>
    <cellStyle name="20% - Accent5 2 3 2 3 5" xfId="23254" xr:uid="{00000000-0005-0000-0000-00004D300000}"/>
    <cellStyle name="20% - Accent5 2 3 2 3 6" xfId="30356" xr:uid="{00000000-0005-0000-0000-00004E300000}"/>
    <cellStyle name="20% - Accent5 2 3 2 3 7" xfId="37552" xr:uid="{00000000-0005-0000-0000-00004F300000}"/>
    <cellStyle name="20% - Accent5 2 3 2 4" xfId="4790" xr:uid="{00000000-0005-0000-0000-000050300000}"/>
    <cellStyle name="20% - Accent5 2 3 2 4 2" xfId="11891" xr:uid="{00000000-0005-0000-0000-000051300000}"/>
    <cellStyle name="20% - Accent5 2 3 2 4 3" xfId="18992" xr:uid="{00000000-0005-0000-0000-000052300000}"/>
    <cellStyle name="20% - Accent5 2 3 2 4 4" xfId="26094" xr:uid="{00000000-0005-0000-0000-000053300000}"/>
    <cellStyle name="20% - Accent5 2 3 2 4 5" xfId="33196" xr:uid="{00000000-0005-0000-0000-000054300000}"/>
    <cellStyle name="20% - Accent5 2 3 2 4 6" xfId="37553" xr:uid="{00000000-0005-0000-0000-000055300000}"/>
    <cellStyle name="20% - Accent5 2 3 2 5" xfId="3365" xr:uid="{00000000-0005-0000-0000-000056300000}"/>
    <cellStyle name="20% - Accent5 2 3 2 5 2" xfId="10471" xr:uid="{00000000-0005-0000-0000-000057300000}"/>
    <cellStyle name="20% - Accent5 2 3 2 5 3" xfId="17572" xr:uid="{00000000-0005-0000-0000-000058300000}"/>
    <cellStyle name="20% - Accent5 2 3 2 5 4" xfId="24674" xr:uid="{00000000-0005-0000-0000-000059300000}"/>
    <cellStyle name="20% - Accent5 2 3 2 5 5" xfId="31776" xr:uid="{00000000-0005-0000-0000-00005A300000}"/>
    <cellStyle name="20% - Accent5 2 3 2 6" xfId="7631" xr:uid="{00000000-0005-0000-0000-00005B300000}"/>
    <cellStyle name="20% - Accent5 2 3 2 7" xfId="14732" xr:uid="{00000000-0005-0000-0000-00005C300000}"/>
    <cellStyle name="20% - Accent5 2 3 2 8" xfId="21834" xr:uid="{00000000-0005-0000-0000-00005D300000}"/>
    <cellStyle name="20% - Accent5 2 3 2 9" xfId="28936" xr:uid="{00000000-0005-0000-0000-00005E300000}"/>
    <cellStyle name="20% - Accent5 2 3 3" xfId="665" xr:uid="{00000000-0005-0000-0000-00005F300000}"/>
    <cellStyle name="20% - Accent5 2 3 3 2" xfId="2156" xr:uid="{00000000-0005-0000-0000-000060300000}"/>
    <cellStyle name="20% - Accent5 2 3 3 2 2" xfId="6424" xr:uid="{00000000-0005-0000-0000-000061300000}"/>
    <cellStyle name="20% - Accent5 2 3 3 2 2 2" xfId="13524" xr:uid="{00000000-0005-0000-0000-000062300000}"/>
    <cellStyle name="20% - Accent5 2 3 3 2 2 3" xfId="20625" xr:uid="{00000000-0005-0000-0000-000063300000}"/>
    <cellStyle name="20% - Accent5 2 3 3 2 2 4" xfId="27727" xr:uid="{00000000-0005-0000-0000-000064300000}"/>
    <cellStyle name="20% - Accent5 2 3 3 2 2 5" xfId="34829" xr:uid="{00000000-0005-0000-0000-000065300000}"/>
    <cellStyle name="20% - Accent5 2 3 3 2 2 6" xfId="37554" xr:uid="{00000000-0005-0000-0000-000066300000}"/>
    <cellStyle name="20% - Accent5 2 3 3 2 3" xfId="9264" xr:uid="{00000000-0005-0000-0000-000067300000}"/>
    <cellStyle name="20% - Accent5 2 3 3 2 4" xfId="16365" xr:uid="{00000000-0005-0000-0000-000068300000}"/>
    <cellStyle name="20% - Accent5 2 3 3 2 5" xfId="23467" xr:uid="{00000000-0005-0000-0000-000069300000}"/>
    <cellStyle name="20% - Accent5 2 3 3 2 6" xfId="30569" xr:uid="{00000000-0005-0000-0000-00006A300000}"/>
    <cellStyle name="20% - Accent5 2 3 3 2 7" xfId="37555" xr:uid="{00000000-0005-0000-0000-00006B300000}"/>
    <cellStyle name="20% - Accent5 2 3 3 3" xfId="5003" xr:uid="{00000000-0005-0000-0000-00006C300000}"/>
    <cellStyle name="20% - Accent5 2 3 3 3 2" xfId="12104" xr:uid="{00000000-0005-0000-0000-00006D300000}"/>
    <cellStyle name="20% - Accent5 2 3 3 3 2 2" xfId="37556" xr:uid="{00000000-0005-0000-0000-00006E300000}"/>
    <cellStyle name="20% - Accent5 2 3 3 3 3" xfId="19205" xr:uid="{00000000-0005-0000-0000-00006F300000}"/>
    <cellStyle name="20% - Accent5 2 3 3 3 4" xfId="26307" xr:uid="{00000000-0005-0000-0000-000070300000}"/>
    <cellStyle name="20% - Accent5 2 3 3 3 5" xfId="33409" xr:uid="{00000000-0005-0000-0000-000071300000}"/>
    <cellStyle name="20% - Accent5 2 3 3 3 6" xfId="37557" xr:uid="{00000000-0005-0000-0000-000072300000}"/>
    <cellStyle name="20% - Accent5 2 3 3 4" xfId="3578" xr:uid="{00000000-0005-0000-0000-000073300000}"/>
    <cellStyle name="20% - Accent5 2 3 3 4 2" xfId="10684" xr:uid="{00000000-0005-0000-0000-000074300000}"/>
    <cellStyle name="20% - Accent5 2 3 3 4 3" xfId="17785" xr:uid="{00000000-0005-0000-0000-000075300000}"/>
    <cellStyle name="20% - Accent5 2 3 3 4 4" xfId="24887" xr:uid="{00000000-0005-0000-0000-000076300000}"/>
    <cellStyle name="20% - Accent5 2 3 3 4 5" xfId="31989" xr:uid="{00000000-0005-0000-0000-000077300000}"/>
    <cellStyle name="20% - Accent5 2 3 3 4 6" xfId="37558" xr:uid="{00000000-0005-0000-0000-000078300000}"/>
    <cellStyle name="20% - Accent5 2 3 3 5" xfId="7844" xr:uid="{00000000-0005-0000-0000-000079300000}"/>
    <cellStyle name="20% - Accent5 2 3 3 6" xfId="14945" xr:uid="{00000000-0005-0000-0000-00007A300000}"/>
    <cellStyle name="20% - Accent5 2 3 3 7" xfId="22047" xr:uid="{00000000-0005-0000-0000-00007B300000}"/>
    <cellStyle name="20% - Accent5 2 3 3 8" xfId="29149" xr:uid="{00000000-0005-0000-0000-00007C300000}"/>
    <cellStyle name="20% - Accent5 2 3 3 9" xfId="37559" xr:uid="{00000000-0005-0000-0000-00007D300000}"/>
    <cellStyle name="20% - Accent5 2 3 4" xfId="878" xr:uid="{00000000-0005-0000-0000-00007E300000}"/>
    <cellStyle name="20% - Accent5 2 3 4 2" xfId="2369" xr:uid="{00000000-0005-0000-0000-00007F300000}"/>
    <cellStyle name="20% - Accent5 2 3 4 2 2" xfId="6637" xr:uid="{00000000-0005-0000-0000-000080300000}"/>
    <cellStyle name="20% - Accent5 2 3 4 2 2 2" xfId="13737" xr:uid="{00000000-0005-0000-0000-000081300000}"/>
    <cellStyle name="20% - Accent5 2 3 4 2 2 3" xfId="20838" xr:uid="{00000000-0005-0000-0000-000082300000}"/>
    <cellStyle name="20% - Accent5 2 3 4 2 2 4" xfId="27940" xr:uid="{00000000-0005-0000-0000-000083300000}"/>
    <cellStyle name="20% - Accent5 2 3 4 2 2 5" xfId="35042" xr:uid="{00000000-0005-0000-0000-000084300000}"/>
    <cellStyle name="20% - Accent5 2 3 4 2 2 6" xfId="37560" xr:uid="{00000000-0005-0000-0000-000085300000}"/>
    <cellStyle name="20% - Accent5 2 3 4 2 3" xfId="9477" xr:uid="{00000000-0005-0000-0000-000086300000}"/>
    <cellStyle name="20% - Accent5 2 3 4 2 4" xfId="16578" xr:uid="{00000000-0005-0000-0000-000087300000}"/>
    <cellStyle name="20% - Accent5 2 3 4 2 5" xfId="23680" xr:uid="{00000000-0005-0000-0000-000088300000}"/>
    <cellStyle name="20% - Accent5 2 3 4 2 6" xfId="30782" xr:uid="{00000000-0005-0000-0000-000089300000}"/>
    <cellStyle name="20% - Accent5 2 3 4 2 7" xfId="37561" xr:uid="{00000000-0005-0000-0000-00008A300000}"/>
    <cellStyle name="20% - Accent5 2 3 4 3" xfId="5216" xr:uid="{00000000-0005-0000-0000-00008B300000}"/>
    <cellStyle name="20% - Accent5 2 3 4 3 2" xfId="12317" xr:uid="{00000000-0005-0000-0000-00008C300000}"/>
    <cellStyle name="20% - Accent5 2 3 4 3 2 2" xfId="37562" xr:uid="{00000000-0005-0000-0000-00008D300000}"/>
    <cellStyle name="20% - Accent5 2 3 4 3 3" xfId="19418" xr:uid="{00000000-0005-0000-0000-00008E300000}"/>
    <cellStyle name="20% - Accent5 2 3 4 3 4" xfId="26520" xr:uid="{00000000-0005-0000-0000-00008F300000}"/>
    <cellStyle name="20% - Accent5 2 3 4 3 5" xfId="33622" xr:uid="{00000000-0005-0000-0000-000090300000}"/>
    <cellStyle name="20% - Accent5 2 3 4 3 6" xfId="37563" xr:uid="{00000000-0005-0000-0000-000091300000}"/>
    <cellStyle name="20% - Accent5 2 3 4 4" xfId="3791" xr:uid="{00000000-0005-0000-0000-000092300000}"/>
    <cellStyle name="20% - Accent5 2 3 4 4 2" xfId="10897" xr:uid="{00000000-0005-0000-0000-000093300000}"/>
    <cellStyle name="20% - Accent5 2 3 4 4 3" xfId="17998" xr:uid="{00000000-0005-0000-0000-000094300000}"/>
    <cellStyle name="20% - Accent5 2 3 4 4 4" xfId="25100" xr:uid="{00000000-0005-0000-0000-000095300000}"/>
    <cellStyle name="20% - Accent5 2 3 4 4 5" xfId="32202" xr:uid="{00000000-0005-0000-0000-000096300000}"/>
    <cellStyle name="20% - Accent5 2 3 4 4 6" xfId="37564" xr:uid="{00000000-0005-0000-0000-000097300000}"/>
    <cellStyle name="20% - Accent5 2 3 4 5" xfId="8057" xr:uid="{00000000-0005-0000-0000-000098300000}"/>
    <cellStyle name="20% - Accent5 2 3 4 6" xfId="15158" xr:uid="{00000000-0005-0000-0000-000099300000}"/>
    <cellStyle name="20% - Accent5 2 3 4 7" xfId="22260" xr:uid="{00000000-0005-0000-0000-00009A300000}"/>
    <cellStyle name="20% - Accent5 2 3 4 8" xfId="29362" xr:uid="{00000000-0005-0000-0000-00009B300000}"/>
    <cellStyle name="20% - Accent5 2 3 4 9" xfId="37565" xr:uid="{00000000-0005-0000-0000-00009C300000}"/>
    <cellStyle name="20% - Accent5 2 3 5" xfId="1020" xr:uid="{00000000-0005-0000-0000-00009D300000}"/>
    <cellStyle name="20% - Accent5 2 3 5 2" xfId="2511" xr:uid="{00000000-0005-0000-0000-00009E300000}"/>
    <cellStyle name="20% - Accent5 2 3 5 2 2" xfId="6779" xr:uid="{00000000-0005-0000-0000-00009F300000}"/>
    <cellStyle name="20% - Accent5 2 3 5 2 2 2" xfId="13879" xr:uid="{00000000-0005-0000-0000-0000A0300000}"/>
    <cellStyle name="20% - Accent5 2 3 5 2 2 3" xfId="20980" xr:uid="{00000000-0005-0000-0000-0000A1300000}"/>
    <cellStyle name="20% - Accent5 2 3 5 2 2 4" xfId="28082" xr:uid="{00000000-0005-0000-0000-0000A2300000}"/>
    <cellStyle name="20% - Accent5 2 3 5 2 2 5" xfId="35184" xr:uid="{00000000-0005-0000-0000-0000A3300000}"/>
    <cellStyle name="20% - Accent5 2 3 5 2 3" xfId="9619" xr:uid="{00000000-0005-0000-0000-0000A4300000}"/>
    <cellStyle name="20% - Accent5 2 3 5 2 4" xfId="16720" xr:uid="{00000000-0005-0000-0000-0000A5300000}"/>
    <cellStyle name="20% - Accent5 2 3 5 2 5" xfId="23822" xr:uid="{00000000-0005-0000-0000-0000A6300000}"/>
    <cellStyle name="20% - Accent5 2 3 5 2 6" xfId="30924" xr:uid="{00000000-0005-0000-0000-0000A7300000}"/>
    <cellStyle name="20% - Accent5 2 3 5 2 7" xfId="37566" xr:uid="{00000000-0005-0000-0000-0000A8300000}"/>
    <cellStyle name="20% - Accent5 2 3 5 3" xfId="5358" xr:uid="{00000000-0005-0000-0000-0000A9300000}"/>
    <cellStyle name="20% - Accent5 2 3 5 3 2" xfId="12459" xr:uid="{00000000-0005-0000-0000-0000AA300000}"/>
    <cellStyle name="20% - Accent5 2 3 5 3 3" xfId="19560" xr:uid="{00000000-0005-0000-0000-0000AB300000}"/>
    <cellStyle name="20% - Accent5 2 3 5 3 4" xfId="26662" xr:uid="{00000000-0005-0000-0000-0000AC300000}"/>
    <cellStyle name="20% - Accent5 2 3 5 3 5" xfId="33764" xr:uid="{00000000-0005-0000-0000-0000AD300000}"/>
    <cellStyle name="20% - Accent5 2 3 5 4" xfId="3933" xr:uid="{00000000-0005-0000-0000-0000AE300000}"/>
    <cellStyle name="20% - Accent5 2 3 5 4 2" xfId="11039" xr:uid="{00000000-0005-0000-0000-0000AF300000}"/>
    <cellStyle name="20% - Accent5 2 3 5 4 3" xfId="18140" xr:uid="{00000000-0005-0000-0000-0000B0300000}"/>
    <cellStyle name="20% - Accent5 2 3 5 4 4" xfId="25242" xr:uid="{00000000-0005-0000-0000-0000B1300000}"/>
    <cellStyle name="20% - Accent5 2 3 5 4 5" xfId="32344" xr:uid="{00000000-0005-0000-0000-0000B2300000}"/>
    <cellStyle name="20% - Accent5 2 3 5 5" xfId="8199" xr:uid="{00000000-0005-0000-0000-0000B3300000}"/>
    <cellStyle name="20% - Accent5 2 3 5 6" xfId="15300" xr:uid="{00000000-0005-0000-0000-0000B4300000}"/>
    <cellStyle name="20% - Accent5 2 3 5 7" xfId="22402" xr:uid="{00000000-0005-0000-0000-0000B5300000}"/>
    <cellStyle name="20% - Accent5 2 3 5 8" xfId="29504" xr:uid="{00000000-0005-0000-0000-0000B6300000}"/>
    <cellStyle name="20% - Accent5 2 3 5 9" xfId="37567" xr:uid="{00000000-0005-0000-0000-0000B7300000}"/>
    <cellStyle name="20% - Accent5 2 3 6" xfId="1446" xr:uid="{00000000-0005-0000-0000-0000B8300000}"/>
    <cellStyle name="20% - Accent5 2 3 6 2" xfId="2937" xr:uid="{00000000-0005-0000-0000-0000B9300000}"/>
    <cellStyle name="20% - Accent5 2 3 6 2 2" xfId="7205" xr:uid="{00000000-0005-0000-0000-0000BA300000}"/>
    <cellStyle name="20% - Accent5 2 3 6 2 2 2" xfId="14305" xr:uid="{00000000-0005-0000-0000-0000BB300000}"/>
    <cellStyle name="20% - Accent5 2 3 6 2 2 3" xfId="21406" xr:uid="{00000000-0005-0000-0000-0000BC300000}"/>
    <cellStyle name="20% - Accent5 2 3 6 2 2 4" xfId="28508" xr:uid="{00000000-0005-0000-0000-0000BD300000}"/>
    <cellStyle name="20% - Accent5 2 3 6 2 2 5" xfId="35610" xr:uid="{00000000-0005-0000-0000-0000BE300000}"/>
    <cellStyle name="20% - Accent5 2 3 6 2 3" xfId="10045" xr:uid="{00000000-0005-0000-0000-0000BF300000}"/>
    <cellStyle name="20% - Accent5 2 3 6 2 4" xfId="17146" xr:uid="{00000000-0005-0000-0000-0000C0300000}"/>
    <cellStyle name="20% - Accent5 2 3 6 2 5" xfId="24248" xr:uid="{00000000-0005-0000-0000-0000C1300000}"/>
    <cellStyle name="20% - Accent5 2 3 6 2 6" xfId="31350" xr:uid="{00000000-0005-0000-0000-0000C2300000}"/>
    <cellStyle name="20% - Accent5 2 3 6 2 7" xfId="37568" xr:uid="{00000000-0005-0000-0000-0000C3300000}"/>
    <cellStyle name="20% - Accent5 2 3 6 3" xfId="5784" xr:uid="{00000000-0005-0000-0000-0000C4300000}"/>
    <cellStyle name="20% - Accent5 2 3 6 3 2" xfId="12885" xr:uid="{00000000-0005-0000-0000-0000C5300000}"/>
    <cellStyle name="20% - Accent5 2 3 6 3 3" xfId="19986" xr:uid="{00000000-0005-0000-0000-0000C6300000}"/>
    <cellStyle name="20% - Accent5 2 3 6 3 4" xfId="27088" xr:uid="{00000000-0005-0000-0000-0000C7300000}"/>
    <cellStyle name="20% - Accent5 2 3 6 3 5" xfId="34190" xr:uid="{00000000-0005-0000-0000-0000C8300000}"/>
    <cellStyle name="20% - Accent5 2 3 6 4" xfId="4359" xr:uid="{00000000-0005-0000-0000-0000C9300000}"/>
    <cellStyle name="20% - Accent5 2 3 6 4 2" xfId="11465" xr:uid="{00000000-0005-0000-0000-0000CA300000}"/>
    <cellStyle name="20% - Accent5 2 3 6 4 3" xfId="18566" xr:uid="{00000000-0005-0000-0000-0000CB300000}"/>
    <cellStyle name="20% - Accent5 2 3 6 4 4" xfId="25668" xr:uid="{00000000-0005-0000-0000-0000CC300000}"/>
    <cellStyle name="20% - Accent5 2 3 6 4 5" xfId="32770" xr:uid="{00000000-0005-0000-0000-0000CD300000}"/>
    <cellStyle name="20% - Accent5 2 3 6 5" xfId="8625" xr:uid="{00000000-0005-0000-0000-0000CE300000}"/>
    <cellStyle name="20% - Accent5 2 3 6 6" xfId="15726" xr:uid="{00000000-0005-0000-0000-0000CF300000}"/>
    <cellStyle name="20% - Accent5 2 3 6 7" xfId="22828" xr:uid="{00000000-0005-0000-0000-0000D0300000}"/>
    <cellStyle name="20% - Accent5 2 3 6 8" xfId="29930" xr:uid="{00000000-0005-0000-0000-0000D1300000}"/>
    <cellStyle name="20% - Accent5 2 3 6 9" xfId="37569" xr:uid="{00000000-0005-0000-0000-0000D2300000}"/>
    <cellStyle name="20% - Accent5 2 3 7" xfId="1730" xr:uid="{00000000-0005-0000-0000-0000D3300000}"/>
    <cellStyle name="20% - Accent5 2 3 7 2" xfId="5998" xr:uid="{00000000-0005-0000-0000-0000D4300000}"/>
    <cellStyle name="20% - Accent5 2 3 7 2 2" xfId="13098" xr:uid="{00000000-0005-0000-0000-0000D5300000}"/>
    <cellStyle name="20% - Accent5 2 3 7 2 3" xfId="20199" xr:uid="{00000000-0005-0000-0000-0000D6300000}"/>
    <cellStyle name="20% - Accent5 2 3 7 2 4" xfId="27301" xr:uid="{00000000-0005-0000-0000-0000D7300000}"/>
    <cellStyle name="20% - Accent5 2 3 7 2 5" xfId="34403" xr:uid="{00000000-0005-0000-0000-0000D8300000}"/>
    <cellStyle name="20% - Accent5 2 3 7 3" xfId="8838" xr:uid="{00000000-0005-0000-0000-0000D9300000}"/>
    <cellStyle name="20% - Accent5 2 3 7 4" xfId="15939" xr:uid="{00000000-0005-0000-0000-0000DA300000}"/>
    <cellStyle name="20% - Accent5 2 3 7 5" xfId="23041" xr:uid="{00000000-0005-0000-0000-0000DB300000}"/>
    <cellStyle name="20% - Accent5 2 3 7 6" xfId="30143" xr:uid="{00000000-0005-0000-0000-0000DC300000}"/>
    <cellStyle name="20% - Accent5 2 3 7 7" xfId="37570" xr:uid="{00000000-0005-0000-0000-0000DD300000}"/>
    <cellStyle name="20% - Accent5 2 3 8" xfId="4577" xr:uid="{00000000-0005-0000-0000-0000DE300000}"/>
    <cellStyle name="20% - Accent5 2 3 8 2" xfId="11678" xr:uid="{00000000-0005-0000-0000-0000DF300000}"/>
    <cellStyle name="20% - Accent5 2 3 8 3" xfId="18779" xr:uid="{00000000-0005-0000-0000-0000E0300000}"/>
    <cellStyle name="20% - Accent5 2 3 8 4" xfId="25881" xr:uid="{00000000-0005-0000-0000-0000E1300000}"/>
    <cellStyle name="20% - Accent5 2 3 8 5" xfId="32983" xr:uid="{00000000-0005-0000-0000-0000E2300000}"/>
    <cellStyle name="20% - Accent5 2 3 9" xfId="3152" xr:uid="{00000000-0005-0000-0000-0000E3300000}"/>
    <cellStyle name="20% - Accent5 2 3 9 2" xfId="10258" xr:uid="{00000000-0005-0000-0000-0000E4300000}"/>
    <cellStyle name="20% - Accent5 2 3 9 3" xfId="17359" xr:uid="{00000000-0005-0000-0000-0000E5300000}"/>
    <cellStyle name="20% - Accent5 2 3 9 4" xfId="24461" xr:uid="{00000000-0005-0000-0000-0000E6300000}"/>
    <cellStyle name="20% - Accent5 2 3 9 5" xfId="31563" xr:uid="{00000000-0005-0000-0000-0000E7300000}"/>
    <cellStyle name="20% - Accent5 2 4" xfId="168" xr:uid="{00000000-0005-0000-0000-0000E8300000}"/>
    <cellStyle name="20% - Accent5 2 4 10" xfId="7347" xr:uid="{00000000-0005-0000-0000-0000E9300000}"/>
    <cellStyle name="20% - Accent5 2 4 11" xfId="14448" xr:uid="{00000000-0005-0000-0000-0000EA300000}"/>
    <cellStyle name="20% - Accent5 2 4 12" xfId="21550" xr:uid="{00000000-0005-0000-0000-0000EB300000}"/>
    <cellStyle name="20% - Accent5 2 4 13" xfId="28652" xr:uid="{00000000-0005-0000-0000-0000EC300000}"/>
    <cellStyle name="20% - Accent5 2 4 14" xfId="35754" xr:uid="{00000000-0005-0000-0000-0000ED300000}"/>
    <cellStyle name="20% - Accent5 2 4 15" xfId="37571" xr:uid="{00000000-0005-0000-0000-0000EE300000}"/>
    <cellStyle name="20% - Accent5 2 4 2" xfId="381" xr:uid="{00000000-0005-0000-0000-0000EF300000}"/>
    <cellStyle name="20% - Accent5 2 4 2 2" xfId="1872" xr:uid="{00000000-0005-0000-0000-0000F0300000}"/>
    <cellStyle name="20% - Accent5 2 4 2 2 2" xfId="6140" xr:uid="{00000000-0005-0000-0000-0000F1300000}"/>
    <cellStyle name="20% - Accent5 2 4 2 2 2 2" xfId="13240" xr:uid="{00000000-0005-0000-0000-0000F2300000}"/>
    <cellStyle name="20% - Accent5 2 4 2 2 2 3" xfId="20341" xr:uid="{00000000-0005-0000-0000-0000F3300000}"/>
    <cellStyle name="20% - Accent5 2 4 2 2 2 4" xfId="27443" xr:uid="{00000000-0005-0000-0000-0000F4300000}"/>
    <cellStyle name="20% - Accent5 2 4 2 2 2 5" xfId="34545" xr:uid="{00000000-0005-0000-0000-0000F5300000}"/>
    <cellStyle name="20% - Accent5 2 4 2 2 2 6" xfId="37572" xr:uid="{00000000-0005-0000-0000-0000F6300000}"/>
    <cellStyle name="20% - Accent5 2 4 2 2 3" xfId="8980" xr:uid="{00000000-0005-0000-0000-0000F7300000}"/>
    <cellStyle name="20% - Accent5 2 4 2 2 4" xfId="16081" xr:uid="{00000000-0005-0000-0000-0000F8300000}"/>
    <cellStyle name="20% - Accent5 2 4 2 2 5" xfId="23183" xr:uid="{00000000-0005-0000-0000-0000F9300000}"/>
    <cellStyle name="20% - Accent5 2 4 2 2 6" xfId="30285" xr:uid="{00000000-0005-0000-0000-0000FA300000}"/>
    <cellStyle name="20% - Accent5 2 4 2 2 7" xfId="37573" xr:uid="{00000000-0005-0000-0000-0000FB300000}"/>
    <cellStyle name="20% - Accent5 2 4 2 3" xfId="4719" xr:uid="{00000000-0005-0000-0000-0000FC300000}"/>
    <cellStyle name="20% - Accent5 2 4 2 3 2" xfId="11820" xr:uid="{00000000-0005-0000-0000-0000FD300000}"/>
    <cellStyle name="20% - Accent5 2 4 2 3 2 2" xfId="37574" xr:uid="{00000000-0005-0000-0000-0000FE300000}"/>
    <cellStyle name="20% - Accent5 2 4 2 3 3" xfId="18921" xr:uid="{00000000-0005-0000-0000-0000FF300000}"/>
    <cellStyle name="20% - Accent5 2 4 2 3 4" xfId="26023" xr:uid="{00000000-0005-0000-0000-000000310000}"/>
    <cellStyle name="20% - Accent5 2 4 2 3 5" xfId="33125" xr:uid="{00000000-0005-0000-0000-000001310000}"/>
    <cellStyle name="20% - Accent5 2 4 2 3 6" xfId="37575" xr:uid="{00000000-0005-0000-0000-000002310000}"/>
    <cellStyle name="20% - Accent5 2 4 2 4" xfId="3294" xr:uid="{00000000-0005-0000-0000-000003310000}"/>
    <cellStyle name="20% - Accent5 2 4 2 4 2" xfId="10400" xr:uid="{00000000-0005-0000-0000-000004310000}"/>
    <cellStyle name="20% - Accent5 2 4 2 4 3" xfId="17501" xr:uid="{00000000-0005-0000-0000-000005310000}"/>
    <cellStyle name="20% - Accent5 2 4 2 4 4" xfId="24603" xr:uid="{00000000-0005-0000-0000-000006310000}"/>
    <cellStyle name="20% - Accent5 2 4 2 4 5" xfId="31705" xr:uid="{00000000-0005-0000-0000-000007310000}"/>
    <cellStyle name="20% - Accent5 2 4 2 4 6" xfId="37576" xr:uid="{00000000-0005-0000-0000-000008310000}"/>
    <cellStyle name="20% - Accent5 2 4 2 5" xfId="7560" xr:uid="{00000000-0005-0000-0000-000009310000}"/>
    <cellStyle name="20% - Accent5 2 4 2 6" xfId="14661" xr:uid="{00000000-0005-0000-0000-00000A310000}"/>
    <cellStyle name="20% - Accent5 2 4 2 7" xfId="21763" xr:uid="{00000000-0005-0000-0000-00000B310000}"/>
    <cellStyle name="20% - Accent5 2 4 2 8" xfId="28865" xr:uid="{00000000-0005-0000-0000-00000C310000}"/>
    <cellStyle name="20% - Accent5 2 4 2 9" xfId="37577" xr:uid="{00000000-0005-0000-0000-00000D310000}"/>
    <cellStyle name="20% - Accent5 2 4 3" xfId="594" xr:uid="{00000000-0005-0000-0000-00000E310000}"/>
    <cellStyle name="20% - Accent5 2 4 3 2" xfId="2085" xr:uid="{00000000-0005-0000-0000-00000F310000}"/>
    <cellStyle name="20% - Accent5 2 4 3 2 2" xfId="6353" xr:uid="{00000000-0005-0000-0000-000010310000}"/>
    <cellStyle name="20% - Accent5 2 4 3 2 2 2" xfId="13453" xr:uid="{00000000-0005-0000-0000-000011310000}"/>
    <cellStyle name="20% - Accent5 2 4 3 2 2 3" xfId="20554" xr:uid="{00000000-0005-0000-0000-000012310000}"/>
    <cellStyle name="20% - Accent5 2 4 3 2 2 4" xfId="27656" xr:uid="{00000000-0005-0000-0000-000013310000}"/>
    <cellStyle name="20% - Accent5 2 4 3 2 2 5" xfId="34758" xr:uid="{00000000-0005-0000-0000-000014310000}"/>
    <cellStyle name="20% - Accent5 2 4 3 2 2 6" xfId="37578" xr:uid="{00000000-0005-0000-0000-000015310000}"/>
    <cellStyle name="20% - Accent5 2 4 3 2 3" xfId="9193" xr:uid="{00000000-0005-0000-0000-000016310000}"/>
    <cellStyle name="20% - Accent5 2 4 3 2 4" xfId="16294" xr:uid="{00000000-0005-0000-0000-000017310000}"/>
    <cellStyle name="20% - Accent5 2 4 3 2 5" xfId="23396" xr:uid="{00000000-0005-0000-0000-000018310000}"/>
    <cellStyle name="20% - Accent5 2 4 3 2 6" xfId="30498" xr:uid="{00000000-0005-0000-0000-000019310000}"/>
    <cellStyle name="20% - Accent5 2 4 3 2 7" xfId="37579" xr:uid="{00000000-0005-0000-0000-00001A310000}"/>
    <cellStyle name="20% - Accent5 2 4 3 3" xfId="4932" xr:uid="{00000000-0005-0000-0000-00001B310000}"/>
    <cellStyle name="20% - Accent5 2 4 3 3 2" xfId="12033" xr:uid="{00000000-0005-0000-0000-00001C310000}"/>
    <cellStyle name="20% - Accent5 2 4 3 3 2 2" xfId="37580" xr:uid="{00000000-0005-0000-0000-00001D310000}"/>
    <cellStyle name="20% - Accent5 2 4 3 3 3" xfId="19134" xr:uid="{00000000-0005-0000-0000-00001E310000}"/>
    <cellStyle name="20% - Accent5 2 4 3 3 4" xfId="26236" xr:uid="{00000000-0005-0000-0000-00001F310000}"/>
    <cellStyle name="20% - Accent5 2 4 3 3 5" xfId="33338" xr:uid="{00000000-0005-0000-0000-000020310000}"/>
    <cellStyle name="20% - Accent5 2 4 3 3 6" xfId="37581" xr:uid="{00000000-0005-0000-0000-000021310000}"/>
    <cellStyle name="20% - Accent5 2 4 3 4" xfId="3507" xr:uid="{00000000-0005-0000-0000-000022310000}"/>
    <cellStyle name="20% - Accent5 2 4 3 4 2" xfId="10613" xr:uid="{00000000-0005-0000-0000-000023310000}"/>
    <cellStyle name="20% - Accent5 2 4 3 4 3" xfId="17714" xr:uid="{00000000-0005-0000-0000-000024310000}"/>
    <cellStyle name="20% - Accent5 2 4 3 4 4" xfId="24816" xr:uid="{00000000-0005-0000-0000-000025310000}"/>
    <cellStyle name="20% - Accent5 2 4 3 4 5" xfId="31918" xr:uid="{00000000-0005-0000-0000-000026310000}"/>
    <cellStyle name="20% - Accent5 2 4 3 4 6" xfId="37582" xr:uid="{00000000-0005-0000-0000-000027310000}"/>
    <cellStyle name="20% - Accent5 2 4 3 5" xfId="7773" xr:uid="{00000000-0005-0000-0000-000028310000}"/>
    <cellStyle name="20% - Accent5 2 4 3 6" xfId="14874" xr:uid="{00000000-0005-0000-0000-000029310000}"/>
    <cellStyle name="20% - Accent5 2 4 3 7" xfId="21976" xr:uid="{00000000-0005-0000-0000-00002A310000}"/>
    <cellStyle name="20% - Accent5 2 4 3 8" xfId="29078" xr:uid="{00000000-0005-0000-0000-00002B310000}"/>
    <cellStyle name="20% - Accent5 2 4 3 9" xfId="37583" xr:uid="{00000000-0005-0000-0000-00002C310000}"/>
    <cellStyle name="20% - Accent5 2 4 4" xfId="807" xr:uid="{00000000-0005-0000-0000-00002D310000}"/>
    <cellStyle name="20% - Accent5 2 4 4 2" xfId="2298" xr:uid="{00000000-0005-0000-0000-00002E310000}"/>
    <cellStyle name="20% - Accent5 2 4 4 2 2" xfId="6566" xr:uid="{00000000-0005-0000-0000-00002F310000}"/>
    <cellStyle name="20% - Accent5 2 4 4 2 2 2" xfId="13666" xr:uid="{00000000-0005-0000-0000-000030310000}"/>
    <cellStyle name="20% - Accent5 2 4 4 2 2 3" xfId="20767" xr:uid="{00000000-0005-0000-0000-000031310000}"/>
    <cellStyle name="20% - Accent5 2 4 4 2 2 4" xfId="27869" xr:uid="{00000000-0005-0000-0000-000032310000}"/>
    <cellStyle name="20% - Accent5 2 4 4 2 2 5" xfId="34971" xr:uid="{00000000-0005-0000-0000-000033310000}"/>
    <cellStyle name="20% - Accent5 2 4 4 2 2 6" xfId="37584" xr:uid="{00000000-0005-0000-0000-000034310000}"/>
    <cellStyle name="20% - Accent5 2 4 4 2 3" xfId="9406" xr:uid="{00000000-0005-0000-0000-000035310000}"/>
    <cellStyle name="20% - Accent5 2 4 4 2 4" xfId="16507" xr:uid="{00000000-0005-0000-0000-000036310000}"/>
    <cellStyle name="20% - Accent5 2 4 4 2 5" xfId="23609" xr:uid="{00000000-0005-0000-0000-000037310000}"/>
    <cellStyle name="20% - Accent5 2 4 4 2 6" xfId="30711" xr:uid="{00000000-0005-0000-0000-000038310000}"/>
    <cellStyle name="20% - Accent5 2 4 4 2 7" xfId="37585" xr:uid="{00000000-0005-0000-0000-000039310000}"/>
    <cellStyle name="20% - Accent5 2 4 4 3" xfId="5145" xr:uid="{00000000-0005-0000-0000-00003A310000}"/>
    <cellStyle name="20% - Accent5 2 4 4 3 2" xfId="12246" xr:uid="{00000000-0005-0000-0000-00003B310000}"/>
    <cellStyle name="20% - Accent5 2 4 4 3 2 2" xfId="37586" xr:uid="{00000000-0005-0000-0000-00003C310000}"/>
    <cellStyle name="20% - Accent5 2 4 4 3 3" xfId="19347" xr:uid="{00000000-0005-0000-0000-00003D310000}"/>
    <cellStyle name="20% - Accent5 2 4 4 3 4" xfId="26449" xr:uid="{00000000-0005-0000-0000-00003E310000}"/>
    <cellStyle name="20% - Accent5 2 4 4 3 5" xfId="33551" xr:uid="{00000000-0005-0000-0000-00003F310000}"/>
    <cellStyle name="20% - Accent5 2 4 4 3 6" xfId="37587" xr:uid="{00000000-0005-0000-0000-000040310000}"/>
    <cellStyle name="20% - Accent5 2 4 4 4" xfId="3720" xr:uid="{00000000-0005-0000-0000-000041310000}"/>
    <cellStyle name="20% - Accent5 2 4 4 4 2" xfId="10826" xr:uid="{00000000-0005-0000-0000-000042310000}"/>
    <cellStyle name="20% - Accent5 2 4 4 4 3" xfId="17927" xr:uid="{00000000-0005-0000-0000-000043310000}"/>
    <cellStyle name="20% - Accent5 2 4 4 4 4" xfId="25029" xr:uid="{00000000-0005-0000-0000-000044310000}"/>
    <cellStyle name="20% - Accent5 2 4 4 4 5" xfId="32131" xr:uid="{00000000-0005-0000-0000-000045310000}"/>
    <cellStyle name="20% - Accent5 2 4 4 4 6" xfId="37588" xr:uid="{00000000-0005-0000-0000-000046310000}"/>
    <cellStyle name="20% - Accent5 2 4 4 5" xfId="7986" xr:uid="{00000000-0005-0000-0000-000047310000}"/>
    <cellStyle name="20% - Accent5 2 4 4 6" xfId="15087" xr:uid="{00000000-0005-0000-0000-000048310000}"/>
    <cellStyle name="20% - Accent5 2 4 4 7" xfId="22189" xr:uid="{00000000-0005-0000-0000-000049310000}"/>
    <cellStyle name="20% - Accent5 2 4 4 8" xfId="29291" xr:uid="{00000000-0005-0000-0000-00004A310000}"/>
    <cellStyle name="20% - Accent5 2 4 4 9" xfId="37589" xr:uid="{00000000-0005-0000-0000-00004B310000}"/>
    <cellStyle name="20% - Accent5 2 4 5" xfId="1162" xr:uid="{00000000-0005-0000-0000-00004C310000}"/>
    <cellStyle name="20% - Accent5 2 4 5 2" xfId="2653" xr:uid="{00000000-0005-0000-0000-00004D310000}"/>
    <cellStyle name="20% - Accent5 2 4 5 2 2" xfId="6921" xr:uid="{00000000-0005-0000-0000-00004E310000}"/>
    <cellStyle name="20% - Accent5 2 4 5 2 2 2" xfId="14021" xr:uid="{00000000-0005-0000-0000-00004F310000}"/>
    <cellStyle name="20% - Accent5 2 4 5 2 2 3" xfId="21122" xr:uid="{00000000-0005-0000-0000-000050310000}"/>
    <cellStyle name="20% - Accent5 2 4 5 2 2 4" xfId="28224" xr:uid="{00000000-0005-0000-0000-000051310000}"/>
    <cellStyle name="20% - Accent5 2 4 5 2 2 5" xfId="35326" xr:uid="{00000000-0005-0000-0000-000052310000}"/>
    <cellStyle name="20% - Accent5 2 4 5 2 3" xfId="9761" xr:uid="{00000000-0005-0000-0000-000053310000}"/>
    <cellStyle name="20% - Accent5 2 4 5 2 4" xfId="16862" xr:uid="{00000000-0005-0000-0000-000054310000}"/>
    <cellStyle name="20% - Accent5 2 4 5 2 5" xfId="23964" xr:uid="{00000000-0005-0000-0000-000055310000}"/>
    <cellStyle name="20% - Accent5 2 4 5 2 6" xfId="31066" xr:uid="{00000000-0005-0000-0000-000056310000}"/>
    <cellStyle name="20% - Accent5 2 4 5 2 7" xfId="37590" xr:uid="{00000000-0005-0000-0000-000057310000}"/>
    <cellStyle name="20% - Accent5 2 4 5 3" xfId="5500" xr:uid="{00000000-0005-0000-0000-000058310000}"/>
    <cellStyle name="20% - Accent5 2 4 5 3 2" xfId="12601" xr:uid="{00000000-0005-0000-0000-000059310000}"/>
    <cellStyle name="20% - Accent5 2 4 5 3 3" xfId="19702" xr:uid="{00000000-0005-0000-0000-00005A310000}"/>
    <cellStyle name="20% - Accent5 2 4 5 3 4" xfId="26804" xr:uid="{00000000-0005-0000-0000-00005B310000}"/>
    <cellStyle name="20% - Accent5 2 4 5 3 5" xfId="33906" xr:uid="{00000000-0005-0000-0000-00005C310000}"/>
    <cellStyle name="20% - Accent5 2 4 5 4" xfId="4075" xr:uid="{00000000-0005-0000-0000-00005D310000}"/>
    <cellStyle name="20% - Accent5 2 4 5 4 2" xfId="11181" xr:uid="{00000000-0005-0000-0000-00005E310000}"/>
    <cellStyle name="20% - Accent5 2 4 5 4 3" xfId="18282" xr:uid="{00000000-0005-0000-0000-00005F310000}"/>
    <cellStyle name="20% - Accent5 2 4 5 4 4" xfId="25384" xr:uid="{00000000-0005-0000-0000-000060310000}"/>
    <cellStyle name="20% - Accent5 2 4 5 4 5" xfId="32486" xr:uid="{00000000-0005-0000-0000-000061310000}"/>
    <cellStyle name="20% - Accent5 2 4 5 5" xfId="8341" xr:uid="{00000000-0005-0000-0000-000062310000}"/>
    <cellStyle name="20% - Accent5 2 4 5 6" xfId="15442" xr:uid="{00000000-0005-0000-0000-000063310000}"/>
    <cellStyle name="20% - Accent5 2 4 5 7" xfId="22544" xr:uid="{00000000-0005-0000-0000-000064310000}"/>
    <cellStyle name="20% - Accent5 2 4 5 8" xfId="29646" xr:uid="{00000000-0005-0000-0000-000065310000}"/>
    <cellStyle name="20% - Accent5 2 4 5 9" xfId="37591" xr:uid="{00000000-0005-0000-0000-000066310000}"/>
    <cellStyle name="20% - Accent5 2 4 6" xfId="1375" xr:uid="{00000000-0005-0000-0000-000067310000}"/>
    <cellStyle name="20% - Accent5 2 4 6 2" xfId="2866" xr:uid="{00000000-0005-0000-0000-000068310000}"/>
    <cellStyle name="20% - Accent5 2 4 6 2 2" xfId="7134" xr:uid="{00000000-0005-0000-0000-000069310000}"/>
    <cellStyle name="20% - Accent5 2 4 6 2 2 2" xfId="14234" xr:uid="{00000000-0005-0000-0000-00006A310000}"/>
    <cellStyle name="20% - Accent5 2 4 6 2 2 3" xfId="21335" xr:uid="{00000000-0005-0000-0000-00006B310000}"/>
    <cellStyle name="20% - Accent5 2 4 6 2 2 4" xfId="28437" xr:uid="{00000000-0005-0000-0000-00006C310000}"/>
    <cellStyle name="20% - Accent5 2 4 6 2 2 5" xfId="35539" xr:uid="{00000000-0005-0000-0000-00006D310000}"/>
    <cellStyle name="20% - Accent5 2 4 6 2 3" xfId="9974" xr:uid="{00000000-0005-0000-0000-00006E310000}"/>
    <cellStyle name="20% - Accent5 2 4 6 2 4" xfId="17075" xr:uid="{00000000-0005-0000-0000-00006F310000}"/>
    <cellStyle name="20% - Accent5 2 4 6 2 5" xfId="24177" xr:uid="{00000000-0005-0000-0000-000070310000}"/>
    <cellStyle name="20% - Accent5 2 4 6 2 6" xfId="31279" xr:uid="{00000000-0005-0000-0000-000071310000}"/>
    <cellStyle name="20% - Accent5 2 4 6 2 7" xfId="37592" xr:uid="{00000000-0005-0000-0000-000072310000}"/>
    <cellStyle name="20% - Accent5 2 4 6 3" xfId="5713" xr:uid="{00000000-0005-0000-0000-000073310000}"/>
    <cellStyle name="20% - Accent5 2 4 6 3 2" xfId="12814" xr:uid="{00000000-0005-0000-0000-000074310000}"/>
    <cellStyle name="20% - Accent5 2 4 6 3 3" xfId="19915" xr:uid="{00000000-0005-0000-0000-000075310000}"/>
    <cellStyle name="20% - Accent5 2 4 6 3 4" xfId="27017" xr:uid="{00000000-0005-0000-0000-000076310000}"/>
    <cellStyle name="20% - Accent5 2 4 6 3 5" xfId="34119" xr:uid="{00000000-0005-0000-0000-000077310000}"/>
    <cellStyle name="20% - Accent5 2 4 6 4" xfId="4288" xr:uid="{00000000-0005-0000-0000-000078310000}"/>
    <cellStyle name="20% - Accent5 2 4 6 4 2" xfId="11394" xr:uid="{00000000-0005-0000-0000-000079310000}"/>
    <cellStyle name="20% - Accent5 2 4 6 4 3" xfId="18495" xr:uid="{00000000-0005-0000-0000-00007A310000}"/>
    <cellStyle name="20% - Accent5 2 4 6 4 4" xfId="25597" xr:uid="{00000000-0005-0000-0000-00007B310000}"/>
    <cellStyle name="20% - Accent5 2 4 6 4 5" xfId="32699" xr:uid="{00000000-0005-0000-0000-00007C310000}"/>
    <cellStyle name="20% - Accent5 2 4 6 5" xfId="8554" xr:uid="{00000000-0005-0000-0000-00007D310000}"/>
    <cellStyle name="20% - Accent5 2 4 6 6" xfId="15655" xr:uid="{00000000-0005-0000-0000-00007E310000}"/>
    <cellStyle name="20% - Accent5 2 4 6 7" xfId="22757" xr:uid="{00000000-0005-0000-0000-00007F310000}"/>
    <cellStyle name="20% - Accent5 2 4 6 8" xfId="29859" xr:uid="{00000000-0005-0000-0000-000080310000}"/>
    <cellStyle name="20% - Accent5 2 4 6 9" xfId="37593" xr:uid="{00000000-0005-0000-0000-000081310000}"/>
    <cellStyle name="20% - Accent5 2 4 7" xfId="1659" xr:uid="{00000000-0005-0000-0000-000082310000}"/>
    <cellStyle name="20% - Accent5 2 4 7 2" xfId="5927" xr:uid="{00000000-0005-0000-0000-000083310000}"/>
    <cellStyle name="20% - Accent5 2 4 7 2 2" xfId="13027" xr:uid="{00000000-0005-0000-0000-000084310000}"/>
    <cellStyle name="20% - Accent5 2 4 7 2 3" xfId="20128" xr:uid="{00000000-0005-0000-0000-000085310000}"/>
    <cellStyle name="20% - Accent5 2 4 7 2 4" xfId="27230" xr:uid="{00000000-0005-0000-0000-000086310000}"/>
    <cellStyle name="20% - Accent5 2 4 7 2 5" xfId="34332" xr:uid="{00000000-0005-0000-0000-000087310000}"/>
    <cellStyle name="20% - Accent5 2 4 7 3" xfId="8767" xr:uid="{00000000-0005-0000-0000-000088310000}"/>
    <cellStyle name="20% - Accent5 2 4 7 4" xfId="15868" xr:uid="{00000000-0005-0000-0000-000089310000}"/>
    <cellStyle name="20% - Accent5 2 4 7 5" xfId="22970" xr:uid="{00000000-0005-0000-0000-00008A310000}"/>
    <cellStyle name="20% - Accent5 2 4 7 6" xfId="30072" xr:uid="{00000000-0005-0000-0000-00008B310000}"/>
    <cellStyle name="20% - Accent5 2 4 7 7" xfId="37594" xr:uid="{00000000-0005-0000-0000-00008C310000}"/>
    <cellStyle name="20% - Accent5 2 4 8" xfId="4506" xr:uid="{00000000-0005-0000-0000-00008D310000}"/>
    <cellStyle name="20% - Accent5 2 4 8 2" xfId="11607" xr:uid="{00000000-0005-0000-0000-00008E310000}"/>
    <cellStyle name="20% - Accent5 2 4 8 3" xfId="18708" xr:uid="{00000000-0005-0000-0000-00008F310000}"/>
    <cellStyle name="20% - Accent5 2 4 8 4" xfId="25810" xr:uid="{00000000-0005-0000-0000-000090310000}"/>
    <cellStyle name="20% - Accent5 2 4 8 5" xfId="32912" xr:uid="{00000000-0005-0000-0000-000091310000}"/>
    <cellStyle name="20% - Accent5 2 4 9" xfId="3081" xr:uid="{00000000-0005-0000-0000-000092310000}"/>
    <cellStyle name="20% - Accent5 2 4 9 2" xfId="10187" xr:uid="{00000000-0005-0000-0000-000093310000}"/>
    <cellStyle name="20% - Accent5 2 4 9 3" xfId="17288" xr:uid="{00000000-0005-0000-0000-000094310000}"/>
    <cellStyle name="20% - Accent5 2 4 9 4" xfId="24390" xr:uid="{00000000-0005-0000-0000-000095310000}"/>
    <cellStyle name="20% - Accent5 2 4 9 5" xfId="31492" xr:uid="{00000000-0005-0000-0000-000096310000}"/>
    <cellStyle name="20% - Accent5 2 5" xfId="310" xr:uid="{00000000-0005-0000-0000-000097310000}"/>
    <cellStyle name="20% - Accent5 2 5 10" xfId="37595" xr:uid="{00000000-0005-0000-0000-000098310000}"/>
    <cellStyle name="20% - Accent5 2 5 2" xfId="1091" xr:uid="{00000000-0005-0000-0000-000099310000}"/>
    <cellStyle name="20% - Accent5 2 5 2 2" xfId="2582" xr:uid="{00000000-0005-0000-0000-00009A310000}"/>
    <cellStyle name="20% - Accent5 2 5 2 2 2" xfId="6850" xr:uid="{00000000-0005-0000-0000-00009B310000}"/>
    <cellStyle name="20% - Accent5 2 5 2 2 2 2" xfId="13950" xr:uid="{00000000-0005-0000-0000-00009C310000}"/>
    <cellStyle name="20% - Accent5 2 5 2 2 2 3" xfId="21051" xr:uid="{00000000-0005-0000-0000-00009D310000}"/>
    <cellStyle name="20% - Accent5 2 5 2 2 2 4" xfId="28153" xr:uid="{00000000-0005-0000-0000-00009E310000}"/>
    <cellStyle name="20% - Accent5 2 5 2 2 2 5" xfId="35255" xr:uid="{00000000-0005-0000-0000-00009F310000}"/>
    <cellStyle name="20% - Accent5 2 5 2 2 2 6" xfId="37596" xr:uid="{00000000-0005-0000-0000-0000A0310000}"/>
    <cellStyle name="20% - Accent5 2 5 2 2 3" xfId="9690" xr:uid="{00000000-0005-0000-0000-0000A1310000}"/>
    <cellStyle name="20% - Accent5 2 5 2 2 4" xfId="16791" xr:uid="{00000000-0005-0000-0000-0000A2310000}"/>
    <cellStyle name="20% - Accent5 2 5 2 2 5" xfId="23893" xr:uid="{00000000-0005-0000-0000-0000A3310000}"/>
    <cellStyle name="20% - Accent5 2 5 2 2 6" xfId="30995" xr:uid="{00000000-0005-0000-0000-0000A4310000}"/>
    <cellStyle name="20% - Accent5 2 5 2 2 7" xfId="37597" xr:uid="{00000000-0005-0000-0000-0000A5310000}"/>
    <cellStyle name="20% - Accent5 2 5 2 3" xfId="5429" xr:uid="{00000000-0005-0000-0000-0000A6310000}"/>
    <cellStyle name="20% - Accent5 2 5 2 3 2" xfId="12530" xr:uid="{00000000-0005-0000-0000-0000A7310000}"/>
    <cellStyle name="20% - Accent5 2 5 2 3 2 2" xfId="37598" xr:uid="{00000000-0005-0000-0000-0000A8310000}"/>
    <cellStyle name="20% - Accent5 2 5 2 3 3" xfId="19631" xr:uid="{00000000-0005-0000-0000-0000A9310000}"/>
    <cellStyle name="20% - Accent5 2 5 2 3 4" xfId="26733" xr:uid="{00000000-0005-0000-0000-0000AA310000}"/>
    <cellStyle name="20% - Accent5 2 5 2 3 5" xfId="33835" xr:uid="{00000000-0005-0000-0000-0000AB310000}"/>
    <cellStyle name="20% - Accent5 2 5 2 3 6" xfId="37599" xr:uid="{00000000-0005-0000-0000-0000AC310000}"/>
    <cellStyle name="20% - Accent5 2 5 2 4" xfId="4004" xr:uid="{00000000-0005-0000-0000-0000AD310000}"/>
    <cellStyle name="20% - Accent5 2 5 2 4 2" xfId="11110" xr:uid="{00000000-0005-0000-0000-0000AE310000}"/>
    <cellStyle name="20% - Accent5 2 5 2 4 3" xfId="18211" xr:uid="{00000000-0005-0000-0000-0000AF310000}"/>
    <cellStyle name="20% - Accent5 2 5 2 4 4" xfId="25313" xr:uid="{00000000-0005-0000-0000-0000B0310000}"/>
    <cellStyle name="20% - Accent5 2 5 2 4 5" xfId="32415" xr:uid="{00000000-0005-0000-0000-0000B1310000}"/>
    <cellStyle name="20% - Accent5 2 5 2 4 6" xfId="37600" xr:uid="{00000000-0005-0000-0000-0000B2310000}"/>
    <cellStyle name="20% - Accent5 2 5 2 5" xfId="8270" xr:uid="{00000000-0005-0000-0000-0000B3310000}"/>
    <cellStyle name="20% - Accent5 2 5 2 6" xfId="15371" xr:uid="{00000000-0005-0000-0000-0000B4310000}"/>
    <cellStyle name="20% - Accent5 2 5 2 7" xfId="22473" xr:uid="{00000000-0005-0000-0000-0000B5310000}"/>
    <cellStyle name="20% - Accent5 2 5 2 8" xfId="29575" xr:uid="{00000000-0005-0000-0000-0000B6310000}"/>
    <cellStyle name="20% - Accent5 2 5 2 9" xfId="37601" xr:uid="{00000000-0005-0000-0000-0000B7310000}"/>
    <cellStyle name="20% - Accent5 2 5 3" xfId="1801" xr:uid="{00000000-0005-0000-0000-0000B8310000}"/>
    <cellStyle name="20% - Accent5 2 5 3 2" xfId="6069" xr:uid="{00000000-0005-0000-0000-0000B9310000}"/>
    <cellStyle name="20% - Accent5 2 5 3 2 2" xfId="13169" xr:uid="{00000000-0005-0000-0000-0000BA310000}"/>
    <cellStyle name="20% - Accent5 2 5 3 2 2 2" xfId="37602" xr:uid="{00000000-0005-0000-0000-0000BB310000}"/>
    <cellStyle name="20% - Accent5 2 5 3 2 3" xfId="20270" xr:uid="{00000000-0005-0000-0000-0000BC310000}"/>
    <cellStyle name="20% - Accent5 2 5 3 2 4" xfId="27372" xr:uid="{00000000-0005-0000-0000-0000BD310000}"/>
    <cellStyle name="20% - Accent5 2 5 3 2 5" xfId="34474" xr:uid="{00000000-0005-0000-0000-0000BE310000}"/>
    <cellStyle name="20% - Accent5 2 5 3 2 6" xfId="37603" xr:uid="{00000000-0005-0000-0000-0000BF310000}"/>
    <cellStyle name="20% - Accent5 2 5 3 3" xfId="8909" xr:uid="{00000000-0005-0000-0000-0000C0310000}"/>
    <cellStyle name="20% - Accent5 2 5 3 3 2" xfId="37604" xr:uid="{00000000-0005-0000-0000-0000C1310000}"/>
    <cellStyle name="20% - Accent5 2 5 3 3 3" xfId="37605" xr:uid="{00000000-0005-0000-0000-0000C2310000}"/>
    <cellStyle name="20% - Accent5 2 5 3 4" xfId="16010" xr:uid="{00000000-0005-0000-0000-0000C3310000}"/>
    <cellStyle name="20% - Accent5 2 5 3 4 2" xfId="37606" xr:uid="{00000000-0005-0000-0000-0000C4310000}"/>
    <cellStyle name="20% - Accent5 2 5 3 5" xfId="23112" xr:uid="{00000000-0005-0000-0000-0000C5310000}"/>
    <cellStyle name="20% - Accent5 2 5 3 6" xfId="30214" xr:uid="{00000000-0005-0000-0000-0000C6310000}"/>
    <cellStyle name="20% - Accent5 2 5 3 7" xfId="37607" xr:uid="{00000000-0005-0000-0000-0000C7310000}"/>
    <cellStyle name="20% - Accent5 2 5 4" xfId="4648" xr:uid="{00000000-0005-0000-0000-0000C8310000}"/>
    <cellStyle name="20% - Accent5 2 5 4 2" xfId="11749" xr:uid="{00000000-0005-0000-0000-0000C9310000}"/>
    <cellStyle name="20% - Accent5 2 5 4 2 2" xfId="37608" xr:uid="{00000000-0005-0000-0000-0000CA310000}"/>
    <cellStyle name="20% - Accent5 2 5 4 2 3" xfId="37609" xr:uid="{00000000-0005-0000-0000-0000CB310000}"/>
    <cellStyle name="20% - Accent5 2 5 4 3" xfId="18850" xr:uid="{00000000-0005-0000-0000-0000CC310000}"/>
    <cellStyle name="20% - Accent5 2 5 4 3 2" xfId="37610" xr:uid="{00000000-0005-0000-0000-0000CD310000}"/>
    <cellStyle name="20% - Accent5 2 5 4 3 3" xfId="37611" xr:uid="{00000000-0005-0000-0000-0000CE310000}"/>
    <cellStyle name="20% - Accent5 2 5 4 4" xfId="25952" xr:uid="{00000000-0005-0000-0000-0000CF310000}"/>
    <cellStyle name="20% - Accent5 2 5 4 4 2" xfId="37612" xr:uid="{00000000-0005-0000-0000-0000D0310000}"/>
    <cellStyle name="20% - Accent5 2 5 4 5" xfId="33054" xr:uid="{00000000-0005-0000-0000-0000D1310000}"/>
    <cellStyle name="20% - Accent5 2 5 4 6" xfId="37613" xr:uid="{00000000-0005-0000-0000-0000D2310000}"/>
    <cellStyle name="20% - Accent5 2 5 5" xfId="3223" xr:uid="{00000000-0005-0000-0000-0000D3310000}"/>
    <cellStyle name="20% - Accent5 2 5 5 2" xfId="10329" xr:uid="{00000000-0005-0000-0000-0000D4310000}"/>
    <cellStyle name="20% - Accent5 2 5 5 2 2" xfId="37614" xr:uid="{00000000-0005-0000-0000-0000D5310000}"/>
    <cellStyle name="20% - Accent5 2 5 5 3" xfId="17430" xr:uid="{00000000-0005-0000-0000-0000D6310000}"/>
    <cellStyle name="20% - Accent5 2 5 5 4" xfId="24532" xr:uid="{00000000-0005-0000-0000-0000D7310000}"/>
    <cellStyle name="20% - Accent5 2 5 5 5" xfId="31634" xr:uid="{00000000-0005-0000-0000-0000D8310000}"/>
    <cellStyle name="20% - Accent5 2 5 5 6" xfId="37615" xr:uid="{00000000-0005-0000-0000-0000D9310000}"/>
    <cellStyle name="20% - Accent5 2 5 6" xfId="7489" xr:uid="{00000000-0005-0000-0000-0000DA310000}"/>
    <cellStyle name="20% - Accent5 2 5 6 2" xfId="37616" xr:uid="{00000000-0005-0000-0000-0000DB310000}"/>
    <cellStyle name="20% - Accent5 2 5 6 3" xfId="37617" xr:uid="{00000000-0005-0000-0000-0000DC310000}"/>
    <cellStyle name="20% - Accent5 2 5 7" xfId="14590" xr:uid="{00000000-0005-0000-0000-0000DD310000}"/>
    <cellStyle name="20% - Accent5 2 5 7 2" xfId="37618" xr:uid="{00000000-0005-0000-0000-0000DE310000}"/>
    <cellStyle name="20% - Accent5 2 5 8" xfId="21692" xr:uid="{00000000-0005-0000-0000-0000DF310000}"/>
    <cellStyle name="20% - Accent5 2 5 9" xfId="28794" xr:uid="{00000000-0005-0000-0000-0000E0310000}"/>
    <cellStyle name="20% - Accent5 2 6" xfId="523" xr:uid="{00000000-0005-0000-0000-0000E1310000}"/>
    <cellStyle name="20% - Accent5 2 6 2" xfId="2014" xr:uid="{00000000-0005-0000-0000-0000E2310000}"/>
    <cellStyle name="20% - Accent5 2 6 2 2" xfId="6282" xr:uid="{00000000-0005-0000-0000-0000E3310000}"/>
    <cellStyle name="20% - Accent5 2 6 2 2 2" xfId="13382" xr:uid="{00000000-0005-0000-0000-0000E4310000}"/>
    <cellStyle name="20% - Accent5 2 6 2 2 3" xfId="20483" xr:uid="{00000000-0005-0000-0000-0000E5310000}"/>
    <cellStyle name="20% - Accent5 2 6 2 2 4" xfId="27585" xr:uid="{00000000-0005-0000-0000-0000E6310000}"/>
    <cellStyle name="20% - Accent5 2 6 2 2 5" xfId="34687" xr:uid="{00000000-0005-0000-0000-0000E7310000}"/>
    <cellStyle name="20% - Accent5 2 6 2 2 6" xfId="37619" xr:uid="{00000000-0005-0000-0000-0000E8310000}"/>
    <cellStyle name="20% - Accent5 2 6 2 3" xfId="9122" xr:uid="{00000000-0005-0000-0000-0000E9310000}"/>
    <cellStyle name="20% - Accent5 2 6 2 4" xfId="16223" xr:uid="{00000000-0005-0000-0000-0000EA310000}"/>
    <cellStyle name="20% - Accent5 2 6 2 5" xfId="23325" xr:uid="{00000000-0005-0000-0000-0000EB310000}"/>
    <cellStyle name="20% - Accent5 2 6 2 6" xfId="30427" xr:uid="{00000000-0005-0000-0000-0000EC310000}"/>
    <cellStyle name="20% - Accent5 2 6 2 7" xfId="37620" xr:uid="{00000000-0005-0000-0000-0000ED310000}"/>
    <cellStyle name="20% - Accent5 2 6 3" xfId="4861" xr:uid="{00000000-0005-0000-0000-0000EE310000}"/>
    <cellStyle name="20% - Accent5 2 6 3 2" xfId="11962" xr:uid="{00000000-0005-0000-0000-0000EF310000}"/>
    <cellStyle name="20% - Accent5 2 6 3 2 2" xfId="37621" xr:uid="{00000000-0005-0000-0000-0000F0310000}"/>
    <cellStyle name="20% - Accent5 2 6 3 3" xfId="19063" xr:uid="{00000000-0005-0000-0000-0000F1310000}"/>
    <cellStyle name="20% - Accent5 2 6 3 4" xfId="26165" xr:uid="{00000000-0005-0000-0000-0000F2310000}"/>
    <cellStyle name="20% - Accent5 2 6 3 5" xfId="33267" xr:uid="{00000000-0005-0000-0000-0000F3310000}"/>
    <cellStyle name="20% - Accent5 2 6 3 6" xfId="37622" xr:uid="{00000000-0005-0000-0000-0000F4310000}"/>
    <cellStyle name="20% - Accent5 2 6 4" xfId="3436" xr:uid="{00000000-0005-0000-0000-0000F5310000}"/>
    <cellStyle name="20% - Accent5 2 6 4 2" xfId="10542" xr:uid="{00000000-0005-0000-0000-0000F6310000}"/>
    <cellStyle name="20% - Accent5 2 6 4 3" xfId="17643" xr:uid="{00000000-0005-0000-0000-0000F7310000}"/>
    <cellStyle name="20% - Accent5 2 6 4 4" xfId="24745" xr:uid="{00000000-0005-0000-0000-0000F8310000}"/>
    <cellStyle name="20% - Accent5 2 6 4 5" xfId="31847" xr:uid="{00000000-0005-0000-0000-0000F9310000}"/>
    <cellStyle name="20% - Accent5 2 6 4 6" xfId="37623" xr:uid="{00000000-0005-0000-0000-0000FA310000}"/>
    <cellStyle name="20% - Accent5 2 6 5" xfId="7702" xr:uid="{00000000-0005-0000-0000-0000FB310000}"/>
    <cellStyle name="20% - Accent5 2 6 6" xfId="14803" xr:uid="{00000000-0005-0000-0000-0000FC310000}"/>
    <cellStyle name="20% - Accent5 2 6 7" xfId="21905" xr:uid="{00000000-0005-0000-0000-0000FD310000}"/>
    <cellStyle name="20% - Accent5 2 6 8" xfId="29007" xr:uid="{00000000-0005-0000-0000-0000FE310000}"/>
    <cellStyle name="20% - Accent5 2 6 9" xfId="37624" xr:uid="{00000000-0005-0000-0000-0000FF310000}"/>
    <cellStyle name="20% - Accent5 2 7" xfId="736" xr:uid="{00000000-0005-0000-0000-000000320000}"/>
    <cellStyle name="20% - Accent5 2 7 2" xfId="2227" xr:uid="{00000000-0005-0000-0000-000001320000}"/>
    <cellStyle name="20% - Accent5 2 7 2 2" xfId="6495" xr:uid="{00000000-0005-0000-0000-000002320000}"/>
    <cellStyle name="20% - Accent5 2 7 2 2 2" xfId="13595" xr:uid="{00000000-0005-0000-0000-000003320000}"/>
    <cellStyle name="20% - Accent5 2 7 2 2 3" xfId="20696" xr:uid="{00000000-0005-0000-0000-000004320000}"/>
    <cellStyle name="20% - Accent5 2 7 2 2 4" xfId="27798" xr:uid="{00000000-0005-0000-0000-000005320000}"/>
    <cellStyle name="20% - Accent5 2 7 2 2 5" xfId="34900" xr:uid="{00000000-0005-0000-0000-000006320000}"/>
    <cellStyle name="20% - Accent5 2 7 2 2 6" xfId="37625" xr:uid="{00000000-0005-0000-0000-000007320000}"/>
    <cellStyle name="20% - Accent5 2 7 2 3" xfId="9335" xr:uid="{00000000-0005-0000-0000-000008320000}"/>
    <cellStyle name="20% - Accent5 2 7 2 4" xfId="16436" xr:uid="{00000000-0005-0000-0000-000009320000}"/>
    <cellStyle name="20% - Accent5 2 7 2 5" xfId="23538" xr:uid="{00000000-0005-0000-0000-00000A320000}"/>
    <cellStyle name="20% - Accent5 2 7 2 6" xfId="30640" xr:uid="{00000000-0005-0000-0000-00000B320000}"/>
    <cellStyle name="20% - Accent5 2 7 2 7" xfId="37626" xr:uid="{00000000-0005-0000-0000-00000C320000}"/>
    <cellStyle name="20% - Accent5 2 7 3" xfId="5074" xr:uid="{00000000-0005-0000-0000-00000D320000}"/>
    <cellStyle name="20% - Accent5 2 7 3 2" xfId="12175" xr:uid="{00000000-0005-0000-0000-00000E320000}"/>
    <cellStyle name="20% - Accent5 2 7 3 2 2" xfId="37627" xr:uid="{00000000-0005-0000-0000-00000F320000}"/>
    <cellStyle name="20% - Accent5 2 7 3 3" xfId="19276" xr:uid="{00000000-0005-0000-0000-000010320000}"/>
    <cellStyle name="20% - Accent5 2 7 3 4" xfId="26378" xr:uid="{00000000-0005-0000-0000-000011320000}"/>
    <cellStyle name="20% - Accent5 2 7 3 5" xfId="33480" xr:uid="{00000000-0005-0000-0000-000012320000}"/>
    <cellStyle name="20% - Accent5 2 7 3 6" xfId="37628" xr:uid="{00000000-0005-0000-0000-000013320000}"/>
    <cellStyle name="20% - Accent5 2 7 4" xfId="3649" xr:uid="{00000000-0005-0000-0000-000014320000}"/>
    <cellStyle name="20% - Accent5 2 7 4 2" xfId="10755" xr:uid="{00000000-0005-0000-0000-000015320000}"/>
    <cellStyle name="20% - Accent5 2 7 4 3" xfId="17856" xr:uid="{00000000-0005-0000-0000-000016320000}"/>
    <cellStyle name="20% - Accent5 2 7 4 4" xfId="24958" xr:uid="{00000000-0005-0000-0000-000017320000}"/>
    <cellStyle name="20% - Accent5 2 7 4 5" xfId="32060" xr:uid="{00000000-0005-0000-0000-000018320000}"/>
    <cellStyle name="20% - Accent5 2 7 4 6" xfId="37629" xr:uid="{00000000-0005-0000-0000-000019320000}"/>
    <cellStyle name="20% - Accent5 2 7 5" xfId="7915" xr:uid="{00000000-0005-0000-0000-00001A320000}"/>
    <cellStyle name="20% - Accent5 2 7 6" xfId="15016" xr:uid="{00000000-0005-0000-0000-00001B320000}"/>
    <cellStyle name="20% - Accent5 2 7 7" xfId="22118" xr:uid="{00000000-0005-0000-0000-00001C320000}"/>
    <cellStyle name="20% - Accent5 2 7 8" xfId="29220" xr:uid="{00000000-0005-0000-0000-00001D320000}"/>
    <cellStyle name="20% - Accent5 2 7 9" xfId="37630" xr:uid="{00000000-0005-0000-0000-00001E320000}"/>
    <cellStyle name="20% - Accent5 2 8" xfId="949" xr:uid="{00000000-0005-0000-0000-00001F320000}"/>
    <cellStyle name="20% - Accent5 2 8 2" xfId="2440" xr:uid="{00000000-0005-0000-0000-000020320000}"/>
    <cellStyle name="20% - Accent5 2 8 2 2" xfId="6708" xr:uid="{00000000-0005-0000-0000-000021320000}"/>
    <cellStyle name="20% - Accent5 2 8 2 2 2" xfId="13808" xr:uid="{00000000-0005-0000-0000-000022320000}"/>
    <cellStyle name="20% - Accent5 2 8 2 2 3" xfId="20909" xr:uid="{00000000-0005-0000-0000-000023320000}"/>
    <cellStyle name="20% - Accent5 2 8 2 2 4" xfId="28011" xr:uid="{00000000-0005-0000-0000-000024320000}"/>
    <cellStyle name="20% - Accent5 2 8 2 2 5" xfId="35113" xr:uid="{00000000-0005-0000-0000-000025320000}"/>
    <cellStyle name="20% - Accent5 2 8 2 2 6" xfId="37631" xr:uid="{00000000-0005-0000-0000-000026320000}"/>
    <cellStyle name="20% - Accent5 2 8 2 3" xfId="9548" xr:uid="{00000000-0005-0000-0000-000027320000}"/>
    <cellStyle name="20% - Accent5 2 8 2 4" xfId="16649" xr:uid="{00000000-0005-0000-0000-000028320000}"/>
    <cellStyle name="20% - Accent5 2 8 2 5" xfId="23751" xr:uid="{00000000-0005-0000-0000-000029320000}"/>
    <cellStyle name="20% - Accent5 2 8 2 6" xfId="30853" xr:uid="{00000000-0005-0000-0000-00002A320000}"/>
    <cellStyle name="20% - Accent5 2 8 2 7" xfId="37632" xr:uid="{00000000-0005-0000-0000-00002B320000}"/>
    <cellStyle name="20% - Accent5 2 8 3" xfId="5287" xr:uid="{00000000-0005-0000-0000-00002C320000}"/>
    <cellStyle name="20% - Accent5 2 8 3 2" xfId="12388" xr:uid="{00000000-0005-0000-0000-00002D320000}"/>
    <cellStyle name="20% - Accent5 2 8 3 2 2" xfId="37633" xr:uid="{00000000-0005-0000-0000-00002E320000}"/>
    <cellStyle name="20% - Accent5 2 8 3 3" xfId="19489" xr:uid="{00000000-0005-0000-0000-00002F320000}"/>
    <cellStyle name="20% - Accent5 2 8 3 4" xfId="26591" xr:uid="{00000000-0005-0000-0000-000030320000}"/>
    <cellStyle name="20% - Accent5 2 8 3 5" xfId="33693" xr:uid="{00000000-0005-0000-0000-000031320000}"/>
    <cellStyle name="20% - Accent5 2 8 3 6" xfId="37634" xr:uid="{00000000-0005-0000-0000-000032320000}"/>
    <cellStyle name="20% - Accent5 2 8 4" xfId="3862" xr:uid="{00000000-0005-0000-0000-000033320000}"/>
    <cellStyle name="20% - Accent5 2 8 4 2" xfId="10968" xr:uid="{00000000-0005-0000-0000-000034320000}"/>
    <cellStyle name="20% - Accent5 2 8 4 3" xfId="18069" xr:uid="{00000000-0005-0000-0000-000035320000}"/>
    <cellStyle name="20% - Accent5 2 8 4 4" xfId="25171" xr:uid="{00000000-0005-0000-0000-000036320000}"/>
    <cellStyle name="20% - Accent5 2 8 4 5" xfId="32273" xr:uid="{00000000-0005-0000-0000-000037320000}"/>
    <cellStyle name="20% - Accent5 2 8 4 6" xfId="37635" xr:uid="{00000000-0005-0000-0000-000038320000}"/>
    <cellStyle name="20% - Accent5 2 8 5" xfId="8128" xr:uid="{00000000-0005-0000-0000-000039320000}"/>
    <cellStyle name="20% - Accent5 2 8 6" xfId="15229" xr:uid="{00000000-0005-0000-0000-00003A320000}"/>
    <cellStyle name="20% - Accent5 2 8 7" xfId="22331" xr:uid="{00000000-0005-0000-0000-00003B320000}"/>
    <cellStyle name="20% - Accent5 2 8 8" xfId="29433" xr:uid="{00000000-0005-0000-0000-00003C320000}"/>
    <cellStyle name="20% - Accent5 2 8 9" xfId="37636" xr:uid="{00000000-0005-0000-0000-00003D320000}"/>
    <cellStyle name="20% - Accent5 2 9" xfId="1304" xr:uid="{00000000-0005-0000-0000-00003E320000}"/>
    <cellStyle name="20% - Accent5 2 9 2" xfId="2795" xr:uid="{00000000-0005-0000-0000-00003F320000}"/>
    <cellStyle name="20% - Accent5 2 9 2 2" xfId="7063" xr:uid="{00000000-0005-0000-0000-000040320000}"/>
    <cellStyle name="20% - Accent5 2 9 2 2 2" xfId="14163" xr:uid="{00000000-0005-0000-0000-000041320000}"/>
    <cellStyle name="20% - Accent5 2 9 2 2 3" xfId="21264" xr:uid="{00000000-0005-0000-0000-000042320000}"/>
    <cellStyle name="20% - Accent5 2 9 2 2 4" xfId="28366" xr:uid="{00000000-0005-0000-0000-000043320000}"/>
    <cellStyle name="20% - Accent5 2 9 2 2 5" xfId="35468" xr:uid="{00000000-0005-0000-0000-000044320000}"/>
    <cellStyle name="20% - Accent5 2 9 2 3" xfId="9903" xr:uid="{00000000-0005-0000-0000-000045320000}"/>
    <cellStyle name="20% - Accent5 2 9 2 4" xfId="17004" xr:uid="{00000000-0005-0000-0000-000046320000}"/>
    <cellStyle name="20% - Accent5 2 9 2 5" xfId="24106" xr:uid="{00000000-0005-0000-0000-000047320000}"/>
    <cellStyle name="20% - Accent5 2 9 2 6" xfId="31208" xr:uid="{00000000-0005-0000-0000-000048320000}"/>
    <cellStyle name="20% - Accent5 2 9 2 7" xfId="37637" xr:uid="{00000000-0005-0000-0000-000049320000}"/>
    <cellStyle name="20% - Accent5 2 9 3" xfId="5642" xr:uid="{00000000-0005-0000-0000-00004A320000}"/>
    <cellStyle name="20% - Accent5 2 9 3 2" xfId="12743" xr:uid="{00000000-0005-0000-0000-00004B320000}"/>
    <cellStyle name="20% - Accent5 2 9 3 3" xfId="19844" xr:uid="{00000000-0005-0000-0000-00004C320000}"/>
    <cellStyle name="20% - Accent5 2 9 3 4" xfId="26946" xr:uid="{00000000-0005-0000-0000-00004D320000}"/>
    <cellStyle name="20% - Accent5 2 9 3 5" xfId="34048" xr:uid="{00000000-0005-0000-0000-00004E320000}"/>
    <cellStyle name="20% - Accent5 2 9 4" xfId="4217" xr:uid="{00000000-0005-0000-0000-00004F320000}"/>
    <cellStyle name="20% - Accent5 2 9 4 2" xfId="11323" xr:uid="{00000000-0005-0000-0000-000050320000}"/>
    <cellStyle name="20% - Accent5 2 9 4 3" xfId="18424" xr:uid="{00000000-0005-0000-0000-000051320000}"/>
    <cellStyle name="20% - Accent5 2 9 4 4" xfId="25526" xr:uid="{00000000-0005-0000-0000-000052320000}"/>
    <cellStyle name="20% - Accent5 2 9 4 5" xfId="32628" xr:uid="{00000000-0005-0000-0000-000053320000}"/>
    <cellStyle name="20% - Accent5 2 9 5" xfId="8483" xr:uid="{00000000-0005-0000-0000-000054320000}"/>
    <cellStyle name="20% - Accent5 2 9 6" xfId="15584" xr:uid="{00000000-0005-0000-0000-000055320000}"/>
    <cellStyle name="20% - Accent5 2 9 7" xfId="22686" xr:uid="{00000000-0005-0000-0000-000056320000}"/>
    <cellStyle name="20% - Accent5 2 9 8" xfId="29788" xr:uid="{00000000-0005-0000-0000-000057320000}"/>
    <cellStyle name="20% - Accent5 2 9 9" xfId="37638" xr:uid="{00000000-0005-0000-0000-000058320000}"/>
    <cellStyle name="20% - Accent5 20" xfId="37639" xr:uid="{00000000-0005-0000-0000-000059320000}"/>
    <cellStyle name="20% - Accent5 21" xfId="37640" xr:uid="{00000000-0005-0000-0000-00005A320000}"/>
    <cellStyle name="20% - Accent5 22" xfId="37641" xr:uid="{00000000-0005-0000-0000-00005B320000}"/>
    <cellStyle name="20% - Accent5 23" xfId="37642" xr:uid="{00000000-0005-0000-0000-00005C320000}"/>
    <cellStyle name="20% - Accent5 24" xfId="37643" xr:uid="{00000000-0005-0000-0000-00005D320000}"/>
    <cellStyle name="20% - Accent5 25" xfId="37644" xr:uid="{00000000-0005-0000-0000-00005E320000}"/>
    <cellStyle name="20% - Accent5 3" xfId="105" xr:uid="{00000000-0005-0000-0000-00005F320000}"/>
    <cellStyle name="20% - Accent5 3 10" xfId="4449" xr:uid="{00000000-0005-0000-0000-000060320000}"/>
    <cellStyle name="20% - Accent5 3 10 2" xfId="11550" xr:uid="{00000000-0005-0000-0000-000061320000}"/>
    <cellStyle name="20% - Accent5 3 10 3" xfId="18651" xr:uid="{00000000-0005-0000-0000-000062320000}"/>
    <cellStyle name="20% - Accent5 3 10 4" xfId="25753" xr:uid="{00000000-0005-0000-0000-000063320000}"/>
    <cellStyle name="20% - Accent5 3 10 5" xfId="32855" xr:uid="{00000000-0005-0000-0000-000064320000}"/>
    <cellStyle name="20% - Accent5 3 11" xfId="3024" xr:uid="{00000000-0005-0000-0000-000065320000}"/>
    <cellStyle name="20% - Accent5 3 11 2" xfId="10130" xr:uid="{00000000-0005-0000-0000-000066320000}"/>
    <cellStyle name="20% - Accent5 3 11 3" xfId="17231" xr:uid="{00000000-0005-0000-0000-000067320000}"/>
    <cellStyle name="20% - Accent5 3 11 4" xfId="24333" xr:uid="{00000000-0005-0000-0000-000068320000}"/>
    <cellStyle name="20% - Accent5 3 11 5" xfId="31435" xr:uid="{00000000-0005-0000-0000-000069320000}"/>
    <cellStyle name="20% - Accent5 3 12" xfId="7290" xr:uid="{00000000-0005-0000-0000-00006A320000}"/>
    <cellStyle name="20% - Accent5 3 13" xfId="14391" xr:uid="{00000000-0005-0000-0000-00006B320000}"/>
    <cellStyle name="20% - Accent5 3 14" xfId="21493" xr:uid="{00000000-0005-0000-0000-00006C320000}"/>
    <cellStyle name="20% - Accent5 3 15" xfId="28595" xr:uid="{00000000-0005-0000-0000-00006D320000}"/>
    <cellStyle name="20% - Accent5 3 16" xfId="35697" xr:uid="{00000000-0005-0000-0000-00006E320000}"/>
    <cellStyle name="20% - Accent5 3 17" xfId="37645" xr:uid="{00000000-0005-0000-0000-00006F320000}"/>
    <cellStyle name="20% - Accent5 3 18" xfId="37646" xr:uid="{00000000-0005-0000-0000-000070320000}"/>
    <cellStyle name="20% - Accent5 3 2" xfId="253" xr:uid="{00000000-0005-0000-0000-000071320000}"/>
    <cellStyle name="20% - Accent5 3 2 10" xfId="7432" xr:uid="{00000000-0005-0000-0000-000072320000}"/>
    <cellStyle name="20% - Accent5 3 2 11" xfId="14533" xr:uid="{00000000-0005-0000-0000-000073320000}"/>
    <cellStyle name="20% - Accent5 3 2 12" xfId="21635" xr:uid="{00000000-0005-0000-0000-000074320000}"/>
    <cellStyle name="20% - Accent5 3 2 13" xfId="28737" xr:uid="{00000000-0005-0000-0000-000075320000}"/>
    <cellStyle name="20% - Accent5 3 2 14" xfId="35839" xr:uid="{00000000-0005-0000-0000-000076320000}"/>
    <cellStyle name="20% - Accent5 3 2 15" xfId="37647" xr:uid="{00000000-0005-0000-0000-000077320000}"/>
    <cellStyle name="20% - Accent5 3 2 2" xfId="466" xr:uid="{00000000-0005-0000-0000-000078320000}"/>
    <cellStyle name="20% - Accent5 3 2 2 10" xfId="37648" xr:uid="{00000000-0005-0000-0000-000079320000}"/>
    <cellStyle name="20% - Accent5 3 2 2 2" xfId="1247" xr:uid="{00000000-0005-0000-0000-00007A320000}"/>
    <cellStyle name="20% - Accent5 3 2 2 2 2" xfId="2738" xr:uid="{00000000-0005-0000-0000-00007B320000}"/>
    <cellStyle name="20% - Accent5 3 2 2 2 2 2" xfId="7006" xr:uid="{00000000-0005-0000-0000-00007C320000}"/>
    <cellStyle name="20% - Accent5 3 2 2 2 2 2 2" xfId="14106" xr:uid="{00000000-0005-0000-0000-00007D320000}"/>
    <cellStyle name="20% - Accent5 3 2 2 2 2 2 3" xfId="21207" xr:uid="{00000000-0005-0000-0000-00007E320000}"/>
    <cellStyle name="20% - Accent5 3 2 2 2 2 2 4" xfId="28309" xr:uid="{00000000-0005-0000-0000-00007F320000}"/>
    <cellStyle name="20% - Accent5 3 2 2 2 2 2 5" xfId="35411" xr:uid="{00000000-0005-0000-0000-000080320000}"/>
    <cellStyle name="20% - Accent5 3 2 2 2 2 3" xfId="9846" xr:uid="{00000000-0005-0000-0000-000081320000}"/>
    <cellStyle name="20% - Accent5 3 2 2 2 2 4" xfId="16947" xr:uid="{00000000-0005-0000-0000-000082320000}"/>
    <cellStyle name="20% - Accent5 3 2 2 2 2 5" xfId="24049" xr:uid="{00000000-0005-0000-0000-000083320000}"/>
    <cellStyle name="20% - Accent5 3 2 2 2 2 6" xfId="31151" xr:uid="{00000000-0005-0000-0000-000084320000}"/>
    <cellStyle name="20% - Accent5 3 2 2 2 2 7" xfId="37649" xr:uid="{00000000-0005-0000-0000-000085320000}"/>
    <cellStyle name="20% - Accent5 3 2 2 2 3" xfId="5585" xr:uid="{00000000-0005-0000-0000-000086320000}"/>
    <cellStyle name="20% - Accent5 3 2 2 2 3 2" xfId="12686" xr:uid="{00000000-0005-0000-0000-000087320000}"/>
    <cellStyle name="20% - Accent5 3 2 2 2 3 3" xfId="19787" xr:uid="{00000000-0005-0000-0000-000088320000}"/>
    <cellStyle name="20% - Accent5 3 2 2 2 3 4" xfId="26889" xr:uid="{00000000-0005-0000-0000-000089320000}"/>
    <cellStyle name="20% - Accent5 3 2 2 2 3 5" xfId="33991" xr:uid="{00000000-0005-0000-0000-00008A320000}"/>
    <cellStyle name="20% - Accent5 3 2 2 2 4" xfId="4160" xr:uid="{00000000-0005-0000-0000-00008B320000}"/>
    <cellStyle name="20% - Accent5 3 2 2 2 4 2" xfId="11266" xr:uid="{00000000-0005-0000-0000-00008C320000}"/>
    <cellStyle name="20% - Accent5 3 2 2 2 4 3" xfId="18367" xr:uid="{00000000-0005-0000-0000-00008D320000}"/>
    <cellStyle name="20% - Accent5 3 2 2 2 4 4" xfId="25469" xr:uid="{00000000-0005-0000-0000-00008E320000}"/>
    <cellStyle name="20% - Accent5 3 2 2 2 4 5" xfId="32571" xr:uid="{00000000-0005-0000-0000-00008F320000}"/>
    <cellStyle name="20% - Accent5 3 2 2 2 5" xfId="8426" xr:uid="{00000000-0005-0000-0000-000090320000}"/>
    <cellStyle name="20% - Accent5 3 2 2 2 6" xfId="15527" xr:uid="{00000000-0005-0000-0000-000091320000}"/>
    <cellStyle name="20% - Accent5 3 2 2 2 7" xfId="22629" xr:uid="{00000000-0005-0000-0000-000092320000}"/>
    <cellStyle name="20% - Accent5 3 2 2 2 8" xfId="29731" xr:uid="{00000000-0005-0000-0000-000093320000}"/>
    <cellStyle name="20% - Accent5 3 2 2 2 9" xfId="37650" xr:uid="{00000000-0005-0000-0000-000094320000}"/>
    <cellStyle name="20% - Accent5 3 2 2 3" xfId="1957" xr:uid="{00000000-0005-0000-0000-000095320000}"/>
    <cellStyle name="20% - Accent5 3 2 2 3 2" xfId="6225" xr:uid="{00000000-0005-0000-0000-000096320000}"/>
    <cellStyle name="20% - Accent5 3 2 2 3 2 2" xfId="13325" xr:uid="{00000000-0005-0000-0000-000097320000}"/>
    <cellStyle name="20% - Accent5 3 2 2 3 2 3" xfId="20426" xr:uid="{00000000-0005-0000-0000-000098320000}"/>
    <cellStyle name="20% - Accent5 3 2 2 3 2 4" xfId="27528" xr:uid="{00000000-0005-0000-0000-000099320000}"/>
    <cellStyle name="20% - Accent5 3 2 2 3 2 5" xfId="34630" xr:uid="{00000000-0005-0000-0000-00009A320000}"/>
    <cellStyle name="20% - Accent5 3 2 2 3 2 6" xfId="37651" xr:uid="{00000000-0005-0000-0000-00009B320000}"/>
    <cellStyle name="20% - Accent5 3 2 2 3 3" xfId="9065" xr:uid="{00000000-0005-0000-0000-00009C320000}"/>
    <cellStyle name="20% - Accent5 3 2 2 3 4" xfId="16166" xr:uid="{00000000-0005-0000-0000-00009D320000}"/>
    <cellStyle name="20% - Accent5 3 2 2 3 5" xfId="23268" xr:uid="{00000000-0005-0000-0000-00009E320000}"/>
    <cellStyle name="20% - Accent5 3 2 2 3 6" xfId="30370" xr:uid="{00000000-0005-0000-0000-00009F320000}"/>
    <cellStyle name="20% - Accent5 3 2 2 3 7" xfId="37652" xr:uid="{00000000-0005-0000-0000-0000A0320000}"/>
    <cellStyle name="20% - Accent5 3 2 2 4" xfId="4804" xr:uid="{00000000-0005-0000-0000-0000A1320000}"/>
    <cellStyle name="20% - Accent5 3 2 2 4 2" xfId="11905" xr:uid="{00000000-0005-0000-0000-0000A2320000}"/>
    <cellStyle name="20% - Accent5 3 2 2 4 3" xfId="19006" xr:uid="{00000000-0005-0000-0000-0000A3320000}"/>
    <cellStyle name="20% - Accent5 3 2 2 4 4" xfId="26108" xr:uid="{00000000-0005-0000-0000-0000A4320000}"/>
    <cellStyle name="20% - Accent5 3 2 2 4 5" xfId="33210" xr:uid="{00000000-0005-0000-0000-0000A5320000}"/>
    <cellStyle name="20% - Accent5 3 2 2 4 6" xfId="37653" xr:uid="{00000000-0005-0000-0000-0000A6320000}"/>
    <cellStyle name="20% - Accent5 3 2 2 5" xfId="3379" xr:uid="{00000000-0005-0000-0000-0000A7320000}"/>
    <cellStyle name="20% - Accent5 3 2 2 5 2" xfId="10485" xr:uid="{00000000-0005-0000-0000-0000A8320000}"/>
    <cellStyle name="20% - Accent5 3 2 2 5 3" xfId="17586" xr:uid="{00000000-0005-0000-0000-0000A9320000}"/>
    <cellStyle name="20% - Accent5 3 2 2 5 4" xfId="24688" xr:uid="{00000000-0005-0000-0000-0000AA320000}"/>
    <cellStyle name="20% - Accent5 3 2 2 5 5" xfId="31790" xr:uid="{00000000-0005-0000-0000-0000AB320000}"/>
    <cellStyle name="20% - Accent5 3 2 2 6" xfId="7645" xr:uid="{00000000-0005-0000-0000-0000AC320000}"/>
    <cellStyle name="20% - Accent5 3 2 2 7" xfId="14746" xr:uid="{00000000-0005-0000-0000-0000AD320000}"/>
    <cellStyle name="20% - Accent5 3 2 2 8" xfId="21848" xr:uid="{00000000-0005-0000-0000-0000AE320000}"/>
    <cellStyle name="20% - Accent5 3 2 2 9" xfId="28950" xr:uid="{00000000-0005-0000-0000-0000AF320000}"/>
    <cellStyle name="20% - Accent5 3 2 3" xfId="679" xr:uid="{00000000-0005-0000-0000-0000B0320000}"/>
    <cellStyle name="20% - Accent5 3 2 3 2" xfId="2170" xr:uid="{00000000-0005-0000-0000-0000B1320000}"/>
    <cellStyle name="20% - Accent5 3 2 3 2 2" xfId="6438" xr:uid="{00000000-0005-0000-0000-0000B2320000}"/>
    <cellStyle name="20% - Accent5 3 2 3 2 2 2" xfId="13538" xr:uid="{00000000-0005-0000-0000-0000B3320000}"/>
    <cellStyle name="20% - Accent5 3 2 3 2 2 3" xfId="20639" xr:uid="{00000000-0005-0000-0000-0000B4320000}"/>
    <cellStyle name="20% - Accent5 3 2 3 2 2 4" xfId="27741" xr:uid="{00000000-0005-0000-0000-0000B5320000}"/>
    <cellStyle name="20% - Accent5 3 2 3 2 2 5" xfId="34843" xr:uid="{00000000-0005-0000-0000-0000B6320000}"/>
    <cellStyle name="20% - Accent5 3 2 3 2 2 6" xfId="37654" xr:uid="{00000000-0005-0000-0000-0000B7320000}"/>
    <cellStyle name="20% - Accent5 3 2 3 2 3" xfId="9278" xr:uid="{00000000-0005-0000-0000-0000B8320000}"/>
    <cellStyle name="20% - Accent5 3 2 3 2 4" xfId="16379" xr:uid="{00000000-0005-0000-0000-0000B9320000}"/>
    <cellStyle name="20% - Accent5 3 2 3 2 5" xfId="23481" xr:uid="{00000000-0005-0000-0000-0000BA320000}"/>
    <cellStyle name="20% - Accent5 3 2 3 2 6" xfId="30583" xr:uid="{00000000-0005-0000-0000-0000BB320000}"/>
    <cellStyle name="20% - Accent5 3 2 3 2 7" xfId="37655" xr:uid="{00000000-0005-0000-0000-0000BC320000}"/>
    <cellStyle name="20% - Accent5 3 2 3 3" xfId="5017" xr:uid="{00000000-0005-0000-0000-0000BD320000}"/>
    <cellStyle name="20% - Accent5 3 2 3 3 2" xfId="12118" xr:uid="{00000000-0005-0000-0000-0000BE320000}"/>
    <cellStyle name="20% - Accent5 3 2 3 3 2 2" xfId="37656" xr:uid="{00000000-0005-0000-0000-0000BF320000}"/>
    <cellStyle name="20% - Accent5 3 2 3 3 3" xfId="19219" xr:uid="{00000000-0005-0000-0000-0000C0320000}"/>
    <cellStyle name="20% - Accent5 3 2 3 3 4" xfId="26321" xr:uid="{00000000-0005-0000-0000-0000C1320000}"/>
    <cellStyle name="20% - Accent5 3 2 3 3 5" xfId="33423" xr:uid="{00000000-0005-0000-0000-0000C2320000}"/>
    <cellStyle name="20% - Accent5 3 2 3 3 6" xfId="37657" xr:uid="{00000000-0005-0000-0000-0000C3320000}"/>
    <cellStyle name="20% - Accent5 3 2 3 4" xfId="3592" xr:uid="{00000000-0005-0000-0000-0000C4320000}"/>
    <cellStyle name="20% - Accent5 3 2 3 4 2" xfId="10698" xr:uid="{00000000-0005-0000-0000-0000C5320000}"/>
    <cellStyle name="20% - Accent5 3 2 3 4 3" xfId="17799" xr:uid="{00000000-0005-0000-0000-0000C6320000}"/>
    <cellStyle name="20% - Accent5 3 2 3 4 4" xfId="24901" xr:uid="{00000000-0005-0000-0000-0000C7320000}"/>
    <cellStyle name="20% - Accent5 3 2 3 4 5" xfId="32003" xr:uid="{00000000-0005-0000-0000-0000C8320000}"/>
    <cellStyle name="20% - Accent5 3 2 3 4 6" xfId="37658" xr:uid="{00000000-0005-0000-0000-0000C9320000}"/>
    <cellStyle name="20% - Accent5 3 2 3 5" xfId="7858" xr:uid="{00000000-0005-0000-0000-0000CA320000}"/>
    <cellStyle name="20% - Accent5 3 2 3 6" xfId="14959" xr:uid="{00000000-0005-0000-0000-0000CB320000}"/>
    <cellStyle name="20% - Accent5 3 2 3 7" xfId="22061" xr:uid="{00000000-0005-0000-0000-0000CC320000}"/>
    <cellStyle name="20% - Accent5 3 2 3 8" xfId="29163" xr:uid="{00000000-0005-0000-0000-0000CD320000}"/>
    <cellStyle name="20% - Accent5 3 2 3 9" xfId="37659" xr:uid="{00000000-0005-0000-0000-0000CE320000}"/>
    <cellStyle name="20% - Accent5 3 2 4" xfId="892" xr:uid="{00000000-0005-0000-0000-0000CF320000}"/>
    <cellStyle name="20% - Accent5 3 2 4 2" xfId="2383" xr:uid="{00000000-0005-0000-0000-0000D0320000}"/>
    <cellStyle name="20% - Accent5 3 2 4 2 2" xfId="6651" xr:uid="{00000000-0005-0000-0000-0000D1320000}"/>
    <cellStyle name="20% - Accent5 3 2 4 2 2 2" xfId="13751" xr:uid="{00000000-0005-0000-0000-0000D2320000}"/>
    <cellStyle name="20% - Accent5 3 2 4 2 2 3" xfId="20852" xr:uid="{00000000-0005-0000-0000-0000D3320000}"/>
    <cellStyle name="20% - Accent5 3 2 4 2 2 4" xfId="27954" xr:uid="{00000000-0005-0000-0000-0000D4320000}"/>
    <cellStyle name="20% - Accent5 3 2 4 2 2 5" xfId="35056" xr:uid="{00000000-0005-0000-0000-0000D5320000}"/>
    <cellStyle name="20% - Accent5 3 2 4 2 2 6" xfId="37660" xr:uid="{00000000-0005-0000-0000-0000D6320000}"/>
    <cellStyle name="20% - Accent5 3 2 4 2 3" xfId="9491" xr:uid="{00000000-0005-0000-0000-0000D7320000}"/>
    <cellStyle name="20% - Accent5 3 2 4 2 4" xfId="16592" xr:uid="{00000000-0005-0000-0000-0000D8320000}"/>
    <cellStyle name="20% - Accent5 3 2 4 2 5" xfId="23694" xr:uid="{00000000-0005-0000-0000-0000D9320000}"/>
    <cellStyle name="20% - Accent5 3 2 4 2 6" xfId="30796" xr:uid="{00000000-0005-0000-0000-0000DA320000}"/>
    <cellStyle name="20% - Accent5 3 2 4 2 7" xfId="37661" xr:uid="{00000000-0005-0000-0000-0000DB320000}"/>
    <cellStyle name="20% - Accent5 3 2 4 3" xfId="5230" xr:uid="{00000000-0005-0000-0000-0000DC320000}"/>
    <cellStyle name="20% - Accent5 3 2 4 3 2" xfId="12331" xr:uid="{00000000-0005-0000-0000-0000DD320000}"/>
    <cellStyle name="20% - Accent5 3 2 4 3 2 2" xfId="37662" xr:uid="{00000000-0005-0000-0000-0000DE320000}"/>
    <cellStyle name="20% - Accent5 3 2 4 3 3" xfId="19432" xr:uid="{00000000-0005-0000-0000-0000DF320000}"/>
    <cellStyle name="20% - Accent5 3 2 4 3 4" xfId="26534" xr:uid="{00000000-0005-0000-0000-0000E0320000}"/>
    <cellStyle name="20% - Accent5 3 2 4 3 5" xfId="33636" xr:uid="{00000000-0005-0000-0000-0000E1320000}"/>
    <cellStyle name="20% - Accent5 3 2 4 3 6" xfId="37663" xr:uid="{00000000-0005-0000-0000-0000E2320000}"/>
    <cellStyle name="20% - Accent5 3 2 4 4" xfId="3805" xr:uid="{00000000-0005-0000-0000-0000E3320000}"/>
    <cellStyle name="20% - Accent5 3 2 4 4 2" xfId="10911" xr:uid="{00000000-0005-0000-0000-0000E4320000}"/>
    <cellStyle name="20% - Accent5 3 2 4 4 3" xfId="18012" xr:uid="{00000000-0005-0000-0000-0000E5320000}"/>
    <cellStyle name="20% - Accent5 3 2 4 4 4" xfId="25114" xr:uid="{00000000-0005-0000-0000-0000E6320000}"/>
    <cellStyle name="20% - Accent5 3 2 4 4 5" xfId="32216" xr:uid="{00000000-0005-0000-0000-0000E7320000}"/>
    <cellStyle name="20% - Accent5 3 2 4 4 6" xfId="37664" xr:uid="{00000000-0005-0000-0000-0000E8320000}"/>
    <cellStyle name="20% - Accent5 3 2 4 5" xfId="8071" xr:uid="{00000000-0005-0000-0000-0000E9320000}"/>
    <cellStyle name="20% - Accent5 3 2 4 6" xfId="15172" xr:uid="{00000000-0005-0000-0000-0000EA320000}"/>
    <cellStyle name="20% - Accent5 3 2 4 7" xfId="22274" xr:uid="{00000000-0005-0000-0000-0000EB320000}"/>
    <cellStyle name="20% - Accent5 3 2 4 8" xfId="29376" xr:uid="{00000000-0005-0000-0000-0000EC320000}"/>
    <cellStyle name="20% - Accent5 3 2 4 9" xfId="37665" xr:uid="{00000000-0005-0000-0000-0000ED320000}"/>
    <cellStyle name="20% - Accent5 3 2 5" xfId="1034" xr:uid="{00000000-0005-0000-0000-0000EE320000}"/>
    <cellStyle name="20% - Accent5 3 2 5 2" xfId="2525" xr:uid="{00000000-0005-0000-0000-0000EF320000}"/>
    <cellStyle name="20% - Accent5 3 2 5 2 2" xfId="6793" xr:uid="{00000000-0005-0000-0000-0000F0320000}"/>
    <cellStyle name="20% - Accent5 3 2 5 2 2 2" xfId="13893" xr:uid="{00000000-0005-0000-0000-0000F1320000}"/>
    <cellStyle name="20% - Accent5 3 2 5 2 2 3" xfId="20994" xr:uid="{00000000-0005-0000-0000-0000F2320000}"/>
    <cellStyle name="20% - Accent5 3 2 5 2 2 4" xfId="28096" xr:uid="{00000000-0005-0000-0000-0000F3320000}"/>
    <cellStyle name="20% - Accent5 3 2 5 2 2 5" xfId="35198" xr:uid="{00000000-0005-0000-0000-0000F4320000}"/>
    <cellStyle name="20% - Accent5 3 2 5 2 3" xfId="9633" xr:uid="{00000000-0005-0000-0000-0000F5320000}"/>
    <cellStyle name="20% - Accent5 3 2 5 2 4" xfId="16734" xr:uid="{00000000-0005-0000-0000-0000F6320000}"/>
    <cellStyle name="20% - Accent5 3 2 5 2 5" xfId="23836" xr:uid="{00000000-0005-0000-0000-0000F7320000}"/>
    <cellStyle name="20% - Accent5 3 2 5 2 6" xfId="30938" xr:uid="{00000000-0005-0000-0000-0000F8320000}"/>
    <cellStyle name="20% - Accent5 3 2 5 2 7" xfId="37666" xr:uid="{00000000-0005-0000-0000-0000F9320000}"/>
    <cellStyle name="20% - Accent5 3 2 5 3" xfId="5372" xr:uid="{00000000-0005-0000-0000-0000FA320000}"/>
    <cellStyle name="20% - Accent5 3 2 5 3 2" xfId="12473" xr:uid="{00000000-0005-0000-0000-0000FB320000}"/>
    <cellStyle name="20% - Accent5 3 2 5 3 3" xfId="19574" xr:uid="{00000000-0005-0000-0000-0000FC320000}"/>
    <cellStyle name="20% - Accent5 3 2 5 3 4" xfId="26676" xr:uid="{00000000-0005-0000-0000-0000FD320000}"/>
    <cellStyle name="20% - Accent5 3 2 5 3 5" xfId="33778" xr:uid="{00000000-0005-0000-0000-0000FE320000}"/>
    <cellStyle name="20% - Accent5 3 2 5 4" xfId="3947" xr:uid="{00000000-0005-0000-0000-0000FF320000}"/>
    <cellStyle name="20% - Accent5 3 2 5 4 2" xfId="11053" xr:uid="{00000000-0005-0000-0000-000000330000}"/>
    <cellStyle name="20% - Accent5 3 2 5 4 3" xfId="18154" xr:uid="{00000000-0005-0000-0000-000001330000}"/>
    <cellStyle name="20% - Accent5 3 2 5 4 4" xfId="25256" xr:uid="{00000000-0005-0000-0000-000002330000}"/>
    <cellStyle name="20% - Accent5 3 2 5 4 5" xfId="32358" xr:uid="{00000000-0005-0000-0000-000003330000}"/>
    <cellStyle name="20% - Accent5 3 2 5 5" xfId="8213" xr:uid="{00000000-0005-0000-0000-000004330000}"/>
    <cellStyle name="20% - Accent5 3 2 5 6" xfId="15314" xr:uid="{00000000-0005-0000-0000-000005330000}"/>
    <cellStyle name="20% - Accent5 3 2 5 7" xfId="22416" xr:uid="{00000000-0005-0000-0000-000006330000}"/>
    <cellStyle name="20% - Accent5 3 2 5 8" xfId="29518" xr:uid="{00000000-0005-0000-0000-000007330000}"/>
    <cellStyle name="20% - Accent5 3 2 5 9" xfId="37667" xr:uid="{00000000-0005-0000-0000-000008330000}"/>
    <cellStyle name="20% - Accent5 3 2 6" xfId="1460" xr:uid="{00000000-0005-0000-0000-000009330000}"/>
    <cellStyle name="20% - Accent5 3 2 6 2" xfId="2951" xr:uid="{00000000-0005-0000-0000-00000A330000}"/>
    <cellStyle name="20% - Accent5 3 2 6 2 2" xfId="7219" xr:uid="{00000000-0005-0000-0000-00000B330000}"/>
    <cellStyle name="20% - Accent5 3 2 6 2 2 2" xfId="14319" xr:uid="{00000000-0005-0000-0000-00000C330000}"/>
    <cellStyle name="20% - Accent5 3 2 6 2 2 3" xfId="21420" xr:uid="{00000000-0005-0000-0000-00000D330000}"/>
    <cellStyle name="20% - Accent5 3 2 6 2 2 4" xfId="28522" xr:uid="{00000000-0005-0000-0000-00000E330000}"/>
    <cellStyle name="20% - Accent5 3 2 6 2 2 5" xfId="35624" xr:uid="{00000000-0005-0000-0000-00000F330000}"/>
    <cellStyle name="20% - Accent5 3 2 6 2 3" xfId="10059" xr:uid="{00000000-0005-0000-0000-000010330000}"/>
    <cellStyle name="20% - Accent5 3 2 6 2 4" xfId="17160" xr:uid="{00000000-0005-0000-0000-000011330000}"/>
    <cellStyle name="20% - Accent5 3 2 6 2 5" xfId="24262" xr:uid="{00000000-0005-0000-0000-000012330000}"/>
    <cellStyle name="20% - Accent5 3 2 6 2 6" xfId="31364" xr:uid="{00000000-0005-0000-0000-000013330000}"/>
    <cellStyle name="20% - Accent5 3 2 6 2 7" xfId="37668" xr:uid="{00000000-0005-0000-0000-000014330000}"/>
    <cellStyle name="20% - Accent5 3 2 6 3" xfId="5798" xr:uid="{00000000-0005-0000-0000-000015330000}"/>
    <cellStyle name="20% - Accent5 3 2 6 3 2" xfId="12899" xr:uid="{00000000-0005-0000-0000-000016330000}"/>
    <cellStyle name="20% - Accent5 3 2 6 3 3" xfId="20000" xr:uid="{00000000-0005-0000-0000-000017330000}"/>
    <cellStyle name="20% - Accent5 3 2 6 3 4" xfId="27102" xr:uid="{00000000-0005-0000-0000-000018330000}"/>
    <cellStyle name="20% - Accent5 3 2 6 3 5" xfId="34204" xr:uid="{00000000-0005-0000-0000-000019330000}"/>
    <cellStyle name="20% - Accent5 3 2 6 4" xfId="4373" xr:uid="{00000000-0005-0000-0000-00001A330000}"/>
    <cellStyle name="20% - Accent5 3 2 6 4 2" xfId="11479" xr:uid="{00000000-0005-0000-0000-00001B330000}"/>
    <cellStyle name="20% - Accent5 3 2 6 4 3" xfId="18580" xr:uid="{00000000-0005-0000-0000-00001C330000}"/>
    <cellStyle name="20% - Accent5 3 2 6 4 4" xfId="25682" xr:uid="{00000000-0005-0000-0000-00001D330000}"/>
    <cellStyle name="20% - Accent5 3 2 6 4 5" xfId="32784" xr:uid="{00000000-0005-0000-0000-00001E330000}"/>
    <cellStyle name="20% - Accent5 3 2 6 5" xfId="8639" xr:uid="{00000000-0005-0000-0000-00001F330000}"/>
    <cellStyle name="20% - Accent5 3 2 6 6" xfId="15740" xr:uid="{00000000-0005-0000-0000-000020330000}"/>
    <cellStyle name="20% - Accent5 3 2 6 7" xfId="22842" xr:uid="{00000000-0005-0000-0000-000021330000}"/>
    <cellStyle name="20% - Accent5 3 2 6 8" xfId="29944" xr:uid="{00000000-0005-0000-0000-000022330000}"/>
    <cellStyle name="20% - Accent5 3 2 6 9" xfId="37669" xr:uid="{00000000-0005-0000-0000-000023330000}"/>
    <cellStyle name="20% - Accent5 3 2 7" xfId="1744" xr:uid="{00000000-0005-0000-0000-000024330000}"/>
    <cellStyle name="20% - Accent5 3 2 7 2" xfId="6012" xr:uid="{00000000-0005-0000-0000-000025330000}"/>
    <cellStyle name="20% - Accent5 3 2 7 2 2" xfId="13112" xr:uid="{00000000-0005-0000-0000-000026330000}"/>
    <cellStyle name="20% - Accent5 3 2 7 2 3" xfId="20213" xr:uid="{00000000-0005-0000-0000-000027330000}"/>
    <cellStyle name="20% - Accent5 3 2 7 2 4" xfId="27315" xr:uid="{00000000-0005-0000-0000-000028330000}"/>
    <cellStyle name="20% - Accent5 3 2 7 2 5" xfId="34417" xr:uid="{00000000-0005-0000-0000-000029330000}"/>
    <cellStyle name="20% - Accent5 3 2 7 3" xfId="8852" xr:uid="{00000000-0005-0000-0000-00002A330000}"/>
    <cellStyle name="20% - Accent5 3 2 7 4" xfId="15953" xr:uid="{00000000-0005-0000-0000-00002B330000}"/>
    <cellStyle name="20% - Accent5 3 2 7 5" xfId="23055" xr:uid="{00000000-0005-0000-0000-00002C330000}"/>
    <cellStyle name="20% - Accent5 3 2 7 6" xfId="30157" xr:uid="{00000000-0005-0000-0000-00002D330000}"/>
    <cellStyle name="20% - Accent5 3 2 7 7" xfId="37670" xr:uid="{00000000-0005-0000-0000-00002E330000}"/>
    <cellStyle name="20% - Accent5 3 2 8" xfId="4591" xr:uid="{00000000-0005-0000-0000-00002F330000}"/>
    <cellStyle name="20% - Accent5 3 2 8 2" xfId="11692" xr:uid="{00000000-0005-0000-0000-000030330000}"/>
    <cellStyle name="20% - Accent5 3 2 8 3" xfId="18793" xr:uid="{00000000-0005-0000-0000-000031330000}"/>
    <cellStyle name="20% - Accent5 3 2 8 4" xfId="25895" xr:uid="{00000000-0005-0000-0000-000032330000}"/>
    <cellStyle name="20% - Accent5 3 2 8 5" xfId="32997" xr:uid="{00000000-0005-0000-0000-000033330000}"/>
    <cellStyle name="20% - Accent5 3 2 9" xfId="3166" xr:uid="{00000000-0005-0000-0000-000034330000}"/>
    <cellStyle name="20% - Accent5 3 2 9 2" xfId="10272" xr:uid="{00000000-0005-0000-0000-000035330000}"/>
    <cellStyle name="20% - Accent5 3 2 9 3" xfId="17373" xr:uid="{00000000-0005-0000-0000-000036330000}"/>
    <cellStyle name="20% - Accent5 3 2 9 4" xfId="24475" xr:uid="{00000000-0005-0000-0000-000037330000}"/>
    <cellStyle name="20% - Accent5 3 2 9 5" xfId="31577" xr:uid="{00000000-0005-0000-0000-000038330000}"/>
    <cellStyle name="20% - Accent5 3 3" xfId="182" xr:uid="{00000000-0005-0000-0000-000039330000}"/>
    <cellStyle name="20% - Accent5 3 3 10" xfId="7361" xr:uid="{00000000-0005-0000-0000-00003A330000}"/>
    <cellStyle name="20% - Accent5 3 3 11" xfId="14462" xr:uid="{00000000-0005-0000-0000-00003B330000}"/>
    <cellStyle name="20% - Accent5 3 3 12" xfId="21564" xr:uid="{00000000-0005-0000-0000-00003C330000}"/>
    <cellStyle name="20% - Accent5 3 3 13" xfId="28666" xr:uid="{00000000-0005-0000-0000-00003D330000}"/>
    <cellStyle name="20% - Accent5 3 3 14" xfId="35768" xr:uid="{00000000-0005-0000-0000-00003E330000}"/>
    <cellStyle name="20% - Accent5 3 3 15" xfId="37671" xr:uid="{00000000-0005-0000-0000-00003F330000}"/>
    <cellStyle name="20% - Accent5 3 3 2" xfId="395" xr:uid="{00000000-0005-0000-0000-000040330000}"/>
    <cellStyle name="20% - Accent5 3 3 2 2" xfId="1886" xr:uid="{00000000-0005-0000-0000-000041330000}"/>
    <cellStyle name="20% - Accent5 3 3 2 2 2" xfId="6154" xr:uid="{00000000-0005-0000-0000-000042330000}"/>
    <cellStyle name="20% - Accent5 3 3 2 2 2 2" xfId="13254" xr:uid="{00000000-0005-0000-0000-000043330000}"/>
    <cellStyle name="20% - Accent5 3 3 2 2 2 3" xfId="20355" xr:uid="{00000000-0005-0000-0000-000044330000}"/>
    <cellStyle name="20% - Accent5 3 3 2 2 2 4" xfId="27457" xr:uid="{00000000-0005-0000-0000-000045330000}"/>
    <cellStyle name="20% - Accent5 3 3 2 2 2 5" xfId="34559" xr:uid="{00000000-0005-0000-0000-000046330000}"/>
    <cellStyle name="20% - Accent5 3 3 2 2 2 6" xfId="37672" xr:uid="{00000000-0005-0000-0000-000047330000}"/>
    <cellStyle name="20% - Accent5 3 3 2 2 3" xfId="8994" xr:uid="{00000000-0005-0000-0000-000048330000}"/>
    <cellStyle name="20% - Accent5 3 3 2 2 4" xfId="16095" xr:uid="{00000000-0005-0000-0000-000049330000}"/>
    <cellStyle name="20% - Accent5 3 3 2 2 5" xfId="23197" xr:uid="{00000000-0005-0000-0000-00004A330000}"/>
    <cellStyle name="20% - Accent5 3 3 2 2 6" xfId="30299" xr:uid="{00000000-0005-0000-0000-00004B330000}"/>
    <cellStyle name="20% - Accent5 3 3 2 2 7" xfId="37673" xr:uid="{00000000-0005-0000-0000-00004C330000}"/>
    <cellStyle name="20% - Accent5 3 3 2 3" xfId="4733" xr:uid="{00000000-0005-0000-0000-00004D330000}"/>
    <cellStyle name="20% - Accent5 3 3 2 3 2" xfId="11834" xr:uid="{00000000-0005-0000-0000-00004E330000}"/>
    <cellStyle name="20% - Accent5 3 3 2 3 2 2" xfId="37674" xr:uid="{00000000-0005-0000-0000-00004F330000}"/>
    <cellStyle name="20% - Accent5 3 3 2 3 3" xfId="18935" xr:uid="{00000000-0005-0000-0000-000050330000}"/>
    <cellStyle name="20% - Accent5 3 3 2 3 4" xfId="26037" xr:uid="{00000000-0005-0000-0000-000051330000}"/>
    <cellStyle name="20% - Accent5 3 3 2 3 5" xfId="33139" xr:uid="{00000000-0005-0000-0000-000052330000}"/>
    <cellStyle name="20% - Accent5 3 3 2 3 6" xfId="37675" xr:uid="{00000000-0005-0000-0000-000053330000}"/>
    <cellStyle name="20% - Accent5 3 3 2 4" xfId="3308" xr:uid="{00000000-0005-0000-0000-000054330000}"/>
    <cellStyle name="20% - Accent5 3 3 2 4 2" xfId="10414" xr:uid="{00000000-0005-0000-0000-000055330000}"/>
    <cellStyle name="20% - Accent5 3 3 2 4 3" xfId="17515" xr:uid="{00000000-0005-0000-0000-000056330000}"/>
    <cellStyle name="20% - Accent5 3 3 2 4 4" xfId="24617" xr:uid="{00000000-0005-0000-0000-000057330000}"/>
    <cellStyle name="20% - Accent5 3 3 2 4 5" xfId="31719" xr:uid="{00000000-0005-0000-0000-000058330000}"/>
    <cellStyle name="20% - Accent5 3 3 2 4 6" xfId="37676" xr:uid="{00000000-0005-0000-0000-000059330000}"/>
    <cellStyle name="20% - Accent5 3 3 2 5" xfId="7574" xr:uid="{00000000-0005-0000-0000-00005A330000}"/>
    <cellStyle name="20% - Accent5 3 3 2 6" xfId="14675" xr:uid="{00000000-0005-0000-0000-00005B330000}"/>
    <cellStyle name="20% - Accent5 3 3 2 7" xfId="21777" xr:uid="{00000000-0005-0000-0000-00005C330000}"/>
    <cellStyle name="20% - Accent5 3 3 2 8" xfId="28879" xr:uid="{00000000-0005-0000-0000-00005D330000}"/>
    <cellStyle name="20% - Accent5 3 3 2 9" xfId="37677" xr:uid="{00000000-0005-0000-0000-00005E330000}"/>
    <cellStyle name="20% - Accent5 3 3 3" xfId="608" xr:uid="{00000000-0005-0000-0000-00005F330000}"/>
    <cellStyle name="20% - Accent5 3 3 3 2" xfId="2099" xr:uid="{00000000-0005-0000-0000-000060330000}"/>
    <cellStyle name="20% - Accent5 3 3 3 2 2" xfId="6367" xr:uid="{00000000-0005-0000-0000-000061330000}"/>
    <cellStyle name="20% - Accent5 3 3 3 2 2 2" xfId="13467" xr:uid="{00000000-0005-0000-0000-000062330000}"/>
    <cellStyle name="20% - Accent5 3 3 3 2 2 3" xfId="20568" xr:uid="{00000000-0005-0000-0000-000063330000}"/>
    <cellStyle name="20% - Accent5 3 3 3 2 2 4" xfId="27670" xr:uid="{00000000-0005-0000-0000-000064330000}"/>
    <cellStyle name="20% - Accent5 3 3 3 2 2 5" xfId="34772" xr:uid="{00000000-0005-0000-0000-000065330000}"/>
    <cellStyle name="20% - Accent5 3 3 3 2 2 6" xfId="37678" xr:uid="{00000000-0005-0000-0000-000066330000}"/>
    <cellStyle name="20% - Accent5 3 3 3 2 3" xfId="9207" xr:uid="{00000000-0005-0000-0000-000067330000}"/>
    <cellStyle name="20% - Accent5 3 3 3 2 4" xfId="16308" xr:uid="{00000000-0005-0000-0000-000068330000}"/>
    <cellStyle name="20% - Accent5 3 3 3 2 5" xfId="23410" xr:uid="{00000000-0005-0000-0000-000069330000}"/>
    <cellStyle name="20% - Accent5 3 3 3 2 6" xfId="30512" xr:uid="{00000000-0005-0000-0000-00006A330000}"/>
    <cellStyle name="20% - Accent5 3 3 3 2 7" xfId="37679" xr:uid="{00000000-0005-0000-0000-00006B330000}"/>
    <cellStyle name="20% - Accent5 3 3 3 3" xfId="4946" xr:uid="{00000000-0005-0000-0000-00006C330000}"/>
    <cellStyle name="20% - Accent5 3 3 3 3 2" xfId="12047" xr:uid="{00000000-0005-0000-0000-00006D330000}"/>
    <cellStyle name="20% - Accent5 3 3 3 3 2 2" xfId="37680" xr:uid="{00000000-0005-0000-0000-00006E330000}"/>
    <cellStyle name="20% - Accent5 3 3 3 3 3" xfId="19148" xr:uid="{00000000-0005-0000-0000-00006F330000}"/>
    <cellStyle name="20% - Accent5 3 3 3 3 4" xfId="26250" xr:uid="{00000000-0005-0000-0000-000070330000}"/>
    <cellStyle name="20% - Accent5 3 3 3 3 5" xfId="33352" xr:uid="{00000000-0005-0000-0000-000071330000}"/>
    <cellStyle name="20% - Accent5 3 3 3 3 6" xfId="37681" xr:uid="{00000000-0005-0000-0000-000072330000}"/>
    <cellStyle name="20% - Accent5 3 3 3 4" xfId="3521" xr:uid="{00000000-0005-0000-0000-000073330000}"/>
    <cellStyle name="20% - Accent5 3 3 3 4 2" xfId="10627" xr:uid="{00000000-0005-0000-0000-000074330000}"/>
    <cellStyle name="20% - Accent5 3 3 3 4 3" xfId="17728" xr:uid="{00000000-0005-0000-0000-000075330000}"/>
    <cellStyle name="20% - Accent5 3 3 3 4 4" xfId="24830" xr:uid="{00000000-0005-0000-0000-000076330000}"/>
    <cellStyle name="20% - Accent5 3 3 3 4 5" xfId="31932" xr:uid="{00000000-0005-0000-0000-000077330000}"/>
    <cellStyle name="20% - Accent5 3 3 3 4 6" xfId="37682" xr:uid="{00000000-0005-0000-0000-000078330000}"/>
    <cellStyle name="20% - Accent5 3 3 3 5" xfId="7787" xr:uid="{00000000-0005-0000-0000-000079330000}"/>
    <cellStyle name="20% - Accent5 3 3 3 6" xfId="14888" xr:uid="{00000000-0005-0000-0000-00007A330000}"/>
    <cellStyle name="20% - Accent5 3 3 3 7" xfId="21990" xr:uid="{00000000-0005-0000-0000-00007B330000}"/>
    <cellStyle name="20% - Accent5 3 3 3 8" xfId="29092" xr:uid="{00000000-0005-0000-0000-00007C330000}"/>
    <cellStyle name="20% - Accent5 3 3 3 9" xfId="37683" xr:uid="{00000000-0005-0000-0000-00007D330000}"/>
    <cellStyle name="20% - Accent5 3 3 4" xfId="821" xr:uid="{00000000-0005-0000-0000-00007E330000}"/>
    <cellStyle name="20% - Accent5 3 3 4 2" xfId="2312" xr:uid="{00000000-0005-0000-0000-00007F330000}"/>
    <cellStyle name="20% - Accent5 3 3 4 2 2" xfId="6580" xr:uid="{00000000-0005-0000-0000-000080330000}"/>
    <cellStyle name="20% - Accent5 3 3 4 2 2 2" xfId="13680" xr:uid="{00000000-0005-0000-0000-000081330000}"/>
    <cellStyle name="20% - Accent5 3 3 4 2 2 3" xfId="20781" xr:uid="{00000000-0005-0000-0000-000082330000}"/>
    <cellStyle name="20% - Accent5 3 3 4 2 2 4" xfId="27883" xr:uid="{00000000-0005-0000-0000-000083330000}"/>
    <cellStyle name="20% - Accent5 3 3 4 2 2 5" xfId="34985" xr:uid="{00000000-0005-0000-0000-000084330000}"/>
    <cellStyle name="20% - Accent5 3 3 4 2 2 6" xfId="37684" xr:uid="{00000000-0005-0000-0000-000085330000}"/>
    <cellStyle name="20% - Accent5 3 3 4 2 3" xfId="9420" xr:uid="{00000000-0005-0000-0000-000086330000}"/>
    <cellStyle name="20% - Accent5 3 3 4 2 4" xfId="16521" xr:uid="{00000000-0005-0000-0000-000087330000}"/>
    <cellStyle name="20% - Accent5 3 3 4 2 5" xfId="23623" xr:uid="{00000000-0005-0000-0000-000088330000}"/>
    <cellStyle name="20% - Accent5 3 3 4 2 6" xfId="30725" xr:uid="{00000000-0005-0000-0000-000089330000}"/>
    <cellStyle name="20% - Accent5 3 3 4 2 7" xfId="37685" xr:uid="{00000000-0005-0000-0000-00008A330000}"/>
    <cellStyle name="20% - Accent5 3 3 4 3" xfId="5159" xr:uid="{00000000-0005-0000-0000-00008B330000}"/>
    <cellStyle name="20% - Accent5 3 3 4 3 2" xfId="12260" xr:uid="{00000000-0005-0000-0000-00008C330000}"/>
    <cellStyle name="20% - Accent5 3 3 4 3 2 2" xfId="37686" xr:uid="{00000000-0005-0000-0000-00008D330000}"/>
    <cellStyle name="20% - Accent5 3 3 4 3 3" xfId="19361" xr:uid="{00000000-0005-0000-0000-00008E330000}"/>
    <cellStyle name="20% - Accent5 3 3 4 3 4" xfId="26463" xr:uid="{00000000-0005-0000-0000-00008F330000}"/>
    <cellStyle name="20% - Accent5 3 3 4 3 5" xfId="33565" xr:uid="{00000000-0005-0000-0000-000090330000}"/>
    <cellStyle name="20% - Accent5 3 3 4 3 6" xfId="37687" xr:uid="{00000000-0005-0000-0000-000091330000}"/>
    <cellStyle name="20% - Accent5 3 3 4 4" xfId="3734" xr:uid="{00000000-0005-0000-0000-000092330000}"/>
    <cellStyle name="20% - Accent5 3 3 4 4 2" xfId="10840" xr:uid="{00000000-0005-0000-0000-000093330000}"/>
    <cellStyle name="20% - Accent5 3 3 4 4 3" xfId="17941" xr:uid="{00000000-0005-0000-0000-000094330000}"/>
    <cellStyle name="20% - Accent5 3 3 4 4 4" xfId="25043" xr:uid="{00000000-0005-0000-0000-000095330000}"/>
    <cellStyle name="20% - Accent5 3 3 4 4 5" xfId="32145" xr:uid="{00000000-0005-0000-0000-000096330000}"/>
    <cellStyle name="20% - Accent5 3 3 4 4 6" xfId="37688" xr:uid="{00000000-0005-0000-0000-000097330000}"/>
    <cellStyle name="20% - Accent5 3 3 4 5" xfId="8000" xr:uid="{00000000-0005-0000-0000-000098330000}"/>
    <cellStyle name="20% - Accent5 3 3 4 6" xfId="15101" xr:uid="{00000000-0005-0000-0000-000099330000}"/>
    <cellStyle name="20% - Accent5 3 3 4 7" xfId="22203" xr:uid="{00000000-0005-0000-0000-00009A330000}"/>
    <cellStyle name="20% - Accent5 3 3 4 8" xfId="29305" xr:uid="{00000000-0005-0000-0000-00009B330000}"/>
    <cellStyle name="20% - Accent5 3 3 4 9" xfId="37689" xr:uid="{00000000-0005-0000-0000-00009C330000}"/>
    <cellStyle name="20% - Accent5 3 3 5" xfId="1176" xr:uid="{00000000-0005-0000-0000-00009D330000}"/>
    <cellStyle name="20% - Accent5 3 3 5 2" xfId="2667" xr:uid="{00000000-0005-0000-0000-00009E330000}"/>
    <cellStyle name="20% - Accent5 3 3 5 2 2" xfId="6935" xr:uid="{00000000-0005-0000-0000-00009F330000}"/>
    <cellStyle name="20% - Accent5 3 3 5 2 2 2" xfId="14035" xr:uid="{00000000-0005-0000-0000-0000A0330000}"/>
    <cellStyle name="20% - Accent5 3 3 5 2 2 3" xfId="21136" xr:uid="{00000000-0005-0000-0000-0000A1330000}"/>
    <cellStyle name="20% - Accent5 3 3 5 2 2 4" xfId="28238" xr:uid="{00000000-0005-0000-0000-0000A2330000}"/>
    <cellStyle name="20% - Accent5 3 3 5 2 2 5" xfId="35340" xr:uid="{00000000-0005-0000-0000-0000A3330000}"/>
    <cellStyle name="20% - Accent5 3 3 5 2 3" xfId="9775" xr:uid="{00000000-0005-0000-0000-0000A4330000}"/>
    <cellStyle name="20% - Accent5 3 3 5 2 4" xfId="16876" xr:uid="{00000000-0005-0000-0000-0000A5330000}"/>
    <cellStyle name="20% - Accent5 3 3 5 2 5" xfId="23978" xr:uid="{00000000-0005-0000-0000-0000A6330000}"/>
    <cellStyle name="20% - Accent5 3 3 5 2 6" xfId="31080" xr:uid="{00000000-0005-0000-0000-0000A7330000}"/>
    <cellStyle name="20% - Accent5 3 3 5 2 7" xfId="37690" xr:uid="{00000000-0005-0000-0000-0000A8330000}"/>
    <cellStyle name="20% - Accent5 3 3 5 3" xfId="5514" xr:uid="{00000000-0005-0000-0000-0000A9330000}"/>
    <cellStyle name="20% - Accent5 3 3 5 3 2" xfId="12615" xr:uid="{00000000-0005-0000-0000-0000AA330000}"/>
    <cellStyle name="20% - Accent5 3 3 5 3 3" xfId="19716" xr:uid="{00000000-0005-0000-0000-0000AB330000}"/>
    <cellStyle name="20% - Accent5 3 3 5 3 4" xfId="26818" xr:uid="{00000000-0005-0000-0000-0000AC330000}"/>
    <cellStyle name="20% - Accent5 3 3 5 3 5" xfId="33920" xr:uid="{00000000-0005-0000-0000-0000AD330000}"/>
    <cellStyle name="20% - Accent5 3 3 5 4" xfId="4089" xr:uid="{00000000-0005-0000-0000-0000AE330000}"/>
    <cellStyle name="20% - Accent5 3 3 5 4 2" xfId="11195" xr:uid="{00000000-0005-0000-0000-0000AF330000}"/>
    <cellStyle name="20% - Accent5 3 3 5 4 3" xfId="18296" xr:uid="{00000000-0005-0000-0000-0000B0330000}"/>
    <cellStyle name="20% - Accent5 3 3 5 4 4" xfId="25398" xr:uid="{00000000-0005-0000-0000-0000B1330000}"/>
    <cellStyle name="20% - Accent5 3 3 5 4 5" xfId="32500" xr:uid="{00000000-0005-0000-0000-0000B2330000}"/>
    <cellStyle name="20% - Accent5 3 3 5 5" xfId="8355" xr:uid="{00000000-0005-0000-0000-0000B3330000}"/>
    <cellStyle name="20% - Accent5 3 3 5 6" xfId="15456" xr:uid="{00000000-0005-0000-0000-0000B4330000}"/>
    <cellStyle name="20% - Accent5 3 3 5 7" xfId="22558" xr:uid="{00000000-0005-0000-0000-0000B5330000}"/>
    <cellStyle name="20% - Accent5 3 3 5 8" xfId="29660" xr:uid="{00000000-0005-0000-0000-0000B6330000}"/>
    <cellStyle name="20% - Accent5 3 3 5 9" xfId="37691" xr:uid="{00000000-0005-0000-0000-0000B7330000}"/>
    <cellStyle name="20% - Accent5 3 3 6" xfId="1389" xr:uid="{00000000-0005-0000-0000-0000B8330000}"/>
    <cellStyle name="20% - Accent5 3 3 6 2" xfId="2880" xr:uid="{00000000-0005-0000-0000-0000B9330000}"/>
    <cellStyle name="20% - Accent5 3 3 6 2 2" xfId="7148" xr:uid="{00000000-0005-0000-0000-0000BA330000}"/>
    <cellStyle name="20% - Accent5 3 3 6 2 2 2" xfId="14248" xr:uid="{00000000-0005-0000-0000-0000BB330000}"/>
    <cellStyle name="20% - Accent5 3 3 6 2 2 3" xfId="21349" xr:uid="{00000000-0005-0000-0000-0000BC330000}"/>
    <cellStyle name="20% - Accent5 3 3 6 2 2 4" xfId="28451" xr:uid="{00000000-0005-0000-0000-0000BD330000}"/>
    <cellStyle name="20% - Accent5 3 3 6 2 2 5" xfId="35553" xr:uid="{00000000-0005-0000-0000-0000BE330000}"/>
    <cellStyle name="20% - Accent5 3 3 6 2 3" xfId="9988" xr:uid="{00000000-0005-0000-0000-0000BF330000}"/>
    <cellStyle name="20% - Accent5 3 3 6 2 4" xfId="17089" xr:uid="{00000000-0005-0000-0000-0000C0330000}"/>
    <cellStyle name="20% - Accent5 3 3 6 2 5" xfId="24191" xr:uid="{00000000-0005-0000-0000-0000C1330000}"/>
    <cellStyle name="20% - Accent5 3 3 6 2 6" xfId="31293" xr:uid="{00000000-0005-0000-0000-0000C2330000}"/>
    <cellStyle name="20% - Accent5 3 3 6 2 7" xfId="37692" xr:uid="{00000000-0005-0000-0000-0000C3330000}"/>
    <cellStyle name="20% - Accent5 3 3 6 3" xfId="5727" xr:uid="{00000000-0005-0000-0000-0000C4330000}"/>
    <cellStyle name="20% - Accent5 3 3 6 3 2" xfId="12828" xr:uid="{00000000-0005-0000-0000-0000C5330000}"/>
    <cellStyle name="20% - Accent5 3 3 6 3 3" xfId="19929" xr:uid="{00000000-0005-0000-0000-0000C6330000}"/>
    <cellStyle name="20% - Accent5 3 3 6 3 4" xfId="27031" xr:uid="{00000000-0005-0000-0000-0000C7330000}"/>
    <cellStyle name="20% - Accent5 3 3 6 3 5" xfId="34133" xr:uid="{00000000-0005-0000-0000-0000C8330000}"/>
    <cellStyle name="20% - Accent5 3 3 6 4" xfId="4302" xr:uid="{00000000-0005-0000-0000-0000C9330000}"/>
    <cellStyle name="20% - Accent5 3 3 6 4 2" xfId="11408" xr:uid="{00000000-0005-0000-0000-0000CA330000}"/>
    <cellStyle name="20% - Accent5 3 3 6 4 3" xfId="18509" xr:uid="{00000000-0005-0000-0000-0000CB330000}"/>
    <cellStyle name="20% - Accent5 3 3 6 4 4" xfId="25611" xr:uid="{00000000-0005-0000-0000-0000CC330000}"/>
    <cellStyle name="20% - Accent5 3 3 6 4 5" xfId="32713" xr:uid="{00000000-0005-0000-0000-0000CD330000}"/>
    <cellStyle name="20% - Accent5 3 3 6 5" xfId="8568" xr:uid="{00000000-0005-0000-0000-0000CE330000}"/>
    <cellStyle name="20% - Accent5 3 3 6 6" xfId="15669" xr:uid="{00000000-0005-0000-0000-0000CF330000}"/>
    <cellStyle name="20% - Accent5 3 3 6 7" xfId="22771" xr:uid="{00000000-0005-0000-0000-0000D0330000}"/>
    <cellStyle name="20% - Accent5 3 3 6 8" xfId="29873" xr:uid="{00000000-0005-0000-0000-0000D1330000}"/>
    <cellStyle name="20% - Accent5 3 3 6 9" xfId="37693" xr:uid="{00000000-0005-0000-0000-0000D2330000}"/>
    <cellStyle name="20% - Accent5 3 3 7" xfId="1673" xr:uid="{00000000-0005-0000-0000-0000D3330000}"/>
    <cellStyle name="20% - Accent5 3 3 7 2" xfId="5941" xr:uid="{00000000-0005-0000-0000-0000D4330000}"/>
    <cellStyle name="20% - Accent5 3 3 7 2 2" xfId="13041" xr:uid="{00000000-0005-0000-0000-0000D5330000}"/>
    <cellStyle name="20% - Accent5 3 3 7 2 3" xfId="20142" xr:uid="{00000000-0005-0000-0000-0000D6330000}"/>
    <cellStyle name="20% - Accent5 3 3 7 2 4" xfId="27244" xr:uid="{00000000-0005-0000-0000-0000D7330000}"/>
    <cellStyle name="20% - Accent5 3 3 7 2 5" xfId="34346" xr:uid="{00000000-0005-0000-0000-0000D8330000}"/>
    <cellStyle name="20% - Accent5 3 3 7 3" xfId="8781" xr:uid="{00000000-0005-0000-0000-0000D9330000}"/>
    <cellStyle name="20% - Accent5 3 3 7 4" xfId="15882" xr:uid="{00000000-0005-0000-0000-0000DA330000}"/>
    <cellStyle name="20% - Accent5 3 3 7 5" xfId="22984" xr:uid="{00000000-0005-0000-0000-0000DB330000}"/>
    <cellStyle name="20% - Accent5 3 3 7 6" xfId="30086" xr:uid="{00000000-0005-0000-0000-0000DC330000}"/>
    <cellStyle name="20% - Accent5 3 3 7 7" xfId="37694" xr:uid="{00000000-0005-0000-0000-0000DD330000}"/>
    <cellStyle name="20% - Accent5 3 3 8" xfId="4520" xr:uid="{00000000-0005-0000-0000-0000DE330000}"/>
    <cellStyle name="20% - Accent5 3 3 8 2" xfId="11621" xr:uid="{00000000-0005-0000-0000-0000DF330000}"/>
    <cellStyle name="20% - Accent5 3 3 8 3" xfId="18722" xr:uid="{00000000-0005-0000-0000-0000E0330000}"/>
    <cellStyle name="20% - Accent5 3 3 8 4" xfId="25824" xr:uid="{00000000-0005-0000-0000-0000E1330000}"/>
    <cellStyle name="20% - Accent5 3 3 8 5" xfId="32926" xr:uid="{00000000-0005-0000-0000-0000E2330000}"/>
    <cellStyle name="20% - Accent5 3 3 9" xfId="3095" xr:uid="{00000000-0005-0000-0000-0000E3330000}"/>
    <cellStyle name="20% - Accent5 3 3 9 2" xfId="10201" xr:uid="{00000000-0005-0000-0000-0000E4330000}"/>
    <cellStyle name="20% - Accent5 3 3 9 3" xfId="17302" xr:uid="{00000000-0005-0000-0000-0000E5330000}"/>
    <cellStyle name="20% - Accent5 3 3 9 4" xfId="24404" xr:uid="{00000000-0005-0000-0000-0000E6330000}"/>
    <cellStyle name="20% - Accent5 3 3 9 5" xfId="31506" xr:uid="{00000000-0005-0000-0000-0000E7330000}"/>
    <cellStyle name="20% - Accent5 3 4" xfId="324" xr:uid="{00000000-0005-0000-0000-0000E8330000}"/>
    <cellStyle name="20% - Accent5 3 4 10" xfId="37695" xr:uid="{00000000-0005-0000-0000-0000E9330000}"/>
    <cellStyle name="20% - Accent5 3 4 2" xfId="1105" xr:uid="{00000000-0005-0000-0000-0000EA330000}"/>
    <cellStyle name="20% - Accent5 3 4 2 2" xfId="2596" xr:uid="{00000000-0005-0000-0000-0000EB330000}"/>
    <cellStyle name="20% - Accent5 3 4 2 2 2" xfId="6864" xr:uid="{00000000-0005-0000-0000-0000EC330000}"/>
    <cellStyle name="20% - Accent5 3 4 2 2 2 2" xfId="13964" xr:uid="{00000000-0005-0000-0000-0000ED330000}"/>
    <cellStyle name="20% - Accent5 3 4 2 2 2 3" xfId="21065" xr:uid="{00000000-0005-0000-0000-0000EE330000}"/>
    <cellStyle name="20% - Accent5 3 4 2 2 2 4" xfId="28167" xr:uid="{00000000-0005-0000-0000-0000EF330000}"/>
    <cellStyle name="20% - Accent5 3 4 2 2 2 5" xfId="35269" xr:uid="{00000000-0005-0000-0000-0000F0330000}"/>
    <cellStyle name="20% - Accent5 3 4 2 2 3" xfId="9704" xr:uid="{00000000-0005-0000-0000-0000F1330000}"/>
    <cellStyle name="20% - Accent5 3 4 2 2 4" xfId="16805" xr:uid="{00000000-0005-0000-0000-0000F2330000}"/>
    <cellStyle name="20% - Accent5 3 4 2 2 5" xfId="23907" xr:uid="{00000000-0005-0000-0000-0000F3330000}"/>
    <cellStyle name="20% - Accent5 3 4 2 2 6" xfId="31009" xr:uid="{00000000-0005-0000-0000-0000F4330000}"/>
    <cellStyle name="20% - Accent5 3 4 2 2 7" xfId="37696" xr:uid="{00000000-0005-0000-0000-0000F5330000}"/>
    <cellStyle name="20% - Accent5 3 4 2 3" xfId="5443" xr:uid="{00000000-0005-0000-0000-0000F6330000}"/>
    <cellStyle name="20% - Accent5 3 4 2 3 2" xfId="12544" xr:uid="{00000000-0005-0000-0000-0000F7330000}"/>
    <cellStyle name="20% - Accent5 3 4 2 3 3" xfId="19645" xr:uid="{00000000-0005-0000-0000-0000F8330000}"/>
    <cellStyle name="20% - Accent5 3 4 2 3 4" xfId="26747" xr:uid="{00000000-0005-0000-0000-0000F9330000}"/>
    <cellStyle name="20% - Accent5 3 4 2 3 5" xfId="33849" xr:uid="{00000000-0005-0000-0000-0000FA330000}"/>
    <cellStyle name="20% - Accent5 3 4 2 4" xfId="4018" xr:uid="{00000000-0005-0000-0000-0000FB330000}"/>
    <cellStyle name="20% - Accent5 3 4 2 4 2" xfId="11124" xr:uid="{00000000-0005-0000-0000-0000FC330000}"/>
    <cellStyle name="20% - Accent5 3 4 2 4 3" xfId="18225" xr:uid="{00000000-0005-0000-0000-0000FD330000}"/>
    <cellStyle name="20% - Accent5 3 4 2 4 4" xfId="25327" xr:uid="{00000000-0005-0000-0000-0000FE330000}"/>
    <cellStyle name="20% - Accent5 3 4 2 4 5" xfId="32429" xr:uid="{00000000-0005-0000-0000-0000FF330000}"/>
    <cellStyle name="20% - Accent5 3 4 2 5" xfId="8284" xr:uid="{00000000-0005-0000-0000-000000340000}"/>
    <cellStyle name="20% - Accent5 3 4 2 6" xfId="15385" xr:uid="{00000000-0005-0000-0000-000001340000}"/>
    <cellStyle name="20% - Accent5 3 4 2 7" xfId="22487" xr:uid="{00000000-0005-0000-0000-000002340000}"/>
    <cellStyle name="20% - Accent5 3 4 2 8" xfId="29589" xr:uid="{00000000-0005-0000-0000-000003340000}"/>
    <cellStyle name="20% - Accent5 3 4 2 9" xfId="37697" xr:uid="{00000000-0005-0000-0000-000004340000}"/>
    <cellStyle name="20% - Accent5 3 4 3" xfId="1815" xr:uid="{00000000-0005-0000-0000-000005340000}"/>
    <cellStyle name="20% - Accent5 3 4 3 2" xfId="6083" xr:uid="{00000000-0005-0000-0000-000006340000}"/>
    <cellStyle name="20% - Accent5 3 4 3 2 2" xfId="13183" xr:uid="{00000000-0005-0000-0000-000007340000}"/>
    <cellStyle name="20% - Accent5 3 4 3 2 3" xfId="20284" xr:uid="{00000000-0005-0000-0000-000008340000}"/>
    <cellStyle name="20% - Accent5 3 4 3 2 4" xfId="27386" xr:uid="{00000000-0005-0000-0000-000009340000}"/>
    <cellStyle name="20% - Accent5 3 4 3 2 5" xfId="34488" xr:uid="{00000000-0005-0000-0000-00000A340000}"/>
    <cellStyle name="20% - Accent5 3 4 3 2 6" xfId="37698" xr:uid="{00000000-0005-0000-0000-00000B340000}"/>
    <cellStyle name="20% - Accent5 3 4 3 3" xfId="8923" xr:uid="{00000000-0005-0000-0000-00000C340000}"/>
    <cellStyle name="20% - Accent5 3 4 3 4" xfId="16024" xr:uid="{00000000-0005-0000-0000-00000D340000}"/>
    <cellStyle name="20% - Accent5 3 4 3 5" xfId="23126" xr:uid="{00000000-0005-0000-0000-00000E340000}"/>
    <cellStyle name="20% - Accent5 3 4 3 6" xfId="30228" xr:uid="{00000000-0005-0000-0000-00000F340000}"/>
    <cellStyle name="20% - Accent5 3 4 3 7" xfId="37699" xr:uid="{00000000-0005-0000-0000-000010340000}"/>
    <cellStyle name="20% - Accent5 3 4 4" xfId="4662" xr:uid="{00000000-0005-0000-0000-000011340000}"/>
    <cellStyle name="20% - Accent5 3 4 4 2" xfId="11763" xr:uid="{00000000-0005-0000-0000-000012340000}"/>
    <cellStyle name="20% - Accent5 3 4 4 3" xfId="18864" xr:uid="{00000000-0005-0000-0000-000013340000}"/>
    <cellStyle name="20% - Accent5 3 4 4 4" xfId="25966" xr:uid="{00000000-0005-0000-0000-000014340000}"/>
    <cellStyle name="20% - Accent5 3 4 4 5" xfId="33068" xr:uid="{00000000-0005-0000-0000-000015340000}"/>
    <cellStyle name="20% - Accent5 3 4 4 6" xfId="37700" xr:uid="{00000000-0005-0000-0000-000016340000}"/>
    <cellStyle name="20% - Accent5 3 4 5" xfId="3237" xr:uid="{00000000-0005-0000-0000-000017340000}"/>
    <cellStyle name="20% - Accent5 3 4 5 2" xfId="10343" xr:uid="{00000000-0005-0000-0000-000018340000}"/>
    <cellStyle name="20% - Accent5 3 4 5 3" xfId="17444" xr:uid="{00000000-0005-0000-0000-000019340000}"/>
    <cellStyle name="20% - Accent5 3 4 5 4" xfId="24546" xr:uid="{00000000-0005-0000-0000-00001A340000}"/>
    <cellStyle name="20% - Accent5 3 4 5 5" xfId="31648" xr:uid="{00000000-0005-0000-0000-00001B340000}"/>
    <cellStyle name="20% - Accent5 3 4 6" xfId="7503" xr:uid="{00000000-0005-0000-0000-00001C340000}"/>
    <cellStyle name="20% - Accent5 3 4 7" xfId="14604" xr:uid="{00000000-0005-0000-0000-00001D340000}"/>
    <cellStyle name="20% - Accent5 3 4 8" xfId="21706" xr:uid="{00000000-0005-0000-0000-00001E340000}"/>
    <cellStyle name="20% - Accent5 3 4 9" xfId="28808" xr:uid="{00000000-0005-0000-0000-00001F340000}"/>
    <cellStyle name="20% - Accent5 3 5" xfId="537" xr:uid="{00000000-0005-0000-0000-000020340000}"/>
    <cellStyle name="20% - Accent5 3 5 2" xfId="2028" xr:uid="{00000000-0005-0000-0000-000021340000}"/>
    <cellStyle name="20% - Accent5 3 5 2 2" xfId="6296" xr:uid="{00000000-0005-0000-0000-000022340000}"/>
    <cellStyle name="20% - Accent5 3 5 2 2 2" xfId="13396" xr:uid="{00000000-0005-0000-0000-000023340000}"/>
    <cellStyle name="20% - Accent5 3 5 2 2 3" xfId="20497" xr:uid="{00000000-0005-0000-0000-000024340000}"/>
    <cellStyle name="20% - Accent5 3 5 2 2 4" xfId="27599" xr:uid="{00000000-0005-0000-0000-000025340000}"/>
    <cellStyle name="20% - Accent5 3 5 2 2 5" xfId="34701" xr:uid="{00000000-0005-0000-0000-000026340000}"/>
    <cellStyle name="20% - Accent5 3 5 2 2 6" xfId="37701" xr:uid="{00000000-0005-0000-0000-000027340000}"/>
    <cellStyle name="20% - Accent5 3 5 2 3" xfId="9136" xr:uid="{00000000-0005-0000-0000-000028340000}"/>
    <cellStyle name="20% - Accent5 3 5 2 4" xfId="16237" xr:uid="{00000000-0005-0000-0000-000029340000}"/>
    <cellStyle name="20% - Accent5 3 5 2 5" xfId="23339" xr:uid="{00000000-0005-0000-0000-00002A340000}"/>
    <cellStyle name="20% - Accent5 3 5 2 6" xfId="30441" xr:uid="{00000000-0005-0000-0000-00002B340000}"/>
    <cellStyle name="20% - Accent5 3 5 2 7" xfId="37702" xr:uid="{00000000-0005-0000-0000-00002C340000}"/>
    <cellStyle name="20% - Accent5 3 5 3" xfId="4875" xr:uid="{00000000-0005-0000-0000-00002D340000}"/>
    <cellStyle name="20% - Accent5 3 5 3 2" xfId="11976" xr:uid="{00000000-0005-0000-0000-00002E340000}"/>
    <cellStyle name="20% - Accent5 3 5 3 2 2" xfId="37703" xr:uid="{00000000-0005-0000-0000-00002F340000}"/>
    <cellStyle name="20% - Accent5 3 5 3 3" xfId="19077" xr:uid="{00000000-0005-0000-0000-000030340000}"/>
    <cellStyle name="20% - Accent5 3 5 3 4" xfId="26179" xr:uid="{00000000-0005-0000-0000-000031340000}"/>
    <cellStyle name="20% - Accent5 3 5 3 5" xfId="33281" xr:uid="{00000000-0005-0000-0000-000032340000}"/>
    <cellStyle name="20% - Accent5 3 5 3 6" xfId="37704" xr:uid="{00000000-0005-0000-0000-000033340000}"/>
    <cellStyle name="20% - Accent5 3 5 4" xfId="3450" xr:uid="{00000000-0005-0000-0000-000034340000}"/>
    <cellStyle name="20% - Accent5 3 5 4 2" xfId="10556" xr:uid="{00000000-0005-0000-0000-000035340000}"/>
    <cellStyle name="20% - Accent5 3 5 4 3" xfId="17657" xr:uid="{00000000-0005-0000-0000-000036340000}"/>
    <cellStyle name="20% - Accent5 3 5 4 4" xfId="24759" xr:uid="{00000000-0005-0000-0000-000037340000}"/>
    <cellStyle name="20% - Accent5 3 5 4 5" xfId="31861" xr:uid="{00000000-0005-0000-0000-000038340000}"/>
    <cellStyle name="20% - Accent5 3 5 4 6" xfId="37705" xr:uid="{00000000-0005-0000-0000-000039340000}"/>
    <cellStyle name="20% - Accent5 3 5 5" xfId="7716" xr:uid="{00000000-0005-0000-0000-00003A340000}"/>
    <cellStyle name="20% - Accent5 3 5 6" xfId="14817" xr:uid="{00000000-0005-0000-0000-00003B340000}"/>
    <cellStyle name="20% - Accent5 3 5 7" xfId="21919" xr:uid="{00000000-0005-0000-0000-00003C340000}"/>
    <cellStyle name="20% - Accent5 3 5 8" xfId="29021" xr:uid="{00000000-0005-0000-0000-00003D340000}"/>
    <cellStyle name="20% - Accent5 3 5 9" xfId="37706" xr:uid="{00000000-0005-0000-0000-00003E340000}"/>
    <cellStyle name="20% - Accent5 3 6" xfId="750" xr:uid="{00000000-0005-0000-0000-00003F340000}"/>
    <cellStyle name="20% - Accent5 3 6 2" xfId="2241" xr:uid="{00000000-0005-0000-0000-000040340000}"/>
    <cellStyle name="20% - Accent5 3 6 2 2" xfId="6509" xr:uid="{00000000-0005-0000-0000-000041340000}"/>
    <cellStyle name="20% - Accent5 3 6 2 2 2" xfId="13609" xr:uid="{00000000-0005-0000-0000-000042340000}"/>
    <cellStyle name="20% - Accent5 3 6 2 2 3" xfId="20710" xr:uid="{00000000-0005-0000-0000-000043340000}"/>
    <cellStyle name="20% - Accent5 3 6 2 2 4" xfId="27812" xr:uid="{00000000-0005-0000-0000-000044340000}"/>
    <cellStyle name="20% - Accent5 3 6 2 2 5" xfId="34914" xr:uid="{00000000-0005-0000-0000-000045340000}"/>
    <cellStyle name="20% - Accent5 3 6 2 2 6" xfId="37707" xr:uid="{00000000-0005-0000-0000-000046340000}"/>
    <cellStyle name="20% - Accent5 3 6 2 3" xfId="9349" xr:uid="{00000000-0005-0000-0000-000047340000}"/>
    <cellStyle name="20% - Accent5 3 6 2 4" xfId="16450" xr:uid="{00000000-0005-0000-0000-000048340000}"/>
    <cellStyle name="20% - Accent5 3 6 2 5" xfId="23552" xr:uid="{00000000-0005-0000-0000-000049340000}"/>
    <cellStyle name="20% - Accent5 3 6 2 6" xfId="30654" xr:uid="{00000000-0005-0000-0000-00004A340000}"/>
    <cellStyle name="20% - Accent5 3 6 2 7" xfId="37708" xr:uid="{00000000-0005-0000-0000-00004B340000}"/>
    <cellStyle name="20% - Accent5 3 6 3" xfId="5088" xr:uid="{00000000-0005-0000-0000-00004C340000}"/>
    <cellStyle name="20% - Accent5 3 6 3 2" xfId="12189" xr:uid="{00000000-0005-0000-0000-00004D340000}"/>
    <cellStyle name="20% - Accent5 3 6 3 2 2" xfId="37709" xr:uid="{00000000-0005-0000-0000-00004E340000}"/>
    <cellStyle name="20% - Accent5 3 6 3 3" xfId="19290" xr:uid="{00000000-0005-0000-0000-00004F340000}"/>
    <cellStyle name="20% - Accent5 3 6 3 4" xfId="26392" xr:uid="{00000000-0005-0000-0000-000050340000}"/>
    <cellStyle name="20% - Accent5 3 6 3 5" xfId="33494" xr:uid="{00000000-0005-0000-0000-000051340000}"/>
    <cellStyle name="20% - Accent5 3 6 3 6" xfId="37710" xr:uid="{00000000-0005-0000-0000-000052340000}"/>
    <cellStyle name="20% - Accent5 3 6 4" xfId="3663" xr:uid="{00000000-0005-0000-0000-000053340000}"/>
    <cellStyle name="20% - Accent5 3 6 4 2" xfId="10769" xr:uid="{00000000-0005-0000-0000-000054340000}"/>
    <cellStyle name="20% - Accent5 3 6 4 3" xfId="17870" xr:uid="{00000000-0005-0000-0000-000055340000}"/>
    <cellStyle name="20% - Accent5 3 6 4 4" xfId="24972" xr:uid="{00000000-0005-0000-0000-000056340000}"/>
    <cellStyle name="20% - Accent5 3 6 4 5" xfId="32074" xr:uid="{00000000-0005-0000-0000-000057340000}"/>
    <cellStyle name="20% - Accent5 3 6 4 6" xfId="37711" xr:uid="{00000000-0005-0000-0000-000058340000}"/>
    <cellStyle name="20% - Accent5 3 6 5" xfId="7929" xr:uid="{00000000-0005-0000-0000-000059340000}"/>
    <cellStyle name="20% - Accent5 3 6 6" xfId="15030" xr:uid="{00000000-0005-0000-0000-00005A340000}"/>
    <cellStyle name="20% - Accent5 3 6 7" xfId="22132" xr:uid="{00000000-0005-0000-0000-00005B340000}"/>
    <cellStyle name="20% - Accent5 3 6 8" xfId="29234" xr:uid="{00000000-0005-0000-0000-00005C340000}"/>
    <cellStyle name="20% - Accent5 3 6 9" xfId="37712" xr:uid="{00000000-0005-0000-0000-00005D340000}"/>
    <cellStyle name="20% - Accent5 3 7" xfId="963" xr:uid="{00000000-0005-0000-0000-00005E340000}"/>
    <cellStyle name="20% - Accent5 3 7 2" xfId="2454" xr:uid="{00000000-0005-0000-0000-00005F340000}"/>
    <cellStyle name="20% - Accent5 3 7 2 2" xfId="6722" xr:uid="{00000000-0005-0000-0000-000060340000}"/>
    <cellStyle name="20% - Accent5 3 7 2 2 2" xfId="13822" xr:uid="{00000000-0005-0000-0000-000061340000}"/>
    <cellStyle name="20% - Accent5 3 7 2 2 3" xfId="20923" xr:uid="{00000000-0005-0000-0000-000062340000}"/>
    <cellStyle name="20% - Accent5 3 7 2 2 4" xfId="28025" xr:uid="{00000000-0005-0000-0000-000063340000}"/>
    <cellStyle name="20% - Accent5 3 7 2 2 5" xfId="35127" xr:uid="{00000000-0005-0000-0000-000064340000}"/>
    <cellStyle name="20% - Accent5 3 7 2 3" xfId="9562" xr:uid="{00000000-0005-0000-0000-000065340000}"/>
    <cellStyle name="20% - Accent5 3 7 2 4" xfId="16663" xr:uid="{00000000-0005-0000-0000-000066340000}"/>
    <cellStyle name="20% - Accent5 3 7 2 5" xfId="23765" xr:uid="{00000000-0005-0000-0000-000067340000}"/>
    <cellStyle name="20% - Accent5 3 7 2 6" xfId="30867" xr:uid="{00000000-0005-0000-0000-000068340000}"/>
    <cellStyle name="20% - Accent5 3 7 2 7" xfId="37713" xr:uid="{00000000-0005-0000-0000-000069340000}"/>
    <cellStyle name="20% - Accent5 3 7 3" xfId="5301" xr:uid="{00000000-0005-0000-0000-00006A340000}"/>
    <cellStyle name="20% - Accent5 3 7 3 2" xfId="12402" xr:uid="{00000000-0005-0000-0000-00006B340000}"/>
    <cellStyle name="20% - Accent5 3 7 3 3" xfId="19503" xr:uid="{00000000-0005-0000-0000-00006C340000}"/>
    <cellStyle name="20% - Accent5 3 7 3 4" xfId="26605" xr:uid="{00000000-0005-0000-0000-00006D340000}"/>
    <cellStyle name="20% - Accent5 3 7 3 5" xfId="33707" xr:uid="{00000000-0005-0000-0000-00006E340000}"/>
    <cellStyle name="20% - Accent5 3 7 4" xfId="3876" xr:uid="{00000000-0005-0000-0000-00006F340000}"/>
    <cellStyle name="20% - Accent5 3 7 4 2" xfId="10982" xr:uid="{00000000-0005-0000-0000-000070340000}"/>
    <cellStyle name="20% - Accent5 3 7 4 3" xfId="18083" xr:uid="{00000000-0005-0000-0000-000071340000}"/>
    <cellStyle name="20% - Accent5 3 7 4 4" xfId="25185" xr:uid="{00000000-0005-0000-0000-000072340000}"/>
    <cellStyle name="20% - Accent5 3 7 4 5" xfId="32287" xr:uid="{00000000-0005-0000-0000-000073340000}"/>
    <cellStyle name="20% - Accent5 3 7 5" xfId="8142" xr:uid="{00000000-0005-0000-0000-000074340000}"/>
    <cellStyle name="20% - Accent5 3 7 6" xfId="15243" xr:uid="{00000000-0005-0000-0000-000075340000}"/>
    <cellStyle name="20% - Accent5 3 7 7" xfId="22345" xr:uid="{00000000-0005-0000-0000-000076340000}"/>
    <cellStyle name="20% - Accent5 3 7 8" xfId="29447" xr:uid="{00000000-0005-0000-0000-000077340000}"/>
    <cellStyle name="20% - Accent5 3 7 9" xfId="37714" xr:uid="{00000000-0005-0000-0000-000078340000}"/>
    <cellStyle name="20% - Accent5 3 8" xfId="1318" xr:uid="{00000000-0005-0000-0000-000079340000}"/>
    <cellStyle name="20% - Accent5 3 8 2" xfId="2809" xr:uid="{00000000-0005-0000-0000-00007A340000}"/>
    <cellStyle name="20% - Accent5 3 8 2 2" xfId="7077" xr:uid="{00000000-0005-0000-0000-00007B340000}"/>
    <cellStyle name="20% - Accent5 3 8 2 2 2" xfId="14177" xr:uid="{00000000-0005-0000-0000-00007C340000}"/>
    <cellStyle name="20% - Accent5 3 8 2 2 3" xfId="21278" xr:uid="{00000000-0005-0000-0000-00007D340000}"/>
    <cellStyle name="20% - Accent5 3 8 2 2 4" xfId="28380" xr:uid="{00000000-0005-0000-0000-00007E340000}"/>
    <cellStyle name="20% - Accent5 3 8 2 2 5" xfId="35482" xr:uid="{00000000-0005-0000-0000-00007F340000}"/>
    <cellStyle name="20% - Accent5 3 8 2 3" xfId="9917" xr:uid="{00000000-0005-0000-0000-000080340000}"/>
    <cellStyle name="20% - Accent5 3 8 2 4" xfId="17018" xr:uid="{00000000-0005-0000-0000-000081340000}"/>
    <cellStyle name="20% - Accent5 3 8 2 5" xfId="24120" xr:uid="{00000000-0005-0000-0000-000082340000}"/>
    <cellStyle name="20% - Accent5 3 8 2 6" xfId="31222" xr:uid="{00000000-0005-0000-0000-000083340000}"/>
    <cellStyle name="20% - Accent5 3 8 2 7" xfId="37715" xr:uid="{00000000-0005-0000-0000-000084340000}"/>
    <cellStyle name="20% - Accent5 3 8 3" xfId="5656" xr:uid="{00000000-0005-0000-0000-000085340000}"/>
    <cellStyle name="20% - Accent5 3 8 3 2" xfId="12757" xr:uid="{00000000-0005-0000-0000-000086340000}"/>
    <cellStyle name="20% - Accent5 3 8 3 3" xfId="19858" xr:uid="{00000000-0005-0000-0000-000087340000}"/>
    <cellStyle name="20% - Accent5 3 8 3 4" xfId="26960" xr:uid="{00000000-0005-0000-0000-000088340000}"/>
    <cellStyle name="20% - Accent5 3 8 3 5" xfId="34062" xr:uid="{00000000-0005-0000-0000-000089340000}"/>
    <cellStyle name="20% - Accent5 3 8 4" xfId="4231" xr:uid="{00000000-0005-0000-0000-00008A340000}"/>
    <cellStyle name="20% - Accent5 3 8 4 2" xfId="11337" xr:uid="{00000000-0005-0000-0000-00008B340000}"/>
    <cellStyle name="20% - Accent5 3 8 4 3" xfId="18438" xr:uid="{00000000-0005-0000-0000-00008C340000}"/>
    <cellStyle name="20% - Accent5 3 8 4 4" xfId="25540" xr:uid="{00000000-0005-0000-0000-00008D340000}"/>
    <cellStyle name="20% - Accent5 3 8 4 5" xfId="32642" xr:uid="{00000000-0005-0000-0000-00008E340000}"/>
    <cellStyle name="20% - Accent5 3 8 5" xfId="8497" xr:uid="{00000000-0005-0000-0000-00008F340000}"/>
    <cellStyle name="20% - Accent5 3 8 6" xfId="15598" xr:uid="{00000000-0005-0000-0000-000090340000}"/>
    <cellStyle name="20% - Accent5 3 8 7" xfId="22700" xr:uid="{00000000-0005-0000-0000-000091340000}"/>
    <cellStyle name="20% - Accent5 3 8 8" xfId="29802" xr:uid="{00000000-0005-0000-0000-000092340000}"/>
    <cellStyle name="20% - Accent5 3 8 9" xfId="37716" xr:uid="{00000000-0005-0000-0000-000093340000}"/>
    <cellStyle name="20% - Accent5 3 9" xfId="1600" xr:uid="{00000000-0005-0000-0000-000094340000}"/>
    <cellStyle name="20% - Accent5 3 9 2" xfId="5870" xr:uid="{00000000-0005-0000-0000-000095340000}"/>
    <cellStyle name="20% - Accent5 3 9 2 2" xfId="12970" xr:uid="{00000000-0005-0000-0000-000096340000}"/>
    <cellStyle name="20% - Accent5 3 9 2 3" xfId="20071" xr:uid="{00000000-0005-0000-0000-000097340000}"/>
    <cellStyle name="20% - Accent5 3 9 2 4" xfId="27173" xr:uid="{00000000-0005-0000-0000-000098340000}"/>
    <cellStyle name="20% - Accent5 3 9 2 5" xfId="34275" xr:uid="{00000000-0005-0000-0000-000099340000}"/>
    <cellStyle name="20% - Accent5 3 9 3" xfId="8710" xr:uid="{00000000-0005-0000-0000-00009A340000}"/>
    <cellStyle name="20% - Accent5 3 9 4" xfId="15811" xr:uid="{00000000-0005-0000-0000-00009B340000}"/>
    <cellStyle name="20% - Accent5 3 9 5" xfId="22913" xr:uid="{00000000-0005-0000-0000-00009C340000}"/>
    <cellStyle name="20% - Accent5 3 9 6" xfId="30015" xr:uid="{00000000-0005-0000-0000-00009D340000}"/>
    <cellStyle name="20% - Accent5 3 9 7" xfId="37717" xr:uid="{00000000-0005-0000-0000-00009E340000}"/>
    <cellStyle name="20% - Accent5 4" xfId="140" xr:uid="{00000000-0005-0000-0000-00009F340000}"/>
    <cellStyle name="20% - Accent5 4 10" xfId="4480" xr:uid="{00000000-0005-0000-0000-0000A0340000}"/>
    <cellStyle name="20% - Accent5 4 10 2" xfId="11581" xr:uid="{00000000-0005-0000-0000-0000A1340000}"/>
    <cellStyle name="20% - Accent5 4 10 3" xfId="18682" xr:uid="{00000000-0005-0000-0000-0000A2340000}"/>
    <cellStyle name="20% - Accent5 4 10 4" xfId="25784" xr:uid="{00000000-0005-0000-0000-0000A3340000}"/>
    <cellStyle name="20% - Accent5 4 10 5" xfId="32886" xr:uid="{00000000-0005-0000-0000-0000A4340000}"/>
    <cellStyle name="20% - Accent5 4 11" xfId="3055" xr:uid="{00000000-0005-0000-0000-0000A5340000}"/>
    <cellStyle name="20% - Accent5 4 11 2" xfId="10161" xr:uid="{00000000-0005-0000-0000-0000A6340000}"/>
    <cellStyle name="20% - Accent5 4 11 3" xfId="17262" xr:uid="{00000000-0005-0000-0000-0000A7340000}"/>
    <cellStyle name="20% - Accent5 4 11 4" xfId="24364" xr:uid="{00000000-0005-0000-0000-0000A8340000}"/>
    <cellStyle name="20% - Accent5 4 11 5" xfId="31466" xr:uid="{00000000-0005-0000-0000-0000A9340000}"/>
    <cellStyle name="20% - Accent5 4 12" xfId="7321" xr:uid="{00000000-0005-0000-0000-0000AA340000}"/>
    <cellStyle name="20% - Accent5 4 13" xfId="14422" xr:uid="{00000000-0005-0000-0000-0000AB340000}"/>
    <cellStyle name="20% - Accent5 4 14" xfId="21524" xr:uid="{00000000-0005-0000-0000-0000AC340000}"/>
    <cellStyle name="20% - Accent5 4 15" xfId="28626" xr:uid="{00000000-0005-0000-0000-0000AD340000}"/>
    <cellStyle name="20% - Accent5 4 16" xfId="35728" xr:uid="{00000000-0005-0000-0000-0000AE340000}"/>
    <cellStyle name="20% - Accent5 4 17" xfId="37718" xr:uid="{00000000-0005-0000-0000-0000AF340000}"/>
    <cellStyle name="20% - Accent5 4 18" xfId="37719" xr:uid="{00000000-0005-0000-0000-0000B0340000}"/>
    <cellStyle name="20% - Accent5 4 2" xfId="284" xr:uid="{00000000-0005-0000-0000-0000B1340000}"/>
    <cellStyle name="20% - Accent5 4 2 10" xfId="7463" xr:uid="{00000000-0005-0000-0000-0000B2340000}"/>
    <cellStyle name="20% - Accent5 4 2 11" xfId="14564" xr:uid="{00000000-0005-0000-0000-0000B3340000}"/>
    <cellStyle name="20% - Accent5 4 2 12" xfId="21666" xr:uid="{00000000-0005-0000-0000-0000B4340000}"/>
    <cellStyle name="20% - Accent5 4 2 13" xfId="28768" xr:uid="{00000000-0005-0000-0000-0000B5340000}"/>
    <cellStyle name="20% - Accent5 4 2 14" xfId="35870" xr:uid="{00000000-0005-0000-0000-0000B6340000}"/>
    <cellStyle name="20% - Accent5 4 2 15" xfId="37720" xr:uid="{00000000-0005-0000-0000-0000B7340000}"/>
    <cellStyle name="20% - Accent5 4 2 2" xfId="497" xr:uid="{00000000-0005-0000-0000-0000B8340000}"/>
    <cellStyle name="20% - Accent5 4 2 2 10" xfId="37721" xr:uid="{00000000-0005-0000-0000-0000B9340000}"/>
    <cellStyle name="20% - Accent5 4 2 2 2" xfId="1278" xr:uid="{00000000-0005-0000-0000-0000BA340000}"/>
    <cellStyle name="20% - Accent5 4 2 2 2 2" xfId="2769" xr:uid="{00000000-0005-0000-0000-0000BB340000}"/>
    <cellStyle name="20% - Accent5 4 2 2 2 2 2" xfId="7037" xr:uid="{00000000-0005-0000-0000-0000BC340000}"/>
    <cellStyle name="20% - Accent5 4 2 2 2 2 2 2" xfId="14137" xr:uid="{00000000-0005-0000-0000-0000BD340000}"/>
    <cellStyle name="20% - Accent5 4 2 2 2 2 2 3" xfId="21238" xr:uid="{00000000-0005-0000-0000-0000BE340000}"/>
    <cellStyle name="20% - Accent5 4 2 2 2 2 2 4" xfId="28340" xr:uid="{00000000-0005-0000-0000-0000BF340000}"/>
    <cellStyle name="20% - Accent5 4 2 2 2 2 2 5" xfId="35442" xr:uid="{00000000-0005-0000-0000-0000C0340000}"/>
    <cellStyle name="20% - Accent5 4 2 2 2 2 3" xfId="9877" xr:uid="{00000000-0005-0000-0000-0000C1340000}"/>
    <cellStyle name="20% - Accent5 4 2 2 2 2 4" xfId="16978" xr:uid="{00000000-0005-0000-0000-0000C2340000}"/>
    <cellStyle name="20% - Accent5 4 2 2 2 2 5" xfId="24080" xr:uid="{00000000-0005-0000-0000-0000C3340000}"/>
    <cellStyle name="20% - Accent5 4 2 2 2 2 6" xfId="31182" xr:uid="{00000000-0005-0000-0000-0000C4340000}"/>
    <cellStyle name="20% - Accent5 4 2 2 2 2 7" xfId="37722" xr:uid="{00000000-0005-0000-0000-0000C5340000}"/>
    <cellStyle name="20% - Accent5 4 2 2 2 3" xfId="5616" xr:uid="{00000000-0005-0000-0000-0000C6340000}"/>
    <cellStyle name="20% - Accent5 4 2 2 2 3 2" xfId="12717" xr:uid="{00000000-0005-0000-0000-0000C7340000}"/>
    <cellStyle name="20% - Accent5 4 2 2 2 3 3" xfId="19818" xr:uid="{00000000-0005-0000-0000-0000C8340000}"/>
    <cellStyle name="20% - Accent5 4 2 2 2 3 4" xfId="26920" xr:uid="{00000000-0005-0000-0000-0000C9340000}"/>
    <cellStyle name="20% - Accent5 4 2 2 2 3 5" xfId="34022" xr:uid="{00000000-0005-0000-0000-0000CA340000}"/>
    <cellStyle name="20% - Accent5 4 2 2 2 4" xfId="4191" xr:uid="{00000000-0005-0000-0000-0000CB340000}"/>
    <cellStyle name="20% - Accent5 4 2 2 2 4 2" xfId="11297" xr:uid="{00000000-0005-0000-0000-0000CC340000}"/>
    <cellStyle name="20% - Accent5 4 2 2 2 4 3" xfId="18398" xr:uid="{00000000-0005-0000-0000-0000CD340000}"/>
    <cellStyle name="20% - Accent5 4 2 2 2 4 4" xfId="25500" xr:uid="{00000000-0005-0000-0000-0000CE340000}"/>
    <cellStyle name="20% - Accent5 4 2 2 2 4 5" xfId="32602" xr:uid="{00000000-0005-0000-0000-0000CF340000}"/>
    <cellStyle name="20% - Accent5 4 2 2 2 5" xfId="8457" xr:uid="{00000000-0005-0000-0000-0000D0340000}"/>
    <cellStyle name="20% - Accent5 4 2 2 2 6" xfId="15558" xr:uid="{00000000-0005-0000-0000-0000D1340000}"/>
    <cellStyle name="20% - Accent5 4 2 2 2 7" xfId="22660" xr:uid="{00000000-0005-0000-0000-0000D2340000}"/>
    <cellStyle name="20% - Accent5 4 2 2 2 8" xfId="29762" xr:uid="{00000000-0005-0000-0000-0000D3340000}"/>
    <cellStyle name="20% - Accent5 4 2 2 2 9" xfId="37723" xr:uid="{00000000-0005-0000-0000-0000D4340000}"/>
    <cellStyle name="20% - Accent5 4 2 2 3" xfId="1988" xr:uid="{00000000-0005-0000-0000-0000D5340000}"/>
    <cellStyle name="20% - Accent5 4 2 2 3 2" xfId="6256" xr:uid="{00000000-0005-0000-0000-0000D6340000}"/>
    <cellStyle name="20% - Accent5 4 2 2 3 2 2" xfId="13356" xr:uid="{00000000-0005-0000-0000-0000D7340000}"/>
    <cellStyle name="20% - Accent5 4 2 2 3 2 3" xfId="20457" xr:uid="{00000000-0005-0000-0000-0000D8340000}"/>
    <cellStyle name="20% - Accent5 4 2 2 3 2 4" xfId="27559" xr:uid="{00000000-0005-0000-0000-0000D9340000}"/>
    <cellStyle name="20% - Accent5 4 2 2 3 2 5" xfId="34661" xr:uid="{00000000-0005-0000-0000-0000DA340000}"/>
    <cellStyle name="20% - Accent5 4 2 2 3 2 6" xfId="37724" xr:uid="{00000000-0005-0000-0000-0000DB340000}"/>
    <cellStyle name="20% - Accent5 4 2 2 3 3" xfId="9096" xr:uid="{00000000-0005-0000-0000-0000DC340000}"/>
    <cellStyle name="20% - Accent5 4 2 2 3 4" xfId="16197" xr:uid="{00000000-0005-0000-0000-0000DD340000}"/>
    <cellStyle name="20% - Accent5 4 2 2 3 5" xfId="23299" xr:uid="{00000000-0005-0000-0000-0000DE340000}"/>
    <cellStyle name="20% - Accent5 4 2 2 3 6" xfId="30401" xr:uid="{00000000-0005-0000-0000-0000DF340000}"/>
    <cellStyle name="20% - Accent5 4 2 2 3 7" xfId="37725" xr:uid="{00000000-0005-0000-0000-0000E0340000}"/>
    <cellStyle name="20% - Accent5 4 2 2 4" xfId="4835" xr:uid="{00000000-0005-0000-0000-0000E1340000}"/>
    <cellStyle name="20% - Accent5 4 2 2 4 2" xfId="11936" xr:uid="{00000000-0005-0000-0000-0000E2340000}"/>
    <cellStyle name="20% - Accent5 4 2 2 4 3" xfId="19037" xr:uid="{00000000-0005-0000-0000-0000E3340000}"/>
    <cellStyle name="20% - Accent5 4 2 2 4 4" xfId="26139" xr:uid="{00000000-0005-0000-0000-0000E4340000}"/>
    <cellStyle name="20% - Accent5 4 2 2 4 5" xfId="33241" xr:uid="{00000000-0005-0000-0000-0000E5340000}"/>
    <cellStyle name="20% - Accent5 4 2 2 4 6" xfId="37726" xr:uid="{00000000-0005-0000-0000-0000E6340000}"/>
    <cellStyle name="20% - Accent5 4 2 2 5" xfId="3410" xr:uid="{00000000-0005-0000-0000-0000E7340000}"/>
    <cellStyle name="20% - Accent5 4 2 2 5 2" xfId="10516" xr:uid="{00000000-0005-0000-0000-0000E8340000}"/>
    <cellStyle name="20% - Accent5 4 2 2 5 3" xfId="17617" xr:uid="{00000000-0005-0000-0000-0000E9340000}"/>
    <cellStyle name="20% - Accent5 4 2 2 5 4" xfId="24719" xr:uid="{00000000-0005-0000-0000-0000EA340000}"/>
    <cellStyle name="20% - Accent5 4 2 2 5 5" xfId="31821" xr:uid="{00000000-0005-0000-0000-0000EB340000}"/>
    <cellStyle name="20% - Accent5 4 2 2 6" xfId="7676" xr:uid="{00000000-0005-0000-0000-0000EC340000}"/>
    <cellStyle name="20% - Accent5 4 2 2 7" xfId="14777" xr:uid="{00000000-0005-0000-0000-0000ED340000}"/>
    <cellStyle name="20% - Accent5 4 2 2 8" xfId="21879" xr:uid="{00000000-0005-0000-0000-0000EE340000}"/>
    <cellStyle name="20% - Accent5 4 2 2 9" xfId="28981" xr:uid="{00000000-0005-0000-0000-0000EF340000}"/>
    <cellStyle name="20% - Accent5 4 2 3" xfId="710" xr:uid="{00000000-0005-0000-0000-0000F0340000}"/>
    <cellStyle name="20% - Accent5 4 2 3 2" xfId="2201" xr:uid="{00000000-0005-0000-0000-0000F1340000}"/>
    <cellStyle name="20% - Accent5 4 2 3 2 2" xfId="6469" xr:uid="{00000000-0005-0000-0000-0000F2340000}"/>
    <cellStyle name="20% - Accent5 4 2 3 2 2 2" xfId="13569" xr:uid="{00000000-0005-0000-0000-0000F3340000}"/>
    <cellStyle name="20% - Accent5 4 2 3 2 2 3" xfId="20670" xr:uid="{00000000-0005-0000-0000-0000F4340000}"/>
    <cellStyle name="20% - Accent5 4 2 3 2 2 4" xfId="27772" xr:uid="{00000000-0005-0000-0000-0000F5340000}"/>
    <cellStyle name="20% - Accent5 4 2 3 2 2 5" xfId="34874" xr:uid="{00000000-0005-0000-0000-0000F6340000}"/>
    <cellStyle name="20% - Accent5 4 2 3 2 2 6" xfId="37727" xr:uid="{00000000-0005-0000-0000-0000F7340000}"/>
    <cellStyle name="20% - Accent5 4 2 3 2 3" xfId="9309" xr:uid="{00000000-0005-0000-0000-0000F8340000}"/>
    <cellStyle name="20% - Accent5 4 2 3 2 4" xfId="16410" xr:uid="{00000000-0005-0000-0000-0000F9340000}"/>
    <cellStyle name="20% - Accent5 4 2 3 2 5" xfId="23512" xr:uid="{00000000-0005-0000-0000-0000FA340000}"/>
    <cellStyle name="20% - Accent5 4 2 3 2 6" xfId="30614" xr:uid="{00000000-0005-0000-0000-0000FB340000}"/>
    <cellStyle name="20% - Accent5 4 2 3 2 7" xfId="37728" xr:uid="{00000000-0005-0000-0000-0000FC340000}"/>
    <cellStyle name="20% - Accent5 4 2 3 3" xfId="5048" xr:uid="{00000000-0005-0000-0000-0000FD340000}"/>
    <cellStyle name="20% - Accent5 4 2 3 3 2" xfId="12149" xr:uid="{00000000-0005-0000-0000-0000FE340000}"/>
    <cellStyle name="20% - Accent5 4 2 3 3 2 2" xfId="37729" xr:uid="{00000000-0005-0000-0000-0000FF340000}"/>
    <cellStyle name="20% - Accent5 4 2 3 3 3" xfId="19250" xr:uid="{00000000-0005-0000-0000-000000350000}"/>
    <cellStyle name="20% - Accent5 4 2 3 3 4" xfId="26352" xr:uid="{00000000-0005-0000-0000-000001350000}"/>
    <cellStyle name="20% - Accent5 4 2 3 3 5" xfId="33454" xr:uid="{00000000-0005-0000-0000-000002350000}"/>
    <cellStyle name="20% - Accent5 4 2 3 3 6" xfId="37730" xr:uid="{00000000-0005-0000-0000-000003350000}"/>
    <cellStyle name="20% - Accent5 4 2 3 4" xfId="3623" xr:uid="{00000000-0005-0000-0000-000004350000}"/>
    <cellStyle name="20% - Accent5 4 2 3 4 2" xfId="10729" xr:uid="{00000000-0005-0000-0000-000005350000}"/>
    <cellStyle name="20% - Accent5 4 2 3 4 3" xfId="17830" xr:uid="{00000000-0005-0000-0000-000006350000}"/>
    <cellStyle name="20% - Accent5 4 2 3 4 4" xfId="24932" xr:uid="{00000000-0005-0000-0000-000007350000}"/>
    <cellStyle name="20% - Accent5 4 2 3 4 5" xfId="32034" xr:uid="{00000000-0005-0000-0000-000008350000}"/>
    <cellStyle name="20% - Accent5 4 2 3 4 6" xfId="37731" xr:uid="{00000000-0005-0000-0000-000009350000}"/>
    <cellStyle name="20% - Accent5 4 2 3 5" xfId="7889" xr:uid="{00000000-0005-0000-0000-00000A350000}"/>
    <cellStyle name="20% - Accent5 4 2 3 6" xfId="14990" xr:uid="{00000000-0005-0000-0000-00000B350000}"/>
    <cellStyle name="20% - Accent5 4 2 3 7" xfId="22092" xr:uid="{00000000-0005-0000-0000-00000C350000}"/>
    <cellStyle name="20% - Accent5 4 2 3 8" xfId="29194" xr:uid="{00000000-0005-0000-0000-00000D350000}"/>
    <cellStyle name="20% - Accent5 4 2 3 9" xfId="37732" xr:uid="{00000000-0005-0000-0000-00000E350000}"/>
    <cellStyle name="20% - Accent5 4 2 4" xfId="923" xr:uid="{00000000-0005-0000-0000-00000F350000}"/>
    <cellStyle name="20% - Accent5 4 2 4 2" xfId="2414" xr:uid="{00000000-0005-0000-0000-000010350000}"/>
    <cellStyle name="20% - Accent5 4 2 4 2 2" xfId="6682" xr:uid="{00000000-0005-0000-0000-000011350000}"/>
    <cellStyle name="20% - Accent5 4 2 4 2 2 2" xfId="13782" xr:uid="{00000000-0005-0000-0000-000012350000}"/>
    <cellStyle name="20% - Accent5 4 2 4 2 2 3" xfId="20883" xr:uid="{00000000-0005-0000-0000-000013350000}"/>
    <cellStyle name="20% - Accent5 4 2 4 2 2 4" xfId="27985" xr:uid="{00000000-0005-0000-0000-000014350000}"/>
    <cellStyle name="20% - Accent5 4 2 4 2 2 5" xfId="35087" xr:uid="{00000000-0005-0000-0000-000015350000}"/>
    <cellStyle name="20% - Accent5 4 2 4 2 2 6" xfId="37733" xr:uid="{00000000-0005-0000-0000-000016350000}"/>
    <cellStyle name="20% - Accent5 4 2 4 2 3" xfId="9522" xr:uid="{00000000-0005-0000-0000-000017350000}"/>
    <cellStyle name="20% - Accent5 4 2 4 2 4" xfId="16623" xr:uid="{00000000-0005-0000-0000-000018350000}"/>
    <cellStyle name="20% - Accent5 4 2 4 2 5" xfId="23725" xr:uid="{00000000-0005-0000-0000-000019350000}"/>
    <cellStyle name="20% - Accent5 4 2 4 2 6" xfId="30827" xr:uid="{00000000-0005-0000-0000-00001A350000}"/>
    <cellStyle name="20% - Accent5 4 2 4 2 7" xfId="37734" xr:uid="{00000000-0005-0000-0000-00001B350000}"/>
    <cellStyle name="20% - Accent5 4 2 4 3" xfId="5261" xr:uid="{00000000-0005-0000-0000-00001C350000}"/>
    <cellStyle name="20% - Accent5 4 2 4 3 2" xfId="12362" xr:uid="{00000000-0005-0000-0000-00001D350000}"/>
    <cellStyle name="20% - Accent5 4 2 4 3 2 2" xfId="37735" xr:uid="{00000000-0005-0000-0000-00001E350000}"/>
    <cellStyle name="20% - Accent5 4 2 4 3 3" xfId="19463" xr:uid="{00000000-0005-0000-0000-00001F350000}"/>
    <cellStyle name="20% - Accent5 4 2 4 3 4" xfId="26565" xr:uid="{00000000-0005-0000-0000-000020350000}"/>
    <cellStyle name="20% - Accent5 4 2 4 3 5" xfId="33667" xr:uid="{00000000-0005-0000-0000-000021350000}"/>
    <cellStyle name="20% - Accent5 4 2 4 3 6" xfId="37736" xr:uid="{00000000-0005-0000-0000-000022350000}"/>
    <cellStyle name="20% - Accent5 4 2 4 4" xfId="3836" xr:uid="{00000000-0005-0000-0000-000023350000}"/>
    <cellStyle name="20% - Accent5 4 2 4 4 2" xfId="10942" xr:uid="{00000000-0005-0000-0000-000024350000}"/>
    <cellStyle name="20% - Accent5 4 2 4 4 3" xfId="18043" xr:uid="{00000000-0005-0000-0000-000025350000}"/>
    <cellStyle name="20% - Accent5 4 2 4 4 4" xfId="25145" xr:uid="{00000000-0005-0000-0000-000026350000}"/>
    <cellStyle name="20% - Accent5 4 2 4 4 5" xfId="32247" xr:uid="{00000000-0005-0000-0000-000027350000}"/>
    <cellStyle name="20% - Accent5 4 2 4 4 6" xfId="37737" xr:uid="{00000000-0005-0000-0000-000028350000}"/>
    <cellStyle name="20% - Accent5 4 2 4 5" xfId="8102" xr:uid="{00000000-0005-0000-0000-000029350000}"/>
    <cellStyle name="20% - Accent5 4 2 4 6" xfId="15203" xr:uid="{00000000-0005-0000-0000-00002A350000}"/>
    <cellStyle name="20% - Accent5 4 2 4 7" xfId="22305" xr:uid="{00000000-0005-0000-0000-00002B350000}"/>
    <cellStyle name="20% - Accent5 4 2 4 8" xfId="29407" xr:uid="{00000000-0005-0000-0000-00002C350000}"/>
    <cellStyle name="20% - Accent5 4 2 4 9" xfId="37738" xr:uid="{00000000-0005-0000-0000-00002D350000}"/>
    <cellStyle name="20% - Accent5 4 2 5" xfId="1065" xr:uid="{00000000-0005-0000-0000-00002E350000}"/>
    <cellStyle name="20% - Accent5 4 2 5 2" xfId="2556" xr:uid="{00000000-0005-0000-0000-00002F350000}"/>
    <cellStyle name="20% - Accent5 4 2 5 2 2" xfId="6824" xr:uid="{00000000-0005-0000-0000-000030350000}"/>
    <cellStyle name="20% - Accent5 4 2 5 2 2 2" xfId="13924" xr:uid="{00000000-0005-0000-0000-000031350000}"/>
    <cellStyle name="20% - Accent5 4 2 5 2 2 3" xfId="21025" xr:uid="{00000000-0005-0000-0000-000032350000}"/>
    <cellStyle name="20% - Accent5 4 2 5 2 2 4" xfId="28127" xr:uid="{00000000-0005-0000-0000-000033350000}"/>
    <cellStyle name="20% - Accent5 4 2 5 2 2 5" xfId="35229" xr:uid="{00000000-0005-0000-0000-000034350000}"/>
    <cellStyle name="20% - Accent5 4 2 5 2 3" xfId="9664" xr:uid="{00000000-0005-0000-0000-000035350000}"/>
    <cellStyle name="20% - Accent5 4 2 5 2 4" xfId="16765" xr:uid="{00000000-0005-0000-0000-000036350000}"/>
    <cellStyle name="20% - Accent5 4 2 5 2 5" xfId="23867" xr:uid="{00000000-0005-0000-0000-000037350000}"/>
    <cellStyle name="20% - Accent5 4 2 5 2 6" xfId="30969" xr:uid="{00000000-0005-0000-0000-000038350000}"/>
    <cellStyle name="20% - Accent5 4 2 5 2 7" xfId="37739" xr:uid="{00000000-0005-0000-0000-000039350000}"/>
    <cellStyle name="20% - Accent5 4 2 5 3" xfId="5403" xr:uid="{00000000-0005-0000-0000-00003A350000}"/>
    <cellStyle name="20% - Accent5 4 2 5 3 2" xfId="12504" xr:uid="{00000000-0005-0000-0000-00003B350000}"/>
    <cellStyle name="20% - Accent5 4 2 5 3 3" xfId="19605" xr:uid="{00000000-0005-0000-0000-00003C350000}"/>
    <cellStyle name="20% - Accent5 4 2 5 3 4" xfId="26707" xr:uid="{00000000-0005-0000-0000-00003D350000}"/>
    <cellStyle name="20% - Accent5 4 2 5 3 5" xfId="33809" xr:uid="{00000000-0005-0000-0000-00003E350000}"/>
    <cellStyle name="20% - Accent5 4 2 5 4" xfId="3978" xr:uid="{00000000-0005-0000-0000-00003F350000}"/>
    <cellStyle name="20% - Accent5 4 2 5 4 2" xfId="11084" xr:uid="{00000000-0005-0000-0000-000040350000}"/>
    <cellStyle name="20% - Accent5 4 2 5 4 3" xfId="18185" xr:uid="{00000000-0005-0000-0000-000041350000}"/>
    <cellStyle name="20% - Accent5 4 2 5 4 4" xfId="25287" xr:uid="{00000000-0005-0000-0000-000042350000}"/>
    <cellStyle name="20% - Accent5 4 2 5 4 5" xfId="32389" xr:uid="{00000000-0005-0000-0000-000043350000}"/>
    <cellStyle name="20% - Accent5 4 2 5 5" xfId="8244" xr:uid="{00000000-0005-0000-0000-000044350000}"/>
    <cellStyle name="20% - Accent5 4 2 5 6" xfId="15345" xr:uid="{00000000-0005-0000-0000-000045350000}"/>
    <cellStyle name="20% - Accent5 4 2 5 7" xfId="22447" xr:uid="{00000000-0005-0000-0000-000046350000}"/>
    <cellStyle name="20% - Accent5 4 2 5 8" xfId="29549" xr:uid="{00000000-0005-0000-0000-000047350000}"/>
    <cellStyle name="20% - Accent5 4 2 5 9" xfId="37740" xr:uid="{00000000-0005-0000-0000-000048350000}"/>
    <cellStyle name="20% - Accent5 4 2 6" xfId="1491" xr:uid="{00000000-0005-0000-0000-000049350000}"/>
    <cellStyle name="20% - Accent5 4 2 6 2" xfId="2982" xr:uid="{00000000-0005-0000-0000-00004A350000}"/>
    <cellStyle name="20% - Accent5 4 2 6 2 2" xfId="7250" xr:uid="{00000000-0005-0000-0000-00004B350000}"/>
    <cellStyle name="20% - Accent5 4 2 6 2 2 2" xfId="14350" xr:uid="{00000000-0005-0000-0000-00004C350000}"/>
    <cellStyle name="20% - Accent5 4 2 6 2 2 3" xfId="21451" xr:uid="{00000000-0005-0000-0000-00004D350000}"/>
    <cellStyle name="20% - Accent5 4 2 6 2 2 4" xfId="28553" xr:uid="{00000000-0005-0000-0000-00004E350000}"/>
    <cellStyle name="20% - Accent5 4 2 6 2 2 5" xfId="35655" xr:uid="{00000000-0005-0000-0000-00004F350000}"/>
    <cellStyle name="20% - Accent5 4 2 6 2 3" xfId="10090" xr:uid="{00000000-0005-0000-0000-000050350000}"/>
    <cellStyle name="20% - Accent5 4 2 6 2 4" xfId="17191" xr:uid="{00000000-0005-0000-0000-000051350000}"/>
    <cellStyle name="20% - Accent5 4 2 6 2 5" xfId="24293" xr:uid="{00000000-0005-0000-0000-000052350000}"/>
    <cellStyle name="20% - Accent5 4 2 6 2 6" xfId="31395" xr:uid="{00000000-0005-0000-0000-000053350000}"/>
    <cellStyle name="20% - Accent5 4 2 6 2 7" xfId="37741" xr:uid="{00000000-0005-0000-0000-000054350000}"/>
    <cellStyle name="20% - Accent5 4 2 6 3" xfId="5829" xr:uid="{00000000-0005-0000-0000-000055350000}"/>
    <cellStyle name="20% - Accent5 4 2 6 3 2" xfId="12930" xr:uid="{00000000-0005-0000-0000-000056350000}"/>
    <cellStyle name="20% - Accent5 4 2 6 3 3" xfId="20031" xr:uid="{00000000-0005-0000-0000-000057350000}"/>
    <cellStyle name="20% - Accent5 4 2 6 3 4" xfId="27133" xr:uid="{00000000-0005-0000-0000-000058350000}"/>
    <cellStyle name="20% - Accent5 4 2 6 3 5" xfId="34235" xr:uid="{00000000-0005-0000-0000-000059350000}"/>
    <cellStyle name="20% - Accent5 4 2 6 4" xfId="4404" xr:uid="{00000000-0005-0000-0000-00005A350000}"/>
    <cellStyle name="20% - Accent5 4 2 6 4 2" xfId="11510" xr:uid="{00000000-0005-0000-0000-00005B350000}"/>
    <cellStyle name="20% - Accent5 4 2 6 4 3" xfId="18611" xr:uid="{00000000-0005-0000-0000-00005C350000}"/>
    <cellStyle name="20% - Accent5 4 2 6 4 4" xfId="25713" xr:uid="{00000000-0005-0000-0000-00005D350000}"/>
    <cellStyle name="20% - Accent5 4 2 6 4 5" xfId="32815" xr:uid="{00000000-0005-0000-0000-00005E350000}"/>
    <cellStyle name="20% - Accent5 4 2 6 5" xfId="8670" xr:uid="{00000000-0005-0000-0000-00005F350000}"/>
    <cellStyle name="20% - Accent5 4 2 6 6" xfId="15771" xr:uid="{00000000-0005-0000-0000-000060350000}"/>
    <cellStyle name="20% - Accent5 4 2 6 7" xfId="22873" xr:uid="{00000000-0005-0000-0000-000061350000}"/>
    <cellStyle name="20% - Accent5 4 2 6 8" xfId="29975" xr:uid="{00000000-0005-0000-0000-000062350000}"/>
    <cellStyle name="20% - Accent5 4 2 6 9" xfId="37742" xr:uid="{00000000-0005-0000-0000-000063350000}"/>
    <cellStyle name="20% - Accent5 4 2 7" xfId="1775" xr:uid="{00000000-0005-0000-0000-000064350000}"/>
    <cellStyle name="20% - Accent5 4 2 7 2" xfId="6043" xr:uid="{00000000-0005-0000-0000-000065350000}"/>
    <cellStyle name="20% - Accent5 4 2 7 2 2" xfId="13143" xr:uid="{00000000-0005-0000-0000-000066350000}"/>
    <cellStyle name="20% - Accent5 4 2 7 2 3" xfId="20244" xr:uid="{00000000-0005-0000-0000-000067350000}"/>
    <cellStyle name="20% - Accent5 4 2 7 2 4" xfId="27346" xr:uid="{00000000-0005-0000-0000-000068350000}"/>
    <cellStyle name="20% - Accent5 4 2 7 2 5" xfId="34448" xr:uid="{00000000-0005-0000-0000-000069350000}"/>
    <cellStyle name="20% - Accent5 4 2 7 3" xfId="8883" xr:uid="{00000000-0005-0000-0000-00006A350000}"/>
    <cellStyle name="20% - Accent5 4 2 7 4" xfId="15984" xr:uid="{00000000-0005-0000-0000-00006B350000}"/>
    <cellStyle name="20% - Accent5 4 2 7 5" xfId="23086" xr:uid="{00000000-0005-0000-0000-00006C350000}"/>
    <cellStyle name="20% - Accent5 4 2 7 6" xfId="30188" xr:uid="{00000000-0005-0000-0000-00006D350000}"/>
    <cellStyle name="20% - Accent5 4 2 7 7" xfId="37743" xr:uid="{00000000-0005-0000-0000-00006E350000}"/>
    <cellStyle name="20% - Accent5 4 2 8" xfId="4622" xr:uid="{00000000-0005-0000-0000-00006F350000}"/>
    <cellStyle name="20% - Accent5 4 2 8 2" xfId="11723" xr:uid="{00000000-0005-0000-0000-000070350000}"/>
    <cellStyle name="20% - Accent5 4 2 8 3" xfId="18824" xr:uid="{00000000-0005-0000-0000-000071350000}"/>
    <cellStyle name="20% - Accent5 4 2 8 4" xfId="25926" xr:uid="{00000000-0005-0000-0000-000072350000}"/>
    <cellStyle name="20% - Accent5 4 2 8 5" xfId="33028" xr:uid="{00000000-0005-0000-0000-000073350000}"/>
    <cellStyle name="20% - Accent5 4 2 9" xfId="3197" xr:uid="{00000000-0005-0000-0000-000074350000}"/>
    <cellStyle name="20% - Accent5 4 2 9 2" xfId="10303" xr:uid="{00000000-0005-0000-0000-000075350000}"/>
    <cellStyle name="20% - Accent5 4 2 9 3" xfId="17404" xr:uid="{00000000-0005-0000-0000-000076350000}"/>
    <cellStyle name="20% - Accent5 4 2 9 4" xfId="24506" xr:uid="{00000000-0005-0000-0000-000077350000}"/>
    <cellStyle name="20% - Accent5 4 2 9 5" xfId="31608" xr:uid="{00000000-0005-0000-0000-000078350000}"/>
    <cellStyle name="20% - Accent5 4 3" xfId="213" xr:uid="{00000000-0005-0000-0000-000079350000}"/>
    <cellStyle name="20% - Accent5 4 3 10" xfId="7392" xr:uid="{00000000-0005-0000-0000-00007A350000}"/>
    <cellStyle name="20% - Accent5 4 3 11" xfId="14493" xr:uid="{00000000-0005-0000-0000-00007B350000}"/>
    <cellStyle name="20% - Accent5 4 3 12" xfId="21595" xr:uid="{00000000-0005-0000-0000-00007C350000}"/>
    <cellStyle name="20% - Accent5 4 3 13" xfId="28697" xr:uid="{00000000-0005-0000-0000-00007D350000}"/>
    <cellStyle name="20% - Accent5 4 3 14" xfId="35799" xr:uid="{00000000-0005-0000-0000-00007E350000}"/>
    <cellStyle name="20% - Accent5 4 3 15" xfId="37744" xr:uid="{00000000-0005-0000-0000-00007F350000}"/>
    <cellStyle name="20% - Accent5 4 3 2" xfId="426" xr:uid="{00000000-0005-0000-0000-000080350000}"/>
    <cellStyle name="20% - Accent5 4 3 2 2" xfId="1917" xr:uid="{00000000-0005-0000-0000-000081350000}"/>
    <cellStyle name="20% - Accent5 4 3 2 2 2" xfId="6185" xr:uid="{00000000-0005-0000-0000-000082350000}"/>
    <cellStyle name="20% - Accent5 4 3 2 2 2 2" xfId="13285" xr:uid="{00000000-0005-0000-0000-000083350000}"/>
    <cellStyle name="20% - Accent5 4 3 2 2 2 3" xfId="20386" xr:uid="{00000000-0005-0000-0000-000084350000}"/>
    <cellStyle name="20% - Accent5 4 3 2 2 2 4" xfId="27488" xr:uid="{00000000-0005-0000-0000-000085350000}"/>
    <cellStyle name="20% - Accent5 4 3 2 2 2 5" xfId="34590" xr:uid="{00000000-0005-0000-0000-000086350000}"/>
    <cellStyle name="20% - Accent5 4 3 2 2 2 6" xfId="37745" xr:uid="{00000000-0005-0000-0000-000087350000}"/>
    <cellStyle name="20% - Accent5 4 3 2 2 3" xfId="9025" xr:uid="{00000000-0005-0000-0000-000088350000}"/>
    <cellStyle name="20% - Accent5 4 3 2 2 4" xfId="16126" xr:uid="{00000000-0005-0000-0000-000089350000}"/>
    <cellStyle name="20% - Accent5 4 3 2 2 5" xfId="23228" xr:uid="{00000000-0005-0000-0000-00008A350000}"/>
    <cellStyle name="20% - Accent5 4 3 2 2 6" xfId="30330" xr:uid="{00000000-0005-0000-0000-00008B350000}"/>
    <cellStyle name="20% - Accent5 4 3 2 2 7" xfId="37746" xr:uid="{00000000-0005-0000-0000-00008C350000}"/>
    <cellStyle name="20% - Accent5 4 3 2 3" xfId="4764" xr:uid="{00000000-0005-0000-0000-00008D350000}"/>
    <cellStyle name="20% - Accent5 4 3 2 3 2" xfId="11865" xr:uid="{00000000-0005-0000-0000-00008E350000}"/>
    <cellStyle name="20% - Accent5 4 3 2 3 2 2" xfId="37747" xr:uid="{00000000-0005-0000-0000-00008F350000}"/>
    <cellStyle name="20% - Accent5 4 3 2 3 3" xfId="18966" xr:uid="{00000000-0005-0000-0000-000090350000}"/>
    <cellStyle name="20% - Accent5 4 3 2 3 4" xfId="26068" xr:uid="{00000000-0005-0000-0000-000091350000}"/>
    <cellStyle name="20% - Accent5 4 3 2 3 5" xfId="33170" xr:uid="{00000000-0005-0000-0000-000092350000}"/>
    <cellStyle name="20% - Accent5 4 3 2 3 6" xfId="37748" xr:uid="{00000000-0005-0000-0000-000093350000}"/>
    <cellStyle name="20% - Accent5 4 3 2 4" xfId="3339" xr:uid="{00000000-0005-0000-0000-000094350000}"/>
    <cellStyle name="20% - Accent5 4 3 2 4 2" xfId="10445" xr:uid="{00000000-0005-0000-0000-000095350000}"/>
    <cellStyle name="20% - Accent5 4 3 2 4 3" xfId="17546" xr:uid="{00000000-0005-0000-0000-000096350000}"/>
    <cellStyle name="20% - Accent5 4 3 2 4 4" xfId="24648" xr:uid="{00000000-0005-0000-0000-000097350000}"/>
    <cellStyle name="20% - Accent5 4 3 2 4 5" xfId="31750" xr:uid="{00000000-0005-0000-0000-000098350000}"/>
    <cellStyle name="20% - Accent5 4 3 2 4 6" xfId="37749" xr:uid="{00000000-0005-0000-0000-000099350000}"/>
    <cellStyle name="20% - Accent5 4 3 2 5" xfId="7605" xr:uid="{00000000-0005-0000-0000-00009A350000}"/>
    <cellStyle name="20% - Accent5 4 3 2 6" xfId="14706" xr:uid="{00000000-0005-0000-0000-00009B350000}"/>
    <cellStyle name="20% - Accent5 4 3 2 7" xfId="21808" xr:uid="{00000000-0005-0000-0000-00009C350000}"/>
    <cellStyle name="20% - Accent5 4 3 2 8" xfId="28910" xr:uid="{00000000-0005-0000-0000-00009D350000}"/>
    <cellStyle name="20% - Accent5 4 3 2 9" xfId="37750" xr:uid="{00000000-0005-0000-0000-00009E350000}"/>
    <cellStyle name="20% - Accent5 4 3 3" xfId="639" xr:uid="{00000000-0005-0000-0000-00009F350000}"/>
    <cellStyle name="20% - Accent5 4 3 3 2" xfId="2130" xr:uid="{00000000-0005-0000-0000-0000A0350000}"/>
    <cellStyle name="20% - Accent5 4 3 3 2 2" xfId="6398" xr:uid="{00000000-0005-0000-0000-0000A1350000}"/>
    <cellStyle name="20% - Accent5 4 3 3 2 2 2" xfId="13498" xr:uid="{00000000-0005-0000-0000-0000A2350000}"/>
    <cellStyle name="20% - Accent5 4 3 3 2 2 3" xfId="20599" xr:uid="{00000000-0005-0000-0000-0000A3350000}"/>
    <cellStyle name="20% - Accent5 4 3 3 2 2 4" xfId="27701" xr:uid="{00000000-0005-0000-0000-0000A4350000}"/>
    <cellStyle name="20% - Accent5 4 3 3 2 2 5" xfId="34803" xr:uid="{00000000-0005-0000-0000-0000A5350000}"/>
    <cellStyle name="20% - Accent5 4 3 3 2 2 6" xfId="37751" xr:uid="{00000000-0005-0000-0000-0000A6350000}"/>
    <cellStyle name="20% - Accent5 4 3 3 2 3" xfId="9238" xr:uid="{00000000-0005-0000-0000-0000A7350000}"/>
    <cellStyle name="20% - Accent5 4 3 3 2 4" xfId="16339" xr:uid="{00000000-0005-0000-0000-0000A8350000}"/>
    <cellStyle name="20% - Accent5 4 3 3 2 5" xfId="23441" xr:uid="{00000000-0005-0000-0000-0000A9350000}"/>
    <cellStyle name="20% - Accent5 4 3 3 2 6" xfId="30543" xr:uid="{00000000-0005-0000-0000-0000AA350000}"/>
    <cellStyle name="20% - Accent5 4 3 3 2 7" xfId="37752" xr:uid="{00000000-0005-0000-0000-0000AB350000}"/>
    <cellStyle name="20% - Accent5 4 3 3 3" xfId="4977" xr:uid="{00000000-0005-0000-0000-0000AC350000}"/>
    <cellStyle name="20% - Accent5 4 3 3 3 2" xfId="12078" xr:uid="{00000000-0005-0000-0000-0000AD350000}"/>
    <cellStyle name="20% - Accent5 4 3 3 3 2 2" xfId="37753" xr:uid="{00000000-0005-0000-0000-0000AE350000}"/>
    <cellStyle name="20% - Accent5 4 3 3 3 3" xfId="19179" xr:uid="{00000000-0005-0000-0000-0000AF350000}"/>
    <cellStyle name="20% - Accent5 4 3 3 3 4" xfId="26281" xr:uid="{00000000-0005-0000-0000-0000B0350000}"/>
    <cellStyle name="20% - Accent5 4 3 3 3 5" xfId="33383" xr:uid="{00000000-0005-0000-0000-0000B1350000}"/>
    <cellStyle name="20% - Accent5 4 3 3 3 6" xfId="37754" xr:uid="{00000000-0005-0000-0000-0000B2350000}"/>
    <cellStyle name="20% - Accent5 4 3 3 4" xfId="3552" xr:uid="{00000000-0005-0000-0000-0000B3350000}"/>
    <cellStyle name="20% - Accent5 4 3 3 4 2" xfId="10658" xr:uid="{00000000-0005-0000-0000-0000B4350000}"/>
    <cellStyle name="20% - Accent5 4 3 3 4 3" xfId="17759" xr:uid="{00000000-0005-0000-0000-0000B5350000}"/>
    <cellStyle name="20% - Accent5 4 3 3 4 4" xfId="24861" xr:uid="{00000000-0005-0000-0000-0000B6350000}"/>
    <cellStyle name="20% - Accent5 4 3 3 4 5" xfId="31963" xr:uid="{00000000-0005-0000-0000-0000B7350000}"/>
    <cellStyle name="20% - Accent5 4 3 3 4 6" xfId="37755" xr:uid="{00000000-0005-0000-0000-0000B8350000}"/>
    <cellStyle name="20% - Accent5 4 3 3 5" xfId="7818" xr:uid="{00000000-0005-0000-0000-0000B9350000}"/>
    <cellStyle name="20% - Accent5 4 3 3 6" xfId="14919" xr:uid="{00000000-0005-0000-0000-0000BA350000}"/>
    <cellStyle name="20% - Accent5 4 3 3 7" xfId="22021" xr:uid="{00000000-0005-0000-0000-0000BB350000}"/>
    <cellStyle name="20% - Accent5 4 3 3 8" xfId="29123" xr:uid="{00000000-0005-0000-0000-0000BC350000}"/>
    <cellStyle name="20% - Accent5 4 3 3 9" xfId="37756" xr:uid="{00000000-0005-0000-0000-0000BD350000}"/>
    <cellStyle name="20% - Accent5 4 3 4" xfId="852" xr:uid="{00000000-0005-0000-0000-0000BE350000}"/>
    <cellStyle name="20% - Accent5 4 3 4 2" xfId="2343" xr:uid="{00000000-0005-0000-0000-0000BF350000}"/>
    <cellStyle name="20% - Accent5 4 3 4 2 2" xfId="6611" xr:uid="{00000000-0005-0000-0000-0000C0350000}"/>
    <cellStyle name="20% - Accent5 4 3 4 2 2 2" xfId="13711" xr:uid="{00000000-0005-0000-0000-0000C1350000}"/>
    <cellStyle name="20% - Accent5 4 3 4 2 2 3" xfId="20812" xr:uid="{00000000-0005-0000-0000-0000C2350000}"/>
    <cellStyle name="20% - Accent5 4 3 4 2 2 4" xfId="27914" xr:uid="{00000000-0005-0000-0000-0000C3350000}"/>
    <cellStyle name="20% - Accent5 4 3 4 2 2 5" xfId="35016" xr:uid="{00000000-0005-0000-0000-0000C4350000}"/>
    <cellStyle name="20% - Accent5 4 3 4 2 2 6" xfId="37757" xr:uid="{00000000-0005-0000-0000-0000C5350000}"/>
    <cellStyle name="20% - Accent5 4 3 4 2 3" xfId="9451" xr:uid="{00000000-0005-0000-0000-0000C6350000}"/>
    <cellStyle name="20% - Accent5 4 3 4 2 4" xfId="16552" xr:uid="{00000000-0005-0000-0000-0000C7350000}"/>
    <cellStyle name="20% - Accent5 4 3 4 2 5" xfId="23654" xr:uid="{00000000-0005-0000-0000-0000C8350000}"/>
    <cellStyle name="20% - Accent5 4 3 4 2 6" xfId="30756" xr:uid="{00000000-0005-0000-0000-0000C9350000}"/>
    <cellStyle name="20% - Accent5 4 3 4 2 7" xfId="37758" xr:uid="{00000000-0005-0000-0000-0000CA350000}"/>
    <cellStyle name="20% - Accent5 4 3 4 3" xfId="5190" xr:uid="{00000000-0005-0000-0000-0000CB350000}"/>
    <cellStyle name="20% - Accent5 4 3 4 3 2" xfId="12291" xr:uid="{00000000-0005-0000-0000-0000CC350000}"/>
    <cellStyle name="20% - Accent5 4 3 4 3 2 2" xfId="37759" xr:uid="{00000000-0005-0000-0000-0000CD350000}"/>
    <cellStyle name="20% - Accent5 4 3 4 3 3" xfId="19392" xr:uid="{00000000-0005-0000-0000-0000CE350000}"/>
    <cellStyle name="20% - Accent5 4 3 4 3 4" xfId="26494" xr:uid="{00000000-0005-0000-0000-0000CF350000}"/>
    <cellStyle name="20% - Accent5 4 3 4 3 5" xfId="33596" xr:uid="{00000000-0005-0000-0000-0000D0350000}"/>
    <cellStyle name="20% - Accent5 4 3 4 3 6" xfId="37760" xr:uid="{00000000-0005-0000-0000-0000D1350000}"/>
    <cellStyle name="20% - Accent5 4 3 4 4" xfId="3765" xr:uid="{00000000-0005-0000-0000-0000D2350000}"/>
    <cellStyle name="20% - Accent5 4 3 4 4 2" xfId="10871" xr:uid="{00000000-0005-0000-0000-0000D3350000}"/>
    <cellStyle name="20% - Accent5 4 3 4 4 3" xfId="17972" xr:uid="{00000000-0005-0000-0000-0000D4350000}"/>
    <cellStyle name="20% - Accent5 4 3 4 4 4" xfId="25074" xr:uid="{00000000-0005-0000-0000-0000D5350000}"/>
    <cellStyle name="20% - Accent5 4 3 4 4 5" xfId="32176" xr:uid="{00000000-0005-0000-0000-0000D6350000}"/>
    <cellStyle name="20% - Accent5 4 3 4 4 6" xfId="37761" xr:uid="{00000000-0005-0000-0000-0000D7350000}"/>
    <cellStyle name="20% - Accent5 4 3 4 5" xfId="8031" xr:uid="{00000000-0005-0000-0000-0000D8350000}"/>
    <cellStyle name="20% - Accent5 4 3 4 6" xfId="15132" xr:uid="{00000000-0005-0000-0000-0000D9350000}"/>
    <cellStyle name="20% - Accent5 4 3 4 7" xfId="22234" xr:uid="{00000000-0005-0000-0000-0000DA350000}"/>
    <cellStyle name="20% - Accent5 4 3 4 8" xfId="29336" xr:uid="{00000000-0005-0000-0000-0000DB350000}"/>
    <cellStyle name="20% - Accent5 4 3 4 9" xfId="37762" xr:uid="{00000000-0005-0000-0000-0000DC350000}"/>
    <cellStyle name="20% - Accent5 4 3 5" xfId="1207" xr:uid="{00000000-0005-0000-0000-0000DD350000}"/>
    <cellStyle name="20% - Accent5 4 3 5 2" xfId="2698" xr:uid="{00000000-0005-0000-0000-0000DE350000}"/>
    <cellStyle name="20% - Accent5 4 3 5 2 2" xfId="6966" xr:uid="{00000000-0005-0000-0000-0000DF350000}"/>
    <cellStyle name="20% - Accent5 4 3 5 2 2 2" xfId="14066" xr:uid="{00000000-0005-0000-0000-0000E0350000}"/>
    <cellStyle name="20% - Accent5 4 3 5 2 2 3" xfId="21167" xr:uid="{00000000-0005-0000-0000-0000E1350000}"/>
    <cellStyle name="20% - Accent5 4 3 5 2 2 4" xfId="28269" xr:uid="{00000000-0005-0000-0000-0000E2350000}"/>
    <cellStyle name="20% - Accent5 4 3 5 2 2 5" xfId="35371" xr:uid="{00000000-0005-0000-0000-0000E3350000}"/>
    <cellStyle name="20% - Accent5 4 3 5 2 3" xfId="9806" xr:uid="{00000000-0005-0000-0000-0000E4350000}"/>
    <cellStyle name="20% - Accent5 4 3 5 2 4" xfId="16907" xr:uid="{00000000-0005-0000-0000-0000E5350000}"/>
    <cellStyle name="20% - Accent5 4 3 5 2 5" xfId="24009" xr:uid="{00000000-0005-0000-0000-0000E6350000}"/>
    <cellStyle name="20% - Accent5 4 3 5 2 6" xfId="31111" xr:uid="{00000000-0005-0000-0000-0000E7350000}"/>
    <cellStyle name="20% - Accent5 4 3 5 2 7" xfId="37763" xr:uid="{00000000-0005-0000-0000-0000E8350000}"/>
    <cellStyle name="20% - Accent5 4 3 5 3" xfId="5545" xr:uid="{00000000-0005-0000-0000-0000E9350000}"/>
    <cellStyle name="20% - Accent5 4 3 5 3 2" xfId="12646" xr:uid="{00000000-0005-0000-0000-0000EA350000}"/>
    <cellStyle name="20% - Accent5 4 3 5 3 3" xfId="19747" xr:uid="{00000000-0005-0000-0000-0000EB350000}"/>
    <cellStyle name="20% - Accent5 4 3 5 3 4" xfId="26849" xr:uid="{00000000-0005-0000-0000-0000EC350000}"/>
    <cellStyle name="20% - Accent5 4 3 5 3 5" xfId="33951" xr:uid="{00000000-0005-0000-0000-0000ED350000}"/>
    <cellStyle name="20% - Accent5 4 3 5 4" xfId="4120" xr:uid="{00000000-0005-0000-0000-0000EE350000}"/>
    <cellStyle name="20% - Accent5 4 3 5 4 2" xfId="11226" xr:uid="{00000000-0005-0000-0000-0000EF350000}"/>
    <cellStyle name="20% - Accent5 4 3 5 4 3" xfId="18327" xr:uid="{00000000-0005-0000-0000-0000F0350000}"/>
    <cellStyle name="20% - Accent5 4 3 5 4 4" xfId="25429" xr:uid="{00000000-0005-0000-0000-0000F1350000}"/>
    <cellStyle name="20% - Accent5 4 3 5 4 5" xfId="32531" xr:uid="{00000000-0005-0000-0000-0000F2350000}"/>
    <cellStyle name="20% - Accent5 4 3 5 5" xfId="8386" xr:uid="{00000000-0005-0000-0000-0000F3350000}"/>
    <cellStyle name="20% - Accent5 4 3 5 6" xfId="15487" xr:uid="{00000000-0005-0000-0000-0000F4350000}"/>
    <cellStyle name="20% - Accent5 4 3 5 7" xfId="22589" xr:uid="{00000000-0005-0000-0000-0000F5350000}"/>
    <cellStyle name="20% - Accent5 4 3 5 8" xfId="29691" xr:uid="{00000000-0005-0000-0000-0000F6350000}"/>
    <cellStyle name="20% - Accent5 4 3 5 9" xfId="37764" xr:uid="{00000000-0005-0000-0000-0000F7350000}"/>
    <cellStyle name="20% - Accent5 4 3 6" xfId="1420" xr:uid="{00000000-0005-0000-0000-0000F8350000}"/>
    <cellStyle name="20% - Accent5 4 3 6 2" xfId="2911" xr:uid="{00000000-0005-0000-0000-0000F9350000}"/>
    <cellStyle name="20% - Accent5 4 3 6 2 2" xfId="7179" xr:uid="{00000000-0005-0000-0000-0000FA350000}"/>
    <cellStyle name="20% - Accent5 4 3 6 2 2 2" xfId="14279" xr:uid="{00000000-0005-0000-0000-0000FB350000}"/>
    <cellStyle name="20% - Accent5 4 3 6 2 2 3" xfId="21380" xr:uid="{00000000-0005-0000-0000-0000FC350000}"/>
    <cellStyle name="20% - Accent5 4 3 6 2 2 4" xfId="28482" xr:uid="{00000000-0005-0000-0000-0000FD350000}"/>
    <cellStyle name="20% - Accent5 4 3 6 2 2 5" xfId="35584" xr:uid="{00000000-0005-0000-0000-0000FE350000}"/>
    <cellStyle name="20% - Accent5 4 3 6 2 3" xfId="10019" xr:uid="{00000000-0005-0000-0000-0000FF350000}"/>
    <cellStyle name="20% - Accent5 4 3 6 2 4" xfId="17120" xr:uid="{00000000-0005-0000-0000-000000360000}"/>
    <cellStyle name="20% - Accent5 4 3 6 2 5" xfId="24222" xr:uid="{00000000-0005-0000-0000-000001360000}"/>
    <cellStyle name="20% - Accent5 4 3 6 2 6" xfId="31324" xr:uid="{00000000-0005-0000-0000-000002360000}"/>
    <cellStyle name="20% - Accent5 4 3 6 2 7" xfId="37765" xr:uid="{00000000-0005-0000-0000-000003360000}"/>
    <cellStyle name="20% - Accent5 4 3 6 3" xfId="5758" xr:uid="{00000000-0005-0000-0000-000004360000}"/>
    <cellStyle name="20% - Accent5 4 3 6 3 2" xfId="12859" xr:uid="{00000000-0005-0000-0000-000005360000}"/>
    <cellStyle name="20% - Accent5 4 3 6 3 3" xfId="19960" xr:uid="{00000000-0005-0000-0000-000006360000}"/>
    <cellStyle name="20% - Accent5 4 3 6 3 4" xfId="27062" xr:uid="{00000000-0005-0000-0000-000007360000}"/>
    <cellStyle name="20% - Accent5 4 3 6 3 5" xfId="34164" xr:uid="{00000000-0005-0000-0000-000008360000}"/>
    <cellStyle name="20% - Accent5 4 3 6 4" xfId="4333" xr:uid="{00000000-0005-0000-0000-000009360000}"/>
    <cellStyle name="20% - Accent5 4 3 6 4 2" xfId="11439" xr:uid="{00000000-0005-0000-0000-00000A360000}"/>
    <cellStyle name="20% - Accent5 4 3 6 4 3" xfId="18540" xr:uid="{00000000-0005-0000-0000-00000B360000}"/>
    <cellStyle name="20% - Accent5 4 3 6 4 4" xfId="25642" xr:uid="{00000000-0005-0000-0000-00000C360000}"/>
    <cellStyle name="20% - Accent5 4 3 6 4 5" xfId="32744" xr:uid="{00000000-0005-0000-0000-00000D360000}"/>
    <cellStyle name="20% - Accent5 4 3 6 5" xfId="8599" xr:uid="{00000000-0005-0000-0000-00000E360000}"/>
    <cellStyle name="20% - Accent5 4 3 6 6" xfId="15700" xr:uid="{00000000-0005-0000-0000-00000F360000}"/>
    <cellStyle name="20% - Accent5 4 3 6 7" xfId="22802" xr:uid="{00000000-0005-0000-0000-000010360000}"/>
    <cellStyle name="20% - Accent5 4 3 6 8" xfId="29904" xr:uid="{00000000-0005-0000-0000-000011360000}"/>
    <cellStyle name="20% - Accent5 4 3 6 9" xfId="37766" xr:uid="{00000000-0005-0000-0000-000012360000}"/>
    <cellStyle name="20% - Accent5 4 3 7" xfId="1704" xr:uid="{00000000-0005-0000-0000-000013360000}"/>
    <cellStyle name="20% - Accent5 4 3 7 2" xfId="5972" xr:uid="{00000000-0005-0000-0000-000014360000}"/>
    <cellStyle name="20% - Accent5 4 3 7 2 2" xfId="13072" xr:uid="{00000000-0005-0000-0000-000015360000}"/>
    <cellStyle name="20% - Accent5 4 3 7 2 3" xfId="20173" xr:uid="{00000000-0005-0000-0000-000016360000}"/>
    <cellStyle name="20% - Accent5 4 3 7 2 4" xfId="27275" xr:uid="{00000000-0005-0000-0000-000017360000}"/>
    <cellStyle name="20% - Accent5 4 3 7 2 5" xfId="34377" xr:uid="{00000000-0005-0000-0000-000018360000}"/>
    <cellStyle name="20% - Accent5 4 3 7 3" xfId="8812" xr:uid="{00000000-0005-0000-0000-000019360000}"/>
    <cellStyle name="20% - Accent5 4 3 7 4" xfId="15913" xr:uid="{00000000-0005-0000-0000-00001A360000}"/>
    <cellStyle name="20% - Accent5 4 3 7 5" xfId="23015" xr:uid="{00000000-0005-0000-0000-00001B360000}"/>
    <cellStyle name="20% - Accent5 4 3 7 6" xfId="30117" xr:uid="{00000000-0005-0000-0000-00001C360000}"/>
    <cellStyle name="20% - Accent5 4 3 7 7" xfId="37767" xr:uid="{00000000-0005-0000-0000-00001D360000}"/>
    <cellStyle name="20% - Accent5 4 3 8" xfId="4551" xr:uid="{00000000-0005-0000-0000-00001E360000}"/>
    <cellStyle name="20% - Accent5 4 3 8 2" xfId="11652" xr:uid="{00000000-0005-0000-0000-00001F360000}"/>
    <cellStyle name="20% - Accent5 4 3 8 3" xfId="18753" xr:uid="{00000000-0005-0000-0000-000020360000}"/>
    <cellStyle name="20% - Accent5 4 3 8 4" xfId="25855" xr:uid="{00000000-0005-0000-0000-000021360000}"/>
    <cellStyle name="20% - Accent5 4 3 8 5" xfId="32957" xr:uid="{00000000-0005-0000-0000-000022360000}"/>
    <cellStyle name="20% - Accent5 4 3 9" xfId="3126" xr:uid="{00000000-0005-0000-0000-000023360000}"/>
    <cellStyle name="20% - Accent5 4 3 9 2" xfId="10232" xr:uid="{00000000-0005-0000-0000-000024360000}"/>
    <cellStyle name="20% - Accent5 4 3 9 3" xfId="17333" xr:uid="{00000000-0005-0000-0000-000025360000}"/>
    <cellStyle name="20% - Accent5 4 3 9 4" xfId="24435" xr:uid="{00000000-0005-0000-0000-000026360000}"/>
    <cellStyle name="20% - Accent5 4 3 9 5" xfId="31537" xr:uid="{00000000-0005-0000-0000-000027360000}"/>
    <cellStyle name="20% - Accent5 4 4" xfId="355" xr:uid="{00000000-0005-0000-0000-000028360000}"/>
    <cellStyle name="20% - Accent5 4 4 10" xfId="37768" xr:uid="{00000000-0005-0000-0000-000029360000}"/>
    <cellStyle name="20% - Accent5 4 4 2" xfId="1136" xr:uid="{00000000-0005-0000-0000-00002A360000}"/>
    <cellStyle name="20% - Accent5 4 4 2 2" xfId="2627" xr:uid="{00000000-0005-0000-0000-00002B360000}"/>
    <cellStyle name="20% - Accent5 4 4 2 2 2" xfId="6895" xr:uid="{00000000-0005-0000-0000-00002C360000}"/>
    <cellStyle name="20% - Accent5 4 4 2 2 2 2" xfId="13995" xr:uid="{00000000-0005-0000-0000-00002D360000}"/>
    <cellStyle name="20% - Accent5 4 4 2 2 2 3" xfId="21096" xr:uid="{00000000-0005-0000-0000-00002E360000}"/>
    <cellStyle name="20% - Accent5 4 4 2 2 2 4" xfId="28198" xr:uid="{00000000-0005-0000-0000-00002F360000}"/>
    <cellStyle name="20% - Accent5 4 4 2 2 2 5" xfId="35300" xr:uid="{00000000-0005-0000-0000-000030360000}"/>
    <cellStyle name="20% - Accent5 4 4 2 2 3" xfId="9735" xr:uid="{00000000-0005-0000-0000-000031360000}"/>
    <cellStyle name="20% - Accent5 4 4 2 2 4" xfId="16836" xr:uid="{00000000-0005-0000-0000-000032360000}"/>
    <cellStyle name="20% - Accent5 4 4 2 2 5" xfId="23938" xr:uid="{00000000-0005-0000-0000-000033360000}"/>
    <cellStyle name="20% - Accent5 4 4 2 2 6" xfId="31040" xr:uid="{00000000-0005-0000-0000-000034360000}"/>
    <cellStyle name="20% - Accent5 4 4 2 2 7" xfId="37769" xr:uid="{00000000-0005-0000-0000-000035360000}"/>
    <cellStyle name="20% - Accent5 4 4 2 3" xfId="5474" xr:uid="{00000000-0005-0000-0000-000036360000}"/>
    <cellStyle name="20% - Accent5 4 4 2 3 2" xfId="12575" xr:uid="{00000000-0005-0000-0000-000037360000}"/>
    <cellStyle name="20% - Accent5 4 4 2 3 3" xfId="19676" xr:uid="{00000000-0005-0000-0000-000038360000}"/>
    <cellStyle name="20% - Accent5 4 4 2 3 4" xfId="26778" xr:uid="{00000000-0005-0000-0000-000039360000}"/>
    <cellStyle name="20% - Accent5 4 4 2 3 5" xfId="33880" xr:uid="{00000000-0005-0000-0000-00003A360000}"/>
    <cellStyle name="20% - Accent5 4 4 2 4" xfId="4049" xr:uid="{00000000-0005-0000-0000-00003B360000}"/>
    <cellStyle name="20% - Accent5 4 4 2 4 2" xfId="11155" xr:uid="{00000000-0005-0000-0000-00003C360000}"/>
    <cellStyle name="20% - Accent5 4 4 2 4 3" xfId="18256" xr:uid="{00000000-0005-0000-0000-00003D360000}"/>
    <cellStyle name="20% - Accent5 4 4 2 4 4" xfId="25358" xr:uid="{00000000-0005-0000-0000-00003E360000}"/>
    <cellStyle name="20% - Accent5 4 4 2 4 5" xfId="32460" xr:uid="{00000000-0005-0000-0000-00003F360000}"/>
    <cellStyle name="20% - Accent5 4 4 2 5" xfId="8315" xr:uid="{00000000-0005-0000-0000-000040360000}"/>
    <cellStyle name="20% - Accent5 4 4 2 6" xfId="15416" xr:uid="{00000000-0005-0000-0000-000041360000}"/>
    <cellStyle name="20% - Accent5 4 4 2 7" xfId="22518" xr:uid="{00000000-0005-0000-0000-000042360000}"/>
    <cellStyle name="20% - Accent5 4 4 2 8" xfId="29620" xr:uid="{00000000-0005-0000-0000-000043360000}"/>
    <cellStyle name="20% - Accent5 4 4 2 9" xfId="37770" xr:uid="{00000000-0005-0000-0000-000044360000}"/>
    <cellStyle name="20% - Accent5 4 4 3" xfId="1846" xr:uid="{00000000-0005-0000-0000-000045360000}"/>
    <cellStyle name="20% - Accent5 4 4 3 2" xfId="6114" xr:uid="{00000000-0005-0000-0000-000046360000}"/>
    <cellStyle name="20% - Accent5 4 4 3 2 2" xfId="13214" xr:uid="{00000000-0005-0000-0000-000047360000}"/>
    <cellStyle name="20% - Accent5 4 4 3 2 3" xfId="20315" xr:uid="{00000000-0005-0000-0000-000048360000}"/>
    <cellStyle name="20% - Accent5 4 4 3 2 4" xfId="27417" xr:uid="{00000000-0005-0000-0000-000049360000}"/>
    <cellStyle name="20% - Accent5 4 4 3 2 5" xfId="34519" xr:uid="{00000000-0005-0000-0000-00004A360000}"/>
    <cellStyle name="20% - Accent5 4 4 3 2 6" xfId="37771" xr:uid="{00000000-0005-0000-0000-00004B360000}"/>
    <cellStyle name="20% - Accent5 4 4 3 3" xfId="8954" xr:uid="{00000000-0005-0000-0000-00004C360000}"/>
    <cellStyle name="20% - Accent5 4 4 3 4" xfId="16055" xr:uid="{00000000-0005-0000-0000-00004D360000}"/>
    <cellStyle name="20% - Accent5 4 4 3 5" xfId="23157" xr:uid="{00000000-0005-0000-0000-00004E360000}"/>
    <cellStyle name="20% - Accent5 4 4 3 6" xfId="30259" xr:uid="{00000000-0005-0000-0000-00004F360000}"/>
    <cellStyle name="20% - Accent5 4 4 3 7" xfId="37772" xr:uid="{00000000-0005-0000-0000-000050360000}"/>
    <cellStyle name="20% - Accent5 4 4 4" xfId="4693" xr:uid="{00000000-0005-0000-0000-000051360000}"/>
    <cellStyle name="20% - Accent5 4 4 4 2" xfId="11794" xr:uid="{00000000-0005-0000-0000-000052360000}"/>
    <cellStyle name="20% - Accent5 4 4 4 3" xfId="18895" xr:uid="{00000000-0005-0000-0000-000053360000}"/>
    <cellStyle name="20% - Accent5 4 4 4 4" xfId="25997" xr:uid="{00000000-0005-0000-0000-000054360000}"/>
    <cellStyle name="20% - Accent5 4 4 4 5" xfId="33099" xr:uid="{00000000-0005-0000-0000-000055360000}"/>
    <cellStyle name="20% - Accent5 4 4 4 6" xfId="37773" xr:uid="{00000000-0005-0000-0000-000056360000}"/>
    <cellStyle name="20% - Accent5 4 4 5" xfId="3268" xr:uid="{00000000-0005-0000-0000-000057360000}"/>
    <cellStyle name="20% - Accent5 4 4 5 2" xfId="10374" xr:uid="{00000000-0005-0000-0000-000058360000}"/>
    <cellStyle name="20% - Accent5 4 4 5 3" xfId="17475" xr:uid="{00000000-0005-0000-0000-000059360000}"/>
    <cellStyle name="20% - Accent5 4 4 5 4" xfId="24577" xr:uid="{00000000-0005-0000-0000-00005A360000}"/>
    <cellStyle name="20% - Accent5 4 4 5 5" xfId="31679" xr:uid="{00000000-0005-0000-0000-00005B360000}"/>
    <cellStyle name="20% - Accent5 4 4 6" xfId="7534" xr:uid="{00000000-0005-0000-0000-00005C360000}"/>
    <cellStyle name="20% - Accent5 4 4 7" xfId="14635" xr:uid="{00000000-0005-0000-0000-00005D360000}"/>
    <cellStyle name="20% - Accent5 4 4 8" xfId="21737" xr:uid="{00000000-0005-0000-0000-00005E360000}"/>
    <cellStyle name="20% - Accent5 4 4 9" xfId="28839" xr:uid="{00000000-0005-0000-0000-00005F360000}"/>
    <cellStyle name="20% - Accent5 4 5" xfId="568" xr:uid="{00000000-0005-0000-0000-000060360000}"/>
    <cellStyle name="20% - Accent5 4 5 2" xfId="2059" xr:uid="{00000000-0005-0000-0000-000061360000}"/>
    <cellStyle name="20% - Accent5 4 5 2 2" xfId="6327" xr:uid="{00000000-0005-0000-0000-000062360000}"/>
    <cellStyle name="20% - Accent5 4 5 2 2 2" xfId="13427" xr:uid="{00000000-0005-0000-0000-000063360000}"/>
    <cellStyle name="20% - Accent5 4 5 2 2 3" xfId="20528" xr:uid="{00000000-0005-0000-0000-000064360000}"/>
    <cellStyle name="20% - Accent5 4 5 2 2 4" xfId="27630" xr:uid="{00000000-0005-0000-0000-000065360000}"/>
    <cellStyle name="20% - Accent5 4 5 2 2 5" xfId="34732" xr:uid="{00000000-0005-0000-0000-000066360000}"/>
    <cellStyle name="20% - Accent5 4 5 2 2 6" xfId="37774" xr:uid="{00000000-0005-0000-0000-000067360000}"/>
    <cellStyle name="20% - Accent5 4 5 2 3" xfId="9167" xr:uid="{00000000-0005-0000-0000-000068360000}"/>
    <cellStyle name="20% - Accent5 4 5 2 4" xfId="16268" xr:uid="{00000000-0005-0000-0000-000069360000}"/>
    <cellStyle name="20% - Accent5 4 5 2 5" xfId="23370" xr:uid="{00000000-0005-0000-0000-00006A360000}"/>
    <cellStyle name="20% - Accent5 4 5 2 6" xfId="30472" xr:uid="{00000000-0005-0000-0000-00006B360000}"/>
    <cellStyle name="20% - Accent5 4 5 2 7" xfId="37775" xr:uid="{00000000-0005-0000-0000-00006C360000}"/>
    <cellStyle name="20% - Accent5 4 5 3" xfId="4906" xr:uid="{00000000-0005-0000-0000-00006D360000}"/>
    <cellStyle name="20% - Accent5 4 5 3 2" xfId="12007" xr:uid="{00000000-0005-0000-0000-00006E360000}"/>
    <cellStyle name="20% - Accent5 4 5 3 2 2" xfId="37776" xr:uid="{00000000-0005-0000-0000-00006F360000}"/>
    <cellStyle name="20% - Accent5 4 5 3 3" xfId="19108" xr:uid="{00000000-0005-0000-0000-000070360000}"/>
    <cellStyle name="20% - Accent5 4 5 3 4" xfId="26210" xr:uid="{00000000-0005-0000-0000-000071360000}"/>
    <cellStyle name="20% - Accent5 4 5 3 5" xfId="33312" xr:uid="{00000000-0005-0000-0000-000072360000}"/>
    <cellStyle name="20% - Accent5 4 5 3 6" xfId="37777" xr:uid="{00000000-0005-0000-0000-000073360000}"/>
    <cellStyle name="20% - Accent5 4 5 4" xfId="3481" xr:uid="{00000000-0005-0000-0000-000074360000}"/>
    <cellStyle name="20% - Accent5 4 5 4 2" xfId="10587" xr:uid="{00000000-0005-0000-0000-000075360000}"/>
    <cellStyle name="20% - Accent5 4 5 4 3" xfId="17688" xr:uid="{00000000-0005-0000-0000-000076360000}"/>
    <cellStyle name="20% - Accent5 4 5 4 4" xfId="24790" xr:uid="{00000000-0005-0000-0000-000077360000}"/>
    <cellStyle name="20% - Accent5 4 5 4 5" xfId="31892" xr:uid="{00000000-0005-0000-0000-000078360000}"/>
    <cellStyle name="20% - Accent5 4 5 4 6" xfId="37778" xr:uid="{00000000-0005-0000-0000-000079360000}"/>
    <cellStyle name="20% - Accent5 4 5 5" xfId="7747" xr:uid="{00000000-0005-0000-0000-00007A360000}"/>
    <cellStyle name="20% - Accent5 4 5 6" xfId="14848" xr:uid="{00000000-0005-0000-0000-00007B360000}"/>
    <cellStyle name="20% - Accent5 4 5 7" xfId="21950" xr:uid="{00000000-0005-0000-0000-00007C360000}"/>
    <cellStyle name="20% - Accent5 4 5 8" xfId="29052" xr:uid="{00000000-0005-0000-0000-00007D360000}"/>
    <cellStyle name="20% - Accent5 4 5 9" xfId="37779" xr:uid="{00000000-0005-0000-0000-00007E360000}"/>
    <cellStyle name="20% - Accent5 4 6" xfId="781" xr:uid="{00000000-0005-0000-0000-00007F360000}"/>
    <cellStyle name="20% - Accent5 4 6 2" xfId="2272" xr:uid="{00000000-0005-0000-0000-000080360000}"/>
    <cellStyle name="20% - Accent5 4 6 2 2" xfId="6540" xr:uid="{00000000-0005-0000-0000-000081360000}"/>
    <cellStyle name="20% - Accent5 4 6 2 2 2" xfId="13640" xr:uid="{00000000-0005-0000-0000-000082360000}"/>
    <cellStyle name="20% - Accent5 4 6 2 2 3" xfId="20741" xr:uid="{00000000-0005-0000-0000-000083360000}"/>
    <cellStyle name="20% - Accent5 4 6 2 2 4" xfId="27843" xr:uid="{00000000-0005-0000-0000-000084360000}"/>
    <cellStyle name="20% - Accent5 4 6 2 2 5" xfId="34945" xr:uid="{00000000-0005-0000-0000-000085360000}"/>
    <cellStyle name="20% - Accent5 4 6 2 2 6" xfId="37780" xr:uid="{00000000-0005-0000-0000-000086360000}"/>
    <cellStyle name="20% - Accent5 4 6 2 3" xfId="9380" xr:uid="{00000000-0005-0000-0000-000087360000}"/>
    <cellStyle name="20% - Accent5 4 6 2 4" xfId="16481" xr:uid="{00000000-0005-0000-0000-000088360000}"/>
    <cellStyle name="20% - Accent5 4 6 2 5" xfId="23583" xr:uid="{00000000-0005-0000-0000-000089360000}"/>
    <cellStyle name="20% - Accent5 4 6 2 6" xfId="30685" xr:uid="{00000000-0005-0000-0000-00008A360000}"/>
    <cellStyle name="20% - Accent5 4 6 2 7" xfId="37781" xr:uid="{00000000-0005-0000-0000-00008B360000}"/>
    <cellStyle name="20% - Accent5 4 6 3" xfId="5119" xr:uid="{00000000-0005-0000-0000-00008C360000}"/>
    <cellStyle name="20% - Accent5 4 6 3 2" xfId="12220" xr:uid="{00000000-0005-0000-0000-00008D360000}"/>
    <cellStyle name="20% - Accent5 4 6 3 2 2" xfId="37782" xr:uid="{00000000-0005-0000-0000-00008E360000}"/>
    <cellStyle name="20% - Accent5 4 6 3 3" xfId="19321" xr:uid="{00000000-0005-0000-0000-00008F360000}"/>
    <cellStyle name="20% - Accent5 4 6 3 4" xfId="26423" xr:uid="{00000000-0005-0000-0000-000090360000}"/>
    <cellStyle name="20% - Accent5 4 6 3 5" xfId="33525" xr:uid="{00000000-0005-0000-0000-000091360000}"/>
    <cellStyle name="20% - Accent5 4 6 3 6" xfId="37783" xr:uid="{00000000-0005-0000-0000-000092360000}"/>
    <cellStyle name="20% - Accent5 4 6 4" xfId="3694" xr:uid="{00000000-0005-0000-0000-000093360000}"/>
    <cellStyle name="20% - Accent5 4 6 4 2" xfId="10800" xr:uid="{00000000-0005-0000-0000-000094360000}"/>
    <cellStyle name="20% - Accent5 4 6 4 3" xfId="17901" xr:uid="{00000000-0005-0000-0000-000095360000}"/>
    <cellStyle name="20% - Accent5 4 6 4 4" xfId="25003" xr:uid="{00000000-0005-0000-0000-000096360000}"/>
    <cellStyle name="20% - Accent5 4 6 4 5" xfId="32105" xr:uid="{00000000-0005-0000-0000-000097360000}"/>
    <cellStyle name="20% - Accent5 4 6 4 6" xfId="37784" xr:uid="{00000000-0005-0000-0000-000098360000}"/>
    <cellStyle name="20% - Accent5 4 6 5" xfId="7960" xr:uid="{00000000-0005-0000-0000-000099360000}"/>
    <cellStyle name="20% - Accent5 4 6 6" xfId="15061" xr:uid="{00000000-0005-0000-0000-00009A360000}"/>
    <cellStyle name="20% - Accent5 4 6 7" xfId="22163" xr:uid="{00000000-0005-0000-0000-00009B360000}"/>
    <cellStyle name="20% - Accent5 4 6 8" xfId="29265" xr:uid="{00000000-0005-0000-0000-00009C360000}"/>
    <cellStyle name="20% - Accent5 4 6 9" xfId="37785" xr:uid="{00000000-0005-0000-0000-00009D360000}"/>
    <cellStyle name="20% - Accent5 4 7" xfId="994" xr:uid="{00000000-0005-0000-0000-00009E360000}"/>
    <cellStyle name="20% - Accent5 4 7 2" xfId="2485" xr:uid="{00000000-0005-0000-0000-00009F360000}"/>
    <cellStyle name="20% - Accent5 4 7 2 2" xfId="6753" xr:uid="{00000000-0005-0000-0000-0000A0360000}"/>
    <cellStyle name="20% - Accent5 4 7 2 2 2" xfId="13853" xr:uid="{00000000-0005-0000-0000-0000A1360000}"/>
    <cellStyle name="20% - Accent5 4 7 2 2 3" xfId="20954" xr:uid="{00000000-0005-0000-0000-0000A2360000}"/>
    <cellStyle name="20% - Accent5 4 7 2 2 4" xfId="28056" xr:uid="{00000000-0005-0000-0000-0000A3360000}"/>
    <cellStyle name="20% - Accent5 4 7 2 2 5" xfId="35158" xr:uid="{00000000-0005-0000-0000-0000A4360000}"/>
    <cellStyle name="20% - Accent5 4 7 2 3" xfId="9593" xr:uid="{00000000-0005-0000-0000-0000A5360000}"/>
    <cellStyle name="20% - Accent5 4 7 2 4" xfId="16694" xr:uid="{00000000-0005-0000-0000-0000A6360000}"/>
    <cellStyle name="20% - Accent5 4 7 2 5" xfId="23796" xr:uid="{00000000-0005-0000-0000-0000A7360000}"/>
    <cellStyle name="20% - Accent5 4 7 2 6" xfId="30898" xr:uid="{00000000-0005-0000-0000-0000A8360000}"/>
    <cellStyle name="20% - Accent5 4 7 2 7" xfId="37786" xr:uid="{00000000-0005-0000-0000-0000A9360000}"/>
    <cellStyle name="20% - Accent5 4 7 3" xfId="5332" xr:uid="{00000000-0005-0000-0000-0000AA360000}"/>
    <cellStyle name="20% - Accent5 4 7 3 2" xfId="12433" xr:uid="{00000000-0005-0000-0000-0000AB360000}"/>
    <cellStyle name="20% - Accent5 4 7 3 3" xfId="19534" xr:uid="{00000000-0005-0000-0000-0000AC360000}"/>
    <cellStyle name="20% - Accent5 4 7 3 4" xfId="26636" xr:uid="{00000000-0005-0000-0000-0000AD360000}"/>
    <cellStyle name="20% - Accent5 4 7 3 5" xfId="33738" xr:uid="{00000000-0005-0000-0000-0000AE360000}"/>
    <cellStyle name="20% - Accent5 4 7 4" xfId="3907" xr:uid="{00000000-0005-0000-0000-0000AF360000}"/>
    <cellStyle name="20% - Accent5 4 7 4 2" xfId="11013" xr:uid="{00000000-0005-0000-0000-0000B0360000}"/>
    <cellStyle name="20% - Accent5 4 7 4 3" xfId="18114" xr:uid="{00000000-0005-0000-0000-0000B1360000}"/>
    <cellStyle name="20% - Accent5 4 7 4 4" xfId="25216" xr:uid="{00000000-0005-0000-0000-0000B2360000}"/>
    <cellStyle name="20% - Accent5 4 7 4 5" xfId="32318" xr:uid="{00000000-0005-0000-0000-0000B3360000}"/>
    <cellStyle name="20% - Accent5 4 7 5" xfId="8173" xr:uid="{00000000-0005-0000-0000-0000B4360000}"/>
    <cellStyle name="20% - Accent5 4 7 6" xfId="15274" xr:uid="{00000000-0005-0000-0000-0000B5360000}"/>
    <cellStyle name="20% - Accent5 4 7 7" xfId="22376" xr:uid="{00000000-0005-0000-0000-0000B6360000}"/>
    <cellStyle name="20% - Accent5 4 7 8" xfId="29478" xr:uid="{00000000-0005-0000-0000-0000B7360000}"/>
    <cellStyle name="20% - Accent5 4 7 9" xfId="37787" xr:uid="{00000000-0005-0000-0000-0000B8360000}"/>
    <cellStyle name="20% - Accent5 4 8" xfId="1349" xr:uid="{00000000-0005-0000-0000-0000B9360000}"/>
    <cellStyle name="20% - Accent5 4 8 2" xfId="2840" xr:uid="{00000000-0005-0000-0000-0000BA360000}"/>
    <cellStyle name="20% - Accent5 4 8 2 2" xfId="7108" xr:uid="{00000000-0005-0000-0000-0000BB360000}"/>
    <cellStyle name="20% - Accent5 4 8 2 2 2" xfId="14208" xr:uid="{00000000-0005-0000-0000-0000BC360000}"/>
    <cellStyle name="20% - Accent5 4 8 2 2 3" xfId="21309" xr:uid="{00000000-0005-0000-0000-0000BD360000}"/>
    <cellStyle name="20% - Accent5 4 8 2 2 4" xfId="28411" xr:uid="{00000000-0005-0000-0000-0000BE360000}"/>
    <cellStyle name="20% - Accent5 4 8 2 2 5" xfId="35513" xr:uid="{00000000-0005-0000-0000-0000BF360000}"/>
    <cellStyle name="20% - Accent5 4 8 2 3" xfId="9948" xr:uid="{00000000-0005-0000-0000-0000C0360000}"/>
    <cellStyle name="20% - Accent5 4 8 2 4" xfId="17049" xr:uid="{00000000-0005-0000-0000-0000C1360000}"/>
    <cellStyle name="20% - Accent5 4 8 2 5" xfId="24151" xr:uid="{00000000-0005-0000-0000-0000C2360000}"/>
    <cellStyle name="20% - Accent5 4 8 2 6" xfId="31253" xr:uid="{00000000-0005-0000-0000-0000C3360000}"/>
    <cellStyle name="20% - Accent5 4 8 2 7" xfId="37788" xr:uid="{00000000-0005-0000-0000-0000C4360000}"/>
    <cellStyle name="20% - Accent5 4 8 3" xfId="5687" xr:uid="{00000000-0005-0000-0000-0000C5360000}"/>
    <cellStyle name="20% - Accent5 4 8 3 2" xfId="12788" xr:uid="{00000000-0005-0000-0000-0000C6360000}"/>
    <cellStyle name="20% - Accent5 4 8 3 3" xfId="19889" xr:uid="{00000000-0005-0000-0000-0000C7360000}"/>
    <cellStyle name="20% - Accent5 4 8 3 4" xfId="26991" xr:uid="{00000000-0005-0000-0000-0000C8360000}"/>
    <cellStyle name="20% - Accent5 4 8 3 5" xfId="34093" xr:uid="{00000000-0005-0000-0000-0000C9360000}"/>
    <cellStyle name="20% - Accent5 4 8 4" xfId="4262" xr:uid="{00000000-0005-0000-0000-0000CA360000}"/>
    <cellStyle name="20% - Accent5 4 8 4 2" xfId="11368" xr:uid="{00000000-0005-0000-0000-0000CB360000}"/>
    <cellStyle name="20% - Accent5 4 8 4 3" xfId="18469" xr:uid="{00000000-0005-0000-0000-0000CC360000}"/>
    <cellStyle name="20% - Accent5 4 8 4 4" xfId="25571" xr:uid="{00000000-0005-0000-0000-0000CD360000}"/>
    <cellStyle name="20% - Accent5 4 8 4 5" xfId="32673" xr:uid="{00000000-0005-0000-0000-0000CE360000}"/>
    <cellStyle name="20% - Accent5 4 8 5" xfId="8528" xr:uid="{00000000-0005-0000-0000-0000CF360000}"/>
    <cellStyle name="20% - Accent5 4 8 6" xfId="15629" xr:uid="{00000000-0005-0000-0000-0000D0360000}"/>
    <cellStyle name="20% - Accent5 4 8 7" xfId="22731" xr:uid="{00000000-0005-0000-0000-0000D1360000}"/>
    <cellStyle name="20% - Accent5 4 8 8" xfId="29833" xr:uid="{00000000-0005-0000-0000-0000D2360000}"/>
    <cellStyle name="20% - Accent5 4 8 9" xfId="37789" xr:uid="{00000000-0005-0000-0000-0000D3360000}"/>
    <cellStyle name="20% - Accent5 4 9" xfId="1633" xr:uid="{00000000-0005-0000-0000-0000D4360000}"/>
    <cellStyle name="20% - Accent5 4 9 2" xfId="5901" xr:uid="{00000000-0005-0000-0000-0000D5360000}"/>
    <cellStyle name="20% - Accent5 4 9 2 2" xfId="13001" xr:uid="{00000000-0005-0000-0000-0000D6360000}"/>
    <cellStyle name="20% - Accent5 4 9 2 3" xfId="20102" xr:uid="{00000000-0005-0000-0000-0000D7360000}"/>
    <cellStyle name="20% - Accent5 4 9 2 4" xfId="27204" xr:uid="{00000000-0005-0000-0000-0000D8360000}"/>
    <cellStyle name="20% - Accent5 4 9 2 5" xfId="34306" xr:uid="{00000000-0005-0000-0000-0000D9360000}"/>
    <cellStyle name="20% - Accent5 4 9 3" xfId="8741" xr:uid="{00000000-0005-0000-0000-0000DA360000}"/>
    <cellStyle name="20% - Accent5 4 9 4" xfId="15842" xr:uid="{00000000-0005-0000-0000-0000DB360000}"/>
    <cellStyle name="20% - Accent5 4 9 5" xfId="22944" xr:uid="{00000000-0005-0000-0000-0000DC360000}"/>
    <cellStyle name="20% - Accent5 4 9 6" xfId="30046" xr:uid="{00000000-0005-0000-0000-0000DD360000}"/>
    <cellStyle name="20% - Accent5 4 9 7" xfId="37790" xr:uid="{00000000-0005-0000-0000-0000DE360000}"/>
    <cellStyle name="20% - Accent5 5" xfId="225" xr:uid="{00000000-0005-0000-0000-0000DF360000}"/>
    <cellStyle name="20% - Accent5 5 10" xfId="7404" xr:uid="{00000000-0005-0000-0000-0000E0360000}"/>
    <cellStyle name="20% - Accent5 5 11" xfId="14505" xr:uid="{00000000-0005-0000-0000-0000E1360000}"/>
    <cellStyle name="20% - Accent5 5 12" xfId="21607" xr:uid="{00000000-0005-0000-0000-0000E2360000}"/>
    <cellStyle name="20% - Accent5 5 13" xfId="28709" xr:uid="{00000000-0005-0000-0000-0000E3360000}"/>
    <cellStyle name="20% - Accent5 5 14" xfId="35811" xr:uid="{00000000-0005-0000-0000-0000E4360000}"/>
    <cellStyle name="20% - Accent5 5 15" xfId="37791" xr:uid="{00000000-0005-0000-0000-0000E5360000}"/>
    <cellStyle name="20% - Accent5 5 2" xfId="438" xr:uid="{00000000-0005-0000-0000-0000E6360000}"/>
    <cellStyle name="20% - Accent5 5 2 10" xfId="37792" xr:uid="{00000000-0005-0000-0000-0000E7360000}"/>
    <cellStyle name="20% - Accent5 5 2 2" xfId="1219" xr:uid="{00000000-0005-0000-0000-0000E8360000}"/>
    <cellStyle name="20% - Accent5 5 2 2 2" xfId="2710" xr:uid="{00000000-0005-0000-0000-0000E9360000}"/>
    <cellStyle name="20% - Accent5 5 2 2 2 2" xfId="6978" xr:uid="{00000000-0005-0000-0000-0000EA360000}"/>
    <cellStyle name="20% - Accent5 5 2 2 2 2 2" xfId="14078" xr:uid="{00000000-0005-0000-0000-0000EB360000}"/>
    <cellStyle name="20% - Accent5 5 2 2 2 2 3" xfId="21179" xr:uid="{00000000-0005-0000-0000-0000EC360000}"/>
    <cellStyle name="20% - Accent5 5 2 2 2 2 4" xfId="28281" xr:uid="{00000000-0005-0000-0000-0000ED360000}"/>
    <cellStyle name="20% - Accent5 5 2 2 2 2 5" xfId="35383" xr:uid="{00000000-0005-0000-0000-0000EE360000}"/>
    <cellStyle name="20% - Accent5 5 2 2 2 3" xfId="9818" xr:uid="{00000000-0005-0000-0000-0000EF360000}"/>
    <cellStyle name="20% - Accent5 5 2 2 2 4" xfId="16919" xr:uid="{00000000-0005-0000-0000-0000F0360000}"/>
    <cellStyle name="20% - Accent5 5 2 2 2 5" xfId="24021" xr:uid="{00000000-0005-0000-0000-0000F1360000}"/>
    <cellStyle name="20% - Accent5 5 2 2 2 6" xfId="31123" xr:uid="{00000000-0005-0000-0000-0000F2360000}"/>
    <cellStyle name="20% - Accent5 5 2 2 2 7" xfId="37793" xr:uid="{00000000-0005-0000-0000-0000F3360000}"/>
    <cellStyle name="20% - Accent5 5 2 2 3" xfId="5557" xr:uid="{00000000-0005-0000-0000-0000F4360000}"/>
    <cellStyle name="20% - Accent5 5 2 2 3 2" xfId="12658" xr:uid="{00000000-0005-0000-0000-0000F5360000}"/>
    <cellStyle name="20% - Accent5 5 2 2 3 3" xfId="19759" xr:uid="{00000000-0005-0000-0000-0000F6360000}"/>
    <cellStyle name="20% - Accent5 5 2 2 3 4" xfId="26861" xr:uid="{00000000-0005-0000-0000-0000F7360000}"/>
    <cellStyle name="20% - Accent5 5 2 2 3 5" xfId="33963" xr:uid="{00000000-0005-0000-0000-0000F8360000}"/>
    <cellStyle name="20% - Accent5 5 2 2 4" xfId="4132" xr:uid="{00000000-0005-0000-0000-0000F9360000}"/>
    <cellStyle name="20% - Accent5 5 2 2 4 2" xfId="11238" xr:uid="{00000000-0005-0000-0000-0000FA360000}"/>
    <cellStyle name="20% - Accent5 5 2 2 4 3" xfId="18339" xr:uid="{00000000-0005-0000-0000-0000FB360000}"/>
    <cellStyle name="20% - Accent5 5 2 2 4 4" xfId="25441" xr:uid="{00000000-0005-0000-0000-0000FC360000}"/>
    <cellStyle name="20% - Accent5 5 2 2 4 5" xfId="32543" xr:uid="{00000000-0005-0000-0000-0000FD360000}"/>
    <cellStyle name="20% - Accent5 5 2 2 5" xfId="8398" xr:uid="{00000000-0005-0000-0000-0000FE360000}"/>
    <cellStyle name="20% - Accent5 5 2 2 6" xfId="15499" xr:uid="{00000000-0005-0000-0000-0000FF360000}"/>
    <cellStyle name="20% - Accent5 5 2 2 7" xfId="22601" xr:uid="{00000000-0005-0000-0000-000000370000}"/>
    <cellStyle name="20% - Accent5 5 2 2 8" xfId="29703" xr:uid="{00000000-0005-0000-0000-000001370000}"/>
    <cellStyle name="20% - Accent5 5 2 2 9" xfId="37794" xr:uid="{00000000-0005-0000-0000-000002370000}"/>
    <cellStyle name="20% - Accent5 5 2 3" xfId="1929" xr:uid="{00000000-0005-0000-0000-000003370000}"/>
    <cellStyle name="20% - Accent5 5 2 3 2" xfId="6197" xr:uid="{00000000-0005-0000-0000-000004370000}"/>
    <cellStyle name="20% - Accent5 5 2 3 2 2" xfId="13297" xr:uid="{00000000-0005-0000-0000-000005370000}"/>
    <cellStyle name="20% - Accent5 5 2 3 2 3" xfId="20398" xr:uid="{00000000-0005-0000-0000-000006370000}"/>
    <cellStyle name="20% - Accent5 5 2 3 2 4" xfId="27500" xr:uid="{00000000-0005-0000-0000-000007370000}"/>
    <cellStyle name="20% - Accent5 5 2 3 2 5" xfId="34602" xr:uid="{00000000-0005-0000-0000-000008370000}"/>
    <cellStyle name="20% - Accent5 5 2 3 2 6" xfId="37795" xr:uid="{00000000-0005-0000-0000-000009370000}"/>
    <cellStyle name="20% - Accent5 5 2 3 3" xfId="9037" xr:uid="{00000000-0005-0000-0000-00000A370000}"/>
    <cellStyle name="20% - Accent5 5 2 3 4" xfId="16138" xr:uid="{00000000-0005-0000-0000-00000B370000}"/>
    <cellStyle name="20% - Accent5 5 2 3 5" xfId="23240" xr:uid="{00000000-0005-0000-0000-00000C370000}"/>
    <cellStyle name="20% - Accent5 5 2 3 6" xfId="30342" xr:uid="{00000000-0005-0000-0000-00000D370000}"/>
    <cellStyle name="20% - Accent5 5 2 3 7" xfId="37796" xr:uid="{00000000-0005-0000-0000-00000E370000}"/>
    <cellStyle name="20% - Accent5 5 2 4" xfId="4776" xr:uid="{00000000-0005-0000-0000-00000F370000}"/>
    <cellStyle name="20% - Accent5 5 2 4 2" xfId="11877" xr:uid="{00000000-0005-0000-0000-000010370000}"/>
    <cellStyle name="20% - Accent5 5 2 4 3" xfId="18978" xr:uid="{00000000-0005-0000-0000-000011370000}"/>
    <cellStyle name="20% - Accent5 5 2 4 4" xfId="26080" xr:uid="{00000000-0005-0000-0000-000012370000}"/>
    <cellStyle name="20% - Accent5 5 2 4 5" xfId="33182" xr:uid="{00000000-0005-0000-0000-000013370000}"/>
    <cellStyle name="20% - Accent5 5 2 4 6" xfId="37797" xr:uid="{00000000-0005-0000-0000-000014370000}"/>
    <cellStyle name="20% - Accent5 5 2 5" xfId="3351" xr:uid="{00000000-0005-0000-0000-000015370000}"/>
    <cellStyle name="20% - Accent5 5 2 5 2" xfId="10457" xr:uid="{00000000-0005-0000-0000-000016370000}"/>
    <cellStyle name="20% - Accent5 5 2 5 3" xfId="17558" xr:uid="{00000000-0005-0000-0000-000017370000}"/>
    <cellStyle name="20% - Accent5 5 2 5 4" xfId="24660" xr:uid="{00000000-0005-0000-0000-000018370000}"/>
    <cellStyle name="20% - Accent5 5 2 5 5" xfId="31762" xr:uid="{00000000-0005-0000-0000-000019370000}"/>
    <cellStyle name="20% - Accent5 5 2 6" xfId="7617" xr:uid="{00000000-0005-0000-0000-00001A370000}"/>
    <cellStyle name="20% - Accent5 5 2 7" xfId="14718" xr:uid="{00000000-0005-0000-0000-00001B370000}"/>
    <cellStyle name="20% - Accent5 5 2 8" xfId="21820" xr:uid="{00000000-0005-0000-0000-00001C370000}"/>
    <cellStyle name="20% - Accent5 5 2 9" xfId="28922" xr:uid="{00000000-0005-0000-0000-00001D370000}"/>
    <cellStyle name="20% - Accent5 5 3" xfId="651" xr:uid="{00000000-0005-0000-0000-00001E370000}"/>
    <cellStyle name="20% - Accent5 5 3 2" xfId="2142" xr:uid="{00000000-0005-0000-0000-00001F370000}"/>
    <cellStyle name="20% - Accent5 5 3 2 2" xfId="6410" xr:uid="{00000000-0005-0000-0000-000020370000}"/>
    <cellStyle name="20% - Accent5 5 3 2 2 2" xfId="13510" xr:uid="{00000000-0005-0000-0000-000021370000}"/>
    <cellStyle name="20% - Accent5 5 3 2 2 3" xfId="20611" xr:uid="{00000000-0005-0000-0000-000022370000}"/>
    <cellStyle name="20% - Accent5 5 3 2 2 4" xfId="27713" xr:uid="{00000000-0005-0000-0000-000023370000}"/>
    <cellStyle name="20% - Accent5 5 3 2 2 5" xfId="34815" xr:uid="{00000000-0005-0000-0000-000024370000}"/>
    <cellStyle name="20% - Accent5 5 3 2 2 6" xfId="37798" xr:uid="{00000000-0005-0000-0000-000025370000}"/>
    <cellStyle name="20% - Accent5 5 3 2 3" xfId="9250" xr:uid="{00000000-0005-0000-0000-000026370000}"/>
    <cellStyle name="20% - Accent5 5 3 2 4" xfId="16351" xr:uid="{00000000-0005-0000-0000-000027370000}"/>
    <cellStyle name="20% - Accent5 5 3 2 5" xfId="23453" xr:uid="{00000000-0005-0000-0000-000028370000}"/>
    <cellStyle name="20% - Accent5 5 3 2 6" xfId="30555" xr:uid="{00000000-0005-0000-0000-000029370000}"/>
    <cellStyle name="20% - Accent5 5 3 2 7" xfId="37799" xr:uid="{00000000-0005-0000-0000-00002A370000}"/>
    <cellStyle name="20% - Accent5 5 3 3" xfId="4989" xr:uid="{00000000-0005-0000-0000-00002B370000}"/>
    <cellStyle name="20% - Accent5 5 3 3 2" xfId="12090" xr:uid="{00000000-0005-0000-0000-00002C370000}"/>
    <cellStyle name="20% - Accent5 5 3 3 2 2" xfId="37800" xr:uid="{00000000-0005-0000-0000-00002D370000}"/>
    <cellStyle name="20% - Accent5 5 3 3 3" xfId="19191" xr:uid="{00000000-0005-0000-0000-00002E370000}"/>
    <cellStyle name="20% - Accent5 5 3 3 4" xfId="26293" xr:uid="{00000000-0005-0000-0000-00002F370000}"/>
    <cellStyle name="20% - Accent5 5 3 3 5" xfId="33395" xr:uid="{00000000-0005-0000-0000-000030370000}"/>
    <cellStyle name="20% - Accent5 5 3 3 6" xfId="37801" xr:uid="{00000000-0005-0000-0000-000031370000}"/>
    <cellStyle name="20% - Accent5 5 3 4" xfId="3564" xr:uid="{00000000-0005-0000-0000-000032370000}"/>
    <cellStyle name="20% - Accent5 5 3 4 2" xfId="10670" xr:uid="{00000000-0005-0000-0000-000033370000}"/>
    <cellStyle name="20% - Accent5 5 3 4 3" xfId="17771" xr:uid="{00000000-0005-0000-0000-000034370000}"/>
    <cellStyle name="20% - Accent5 5 3 4 4" xfId="24873" xr:uid="{00000000-0005-0000-0000-000035370000}"/>
    <cellStyle name="20% - Accent5 5 3 4 5" xfId="31975" xr:uid="{00000000-0005-0000-0000-000036370000}"/>
    <cellStyle name="20% - Accent5 5 3 4 6" xfId="37802" xr:uid="{00000000-0005-0000-0000-000037370000}"/>
    <cellStyle name="20% - Accent5 5 3 5" xfId="7830" xr:uid="{00000000-0005-0000-0000-000038370000}"/>
    <cellStyle name="20% - Accent5 5 3 6" xfId="14931" xr:uid="{00000000-0005-0000-0000-000039370000}"/>
    <cellStyle name="20% - Accent5 5 3 7" xfId="22033" xr:uid="{00000000-0005-0000-0000-00003A370000}"/>
    <cellStyle name="20% - Accent5 5 3 8" xfId="29135" xr:uid="{00000000-0005-0000-0000-00003B370000}"/>
    <cellStyle name="20% - Accent5 5 3 9" xfId="37803" xr:uid="{00000000-0005-0000-0000-00003C370000}"/>
    <cellStyle name="20% - Accent5 5 4" xfId="864" xr:uid="{00000000-0005-0000-0000-00003D370000}"/>
    <cellStyle name="20% - Accent5 5 4 2" xfId="2355" xr:uid="{00000000-0005-0000-0000-00003E370000}"/>
    <cellStyle name="20% - Accent5 5 4 2 2" xfId="6623" xr:uid="{00000000-0005-0000-0000-00003F370000}"/>
    <cellStyle name="20% - Accent5 5 4 2 2 2" xfId="13723" xr:uid="{00000000-0005-0000-0000-000040370000}"/>
    <cellStyle name="20% - Accent5 5 4 2 2 3" xfId="20824" xr:uid="{00000000-0005-0000-0000-000041370000}"/>
    <cellStyle name="20% - Accent5 5 4 2 2 4" xfId="27926" xr:uid="{00000000-0005-0000-0000-000042370000}"/>
    <cellStyle name="20% - Accent5 5 4 2 2 5" xfId="35028" xr:uid="{00000000-0005-0000-0000-000043370000}"/>
    <cellStyle name="20% - Accent5 5 4 2 2 6" xfId="37804" xr:uid="{00000000-0005-0000-0000-000044370000}"/>
    <cellStyle name="20% - Accent5 5 4 2 3" xfId="9463" xr:uid="{00000000-0005-0000-0000-000045370000}"/>
    <cellStyle name="20% - Accent5 5 4 2 4" xfId="16564" xr:uid="{00000000-0005-0000-0000-000046370000}"/>
    <cellStyle name="20% - Accent5 5 4 2 5" xfId="23666" xr:uid="{00000000-0005-0000-0000-000047370000}"/>
    <cellStyle name="20% - Accent5 5 4 2 6" xfId="30768" xr:uid="{00000000-0005-0000-0000-000048370000}"/>
    <cellStyle name="20% - Accent5 5 4 2 7" xfId="37805" xr:uid="{00000000-0005-0000-0000-000049370000}"/>
    <cellStyle name="20% - Accent5 5 4 3" xfId="5202" xr:uid="{00000000-0005-0000-0000-00004A370000}"/>
    <cellStyle name="20% - Accent5 5 4 3 2" xfId="12303" xr:uid="{00000000-0005-0000-0000-00004B370000}"/>
    <cellStyle name="20% - Accent5 5 4 3 2 2" xfId="37806" xr:uid="{00000000-0005-0000-0000-00004C370000}"/>
    <cellStyle name="20% - Accent5 5 4 3 3" xfId="19404" xr:uid="{00000000-0005-0000-0000-00004D370000}"/>
    <cellStyle name="20% - Accent5 5 4 3 4" xfId="26506" xr:uid="{00000000-0005-0000-0000-00004E370000}"/>
    <cellStyle name="20% - Accent5 5 4 3 5" xfId="33608" xr:uid="{00000000-0005-0000-0000-00004F370000}"/>
    <cellStyle name="20% - Accent5 5 4 3 6" xfId="37807" xr:uid="{00000000-0005-0000-0000-000050370000}"/>
    <cellStyle name="20% - Accent5 5 4 4" xfId="3777" xr:uid="{00000000-0005-0000-0000-000051370000}"/>
    <cellStyle name="20% - Accent5 5 4 4 2" xfId="10883" xr:uid="{00000000-0005-0000-0000-000052370000}"/>
    <cellStyle name="20% - Accent5 5 4 4 3" xfId="17984" xr:uid="{00000000-0005-0000-0000-000053370000}"/>
    <cellStyle name="20% - Accent5 5 4 4 4" xfId="25086" xr:uid="{00000000-0005-0000-0000-000054370000}"/>
    <cellStyle name="20% - Accent5 5 4 4 5" xfId="32188" xr:uid="{00000000-0005-0000-0000-000055370000}"/>
    <cellStyle name="20% - Accent5 5 4 4 6" xfId="37808" xr:uid="{00000000-0005-0000-0000-000056370000}"/>
    <cellStyle name="20% - Accent5 5 4 5" xfId="8043" xr:uid="{00000000-0005-0000-0000-000057370000}"/>
    <cellStyle name="20% - Accent5 5 4 6" xfId="15144" xr:uid="{00000000-0005-0000-0000-000058370000}"/>
    <cellStyle name="20% - Accent5 5 4 7" xfId="22246" xr:uid="{00000000-0005-0000-0000-000059370000}"/>
    <cellStyle name="20% - Accent5 5 4 8" xfId="29348" xr:uid="{00000000-0005-0000-0000-00005A370000}"/>
    <cellStyle name="20% - Accent5 5 4 9" xfId="37809" xr:uid="{00000000-0005-0000-0000-00005B370000}"/>
    <cellStyle name="20% - Accent5 5 5" xfId="1006" xr:uid="{00000000-0005-0000-0000-00005C370000}"/>
    <cellStyle name="20% - Accent5 5 5 2" xfId="2497" xr:uid="{00000000-0005-0000-0000-00005D370000}"/>
    <cellStyle name="20% - Accent5 5 5 2 2" xfId="6765" xr:uid="{00000000-0005-0000-0000-00005E370000}"/>
    <cellStyle name="20% - Accent5 5 5 2 2 2" xfId="13865" xr:uid="{00000000-0005-0000-0000-00005F370000}"/>
    <cellStyle name="20% - Accent5 5 5 2 2 3" xfId="20966" xr:uid="{00000000-0005-0000-0000-000060370000}"/>
    <cellStyle name="20% - Accent5 5 5 2 2 4" xfId="28068" xr:uid="{00000000-0005-0000-0000-000061370000}"/>
    <cellStyle name="20% - Accent5 5 5 2 2 5" xfId="35170" xr:uid="{00000000-0005-0000-0000-000062370000}"/>
    <cellStyle name="20% - Accent5 5 5 2 3" xfId="9605" xr:uid="{00000000-0005-0000-0000-000063370000}"/>
    <cellStyle name="20% - Accent5 5 5 2 4" xfId="16706" xr:uid="{00000000-0005-0000-0000-000064370000}"/>
    <cellStyle name="20% - Accent5 5 5 2 5" xfId="23808" xr:uid="{00000000-0005-0000-0000-000065370000}"/>
    <cellStyle name="20% - Accent5 5 5 2 6" xfId="30910" xr:uid="{00000000-0005-0000-0000-000066370000}"/>
    <cellStyle name="20% - Accent5 5 5 2 7" xfId="37810" xr:uid="{00000000-0005-0000-0000-000067370000}"/>
    <cellStyle name="20% - Accent5 5 5 3" xfId="5344" xr:uid="{00000000-0005-0000-0000-000068370000}"/>
    <cellStyle name="20% - Accent5 5 5 3 2" xfId="12445" xr:uid="{00000000-0005-0000-0000-000069370000}"/>
    <cellStyle name="20% - Accent5 5 5 3 3" xfId="19546" xr:uid="{00000000-0005-0000-0000-00006A370000}"/>
    <cellStyle name="20% - Accent5 5 5 3 4" xfId="26648" xr:uid="{00000000-0005-0000-0000-00006B370000}"/>
    <cellStyle name="20% - Accent5 5 5 3 5" xfId="33750" xr:uid="{00000000-0005-0000-0000-00006C370000}"/>
    <cellStyle name="20% - Accent5 5 5 4" xfId="3919" xr:uid="{00000000-0005-0000-0000-00006D370000}"/>
    <cellStyle name="20% - Accent5 5 5 4 2" xfId="11025" xr:uid="{00000000-0005-0000-0000-00006E370000}"/>
    <cellStyle name="20% - Accent5 5 5 4 3" xfId="18126" xr:uid="{00000000-0005-0000-0000-00006F370000}"/>
    <cellStyle name="20% - Accent5 5 5 4 4" xfId="25228" xr:uid="{00000000-0005-0000-0000-000070370000}"/>
    <cellStyle name="20% - Accent5 5 5 4 5" xfId="32330" xr:uid="{00000000-0005-0000-0000-000071370000}"/>
    <cellStyle name="20% - Accent5 5 5 5" xfId="8185" xr:uid="{00000000-0005-0000-0000-000072370000}"/>
    <cellStyle name="20% - Accent5 5 5 6" xfId="15286" xr:uid="{00000000-0005-0000-0000-000073370000}"/>
    <cellStyle name="20% - Accent5 5 5 7" xfId="22388" xr:uid="{00000000-0005-0000-0000-000074370000}"/>
    <cellStyle name="20% - Accent5 5 5 8" xfId="29490" xr:uid="{00000000-0005-0000-0000-000075370000}"/>
    <cellStyle name="20% - Accent5 5 5 9" xfId="37811" xr:uid="{00000000-0005-0000-0000-000076370000}"/>
    <cellStyle name="20% - Accent5 5 6" xfId="1432" xr:uid="{00000000-0005-0000-0000-000077370000}"/>
    <cellStyle name="20% - Accent5 5 6 2" xfId="2923" xr:uid="{00000000-0005-0000-0000-000078370000}"/>
    <cellStyle name="20% - Accent5 5 6 2 2" xfId="7191" xr:uid="{00000000-0005-0000-0000-000079370000}"/>
    <cellStyle name="20% - Accent5 5 6 2 2 2" xfId="14291" xr:uid="{00000000-0005-0000-0000-00007A370000}"/>
    <cellStyle name="20% - Accent5 5 6 2 2 3" xfId="21392" xr:uid="{00000000-0005-0000-0000-00007B370000}"/>
    <cellStyle name="20% - Accent5 5 6 2 2 4" xfId="28494" xr:uid="{00000000-0005-0000-0000-00007C370000}"/>
    <cellStyle name="20% - Accent5 5 6 2 2 5" xfId="35596" xr:uid="{00000000-0005-0000-0000-00007D370000}"/>
    <cellStyle name="20% - Accent5 5 6 2 3" xfId="10031" xr:uid="{00000000-0005-0000-0000-00007E370000}"/>
    <cellStyle name="20% - Accent5 5 6 2 4" xfId="17132" xr:uid="{00000000-0005-0000-0000-00007F370000}"/>
    <cellStyle name="20% - Accent5 5 6 2 5" xfId="24234" xr:uid="{00000000-0005-0000-0000-000080370000}"/>
    <cellStyle name="20% - Accent5 5 6 2 6" xfId="31336" xr:uid="{00000000-0005-0000-0000-000081370000}"/>
    <cellStyle name="20% - Accent5 5 6 2 7" xfId="37812" xr:uid="{00000000-0005-0000-0000-000082370000}"/>
    <cellStyle name="20% - Accent5 5 6 3" xfId="5770" xr:uid="{00000000-0005-0000-0000-000083370000}"/>
    <cellStyle name="20% - Accent5 5 6 3 2" xfId="12871" xr:uid="{00000000-0005-0000-0000-000084370000}"/>
    <cellStyle name="20% - Accent5 5 6 3 3" xfId="19972" xr:uid="{00000000-0005-0000-0000-000085370000}"/>
    <cellStyle name="20% - Accent5 5 6 3 4" xfId="27074" xr:uid="{00000000-0005-0000-0000-000086370000}"/>
    <cellStyle name="20% - Accent5 5 6 3 5" xfId="34176" xr:uid="{00000000-0005-0000-0000-000087370000}"/>
    <cellStyle name="20% - Accent5 5 6 4" xfId="4345" xr:uid="{00000000-0005-0000-0000-000088370000}"/>
    <cellStyle name="20% - Accent5 5 6 4 2" xfId="11451" xr:uid="{00000000-0005-0000-0000-000089370000}"/>
    <cellStyle name="20% - Accent5 5 6 4 3" xfId="18552" xr:uid="{00000000-0005-0000-0000-00008A370000}"/>
    <cellStyle name="20% - Accent5 5 6 4 4" xfId="25654" xr:uid="{00000000-0005-0000-0000-00008B370000}"/>
    <cellStyle name="20% - Accent5 5 6 4 5" xfId="32756" xr:uid="{00000000-0005-0000-0000-00008C370000}"/>
    <cellStyle name="20% - Accent5 5 6 5" xfId="8611" xr:uid="{00000000-0005-0000-0000-00008D370000}"/>
    <cellStyle name="20% - Accent5 5 6 6" xfId="15712" xr:uid="{00000000-0005-0000-0000-00008E370000}"/>
    <cellStyle name="20% - Accent5 5 6 7" xfId="22814" xr:uid="{00000000-0005-0000-0000-00008F370000}"/>
    <cellStyle name="20% - Accent5 5 6 8" xfId="29916" xr:uid="{00000000-0005-0000-0000-000090370000}"/>
    <cellStyle name="20% - Accent5 5 6 9" xfId="37813" xr:uid="{00000000-0005-0000-0000-000091370000}"/>
    <cellStyle name="20% - Accent5 5 7" xfId="1716" xr:uid="{00000000-0005-0000-0000-000092370000}"/>
    <cellStyle name="20% - Accent5 5 7 2" xfId="5984" xr:uid="{00000000-0005-0000-0000-000093370000}"/>
    <cellStyle name="20% - Accent5 5 7 2 2" xfId="13084" xr:uid="{00000000-0005-0000-0000-000094370000}"/>
    <cellStyle name="20% - Accent5 5 7 2 3" xfId="20185" xr:uid="{00000000-0005-0000-0000-000095370000}"/>
    <cellStyle name="20% - Accent5 5 7 2 4" xfId="27287" xr:uid="{00000000-0005-0000-0000-000096370000}"/>
    <cellStyle name="20% - Accent5 5 7 2 5" xfId="34389" xr:uid="{00000000-0005-0000-0000-000097370000}"/>
    <cellStyle name="20% - Accent5 5 7 3" xfId="8824" xr:uid="{00000000-0005-0000-0000-000098370000}"/>
    <cellStyle name="20% - Accent5 5 7 4" xfId="15925" xr:uid="{00000000-0005-0000-0000-000099370000}"/>
    <cellStyle name="20% - Accent5 5 7 5" xfId="23027" xr:uid="{00000000-0005-0000-0000-00009A370000}"/>
    <cellStyle name="20% - Accent5 5 7 6" xfId="30129" xr:uid="{00000000-0005-0000-0000-00009B370000}"/>
    <cellStyle name="20% - Accent5 5 7 7" xfId="37814" xr:uid="{00000000-0005-0000-0000-00009C370000}"/>
    <cellStyle name="20% - Accent5 5 8" xfId="4563" xr:uid="{00000000-0005-0000-0000-00009D370000}"/>
    <cellStyle name="20% - Accent5 5 8 2" xfId="11664" xr:uid="{00000000-0005-0000-0000-00009E370000}"/>
    <cellStyle name="20% - Accent5 5 8 3" xfId="18765" xr:uid="{00000000-0005-0000-0000-00009F370000}"/>
    <cellStyle name="20% - Accent5 5 8 4" xfId="25867" xr:uid="{00000000-0005-0000-0000-0000A0370000}"/>
    <cellStyle name="20% - Accent5 5 8 5" xfId="32969" xr:uid="{00000000-0005-0000-0000-0000A1370000}"/>
    <cellStyle name="20% - Accent5 5 9" xfId="3138" xr:uid="{00000000-0005-0000-0000-0000A2370000}"/>
    <cellStyle name="20% - Accent5 5 9 2" xfId="10244" xr:uid="{00000000-0005-0000-0000-0000A3370000}"/>
    <cellStyle name="20% - Accent5 5 9 3" xfId="17345" xr:uid="{00000000-0005-0000-0000-0000A4370000}"/>
    <cellStyle name="20% - Accent5 5 9 4" xfId="24447" xr:uid="{00000000-0005-0000-0000-0000A5370000}"/>
    <cellStyle name="20% - Accent5 5 9 5" xfId="31549" xr:uid="{00000000-0005-0000-0000-0000A6370000}"/>
    <cellStyle name="20% - Accent5 6" xfId="153" xr:uid="{00000000-0005-0000-0000-0000A7370000}"/>
    <cellStyle name="20% - Accent5 6 10" xfId="7333" xr:uid="{00000000-0005-0000-0000-0000A8370000}"/>
    <cellStyle name="20% - Accent5 6 11" xfId="14434" xr:uid="{00000000-0005-0000-0000-0000A9370000}"/>
    <cellStyle name="20% - Accent5 6 12" xfId="21536" xr:uid="{00000000-0005-0000-0000-0000AA370000}"/>
    <cellStyle name="20% - Accent5 6 13" xfId="28638" xr:uid="{00000000-0005-0000-0000-0000AB370000}"/>
    <cellStyle name="20% - Accent5 6 14" xfId="35740" xr:uid="{00000000-0005-0000-0000-0000AC370000}"/>
    <cellStyle name="20% - Accent5 6 15" xfId="37815" xr:uid="{00000000-0005-0000-0000-0000AD370000}"/>
    <cellStyle name="20% - Accent5 6 2" xfId="367" xr:uid="{00000000-0005-0000-0000-0000AE370000}"/>
    <cellStyle name="20% - Accent5 6 2 2" xfId="1858" xr:uid="{00000000-0005-0000-0000-0000AF370000}"/>
    <cellStyle name="20% - Accent5 6 2 2 2" xfId="6126" xr:uid="{00000000-0005-0000-0000-0000B0370000}"/>
    <cellStyle name="20% - Accent5 6 2 2 2 2" xfId="13226" xr:uid="{00000000-0005-0000-0000-0000B1370000}"/>
    <cellStyle name="20% - Accent5 6 2 2 2 3" xfId="20327" xr:uid="{00000000-0005-0000-0000-0000B2370000}"/>
    <cellStyle name="20% - Accent5 6 2 2 2 4" xfId="27429" xr:uid="{00000000-0005-0000-0000-0000B3370000}"/>
    <cellStyle name="20% - Accent5 6 2 2 2 5" xfId="34531" xr:uid="{00000000-0005-0000-0000-0000B4370000}"/>
    <cellStyle name="20% - Accent5 6 2 2 2 6" xfId="37816" xr:uid="{00000000-0005-0000-0000-0000B5370000}"/>
    <cellStyle name="20% - Accent5 6 2 2 3" xfId="8966" xr:uid="{00000000-0005-0000-0000-0000B6370000}"/>
    <cellStyle name="20% - Accent5 6 2 2 4" xfId="16067" xr:uid="{00000000-0005-0000-0000-0000B7370000}"/>
    <cellStyle name="20% - Accent5 6 2 2 5" xfId="23169" xr:uid="{00000000-0005-0000-0000-0000B8370000}"/>
    <cellStyle name="20% - Accent5 6 2 2 6" xfId="30271" xr:uid="{00000000-0005-0000-0000-0000B9370000}"/>
    <cellStyle name="20% - Accent5 6 2 2 7" xfId="37817" xr:uid="{00000000-0005-0000-0000-0000BA370000}"/>
    <cellStyle name="20% - Accent5 6 2 3" xfId="4705" xr:uid="{00000000-0005-0000-0000-0000BB370000}"/>
    <cellStyle name="20% - Accent5 6 2 3 2" xfId="11806" xr:uid="{00000000-0005-0000-0000-0000BC370000}"/>
    <cellStyle name="20% - Accent5 6 2 3 2 2" xfId="37818" xr:uid="{00000000-0005-0000-0000-0000BD370000}"/>
    <cellStyle name="20% - Accent5 6 2 3 3" xfId="18907" xr:uid="{00000000-0005-0000-0000-0000BE370000}"/>
    <cellStyle name="20% - Accent5 6 2 3 4" xfId="26009" xr:uid="{00000000-0005-0000-0000-0000BF370000}"/>
    <cellStyle name="20% - Accent5 6 2 3 5" xfId="33111" xr:uid="{00000000-0005-0000-0000-0000C0370000}"/>
    <cellStyle name="20% - Accent5 6 2 3 6" xfId="37819" xr:uid="{00000000-0005-0000-0000-0000C1370000}"/>
    <cellStyle name="20% - Accent5 6 2 4" xfId="3280" xr:uid="{00000000-0005-0000-0000-0000C2370000}"/>
    <cellStyle name="20% - Accent5 6 2 4 2" xfId="10386" xr:uid="{00000000-0005-0000-0000-0000C3370000}"/>
    <cellStyle name="20% - Accent5 6 2 4 3" xfId="17487" xr:uid="{00000000-0005-0000-0000-0000C4370000}"/>
    <cellStyle name="20% - Accent5 6 2 4 4" xfId="24589" xr:uid="{00000000-0005-0000-0000-0000C5370000}"/>
    <cellStyle name="20% - Accent5 6 2 4 5" xfId="31691" xr:uid="{00000000-0005-0000-0000-0000C6370000}"/>
    <cellStyle name="20% - Accent5 6 2 4 6" xfId="37820" xr:uid="{00000000-0005-0000-0000-0000C7370000}"/>
    <cellStyle name="20% - Accent5 6 2 5" xfId="7546" xr:uid="{00000000-0005-0000-0000-0000C8370000}"/>
    <cellStyle name="20% - Accent5 6 2 6" xfId="14647" xr:uid="{00000000-0005-0000-0000-0000C9370000}"/>
    <cellStyle name="20% - Accent5 6 2 7" xfId="21749" xr:uid="{00000000-0005-0000-0000-0000CA370000}"/>
    <cellStyle name="20% - Accent5 6 2 8" xfId="28851" xr:uid="{00000000-0005-0000-0000-0000CB370000}"/>
    <cellStyle name="20% - Accent5 6 2 9" xfId="37821" xr:uid="{00000000-0005-0000-0000-0000CC370000}"/>
    <cellStyle name="20% - Accent5 6 3" xfId="580" xr:uid="{00000000-0005-0000-0000-0000CD370000}"/>
    <cellStyle name="20% - Accent5 6 3 2" xfId="2071" xr:uid="{00000000-0005-0000-0000-0000CE370000}"/>
    <cellStyle name="20% - Accent5 6 3 2 2" xfId="6339" xr:uid="{00000000-0005-0000-0000-0000CF370000}"/>
    <cellStyle name="20% - Accent5 6 3 2 2 2" xfId="13439" xr:uid="{00000000-0005-0000-0000-0000D0370000}"/>
    <cellStyle name="20% - Accent5 6 3 2 2 3" xfId="20540" xr:uid="{00000000-0005-0000-0000-0000D1370000}"/>
    <cellStyle name="20% - Accent5 6 3 2 2 4" xfId="27642" xr:uid="{00000000-0005-0000-0000-0000D2370000}"/>
    <cellStyle name="20% - Accent5 6 3 2 2 5" xfId="34744" xr:uid="{00000000-0005-0000-0000-0000D3370000}"/>
    <cellStyle name="20% - Accent5 6 3 2 2 6" xfId="37822" xr:uid="{00000000-0005-0000-0000-0000D4370000}"/>
    <cellStyle name="20% - Accent5 6 3 2 3" xfId="9179" xr:uid="{00000000-0005-0000-0000-0000D5370000}"/>
    <cellStyle name="20% - Accent5 6 3 2 4" xfId="16280" xr:uid="{00000000-0005-0000-0000-0000D6370000}"/>
    <cellStyle name="20% - Accent5 6 3 2 5" xfId="23382" xr:uid="{00000000-0005-0000-0000-0000D7370000}"/>
    <cellStyle name="20% - Accent5 6 3 2 6" xfId="30484" xr:uid="{00000000-0005-0000-0000-0000D8370000}"/>
    <cellStyle name="20% - Accent5 6 3 2 7" xfId="37823" xr:uid="{00000000-0005-0000-0000-0000D9370000}"/>
    <cellStyle name="20% - Accent5 6 3 3" xfId="4918" xr:uid="{00000000-0005-0000-0000-0000DA370000}"/>
    <cellStyle name="20% - Accent5 6 3 3 2" xfId="12019" xr:uid="{00000000-0005-0000-0000-0000DB370000}"/>
    <cellStyle name="20% - Accent5 6 3 3 2 2" xfId="37824" xr:uid="{00000000-0005-0000-0000-0000DC370000}"/>
    <cellStyle name="20% - Accent5 6 3 3 3" xfId="19120" xr:uid="{00000000-0005-0000-0000-0000DD370000}"/>
    <cellStyle name="20% - Accent5 6 3 3 4" xfId="26222" xr:uid="{00000000-0005-0000-0000-0000DE370000}"/>
    <cellStyle name="20% - Accent5 6 3 3 5" xfId="33324" xr:uid="{00000000-0005-0000-0000-0000DF370000}"/>
    <cellStyle name="20% - Accent5 6 3 3 6" xfId="37825" xr:uid="{00000000-0005-0000-0000-0000E0370000}"/>
    <cellStyle name="20% - Accent5 6 3 4" xfId="3493" xr:uid="{00000000-0005-0000-0000-0000E1370000}"/>
    <cellStyle name="20% - Accent5 6 3 4 2" xfId="10599" xr:uid="{00000000-0005-0000-0000-0000E2370000}"/>
    <cellStyle name="20% - Accent5 6 3 4 3" xfId="17700" xr:uid="{00000000-0005-0000-0000-0000E3370000}"/>
    <cellStyle name="20% - Accent5 6 3 4 4" xfId="24802" xr:uid="{00000000-0005-0000-0000-0000E4370000}"/>
    <cellStyle name="20% - Accent5 6 3 4 5" xfId="31904" xr:uid="{00000000-0005-0000-0000-0000E5370000}"/>
    <cellStyle name="20% - Accent5 6 3 4 6" xfId="37826" xr:uid="{00000000-0005-0000-0000-0000E6370000}"/>
    <cellStyle name="20% - Accent5 6 3 5" xfId="7759" xr:uid="{00000000-0005-0000-0000-0000E7370000}"/>
    <cellStyle name="20% - Accent5 6 3 6" xfId="14860" xr:uid="{00000000-0005-0000-0000-0000E8370000}"/>
    <cellStyle name="20% - Accent5 6 3 7" xfId="21962" xr:uid="{00000000-0005-0000-0000-0000E9370000}"/>
    <cellStyle name="20% - Accent5 6 3 8" xfId="29064" xr:uid="{00000000-0005-0000-0000-0000EA370000}"/>
    <cellStyle name="20% - Accent5 6 3 9" xfId="37827" xr:uid="{00000000-0005-0000-0000-0000EB370000}"/>
    <cellStyle name="20% - Accent5 6 4" xfId="793" xr:uid="{00000000-0005-0000-0000-0000EC370000}"/>
    <cellStyle name="20% - Accent5 6 4 2" xfId="2284" xr:uid="{00000000-0005-0000-0000-0000ED370000}"/>
    <cellStyle name="20% - Accent5 6 4 2 2" xfId="6552" xr:uid="{00000000-0005-0000-0000-0000EE370000}"/>
    <cellStyle name="20% - Accent5 6 4 2 2 2" xfId="13652" xr:uid="{00000000-0005-0000-0000-0000EF370000}"/>
    <cellStyle name="20% - Accent5 6 4 2 2 3" xfId="20753" xr:uid="{00000000-0005-0000-0000-0000F0370000}"/>
    <cellStyle name="20% - Accent5 6 4 2 2 4" xfId="27855" xr:uid="{00000000-0005-0000-0000-0000F1370000}"/>
    <cellStyle name="20% - Accent5 6 4 2 2 5" xfId="34957" xr:uid="{00000000-0005-0000-0000-0000F2370000}"/>
    <cellStyle name="20% - Accent5 6 4 2 2 6" xfId="37828" xr:uid="{00000000-0005-0000-0000-0000F3370000}"/>
    <cellStyle name="20% - Accent5 6 4 2 3" xfId="9392" xr:uid="{00000000-0005-0000-0000-0000F4370000}"/>
    <cellStyle name="20% - Accent5 6 4 2 4" xfId="16493" xr:uid="{00000000-0005-0000-0000-0000F5370000}"/>
    <cellStyle name="20% - Accent5 6 4 2 5" xfId="23595" xr:uid="{00000000-0005-0000-0000-0000F6370000}"/>
    <cellStyle name="20% - Accent5 6 4 2 6" xfId="30697" xr:uid="{00000000-0005-0000-0000-0000F7370000}"/>
    <cellStyle name="20% - Accent5 6 4 2 7" xfId="37829" xr:uid="{00000000-0005-0000-0000-0000F8370000}"/>
    <cellStyle name="20% - Accent5 6 4 3" xfId="5131" xr:uid="{00000000-0005-0000-0000-0000F9370000}"/>
    <cellStyle name="20% - Accent5 6 4 3 2" xfId="12232" xr:uid="{00000000-0005-0000-0000-0000FA370000}"/>
    <cellStyle name="20% - Accent5 6 4 3 2 2" xfId="37830" xr:uid="{00000000-0005-0000-0000-0000FB370000}"/>
    <cellStyle name="20% - Accent5 6 4 3 3" xfId="19333" xr:uid="{00000000-0005-0000-0000-0000FC370000}"/>
    <cellStyle name="20% - Accent5 6 4 3 4" xfId="26435" xr:uid="{00000000-0005-0000-0000-0000FD370000}"/>
    <cellStyle name="20% - Accent5 6 4 3 5" xfId="33537" xr:uid="{00000000-0005-0000-0000-0000FE370000}"/>
    <cellStyle name="20% - Accent5 6 4 3 6" xfId="37831" xr:uid="{00000000-0005-0000-0000-0000FF370000}"/>
    <cellStyle name="20% - Accent5 6 4 4" xfId="3706" xr:uid="{00000000-0005-0000-0000-000000380000}"/>
    <cellStyle name="20% - Accent5 6 4 4 2" xfId="10812" xr:uid="{00000000-0005-0000-0000-000001380000}"/>
    <cellStyle name="20% - Accent5 6 4 4 3" xfId="17913" xr:uid="{00000000-0005-0000-0000-000002380000}"/>
    <cellStyle name="20% - Accent5 6 4 4 4" xfId="25015" xr:uid="{00000000-0005-0000-0000-000003380000}"/>
    <cellStyle name="20% - Accent5 6 4 4 5" xfId="32117" xr:uid="{00000000-0005-0000-0000-000004380000}"/>
    <cellStyle name="20% - Accent5 6 4 4 6" xfId="37832" xr:uid="{00000000-0005-0000-0000-000005380000}"/>
    <cellStyle name="20% - Accent5 6 4 5" xfId="7972" xr:uid="{00000000-0005-0000-0000-000006380000}"/>
    <cellStyle name="20% - Accent5 6 4 6" xfId="15073" xr:uid="{00000000-0005-0000-0000-000007380000}"/>
    <cellStyle name="20% - Accent5 6 4 7" xfId="22175" xr:uid="{00000000-0005-0000-0000-000008380000}"/>
    <cellStyle name="20% - Accent5 6 4 8" xfId="29277" xr:uid="{00000000-0005-0000-0000-000009380000}"/>
    <cellStyle name="20% - Accent5 6 4 9" xfId="37833" xr:uid="{00000000-0005-0000-0000-00000A380000}"/>
    <cellStyle name="20% - Accent5 6 5" xfId="1148" xr:uid="{00000000-0005-0000-0000-00000B380000}"/>
    <cellStyle name="20% - Accent5 6 5 2" xfId="2639" xr:uid="{00000000-0005-0000-0000-00000C380000}"/>
    <cellStyle name="20% - Accent5 6 5 2 2" xfId="6907" xr:uid="{00000000-0005-0000-0000-00000D380000}"/>
    <cellStyle name="20% - Accent5 6 5 2 2 2" xfId="14007" xr:uid="{00000000-0005-0000-0000-00000E380000}"/>
    <cellStyle name="20% - Accent5 6 5 2 2 3" xfId="21108" xr:uid="{00000000-0005-0000-0000-00000F380000}"/>
    <cellStyle name="20% - Accent5 6 5 2 2 4" xfId="28210" xr:uid="{00000000-0005-0000-0000-000010380000}"/>
    <cellStyle name="20% - Accent5 6 5 2 2 5" xfId="35312" xr:uid="{00000000-0005-0000-0000-000011380000}"/>
    <cellStyle name="20% - Accent5 6 5 2 3" xfId="9747" xr:uid="{00000000-0005-0000-0000-000012380000}"/>
    <cellStyle name="20% - Accent5 6 5 2 4" xfId="16848" xr:uid="{00000000-0005-0000-0000-000013380000}"/>
    <cellStyle name="20% - Accent5 6 5 2 5" xfId="23950" xr:uid="{00000000-0005-0000-0000-000014380000}"/>
    <cellStyle name="20% - Accent5 6 5 2 6" xfId="31052" xr:uid="{00000000-0005-0000-0000-000015380000}"/>
    <cellStyle name="20% - Accent5 6 5 2 7" xfId="37834" xr:uid="{00000000-0005-0000-0000-000016380000}"/>
    <cellStyle name="20% - Accent5 6 5 3" xfId="5486" xr:uid="{00000000-0005-0000-0000-000017380000}"/>
    <cellStyle name="20% - Accent5 6 5 3 2" xfId="12587" xr:uid="{00000000-0005-0000-0000-000018380000}"/>
    <cellStyle name="20% - Accent5 6 5 3 3" xfId="19688" xr:uid="{00000000-0005-0000-0000-000019380000}"/>
    <cellStyle name="20% - Accent5 6 5 3 4" xfId="26790" xr:uid="{00000000-0005-0000-0000-00001A380000}"/>
    <cellStyle name="20% - Accent5 6 5 3 5" xfId="33892" xr:uid="{00000000-0005-0000-0000-00001B380000}"/>
    <cellStyle name="20% - Accent5 6 5 4" xfId="4061" xr:uid="{00000000-0005-0000-0000-00001C380000}"/>
    <cellStyle name="20% - Accent5 6 5 4 2" xfId="11167" xr:uid="{00000000-0005-0000-0000-00001D380000}"/>
    <cellStyle name="20% - Accent5 6 5 4 3" xfId="18268" xr:uid="{00000000-0005-0000-0000-00001E380000}"/>
    <cellStyle name="20% - Accent5 6 5 4 4" xfId="25370" xr:uid="{00000000-0005-0000-0000-00001F380000}"/>
    <cellStyle name="20% - Accent5 6 5 4 5" xfId="32472" xr:uid="{00000000-0005-0000-0000-000020380000}"/>
    <cellStyle name="20% - Accent5 6 5 5" xfId="8327" xr:uid="{00000000-0005-0000-0000-000021380000}"/>
    <cellStyle name="20% - Accent5 6 5 6" xfId="15428" xr:uid="{00000000-0005-0000-0000-000022380000}"/>
    <cellStyle name="20% - Accent5 6 5 7" xfId="22530" xr:uid="{00000000-0005-0000-0000-000023380000}"/>
    <cellStyle name="20% - Accent5 6 5 8" xfId="29632" xr:uid="{00000000-0005-0000-0000-000024380000}"/>
    <cellStyle name="20% - Accent5 6 5 9" xfId="37835" xr:uid="{00000000-0005-0000-0000-000025380000}"/>
    <cellStyle name="20% - Accent5 6 6" xfId="1361" xr:uid="{00000000-0005-0000-0000-000026380000}"/>
    <cellStyle name="20% - Accent5 6 6 2" xfId="2852" xr:uid="{00000000-0005-0000-0000-000027380000}"/>
    <cellStyle name="20% - Accent5 6 6 2 2" xfId="7120" xr:uid="{00000000-0005-0000-0000-000028380000}"/>
    <cellStyle name="20% - Accent5 6 6 2 2 2" xfId="14220" xr:uid="{00000000-0005-0000-0000-000029380000}"/>
    <cellStyle name="20% - Accent5 6 6 2 2 3" xfId="21321" xr:uid="{00000000-0005-0000-0000-00002A380000}"/>
    <cellStyle name="20% - Accent5 6 6 2 2 4" xfId="28423" xr:uid="{00000000-0005-0000-0000-00002B380000}"/>
    <cellStyle name="20% - Accent5 6 6 2 2 5" xfId="35525" xr:uid="{00000000-0005-0000-0000-00002C380000}"/>
    <cellStyle name="20% - Accent5 6 6 2 3" xfId="9960" xr:uid="{00000000-0005-0000-0000-00002D380000}"/>
    <cellStyle name="20% - Accent5 6 6 2 4" xfId="17061" xr:uid="{00000000-0005-0000-0000-00002E380000}"/>
    <cellStyle name="20% - Accent5 6 6 2 5" xfId="24163" xr:uid="{00000000-0005-0000-0000-00002F380000}"/>
    <cellStyle name="20% - Accent5 6 6 2 6" xfId="31265" xr:uid="{00000000-0005-0000-0000-000030380000}"/>
    <cellStyle name="20% - Accent5 6 6 2 7" xfId="37836" xr:uid="{00000000-0005-0000-0000-000031380000}"/>
    <cellStyle name="20% - Accent5 6 6 3" xfId="5699" xr:uid="{00000000-0005-0000-0000-000032380000}"/>
    <cellStyle name="20% - Accent5 6 6 3 2" xfId="12800" xr:uid="{00000000-0005-0000-0000-000033380000}"/>
    <cellStyle name="20% - Accent5 6 6 3 3" xfId="19901" xr:uid="{00000000-0005-0000-0000-000034380000}"/>
    <cellStyle name="20% - Accent5 6 6 3 4" xfId="27003" xr:uid="{00000000-0005-0000-0000-000035380000}"/>
    <cellStyle name="20% - Accent5 6 6 3 5" xfId="34105" xr:uid="{00000000-0005-0000-0000-000036380000}"/>
    <cellStyle name="20% - Accent5 6 6 4" xfId="4274" xr:uid="{00000000-0005-0000-0000-000037380000}"/>
    <cellStyle name="20% - Accent5 6 6 4 2" xfId="11380" xr:uid="{00000000-0005-0000-0000-000038380000}"/>
    <cellStyle name="20% - Accent5 6 6 4 3" xfId="18481" xr:uid="{00000000-0005-0000-0000-000039380000}"/>
    <cellStyle name="20% - Accent5 6 6 4 4" xfId="25583" xr:uid="{00000000-0005-0000-0000-00003A380000}"/>
    <cellStyle name="20% - Accent5 6 6 4 5" xfId="32685" xr:uid="{00000000-0005-0000-0000-00003B380000}"/>
    <cellStyle name="20% - Accent5 6 6 5" xfId="8540" xr:uid="{00000000-0005-0000-0000-00003C380000}"/>
    <cellStyle name="20% - Accent5 6 6 6" xfId="15641" xr:uid="{00000000-0005-0000-0000-00003D380000}"/>
    <cellStyle name="20% - Accent5 6 6 7" xfId="22743" xr:uid="{00000000-0005-0000-0000-00003E380000}"/>
    <cellStyle name="20% - Accent5 6 6 8" xfId="29845" xr:uid="{00000000-0005-0000-0000-00003F380000}"/>
    <cellStyle name="20% - Accent5 6 6 9" xfId="37837" xr:uid="{00000000-0005-0000-0000-000040380000}"/>
    <cellStyle name="20% - Accent5 6 7" xfId="1645" xr:uid="{00000000-0005-0000-0000-000041380000}"/>
    <cellStyle name="20% - Accent5 6 7 2" xfId="5913" xr:uid="{00000000-0005-0000-0000-000042380000}"/>
    <cellStyle name="20% - Accent5 6 7 2 2" xfId="13013" xr:uid="{00000000-0005-0000-0000-000043380000}"/>
    <cellStyle name="20% - Accent5 6 7 2 3" xfId="20114" xr:uid="{00000000-0005-0000-0000-000044380000}"/>
    <cellStyle name="20% - Accent5 6 7 2 4" xfId="27216" xr:uid="{00000000-0005-0000-0000-000045380000}"/>
    <cellStyle name="20% - Accent5 6 7 2 5" xfId="34318" xr:uid="{00000000-0005-0000-0000-000046380000}"/>
    <cellStyle name="20% - Accent5 6 7 3" xfId="8753" xr:uid="{00000000-0005-0000-0000-000047380000}"/>
    <cellStyle name="20% - Accent5 6 7 4" xfId="15854" xr:uid="{00000000-0005-0000-0000-000048380000}"/>
    <cellStyle name="20% - Accent5 6 7 5" xfId="22956" xr:uid="{00000000-0005-0000-0000-000049380000}"/>
    <cellStyle name="20% - Accent5 6 7 6" xfId="30058" xr:uid="{00000000-0005-0000-0000-00004A380000}"/>
    <cellStyle name="20% - Accent5 6 7 7" xfId="37838" xr:uid="{00000000-0005-0000-0000-00004B380000}"/>
    <cellStyle name="20% - Accent5 6 8" xfId="4492" xr:uid="{00000000-0005-0000-0000-00004C380000}"/>
    <cellStyle name="20% - Accent5 6 8 2" xfId="11593" xr:uid="{00000000-0005-0000-0000-00004D380000}"/>
    <cellStyle name="20% - Accent5 6 8 3" xfId="18694" xr:uid="{00000000-0005-0000-0000-00004E380000}"/>
    <cellStyle name="20% - Accent5 6 8 4" xfId="25796" xr:uid="{00000000-0005-0000-0000-00004F380000}"/>
    <cellStyle name="20% - Accent5 6 8 5" xfId="32898" xr:uid="{00000000-0005-0000-0000-000050380000}"/>
    <cellStyle name="20% - Accent5 6 9" xfId="3067" xr:uid="{00000000-0005-0000-0000-000051380000}"/>
    <cellStyle name="20% - Accent5 6 9 2" xfId="10173" xr:uid="{00000000-0005-0000-0000-000052380000}"/>
    <cellStyle name="20% - Accent5 6 9 3" xfId="17274" xr:uid="{00000000-0005-0000-0000-000053380000}"/>
    <cellStyle name="20% - Accent5 6 9 4" xfId="24376" xr:uid="{00000000-0005-0000-0000-000054380000}"/>
    <cellStyle name="20% - Accent5 6 9 5" xfId="31478" xr:uid="{00000000-0005-0000-0000-000055380000}"/>
    <cellStyle name="20% - Accent5 7" xfId="296" xr:uid="{00000000-0005-0000-0000-000056380000}"/>
    <cellStyle name="20% - Accent5 7 10" xfId="37839" xr:uid="{00000000-0005-0000-0000-000057380000}"/>
    <cellStyle name="20% - Accent5 7 2" xfId="1077" xr:uid="{00000000-0005-0000-0000-000058380000}"/>
    <cellStyle name="20% - Accent5 7 2 2" xfId="2568" xr:uid="{00000000-0005-0000-0000-000059380000}"/>
    <cellStyle name="20% - Accent5 7 2 2 2" xfId="6836" xr:uid="{00000000-0005-0000-0000-00005A380000}"/>
    <cellStyle name="20% - Accent5 7 2 2 2 2" xfId="13936" xr:uid="{00000000-0005-0000-0000-00005B380000}"/>
    <cellStyle name="20% - Accent5 7 2 2 2 3" xfId="21037" xr:uid="{00000000-0005-0000-0000-00005C380000}"/>
    <cellStyle name="20% - Accent5 7 2 2 2 4" xfId="28139" xr:uid="{00000000-0005-0000-0000-00005D380000}"/>
    <cellStyle name="20% - Accent5 7 2 2 2 5" xfId="35241" xr:uid="{00000000-0005-0000-0000-00005E380000}"/>
    <cellStyle name="20% - Accent5 7 2 2 3" xfId="9676" xr:uid="{00000000-0005-0000-0000-00005F380000}"/>
    <cellStyle name="20% - Accent5 7 2 2 4" xfId="16777" xr:uid="{00000000-0005-0000-0000-000060380000}"/>
    <cellStyle name="20% - Accent5 7 2 2 5" xfId="23879" xr:uid="{00000000-0005-0000-0000-000061380000}"/>
    <cellStyle name="20% - Accent5 7 2 2 6" xfId="30981" xr:uid="{00000000-0005-0000-0000-000062380000}"/>
    <cellStyle name="20% - Accent5 7 2 2 7" xfId="37840" xr:uid="{00000000-0005-0000-0000-000063380000}"/>
    <cellStyle name="20% - Accent5 7 2 3" xfId="5415" xr:uid="{00000000-0005-0000-0000-000064380000}"/>
    <cellStyle name="20% - Accent5 7 2 3 2" xfId="12516" xr:uid="{00000000-0005-0000-0000-000065380000}"/>
    <cellStyle name="20% - Accent5 7 2 3 3" xfId="19617" xr:uid="{00000000-0005-0000-0000-000066380000}"/>
    <cellStyle name="20% - Accent5 7 2 3 4" xfId="26719" xr:uid="{00000000-0005-0000-0000-000067380000}"/>
    <cellStyle name="20% - Accent5 7 2 3 5" xfId="33821" xr:uid="{00000000-0005-0000-0000-000068380000}"/>
    <cellStyle name="20% - Accent5 7 2 4" xfId="3990" xr:uid="{00000000-0005-0000-0000-000069380000}"/>
    <cellStyle name="20% - Accent5 7 2 4 2" xfId="11096" xr:uid="{00000000-0005-0000-0000-00006A380000}"/>
    <cellStyle name="20% - Accent5 7 2 4 3" xfId="18197" xr:uid="{00000000-0005-0000-0000-00006B380000}"/>
    <cellStyle name="20% - Accent5 7 2 4 4" xfId="25299" xr:uid="{00000000-0005-0000-0000-00006C380000}"/>
    <cellStyle name="20% - Accent5 7 2 4 5" xfId="32401" xr:uid="{00000000-0005-0000-0000-00006D380000}"/>
    <cellStyle name="20% - Accent5 7 2 5" xfId="8256" xr:uid="{00000000-0005-0000-0000-00006E380000}"/>
    <cellStyle name="20% - Accent5 7 2 6" xfId="15357" xr:uid="{00000000-0005-0000-0000-00006F380000}"/>
    <cellStyle name="20% - Accent5 7 2 7" xfId="22459" xr:uid="{00000000-0005-0000-0000-000070380000}"/>
    <cellStyle name="20% - Accent5 7 2 8" xfId="29561" xr:uid="{00000000-0005-0000-0000-000071380000}"/>
    <cellStyle name="20% - Accent5 7 2 9" xfId="37841" xr:uid="{00000000-0005-0000-0000-000072380000}"/>
    <cellStyle name="20% - Accent5 7 3" xfId="1787" xr:uid="{00000000-0005-0000-0000-000073380000}"/>
    <cellStyle name="20% - Accent5 7 3 2" xfId="6055" xr:uid="{00000000-0005-0000-0000-000074380000}"/>
    <cellStyle name="20% - Accent5 7 3 2 2" xfId="13155" xr:uid="{00000000-0005-0000-0000-000075380000}"/>
    <cellStyle name="20% - Accent5 7 3 2 3" xfId="20256" xr:uid="{00000000-0005-0000-0000-000076380000}"/>
    <cellStyle name="20% - Accent5 7 3 2 4" xfId="27358" xr:uid="{00000000-0005-0000-0000-000077380000}"/>
    <cellStyle name="20% - Accent5 7 3 2 5" xfId="34460" xr:uid="{00000000-0005-0000-0000-000078380000}"/>
    <cellStyle name="20% - Accent5 7 3 2 6" xfId="37842" xr:uid="{00000000-0005-0000-0000-000079380000}"/>
    <cellStyle name="20% - Accent5 7 3 3" xfId="8895" xr:uid="{00000000-0005-0000-0000-00007A380000}"/>
    <cellStyle name="20% - Accent5 7 3 4" xfId="15996" xr:uid="{00000000-0005-0000-0000-00007B380000}"/>
    <cellStyle name="20% - Accent5 7 3 5" xfId="23098" xr:uid="{00000000-0005-0000-0000-00007C380000}"/>
    <cellStyle name="20% - Accent5 7 3 6" xfId="30200" xr:uid="{00000000-0005-0000-0000-00007D380000}"/>
    <cellStyle name="20% - Accent5 7 3 7" xfId="37843" xr:uid="{00000000-0005-0000-0000-00007E380000}"/>
    <cellStyle name="20% - Accent5 7 4" xfId="4634" xr:uid="{00000000-0005-0000-0000-00007F380000}"/>
    <cellStyle name="20% - Accent5 7 4 2" xfId="11735" xr:uid="{00000000-0005-0000-0000-000080380000}"/>
    <cellStyle name="20% - Accent5 7 4 3" xfId="18836" xr:uid="{00000000-0005-0000-0000-000081380000}"/>
    <cellStyle name="20% - Accent5 7 4 4" xfId="25938" xr:uid="{00000000-0005-0000-0000-000082380000}"/>
    <cellStyle name="20% - Accent5 7 4 5" xfId="33040" xr:uid="{00000000-0005-0000-0000-000083380000}"/>
    <cellStyle name="20% - Accent5 7 4 6" xfId="37844" xr:uid="{00000000-0005-0000-0000-000084380000}"/>
    <cellStyle name="20% - Accent5 7 5" xfId="3209" xr:uid="{00000000-0005-0000-0000-000085380000}"/>
    <cellStyle name="20% - Accent5 7 5 2" xfId="10315" xr:uid="{00000000-0005-0000-0000-000086380000}"/>
    <cellStyle name="20% - Accent5 7 5 3" xfId="17416" xr:uid="{00000000-0005-0000-0000-000087380000}"/>
    <cellStyle name="20% - Accent5 7 5 4" xfId="24518" xr:uid="{00000000-0005-0000-0000-000088380000}"/>
    <cellStyle name="20% - Accent5 7 5 5" xfId="31620" xr:uid="{00000000-0005-0000-0000-000089380000}"/>
    <cellStyle name="20% - Accent5 7 6" xfId="7475" xr:uid="{00000000-0005-0000-0000-00008A380000}"/>
    <cellStyle name="20% - Accent5 7 7" xfId="14576" xr:uid="{00000000-0005-0000-0000-00008B380000}"/>
    <cellStyle name="20% - Accent5 7 8" xfId="21678" xr:uid="{00000000-0005-0000-0000-00008C380000}"/>
    <cellStyle name="20% - Accent5 7 9" xfId="28780" xr:uid="{00000000-0005-0000-0000-00008D380000}"/>
    <cellStyle name="20% - Accent5 8" xfId="509" xr:uid="{00000000-0005-0000-0000-00008E380000}"/>
    <cellStyle name="20% - Accent5 8 2" xfId="2000" xr:uid="{00000000-0005-0000-0000-00008F380000}"/>
    <cellStyle name="20% - Accent5 8 2 2" xfId="6268" xr:uid="{00000000-0005-0000-0000-000090380000}"/>
    <cellStyle name="20% - Accent5 8 2 2 2" xfId="13368" xr:uid="{00000000-0005-0000-0000-000091380000}"/>
    <cellStyle name="20% - Accent5 8 2 2 3" xfId="20469" xr:uid="{00000000-0005-0000-0000-000092380000}"/>
    <cellStyle name="20% - Accent5 8 2 2 4" xfId="27571" xr:uid="{00000000-0005-0000-0000-000093380000}"/>
    <cellStyle name="20% - Accent5 8 2 2 5" xfId="34673" xr:uid="{00000000-0005-0000-0000-000094380000}"/>
    <cellStyle name="20% - Accent5 8 2 2 6" xfId="37845" xr:uid="{00000000-0005-0000-0000-000095380000}"/>
    <cellStyle name="20% - Accent5 8 2 3" xfId="9108" xr:uid="{00000000-0005-0000-0000-000096380000}"/>
    <cellStyle name="20% - Accent5 8 2 4" xfId="16209" xr:uid="{00000000-0005-0000-0000-000097380000}"/>
    <cellStyle name="20% - Accent5 8 2 5" xfId="23311" xr:uid="{00000000-0005-0000-0000-000098380000}"/>
    <cellStyle name="20% - Accent5 8 2 6" xfId="30413" xr:uid="{00000000-0005-0000-0000-000099380000}"/>
    <cellStyle name="20% - Accent5 8 2 7" xfId="37846" xr:uid="{00000000-0005-0000-0000-00009A380000}"/>
    <cellStyle name="20% - Accent5 8 3" xfId="4847" xr:uid="{00000000-0005-0000-0000-00009B380000}"/>
    <cellStyle name="20% - Accent5 8 3 2" xfId="11948" xr:uid="{00000000-0005-0000-0000-00009C380000}"/>
    <cellStyle name="20% - Accent5 8 3 2 2" xfId="37847" xr:uid="{00000000-0005-0000-0000-00009D380000}"/>
    <cellStyle name="20% - Accent5 8 3 3" xfId="19049" xr:uid="{00000000-0005-0000-0000-00009E380000}"/>
    <cellStyle name="20% - Accent5 8 3 4" xfId="26151" xr:uid="{00000000-0005-0000-0000-00009F380000}"/>
    <cellStyle name="20% - Accent5 8 3 5" xfId="33253" xr:uid="{00000000-0005-0000-0000-0000A0380000}"/>
    <cellStyle name="20% - Accent5 8 3 6" xfId="37848" xr:uid="{00000000-0005-0000-0000-0000A1380000}"/>
    <cellStyle name="20% - Accent5 8 4" xfId="3422" xr:uid="{00000000-0005-0000-0000-0000A2380000}"/>
    <cellStyle name="20% - Accent5 8 4 2" xfId="10528" xr:uid="{00000000-0005-0000-0000-0000A3380000}"/>
    <cellStyle name="20% - Accent5 8 4 3" xfId="17629" xr:uid="{00000000-0005-0000-0000-0000A4380000}"/>
    <cellStyle name="20% - Accent5 8 4 4" xfId="24731" xr:uid="{00000000-0005-0000-0000-0000A5380000}"/>
    <cellStyle name="20% - Accent5 8 4 5" xfId="31833" xr:uid="{00000000-0005-0000-0000-0000A6380000}"/>
    <cellStyle name="20% - Accent5 8 4 6" xfId="37849" xr:uid="{00000000-0005-0000-0000-0000A7380000}"/>
    <cellStyle name="20% - Accent5 8 5" xfId="7688" xr:uid="{00000000-0005-0000-0000-0000A8380000}"/>
    <cellStyle name="20% - Accent5 8 6" xfId="14789" xr:uid="{00000000-0005-0000-0000-0000A9380000}"/>
    <cellStyle name="20% - Accent5 8 7" xfId="21891" xr:uid="{00000000-0005-0000-0000-0000AA380000}"/>
    <cellStyle name="20% - Accent5 8 8" xfId="28993" xr:uid="{00000000-0005-0000-0000-0000AB380000}"/>
    <cellStyle name="20% - Accent5 8 9" xfId="37850" xr:uid="{00000000-0005-0000-0000-0000AC380000}"/>
    <cellStyle name="20% - Accent5 9" xfId="722" xr:uid="{00000000-0005-0000-0000-0000AD380000}"/>
    <cellStyle name="20% - Accent5 9 2" xfId="2213" xr:uid="{00000000-0005-0000-0000-0000AE380000}"/>
    <cellStyle name="20% - Accent5 9 2 2" xfId="6481" xr:uid="{00000000-0005-0000-0000-0000AF380000}"/>
    <cellStyle name="20% - Accent5 9 2 2 2" xfId="13581" xr:uid="{00000000-0005-0000-0000-0000B0380000}"/>
    <cellStyle name="20% - Accent5 9 2 2 3" xfId="20682" xr:uid="{00000000-0005-0000-0000-0000B1380000}"/>
    <cellStyle name="20% - Accent5 9 2 2 4" xfId="27784" xr:uid="{00000000-0005-0000-0000-0000B2380000}"/>
    <cellStyle name="20% - Accent5 9 2 2 5" xfId="34886" xr:uid="{00000000-0005-0000-0000-0000B3380000}"/>
    <cellStyle name="20% - Accent5 9 2 2 6" xfId="37851" xr:uid="{00000000-0005-0000-0000-0000B4380000}"/>
    <cellStyle name="20% - Accent5 9 2 3" xfId="9321" xr:uid="{00000000-0005-0000-0000-0000B5380000}"/>
    <cellStyle name="20% - Accent5 9 2 4" xfId="16422" xr:uid="{00000000-0005-0000-0000-0000B6380000}"/>
    <cellStyle name="20% - Accent5 9 2 5" xfId="23524" xr:uid="{00000000-0005-0000-0000-0000B7380000}"/>
    <cellStyle name="20% - Accent5 9 2 6" xfId="30626" xr:uid="{00000000-0005-0000-0000-0000B8380000}"/>
    <cellStyle name="20% - Accent5 9 2 7" xfId="37852" xr:uid="{00000000-0005-0000-0000-0000B9380000}"/>
    <cellStyle name="20% - Accent5 9 3" xfId="5060" xr:uid="{00000000-0005-0000-0000-0000BA380000}"/>
    <cellStyle name="20% - Accent5 9 3 2" xfId="12161" xr:uid="{00000000-0005-0000-0000-0000BB380000}"/>
    <cellStyle name="20% - Accent5 9 3 2 2" xfId="37853" xr:uid="{00000000-0005-0000-0000-0000BC380000}"/>
    <cellStyle name="20% - Accent5 9 3 3" xfId="19262" xr:uid="{00000000-0005-0000-0000-0000BD380000}"/>
    <cellStyle name="20% - Accent5 9 3 4" xfId="26364" xr:uid="{00000000-0005-0000-0000-0000BE380000}"/>
    <cellStyle name="20% - Accent5 9 3 5" xfId="33466" xr:uid="{00000000-0005-0000-0000-0000BF380000}"/>
    <cellStyle name="20% - Accent5 9 3 6" xfId="37854" xr:uid="{00000000-0005-0000-0000-0000C0380000}"/>
    <cellStyle name="20% - Accent5 9 4" xfId="3635" xr:uid="{00000000-0005-0000-0000-0000C1380000}"/>
    <cellStyle name="20% - Accent5 9 4 2" xfId="10741" xr:uid="{00000000-0005-0000-0000-0000C2380000}"/>
    <cellStyle name="20% - Accent5 9 4 3" xfId="17842" xr:uid="{00000000-0005-0000-0000-0000C3380000}"/>
    <cellStyle name="20% - Accent5 9 4 4" xfId="24944" xr:uid="{00000000-0005-0000-0000-0000C4380000}"/>
    <cellStyle name="20% - Accent5 9 4 5" xfId="32046" xr:uid="{00000000-0005-0000-0000-0000C5380000}"/>
    <cellStyle name="20% - Accent5 9 4 6" xfId="37855" xr:uid="{00000000-0005-0000-0000-0000C6380000}"/>
    <cellStyle name="20% - Accent5 9 5" xfId="7901" xr:uid="{00000000-0005-0000-0000-0000C7380000}"/>
    <cellStyle name="20% - Accent5 9 6" xfId="15002" xr:uid="{00000000-0005-0000-0000-0000C8380000}"/>
    <cellStyle name="20% - Accent5 9 7" xfId="22104" xr:uid="{00000000-0005-0000-0000-0000C9380000}"/>
    <cellStyle name="20% - Accent5 9 8" xfId="29206" xr:uid="{00000000-0005-0000-0000-0000CA380000}"/>
    <cellStyle name="20% - Accent5 9 9" xfId="37856" xr:uid="{00000000-0005-0000-0000-0000CB380000}"/>
    <cellStyle name="20% - Accent6" xfId="62" builtinId="50" customBuiltin="1"/>
    <cellStyle name="20% - Accent6 10" xfId="937" xr:uid="{00000000-0005-0000-0000-0000CD380000}"/>
    <cellStyle name="20% - Accent6 10 2" xfId="2428" xr:uid="{00000000-0005-0000-0000-0000CE380000}"/>
    <cellStyle name="20% - Accent6 10 2 2" xfId="6696" xr:uid="{00000000-0005-0000-0000-0000CF380000}"/>
    <cellStyle name="20% - Accent6 10 2 2 2" xfId="13796" xr:uid="{00000000-0005-0000-0000-0000D0380000}"/>
    <cellStyle name="20% - Accent6 10 2 2 3" xfId="20897" xr:uid="{00000000-0005-0000-0000-0000D1380000}"/>
    <cellStyle name="20% - Accent6 10 2 2 4" xfId="27999" xr:uid="{00000000-0005-0000-0000-0000D2380000}"/>
    <cellStyle name="20% - Accent6 10 2 2 5" xfId="35101" xr:uid="{00000000-0005-0000-0000-0000D3380000}"/>
    <cellStyle name="20% - Accent6 10 2 3" xfId="9536" xr:uid="{00000000-0005-0000-0000-0000D4380000}"/>
    <cellStyle name="20% - Accent6 10 2 4" xfId="16637" xr:uid="{00000000-0005-0000-0000-0000D5380000}"/>
    <cellStyle name="20% - Accent6 10 2 5" xfId="23739" xr:uid="{00000000-0005-0000-0000-0000D6380000}"/>
    <cellStyle name="20% - Accent6 10 2 6" xfId="30841" xr:uid="{00000000-0005-0000-0000-0000D7380000}"/>
    <cellStyle name="20% - Accent6 10 2 7" xfId="37857" xr:uid="{00000000-0005-0000-0000-0000D8380000}"/>
    <cellStyle name="20% - Accent6 10 3" xfId="5275" xr:uid="{00000000-0005-0000-0000-0000D9380000}"/>
    <cellStyle name="20% - Accent6 10 3 2" xfId="12376" xr:uid="{00000000-0005-0000-0000-0000DA380000}"/>
    <cellStyle name="20% - Accent6 10 3 3" xfId="19477" xr:uid="{00000000-0005-0000-0000-0000DB380000}"/>
    <cellStyle name="20% - Accent6 10 3 4" xfId="26579" xr:uid="{00000000-0005-0000-0000-0000DC380000}"/>
    <cellStyle name="20% - Accent6 10 3 5" xfId="33681" xr:uid="{00000000-0005-0000-0000-0000DD380000}"/>
    <cellStyle name="20% - Accent6 10 4" xfId="3850" xr:uid="{00000000-0005-0000-0000-0000DE380000}"/>
    <cellStyle name="20% - Accent6 10 4 2" xfId="10956" xr:uid="{00000000-0005-0000-0000-0000DF380000}"/>
    <cellStyle name="20% - Accent6 10 4 3" xfId="18057" xr:uid="{00000000-0005-0000-0000-0000E0380000}"/>
    <cellStyle name="20% - Accent6 10 4 4" xfId="25159" xr:uid="{00000000-0005-0000-0000-0000E1380000}"/>
    <cellStyle name="20% - Accent6 10 4 5" xfId="32261" xr:uid="{00000000-0005-0000-0000-0000E2380000}"/>
    <cellStyle name="20% - Accent6 10 5" xfId="8116" xr:uid="{00000000-0005-0000-0000-0000E3380000}"/>
    <cellStyle name="20% - Accent6 10 6" xfId="15217" xr:uid="{00000000-0005-0000-0000-0000E4380000}"/>
    <cellStyle name="20% - Accent6 10 7" xfId="22319" xr:uid="{00000000-0005-0000-0000-0000E5380000}"/>
    <cellStyle name="20% - Accent6 10 8" xfId="29421" xr:uid="{00000000-0005-0000-0000-0000E6380000}"/>
    <cellStyle name="20% - Accent6 10 9" xfId="37858" xr:uid="{00000000-0005-0000-0000-0000E7380000}"/>
    <cellStyle name="20% - Accent6 11" xfId="1292" xr:uid="{00000000-0005-0000-0000-0000E8380000}"/>
    <cellStyle name="20% - Accent6 11 2" xfId="2783" xr:uid="{00000000-0005-0000-0000-0000E9380000}"/>
    <cellStyle name="20% - Accent6 11 2 2" xfId="7051" xr:uid="{00000000-0005-0000-0000-0000EA380000}"/>
    <cellStyle name="20% - Accent6 11 2 2 2" xfId="14151" xr:uid="{00000000-0005-0000-0000-0000EB380000}"/>
    <cellStyle name="20% - Accent6 11 2 2 3" xfId="21252" xr:uid="{00000000-0005-0000-0000-0000EC380000}"/>
    <cellStyle name="20% - Accent6 11 2 2 4" xfId="28354" xr:uid="{00000000-0005-0000-0000-0000ED380000}"/>
    <cellStyle name="20% - Accent6 11 2 2 5" xfId="35456" xr:uid="{00000000-0005-0000-0000-0000EE380000}"/>
    <cellStyle name="20% - Accent6 11 2 3" xfId="9891" xr:uid="{00000000-0005-0000-0000-0000EF380000}"/>
    <cellStyle name="20% - Accent6 11 2 4" xfId="16992" xr:uid="{00000000-0005-0000-0000-0000F0380000}"/>
    <cellStyle name="20% - Accent6 11 2 5" xfId="24094" xr:uid="{00000000-0005-0000-0000-0000F1380000}"/>
    <cellStyle name="20% - Accent6 11 2 6" xfId="31196" xr:uid="{00000000-0005-0000-0000-0000F2380000}"/>
    <cellStyle name="20% - Accent6 11 2 7" xfId="37859" xr:uid="{00000000-0005-0000-0000-0000F3380000}"/>
    <cellStyle name="20% - Accent6 11 3" xfId="5630" xr:uid="{00000000-0005-0000-0000-0000F4380000}"/>
    <cellStyle name="20% - Accent6 11 3 2" xfId="12731" xr:uid="{00000000-0005-0000-0000-0000F5380000}"/>
    <cellStyle name="20% - Accent6 11 3 3" xfId="19832" xr:uid="{00000000-0005-0000-0000-0000F6380000}"/>
    <cellStyle name="20% - Accent6 11 3 4" xfId="26934" xr:uid="{00000000-0005-0000-0000-0000F7380000}"/>
    <cellStyle name="20% - Accent6 11 3 5" xfId="34036" xr:uid="{00000000-0005-0000-0000-0000F8380000}"/>
    <cellStyle name="20% - Accent6 11 4" xfId="4205" xr:uid="{00000000-0005-0000-0000-0000F9380000}"/>
    <cellStyle name="20% - Accent6 11 4 2" xfId="11311" xr:uid="{00000000-0005-0000-0000-0000FA380000}"/>
    <cellStyle name="20% - Accent6 11 4 3" xfId="18412" xr:uid="{00000000-0005-0000-0000-0000FB380000}"/>
    <cellStyle name="20% - Accent6 11 4 4" xfId="25514" xr:uid="{00000000-0005-0000-0000-0000FC380000}"/>
    <cellStyle name="20% - Accent6 11 4 5" xfId="32616" xr:uid="{00000000-0005-0000-0000-0000FD380000}"/>
    <cellStyle name="20% - Accent6 11 5" xfId="8471" xr:uid="{00000000-0005-0000-0000-0000FE380000}"/>
    <cellStyle name="20% - Accent6 11 6" xfId="15572" xr:uid="{00000000-0005-0000-0000-0000FF380000}"/>
    <cellStyle name="20% - Accent6 11 7" xfId="22674" xr:uid="{00000000-0005-0000-0000-000000390000}"/>
    <cellStyle name="20% - Accent6 11 8" xfId="29776" xr:uid="{00000000-0005-0000-0000-000001390000}"/>
    <cellStyle name="20% - Accent6 11 9" xfId="37860" xr:uid="{00000000-0005-0000-0000-000002390000}"/>
    <cellStyle name="20% - Accent6 12" xfId="1560" xr:uid="{00000000-0005-0000-0000-000003390000}"/>
    <cellStyle name="20% - Accent6 12 2" xfId="5843" xr:uid="{00000000-0005-0000-0000-000004390000}"/>
    <cellStyle name="20% - Accent6 12 2 2" xfId="12944" xr:uid="{00000000-0005-0000-0000-000005390000}"/>
    <cellStyle name="20% - Accent6 12 2 3" xfId="20045" xr:uid="{00000000-0005-0000-0000-000006390000}"/>
    <cellStyle name="20% - Accent6 12 2 4" xfId="27147" xr:uid="{00000000-0005-0000-0000-000007390000}"/>
    <cellStyle name="20% - Accent6 12 2 5" xfId="34249" xr:uid="{00000000-0005-0000-0000-000008390000}"/>
    <cellStyle name="20% - Accent6 12 3" xfId="8684" xr:uid="{00000000-0005-0000-0000-000009390000}"/>
    <cellStyle name="20% - Accent6 12 4" xfId="15785" xr:uid="{00000000-0005-0000-0000-00000A390000}"/>
    <cellStyle name="20% - Accent6 12 5" xfId="22887" xr:uid="{00000000-0005-0000-0000-00000B390000}"/>
    <cellStyle name="20% - Accent6 12 6" xfId="29989" xr:uid="{00000000-0005-0000-0000-00000C390000}"/>
    <cellStyle name="20% - Accent6 12 7" xfId="37861" xr:uid="{00000000-0005-0000-0000-00000D390000}"/>
    <cellStyle name="20% - Accent6 13" xfId="4423" xr:uid="{00000000-0005-0000-0000-00000E390000}"/>
    <cellStyle name="20% - Accent6 13 2" xfId="11524" xr:uid="{00000000-0005-0000-0000-00000F390000}"/>
    <cellStyle name="20% - Accent6 13 3" xfId="18625" xr:uid="{00000000-0005-0000-0000-000010390000}"/>
    <cellStyle name="20% - Accent6 13 4" xfId="25727" xr:uid="{00000000-0005-0000-0000-000011390000}"/>
    <cellStyle name="20% - Accent6 13 5" xfId="32829" xr:uid="{00000000-0005-0000-0000-000012390000}"/>
    <cellStyle name="20% - Accent6 14" xfId="2998" xr:uid="{00000000-0005-0000-0000-000013390000}"/>
    <cellStyle name="20% - Accent6 14 2" xfId="10104" xr:uid="{00000000-0005-0000-0000-000014390000}"/>
    <cellStyle name="20% - Accent6 14 3" xfId="17205" xr:uid="{00000000-0005-0000-0000-000015390000}"/>
    <cellStyle name="20% - Accent6 14 4" xfId="24307" xr:uid="{00000000-0005-0000-0000-000016390000}"/>
    <cellStyle name="20% - Accent6 14 5" xfId="31409" xr:uid="{00000000-0005-0000-0000-000017390000}"/>
    <cellStyle name="20% - Accent6 15" xfId="7264" xr:uid="{00000000-0005-0000-0000-000018390000}"/>
    <cellStyle name="20% - Accent6 16" xfId="14365" xr:uid="{00000000-0005-0000-0000-000019390000}"/>
    <cellStyle name="20% - Accent6 17" xfId="21467" xr:uid="{00000000-0005-0000-0000-00001A390000}"/>
    <cellStyle name="20% - Accent6 18" xfId="28569" xr:uid="{00000000-0005-0000-0000-00001B390000}"/>
    <cellStyle name="20% - Accent6 19" xfId="35671" xr:uid="{00000000-0005-0000-0000-00001C390000}"/>
    <cellStyle name="20% - Accent6 2" xfId="83" xr:uid="{00000000-0005-0000-0000-00001D390000}"/>
    <cellStyle name="20% - Accent6 2 10" xfId="1584" xr:uid="{00000000-0005-0000-0000-00001E390000}"/>
    <cellStyle name="20% - Accent6 2 10 2" xfId="5858" xr:uid="{00000000-0005-0000-0000-00001F390000}"/>
    <cellStyle name="20% - Accent6 2 10 2 2" xfId="12958" xr:uid="{00000000-0005-0000-0000-000020390000}"/>
    <cellStyle name="20% - Accent6 2 10 2 3" xfId="20059" xr:uid="{00000000-0005-0000-0000-000021390000}"/>
    <cellStyle name="20% - Accent6 2 10 2 4" xfId="27161" xr:uid="{00000000-0005-0000-0000-000022390000}"/>
    <cellStyle name="20% - Accent6 2 10 2 5" xfId="34263" xr:uid="{00000000-0005-0000-0000-000023390000}"/>
    <cellStyle name="20% - Accent6 2 10 2 6" xfId="37862" xr:uid="{00000000-0005-0000-0000-000024390000}"/>
    <cellStyle name="20% - Accent6 2 10 3" xfId="8698" xr:uid="{00000000-0005-0000-0000-000025390000}"/>
    <cellStyle name="20% - Accent6 2 10 4" xfId="15799" xr:uid="{00000000-0005-0000-0000-000026390000}"/>
    <cellStyle name="20% - Accent6 2 10 5" xfId="22901" xr:uid="{00000000-0005-0000-0000-000027390000}"/>
    <cellStyle name="20% - Accent6 2 10 6" xfId="30003" xr:uid="{00000000-0005-0000-0000-000028390000}"/>
    <cellStyle name="20% - Accent6 2 10 7" xfId="37863" xr:uid="{00000000-0005-0000-0000-000029390000}"/>
    <cellStyle name="20% - Accent6 2 11" xfId="4437" xr:uid="{00000000-0005-0000-0000-00002A390000}"/>
    <cellStyle name="20% - Accent6 2 11 2" xfId="11538" xr:uid="{00000000-0005-0000-0000-00002B390000}"/>
    <cellStyle name="20% - Accent6 2 11 3" xfId="18639" xr:uid="{00000000-0005-0000-0000-00002C390000}"/>
    <cellStyle name="20% - Accent6 2 11 4" xfId="25741" xr:uid="{00000000-0005-0000-0000-00002D390000}"/>
    <cellStyle name="20% - Accent6 2 11 5" xfId="32843" xr:uid="{00000000-0005-0000-0000-00002E390000}"/>
    <cellStyle name="20% - Accent6 2 11 6" xfId="37864" xr:uid="{00000000-0005-0000-0000-00002F390000}"/>
    <cellStyle name="20% - Accent6 2 12" xfId="3012" xr:uid="{00000000-0005-0000-0000-000030390000}"/>
    <cellStyle name="20% - Accent6 2 12 2" xfId="10118" xr:uid="{00000000-0005-0000-0000-000031390000}"/>
    <cellStyle name="20% - Accent6 2 12 3" xfId="17219" xr:uid="{00000000-0005-0000-0000-000032390000}"/>
    <cellStyle name="20% - Accent6 2 12 4" xfId="24321" xr:uid="{00000000-0005-0000-0000-000033390000}"/>
    <cellStyle name="20% - Accent6 2 12 5" xfId="31423" xr:uid="{00000000-0005-0000-0000-000034390000}"/>
    <cellStyle name="20% - Accent6 2 13" xfId="7278" xr:uid="{00000000-0005-0000-0000-000035390000}"/>
    <cellStyle name="20% - Accent6 2 14" xfId="14379" xr:uid="{00000000-0005-0000-0000-000036390000}"/>
    <cellStyle name="20% - Accent6 2 15" xfId="21481" xr:uid="{00000000-0005-0000-0000-000037390000}"/>
    <cellStyle name="20% - Accent6 2 16" xfId="28583" xr:uid="{00000000-0005-0000-0000-000038390000}"/>
    <cellStyle name="20% - Accent6 2 17" xfId="35685" xr:uid="{00000000-0005-0000-0000-000039390000}"/>
    <cellStyle name="20% - Accent6 2 18" xfId="37865" xr:uid="{00000000-0005-0000-0000-00003A390000}"/>
    <cellStyle name="20% - Accent6 2 19" xfId="37866" xr:uid="{00000000-0005-0000-0000-00003B390000}"/>
    <cellStyle name="20% - Accent6 2 2" xfId="128" xr:uid="{00000000-0005-0000-0000-00003C390000}"/>
    <cellStyle name="20% - Accent6 2 2 10" xfId="4468" xr:uid="{00000000-0005-0000-0000-00003D390000}"/>
    <cellStyle name="20% - Accent6 2 2 10 2" xfId="11569" xr:uid="{00000000-0005-0000-0000-00003E390000}"/>
    <cellStyle name="20% - Accent6 2 2 10 3" xfId="18670" xr:uid="{00000000-0005-0000-0000-00003F390000}"/>
    <cellStyle name="20% - Accent6 2 2 10 4" xfId="25772" xr:uid="{00000000-0005-0000-0000-000040390000}"/>
    <cellStyle name="20% - Accent6 2 2 10 5" xfId="32874" xr:uid="{00000000-0005-0000-0000-000041390000}"/>
    <cellStyle name="20% - Accent6 2 2 11" xfId="3043" xr:uid="{00000000-0005-0000-0000-000042390000}"/>
    <cellStyle name="20% - Accent6 2 2 11 2" xfId="10149" xr:uid="{00000000-0005-0000-0000-000043390000}"/>
    <cellStyle name="20% - Accent6 2 2 11 3" xfId="17250" xr:uid="{00000000-0005-0000-0000-000044390000}"/>
    <cellStyle name="20% - Accent6 2 2 11 4" xfId="24352" xr:uid="{00000000-0005-0000-0000-000045390000}"/>
    <cellStyle name="20% - Accent6 2 2 11 5" xfId="31454" xr:uid="{00000000-0005-0000-0000-000046390000}"/>
    <cellStyle name="20% - Accent6 2 2 12" xfId="7309" xr:uid="{00000000-0005-0000-0000-000047390000}"/>
    <cellStyle name="20% - Accent6 2 2 13" xfId="14410" xr:uid="{00000000-0005-0000-0000-000048390000}"/>
    <cellStyle name="20% - Accent6 2 2 14" xfId="21512" xr:uid="{00000000-0005-0000-0000-000049390000}"/>
    <cellStyle name="20% - Accent6 2 2 15" xfId="28614" xr:uid="{00000000-0005-0000-0000-00004A390000}"/>
    <cellStyle name="20% - Accent6 2 2 16" xfId="35716" xr:uid="{00000000-0005-0000-0000-00004B390000}"/>
    <cellStyle name="20% - Accent6 2 2 17" xfId="37867" xr:uid="{00000000-0005-0000-0000-00004C390000}"/>
    <cellStyle name="20% - Accent6 2 2 18" xfId="37868" xr:uid="{00000000-0005-0000-0000-00004D390000}"/>
    <cellStyle name="20% - Accent6 2 2 2" xfId="272" xr:uid="{00000000-0005-0000-0000-00004E390000}"/>
    <cellStyle name="20% - Accent6 2 2 2 10" xfId="7451" xr:uid="{00000000-0005-0000-0000-00004F390000}"/>
    <cellStyle name="20% - Accent6 2 2 2 11" xfId="14552" xr:uid="{00000000-0005-0000-0000-000050390000}"/>
    <cellStyle name="20% - Accent6 2 2 2 12" xfId="21654" xr:uid="{00000000-0005-0000-0000-000051390000}"/>
    <cellStyle name="20% - Accent6 2 2 2 13" xfId="28756" xr:uid="{00000000-0005-0000-0000-000052390000}"/>
    <cellStyle name="20% - Accent6 2 2 2 14" xfId="35858" xr:uid="{00000000-0005-0000-0000-000053390000}"/>
    <cellStyle name="20% - Accent6 2 2 2 15" xfId="37869" xr:uid="{00000000-0005-0000-0000-000054390000}"/>
    <cellStyle name="20% - Accent6 2 2 2 2" xfId="485" xr:uid="{00000000-0005-0000-0000-000055390000}"/>
    <cellStyle name="20% - Accent6 2 2 2 2 10" xfId="37870" xr:uid="{00000000-0005-0000-0000-000056390000}"/>
    <cellStyle name="20% - Accent6 2 2 2 2 2" xfId="1266" xr:uid="{00000000-0005-0000-0000-000057390000}"/>
    <cellStyle name="20% - Accent6 2 2 2 2 2 2" xfId="2757" xr:uid="{00000000-0005-0000-0000-000058390000}"/>
    <cellStyle name="20% - Accent6 2 2 2 2 2 2 2" xfId="7025" xr:uid="{00000000-0005-0000-0000-000059390000}"/>
    <cellStyle name="20% - Accent6 2 2 2 2 2 2 2 2" xfId="14125" xr:uid="{00000000-0005-0000-0000-00005A390000}"/>
    <cellStyle name="20% - Accent6 2 2 2 2 2 2 2 3" xfId="21226" xr:uid="{00000000-0005-0000-0000-00005B390000}"/>
    <cellStyle name="20% - Accent6 2 2 2 2 2 2 2 4" xfId="28328" xr:uid="{00000000-0005-0000-0000-00005C390000}"/>
    <cellStyle name="20% - Accent6 2 2 2 2 2 2 2 5" xfId="35430" xr:uid="{00000000-0005-0000-0000-00005D390000}"/>
    <cellStyle name="20% - Accent6 2 2 2 2 2 2 3" xfId="9865" xr:uid="{00000000-0005-0000-0000-00005E390000}"/>
    <cellStyle name="20% - Accent6 2 2 2 2 2 2 4" xfId="16966" xr:uid="{00000000-0005-0000-0000-00005F390000}"/>
    <cellStyle name="20% - Accent6 2 2 2 2 2 2 5" xfId="24068" xr:uid="{00000000-0005-0000-0000-000060390000}"/>
    <cellStyle name="20% - Accent6 2 2 2 2 2 2 6" xfId="31170" xr:uid="{00000000-0005-0000-0000-000061390000}"/>
    <cellStyle name="20% - Accent6 2 2 2 2 2 2 7" xfId="37871" xr:uid="{00000000-0005-0000-0000-000062390000}"/>
    <cellStyle name="20% - Accent6 2 2 2 2 2 3" xfId="5604" xr:uid="{00000000-0005-0000-0000-000063390000}"/>
    <cellStyle name="20% - Accent6 2 2 2 2 2 3 2" xfId="12705" xr:uid="{00000000-0005-0000-0000-000064390000}"/>
    <cellStyle name="20% - Accent6 2 2 2 2 2 3 3" xfId="19806" xr:uid="{00000000-0005-0000-0000-000065390000}"/>
    <cellStyle name="20% - Accent6 2 2 2 2 2 3 4" xfId="26908" xr:uid="{00000000-0005-0000-0000-000066390000}"/>
    <cellStyle name="20% - Accent6 2 2 2 2 2 3 5" xfId="34010" xr:uid="{00000000-0005-0000-0000-000067390000}"/>
    <cellStyle name="20% - Accent6 2 2 2 2 2 4" xfId="4179" xr:uid="{00000000-0005-0000-0000-000068390000}"/>
    <cellStyle name="20% - Accent6 2 2 2 2 2 4 2" xfId="11285" xr:uid="{00000000-0005-0000-0000-000069390000}"/>
    <cellStyle name="20% - Accent6 2 2 2 2 2 4 3" xfId="18386" xr:uid="{00000000-0005-0000-0000-00006A390000}"/>
    <cellStyle name="20% - Accent6 2 2 2 2 2 4 4" xfId="25488" xr:uid="{00000000-0005-0000-0000-00006B390000}"/>
    <cellStyle name="20% - Accent6 2 2 2 2 2 4 5" xfId="32590" xr:uid="{00000000-0005-0000-0000-00006C390000}"/>
    <cellStyle name="20% - Accent6 2 2 2 2 2 5" xfId="8445" xr:uid="{00000000-0005-0000-0000-00006D390000}"/>
    <cellStyle name="20% - Accent6 2 2 2 2 2 6" xfId="15546" xr:uid="{00000000-0005-0000-0000-00006E390000}"/>
    <cellStyle name="20% - Accent6 2 2 2 2 2 7" xfId="22648" xr:uid="{00000000-0005-0000-0000-00006F390000}"/>
    <cellStyle name="20% - Accent6 2 2 2 2 2 8" xfId="29750" xr:uid="{00000000-0005-0000-0000-000070390000}"/>
    <cellStyle name="20% - Accent6 2 2 2 2 2 9" xfId="37872" xr:uid="{00000000-0005-0000-0000-000071390000}"/>
    <cellStyle name="20% - Accent6 2 2 2 2 3" xfId="1976" xr:uid="{00000000-0005-0000-0000-000072390000}"/>
    <cellStyle name="20% - Accent6 2 2 2 2 3 2" xfId="6244" xr:uid="{00000000-0005-0000-0000-000073390000}"/>
    <cellStyle name="20% - Accent6 2 2 2 2 3 2 2" xfId="13344" xr:uid="{00000000-0005-0000-0000-000074390000}"/>
    <cellStyle name="20% - Accent6 2 2 2 2 3 2 3" xfId="20445" xr:uid="{00000000-0005-0000-0000-000075390000}"/>
    <cellStyle name="20% - Accent6 2 2 2 2 3 2 4" xfId="27547" xr:uid="{00000000-0005-0000-0000-000076390000}"/>
    <cellStyle name="20% - Accent6 2 2 2 2 3 2 5" xfId="34649" xr:uid="{00000000-0005-0000-0000-000077390000}"/>
    <cellStyle name="20% - Accent6 2 2 2 2 3 2 6" xfId="37873" xr:uid="{00000000-0005-0000-0000-000078390000}"/>
    <cellStyle name="20% - Accent6 2 2 2 2 3 3" xfId="9084" xr:uid="{00000000-0005-0000-0000-000079390000}"/>
    <cellStyle name="20% - Accent6 2 2 2 2 3 4" xfId="16185" xr:uid="{00000000-0005-0000-0000-00007A390000}"/>
    <cellStyle name="20% - Accent6 2 2 2 2 3 5" xfId="23287" xr:uid="{00000000-0005-0000-0000-00007B390000}"/>
    <cellStyle name="20% - Accent6 2 2 2 2 3 6" xfId="30389" xr:uid="{00000000-0005-0000-0000-00007C390000}"/>
    <cellStyle name="20% - Accent6 2 2 2 2 3 7" xfId="37874" xr:uid="{00000000-0005-0000-0000-00007D390000}"/>
    <cellStyle name="20% - Accent6 2 2 2 2 4" xfId="4823" xr:uid="{00000000-0005-0000-0000-00007E390000}"/>
    <cellStyle name="20% - Accent6 2 2 2 2 4 2" xfId="11924" xr:uid="{00000000-0005-0000-0000-00007F390000}"/>
    <cellStyle name="20% - Accent6 2 2 2 2 4 3" xfId="19025" xr:uid="{00000000-0005-0000-0000-000080390000}"/>
    <cellStyle name="20% - Accent6 2 2 2 2 4 4" xfId="26127" xr:uid="{00000000-0005-0000-0000-000081390000}"/>
    <cellStyle name="20% - Accent6 2 2 2 2 4 5" xfId="33229" xr:uid="{00000000-0005-0000-0000-000082390000}"/>
    <cellStyle name="20% - Accent6 2 2 2 2 4 6" xfId="37875" xr:uid="{00000000-0005-0000-0000-000083390000}"/>
    <cellStyle name="20% - Accent6 2 2 2 2 5" xfId="3398" xr:uid="{00000000-0005-0000-0000-000084390000}"/>
    <cellStyle name="20% - Accent6 2 2 2 2 5 2" xfId="10504" xr:uid="{00000000-0005-0000-0000-000085390000}"/>
    <cellStyle name="20% - Accent6 2 2 2 2 5 3" xfId="17605" xr:uid="{00000000-0005-0000-0000-000086390000}"/>
    <cellStyle name="20% - Accent6 2 2 2 2 5 4" xfId="24707" xr:uid="{00000000-0005-0000-0000-000087390000}"/>
    <cellStyle name="20% - Accent6 2 2 2 2 5 5" xfId="31809" xr:uid="{00000000-0005-0000-0000-000088390000}"/>
    <cellStyle name="20% - Accent6 2 2 2 2 6" xfId="7664" xr:uid="{00000000-0005-0000-0000-000089390000}"/>
    <cellStyle name="20% - Accent6 2 2 2 2 7" xfId="14765" xr:uid="{00000000-0005-0000-0000-00008A390000}"/>
    <cellStyle name="20% - Accent6 2 2 2 2 8" xfId="21867" xr:uid="{00000000-0005-0000-0000-00008B390000}"/>
    <cellStyle name="20% - Accent6 2 2 2 2 9" xfId="28969" xr:uid="{00000000-0005-0000-0000-00008C390000}"/>
    <cellStyle name="20% - Accent6 2 2 2 3" xfId="698" xr:uid="{00000000-0005-0000-0000-00008D390000}"/>
    <cellStyle name="20% - Accent6 2 2 2 3 2" xfId="2189" xr:uid="{00000000-0005-0000-0000-00008E390000}"/>
    <cellStyle name="20% - Accent6 2 2 2 3 2 2" xfId="6457" xr:uid="{00000000-0005-0000-0000-00008F390000}"/>
    <cellStyle name="20% - Accent6 2 2 2 3 2 2 2" xfId="13557" xr:uid="{00000000-0005-0000-0000-000090390000}"/>
    <cellStyle name="20% - Accent6 2 2 2 3 2 2 3" xfId="20658" xr:uid="{00000000-0005-0000-0000-000091390000}"/>
    <cellStyle name="20% - Accent6 2 2 2 3 2 2 4" xfId="27760" xr:uid="{00000000-0005-0000-0000-000092390000}"/>
    <cellStyle name="20% - Accent6 2 2 2 3 2 2 5" xfId="34862" xr:uid="{00000000-0005-0000-0000-000093390000}"/>
    <cellStyle name="20% - Accent6 2 2 2 3 2 2 6" xfId="37876" xr:uid="{00000000-0005-0000-0000-000094390000}"/>
    <cellStyle name="20% - Accent6 2 2 2 3 2 3" xfId="9297" xr:uid="{00000000-0005-0000-0000-000095390000}"/>
    <cellStyle name="20% - Accent6 2 2 2 3 2 4" xfId="16398" xr:uid="{00000000-0005-0000-0000-000096390000}"/>
    <cellStyle name="20% - Accent6 2 2 2 3 2 5" xfId="23500" xr:uid="{00000000-0005-0000-0000-000097390000}"/>
    <cellStyle name="20% - Accent6 2 2 2 3 2 6" xfId="30602" xr:uid="{00000000-0005-0000-0000-000098390000}"/>
    <cellStyle name="20% - Accent6 2 2 2 3 2 7" xfId="37877" xr:uid="{00000000-0005-0000-0000-000099390000}"/>
    <cellStyle name="20% - Accent6 2 2 2 3 3" xfId="5036" xr:uid="{00000000-0005-0000-0000-00009A390000}"/>
    <cellStyle name="20% - Accent6 2 2 2 3 3 2" xfId="12137" xr:uid="{00000000-0005-0000-0000-00009B390000}"/>
    <cellStyle name="20% - Accent6 2 2 2 3 3 2 2" xfId="37878" xr:uid="{00000000-0005-0000-0000-00009C390000}"/>
    <cellStyle name="20% - Accent6 2 2 2 3 3 3" xfId="19238" xr:uid="{00000000-0005-0000-0000-00009D390000}"/>
    <cellStyle name="20% - Accent6 2 2 2 3 3 4" xfId="26340" xr:uid="{00000000-0005-0000-0000-00009E390000}"/>
    <cellStyle name="20% - Accent6 2 2 2 3 3 5" xfId="33442" xr:uid="{00000000-0005-0000-0000-00009F390000}"/>
    <cellStyle name="20% - Accent6 2 2 2 3 3 6" xfId="37879" xr:uid="{00000000-0005-0000-0000-0000A0390000}"/>
    <cellStyle name="20% - Accent6 2 2 2 3 4" xfId="3611" xr:uid="{00000000-0005-0000-0000-0000A1390000}"/>
    <cellStyle name="20% - Accent6 2 2 2 3 4 2" xfId="10717" xr:uid="{00000000-0005-0000-0000-0000A2390000}"/>
    <cellStyle name="20% - Accent6 2 2 2 3 4 3" xfId="17818" xr:uid="{00000000-0005-0000-0000-0000A3390000}"/>
    <cellStyle name="20% - Accent6 2 2 2 3 4 4" xfId="24920" xr:uid="{00000000-0005-0000-0000-0000A4390000}"/>
    <cellStyle name="20% - Accent6 2 2 2 3 4 5" xfId="32022" xr:uid="{00000000-0005-0000-0000-0000A5390000}"/>
    <cellStyle name="20% - Accent6 2 2 2 3 4 6" xfId="37880" xr:uid="{00000000-0005-0000-0000-0000A6390000}"/>
    <cellStyle name="20% - Accent6 2 2 2 3 5" xfId="7877" xr:uid="{00000000-0005-0000-0000-0000A7390000}"/>
    <cellStyle name="20% - Accent6 2 2 2 3 6" xfId="14978" xr:uid="{00000000-0005-0000-0000-0000A8390000}"/>
    <cellStyle name="20% - Accent6 2 2 2 3 7" xfId="22080" xr:uid="{00000000-0005-0000-0000-0000A9390000}"/>
    <cellStyle name="20% - Accent6 2 2 2 3 8" xfId="29182" xr:uid="{00000000-0005-0000-0000-0000AA390000}"/>
    <cellStyle name="20% - Accent6 2 2 2 3 9" xfId="37881" xr:uid="{00000000-0005-0000-0000-0000AB390000}"/>
    <cellStyle name="20% - Accent6 2 2 2 4" xfId="911" xr:uid="{00000000-0005-0000-0000-0000AC390000}"/>
    <cellStyle name="20% - Accent6 2 2 2 4 2" xfId="2402" xr:uid="{00000000-0005-0000-0000-0000AD390000}"/>
    <cellStyle name="20% - Accent6 2 2 2 4 2 2" xfId="6670" xr:uid="{00000000-0005-0000-0000-0000AE390000}"/>
    <cellStyle name="20% - Accent6 2 2 2 4 2 2 2" xfId="13770" xr:uid="{00000000-0005-0000-0000-0000AF390000}"/>
    <cellStyle name="20% - Accent6 2 2 2 4 2 2 3" xfId="20871" xr:uid="{00000000-0005-0000-0000-0000B0390000}"/>
    <cellStyle name="20% - Accent6 2 2 2 4 2 2 4" xfId="27973" xr:uid="{00000000-0005-0000-0000-0000B1390000}"/>
    <cellStyle name="20% - Accent6 2 2 2 4 2 2 5" xfId="35075" xr:uid="{00000000-0005-0000-0000-0000B2390000}"/>
    <cellStyle name="20% - Accent6 2 2 2 4 2 2 6" xfId="37882" xr:uid="{00000000-0005-0000-0000-0000B3390000}"/>
    <cellStyle name="20% - Accent6 2 2 2 4 2 3" xfId="9510" xr:uid="{00000000-0005-0000-0000-0000B4390000}"/>
    <cellStyle name="20% - Accent6 2 2 2 4 2 4" xfId="16611" xr:uid="{00000000-0005-0000-0000-0000B5390000}"/>
    <cellStyle name="20% - Accent6 2 2 2 4 2 5" xfId="23713" xr:uid="{00000000-0005-0000-0000-0000B6390000}"/>
    <cellStyle name="20% - Accent6 2 2 2 4 2 6" xfId="30815" xr:uid="{00000000-0005-0000-0000-0000B7390000}"/>
    <cellStyle name="20% - Accent6 2 2 2 4 2 7" xfId="37883" xr:uid="{00000000-0005-0000-0000-0000B8390000}"/>
    <cellStyle name="20% - Accent6 2 2 2 4 3" xfId="5249" xr:uid="{00000000-0005-0000-0000-0000B9390000}"/>
    <cellStyle name="20% - Accent6 2 2 2 4 3 2" xfId="12350" xr:uid="{00000000-0005-0000-0000-0000BA390000}"/>
    <cellStyle name="20% - Accent6 2 2 2 4 3 2 2" xfId="37884" xr:uid="{00000000-0005-0000-0000-0000BB390000}"/>
    <cellStyle name="20% - Accent6 2 2 2 4 3 3" xfId="19451" xr:uid="{00000000-0005-0000-0000-0000BC390000}"/>
    <cellStyle name="20% - Accent6 2 2 2 4 3 4" xfId="26553" xr:uid="{00000000-0005-0000-0000-0000BD390000}"/>
    <cellStyle name="20% - Accent6 2 2 2 4 3 5" xfId="33655" xr:uid="{00000000-0005-0000-0000-0000BE390000}"/>
    <cellStyle name="20% - Accent6 2 2 2 4 3 6" xfId="37885" xr:uid="{00000000-0005-0000-0000-0000BF390000}"/>
    <cellStyle name="20% - Accent6 2 2 2 4 4" xfId="3824" xr:uid="{00000000-0005-0000-0000-0000C0390000}"/>
    <cellStyle name="20% - Accent6 2 2 2 4 4 2" xfId="10930" xr:uid="{00000000-0005-0000-0000-0000C1390000}"/>
    <cellStyle name="20% - Accent6 2 2 2 4 4 3" xfId="18031" xr:uid="{00000000-0005-0000-0000-0000C2390000}"/>
    <cellStyle name="20% - Accent6 2 2 2 4 4 4" xfId="25133" xr:uid="{00000000-0005-0000-0000-0000C3390000}"/>
    <cellStyle name="20% - Accent6 2 2 2 4 4 5" xfId="32235" xr:uid="{00000000-0005-0000-0000-0000C4390000}"/>
    <cellStyle name="20% - Accent6 2 2 2 4 4 6" xfId="37886" xr:uid="{00000000-0005-0000-0000-0000C5390000}"/>
    <cellStyle name="20% - Accent6 2 2 2 4 5" xfId="8090" xr:uid="{00000000-0005-0000-0000-0000C6390000}"/>
    <cellStyle name="20% - Accent6 2 2 2 4 6" xfId="15191" xr:uid="{00000000-0005-0000-0000-0000C7390000}"/>
    <cellStyle name="20% - Accent6 2 2 2 4 7" xfId="22293" xr:uid="{00000000-0005-0000-0000-0000C8390000}"/>
    <cellStyle name="20% - Accent6 2 2 2 4 8" xfId="29395" xr:uid="{00000000-0005-0000-0000-0000C9390000}"/>
    <cellStyle name="20% - Accent6 2 2 2 4 9" xfId="37887" xr:uid="{00000000-0005-0000-0000-0000CA390000}"/>
    <cellStyle name="20% - Accent6 2 2 2 5" xfId="1053" xr:uid="{00000000-0005-0000-0000-0000CB390000}"/>
    <cellStyle name="20% - Accent6 2 2 2 5 2" xfId="2544" xr:uid="{00000000-0005-0000-0000-0000CC390000}"/>
    <cellStyle name="20% - Accent6 2 2 2 5 2 2" xfId="6812" xr:uid="{00000000-0005-0000-0000-0000CD390000}"/>
    <cellStyle name="20% - Accent6 2 2 2 5 2 2 2" xfId="13912" xr:uid="{00000000-0005-0000-0000-0000CE390000}"/>
    <cellStyle name="20% - Accent6 2 2 2 5 2 2 3" xfId="21013" xr:uid="{00000000-0005-0000-0000-0000CF390000}"/>
    <cellStyle name="20% - Accent6 2 2 2 5 2 2 4" xfId="28115" xr:uid="{00000000-0005-0000-0000-0000D0390000}"/>
    <cellStyle name="20% - Accent6 2 2 2 5 2 2 5" xfId="35217" xr:uid="{00000000-0005-0000-0000-0000D1390000}"/>
    <cellStyle name="20% - Accent6 2 2 2 5 2 3" xfId="9652" xr:uid="{00000000-0005-0000-0000-0000D2390000}"/>
    <cellStyle name="20% - Accent6 2 2 2 5 2 4" xfId="16753" xr:uid="{00000000-0005-0000-0000-0000D3390000}"/>
    <cellStyle name="20% - Accent6 2 2 2 5 2 5" xfId="23855" xr:uid="{00000000-0005-0000-0000-0000D4390000}"/>
    <cellStyle name="20% - Accent6 2 2 2 5 2 6" xfId="30957" xr:uid="{00000000-0005-0000-0000-0000D5390000}"/>
    <cellStyle name="20% - Accent6 2 2 2 5 2 7" xfId="37888" xr:uid="{00000000-0005-0000-0000-0000D6390000}"/>
    <cellStyle name="20% - Accent6 2 2 2 5 3" xfId="5391" xr:uid="{00000000-0005-0000-0000-0000D7390000}"/>
    <cellStyle name="20% - Accent6 2 2 2 5 3 2" xfId="12492" xr:uid="{00000000-0005-0000-0000-0000D8390000}"/>
    <cellStyle name="20% - Accent6 2 2 2 5 3 3" xfId="19593" xr:uid="{00000000-0005-0000-0000-0000D9390000}"/>
    <cellStyle name="20% - Accent6 2 2 2 5 3 4" xfId="26695" xr:uid="{00000000-0005-0000-0000-0000DA390000}"/>
    <cellStyle name="20% - Accent6 2 2 2 5 3 5" xfId="33797" xr:uid="{00000000-0005-0000-0000-0000DB390000}"/>
    <cellStyle name="20% - Accent6 2 2 2 5 4" xfId="3966" xr:uid="{00000000-0005-0000-0000-0000DC390000}"/>
    <cellStyle name="20% - Accent6 2 2 2 5 4 2" xfId="11072" xr:uid="{00000000-0005-0000-0000-0000DD390000}"/>
    <cellStyle name="20% - Accent6 2 2 2 5 4 3" xfId="18173" xr:uid="{00000000-0005-0000-0000-0000DE390000}"/>
    <cellStyle name="20% - Accent6 2 2 2 5 4 4" xfId="25275" xr:uid="{00000000-0005-0000-0000-0000DF390000}"/>
    <cellStyle name="20% - Accent6 2 2 2 5 4 5" xfId="32377" xr:uid="{00000000-0005-0000-0000-0000E0390000}"/>
    <cellStyle name="20% - Accent6 2 2 2 5 5" xfId="8232" xr:uid="{00000000-0005-0000-0000-0000E1390000}"/>
    <cellStyle name="20% - Accent6 2 2 2 5 6" xfId="15333" xr:uid="{00000000-0005-0000-0000-0000E2390000}"/>
    <cellStyle name="20% - Accent6 2 2 2 5 7" xfId="22435" xr:uid="{00000000-0005-0000-0000-0000E3390000}"/>
    <cellStyle name="20% - Accent6 2 2 2 5 8" xfId="29537" xr:uid="{00000000-0005-0000-0000-0000E4390000}"/>
    <cellStyle name="20% - Accent6 2 2 2 5 9" xfId="37889" xr:uid="{00000000-0005-0000-0000-0000E5390000}"/>
    <cellStyle name="20% - Accent6 2 2 2 6" xfId="1479" xr:uid="{00000000-0005-0000-0000-0000E6390000}"/>
    <cellStyle name="20% - Accent6 2 2 2 6 2" xfId="2970" xr:uid="{00000000-0005-0000-0000-0000E7390000}"/>
    <cellStyle name="20% - Accent6 2 2 2 6 2 2" xfId="7238" xr:uid="{00000000-0005-0000-0000-0000E8390000}"/>
    <cellStyle name="20% - Accent6 2 2 2 6 2 2 2" xfId="14338" xr:uid="{00000000-0005-0000-0000-0000E9390000}"/>
    <cellStyle name="20% - Accent6 2 2 2 6 2 2 3" xfId="21439" xr:uid="{00000000-0005-0000-0000-0000EA390000}"/>
    <cellStyle name="20% - Accent6 2 2 2 6 2 2 4" xfId="28541" xr:uid="{00000000-0005-0000-0000-0000EB390000}"/>
    <cellStyle name="20% - Accent6 2 2 2 6 2 2 5" xfId="35643" xr:uid="{00000000-0005-0000-0000-0000EC390000}"/>
    <cellStyle name="20% - Accent6 2 2 2 6 2 3" xfId="10078" xr:uid="{00000000-0005-0000-0000-0000ED390000}"/>
    <cellStyle name="20% - Accent6 2 2 2 6 2 4" xfId="17179" xr:uid="{00000000-0005-0000-0000-0000EE390000}"/>
    <cellStyle name="20% - Accent6 2 2 2 6 2 5" xfId="24281" xr:uid="{00000000-0005-0000-0000-0000EF390000}"/>
    <cellStyle name="20% - Accent6 2 2 2 6 2 6" xfId="31383" xr:uid="{00000000-0005-0000-0000-0000F0390000}"/>
    <cellStyle name="20% - Accent6 2 2 2 6 2 7" xfId="37890" xr:uid="{00000000-0005-0000-0000-0000F1390000}"/>
    <cellStyle name="20% - Accent6 2 2 2 6 3" xfId="5817" xr:uid="{00000000-0005-0000-0000-0000F2390000}"/>
    <cellStyle name="20% - Accent6 2 2 2 6 3 2" xfId="12918" xr:uid="{00000000-0005-0000-0000-0000F3390000}"/>
    <cellStyle name="20% - Accent6 2 2 2 6 3 3" xfId="20019" xr:uid="{00000000-0005-0000-0000-0000F4390000}"/>
    <cellStyle name="20% - Accent6 2 2 2 6 3 4" xfId="27121" xr:uid="{00000000-0005-0000-0000-0000F5390000}"/>
    <cellStyle name="20% - Accent6 2 2 2 6 3 5" xfId="34223" xr:uid="{00000000-0005-0000-0000-0000F6390000}"/>
    <cellStyle name="20% - Accent6 2 2 2 6 4" xfId="4392" xr:uid="{00000000-0005-0000-0000-0000F7390000}"/>
    <cellStyle name="20% - Accent6 2 2 2 6 4 2" xfId="11498" xr:uid="{00000000-0005-0000-0000-0000F8390000}"/>
    <cellStyle name="20% - Accent6 2 2 2 6 4 3" xfId="18599" xr:uid="{00000000-0005-0000-0000-0000F9390000}"/>
    <cellStyle name="20% - Accent6 2 2 2 6 4 4" xfId="25701" xr:uid="{00000000-0005-0000-0000-0000FA390000}"/>
    <cellStyle name="20% - Accent6 2 2 2 6 4 5" xfId="32803" xr:uid="{00000000-0005-0000-0000-0000FB390000}"/>
    <cellStyle name="20% - Accent6 2 2 2 6 5" xfId="8658" xr:uid="{00000000-0005-0000-0000-0000FC390000}"/>
    <cellStyle name="20% - Accent6 2 2 2 6 6" xfId="15759" xr:uid="{00000000-0005-0000-0000-0000FD390000}"/>
    <cellStyle name="20% - Accent6 2 2 2 6 7" xfId="22861" xr:uid="{00000000-0005-0000-0000-0000FE390000}"/>
    <cellStyle name="20% - Accent6 2 2 2 6 8" xfId="29963" xr:uid="{00000000-0005-0000-0000-0000FF390000}"/>
    <cellStyle name="20% - Accent6 2 2 2 6 9" xfId="37891" xr:uid="{00000000-0005-0000-0000-0000003A0000}"/>
    <cellStyle name="20% - Accent6 2 2 2 7" xfId="1763" xr:uid="{00000000-0005-0000-0000-0000013A0000}"/>
    <cellStyle name="20% - Accent6 2 2 2 7 2" xfId="6031" xr:uid="{00000000-0005-0000-0000-0000023A0000}"/>
    <cellStyle name="20% - Accent6 2 2 2 7 2 2" xfId="13131" xr:uid="{00000000-0005-0000-0000-0000033A0000}"/>
    <cellStyle name="20% - Accent6 2 2 2 7 2 3" xfId="20232" xr:uid="{00000000-0005-0000-0000-0000043A0000}"/>
    <cellStyle name="20% - Accent6 2 2 2 7 2 4" xfId="27334" xr:uid="{00000000-0005-0000-0000-0000053A0000}"/>
    <cellStyle name="20% - Accent6 2 2 2 7 2 5" xfId="34436" xr:uid="{00000000-0005-0000-0000-0000063A0000}"/>
    <cellStyle name="20% - Accent6 2 2 2 7 3" xfId="8871" xr:uid="{00000000-0005-0000-0000-0000073A0000}"/>
    <cellStyle name="20% - Accent6 2 2 2 7 4" xfId="15972" xr:uid="{00000000-0005-0000-0000-0000083A0000}"/>
    <cellStyle name="20% - Accent6 2 2 2 7 5" xfId="23074" xr:uid="{00000000-0005-0000-0000-0000093A0000}"/>
    <cellStyle name="20% - Accent6 2 2 2 7 6" xfId="30176" xr:uid="{00000000-0005-0000-0000-00000A3A0000}"/>
    <cellStyle name="20% - Accent6 2 2 2 7 7" xfId="37892" xr:uid="{00000000-0005-0000-0000-00000B3A0000}"/>
    <cellStyle name="20% - Accent6 2 2 2 8" xfId="4610" xr:uid="{00000000-0005-0000-0000-00000C3A0000}"/>
    <cellStyle name="20% - Accent6 2 2 2 8 2" xfId="11711" xr:uid="{00000000-0005-0000-0000-00000D3A0000}"/>
    <cellStyle name="20% - Accent6 2 2 2 8 3" xfId="18812" xr:uid="{00000000-0005-0000-0000-00000E3A0000}"/>
    <cellStyle name="20% - Accent6 2 2 2 8 4" xfId="25914" xr:uid="{00000000-0005-0000-0000-00000F3A0000}"/>
    <cellStyle name="20% - Accent6 2 2 2 8 5" xfId="33016" xr:uid="{00000000-0005-0000-0000-0000103A0000}"/>
    <cellStyle name="20% - Accent6 2 2 2 9" xfId="3185" xr:uid="{00000000-0005-0000-0000-0000113A0000}"/>
    <cellStyle name="20% - Accent6 2 2 2 9 2" xfId="10291" xr:uid="{00000000-0005-0000-0000-0000123A0000}"/>
    <cellStyle name="20% - Accent6 2 2 2 9 3" xfId="17392" xr:uid="{00000000-0005-0000-0000-0000133A0000}"/>
    <cellStyle name="20% - Accent6 2 2 2 9 4" xfId="24494" xr:uid="{00000000-0005-0000-0000-0000143A0000}"/>
    <cellStyle name="20% - Accent6 2 2 2 9 5" xfId="31596" xr:uid="{00000000-0005-0000-0000-0000153A0000}"/>
    <cellStyle name="20% - Accent6 2 2 3" xfId="201" xr:uid="{00000000-0005-0000-0000-0000163A0000}"/>
    <cellStyle name="20% - Accent6 2 2 3 10" xfId="7380" xr:uid="{00000000-0005-0000-0000-0000173A0000}"/>
    <cellStyle name="20% - Accent6 2 2 3 11" xfId="14481" xr:uid="{00000000-0005-0000-0000-0000183A0000}"/>
    <cellStyle name="20% - Accent6 2 2 3 12" xfId="21583" xr:uid="{00000000-0005-0000-0000-0000193A0000}"/>
    <cellStyle name="20% - Accent6 2 2 3 13" xfId="28685" xr:uid="{00000000-0005-0000-0000-00001A3A0000}"/>
    <cellStyle name="20% - Accent6 2 2 3 14" xfId="35787" xr:uid="{00000000-0005-0000-0000-00001B3A0000}"/>
    <cellStyle name="20% - Accent6 2 2 3 15" xfId="37893" xr:uid="{00000000-0005-0000-0000-00001C3A0000}"/>
    <cellStyle name="20% - Accent6 2 2 3 2" xfId="414" xr:uid="{00000000-0005-0000-0000-00001D3A0000}"/>
    <cellStyle name="20% - Accent6 2 2 3 2 2" xfId="1905" xr:uid="{00000000-0005-0000-0000-00001E3A0000}"/>
    <cellStyle name="20% - Accent6 2 2 3 2 2 2" xfId="6173" xr:uid="{00000000-0005-0000-0000-00001F3A0000}"/>
    <cellStyle name="20% - Accent6 2 2 3 2 2 2 2" xfId="13273" xr:uid="{00000000-0005-0000-0000-0000203A0000}"/>
    <cellStyle name="20% - Accent6 2 2 3 2 2 2 3" xfId="20374" xr:uid="{00000000-0005-0000-0000-0000213A0000}"/>
    <cellStyle name="20% - Accent6 2 2 3 2 2 2 4" xfId="27476" xr:uid="{00000000-0005-0000-0000-0000223A0000}"/>
    <cellStyle name="20% - Accent6 2 2 3 2 2 2 5" xfId="34578" xr:uid="{00000000-0005-0000-0000-0000233A0000}"/>
    <cellStyle name="20% - Accent6 2 2 3 2 2 2 6" xfId="37894" xr:uid="{00000000-0005-0000-0000-0000243A0000}"/>
    <cellStyle name="20% - Accent6 2 2 3 2 2 3" xfId="9013" xr:uid="{00000000-0005-0000-0000-0000253A0000}"/>
    <cellStyle name="20% - Accent6 2 2 3 2 2 4" xfId="16114" xr:uid="{00000000-0005-0000-0000-0000263A0000}"/>
    <cellStyle name="20% - Accent6 2 2 3 2 2 5" xfId="23216" xr:uid="{00000000-0005-0000-0000-0000273A0000}"/>
    <cellStyle name="20% - Accent6 2 2 3 2 2 6" xfId="30318" xr:uid="{00000000-0005-0000-0000-0000283A0000}"/>
    <cellStyle name="20% - Accent6 2 2 3 2 2 7" xfId="37895" xr:uid="{00000000-0005-0000-0000-0000293A0000}"/>
    <cellStyle name="20% - Accent6 2 2 3 2 3" xfId="4752" xr:uid="{00000000-0005-0000-0000-00002A3A0000}"/>
    <cellStyle name="20% - Accent6 2 2 3 2 3 2" xfId="11853" xr:uid="{00000000-0005-0000-0000-00002B3A0000}"/>
    <cellStyle name="20% - Accent6 2 2 3 2 3 2 2" xfId="37896" xr:uid="{00000000-0005-0000-0000-00002C3A0000}"/>
    <cellStyle name="20% - Accent6 2 2 3 2 3 3" xfId="18954" xr:uid="{00000000-0005-0000-0000-00002D3A0000}"/>
    <cellStyle name="20% - Accent6 2 2 3 2 3 4" xfId="26056" xr:uid="{00000000-0005-0000-0000-00002E3A0000}"/>
    <cellStyle name="20% - Accent6 2 2 3 2 3 5" xfId="33158" xr:uid="{00000000-0005-0000-0000-00002F3A0000}"/>
    <cellStyle name="20% - Accent6 2 2 3 2 3 6" xfId="37897" xr:uid="{00000000-0005-0000-0000-0000303A0000}"/>
    <cellStyle name="20% - Accent6 2 2 3 2 4" xfId="3327" xr:uid="{00000000-0005-0000-0000-0000313A0000}"/>
    <cellStyle name="20% - Accent6 2 2 3 2 4 2" xfId="10433" xr:uid="{00000000-0005-0000-0000-0000323A0000}"/>
    <cellStyle name="20% - Accent6 2 2 3 2 4 3" xfId="17534" xr:uid="{00000000-0005-0000-0000-0000333A0000}"/>
    <cellStyle name="20% - Accent6 2 2 3 2 4 4" xfId="24636" xr:uid="{00000000-0005-0000-0000-0000343A0000}"/>
    <cellStyle name="20% - Accent6 2 2 3 2 4 5" xfId="31738" xr:uid="{00000000-0005-0000-0000-0000353A0000}"/>
    <cellStyle name="20% - Accent6 2 2 3 2 4 6" xfId="37898" xr:uid="{00000000-0005-0000-0000-0000363A0000}"/>
    <cellStyle name="20% - Accent6 2 2 3 2 5" xfId="7593" xr:uid="{00000000-0005-0000-0000-0000373A0000}"/>
    <cellStyle name="20% - Accent6 2 2 3 2 6" xfId="14694" xr:uid="{00000000-0005-0000-0000-0000383A0000}"/>
    <cellStyle name="20% - Accent6 2 2 3 2 7" xfId="21796" xr:uid="{00000000-0005-0000-0000-0000393A0000}"/>
    <cellStyle name="20% - Accent6 2 2 3 2 8" xfId="28898" xr:uid="{00000000-0005-0000-0000-00003A3A0000}"/>
    <cellStyle name="20% - Accent6 2 2 3 2 9" xfId="37899" xr:uid="{00000000-0005-0000-0000-00003B3A0000}"/>
    <cellStyle name="20% - Accent6 2 2 3 3" xfId="627" xr:uid="{00000000-0005-0000-0000-00003C3A0000}"/>
    <cellStyle name="20% - Accent6 2 2 3 3 2" xfId="2118" xr:uid="{00000000-0005-0000-0000-00003D3A0000}"/>
    <cellStyle name="20% - Accent6 2 2 3 3 2 2" xfId="6386" xr:uid="{00000000-0005-0000-0000-00003E3A0000}"/>
    <cellStyle name="20% - Accent6 2 2 3 3 2 2 2" xfId="13486" xr:uid="{00000000-0005-0000-0000-00003F3A0000}"/>
    <cellStyle name="20% - Accent6 2 2 3 3 2 2 3" xfId="20587" xr:uid="{00000000-0005-0000-0000-0000403A0000}"/>
    <cellStyle name="20% - Accent6 2 2 3 3 2 2 4" xfId="27689" xr:uid="{00000000-0005-0000-0000-0000413A0000}"/>
    <cellStyle name="20% - Accent6 2 2 3 3 2 2 5" xfId="34791" xr:uid="{00000000-0005-0000-0000-0000423A0000}"/>
    <cellStyle name="20% - Accent6 2 2 3 3 2 2 6" xfId="37900" xr:uid="{00000000-0005-0000-0000-0000433A0000}"/>
    <cellStyle name="20% - Accent6 2 2 3 3 2 3" xfId="9226" xr:uid="{00000000-0005-0000-0000-0000443A0000}"/>
    <cellStyle name="20% - Accent6 2 2 3 3 2 4" xfId="16327" xr:uid="{00000000-0005-0000-0000-0000453A0000}"/>
    <cellStyle name="20% - Accent6 2 2 3 3 2 5" xfId="23429" xr:uid="{00000000-0005-0000-0000-0000463A0000}"/>
    <cellStyle name="20% - Accent6 2 2 3 3 2 6" xfId="30531" xr:uid="{00000000-0005-0000-0000-0000473A0000}"/>
    <cellStyle name="20% - Accent6 2 2 3 3 2 7" xfId="37901" xr:uid="{00000000-0005-0000-0000-0000483A0000}"/>
    <cellStyle name="20% - Accent6 2 2 3 3 3" xfId="4965" xr:uid="{00000000-0005-0000-0000-0000493A0000}"/>
    <cellStyle name="20% - Accent6 2 2 3 3 3 2" xfId="12066" xr:uid="{00000000-0005-0000-0000-00004A3A0000}"/>
    <cellStyle name="20% - Accent6 2 2 3 3 3 2 2" xfId="37902" xr:uid="{00000000-0005-0000-0000-00004B3A0000}"/>
    <cellStyle name="20% - Accent6 2 2 3 3 3 3" xfId="19167" xr:uid="{00000000-0005-0000-0000-00004C3A0000}"/>
    <cellStyle name="20% - Accent6 2 2 3 3 3 4" xfId="26269" xr:uid="{00000000-0005-0000-0000-00004D3A0000}"/>
    <cellStyle name="20% - Accent6 2 2 3 3 3 5" xfId="33371" xr:uid="{00000000-0005-0000-0000-00004E3A0000}"/>
    <cellStyle name="20% - Accent6 2 2 3 3 3 6" xfId="37903" xr:uid="{00000000-0005-0000-0000-00004F3A0000}"/>
    <cellStyle name="20% - Accent6 2 2 3 3 4" xfId="3540" xr:uid="{00000000-0005-0000-0000-0000503A0000}"/>
    <cellStyle name="20% - Accent6 2 2 3 3 4 2" xfId="10646" xr:uid="{00000000-0005-0000-0000-0000513A0000}"/>
    <cellStyle name="20% - Accent6 2 2 3 3 4 3" xfId="17747" xr:uid="{00000000-0005-0000-0000-0000523A0000}"/>
    <cellStyle name="20% - Accent6 2 2 3 3 4 4" xfId="24849" xr:uid="{00000000-0005-0000-0000-0000533A0000}"/>
    <cellStyle name="20% - Accent6 2 2 3 3 4 5" xfId="31951" xr:uid="{00000000-0005-0000-0000-0000543A0000}"/>
    <cellStyle name="20% - Accent6 2 2 3 3 4 6" xfId="37904" xr:uid="{00000000-0005-0000-0000-0000553A0000}"/>
    <cellStyle name="20% - Accent6 2 2 3 3 5" xfId="7806" xr:uid="{00000000-0005-0000-0000-0000563A0000}"/>
    <cellStyle name="20% - Accent6 2 2 3 3 6" xfId="14907" xr:uid="{00000000-0005-0000-0000-0000573A0000}"/>
    <cellStyle name="20% - Accent6 2 2 3 3 7" xfId="22009" xr:uid="{00000000-0005-0000-0000-0000583A0000}"/>
    <cellStyle name="20% - Accent6 2 2 3 3 8" xfId="29111" xr:uid="{00000000-0005-0000-0000-0000593A0000}"/>
    <cellStyle name="20% - Accent6 2 2 3 3 9" xfId="37905" xr:uid="{00000000-0005-0000-0000-00005A3A0000}"/>
    <cellStyle name="20% - Accent6 2 2 3 4" xfId="840" xr:uid="{00000000-0005-0000-0000-00005B3A0000}"/>
    <cellStyle name="20% - Accent6 2 2 3 4 2" xfId="2331" xr:uid="{00000000-0005-0000-0000-00005C3A0000}"/>
    <cellStyle name="20% - Accent6 2 2 3 4 2 2" xfId="6599" xr:uid="{00000000-0005-0000-0000-00005D3A0000}"/>
    <cellStyle name="20% - Accent6 2 2 3 4 2 2 2" xfId="13699" xr:uid="{00000000-0005-0000-0000-00005E3A0000}"/>
    <cellStyle name="20% - Accent6 2 2 3 4 2 2 3" xfId="20800" xr:uid="{00000000-0005-0000-0000-00005F3A0000}"/>
    <cellStyle name="20% - Accent6 2 2 3 4 2 2 4" xfId="27902" xr:uid="{00000000-0005-0000-0000-0000603A0000}"/>
    <cellStyle name="20% - Accent6 2 2 3 4 2 2 5" xfId="35004" xr:uid="{00000000-0005-0000-0000-0000613A0000}"/>
    <cellStyle name="20% - Accent6 2 2 3 4 2 2 6" xfId="37906" xr:uid="{00000000-0005-0000-0000-0000623A0000}"/>
    <cellStyle name="20% - Accent6 2 2 3 4 2 3" xfId="9439" xr:uid="{00000000-0005-0000-0000-0000633A0000}"/>
    <cellStyle name="20% - Accent6 2 2 3 4 2 4" xfId="16540" xr:uid="{00000000-0005-0000-0000-0000643A0000}"/>
    <cellStyle name="20% - Accent6 2 2 3 4 2 5" xfId="23642" xr:uid="{00000000-0005-0000-0000-0000653A0000}"/>
    <cellStyle name="20% - Accent6 2 2 3 4 2 6" xfId="30744" xr:uid="{00000000-0005-0000-0000-0000663A0000}"/>
    <cellStyle name="20% - Accent6 2 2 3 4 2 7" xfId="37907" xr:uid="{00000000-0005-0000-0000-0000673A0000}"/>
    <cellStyle name="20% - Accent6 2 2 3 4 3" xfId="5178" xr:uid="{00000000-0005-0000-0000-0000683A0000}"/>
    <cellStyle name="20% - Accent6 2 2 3 4 3 2" xfId="12279" xr:uid="{00000000-0005-0000-0000-0000693A0000}"/>
    <cellStyle name="20% - Accent6 2 2 3 4 3 2 2" xfId="37908" xr:uid="{00000000-0005-0000-0000-00006A3A0000}"/>
    <cellStyle name="20% - Accent6 2 2 3 4 3 3" xfId="19380" xr:uid="{00000000-0005-0000-0000-00006B3A0000}"/>
    <cellStyle name="20% - Accent6 2 2 3 4 3 4" xfId="26482" xr:uid="{00000000-0005-0000-0000-00006C3A0000}"/>
    <cellStyle name="20% - Accent6 2 2 3 4 3 5" xfId="33584" xr:uid="{00000000-0005-0000-0000-00006D3A0000}"/>
    <cellStyle name="20% - Accent6 2 2 3 4 3 6" xfId="37909" xr:uid="{00000000-0005-0000-0000-00006E3A0000}"/>
    <cellStyle name="20% - Accent6 2 2 3 4 4" xfId="3753" xr:uid="{00000000-0005-0000-0000-00006F3A0000}"/>
    <cellStyle name="20% - Accent6 2 2 3 4 4 2" xfId="10859" xr:uid="{00000000-0005-0000-0000-0000703A0000}"/>
    <cellStyle name="20% - Accent6 2 2 3 4 4 3" xfId="17960" xr:uid="{00000000-0005-0000-0000-0000713A0000}"/>
    <cellStyle name="20% - Accent6 2 2 3 4 4 4" xfId="25062" xr:uid="{00000000-0005-0000-0000-0000723A0000}"/>
    <cellStyle name="20% - Accent6 2 2 3 4 4 5" xfId="32164" xr:uid="{00000000-0005-0000-0000-0000733A0000}"/>
    <cellStyle name="20% - Accent6 2 2 3 4 4 6" xfId="37910" xr:uid="{00000000-0005-0000-0000-0000743A0000}"/>
    <cellStyle name="20% - Accent6 2 2 3 4 5" xfId="8019" xr:uid="{00000000-0005-0000-0000-0000753A0000}"/>
    <cellStyle name="20% - Accent6 2 2 3 4 6" xfId="15120" xr:uid="{00000000-0005-0000-0000-0000763A0000}"/>
    <cellStyle name="20% - Accent6 2 2 3 4 7" xfId="22222" xr:uid="{00000000-0005-0000-0000-0000773A0000}"/>
    <cellStyle name="20% - Accent6 2 2 3 4 8" xfId="29324" xr:uid="{00000000-0005-0000-0000-0000783A0000}"/>
    <cellStyle name="20% - Accent6 2 2 3 4 9" xfId="37911" xr:uid="{00000000-0005-0000-0000-0000793A0000}"/>
    <cellStyle name="20% - Accent6 2 2 3 5" xfId="1195" xr:uid="{00000000-0005-0000-0000-00007A3A0000}"/>
    <cellStyle name="20% - Accent6 2 2 3 5 2" xfId="2686" xr:uid="{00000000-0005-0000-0000-00007B3A0000}"/>
    <cellStyle name="20% - Accent6 2 2 3 5 2 2" xfId="6954" xr:uid="{00000000-0005-0000-0000-00007C3A0000}"/>
    <cellStyle name="20% - Accent6 2 2 3 5 2 2 2" xfId="14054" xr:uid="{00000000-0005-0000-0000-00007D3A0000}"/>
    <cellStyle name="20% - Accent6 2 2 3 5 2 2 3" xfId="21155" xr:uid="{00000000-0005-0000-0000-00007E3A0000}"/>
    <cellStyle name="20% - Accent6 2 2 3 5 2 2 4" xfId="28257" xr:uid="{00000000-0005-0000-0000-00007F3A0000}"/>
    <cellStyle name="20% - Accent6 2 2 3 5 2 2 5" xfId="35359" xr:uid="{00000000-0005-0000-0000-0000803A0000}"/>
    <cellStyle name="20% - Accent6 2 2 3 5 2 3" xfId="9794" xr:uid="{00000000-0005-0000-0000-0000813A0000}"/>
    <cellStyle name="20% - Accent6 2 2 3 5 2 4" xfId="16895" xr:uid="{00000000-0005-0000-0000-0000823A0000}"/>
    <cellStyle name="20% - Accent6 2 2 3 5 2 5" xfId="23997" xr:uid="{00000000-0005-0000-0000-0000833A0000}"/>
    <cellStyle name="20% - Accent6 2 2 3 5 2 6" xfId="31099" xr:uid="{00000000-0005-0000-0000-0000843A0000}"/>
    <cellStyle name="20% - Accent6 2 2 3 5 2 7" xfId="37912" xr:uid="{00000000-0005-0000-0000-0000853A0000}"/>
    <cellStyle name="20% - Accent6 2 2 3 5 3" xfId="5533" xr:uid="{00000000-0005-0000-0000-0000863A0000}"/>
    <cellStyle name="20% - Accent6 2 2 3 5 3 2" xfId="12634" xr:uid="{00000000-0005-0000-0000-0000873A0000}"/>
    <cellStyle name="20% - Accent6 2 2 3 5 3 3" xfId="19735" xr:uid="{00000000-0005-0000-0000-0000883A0000}"/>
    <cellStyle name="20% - Accent6 2 2 3 5 3 4" xfId="26837" xr:uid="{00000000-0005-0000-0000-0000893A0000}"/>
    <cellStyle name="20% - Accent6 2 2 3 5 3 5" xfId="33939" xr:uid="{00000000-0005-0000-0000-00008A3A0000}"/>
    <cellStyle name="20% - Accent6 2 2 3 5 4" xfId="4108" xr:uid="{00000000-0005-0000-0000-00008B3A0000}"/>
    <cellStyle name="20% - Accent6 2 2 3 5 4 2" xfId="11214" xr:uid="{00000000-0005-0000-0000-00008C3A0000}"/>
    <cellStyle name="20% - Accent6 2 2 3 5 4 3" xfId="18315" xr:uid="{00000000-0005-0000-0000-00008D3A0000}"/>
    <cellStyle name="20% - Accent6 2 2 3 5 4 4" xfId="25417" xr:uid="{00000000-0005-0000-0000-00008E3A0000}"/>
    <cellStyle name="20% - Accent6 2 2 3 5 4 5" xfId="32519" xr:uid="{00000000-0005-0000-0000-00008F3A0000}"/>
    <cellStyle name="20% - Accent6 2 2 3 5 5" xfId="8374" xr:uid="{00000000-0005-0000-0000-0000903A0000}"/>
    <cellStyle name="20% - Accent6 2 2 3 5 6" xfId="15475" xr:uid="{00000000-0005-0000-0000-0000913A0000}"/>
    <cellStyle name="20% - Accent6 2 2 3 5 7" xfId="22577" xr:uid="{00000000-0005-0000-0000-0000923A0000}"/>
    <cellStyle name="20% - Accent6 2 2 3 5 8" xfId="29679" xr:uid="{00000000-0005-0000-0000-0000933A0000}"/>
    <cellStyle name="20% - Accent6 2 2 3 5 9" xfId="37913" xr:uid="{00000000-0005-0000-0000-0000943A0000}"/>
    <cellStyle name="20% - Accent6 2 2 3 6" xfId="1408" xr:uid="{00000000-0005-0000-0000-0000953A0000}"/>
    <cellStyle name="20% - Accent6 2 2 3 6 2" xfId="2899" xr:uid="{00000000-0005-0000-0000-0000963A0000}"/>
    <cellStyle name="20% - Accent6 2 2 3 6 2 2" xfId="7167" xr:uid="{00000000-0005-0000-0000-0000973A0000}"/>
    <cellStyle name="20% - Accent6 2 2 3 6 2 2 2" xfId="14267" xr:uid="{00000000-0005-0000-0000-0000983A0000}"/>
    <cellStyle name="20% - Accent6 2 2 3 6 2 2 3" xfId="21368" xr:uid="{00000000-0005-0000-0000-0000993A0000}"/>
    <cellStyle name="20% - Accent6 2 2 3 6 2 2 4" xfId="28470" xr:uid="{00000000-0005-0000-0000-00009A3A0000}"/>
    <cellStyle name="20% - Accent6 2 2 3 6 2 2 5" xfId="35572" xr:uid="{00000000-0005-0000-0000-00009B3A0000}"/>
    <cellStyle name="20% - Accent6 2 2 3 6 2 3" xfId="10007" xr:uid="{00000000-0005-0000-0000-00009C3A0000}"/>
    <cellStyle name="20% - Accent6 2 2 3 6 2 4" xfId="17108" xr:uid="{00000000-0005-0000-0000-00009D3A0000}"/>
    <cellStyle name="20% - Accent6 2 2 3 6 2 5" xfId="24210" xr:uid="{00000000-0005-0000-0000-00009E3A0000}"/>
    <cellStyle name="20% - Accent6 2 2 3 6 2 6" xfId="31312" xr:uid="{00000000-0005-0000-0000-00009F3A0000}"/>
    <cellStyle name="20% - Accent6 2 2 3 6 2 7" xfId="37914" xr:uid="{00000000-0005-0000-0000-0000A03A0000}"/>
    <cellStyle name="20% - Accent6 2 2 3 6 3" xfId="5746" xr:uid="{00000000-0005-0000-0000-0000A13A0000}"/>
    <cellStyle name="20% - Accent6 2 2 3 6 3 2" xfId="12847" xr:uid="{00000000-0005-0000-0000-0000A23A0000}"/>
    <cellStyle name="20% - Accent6 2 2 3 6 3 3" xfId="19948" xr:uid="{00000000-0005-0000-0000-0000A33A0000}"/>
    <cellStyle name="20% - Accent6 2 2 3 6 3 4" xfId="27050" xr:uid="{00000000-0005-0000-0000-0000A43A0000}"/>
    <cellStyle name="20% - Accent6 2 2 3 6 3 5" xfId="34152" xr:uid="{00000000-0005-0000-0000-0000A53A0000}"/>
    <cellStyle name="20% - Accent6 2 2 3 6 4" xfId="4321" xr:uid="{00000000-0005-0000-0000-0000A63A0000}"/>
    <cellStyle name="20% - Accent6 2 2 3 6 4 2" xfId="11427" xr:uid="{00000000-0005-0000-0000-0000A73A0000}"/>
    <cellStyle name="20% - Accent6 2 2 3 6 4 3" xfId="18528" xr:uid="{00000000-0005-0000-0000-0000A83A0000}"/>
    <cellStyle name="20% - Accent6 2 2 3 6 4 4" xfId="25630" xr:uid="{00000000-0005-0000-0000-0000A93A0000}"/>
    <cellStyle name="20% - Accent6 2 2 3 6 4 5" xfId="32732" xr:uid="{00000000-0005-0000-0000-0000AA3A0000}"/>
    <cellStyle name="20% - Accent6 2 2 3 6 5" xfId="8587" xr:uid="{00000000-0005-0000-0000-0000AB3A0000}"/>
    <cellStyle name="20% - Accent6 2 2 3 6 6" xfId="15688" xr:uid="{00000000-0005-0000-0000-0000AC3A0000}"/>
    <cellStyle name="20% - Accent6 2 2 3 6 7" xfId="22790" xr:uid="{00000000-0005-0000-0000-0000AD3A0000}"/>
    <cellStyle name="20% - Accent6 2 2 3 6 8" xfId="29892" xr:uid="{00000000-0005-0000-0000-0000AE3A0000}"/>
    <cellStyle name="20% - Accent6 2 2 3 6 9" xfId="37915" xr:uid="{00000000-0005-0000-0000-0000AF3A0000}"/>
    <cellStyle name="20% - Accent6 2 2 3 7" xfId="1692" xr:uid="{00000000-0005-0000-0000-0000B03A0000}"/>
    <cellStyle name="20% - Accent6 2 2 3 7 2" xfId="5960" xr:uid="{00000000-0005-0000-0000-0000B13A0000}"/>
    <cellStyle name="20% - Accent6 2 2 3 7 2 2" xfId="13060" xr:uid="{00000000-0005-0000-0000-0000B23A0000}"/>
    <cellStyle name="20% - Accent6 2 2 3 7 2 3" xfId="20161" xr:uid="{00000000-0005-0000-0000-0000B33A0000}"/>
    <cellStyle name="20% - Accent6 2 2 3 7 2 4" xfId="27263" xr:uid="{00000000-0005-0000-0000-0000B43A0000}"/>
    <cellStyle name="20% - Accent6 2 2 3 7 2 5" xfId="34365" xr:uid="{00000000-0005-0000-0000-0000B53A0000}"/>
    <cellStyle name="20% - Accent6 2 2 3 7 3" xfId="8800" xr:uid="{00000000-0005-0000-0000-0000B63A0000}"/>
    <cellStyle name="20% - Accent6 2 2 3 7 4" xfId="15901" xr:uid="{00000000-0005-0000-0000-0000B73A0000}"/>
    <cellStyle name="20% - Accent6 2 2 3 7 5" xfId="23003" xr:uid="{00000000-0005-0000-0000-0000B83A0000}"/>
    <cellStyle name="20% - Accent6 2 2 3 7 6" xfId="30105" xr:uid="{00000000-0005-0000-0000-0000B93A0000}"/>
    <cellStyle name="20% - Accent6 2 2 3 7 7" xfId="37916" xr:uid="{00000000-0005-0000-0000-0000BA3A0000}"/>
    <cellStyle name="20% - Accent6 2 2 3 8" xfId="4539" xr:uid="{00000000-0005-0000-0000-0000BB3A0000}"/>
    <cellStyle name="20% - Accent6 2 2 3 8 2" xfId="11640" xr:uid="{00000000-0005-0000-0000-0000BC3A0000}"/>
    <cellStyle name="20% - Accent6 2 2 3 8 3" xfId="18741" xr:uid="{00000000-0005-0000-0000-0000BD3A0000}"/>
    <cellStyle name="20% - Accent6 2 2 3 8 4" xfId="25843" xr:uid="{00000000-0005-0000-0000-0000BE3A0000}"/>
    <cellStyle name="20% - Accent6 2 2 3 8 5" xfId="32945" xr:uid="{00000000-0005-0000-0000-0000BF3A0000}"/>
    <cellStyle name="20% - Accent6 2 2 3 9" xfId="3114" xr:uid="{00000000-0005-0000-0000-0000C03A0000}"/>
    <cellStyle name="20% - Accent6 2 2 3 9 2" xfId="10220" xr:uid="{00000000-0005-0000-0000-0000C13A0000}"/>
    <cellStyle name="20% - Accent6 2 2 3 9 3" xfId="17321" xr:uid="{00000000-0005-0000-0000-0000C23A0000}"/>
    <cellStyle name="20% - Accent6 2 2 3 9 4" xfId="24423" xr:uid="{00000000-0005-0000-0000-0000C33A0000}"/>
    <cellStyle name="20% - Accent6 2 2 3 9 5" xfId="31525" xr:uid="{00000000-0005-0000-0000-0000C43A0000}"/>
    <cellStyle name="20% - Accent6 2 2 4" xfId="343" xr:uid="{00000000-0005-0000-0000-0000C53A0000}"/>
    <cellStyle name="20% - Accent6 2 2 4 10" xfId="37917" xr:uid="{00000000-0005-0000-0000-0000C63A0000}"/>
    <cellStyle name="20% - Accent6 2 2 4 2" xfId="1124" xr:uid="{00000000-0005-0000-0000-0000C73A0000}"/>
    <cellStyle name="20% - Accent6 2 2 4 2 2" xfId="2615" xr:uid="{00000000-0005-0000-0000-0000C83A0000}"/>
    <cellStyle name="20% - Accent6 2 2 4 2 2 2" xfId="6883" xr:uid="{00000000-0005-0000-0000-0000C93A0000}"/>
    <cellStyle name="20% - Accent6 2 2 4 2 2 2 2" xfId="13983" xr:uid="{00000000-0005-0000-0000-0000CA3A0000}"/>
    <cellStyle name="20% - Accent6 2 2 4 2 2 2 3" xfId="21084" xr:uid="{00000000-0005-0000-0000-0000CB3A0000}"/>
    <cellStyle name="20% - Accent6 2 2 4 2 2 2 4" xfId="28186" xr:uid="{00000000-0005-0000-0000-0000CC3A0000}"/>
    <cellStyle name="20% - Accent6 2 2 4 2 2 2 5" xfId="35288" xr:uid="{00000000-0005-0000-0000-0000CD3A0000}"/>
    <cellStyle name="20% - Accent6 2 2 4 2 2 3" xfId="9723" xr:uid="{00000000-0005-0000-0000-0000CE3A0000}"/>
    <cellStyle name="20% - Accent6 2 2 4 2 2 4" xfId="16824" xr:uid="{00000000-0005-0000-0000-0000CF3A0000}"/>
    <cellStyle name="20% - Accent6 2 2 4 2 2 5" xfId="23926" xr:uid="{00000000-0005-0000-0000-0000D03A0000}"/>
    <cellStyle name="20% - Accent6 2 2 4 2 2 6" xfId="31028" xr:uid="{00000000-0005-0000-0000-0000D13A0000}"/>
    <cellStyle name="20% - Accent6 2 2 4 2 2 7" xfId="37918" xr:uid="{00000000-0005-0000-0000-0000D23A0000}"/>
    <cellStyle name="20% - Accent6 2 2 4 2 3" xfId="5462" xr:uid="{00000000-0005-0000-0000-0000D33A0000}"/>
    <cellStyle name="20% - Accent6 2 2 4 2 3 2" xfId="12563" xr:uid="{00000000-0005-0000-0000-0000D43A0000}"/>
    <cellStyle name="20% - Accent6 2 2 4 2 3 3" xfId="19664" xr:uid="{00000000-0005-0000-0000-0000D53A0000}"/>
    <cellStyle name="20% - Accent6 2 2 4 2 3 4" xfId="26766" xr:uid="{00000000-0005-0000-0000-0000D63A0000}"/>
    <cellStyle name="20% - Accent6 2 2 4 2 3 5" xfId="33868" xr:uid="{00000000-0005-0000-0000-0000D73A0000}"/>
    <cellStyle name="20% - Accent6 2 2 4 2 4" xfId="4037" xr:uid="{00000000-0005-0000-0000-0000D83A0000}"/>
    <cellStyle name="20% - Accent6 2 2 4 2 4 2" xfId="11143" xr:uid="{00000000-0005-0000-0000-0000D93A0000}"/>
    <cellStyle name="20% - Accent6 2 2 4 2 4 3" xfId="18244" xr:uid="{00000000-0005-0000-0000-0000DA3A0000}"/>
    <cellStyle name="20% - Accent6 2 2 4 2 4 4" xfId="25346" xr:uid="{00000000-0005-0000-0000-0000DB3A0000}"/>
    <cellStyle name="20% - Accent6 2 2 4 2 4 5" xfId="32448" xr:uid="{00000000-0005-0000-0000-0000DC3A0000}"/>
    <cellStyle name="20% - Accent6 2 2 4 2 5" xfId="8303" xr:uid="{00000000-0005-0000-0000-0000DD3A0000}"/>
    <cellStyle name="20% - Accent6 2 2 4 2 6" xfId="15404" xr:uid="{00000000-0005-0000-0000-0000DE3A0000}"/>
    <cellStyle name="20% - Accent6 2 2 4 2 7" xfId="22506" xr:uid="{00000000-0005-0000-0000-0000DF3A0000}"/>
    <cellStyle name="20% - Accent6 2 2 4 2 8" xfId="29608" xr:uid="{00000000-0005-0000-0000-0000E03A0000}"/>
    <cellStyle name="20% - Accent6 2 2 4 2 9" xfId="37919" xr:uid="{00000000-0005-0000-0000-0000E13A0000}"/>
    <cellStyle name="20% - Accent6 2 2 4 3" xfId="1834" xr:uid="{00000000-0005-0000-0000-0000E23A0000}"/>
    <cellStyle name="20% - Accent6 2 2 4 3 2" xfId="6102" xr:uid="{00000000-0005-0000-0000-0000E33A0000}"/>
    <cellStyle name="20% - Accent6 2 2 4 3 2 2" xfId="13202" xr:uid="{00000000-0005-0000-0000-0000E43A0000}"/>
    <cellStyle name="20% - Accent6 2 2 4 3 2 3" xfId="20303" xr:uid="{00000000-0005-0000-0000-0000E53A0000}"/>
    <cellStyle name="20% - Accent6 2 2 4 3 2 4" xfId="27405" xr:uid="{00000000-0005-0000-0000-0000E63A0000}"/>
    <cellStyle name="20% - Accent6 2 2 4 3 2 5" xfId="34507" xr:uid="{00000000-0005-0000-0000-0000E73A0000}"/>
    <cellStyle name="20% - Accent6 2 2 4 3 2 6" xfId="37920" xr:uid="{00000000-0005-0000-0000-0000E83A0000}"/>
    <cellStyle name="20% - Accent6 2 2 4 3 3" xfId="8942" xr:uid="{00000000-0005-0000-0000-0000E93A0000}"/>
    <cellStyle name="20% - Accent6 2 2 4 3 4" xfId="16043" xr:uid="{00000000-0005-0000-0000-0000EA3A0000}"/>
    <cellStyle name="20% - Accent6 2 2 4 3 5" xfId="23145" xr:uid="{00000000-0005-0000-0000-0000EB3A0000}"/>
    <cellStyle name="20% - Accent6 2 2 4 3 6" xfId="30247" xr:uid="{00000000-0005-0000-0000-0000EC3A0000}"/>
    <cellStyle name="20% - Accent6 2 2 4 3 7" xfId="37921" xr:uid="{00000000-0005-0000-0000-0000ED3A0000}"/>
    <cellStyle name="20% - Accent6 2 2 4 4" xfId="4681" xr:uid="{00000000-0005-0000-0000-0000EE3A0000}"/>
    <cellStyle name="20% - Accent6 2 2 4 4 2" xfId="11782" xr:uid="{00000000-0005-0000-0000-0000EF3A0000}"/>
    <cellStyle name="20% - Accent6 2 2 4 4 3" xfId="18883" xr:uid="{00000000-0005-0000-0000-0000F03A0000}"/>
    <cellStyle name="20% - Accent6 2 2 4 4 4" xfId="25985" xr:uid="{00000000-0005-0000-0000-0000F13A0000}"/>
    <cellStyle name="20% - Accent6 2 2 4 4 5" xfId="33087" xr:uid="{00000000-0005-0000-0000-0000F23A0000}"/>
    <cellStyle name="20% - Accent6 2 2 4 4 6" xfId="37922" xr:uid="{00000000-0005-0000-0000-0000F33A0000}"/>
    <cellStyle name="20% - Accent6 2 2 4 5" xfId="3256" xr:uid="{00000000-0005-0000-0000-0000F43A0000}"/>
    <cellStyle name="20% - Accent6 2 2 4 5 2" xfId="10362" xr:uid="{00000000-0005-0000-0000-0000F53A0000}"/>
    <cellStyle name="20% - Accent6 2 2 4 5 3" xfId="17463" xr:uid="{00000000-0005-0000-0000-0000F63A0000}"/>
    <cellStyle name="20% - Accent6 2 2 4 5 4" xfId="24565" xr:uid="{00000000-0005-0000-0000-0000F73A0000}"/>
    <cellStyle name="20% - Accent6 2 2 4 5 5" xfId="31667" xr:uid="{00000000-0005-0000-0000-0000F83A0000}"/>
    <cellStyle name="20% - Accent6 2 2 4 6" xfId="7522" xr:uid="{00000000-0005-0000-0000-0000F93A0000}"/>
    <cellStyle name="20% - Accent6 2 2 4 7" xfId="14623" xr:uid="{00000000-0005-0000-0000-0000FA3A0000}"/>
    <cellStyle name="20% - Accent6 2 2 4 8" xfId="21725" xr:uid="{00000000-0005-0000-0000-0000FB3A0000}"/>
    <cellStyle name="20% - Accent6 2 2 4 9" xfId="28827" xr:uid="{00000000-0005-0000-0000-0000FC3A0000}"/>
    <cellStyle name="20% - Accent6 2 2 5" xfId="556" xr:uid="{00000000-0005-0000-0000-0000FD3A0000}"/>
    <cellStyle name="20% - Accent6 2 2 5 2" xfId="2047" xr:uid="{00000000-0005-0000-0000-0000FE3A0000}"/>
    <cellStyle name="20% - Accent6 2 2 5 2 2" xfId="6315" xr:uid="{00000000-0005-0000-0000-0000FF3A0000}"/>
    <cellStyle name="20% - Accent6 2 2 5 2 2 2" xfId="13415" xr:uid="{00000000-0005-0000-0000-0000003B0000}"/>
    <cellStyle name="20% - Accent6 2 2 5 2 2 3" xfId="20516" xr:uid="{00000000-0005-0000-0000-0000013B0000}"/>
    <cellStyle name="20% - Accent6 2 2 5 2 2 4" xfId="27618" xr:uid="{00000000-0005-0000-0000-0000023B0000}"/>
    <cellStyle name="20% - Accent6 2 2 5 2 2 5" xfId="34720" xr:uid="{00000000-0005-0000-0000-0000033B0000}"/>
    <cellStyle name="20% - Accent6 2 2 5 2 2 6" xfId="37923" xr:uid="{00000000-0005-0000-0000-0000043B0000}"/>
    <cellStyle name="20% - Accent6 2 2 5 2 3" xfId="9155" xr:uid="{00000000-0005-0000-0000-0000053B0000}"/>
    <cellStyle name="20% - Accent6 2 2 5 2 4" xfId="16256" xr:uid="{00000000-0005-0000-0000-0000063B0000}"/>
    <cellStyle name="20% - Accent6 2 2 5 2 5" xfId="23358" xr:uid="{00000000-0005-0000-0000-0000073B0000}"/>
    <cellStyle name="20% - Accent6 2 2 5 2 6" xfId="30460" xr:uid="{00000000-0005-0000-0000-0000083B0000}"/>
    <cellStyle name="20% - Accent6 2 2 5 2 7" xfId="37924" xr:uid="{00000000-0005-0000-0000-0000093B0000}"/>
    <cellStyle name="20% - Accent6 2 2 5 3" xfId="4894" xr:uid="{00000000-0005-0000-0000-00000A3B0000}"/>
    <cellStyle name="20% - Accent6 2 2 5 3 2" xfId="11995" xr:uid="{00000000-0005-0000-0000-00000B3B0000}"/>
    <cellStyle name="20% - Accent6 2 2 5 3 2 2" xfId="37925" xr:uid="{00000000-0005-0000-0000-00000C3B0000}"/>
    <cellStyle name="20% - Accent6 2 2 5 3 3" xfId="19096" xr:uid="{00000000-0005-0000-0000-00000D3B0000}"/>
    <cellStyle name="20% - Accent6 2 2 5 3 4" xfId="26198" xr:uid="{00000000-0005-0000-0000-00000E3B0000}"/>
    <cellStyle name="20% - Accent6 2 2 5 3 5" xfId="33300" xr:uid="{00000000-0005-0000-0000-00000F3B0000}"/>
    <cellStyle name="20% - Accent6 2 2 5 3 6" xfId="37926" xr:uid="{00000000-0005-0000-0000-0000103B0000}"/>
    <cellStyle name="20% - Accent6 2 2 5 4" xfId="3469" xr:uid="{00000000-0005-0000-0000-0000113B0000}"/>
    <cellStyle name="20% - Accent6 2 2 5 4 2" xfId="10575" xr:uid="{00000000-0005-0000-0000-0000123B0000}"/>
    <cellStyle name="20% - Accent6 2 2 5 4 3" xfId="17676" xr:uid="{00000000-0005-0000-0000-0000133B0000}"/>
    <cellStyle name="20% - Accent6 2 2 5 4 4" xfId="24778" xr:uid="{00000000-0005-0000-0000-0000143B0000}"/>
    <cellStyle name="20% - Accent6 2 2 5 4 5" xfId="31880" xr:uid="{00000000-0005-0000-0000-0000153B0000}"/>
    <cellStyle name="20% - Accent6 2 2 5 4 6" xfId="37927" xr:uid="{00000000-0005-0000-0000-0000163B0000}"/>
    <cellStyle name="20% - Accent6 2 2 5 5" xfId="7735" xr:uid="{00000000-0005-0000-0000-0000173B0000}"/>
    <cellStyle name="20% - Accent6 2 2 5 6" xfId="14836" xr:uid="{00000000-0005-0000-0000-0000183B0000}"/>
    <cellStyle name="20% - Accent6 2 2 5 7" xfId="21938" xr:uid="{00000000-0005-0000-0000-0000193B0000}"/>
    <cellStyle name="20% - Accent6 2 2 5 8" xfId="29040" xr:uid="{00000000-0005-0000-0000-00001A3B0000}"/>
    <cellStyle name="20% - Accent6 2 2 5 9" xfId="37928" xr:uid="{00000000-0005-0000-0000-00001B3B0000}"/>
    <cellStyle name="20% - Accent6 2 2 6" xfId="769" xr:uid="{00000000-0005-0000-0000-00001C3B0000}"/>
    <cellStyle name="20% - Accent6 2 2 6 2" xfId="2260" xr:uid="{00000000-0005-0000-0000-00001D3B0000}"/>
    <cellStyle name="20% - Accent6 2 2 6 2 2" xfId="6528" xr:uid="{00000000-0005-0000-0000-00001E3B0000}"/>
    <cellStyle name="20% - Accent6 2 2 6 2 2 2" xfId="13628" xr:uid="{00000000-0005-0000-0000-00001F3B0000}"/>
    <cellStyle name="20% - Accent6 2 2 6 2 2 3" xfId="20729" xr:uid="{00000000-0005-0000-0000-0000203B0000}"/>
    <cellStyle name="20% - Accent6 2 2 6 2 2 4" xfId="27831" xr:uid="{00000000-0005-0000-0000-0000213B0000}"/>
    <cellStyle name="20% - Accent6 2 2 6 2 2 5" xfId="34933" xr:uid="{00000000-0005-0000-0000-0000223B0000}"/>
    <cellStyle name="20% - Accent6 2 2 6 2 2 6" xfId="37929" xr:uid="{00000000-0005-0000-0000-0000233B0000}"/>
    <cellStyle name="20% - Accent6 2 2 6 2 3" xfId="9368" xr:uid="{00000000-0005-0000-0000-0000243B0000}"/>
    <cellStyle name="20% - Accent6 2 2 6 2 4" xfId="16469" xr:uid="{00000000-0005-0000-0000-0000253B0000}"/>
    <cellStyle name="20% - Accent6 2 2 6 2 5" xfId="23571" xr:uid="{00000000-0005-0000-0000-0000263B0000}"/>
    <cellStyle name="20% - Accent6 2 2 6 2 6" xfId="30673" xr:uid="{00000000-0005-0000-0000-0000273B0000}"/>
    <cellStyle name="20% - Accent6 2 2 6 2 7" xfId="37930" xr:uid="{00000000-0005-0000-0000-0000283B0000}"/>
    <cellStyle name="20% - Accent6 2 2 6 3" xfId="5107" xr:uid="{00000000-0005-0000-0000-0000293B0000}"/>
    <cellStyle name="20% - Accent6 2 2 6 3 2" xfId="12208" xr:uid="{00000000-0005-0000-0000-00002A3B0000}"/>
    <cellStyle name="20% - Accent6 2 2 6 3 2 2" xfId="37931" xr:uid="{00000000-0005-0000-0000-00002B3B0000}"/>
    <cellStyle name="20% - Accent6 2 2 6 3 3" xfId="19309" xr:uid="{00000000-0005-0000-0000-00002C3B0000}"/>
    <cellStyle name="20% - Accent6 2 2 6 3 4" xfId="26411" xr:uid="{00000000-0005-0000-0000-00002D3B0000}"/>
    <cellStyle name="20% - Accent6 2 2 6 3 5" xfId="33513" xr:uid="{00000000-0005-0000-0000-00002E3B0000}"/>
    <cellStyle name="20% - Accent6 2 2 6 3 6" xfId="37932" xr:uid="{00000000-0005-0000-0000-00002F3B0000}"/>
    <cellStyle name="20% - Accent6 2 2 6 4" xfId="3682" xr:uid="{00000000-0005-0000-0000-0000303B0000}"/>
    <cellStyle name="20% - Accent6 2 2 6 4 2" xfId="10788" xr:uid="{00000000-0005-0000-0000-0000313B0000}"/>
    <cellStyle name="20% - Accent6 2 2 6 4 3" xfId="17889" xr:uid="{00000000-0005-0000-0000-0000323B0000}"/>
    <cellStyle name="20% - Accent6 2 2 6 4 4" xfId="24991" xr:uid="{00000000-0005-0000-0000-0000333B0000}"/>
    <cellStyle name="20% - Accent6 2 2 6 4 5" xfId="32093" xr:uid="{00000000-0005-0000-0000-0000343B0000}"/>
    <cellStyle name="20% - Accent6 2 2 6 4 6" xfId="37933" xr:uid="{00000000-0005-0000-0000-0000353B0000}"/>
    <cellStyle name="20% - Accent6 2 2 6 5" xfId="7948" xr:uid="{00000000-0005-0000-0000-0000363B0000}"/>
    <cellStyle name="20% - Accent6 2 2 6 6" xfId="15049" xr:uid="{00000000-0005-0000-0000-0000373B0000}"/>
    <cellStyle name="20% - Accent6 2 2 6 7" xfId="22151" xr:uid="{00000000-0005-0000-0000-0000383B0000}"/>
    <cellStyle name="20% - Accent6 2 2 6 8" xfId="29253" xr:uid="{00000000-0005-0000-0000-0000393B0000}"/>
    <cellStyle name="20% - Accent6 2 2 6 9" xfId="37934" xr:uid="{00000000-0005-0000-0000-00003A3B0000}"/>
    <cellStyle name="20% - Accent6 2 2 7" xfId="982" xr:uid="{00000000-0005-0000-0000-00003B3B0000}"/>
    <cellStyle name="20% - Accent6 2 2 7 2" xfId="2473" xr:uid="{00000000-0005-0000-0000-00003C3B0000}"/>
    <cellStyle name="20% - Accent6 2 2 7 2 2" xfId="6741" xr:uid="{00000000-0005-0000-0000-00003D3B0000}"/>
    <cellStyle name="20% - Accent6 2 2 7 2 2 2" xfId="13841" xr:uid="{00000000-0005-0000-0000-00003E3B0000}"/>
    <cellStyle name="20% - Accent6 2 2 7 2 2 3" xfId="20942" xr:uid="{00000000-0005-0000-0000-00003F3B0000}"/>
    <cellStyle name="20% - Accent6 2 2 7 2 2 4" xfId="28044" xr:uid="{00000000-0005-0000-0000-0000403B0000}"/>
    <cellStyle name="20% - Accent6 2 2 7 2 2 5" xfId="35146" xr:uid="{00000000-0005-0000-0000-0000413B0000}"/>
    <cellStyle name="20% - Accent6 2 2 7 2 3" xfId="9581" xr:uid="{00000000-0005-0000-0000-0000423B0000}"/>
    <cellStyle name="20% - Accent6 2 2 7 2 4" xfId="16682" xr:uid="{00000000-0005-0000-0000-0000433B0000}"/>
    <cellStyle name="20% - Accent6 2 2 7 2 5" xfId="23784" xr:uid="{00000000-0005-0000-0000-0000443B0000}"/>
    <cellStyle name="20% - Accent6 2 2 7 2 6" xfId="30886" xr:uid="{00000000-0005-0000-0000-0000453B0000}"/>
    <cellStyle name="20% - Accent6 2 2 7 2 7" xfId="37935" xr:uid="{00000000-0005-0000-0000-0000463B0000}"/>
    <cellStyle name="20% - Accent6 2 2 7 3" xfId="5320" xr:uid="{00000000-0005-0000-0000-0000473B0000}"/>
    <cellStyle name="20% - Accent6 2 2 7 3 2" xfId="12421" xr:uid="{00000000-0005-0000-0000-0000483B0000}"/>
    <cellStyle name="20% - Accent6 2 2 7 3 3" xfId="19522" xr:uid="{00000000-0005-0000-0000-0000493B0000}"/>
    <cellStyle name="20% - Accent6 2 2 7 3 4" xfId="26624" xr:uid="{00000000-0005-0000-0000-00004A3B0000}"/>
    <cellStyle name="20% - Accent6 2 2 7 3 5" xfId="33726" xr:uid="{00000000-0005-0000-0000-00004B3B0000}"/>
    <cellStyle name="20% - Accent6 2 2 7 4" xfId="3895" xr:uid="{00000000-0005-0000-0000-00004C3B0000}"/>
    <cellStyle name="20% - Accent6 2 2 7 4 2" xfId="11001" xr:uid="{00000000-0005-0000-0000-00004D3B0000}"/>
    <cellStyle name="20% - Accent6 2 2 7 4 3" xfId="18102" xr:uid="{00000000-0005-0000-0000-00004E3B0000}"/>
    <cellStyle name="20% - Accent6 2 2 7 4 4" xfId="25204" xr:uid="{00000000-0005-0000-0000-00004F3B0000}"/>
    <cellStyle name="20% - Accent6 2 2 7 4 5" xfId="32306" xr:uid="{00000000-0005-0000-0000-0000503B0000}"/>
    <cellStyle name="20% - Accent6 2 2 7 5" xfId="8161" xr:uid="{00000000-0005-0000-0000-0000513B0000}"/>
    <cellStyle name="20% - Accent6 2 2 7 6" xfId="15262" xr:uid="{00000000-0005-0000-0000-0000523B0000}"/>
    <cellStyle name="20% - Accent6 2 2 7 7" xfId="22364" xr:uid="{00000000-0005-0000-0000-0000533B0000}"/>
    <cellStyle name="20% - Accent6 2 2 7 8" xfId="29466" xr:uid="{00000000-0005-0000-0000-0000543B0000}"/>
    <cellStyle name="20% - Accent6 2 2 7 9" xfId="37936" xr:uid="{00000000-0005-0000-0000-0000553B0000}"/>
    <cellStyle name="20% - Accent6 2 2 8" xfId="1337" xr:uid="{00000000-0005-0000-0000-0000563B0000}"/>
    <cellStyle name="20% - Accent6 2 2 8 2" xfId="2828" xr:uid="{00000000-0005-0000-0000-0000573B0000}"/>
    <cellStyle name="20% - Accent6 2 2 8 2 2" xfId="7096" xr:uid="{00000000-0005-0000-0000-0000583B0000}"/>
    <cellStyle name="20% - Accent6 2 2 8 2 2 2" xfId="14196" xr:uid="{00000000-0005-0000-0000-0000593B0000}"/>
    <cellStyle name="20% - Accent6 2 2 8 2 2 3" xfId="21297" xr:uid="{00000000-0005-0000-0000-00005A3B0000}"/>
    <cellStyle name="20% - Accent6 2 2 8 2 2 4" xfId="28399" xr:uid="{00000000-0005-0000-0000-00005B3B0000}"/>
    <cellStyle name="20% - Accent6 2 2 8 2 2 5" xfId="35501" xr:uid="{00000000-0005-0000-0000-00005C3B0000}"/>
    <cellStyle name="20% - Accent6 2 2 8 2 3" xfId="9936" xr:uid="{00000000-0005-0000-0000-00005D3B0000}"/>
    <cellStyle name="20% - Accent6 2 2 8 2 4" xfId="17037" xr:uid="{00000000-0005-0000-0000-00005E3B0000}"/>
    <cellStyle name="20% - Accent6 2 2 8 2 5" xfId="24139" xr:uid="{00000000-0005-0000-0000-00005F3B0000}"/>
    <cellStyle name="20% - Accent6 2 2 8 2 6" xfId="31241" xr:uid="{00000000-0005-0000-0000-0000603B0000}"/>
    <cellStyle name="20% - Accent6 2 2 8 2 7" xfId="37937" xr:uid="{00000000-0005-0000-0000-0000613B0000}"/>
    <cellStyle name="20% - Accent6 2 2 8 3" xfId="5675" xr:uid="{00000000-0005-0000-0000-0000623B0000}"/>
    <cellStyle name="20% - Accent6 2 2 8 3 2" xfId="12776" xr:uid="{00000000-0005-0000-0000-0000633B0000}"/>
    <cellStyle name="20% - Accent6 2 2 8 3 3" xfId="19877" xr:uid="{00000000-0005-0000-0000-0000643B0000}"/>
    <cellStyle name="20% - Accent6 2 2 8 3 4" xfId="26979" xr:uid="{00000000-0005-0000-0000-0000653B0000}"/>
    <cellStyle name="20% - Accent6 2 2 8 3 5" xfId="34081" xr:uid="{00000000-0005-0000-0000-0000663B0000}"/>
    <cellStyle name="20% - Accent6 2 2 8 4" xfId="4250" xr:uid="{00000000-0005-0000-0000-0000673B0000}"/>
    <cellStyle name="20% - Accent6 2 2 8 4 2" xfId="11356" xr:uid="{00000000-0005-0000-0000-0000683B0000}"/>
    <cellStyle name="20% - Accent6 2 2 8 4 3" xfId="18457" xr:uid="{00000000-0005-0000-0000-0000693B0000}"/>
    <cellStyle name="20% - Accent6 2 2 8 4 4" xfId="25559" xr:uid="{00000000-0005-0000-0000-00006A3B0000}"/>
    <cellStyle name="20% - Accent6 2 2 8 4 5" xfId="32661" xr:uid="{00000000-0005-0000-0000-00006B3B0000}"/>
    <cellStyle name="20% - Accent6 2 2 8 5" xfId="8516" xr:uid="{00000000-0005-0000-0000-00006C3B0000}"/>
    <cellStyle name="20% - Accent6 2 2 8 6" xfId="15617" xr:uid="{00000000-0005-0000-0000-00006D3B0000}"/>
    <cellStyle name="20% - Accent6 2 2 8 7" xfId="22719" xr:uid="{00000000-0005-0000-0000-00006E3B0000}"/>
    <cellStyle name="20% - Accent6 2 2 8 8" xfId="29821" xr:uid="{00000000-0005-0000-0000-00006F3B0000}"/>
    <cellStyle name="20% - Accent6 2 2 8 9" xfId="37938" xr:uid="{00000000-0005-0000-0000-0000703B0000}"/>
    <cellStyle name="20% - Accent6 2 2 9" xfId="1621" xr:uid="{00000000-0005-0000-0000-0000713B0000}"/>
    <cellStyle name="20% - Accent6 2 2 9 2" xfId="5889" xr:uid="{00000000-0005-0000-0000-0000723B0000}"/>
    <cellStyle name="20% - Accent6 2 2 9 2 2" xfId="12989" xr:uid="{00000000-0005-0000-0000-0000733B0000}"/>
    <cellStyle name="20% - Accent6 2 2 9 2 3" xfId="20090" xr:uid="{00000000-0005-0000-0000-0000743B0000}"/>
    <cellStyle name="20% - Accent6 2 2 9 2 4" xfId="27192" xr:uid="{00000000-0005-0000-0000-0000753B0000}"/>
    <cellStyle name="20% - Accent6 2 2 9 2 5" xfId="34294" xr:uid="{00000000-0005-0000-0000-0000763B0000}"/>
    <cellStyle name="20% - Accent6 2 2 9 3" xfId="8729" xr:uid="{00000000-0005-0000-0000-0000773B0000}"/>
    <cellStyle name="20% - Accent6 2 2 9 4" xfId="15830" xr:uid="{00000000-0005-0000-0000-0000783B0000}"/>
    <cellStyle name="20% - Accent6 2 2 9 5" xfId="22932" xr:uid="{00000000-0005-0000-0000-0000793B0000}"/>
    <cellStyle name="20% - Accent6 2 2 9 6" xfId="30034" xr:uid="{00000000-0005-0000-0000-00007A3B0000}"/>
    <cellStyle name="20% - Accent6 2 2 9 7" xfId="37939" xr:uid="{00000000-0005-0000-0000-00007B3B0000}"/>
    <cellStyle name="20% - Accent6 2 3" xfId="241" xr:uid="{00000000-0005-0000-0000-00007C3B0000}"/>
    <cellStyle name="20% - Accent6 2 3 10" xfId="7420" xr:uid="{00000000-0005-0000-0000-00007D3B0000}"/>
    <cellStyle name="20% - Accent6 2 3 11" xfId="14521" xr:uid="{00000000-0005-0000-0000-00007E3B0000}"/>
    <cellStyle name="20% - Accent6 2 3 12" xfId="21623" xr:uid="{00000000-0005-0000-0000-00007F3B0000}"/>
    <cellStyle name="20% - Accent6 2 3 13" xfId="28725" xr:uid="{00000000-0005-0000-0000-0000803B0000}"/>
    <cellStyle name="20% - Accent6 2 3 14" xfId="35827" xr:uid="{00000000-0005-0000-0000-0000813B0000}"/>
    <cellStyle name="20% - Accent6 2 3 15" xfId="37940" xr:uid="{00000000-0005-0000-0000-0000823B0000}"/>
    <cellStyle name="20% - Accent6 2 3 2" xfId="454" xr:uid="{00000000-0005-0000-0000-0000833B0000}"/>
    <cellStyle name="20% - Accent6 2 3 2 10" xfId="37941" xr:uid="{00000000-0005-0000-0000-0000843B0000}"/>
    <cellStyle name="20% - Accent6 2 3 2 2" xfId="1235" xr:uid="{00000000-0005-0000-0000-0000853B0000}"/>
    <cellStyle name="20% - Accent6 2 3 2 2 2" xfId="2726" xr:uid="{00000000-0005-0000-0000-0000863B0000}"/>
    <cellStyle name="20% - Accent6 2 3 2 2 2 2" xfId="6994" xr:uid="{00000000-0005-0000-0000-0000873B0000}"/>
    <cellStyle name="20% - Accent6 2 3 2 2 2 2 2" xfId="14094" xr:uid="{00000000-0005-0000-0000-0000883B0000}"/>
    <cellStyle name="20% - Accent6 2 3 2 2 2 2 3" xfId="21195" xr:uid="{00000000-0005-0000-0000-0000893B0000}"/>
    <cellStyle name="20% - Accent6 2 3 2 2 2 2 4" xfId="28297" xr:uid="{00000000-0005-0000-0000-00008A3B0000}"/>
    <cellStyle name="20% - Accent6 2 3 2 2 2 2 5" xfId="35399" xr:uid="{00000000-0005-0000-0000-00008B3B0000}"/>
    <cellStyle name="20% - Accent6 2 3 2 2 2 3" xfId="9834" xr:uid="{00000000-0005-0000-0000-00008C3B0000}"/>
    <cellStyle name="20% - Accent6 2 3 2 2 2 4" xfId="16935" xr:uid="{00000000-0005-0000-0000-00008D3B0000}"/>
    <cellStyle name="20% - Accent6 2 3 2 2 2 5" xfId="24037" xr:uid="{00000000-0005-0000-0000-00008E3B0000}"/>
    <cellStyle name="20% - Accent6 2 3 2 2 2 6" xfId="31139" xr:uid="{00000000-0005-0000-0000-00008F3B0000}"/>
    <cellStyle name="20% - Accent6 2 3 2 2 2 7" xfId="37942" xr:uid="{00000000-0005-0000-0000-0000903B0000}"/>
    <cellStyle name="20% - Accent6 2 3 2 2 3" xfId="5573" xr:uid="{00000000-0005-0000-0000-0000913B0000}"/>
    <cellStyle name="20% - Accent6 2 3 2 2 3 2" xfId="12674" xr:uid="{00000000-0005-0000-0000-0000923B0000}"/>
    <cellStyle name="20% - Accent6 2 3 2 2 3 3" xfId="19775" xr:uid="{00000000-0005-0000-0000-0000933B0000}"/>
    <cellStyle name="20% - Accent6 2 3 2 2 3 4" xfId="26877" xr:uid="{00000000-0005-0000-0000-0000943B0000}"/>
    <cellStyle name="20% - Accent6 2 3 2 2 3 5" xfId="33979" xr:uid="{00000000-0005-0000-0000-0000953B0000}"/>
    <cellStyle name="20% - Accent6 2 3 2 2 4" xfId="4148" xr:uid="{00000000-0005-0000-0000-0000963B0000}"/>
    <cellStyle name="20% - Accent6 2 3 2 2 4 2" xfId="11254" xr:uid="{00000000-0005-0000-0000-0000973B0000}"/>
    <cellStyle name="20% - Accent6 2 3 2 2 4 3" xfId="18355" xr:uid="{00000000-0005-0000-0000-0000983B0000}"/>
    <cellStyle name="20% - Accent6 2 3 2 2 4 4" xfId="25457" xr:uid="{00000000-0005-0000-0000-0000993B0000}"/>
    <cellStyle name="20% - Accent6 2 3 2 2 4 5" xfId="32559" xr:uid="{00000000-0005-0000-0000-00009A3B0000}"/>
    <cellStyle name="20% - Accent6 2 3 2 2 5" xfId="8414" xr:uid="{00000000-0005-0000-0000-00009B3B0000}"/>
    <cellStyle name="20% - Accent6 2 3 2 2 6" xfId="15515" xr:uid="{00000000-0005-0000-0000-00009C3B0000}"/>
    <cellStyle name="20% - Accent6 2 3 2 2 7" xfId="22617" xr:uid="{00000000-0005-0000-0000-00009D3B0000}"/>
    <cellStyle name="20% - Accent6 2 3 2 2 8" xfId="29719" xr:uid="{00000000-0005-0000-0000-00009E3B0000}"/>
    <cellStyle name="20% - Accent6 2 3 2 2 9" xfId="37943" xr:uid="{00000000-0005-0000-0000-00009F3B0000}"/>
    <cellStyle name="20% - Accent6 2 3 2 3" xfId="1945" xr:uid="{00000000-0005-0000-0000-0000A03B0000}"/>
    <cellStyle name="20% - Accent6 2 3 2 3 2" xfId="6213" xr:uid="{00000000-0005-0000-0000-0000A13B0000}"/>
    <cellStyle name="20% - Accent6 2 3 2 3 2 2" xfId="13313" xr:uid="{00000000-0005-0000-0000-0000A23B0000}"/>
    <cellStyle name="20% - Accent6 2 3 2 3 2 3" xfId="20414" xr:uid="{00000000-0005-0000-0000-0000A33B0000}"/>
    <cellStyle name="20% - Accent6 2 3 2 3 2 4" xfId="27516" xr:uid="{00000000-0005-0000-0000-0000A43B0000}"/>
    <cellStyle name="20% - Accent6 2 3 2 3 2 5" xfId="34618" xr:uid="{00000000-0005-0000-0000-0000A53B0000}"/>
    <cellStyle name="20% - Accent6 2 3 2 3 2 6" xfId="37944" xr:uid="{00000000-0005-0000-0000-0000A63B0000}"/>
    <cellStyle name="20% - Accent6 2 3 2 3 3" xfId="9053" xr:uid="{00000000-0005-0000-0000-0000A73B0000}"/>
    <cellStyle name="20% - Accent6 2 3 2 3 4" xfId="16154" xr:uid="{00000000-0005-0000-0000-0000A83B0000}"/>
    <cellStyle name="20% - Accent6 2 3 2 3 5" xfId="23256" xr:uid="{00000000-0005-0000-0000-0000A93B0000}"/>
    <cellStyle name="20% - Accent6 2 3 2 3 6" xfId="30358" xr:uid="{00000000-0005-0000-0000-0000AA3B0000}"/>
    <cellStyle name="20% - Accent6 2 3 2 3 7" xfId="37945" xr:uid="{00000000-0005-0000-0000-0000AB3B0000}"/>
    <cellStyle name="20% - Accent6 2 3 2 4" xfId="4792" xr:uid="{00000000-0005-0000-0000-0000AC3B0000}"/>
    <cellStyle name="20% - Accent6 2 3 2 4 2" xfId="11893" xr:uid="{00000000-0005-0000-0000-0000AD3B0000}"/>
    <cellStyle name="20% - Accent6 2 3 2 4 3" xfId="18994" xr:uid="{00000000-0005-0000-0000-0000AE3B0000}"/>
    <cellStyle name="20% - Accent6 2 3 2 4 4" xfId="26096" xr:uid="{00000000-0005-0000-0000-0000AF3B0000}"/>
    <cellStyle name="20% - Accent6 2 3 2 4 5" xfId="33198" xr:uid="{00000000-0005-0000-0000-0000B03B0000}"/>
    <cellStyle name="20% - Accent6 2 3 2 4 6" xfId="37946" xr:uid="{00000000-0005-0000-0000-0000B13B0000}"/>
    <cellStyle name="20% - Accent6 2 3 2 5" xfId="3367" xr:uid="{00000000-0005-0000-0000-0000B23B0000}"/>
    <cellStyle name="20% - Accent6 2 3 2 5 2" xfId="10473" xr:uid="{00000000-0005-0000-0000-0000B33B0000}"/>
    <cellStyle name="20% - Accent6 2 3 2 5 3" xfId="17574" xr:uid="{00000000-0005-0000-0000-0000B43B0000}"/>
    <cellStyle name="20% - Accent6 2 3 2 5 4" xfId="24676" xr:uid="{00000000-0005-0000-0000-0000B53B0000}"/>
    <cellStyle name="20% - Accent6 2 3 2 5 5" xfId="31778" xr:uid="{00000000-0005-0000-0000-0000B63B0000}"/>
    <cellStyle name="20% - Accent6 2 3 2 6" xfId="7633" xr:uid="{00000000-0005-0000-0000-0000B73B0000}"/>
    <cellStyle name="20% - Accent6 2 3 2 7" xfId="14734" xr:uid="{00000000-0005-0000-0000-0000B83B0000}"/>
    <cellStyle name="20% - Accent6 2 3 2 8" xfId="21836" xr:uid="{00000000-0005-0000-0000-0000B93B0000}"/>
    <cellStyle name="20% - Accent6 2 3 2 9" xfId="28938" xr:uid="{00000000-0005-0000-0000-0000BA3B0000}"/>
    <cellStyle name="20% - Accent6 2 3 3" xfId="667" xr:uid="{00000000-0005-0000-0000-0000BB3B0000}"/>
    <cellStyle name="20% - Accent6 2 3 3 2" xfId="2158" xr:uid="{00000000-0005-0000-0000-0000BC3B0000}"/>
    <cellStyle name="20% - Accent6 2 3 3 2 2" xfId="6426" xr:uid="{00000000-0005-0000-0000-0000BD3B0000}"/>
    <cellStyle name="20% - Accent6 2 3 3 2 2 2" xfId="13526" xr:uid="{00000000-0005-0000-0000-0000BE3B0000}"/>
    <cellStyle name="20% - Accent6 2 3 3 2 2 3" xfId="20627" xr:uid="{00000000-0005-0000-0000-0000BF3B0000}"/>
    <cellStyle name="20% - Accent6 2 3 3 2 2 4" xfId="27729" xr:uid="{00000000-0005-0000-0000-0000C03B0000}"/>
    <cellStyle name="20% - Accent6 2 3 3 2 2 5" xfId="34831" xr:uid="{00000000-0005-0000-0000-0000C13B0000}"/>
    <cellStyle name="20% - Accent6 2 3 3 2 2 6" xfId="37947" xr:uid="{00000000-0005-0000-0000-0000C23B0000}"/>
    <cellStyle name="20% - Accent6 2 3 3 2 3" xfId="9266" xr:uid="{00000000-0005-0000-0000-0000C33B0000}"/>
    <cellStyle name="20% - Accent6 2 3 3 2 4" xfId="16367" xr:uid="{00000000-0005-0000-0000-0000C43B0000}"/>
    <cellStyle name="20% - Accent6 2 3 3 2 5" xfId="23469" xr:uid="{00000000-0005-0000-0000-0000C53B0000}"/>
    <cellStyle name="20% - Accent6 2 3 3 2 6" xfId="30571" xr:uid="{00000000-0005-0000-0000-0000C63B0000}"/>
    <cellStyle name="20% - Accent6 2 3 3 2 7" xfId="37948" xr:uid="{00000000-0005-0000-0000-0000C73B0000}"/>
    <cellStyle name="20% - Accent6 2 3 3 3" xfId="5005" xr:uid="{00000000-0005-0000-0000-0000C83B0000}"/>
    <cellStyle name="20% - Accent6 2 3 3 3 2" xfId="12106" xr:uid="{00000000-0005-0000-0000-0000C93B0000}"/>
    <cellStyle name="20% - Accent6 2 3 3 3 2 2" xfId="37949" xr:uid="{00000000-0005-0000-0000-0000CA3B0000}"/>
    <cellStyle name="20% - Accent6 2 3 3 3 3" xfId="19207" xr:uid="{00000000-0005-0000-0000-0000CB3B0000}"/>
    <cellStyle name="20% - Accent6 2 3 3 3 4" xfId="26309" xr:uid="{00000000-0005-0000-0000-0000CC3B0000}"/>
    <cellStyle name="20% - Accent6 2 3 3 3 5" xfId="33411" xr:uid="{00000000-0005-0000-0000-0000CD3B0000}"/>
    <cellStyle name="20% - Accent6 2 3 3 3 6" xfId="37950" xr:uid="{00000000-0005-0000-0000-0000CE3B0000}"/>
    <cellStyle name="20% - Accent6 2 3 3 4" xfId="3580" xr:uid="{00000000-0005-0000-0000-0000CF3B0000}"/>
    <cellStyle name="20% - Accent6 2 3 3 4 2" xfId="10686" xr:uid="{00000000-0005-0000-0000-0000D03B0000}"/>
    <cellStyle name="20% - Accent6 2 3 3 4 3" xfId="17787" xr:uid="{00000000-0005-0000-0000-0000D13B0000}"/>
    <cellStyle name="20% - Accent6 2 3 3 4 4" xfId="24889" xr:uid="{00000000-0005-0000-0000-0000D23B0000}"/>
    <cellStyle name="20% - Accent6 2 3 3 4 5" xfId="31991" xr:uid="{00000000-0005-0000-0000-0000D33B0000}"/>
    <cellStyle name="20% - Accent6 2 3 3 4 6" xfId="37951" xr:uid="{00000000-0005-0000-0000-0000D43B0000}"/>
    <cellStyle name="20% - Accent6 2 3 3 5" xfId="7846" xr:uid="{00000000-0005-0000-0000-0000D53B0000}"/>
    <cellStyle name="20% - Accent6 2 3 3 6" xfId="14947" xr:uid="{00000000-0005-0000-0000-0000D63B0000}"/>
    <cellStyle name="20% - Accent6 2 3 3 7" xfId="22049" xr:uid="{00000000-0005-0000-0000-0000D73B0000}"/>
    <cellStyle name="20% - Accent6 2 3 3 8" xfId="29151" xr:uid="{00000000-0005-0000-0000-0000D83B0000}"/>
    <cellStyle name="20% - Accent6 2 3 3 9" xfId="37952" xr:uid="{00000000-0005-0000-0000-0000D93B0000}"/>
    <cellStyle name="20% - Accent6 2 3 4" xfId="880" xr:uid="{00000000-0005-0000-0000-0000DA3B0000}"/>
    <cellStyle name="20% - Accent6 2 3 4 2" xfId="2371" xr:uid="{00000000-0005-0000-0000-0000DB3B0000}"/>
    <cellStyle name="20% - Accent6 2 3 4 2 2" xfId="6639" xr:uid="{00000000-0005-0000-0000-0000DC3B0000}"/>
    <cellStyle name="20% - Accent6 2 3 4 2 2 2" xfId="13739" xr:uid="{00000000-0005-0000-0000-0000DD3B0000}"/>
    <cellStyle name="20% - Accent6 2 3 4 2 2 3" xfId="20840" xr:uid="{00000000-0005-0000-0000-0000DE3B0000}"/>
    <cellStyle name="20% - Accent6 2 3 4 2 2 4" xfId="27942" xr:uid="{00000000-0005-0000-0000-0000DF3B0000}"/>
    <cellStyle name="20% - Accent6 2 3 4 2 2 5" xfId="35044" xr:uid="{00000000-0005-0000-0000-0000E03B0000}"/>
    <cellStyle name="20% - Accent6 2 3 4 2 2 6" xfId="37953" xr:uid="{00000000-0005-0000-0000-0000E13B0000}"/>
    <cellStyle name="20% - Accent6 2 3 4 2 3" xfId="9479" xr:uid="{00000000-0005-0000-0000-0000E23B0000}"/>
    <cellStyle name="20% - Accent6 2 3 4 2 4" xfId="16580" xr:uid="{00000000-0005-0000-0000-0000E33B0000}"/>
    <cellStyle name="20% - Accent6 2 3 4 2 5" xfId="23682" xr:uid="{00000000-0005-0000-0000-0000E43B0000}"/>
    <cellStyle name="20% - Accent6 2 3 4 2 6" xfId="30784" xr:uid="{00000000-0005-0000-0000-0000E53B0000}"/>
    <cellStyle name="20% - Accent6 2 3 4 2 7" xfId="37954" xr:uid="{00000000-0005-0000-0000-0000E63B0000}"/>
    <cellStyle name="20% - Accent6 2 3 4 3" xfId="5218" xr:uid="{00000000-0005-0000-0000-0000E73B0000}"/>
    <cellStyle name="20% - Accent6 2 3 4 3 2" xfId="12319" xr:uid="{00000000-0005-0000-0000-0000E83B0000}"/>
    <cellStyle name="20% - Accent6 2 3 4 3 2 2" xfId="37955" xr:uid="{00000000-0005-0000-0000-0000E93B0000}"/>
    <cellStyle name="20% - Accent6 2 3 4 3 3" xfId="19420" xr:uid="{00000000-0005-0000-0000-0000EA3B0000}"/>
    <cellStyle name="20% - Accent6 2 3 4 3 4" xfId="26522" xr:uid="{00000000-0005-0000-0000-0000EB3B0000}"/>
    <cellStyle name="20% - Accent6 2 3 4 3 5" xfId="33624" xr:uid="{00000000-0005-0000-0000-0000EC3B0000}"/>
    <cellStyle name="20% - Accent6 2 3 4 3 6" xfId="37956" xr:uid="{00000000-0005-0000-0000-0000ED3B0000}"/>
    <cellStyle name="20% - Accent6 2 3 4 4" xfId="3793" xr:uid="{00000000-0005-0000-0000-0000EE3B0000}"/>
    <cellStyle name="20% - Accent6 2 3 4 4 2" xfId="10899" xr:uid="{00000000-0005-0000-0000-0000EF3B0000}"/>
    <cellStyle name="20% - Accent6 2 3 4 4 3" xfId="18000" xr:uid="{00000000-0005-0000-0000-0000F03B0000}"/>
    <cellStyle name="20% - Accent6 2 3 4 4 4" xfId="25102" xr:uid="{00000000-0005-0000-0000-0000F13B0000}"/>
    <cellStyle name="20% - Accent6 2 3 4 4 5" xfId="32204" xr:uid="{00000000-0005-0000-0000-0000F23B0000}"/>
    <cellStyle name="20% - Accent6 2 3 4 4 6" xfId="37957" xr:uid="{00000000-0005-0000-0000-0000F33B0000}"/>
    <cellStyle name="20% - Accent6 2 3 4 5" xfId="8059" xr:uid="{00000000-0005-0000-0000-0000F43B0000}"/>
    <cellStyle name="20% - Accent6 2 3 4 6" xfId="15160" xr:uid="{00000000-0005-0000-0000-0000F53B0000}"/>
    <cellStyle name="20% - Accent6 2 3 4 7" xfId="22262" xr:uid="{00000000-0005-0000-0000-0000F63B0000}"/>
    <cellStyle name="20% - Accent6 2 3 4 8" xfId="29364" xr:uid="{00000000-0005-0000-0000-0000F73B0000}"/>
    <cellStyle name="20% - Accent6 2 3 4 9" xfId="37958" xr:uid="{00000000-0005-0000-0000-0000F83B0000}"/>
    <cellStyle name="20% - Accent6 2 3 5" xfId="1022" xr:uid="{00000000-0005-0000-0000-0000F93B0000}"/>
    <cellStyle name="20% - Accent6 2 3 5 2" xfId="2513" xr:uid="{00000000-0005-0000-0000-0000FA3B0000}"/>
    <cellStyle name="20% - Accent6 2 3 5 2 2" xfId="6781" xr:uid="{00000000-0005-0000-0000-0000FB3B0000}"/>
    <cellStyle name="20% - Accent6 2 3 5 2 2 2" xfId="13881" xr:uid="{00000000-0005-0000-0000-0000FC3B0000}"/>
    <cellStyle name="20% - Accent6 2 3 5 2 2 3" xfId="20982" xr:uid="{00000000-0005-0000-0000-0000FD3B0000}"/>
    <cellStyle name="20% - Accent6 2 3 5 2 2 4" xfId="28084" xr:uid="{00000000-0005-0000-0000-0000FE3B0000}"/>
    <cellStyle name="20% - Accent6 2 3 5 2 2 5" xfId="35186" xr:uid="{00000000-0005-0000-0000-0000FF3B0000}"/>
    <cellStyle name="20% - Accent6 2 3 5 2 3" xfId="9621" xr:uid="{00000000-0005-0000-0000-0000003C0000}"/>
    <cellStyle name="20% - Accent6 2 3 5 2 4" xfId="16722" xr:uid="{00000000-0005-0000-0000-0000013C0000}"/>
    <cellStyle name="20% - Accent6 2 3 5 2 5" xfId="23824" xr:uid="{00000000-0005-0000-0000-0000023C0000}"/>
    <cellStyle name="20% - Accent6 2 3 5 2 6" xfId="30926" xr:uid="{00000000-0005-0000-0000-0000033C0000}"/>
    <cellStyle name="20% - Accent6 2 3 5 2 7" xfId="37959" xr:uid="{00000000-0005-0000-0000-0000043C0000}"/>
    <cellStyle name="20% - Accent6 2 3 5 3" xfId="5360" xr:uid="{00000000-0005-0000-0000-0000053C0000}"/>
    <cellStyle name="20% - Accent6 2 3 5 3 2" xfId="12461" xr:uid="{00000000-0005-0000-0000-0000063C0000}"/>
    <cellStyle name="20% - Accent6 2 3 5 3 3" xfId="19562" xr:uid="{00000000-0005-0000-0000-0000073C0000}"/>
    <cellStyle name="20% - Accent6 2 3 5 3 4" xfId="26664" xr:uid="{00000000-0005-0000-0000-0000083C0000}"/>
    <cellStyle name="20% - Accent6 2 3 5 3 5" xfId="33766" xr:uid="{00000000-0005-0000-0000-0000093C0000}"/>
    <cellStyle name="20% - Accent6 2 3 5 4" xfId="3935" xr:uid="{00000000-0005-0000-0000-00000A3C0000}"/>
    <cellStyle name="20% - Accent6 2 3 5 4 2" xfId="11041" xr:uid="{00000000-0005-0000-0000-00000B3C0000}"/>
    <cellStyle name="20% - Accent6 2 3 5 4 3" xfId="18142" xr:uid="{00000000-0005-0000-0000-00000C3C0000}"/>
    <cellStyle name="20% - Accent6 2 3 5 4 4" xfId="25244" xr:uid="{00000000-0005-0000-0000-00000D3C0000}"/>
    <cellStyle name="20% - Accent6 2 3 5 4 5" xfId="32346" xr:uid="{00000000-0005-0000-0000-00000E3C0000}"/>
    <cellStyle name="20% - Accent6 2 3 5 5" xfId="8201" xr:uid="{00000000-0005-0000-0000-00000F3C0000}"/>
    <cellStyle name="20% - Accent6 2 3 5 6" xfId="15302" xr:uid="{00000000-0005-0000-0000-0000103C0000}"/>
    <cellStyle name="20% - Accent6 2 3 5 7" xfId="22404" xr:uid="{00000000-0005-0000-0000-0000113C0000}"/>
    <cellStyle name="20% - Accent6 2 3 5 8" xfId="29506" xr:uid="{00000000-0005-0000-0000-0000123C0000}"/>
    <cellStyle name="20% - Accent6 2 3 5 9" xfId="37960" xr:uid="{00000000-0005-0000-0000-0000133C0000}"/>
    <cellStyle name="20% - Accent6 2 3 6" xfId="1448" xr:uid="{00000000-0005-0000-0000-0000143C0000}"/>
    <cellStyle name="20% - Accent6 2 3 6 2" xfId="2939" xr:uid="{00000000-0005-0000-0000-0000153C0000}"/>
    <cellStyle name="20% - Accent6 2 3 6 2 2" xfId="7207" xr:uid="{00000000-0005-0000-0000-0000163C0000}"/>
    <cellStyle name="20% - Accent6 2 3 6 2 2 2" xfId="14307" xr:uid="{00000000-0005-0000-0000-0000173C0000}"/>
    <cellStyle name="20% - Accent6 2 3 6 2 2 3" xfId="21408" xr:uid="{00000000-0005-0000-0000-0000183C0000}"/>
    <cellStyle name="20% - Accent6 2 3 6 2 2 4" xfId="28510" xr:uid="{00000000-0005-0000-0000-0000193C0000}"/>
    <cellStyle name="20% - Accent6 2 3 6 2 2 5" xfId="35612" xr:uid="{00000000-0005-0000-0000-00001A3C0000}"/>
    <cellStyle name="20% - Accent6 2 3 6 2 3" xfId="10047" xr:uid="{00000000-0005-0000-0000-00001B3C0000}"/>
    <cellStyle name="20% - Accent6 2 3 6 2 4" xfId="17148" xr:uid="{00000000-0005-0000-0000-00001C3C0000}"/>
    <cellStyle name="20% - Accent6 2 3 6 2 5" xfId="24250" xr:uid="{00000000-0005-0000-0000-00001D3C0000}"/>
    <cellStyle name="20% - Accent6 2 3 6 2 6" xfId="31352" xr:uid="{00000000-0005-0000-0000-00001E3C0000}"/>
    <cellStyle name="20% - Accent6 2 3 6 2 7" xfId="37961" xr:uid="{00000000-0005-0000-0000-00001F3C0000}"/>
    <cellStyle name="20% - Accent6 2 3 6 3" xfId="5786" xr:uid="{00000000-0005-0000-0000-0000203C0000}"/>
    <cellStyle name="20% - Accent6 2 3 6 3 2" xfId="12887" xr:uid="{00000000-0005-0000-0000-0000213C0000}"/>
    <cellStyle name="20% - Accent6 2 3 6 3 3" xfId="19988" xr:uid="{00000000-0005-0000-0000-0000223C0000}"/>
    <cellStyle name="20% - Accent6 2 3 6 3 4" xfId="27090" xr:uid="{00000000-0005-0000-0000-0000233C0000}"/>
    <cellStyle name="20% - Accent6 2 3 6 3 5" xfId="34192" xr:uid="{00000000-0005-0000-0000-0000243C0000}"/>
    <cellStyle name="20% - Accent6 2 3 6 4" xfId="4361" xr:uid="{00000000-0005-0000-0000-0000253C0000}"/>
    <cellStyle name="20% - Accent6 2 3 6 4 2" xfId="11467" xr:uid="{00000000-0005-0000-0000-0000263C0000}"/>
    <cellStyle name="20% - Accent6 2 3 6 4 3" xfId="18568" xr:uid="{00000000-0005-0000-0000-0000273C0000}"/>
    <cellStyle name="20% - Accent6 2 3 6 4 4" xfId="25670" xr:uid="{00000000-0005-0000-0000-0000283C0000}"/>
    <cellStyle name="20% - Accent6 2 3 6 4 5" xfId="32772" xr:uid="{00000000-0005-0000-0000-0000293C0000}"/>
    <cellStyle name="20% - Accent6 2 3 6 5" xfId="8627" xr:uid="{00000000-0005-0000-0000-00002A3C0000}"/>
    <cellStyle name="20% - Accent6 2 3 6 6" xfId="15728" xr:uid="{00000000-0005-0000-0000-00002B3C0000}"/>
    <cellStyle name="20% - Accent6 2 3 6 7" xfId="22830" xr:uid="{00000000-0005-0000-0000-00002C3C0000}"/>
    <cellStyle name="20% - Accent6 2 3 6 8" xfId="29932" xr:uid="{00000000-0005-0000-0000-00002D3C0000}"/>
    <cellStyle name="20% - Accent6 2 3 6 9" xfId="37962" xr:uid="{00000000-0005-0000-0000-00002E3C0000}"/>
    <cellStyle name="20% - Accent6 2 3 7" xfId="1732" xr:uid="{00000000-0005-0000-0000-00002F3C0000}"/>
    <cellStyle name="20% - Accent6 2 3 7 2" xfId="6000" xr:uid="{00000000-0005-0000-0000-0000303C0000}"/>
    <cellStyle name="20% - Accent6 2 3 7 2 2" xfId="13100" xr:uid="{00000000-0005-0000-0000-0000313C0000}"/>
    <cellStyle name="20% - Accent6 2 3 7 2 3" xfId="20201" xr:uid="{00000000-0005-0000-0000-0000323C0000}"/>
    <cellStyle name="20% - Accent6 2 3 7 2 4" xfId="27303" xr:uid="{00000000-0005-0000-0000-0000333C0000}"/>
    <cellStyle name="20% - Accent6 2 3 7 2 5" xfId="34405" xr:uid="{00000000-0005-0000-0000-0000343C0000}"/>
    <cellStyle name="20% - Accent6 2 3 7 3" xfId="8840" xr:uid="{00000000-0005-0000-0000-0000353C0000}"/>
    <cellStyle name="20% - Accent6 2 3 7 4" xfId="15941" xr:uid="{00000000-0005-0000-0000-0000363C0000}"/>
    <cellStyle name="20% - Accent6 2 3 7 5" xfId="23043" xr:uid="{00000000-0005-0000-0000-0000373C0000}"/>
    <cellStyle name="20% - Accent6 2 3 7 6" xfId="30145" xr:uid="{00000000-0005-0000-0000-0000383C0000}"/>
    <cellStyle name="20% - Accent6 2 3 7 7" xfId="37963" xr:uid="{00000000-0005-0000-0000-0000393C0000}"/>
    <cellStyle name="20% - Accent6 2 3 8" xfId="4579" xr:uid="{00000000-0005-0000-0000-00003A3C0000}"/>
    <cellStyle name="20% - Accent6 2 3 8 2" xfId="11680" xr:uid="{00000000-0005-0000-0000-00003B3C0000}"/>
    <cellStyle name="20% - Accent6 2 3 8 3" xfId="18781" xr:uid="{00000000-0005-0000-0000-00003C3C0000}"/>
    <cellStyle name="20% - Accent6 2 3 8 4" xfId="25883" xr:uid="{00000000-0005-0000-0000-00003D3C0000}"/>
    <cellStyle name="20% - Accent6 2 3 8 5" xfId="32985" xr:uid="{00000000-0005-0000-0000-00003E3C0000}"/>
    <cellStyle name="20% - Accent6 2 3 9" xfId="3154" xr:uid="{00000000-0005-0000-0000-00003F3C0000}"/>
    <cellStyle name="20% - Accent6 2 3 9 2" xfId="10260" xr:uid="{00000000-0005-0000-0000-0000403C0000}"/>
    <cellStyle name="20% - Accent6 2 3 9 3" xfId="17361" xr:uid="{00000000-0005-0000-0000-0000413C0000}"/>
    <cellStyle name="20% - Accent6 2 3 9 4" xfId="24463" xr:uid="{00000000-0005-0000-0000-0000423C0000}"/>
    <cellStyle name="20% - Accent6 2 3 9 5" xfId="31565" xr:uid="{00000000-0005-0000-0000-0000433C0000}"/>
    <cellStyle name="20% - Accent6 2 4" xfId="170" xr:uid="{00000000-0005-0000-0000-0000443C0000}"/>
    <cellStyle name="20% - Accent6 2 4 10" xfId="7349" xr:uid="{00000000-0005-0000-0000-0000453C0000}"/>
    <cellStyle name="20% - Accent6 2 4 11" xfId="14450" xr:uid="{00000000-0005-0000-0000-0000463C0000}"/>
    <cellStyle name="20% - Accent6 2 4 12" xfId="21552" xr:uid="{00000000-0005-0000-0000-0000473C0000}"/>
    <cellStyle name="20% - Accent6 2 4 13" xfId="28654" xr:uid="{00000000-0005-0000-0000-0000483C0000}"/>
    <cellStyle name="20% - Accent6 2 4 14" xfId="35756" xr:uid="{00000000-0005-0000-0000-0000493C0000}"/>
    <cellStyle name="20% - Accent6 2 4 15" xfId="37964" xr:uid="{00000000-0005-0000-0000-00004A3C0000}"/>
    <cellStyle name="20% - Accent6 2 4 2" xfId="383" xr:uid="{00000000-0005-0000-0000-00004B3C0000}"/>
    <cellStyle name="20% - Accent6 2 4 2 2" xfId="1874" xr:uid="{00000000-0005-0000-0000-00004C3C0000}"/>
    <cellStyle name="20% - Accent6 2 4 2 2 2" xfId="6142" xr:uid="{00000000-0005-0000-0000-00004D3C0000}"/>
    <cellStyle name="20% - Accent6 2 4 2 2 2 2" xfId="13242" xr:uid="{00000000-0005-0000-0000-00004E3C0000}"/>
    <cellStyle name="20% - Accent6 2 4 2 2 2 3" xfId="20343" xr:uid="{00000000-0005-0000-0000-00004F3C0000}"/>
    <cellStyle name="20% - Accent6 2 4 2 2 2 4" xfId="27445" xr:uid="{00000000-0005-0000-0000-0000503C0000}"/>
    <cellStyle name="20% - Accent6 2 4 2 2 2 5" xfId="34547" xr:uid="{00000000-0005-0000-0000-0000513C0000}"/>
    <cellStyle name="20% - Accent6 2 4 2 2 2 6" xfId="37965" xr:uid="{00000000-0005-0000-0000-0000523C0000}"/>
    <cellStyle name="20% - Accent6 2 4 2 2 3" xfId="8982" xr:uid="{00000000-0005-0000-0000-0000533C0000}"/>
    <cellStyle name="20% - Accent6 2 4 2 2 4" xfId="16083" xr:uid="{00000000-0005-0000-0000-0000543C0000}"/>
    <cellStyle name="20% - Accent6 2 4 2 2 5" xfId="23185" xr:uid="{00000000-0005-0000-0000-0000553C0000}"/>
    <cellStyle name="20% - Accent6 2 4 2 2 6" xfId="30287" xr:uid="{00000000-0005-0000-0000-0000563C0000}"/>
    <cellStyle name="20% - Accent6 2 4 2 2 7" xfId="37966" xr:uid="{00000000-0005-0000-0000-0000573C0000}"/>
    <cellStyle name="20% - Accent6 2 4 2 3" xfId="4721" xr:uid="{00000000-0005-0000-0000-0000583C0000}"/>
    <cellStyle name="20% - Accent6 2 4 2 3 2" xfId="11822" xr:uid="{00000000-0005-0000-0000-0000593C0000}"/>
    <cellStyle name="20% - Accent6 2 4 2 3 2 2" xfId="37967" xr:uid="{00000000-0005-0000-0000-00005A3C0000}"/>
    <cellStyle name="20% - Accent6 2 4 2 3 3" xfId="18923" xr:uid="{00000000-0005-0000-0000-00005B3C0000}"/>
    <cellStyle name="20% - Accent6 2 4 2 3 4" xfId="26025" xr:uid="{00000000-0005-0000-0000-00005C3C0000}"/>
    <cellStyle name="20% - Accent6 2 4 2 3 5" xfId="33127" xr:uid="{00000000-0005-0000-0000-00005D3C0000}"/>
    <cellStyle name="20% - Accent6 2 4 2 3 6" xfId="37968" xr:uid="{00000000-0005-0000-0000-00005E3C0000}"/>
    <cellStyle name="20% - Accent6 2 4 2 4" xfId="3296" xr:uid="{00000000-0005-0000-0000-00005F3C0000}"/>
    <cellStyle name="20% - Accent6 2 4 2 4 2" xfId="10402" xr:uid="{00000000-0005-0000-0000-0000603C0000}"/>
    <cellStyle name="20% - Accent6 2 4 2 4 3" xfId="17503" xr:uid="{00000000-0005-0000-0000-0000613C0000}"/>
    <cellStyle name="20% - Accent6 2 4 2 4 4" xfId="24605" xr:uid="{00000000-0005-0000-0000-0000623C0000}"/>
    <cellStyle name="20% - Accent6 2 4 2 4 5" xfId="31707" xr:uid="{00000000-0005-0000-0000-0000633C0000}"/>
    <cellStyle name="20% - Accent6 2 4 2 4 6" xfId="37969" xr:uid="{00000000-0005-0000-0000-0000643C0000}"/>
    <cellStyle name="20% - Accent6 2 4 2 5" xfId="7562" xr:uid="{00000000-0005-0000-0000-0000653C0000}"/>
    <cellStyle name="20% - Accent6 2 4 2 6" xfId="14663" xr:uid="{00000000-0005-0000-0000-0000663C0000}"/>
    <cellStyle name="20% - Accent6 2 4 2 7" xfId="21765" xr:uid="{00000000-0005-0000-0000-0000673C0000}"/>
    <cellStyle name="20% - Accent6 2 4 2 8" xfId="28867" xr:uid="{00000000-0005-0000-0000-0000683C0000}"/>
    <cellStyle name="20% - Accent6 2 4 2 9" xfId="37970" xr:uid="{00000000-0005-0000-0000-0000693C0000}"/>
    <cellStyle name="20% - Accent6 2 4 3" xfId="596" xr:uid="{00000000-0005-0000-0000-00006A3C0000}"/>
    <cellStyle name="20% - Accent6 2 4 3 2" xfId="2087" xr:uid="{00000000-0005-0000-0000-00006B3C0000}"/>
    <cellStyle name="20% - Accent6 2 4 3 2 2" xfId="6355" xr:uid="{00000000-0005-0000-0000-00006C3C0000}"/>
    <cellStyle name="20% - Accent6 2 4 3 2 2 2" xfId="13455" xr:uid="{00000000-0005-0000-0000-00006D3C0000}"/>
    <cellStyle name="20% - Accent6 2 4 3 2 2 3" xfId="20556" xr:uid="{00000000-0005-0000-0000-00006E3C0000}"/>
    <cellStyle name="20% - Accent6 2 4 3 2 2 4" xfId="27658" xr:uid="{00000000-0005-0000-0000-00006F3C0000}"/>
    <cellStyle name="20% - Accent6 2 4 3 2 2 5" xfId="34760" xr:uid="{00000000-0005-0000-0000-0000703C0000}"/>
    <cellStyle name="20% - Accent6 2 4 3 2 2 6" xfId="37971" xr:uid="{00000000-0005-0000-0000-0000713C0000}"/>
    <cellStyle name="20% - Accent6 2 4 3 2 3" xfId="9195" xr:uid="{00000000-0005-0000-0000-0000723C0000}"/>
    <cellStyle name="20% - Accent6 2 4 3 2 4" xfId="16296" xr:uid="{00000000-0005-0000-0000-0000733C0000}"/>
    <cellStyle name="20% - Accent6 2 4 3 2 5" xfId="23398" xr:uid="{00000000-0005-0000-0000-0000743C0000}"/>
    <cellStyle name="20% - Accent6 2 4 3 2 6" xfId="30500" xr:uid="{00000000-0005-0000-0000-0000753C0000}"/>
    <cellStyle name="20% - Accent6 2 4 3 2 7" xfId="37972" xr:uid="{00000000-0005-0000-0000-0000763C0000}"/>
    <cellStyle name="20% - Accent6 2 4 3 3" xfId="4934" xr:uid="{00000000-0005-0000-0000-0000773C0000}"/>
    <cellStyle name="20% - Accent6 2 4 3 3 2" xfId="12035" xr:uid="{00000000-0005-0000-0000-0000783C0000}"/>
    <cellStyle name="20% - Accent6 2 4 3 3 2 2" xfId="37973" xr:uid="{00000000-0005-0000-0000-0000793C0000}"/>
    <cellStyle name="20% - Accent6 2 4 3 3 3" xfId="19136" xr:uid="{00000000-0005-0000-0000-00007A3C0000}"/>
    <cellStyle name="20% - Accent6 2 4 3 3 4" xfId="26238" xr:uid="{00000000-0005-0000-0000-00007B3C0000}"/>
    <cellStyle name="20% - Accent6 2 4 3 3 5" xfId="33340" xr:uid="{00000000-0005-0000-0000-00007C3C0000}"/>
    <cellStyle name="20% - Accent6 2 4 3 3 6" xfId="37974" xr:uid="{00000000-0005-0000-0000-00007D3C0000}"/>
    <cellStyle name="20% - Accent6 2 4 3 4" xfId="3509" xr:uid="{00000000-0005-0000-0000-00007E3C0000}"/>
    <cellStyle name="20% - Accent6 2 4 3 4 2" xfId="10615" xr:uid="{00000000-0005-0000-0000-00007F3C0000}"/>
    <cellStyle name="20% - Accent6 2 4 3 4 3" xfId="17716" xr:uid="{00000000-0005-0000-0000-0000803C0000}"/>
    <cellStyle name="20% - Accent6 2 4 3 4 4" xfId="24818" xr:uid="{00000000-0005-0000-0000-0000813C0000}"/>
    <cellStyle name="20% - Accent6 2 4 3 4 5" xfId="31920" xr:uid="{00000000-0005-0000-0000-0000823C0000}"/>
    <cellStyle name="20% - Accent6 2 4 3 4 6" xfId="37975" xr:uid="{00000000-0005-0000-0000-0000833C0000}"/>
    <cellStyle name="20% - Accent6 2 4 3 5" xfId="7775" xr:uid="{00000000-0005-0000-0000-0000843C0000}"/>
    <cellStyle name="20% - Accent6 2 4 3 6" xfId="14876" xr:uid="{00000000-0005-0000-0000-0000853C0000}"/>
    <cellStyle name="20% - Accent6 2 4 3 7" xfId="21978" xr:uid="{00000000-0005-0000-0000-0000863C0000}"/>
    <cellStyle name="20% - Accent6 2 4 3 8" xfId="29080" xr:uid="{00000000-0005-0000-0000-0000873C0000}"/>
    <cellStyle name="20% - Accent6 2 4 3 9" xfId="37976" xr:uid="{00000000-0005-0000-0000-0000883C0000}"/>
    <cellStyle name="20% - Accent6 2 4 4" xfId="809" xr:uid="{00000000-0005-0000-0000-0000893C0000}"/>
    <cellStyle name="20% - Accent6 2 4 4 2" xfId="2300" xr:uid="{00000000-0005-0000-0000-00008A3C0000}"/>
    <cellStyle name="20% - Accent6 2 4 4 2 2" xfId="6568" xr:uid="{00000000-0005-0000-0000-00008B3C0000}"/>
    <cellStyle name="20% - Accent6 2 4 4 2 2 2" xfId="13668" xr:uid="{00000000-0005-0000-0000-00008C3C0000}"/>
    <cellStyle name="20% - Accent6 2 4 4 2 2 3" xfId="20769" xr:uid="{00000000-0005-0000-0000-00008D3C0000}"/>
    <cellStyle name="20% - Accent6 2 4 4 2 2 4" xfId="27871" xr:uid="{00000000-0005-0000-0000-00008E3C0000}"/>
    <cellStyle name="20% - Accent6 2 4 4 2 2 5" xfId="34973" xr:uid="{00000000-0005-0000-0000-00008F3C0000}"/>
    <cellStyle name="20% - Accent6 2 4 4 2 2 6" xfId="37977" xr:uid="{00000000-0005-0000-0000-0000903C0000}"/>
    <cellStyle name="20% - Accent6 2 4 4 2 3" xfId="9408" xr:uid="{00000000-0005-0000-0000-0000913C0000}"/>
    <cellStyle name="20% - Accent6 2 4 4 2 4" xfId="16509" xr:uid="{00000000-0005-0000-0000-0000923C0000}"/>
    <cellStyle name="20% - Accent6 2 4 4 2 5" xfId="23611" xr:uid="{00000000-0005-0000-0000-0000933C0000}"/>
    <cellStyle name="20% - Accent6 2 4 4 2 6" xfId="30713" xr:uid="{00000000-0005-0000-0000-0000943C0000}"/>
    <cellStyle name="20% - Accent6 2 4 4 2 7" xfId="37978" xr:uid="{00000000-0005-0000-0000-0000953C0000}"/>
    <cellStyle name="20% - Accent6 2 4 4 3" xfId="5147" xr:uid="{00000000-0005-0000-0000-0000963C0000}"/>
    <cellStyle name="20% - Accent6 2 4 4 3 2" xfId="12248" xr:uid="{00000000-0005-0000-0000-0000973C0000}"/>
    <cellStyle name="20% - Accent6 2 4 4 3 2 2" xfId="37979" xr:uid="{00000000-0005-0000-0000-0000983C0000}"/>
    <cellStyle name="20% - Accent6 2 4 4 3 3" xfId="19349" xr:uid="{00000000-0005-0000-0000-0000993C0000}"/>
    <cellStyle name="20% - Accent6 2 4 4 3 4" xfId="26451" xr:uid="{00000000-0005-0000-0000-00009A3C0000}"/>
    <cellStyle name="20% - Accent6 2 4 4 3 5" xfId="33553" xr:uid="{00000000-0005-0000-0000-00009B3C0000}"/>
    <cellStyle name="20% - Accent6 2 4 4 3 6" xfId="37980" xr:uid="{00000000-0005-0000-0000-00009C3C0000}"/>
    <cellStyle name="20% - Accent6 2 4 4 4" xfId="3722" xr:uid="{00000000-0005-0000-0000-00009D3C0000}"/>
    <cellStyle name="20% - Accent6 2 4 4 4 2" xfId="10828" xr:uid="{00000000-0005-0000-0000-00009E3C0000}"/>
    <cellStyle name="20% - Accent6 2 4 4 4 3" xfId="17929" xr:uid="{00000000-0005-0000-0000-00009F3C0000}"/>
    <cellStyle name="20% - Accent6 2 4 4 4 4" xfId="25031" xr:uid="{00000000-0005-0000-0000-0000A03C0000}"/>
    <cellStyle name="20% - Accent6 2 4 4 4 5" xfId="32133" xr:uid="{00000000-0005-0000-0000-0000A13C0000}"/>
    <cellStyle name="20% - Accent6 2 4 4 4 6" xfId="37981" xr:uid="{00000000-0005-0000-0000-0000A23C0000}"/>
    <cellStyle name="20% - Accent6 2 4 4 5" xfId="7988" xr:uid="{00000000-0005-0000-0000-0000A33C0000}"/>
    <cellStyle name="20% - Accent6 2 4 4 6" xfId="15089" xr:uid="{00000000-0005-0000-0000-0000A43C0000}"/>
    <cellStyle name="20% - Accent6 2 4 4 7" xfId="22191" xr:uid="{00000000-0005-0000-0000-0000A53C0000}"/>
    <cellStyle name="20% - Accent6 2 4 4 8" xfId="29293" xr:uid="{00000000-0005-0000-0000-0000A63C0000}"/>
    <cellStyle name="20% - Accent6 2 4 4 9" xfId="37982" xr:uid="{00000000-0005-0000-0000-0000A73C0000}"/>
    <cellStyle name="20% - Accent6 2 4 5" xfId="1164" xr:uid="{00000000-0005-0000-0000-0000A83C0000}"/>
    <cellStyle name="20% - Accent6 2 4 5 2" xfId="2655" xr:uid="{00000000-0005-0000-0000-0000A93C0000}"/>
    <cellStyle name="20% - Accent6 2 4 5 2 2" xfId="6923" xr:uid="{00000000-0005-0000-0000-0000AA3C0000}"/>
    <cellStyle name="20% - Accent6 2 4 5 2 2 2" xfId="14023" xr:uid="{00000000-0005-0000-0000-0000AB3C0000}"/>
    <cellStyle name="20% - Accent6 2 4 5 2 2 3" xfId="21124" xr:uid="{00000000-0005-0000-0000-0000AC3C0000}"/>
    <cellStyle name="20% - Accent6 2 4 5 2 2 4" xfId="28226" xr:uid="{00000000-0005-0000-0000-0000AD3C0000}"/>
    <cellStyle name="20% - Accent6 2 4 5 2 2 5" xfId="35328" xr:uid="{00000000-0005-0000-0000-0000AE3C0000}"/>
    <cellStyle name="20% - Accent6 2 4 5 2 3" xfId="9763" xr:uid="{00000000-0005-0000-0000-0000AF3C0000}"/>
    <cellStyle name="20% - Accent6 2 4 5 2 4" xfId="16864" xr:uid="{00000000-0005-0000-0000-0000B03C0000}"/>
    <cellStyle name="20% - Accent6 2 4 5 2 5" xfId="23966" xr:uid="{00000000-0005-0000-0000-0000B13C0000}"/>
    <cellStyle name="20% - Accent6 2 4 5 2 6" xfId="31068" xr:uid="{00000000-0005-0000-0000-0000B23C0000}"/>
    <cellStyle name="20% - Accent6 2 4 5 2 7" xfId="37983" xr:uid="{00000000-0005-0000-0000-0000B33C0000}"/>
    <cellStyle name="20% - Accent6 2 4 5 3" xfId="5502" xr:uid="{00000000-0005-0000-0000-0000B43C0000}"/>
    <cellStyle name="20% - Accent6 2 4 5 3 2" xfId="12603" xr:uid="{00000000-0005-0000-0000-0000B53C0000}"/>
    <cellStyle name="20% - Accent6 2 4 5 3 3" xfId="19704" xr:uid="{00000000-0005-0000-0000-0000B63C0000}"/>
    <cellStyle name="20% - Accent6 2 4 5 3 4" xfId="26806" xr:uid="{00000000-0005-0000-0000-0000B73C0000}"/>
    <cellStyle name="20% - Accent6 2 4 5 3 5" xfId="33908" xr:uid="{00000000-0005-0000-0000-0000B83C0000}"/>
    <cellStyle name="20% - Accent6 2 4 5 4" xfId="4077" xr:uid="{00000000-0005-0000-0000-0000B93C0000}"/>
    <cellStyle name="20% - Accent6 2 4 5 4 2" xfId="11183" xr:uid="{00000000-0005-0000-0000-0000BA3C0000}"/>
    <cellStyle name="20% - Accent6 2 4 5 4 3" xfId="18284" xr:uid="{00000000-0005-0000-0000-0000BB3C0000}"/>
    <cellStyle name="20% - Accent6 2 4 5 4 4" xfId="25386" xr:uid="{00000000-0005-0000-0000-0000BC3C0000}"/>
    <cellStyle name="20% - Accent6 2 4 5 4 5" xfId="32488" xr:uid="{00000000-0005-0000-0000-0000BD3C0000}"/>
    <cellStyle name="20% - Accent6 2 4 5 5" xfId="8343" xr:uid="{00000000-0005-0000-0000-0000BE3C0000}"/>
    <cellStyle name="20% - Accent6 2 4 5 6" xfId="15444" xr:uid="{00000000-0005-0000-0000-0000BF3C0000}"/>
    <cellStyle name="20% - Accent6 2 4 5 7" xfId="22546" xr:uid="{00000000-0005-0000-0000-0000C03C0000}"/>
    <cellStyle name="20% - Accent6 2 4 5 8" xfId="29648" xr:uid="{00000000-0005-0000-0000-0000C13C0000}"/>
    <cellStyle name="20% - Accent6 2 4 5 9" xfId="37984" xr:uid="{00000000-0005-0000-0000-0000C23C0000}"/>
    <cellStyle name="20% - Accent6 2 4 6" xfId="1377" xr:uid="{00000000-0005-0000-0000-0000C33C0000}"/>
    <cellStyle name="20% - Accent6 2 4 6 2" xfId="2868" xr:uid="{00000000-0005-0000-0000-0000C43C0000}"/>
    <cellStyle name="20% - Accent6 2 4 6 2 2" xfId="7136" xr:uid="{00000000-0005-0000-0000-0000C53C0000}"/>
    <cellStyle name="20% - Accent6 2 4 6 2 2 2" xfId="14236" xr:uid="{00000000-0005-0000-0000-0000C63C0000}"/>
    <cellStyle name="20% - Accent6 2 4 6 2 2 3" xfId="21337" xr:uid="{00000000-0005-0000-0000-0000C73C0000}"/>
    <cellStyle name="20% - Accent6 2 4 6 2 2 4" xfId="28439" xr:uid="{00000000-0005-0000-0000-0000C83C0000}"/>
    <cellStyle name="20% - Accent6 2 4 6 2 2 5" xfId="35541" xr:uid="{00000000-0005-0000-0000-0000C93C0000}"/>
    <cellStyle name="20% - Accent6 2 4 6 2 3" xfId="9976" xr:uid="{00000000-0005-0000-0000-0000CA3C0000}"/>
    <cellStyle name="20% - Accent6 2 4 6 2 4" xfId="17077" xr:uid="{00000000-0005-0000-0000-0000CB3C0000}"/>
    <cellStyle name="20% - Accent6 2 4 6 2 5" xfId="24179" xr:uid="{00000000-0005-0000-0000-0000CC3C0000}"/>
    <cellStyle name="20% - Accent6 2 4 6 2 6" xfId="31281" xr:uid="{00000000-0005-0000-0000-0000CD3C0000}"/>
    <cellStyle name="20% - Accent6 2 4 6 2 7" xfId="37985" xr:uid="{00000000-0005-0000-0000-0000CE3C0000}"/>
    <cellStyle name="20% - Accent6 2 4 6 3" xfId="5715" xr:uid="{00000000-0005-0000-0000-0000CF3C0000}"/>
    <cellStyle name="20% - Accent6 2 4 6 3 2" xfId="12816" xr:uid="{00000000-0005-0000-0000-0000D03C0000}"/>
    <cellStyle name="20% - Accent6 2 4 6 3 3" xfId="19917" xr:uid="{00000000-0005-0000-0000-0000D13C0000}"/>
    <cellStyle name="20% - Accent6 2 4 6 3 4" xfId="27019" xr:uid="{00000000-0005-0000-0000-0000D23C0000}"/>
    <cellStyle name="20% - Accent6 2 4 6 3 5" xfId="34121" xr:uid="{00000000-0005-0000-0000-0000D33C0000}"/>
    <cellStyle name="20% - Accent6 2 4 6 4" xfId="4290" xr:uid="{00000000-0005-0000-0000-0000D43C0000}"/>
    <cellStyle name="20% - Accent6 2 4 6 4 2" xfId="11396" xr:uid="{00000000-0005-0000-0000-0000D53C0000}"/>
    <cellStyle name="20% - Accent6 2 4 6 4 3" xfId="18497" xr:uid="{00000000-0005-0000-0000-0000D63C0000}"/>
    <cellStyle name="20% - Accent6 2 4 6 4 4" xfId="25599" xr:uid="{00000000-0005-0000-0000-0000D73C0000}"/>
    <cellStyle name="20% - Accent6 2 4 6 4 5" xfId="32701" xr:uid="{00000000-0005-0000-0000-0000D83C0000}"/>
    <cellStyle name="20% - Accent6 2 4 6 5" xfId="8556" xr:uid="{00000000-0005-0000-0000-0000D93C0000}"/>
    <cellStyle name="20% - Accent6 2 4 6 6" xfId="15657" xr:uid="{00000000-0005-0000-0000-0000DA3C0000}"/>
    <cellStyle name="20% - Accent6 2 4 6 7" xfId="22759" xr:uid="{00000000-0005-0000-0000-0000DB3C0000}"/>
    <cellStyle name="20% - Accent6 2 4 6 8" xfId="29861" xr:uid="{00000000-0005-0000-0000-0000DC3C0000}"/>
    <cellStyle name="20% - Accent6 2 4 6 9" xfId="37986" xr:uid="{00000000-0005-0000-0000-0000DD3C0000}"/>
    <cellStyle name="20% - Accent6 2 4 7" xfId="1661" xr:uid="{00000000-0005-0000-0000-0000DE3C0000}"/>
    <cellStyle name="20% - Accent6 2 4 7 2" xfId="5929" xr:uid="{00000000-0005-0000-0000-0000DF3C0000}"/>
    <cellStyle name="20% - Accent6 2 4 7 2 2" xfId="13029" xr:uid="{00000000-0005-0000-0000-0000E03C0000}"/>
    <cellStyle name="20% - Accent6 2 4 7 2 3" xfId="20130" xr:uid="{00000000-0005-0000-0000-0000E13C0000}"/>
    <cellStyle name="20% - Accent6 2 4 7 2 4" xfId="27232" xr:uid="{00000000-0005-0000-0000-0000E23C0000}"/>
    <cellStyle name="20% - Accent6 2 4 7 2 5" xfId="34334" xr:uid="{00000000-0005-0000-0000-0000E33C0000}"/>
    <cellStyle name="20% - Accent6 2 4 7 3" xfId="8769" xr:uid="{00000000-0005-0000-0000-0000E43C0000}"/>
    <cellStyle name="20% - Accent6 2 4 7 4" xfId="15870" xr:uid="{00000000-0005-0000-0000-0000E53C0000}"/>
    <cellStyle name="20% - Accent6 2 4 7 5" xfId="22972" xr:uid="{00000000-0005-0000-0000-0000E63C0000}"/>
    <cellStyle name="20% - Accent6 2 4 7 6" xfId="30074" xr:uid="{00000000-0005-0000-0000-0000E73C0000}"/>
    <cellStyle name="20% - Accent6 2 4 7 7" xfId="37987" xr:uid="{00000000-0005-0000-0000-0000E83C0000}"/>
    <cellStyle name="20% - Accent6 2 4 8" xfId="4508" xr:uid="{00000000-0005-0000-0000-0000E93C0000}"/>
    <cellStyle name="20% - Accent6 2 4 8 2" xfId="11609" xr:uid="{00000000-0005-0000-0000-0000EA3C0000}"/>
    <cellStyle name="20% - Accent6 2 4 8 3" xfId="18710" xr:uid="{00000000-0005-0000-0000-0000EB3C0000}"/>
    <cellStyle name="20% - Accent6 2 4 8 4" xfId="25812" xr:uid="{00000000-0005-0000-0000-0000EC3C0000}"/>
    <cellStyle name="20% - Accent6 2 4 8 5" xfId="32914" xr:uid="{00000000-0005-0000-0000-0000ED3C0000}"/>
    <cellStyle name="20% - Accent6 2 4 9" xfId="3083" xr:uid="{00000000-0005-0000-0000-0000EE3C0000}"/>
    <cellStyle name="20% - Accent6 2 4 9 2" xfId="10189" xr:uid="{00000000-0005-0000-0000-0000EF3C0000}"/>
    <cellStyle name="20% - Accent6 2 4 9 3" xfId="17290" xr:uid="{00000000-0005-0000-0000-0000F03C0000}"/>
    <cellStyle name="20% - Accent6 2 4 9 4" xfId="24392" xr:uid="{00000000-0005-0000-0000-0000F13C0000}"/>
    <cellStyle name="20% - Accent6 2 4 9 5" xfId="31494" xr:uid="{00000000-0005-0000-0000-0000F23C0000}"/>
    <cellStyle name="20% - Accent6 2 5" xfId="312" xr:uid="{00000000-0005-0000-0000-0000F33C0000}"/>
    <cellStyle name="20% - Accent6 2 5 10" xfId="37988" xr:uid="{00000000-0005-0000-0000-0000F43C0000}"/>
    <cellStyle name="20% - Accent6 2 5 2" xfId="1093" xr:uid="{00000000-0005-0000-0000-0000F53C0000}"/>
    <cellStyle name="20% - Accent6 2 5 2 2" xfId="2584" xr:uid="{00000000-0005-0000-0000-0000F63C0000}"/>
    <cellStyle name="20% - Accent6 2 5 2 2 2" xfId="6852" xr:uid="{00000000-0005-0000-0000-0000F73C0000}"/>
    <cellStyle name="20% - Accent6 2 5 2 2 2 2" xfId="13952" xr:uid="{00000000-0005-0000-0000-0000F83C0000}"/>
    <cellStyle name="20% - Accent6 2 5 2 2 2 3" xfId="21053" xr:uid="{00000000-0005-0000-0000-0000F93C0000}"/>
    <cellStyle name="20% - Accent6 2 5 2 2 2 4" xfId="28155" xr:uid="{00000000-0005-0000-0000-0000FA3C0000}"/>
    <cellStyle name="20% - Accent6 2 5 2 2 2 5" xfId="35257" xr:uid="{00000000-0005-0000-0000-0000FB3C0000}"/>
    <cellStyle name="20% - Accent6 2 5 2 2 2 6" xfId="37989" xr:uid="{00000000-0005-0000-0000-0000FC3C0000}"/>
    <cellStyle name="20% - Accent6 2 5 2 2 3" xfId="9692" xr:uid="{00000000-0005-0000-0000-0000FD3C0000}"/>
    <cellStyle name="20% - Accent6 2 5 2 2 4" xfId="16793" xr:uid="{00000000-0005-0000-0000-0000FE3C0000}"/>
    <cellStyle name="20% - Accent6 2 5 2 2 5" xfId="23895" xr:uid="{00000000-0005-0000-0000-0000FF3C0000}"/>
    <cellStyle name="20% - Accent6 2 5 2 2 6" xfId="30997" xr:uid="{00000000-0005-0000-0000-0000003D0000}"/>
    <cellStyle name="20% - Accent6 2 5 2 2 7" xfId="37990" xr:uid="{00000000-0005-0000-0000-0000013D0000}"/>
    <cellStyle name="20% - Accent6 2 5 2 3" xfId="5431" xr:uid="{00000000-0005-0000-0000-0000023D0000}"/>
    <cellStyle name="20% - Accent6 2 5 2 3 2" xfId="12532" xr:uid="{00000000-0005-0000-0000-0000033D0000}"/>
    <cellStyle name="20% - Accent6 2 5 2 3 2 2" xfId="37991" xr:uid="{00000000-0005-0000-0000-0000043D0000}"/>
    <cellStyle name="20% - Accent6 2 5 2 3 3" xfId="19633" xr:uid="{00000000-0005-0000-0000-0000053D0000}"/>
    <cellStyle name="20% - Accent6 2 5 2 3 4" xfId="26735" xr:uid="{00000000-0005-0000-0000-0000063D0000}"/>
    <cellStyle name="20% - Accent6 2 5 2 3 5" xfId="33837" xr:uid="{00000000-0005-0000-0000-0000073D0000}"/>
    <cellStyle name="20% - Accent6 2 5 2 3 6" xfId="37992" xr:uid="{00000000-0005-0000-0000-0000083D0000}"/>
    <cellStyle name="20% - Accent6 2 5 2 4" xfId="4006" xr:uid="{00000000-0005-0000-0000-0000093D0000}"/>
    <cellStyle name="20% - Accent6 2 5 2 4 2" xfId="11112" xr:uid="{00000000-0005-0000-0000-00000A3D0000}"/>
    <cellStyle name="20% - Accent6 2 5 2 4 3" xfId="18213" xr:uid="{00000000-0005-0000-0000-00000B3D0000}"/>
    <cellStyle name="20% - Accent6 2 5 2 4 4" xfId="25315" xr:uid="{00000000-0005-0000-0000-00000C3D0000}"/>
    <cellStyle name="20% - Accent6 2 5 2 4 5" xfId="32417" xr:uid="{00000000-0005-0000-0000-00000D3D0000}"/>
    <cellStyle name="20% - Accent6 2 5 2 4 6" xfId="37993" xr:uid="{00000000-0005-0000-0000-00000E3D0000}"/>
    <cellStyle name="20% - Accent6 2 5 2 5" xfId="8272" xr:uid="{00000000-0005-0000-0000-00000F3D0000}"/>
    <cellStyle name="20% - Accent6 2 5 2 6" xfId="15373" xr:uid="{00000000-0005-0000-0000-0000103D0000}"/>
    <cellStyle name="20% - Accent6 2 5 2 7" xfId="22475" xr:uid="{00000000-0005-0000-0000-0000113D0000}"/>
    <cellStyle name="20% - Accent6 2 5 2 8" xfId="29577" xr:uid="{00000000-0005-0000-0000-0000123D0000}"/>
    <cellStyle name="20% - Accent6 2 5 2 9" xfId="37994" xr:uid="{00000000-0005-0000-0000-0000133D0000}"/>
    <cellStyle name="20% - Accent6 2 5 3" xfId="1803" xr:uid="{00000000-0005-0000-0000-0000143D0000}"/>
    <cellStyle name="20% - Accent6 2 5 3 2" xfId="6071" xr:uid="{00000000-0005-0000-0000-0000153D0000}"/>
    <cellStyle name="20% - Accent6 2 5 3 2 2" xfId="13171" xr:uid="{00000000-0005-0000-0000-0000163D0000}"/>
    <cellStyle name="20% - Accent6 2 5 3 2 2 2" xfId="37995" xr:uid="{00000000-0005-0000-0000-0000173D0000}"/>
    <cellStyle name="20% - Accent6 2 5 3 2 3" xfId="20272" xr:uid="{00000000-0005-0000-0000-0000183D0000}"/>
    <cellStyle name="20% - Accent6 2 5 3 2 4" xfId="27374" xr:uid="{00000000-0005-0000-0000-0000193D0000}"/>
    <cellStyle name="20% - Accent6 2 5 3 2 5" xfId="34476" xr:uid="{00000000-0005-0000-0000-00001A3D0000}"/>
    <cellStyle name="20% - Accent6 2 5 3 2 6" xfId="37996" xr:uid="{00000000-0005-0000-0000-00001B3D0000}"/>
    <cellStyle name="20% - Accent6 2 5 3 3" xfId="8911" xr:uid="{00000000-0005-0000-0000-00001C3D0000}"/>
    <cellStyle name="20% - Accent6 2 5 3 3 2" xfId="37997" xr:uid="{00000000-0005-0000-0000-00001D3D0000}"/>
    <cellStyle name="20% - Accent6 2 5 3 3 3" xfId="37998" xr:uid="{00000000-0005-0000-0000-00001E3D0000}"/>
    <cellStyle name="20% - Accent6 2 5 3 4" xfId="16012" xr:uid="{00000000-0005-0000-0000-00001F3D0000}"/>
    <cellStyle name="20% - Accent6 2 5 3 4 2" xfId="37999" xr:uid="{00000000-0005-0000-0000-0000203D0000}"/>
    <cellStyle name="20% - Accent6 2 5 3 5" xfId="23114" xr:uid="{00000000-0005-0000-0000-0000213D0000}"/>
    <cellStyle name="20% - Accent6 2 5 3 6" xfId="30216" xr:uid="{00000000-0005-0000-0000-0000223D0000}"/>
    <cellStyle name="20% - Accent6 2 5 3 7" xfId="38000" xr:uid="{00000000-0005-0000-0000-0000233D0000}"/>
    <cellStyle name="20% - Accent6 2 5 4" xfId="4650" xr:uid="{00000000-0005-0000-0000-0000243D0000}"/>
    <cellStyle name="20% - Accent6 2 5 4 2" xfId="11751" xr:uid="{00000000-0005-0000-0000-0000253D0000}"/>
    <cellStyle name="20% - Accent6 2 5 4 2 2" xfId="38001" xr:uid="{00000000-0005-0000-0000-0000263D0000}"/>
    <cellStyle name="20% - Accent6 2 5 4 2 3" xfId="38002" xr:uid="{00000000-0005-0000-0000-0000273D0000}"/>
    <cellStyle name="20% - Accent6 2 5 4 3" xfId="18852" xr:uid="{00000000-0005-0000-0000-0000283D0000}"/>
    <cellStyle name="20% - Accent6 2 5 4 3 2" xfId="38003" xr:uid="{00000000-0005-0000-0000-0000293D0000}"/>
    <cellStyle name="20% - Accent6 2 5 4 3 3" xfId="38004" xr:uid="{00000000-0005-0000-0000-00002A3D0000}"/>
    <cellStyle name="20% - Accent6 2 5 4 4" xfId="25954" xr:uid="{00000000-0005-0000-0000-00002B3D0000}"/>
    <cellStyle name="20% - Accent6 2 5 4 4 2" xfId="38005" xr:uid="{00000000-0005-0000-0000-00002C3D0000}"/>
    <cellStyle name="20% - Accent6 2 5 4 5" xfId="33056" xr:uid="{00000000-0005-0000-0000-00002D3D0000}"/>
    <cellStyle name="20% - Accent6 2 5 4 6" xfId="38006" xr:uid="{00000000-0005-0000-0000-00002E3D0000}"/>
    <cellStyle name="20% - Accent6 2 5 5" xfId="3225" xr:uid="{00000000-0005-0000-0000-00002F3D0000}"/>
    <cellStyle name="20% - Accent6 2 5 5 2" xfId="10331" xr:uid="{00000000-0005-0000-0000-0000303D0000}"/>
    <cellStyle name="20% - Accent6 2 5 5 2 2" xfId="38007" xr:uid="{00000000-0005-0000-0000-0000313D0000}"/>
    <cellStyle name="20% - Accent6 2 5 5 3" xfId="17432" xr:uid="{00000000-0005-0000-0000-0000323D0000}"/>
    <cellStyle name="20% - Accent6 2 5 5 4" xfId="24534" xr:uid="{00000000-0005-0000-0000-0000333D0000}"/>
    <cellStyle name="20% - Accent6 2 5 5 5" xfId="31636" xr:uid="{00000000-0005-0000-0000-0000343D0000}"/>
    <cellStyle name="20% - Accent6 2 5 5 6" xfId="38008" xr:uid="{00000000-0005-0000-0000-0000353D0000}"/>
    <cellStyle name="20% - Accent6 2 5 6" xfId="7491" xr:uid="{00000000-0005-0000-0000-0000363D0000}"/>
    <cellStyle name="20% - Accent6 2 5 6 2" xfId="38009" xr:uid="{00000000-0005-0000-0000-0000373D0000}"/>
    <cellStyle name="20% - Accent6 2 5 6 3" xfId="38010" xr:uid="{00000000-0005-0000-0000-0000383D0000}"/>
    <cellStyle name="20% - Accent6 2 5 7" xfId="14592" xr:uid="{00000000-0005-0000-0000-0000393D0000}"/>
    <cellStyle name="20% - Accent6 2 5 7 2" xfId="38011" xr:uid="{00000000-0005-0000-0000-00003A3D0000}"/>
    <cellStyle name="20% - Accent6 2 5 8" xfId="21694" xr:uid="{00000000-0005-0000-0000-00003B3D0000}"/>
    <cellStyle name="20% - Accent6 2 5 9" xfId="28796" xr:uid="{00000000-0005-0000-0000-00003C3D0000}"/>
    <cellStyle name="20% - Accent6 2 6" xfId="525" xr:uid="{00000000-0005-0000-0000-00003D3D0000}"/>
    <cellStyle name="20% - Accent6 2 6 2" xfId="2016" xr:uid="{00000000-0005-0000-0000-00003E3D0000}"/>
    <cellStyle name="20% - Accent6 2 6 2 2" xfId="6284" xr:uid="{00000000-0005-0000-0000-00003F3D0000}"/>
    <cellStyle name="20% - Accent6 2 6 2 2 2" xfId="13384" xr:uid="{00000000-0005-0000-0000-0000403D0000}"/>
    <cellStyle name="20% - Accent6 2 6 2 2 3" xfId="20485" xr:uid="{00000000-0005-0000-0000-0000413D0000}"/>
    <cellStyle name="20% - Accent6 2 6 2 2 4" xfId="27587" xr:uid="{00000000-0005-0000-0000-0000423D0000}"/>
    <cellStyle name="20% - Accent6 2 6 2 2 5" xfId="34689" xr:uid="{00000000-0005-0000-0000-0000433D0000}"/>
    <cellStyle name="20% - Accent6 2 6 2 2 6" xfId="38012" xr:uid="{00000000-0005-0000-0000-0000443D0000}"/>
    <cellStyle name="20% - Accent6 2 6 2 3" xfId="9124" xr:uid="{00000000-0005-0000-0000-0000453D0000}"/>
    <cellStyle name="20% - Accent6 2 6 2 4" xfId="16225" xr:uid="{00000000-0005-0000-0000-0000463D0000}"/>
    <cellStyle name="20% - Accent6 2 6 2 5" xfId="23327" xr:uid="{00000000-0005-0000-0000-0000473D0000}"/>
    <cellStyle name="20% - Accent6 2 6 2 6" xfId="30429" xr:uid="{00000000-0005-0000-0000-0000483D0000}"/>
    <cellStyle name="20% - Accent6 2 6 2 7" xfId="38013" xr:uid="{00000000-0005-0000-0000-0000493D0000}"/>
    <cellStyle name="20% - Accent6 2 6 3" xfId="4863" xr:uid="{00000000-0005-0000-0000-00004A3D0000}"/>
    <cellStyle name="20% - Accent6 2 6 3 2" xfId="11964" xr:uid="{00000000-0005-0000-0000-00004B3D0000}"/>
    <cellStyle name="20% - Accent6 2 6 3 2 2" xfId="38014" xr:uid="{00000000-0005-0000-0000-00004C3D0000}"/>
    <cellStyle name="20% - Accent6 2 6 3 3" xfId="19065" xr:uid="{00000000-0005-0000-0000-00004D3D0000}"/>
    <cellStyle name="20% - Accent6 2 6 3 4" xfId="26167" xr:uid="{00000000-0005-0000-0000-00004E3D0000}"/>
    <cellStyle name="20% - Accent6 2 6 3 5" xfId="33269" xr:uid="{00000000-0005-0000-0000-00004F3D0000}"/>
    <cellStyle name="20% - Accent6 2 6 3 6" xfId="38015" xr:uid="{00000000-0005-0000-0000-0000503D0000}"/>
    <cellStyle name="20% - Accent6 2 6 4" xfId="3438" xr:uid="{00000000-0005-0000-0000-0000513D0000}"/>
    <cellStyle name="20% - Accent6 2 6 4 2" xfId="10544" xr:uid="{00000000-0005-0000-0000-0000523D0000}"/>
    <cellStyle name="20% - Accent6 2 6 4 3" xfId="17645" xr:uid="{00000000-0005-0000-0000-0000533D0000}"/>
    <cellStyle name="20% - Accent6 2 6 4 4" xfId="24747" xr:uid="{00000000-0005-0000-0000-0000543D0000}"/>
    <cellStyle name="20% - Accent6 2 6 4 5" xfId="31849" xr:uid="{00000000-0005-0000-0000-0000553D0000}"/>
    <cellStyle name="20% - Accent6 2 6 4 6" xfId="38016" xr:uid="{00000000-0005-0000-0000-0000563D0000}"/>
    <cellStyle name="20% - Accent6 2 6 5" xfId="7704" xr:uid="{00000000-0005-0000-0000-0000573D0000}"/>
    <cellStyle name="20% - Accent6 2 6 6" xfId="14805" xr:uid="{00000000-0005-0000-0000-0000583D0000}"/>
    <cellStyle name="20% - Accent6 2 6 7" xfId="21907" xr:uid="{00000000-0005-0000-0000-0000593D0000}"/>
    <cellStyle name="20% - Accent6 2 6 8" xfId="29009" xr:uid="{00000000-0005-0000-0000-00005A3D0000}"/>
    <cellStyle name="20% - Accent6 2 6 9" xfId="38017" xr:uid="{00000000-0005-0000-0000-00005B3D0000}"/>
    <cellStyle name="20% - Accent6 2 7" xfId="738" xr:uid="{00000000-0005-0000-0000-00005C3D0000}"/>
    <cellStyle name="20% - Accent6 2 7 2" xfId="2229" xr:uid="{00000000-0005-0000-0000-00005D3D0000}"/>
    <cellStyle name="20% - Accent6 2 7 2 2" xfId="6497" xr:uid="{00000000-0005-0000-0000-00005E3D0000}"/>
    <cellStyle name="20% - Accent6 2 7 2 2 2" xfId="13597" xr:uid="{00000000-0005-0000-0000-00005F3D0000}"/>
    <cellStyle name="20% - Accent6 2 7 2 2 3" xfId="20698" xr:uid="{00000000-0005-0000-0000-0000603D0000}"/>
    <cellStyle name="20% - Accent6 2 7 2 2 4" xfId="27800" xr:uid="{00000000-0005-0000-0000-0000613D0000}"/>
    <cellStyle name="20% - Accent6 2 7 2 2 5" xfId="34902" xr:uid="{00000000-0005-0000-0000-0000623D0000}"/>
    <cellStyle name="20% - Accent6 2 7 2 2 6" xfId="38018" xr:uid="{00000000-0005-0000-0000-0000633D0000}"/>
    <cellStyle name="20% - Accent6 2 7 2 3" xfId="9337" xr:uid="{00000000-0005-0000-0000-0000643D0000}"/>
    <cellStyle name="20% - Accent6 2 7 2 4" xfId="16438" xr:uid="{00000000-0005-0000-0000-0000653D0000}"/>
    <cellStyle name="20% - Accent6 2 7 2 5" xfId="23540" xr:uid="{00000000-0005-0000-0000-0000663D0000}"/>
    <cellStyle name="20% - Accent6 2 7 2 6" xfId="30642" xr:uid="{00000000-0005-0000-0000-0000673D0000}"/>
    <cellStyle name="20% - Accent6 2 7 2 7" xfId="38019" xr:uid="{00000000-0005-0000-0000-0000683D0000}"/>
    <cellStyle name="20% - Accent6 2 7 3" xfId="5076" xr:uid="{00000000-0005-0000-0000-0000693D0000}"/>
    <cellStyle name="20% - Accent6 2 7 3 2" xfId="12177" xr:uid="{00000000-0005-0000-0000-00006A3D0000}"/>
    <cellStyle name="20% - Accent6 2 7 3 2 2" xfId="38020" xr:uid="{00000000-0005-0000-0000-00006B3D0000}"/>
    <cellStyle name="20% - Accent6 2 7 3 3" xfId="19278" xr:uid="{00000000-0005-0000-0000-00006C3D0000}"/>
    <cellStyle name="20% - Accent6 2 7 3 4" xfId="26380" xr:uid="{00000000-0005-0000-0000-00006D3D0000}"/>
    <cellStyle name="20% - Accent6 2 7 3 5" xfId="33482" xr:uid="{00000000-0005-0000-0000-00006E3D0000}"/>
    <cellStyle name="20% - Accent6 2 7 3 6" xfId="38021" xr:uid="{00000000-0005-0000-0000-00006F3D0000}"/>
    <cellStyle name="20% - Accent6 2 7 4" xfId="3651" xr:uid="{00000000-0005-0000-0000-0000703D0000}"/>
    <cellStyle name="20% - Accent6 2 7 4 2" xfId="10757" xr:uid="{00000000-0005-0000-0000-0000713D0000}"/>
    <cellStyle name="20% - Accent6 2 7 4 3" xfId="17858" xr:uid="{00000000-0005-0000-0000-0000723D0000}"/>
    <cellStyle name="20% - Accent6 2 7 4 4" xfId="24960" xr:uid="{00000000-0005-0000-0000-0000733D0000}"/>
    <cellStyle name="20% - Accent6 2 7 4 5" xfId="32062" xr:uid="{00000000-0005-0000-0000-0000743D0000}"/>
    <cellStyle name="20% - Accent6 2 7 4 6" xfId="38022" xr:uid="{00000000-0005-0000-0000-0000753D0000}"/>
    <cellStyle name="20% - Accent6 2 7 5" xfId="7917" xr:uid="{00000000-0005-0000-0000-0000763D0000}"/>
    <cellStyle name="20% - Accent6 2 7 6" xfId="15018" xr:uid="{00000000-0005-0000-0000-0000773D0000}"/>
    <cellStyle name="20% - Accent6 2 7 7" xfId="22120" xr:uid="{00000000-0005-0000-0000-0000783D0000}"/>
    <cellStyle name="20% - Accent6 2 7 8" xfId="29222" xr:uid="{00000000-0005-0000-0000-0000793D0000}"/>
    <cellStyle name="20% - Accent6 2 7 9" xfId="38023" xr:uid="{00000000-0005-0000-0000-00007A3D0000}"/>
    <cellStyle name="20% - Accent6 2 8" xfId="951" xr:uid="{00000000-0005-0000-0000-00007B3D0000}"/>
    <cellStyle name="20% - Accent6 2 8 2" xfId="2442" xr:uid="{00000000-0005-0000-0000-00007C3D0000}"/>
    <cellStyle name="20% - Accent6 2 8 2 2" xfId="6710" xr:uid="{00000000-0005-0000-0000-00007D3D0000}"/>
    <cellStyle name="20% - Accent6 2 8 2 2 2" xfId="13810" xr:uid="{00000000-0005-0000-0000-00007E3D0000}"/>
    <cellStyle name="20% - Accent6 2 8 2 2 3" xfId="20911" xr:uid="{00000000-0005-0000-0000-00007F3D0000}"/>
    <cellStyle name="20% - Accent6 2 8 2 2 4" xfId="28013" xr:uid="{00000000-0005-0000-0000-0000803D0000}"/>
    <cellStyle name="20% - Accent6 2 8 2 2 5" xfId="35115" xr:uid="{00000000-0005-0000-0000-0000813D0000}"/>
    <cellStyle name="20% - Accent6 2 8 2 2 6" xfId="38024" xr:uid="{00000000-0005-0000-0000-0000823D0000}"/>
    <cellStyle name="20% - Accent6 2 8 2 3" xfId="9550" xr:uid="{00000000-0005-0000-0000-0000833D0000}"/>
    <cellStyle name="20% - Accent6 2 8 2 4" xfId="16651" xr:uid="{00000000-0005-0000-0000-0000843D0000}"/>
    <cellStyle name="20% - Accent6 2 8 2 5" xfId="23753" xr:uid="{00000000-0005-0000-0000-0000853D0000}"/>
    <cellStyle name="20% - Accent6 2 8 2 6" xfId="30855" xr:uid="{00000000-0005-0000-0000-0000863D0000}"/>
    <cellStyle name="20% - Accent6 2 8 2 7" xfId="38025" xr:uid="{00000000-0005-0000-0000-0000873D0000}"/>
    <cellStyle name="20% - Accent6 2 8 3" xfId="5289" xr:uid="{00000000-0005-0000-0000-0000883D0000}"/>
    <cellStyle name="20% - Accent6 2 8 3 2" xfId="12390" xr:uid="{00000000-0005-0000-0000-0000893D0000}"/>
    <cellStyle name="20% - Accent6 2 8 3 2 2" xfId="38026" xr:uid="{00000000-0005-0000-0000-00008A3D0000}"/>
    <cellStyle name="20% - Accent6 2 8 3 3" xfId="19491" xr:uid="{00000000-0005-0000-0000-00008B3D0000}"/>
    <cellStyle name="20% - Accent6 2 8 3 4" xfId="26593" xr:uid="{00000000-0005-0000-0000-00008C3D0000}"/>
    <cellStyle name="20% - Accent6 2 8 3 5" xfId="33695" xr:uid="{00000000-0005-0000-0000-00008D3D0000}"/>
    <cellStyle name="20% - Accent6 2 8 3 6" xfId="38027" xr:uid="{00000000-0005-0000-0000-00008E3D0000}"/>
    <cellStyle name="20% - Accent6 2 8 4" xfId="3864" xr:uid="{00000000-0005-0000-0000-00008F3D0000}"/>
    <cellStyle name="20% - Accent6 2 8 4 2" xfId="10970" xr:uid="{00000000-0005-0000-0000-0000903D0000}"/>
    <cellStyle name="20% - Accent6 2 8 4 3" xfId="18071" xr:uid="{00000000-0005-0000-0000-0000913D0000}"/>
    <cellStyle name="20% - Accent6 2 8 4 4" xfId="25173" xr:uid="{00000000-0005-0000-0000-0000923D0000}"/>
    <cellStyle name="20% - Accent6 2 8 4 5" xfId="32275" xr:uid="{00000000-0005-0000-0000-0000933D0000}"/>
    <cellStyle name="20% - Accent6 2 8 4 6" xfId="38028" xr:uid="{00000000-0005-0000-0000-0000943D0000}"/>
    <cellStyle name="20% - Accent6 2 8 5" xfId="8130" xr:uid="{00000000-0005-0000-0000-0000953D0000}"/>
    <cellStyle name="20% - Accent6 2 8 6" xfId="15231" xr:uid="{00000000-0005-0000-0000-0000963D0000}"/>
    <cellStyle name="20% - Accent6 2 8 7" xfId="22333" xr:uid="{00000000-0005-0000-0000-0000973D0000}"/>
    <cellStyle name="20% - Accent6 2 8 8" xfId="29435" xr:uid="{00000000-0005-0000-0000-0000983D0000}"/>
    <cellStyle name="20% - Accent6 2 8 9" xfId="38029" xr:uid="{00000000-0005-0000-0000-0000993D0000}"/>
    <cellStyle name="20% - Accent6 2 9" xfId="1306" xr:uid="{00000000-0005-0000-0000-00009A3D0000}"/>
    <cellStyle name="20% - Accent6 2 9 2" xfId="2797" xr:uid="{00000000-0005-0000-0000-00009B3D0000}"/>
    <cellStyle name="20% - Accent6 2 9 2 2" xfId="7065" xr:uid="{00000000-0005-0000-0000-00009C3D0000}"/>
    <cellStyle name="20% - Accent6 2 9 2 2 2" xfId="14165" xr:uid="{00000000-0005-0000-0000-00009D3D0000}"/>
    <cellStyle name="20% - Accent6 2 9 2 2 3" xfId="21266" xr:uid="{00000000-0005-0000-0000-00009E3D0000}"/>
    <cellStyle name="20% - Accent6 2 9 2 2 4" xfId="28368" xr:uid="{00000000-0005-0000-0000-00009F3D0000}"/>
    <cellStyle name="20% - Accent6 2 9 2 2 5" xfId="35470" xr:uid="{00000000-0005-0000-0000-0000A03D0000}"/>
    <cellStyle name="20% - Accent6 2 9 2 3" xfId="9905" xr:uid="{00000000-0005-0000-0000-0000A13D0000}"/>
    <cellStyle name="20% - Accent6 2 9 2 4" xfId="17006" xr:uid="{00000000-0005-0000-0000-0000A23D0000}"/>
    <cellStyle name="20% - Accent6 2 9 2 5" xfId="24108" xr:uid="{00000000-0005-0000-0000-0000A33D0000}"/>
    <cellStyle name="20% - Accent6 2 9 2 6" xfId="31210" xr:uid="{00000000-0005-0000-0000-0000A43D0000}"/>
    <cellStyle name="20% - Accent6 2 9 2 7" xfId="38030" xr:uid="{00000000-0005-0000-0000-0000A53D0000}"/>
    <cellStyle name="20% - Accent6 2 9 3" xfId="5644" xr:uid="{00000000-0005-0000-0000-0000A63D0000}"/>
    <cellStyle name="20% - Accent6 2 9 3 2" xfId="12745" xr:uid="{00000000-0005-0000-0000-0000A73D0000}"/>
    <cellStyle name="20% - Accent6 2 9 3 3" xfId="19846" xr:uid="{00000000-0005-0000-0000-0000A83D0000}"/>
    <cellStyle name="20% - Accent6 2 9 3 4" xfId="26948" xr:uid="{00000000-0005-0000-0000-0000A93D0000}"/>
    <cellStyle name="20% - Accent6 2 9 3 5" xfId="34050" xr:uid="{00000000-0005-0000-0000-0000AA3D0000}"/>
    <cellStyle name="20% - Accent6 2 9 4" xfId="4219" xr:uid="{00000000-0005-0000-0000-0000AB3D0000}"/>
    <cellStyle name="20% - Accent6 2 9 4 2" xfId="11325" xr:uid="{00000000-0005-0000-0000-0000AC3D0000}"/>
    <cellStyle name="20% - Accent6 2 9 4 3" xfId="18426" xr:uid="{00000000-0005-0000-0000-0000AD3D0000}"/>
    <cellStyle name="20% - Accent6 2 9 4 4" xfId="25528" xr:uid="{00000000-0005-0000-0000-0000AE3D0000}"/>
    <cellStyle name="20% - Accent6 2 9 4 5" xfId="32630" xr:uid="{00000000-0005-0000-0000-0000AF3D0000}"/>
    <cellStyle name="20% - Accent6 2 9 5" xfId="8485" xr:uid="{00000000-0005-0000-0000-0000B03D0000}"/>
    <cellStyle name="20% - Accent6 2 9 6" xfId="15586" xr:uid="{00000000-0005-0000-0000-0000B13D0000}"/>
    <cellStyle name="20% - Accent6 2 9 7" xfId="22688" xr:uid="{00000000-0005-0000-0000-0000B23D0000}"/>
    <cellStyle name="20% - Accent6 2 9 8" xfId="29790" xr:uid="{00000000-0005-0000-0000-0000B33D0000}"/>
    <cellStyle name="20% - Accent6 2 9 9" xfId="38031" xr:uid="{00000000-0005-0000-0000-0000B43D0000}"/>
    <cellStyle name="20% - Accent6 20" xfId="38032" xr:uid="{00000000-0005-0000-0000-0000B53D0000}"/>
    <cellStyle name="20% - Accent6 21" xfId="38033" xr:uid="{00000000-0005-0000-0000-0000B63D0000}"/>
    <cellStyle name="20% - Accent6 22" xfId="38034" xr:uid="{00000000-0005-0000-0000-0000B73D0000}"/>
    <cellStyle name="20% - Accent6 23" xfId="38035" xr:uid="{00000000-0005-0000-0000-0000B83D0000}"/>
    <cellStyle name="20% - Accent6 24" xfId="38036" xr:uid="{00000000-0005-0000-0000-0000B93D0000}"/>
    <cellStyle name="20% - Accent6 25" xfId="38037" xr:uid="{00000000-0005-0000-0000-0000BA3D0000}"/>
    <cellStyle name="20% - Accent6 3" xfId="107" xr:uid="{00000000-0005-0000-0000-0000BB3D0000}"/>
    <cellStyle name="20% - Accent6 3 10" xfId="4451" xr:uid="{00000000-0005-0000-0000-0000BC3D0000}"/>
    <cellStyle name="20% - Accent6 3 10 2" xfId="11552" xr:uid="{00000000-0005-0000-0000-0000BD3D0000}"/>
    <cellStyle name="20% - Accent6 3 10 3" xfId="18653" xr:uid="{00000000-0005-0000-0000-0000BE3D0000}"/>
    <cellStyle name="20% - Accent6 3 10 4" xfId="25755" xr:uid="{00000000-0005-0000-0000-0000BF3D0000}"/>
    <cellStyle name="20% - Accent6 3 10 5" xfId="32857" xr:uid="{00000000-0005-0000-0000-0000C03D0000}"/>
    <cellStyle name="20% - Accent6 3 11" xfId="3026" xr:uid="{00000000-0005-0000-0000-0000C13D0000}"/>
    <cellStyle name="20% - Accent6 3 11 2" xfId="10132" xr:uid="{00000000-0005-0000-0000-0000C23D0000}"/>
    <cellStyle name="20% - Accent6 3 11 3" xfId="17233" xr:uid="{00000000-0005-0000-0000-0000C33D0000}"/>
    <cellStyle name="20% - Accent6 3 11 4" xfId="24335" xr:uid="{00000000-0005-0000-0000-0000C43D0000}"/>
    <cellStyle name="20% - Accent6 3 11 5" xfId="31437" xr:uid="{00000000-0005-0000-0000-0000C53D0000}"/>
    <cellStyle name="20% - Accent6 3 12" xfId="7292" xr:uid="{00000000-0005-0000-0000-0000C63D0000}"/>
    <cellStyle name="20% - Accent6 3 13" xfId="14393" xr:uid="{00000000-0005-0000-0000-0000C73D0000}"/>
    <cellStyle name="20% - Accent6 3 14" xfId="21495" xr:uid="{00000000-0005-0000-0000-0000C83D0000}"/>
    <cellStyle name="20% - Accent6 3 15" xfId="28597" xr:uid="{00000000-0005-0000-0000-0000C93D0000}"/>
    <cellStyle name="20% - Accent6 3 16" xfId="35699" xr:uid="{00000000-0005-0000-0000-0000CA3D0000}"/>
    <cellStyle name="20% - Accent6 3 17" xfId="38038" xr:uid="{00000000-0005-0000-0000-0000CB3D0000}"/>
    <cellStyle name="20% - Accent6 3 18" xfId="38039" xr:uid="{00000000-0005-0000-0000-0000CC3D0000}"/>
    <cellStyle name="20% - Accent6 3 2" xfId="255" xr:uid="{00000000-0005-0000-0000-0000CD3D0000}"/>
    <cellStyle name="20% - Accent6 3 2 10" xfId="7434" xr:uid="{00000000-0005-0000-0000-0000CE3D0000}"/>
    <cellStyle name="20% - Accent6 3 2 11" xfId="14535" xr:uid="{00000000-0005-0000-0000-0000CF3D0000}"/>
    <cellStyle name="20% - Accent6 3 2 12" xfId="21637" xr:uid="{00000000-0005-0000-0000-0000D03D0000}"/>
    <cellStyle name="20% - Accent6 3 2 13" xfId="28739" xr:uid="{00000000-0005-0000-0000-0000D13D0000}"/>
    <cellStyle name="20% - Accent6 3 2 14" xfId="35841" xr:uid="{00000000-0005-0000-0000-0000D23D0000}"/>
    <cellStyle name="20% - Accent6 3 2 15" xfId="38040" xr:uid="{00000000-0005-0000-0000-0000D33D0000}"/>
    <cellStyle name="20% - Accent6 3 2 2" xfId="468" xr:uid="{00000000-0005-0000-0000-0000D43D0000}"/>
    <cellStyle name="20% - Accent6 3 2 2 10" xfId="38041" xr:uid="{00000000-0005-0000-0000-0000D53D0000}"/>
    <cellStyle name="20% - Accent6 3 2 2 2" xfId="1249" xr:uid="{00000000-0005-0000-0000-0000D63D0000}"/>
    <cellStyle name="20% - Accent6 3 2 2 2 2" xfId="2740" xr:uid="{00000000-0005-0000-0000-0000D73D0000}"/>
    <cellStyle name="20% - Accent6 3 2 2 2 2 2" xfId="7008" xr:uid="{00000000-0005-0000-0000-0000D83D0000}"/>
    <cellStyle name="20% - Accent6 3 2 2 2 2 2 2" xfId="14108" xr:uid="{00000000-0005-0000-0000-0000D93D0000}"/>
    <cellStyle name="20% - Accent6 3 2 2 2 2 2 3" xfId="21209" xr:uid="{00000000-0005-0000-0000-0000DA3D0000}"/>
    <cellStyle name="20% - Accent6 3 2 2 2 2 2 4" xfId="28311" xr:uid="{00000000-0005-0000-0000-0000DB3D0000}"/>
    <cellStyle name="20% - Accent6 3 2 2 2 2 2 5" xfId="35413" xr:uid="{00000000-0005-0000-0000-0000DC3D0000}"/>
    <cellStyle name="20% - Accent6 3 2 2 2 2 3" xfId="9848" xr:uid="{00000000-0005-0000-0000-0000DD3D0000}"/>
    <cellStyle name="20% - Accent6 3 2 2 2 2 4" xfId="16949" xr:uid="{00000000-0005-0000-0000-0000DE3D0000}"/>
    <cellStyle name="20% - Accent6 3 2 2 2 2 5" xfId="24051" xr:uid="{00000000-0005-0000-0000-0000DF3D0000}"/>
    <cellStyle name="20% - Accent6 3 2 2 2 2 6" xfId="31153" xr:uid="{00000000-0005-0000-0000-0000E03D0000}"/>
    <cellStyle name="20% - Accent6 3 2 2 2 2 7" xfId="38042" xr:uid="{00000000-0005-0000-0000-0000E13D0000}"/>
    <cellStyle name="20% - Accent6 3 2 2 2 3" xfId="5587" xr:uid="{00000000-0005-0000-0000-0000E23D0000}"/>
    <cellStyle name="20% - Accent6 3 2 2 2 3 2" xfId="12688" xr:uid="{00000000-0005-0000-0000-0000E33D0000}"/>
    <cellStyle name="20% - Accent6 3 2 2 2 3 3" xfId="19789" xr:uid="{00000000-0005-0000-0000-0000E43D0000}"/>
    <cellStyle name="20% - Accent6 3 2 2 2 3 4" xfId="26891" xr:uid="{00000000-0005-0000-0000-0000E53D0000}"/>
    <cellStyle name="20% - Accent6 3 2 2 2 3 5" xfId="33993" xr:uid="{00000000-0005-0000-0000-0000E63D0000}"/>
    <cellStyle name="20% - Accent6 3 2 2 2 4" xfId="4162" xr:uid="{00000000-0005-0000-0000-0000E73D0000}"/>
    <cellStyle name="20% - Accent6 3 2 2 2 4 2" xfId="11268" xr:uid="{00000000-0005-0000-0000-0000E83D0000}"/>
    <cellStyle name="20% - Accent6 3 2 2 2 4 3" xfId="18369" xr:uid="{00000000-0005-0000-0000-0000E93D0000}"/>
    <cellStyle name="20% - Accent6 3 2 2 2 4 4" xfId="25471" xr:uid="{00000000-0005-0000-0000-0000EA3D0000}"/>
    <cellStyle name="20% - Accent6 3 2 2 2 4 5" xfId="32573" xr:uid="{00000000-0005-0000-0000-0000EB3D0000}"/>
    <cellStyle name="20% - Accent6 3 2 2 2 5" xfId="8428" xr:uid="{00000000-0005-0000-0000-0000EC3D0000}"/>
    <cellStyle name="20% - Accent6 3 2 2 2 6" xfId="15529" xr:uid="{00000000-0005-0000-0000-0000ED3D0000}"/>
    <cellStyle name="20% - Accent6 3 2 2 2 7" xfId="22631" xr:uid="{00000000-0005-0000-0000-0000EE3D0000}"/>
    <cellStyle name="20% - Accent6 3 2 2 2 8" xfId="29733" xr:uid="{00000000-0005-0000-0000-0000EF3D0000}"/>
    <cellStyle name="20% - Accent6 3 2 2 2 9" xfId="38043" xr:uid="{00000000-0005-0000-0000-0000F03D0000}"/>
    <cellStyle name="20% - Accent6 3 2 2 3" xfId="1959" xr:uid="{00000000-0005-0000-0000-0000F13D0000}"/>
    <cellStyle name="20% - Accent6 3 2 2 3 2" xfId="6227" xr:uid="{00000000-0005-0000-0000-0000F23D0000}"/>
    <cellStyle name="20% - Accent6 3 2 2 3 2 2" xfId="13327" xr:uid="{00000000-0005-0000-0000-0000F33D0000}"/>
    <cellStyle name="20% - Accent6 3 2 2 3 2 3" xfId="20428" xr:uid="{00000000-0005-0000-0000-0000F43D0000}"/>
    <cellStyle name="20% - Accent6 3 2 2 3 2 4" xfId="27530" xr:uid="{00000000-0005-0000-0000-0000F53D0000}"/>
    <cellStyle name="20% - Accent6 3 2 2 3 2 5" xfId="34632" xr:uid="{00000000-0005-0000-0000-0000F63D0000}"/>
    <cellStyle name="20% - Accent6 3 2 2 3 2 6" xfId="38044" xr:uid="{00000000-0005-0000-0000-0000F73D0000}"/>
    <cellStyle name="20% - Accent6 3 2 2 3 3" xfId="9067" xr:uid="{00000000-0005-0000-0000-0000F83D0000}"/>
    <cellStyle name="20% - Accent6 3 2 2 3 4" xfId="16168" xr:uid="{00000000-0005-0000-0000-0000F93D0000}"/>
    <cellStyle name="20% - Accent6 3 2 2 3 5" xfId="23270" xr:uid="{00000000-0005-0000-0000-0000FA3D0000}"/>
    <cellStyle name="20% - Accent6 3 2 2 3 6" xfId="30372" xr:uid="{00000000-0005-0000-0000-0000FB3D0000}"/>
    <cellStyle name="20% - Accent6 3 2 2 3 7" xfId="38045" xr:uid="{00000000-0005-0000-0000-0000FC3D0000}"/>
    <cellStyle name="20% - Accent6 3 2 2 4" xfId="4806" xr:uid="{00000000-0005-0000-0000-0000FD3D0000}"/>
    <cellStyle name="20% - Accent6 3 2 2 4 2" xfId="11907" xr:uid="{00000000-0005-0000-0000-0000FE3D0000}"/>
    <cellStyle name="20% - Accent6 3 2 2 4 3" xfId="19008" xr:uid="{00000000-0005-0000-0000-0000FF3D0000}"/>
    <cellStyle name="20% - Accent6 3 2 2 4 4" xfId="26110" xr:uid="{00000000-0005-0000-0000-0000003E0000}"/>
    <cellStyle name="20% - Accent6 3 2 2 4 5" xfId="33212" xr:uid="{00000000-0005-0000-0000-0000013E0000}"/>
    <cellStyle name="20% - Accent6 3 2 2 4 6" xfId="38046" xr:uid="{00000000-0005-0000-0000-0000023E0000}"/>
    <cellStyle name="20% - Accent6 3 2 2 5" xfId="3381" xr:uid="{00000000-0005-0000-0000-0000033E0000}"/>
    <cellStyle name="20% - Accent6 3 2 2 5 2" xfId="10487" xr:uid="{00000000-0005-0000-0000-0000043E0000}"/>
    <cellStyle name="20% - Accent6 3 2 2 5 3" xfId="17588" xr:uid="{00000000-0005-0000-0000-0000053E0000}"/>
    <cellStyle name="20% - Accent6 3 2 2 5 4" xfId="24690" xr:uid="{00000000-0005-0000-0000-0000063E0000}"/>
    <cellStyle name="20% - Accent6 3 2 2 5 5" xfId="31792" xr:uid="{00000000-0005-0000-0000-0000073E0000}"/>
    <cellStyle name="20% - Accent6 3 2 2 6" xfId="7647" xr:uid="{00000000-0005-0000-0000-0000083E0000}"/>
    <cellStyle name="20% - Accent6 3 2 2 7" xfId="14748" xr:uid="{00000000-0005-0000-0000-0000093E0000}"/>
    <cellStyle name="20% - Accent6 3 2 2 8" xfId="21850" xr:uid="{00000000-0005-0000-0000-00000A3E0000}"/>
    <cellStyle name="20% - Accent6 3 2 2 9" xfId="28952" xr:uid="{00000000-0005-0000-0000-00000B3E0000}"/>
    <cellStyle name="20% - Accent6 3 2 3" xfId="681" xr:uid="{00000000-0005-0000-0000-00000C3E0000}"/>
    <cellStyle name="20% - Accent6 3 2 3 2" xfId="2172" xr:uid="{00000000-0005-0000-0000-00000D3E0000}"/>
    <cellStyle name="20% - Accent6 3 2 3 2 2" xfId="6440" xr:uid="{00000000-0005-0000-0000-00000E3E0000}"/>
    <cellStyle name="20% - Accent6 3 2 3 2 2 2" xfId="13540" xr:uid="{00000000-0005-0000-0000-00000F3E0000}"/>
    <cellStyle name="20% - Accent6 3 2 3 2 2 3" xfId="20641" xr:uid="{00000000-0005-0000-0000-0000103E0000}"/>
    <cellStyle name="20% - Accent6 3 2 3 2 2 4" xfId="27743" xr:uid="{00000000-0005-0000-0000-0000113E0000}"/>
    <cellStyle name="20% - Accent6 3 2 3 2 2 5" xfId="34845" xr:uid="{00000000-0005-0000-0000-0000123E0000}"/>
    <cellStyle name="20% - Accent6 3 2 3 2 2 6" xfId="38047" xr:uid="{00000000-0005-0000-0000-0000133E0000}"/>
    <cellStyle name="20% - Accent6 3 2 3 2 3" xfId="9280" xr:uid="{00000000-0005-0000-0000-0000143E0000}"/>
    <cellStyle name="20% - Accent6 3 2 3 2 4" xfId="16381" xr:uid="{00000000-0005-0000-0000-0000153E0000}"/>
    <cellStyle name="20% - Accent6 3 2 3 2 5" xfId="23483" xr:uid="{00000000-0005-0000-0000-0000163E0000}"/>
    <cellStyle name="20% - Accent6 3 2 3 2 6" xfId="30585" xr:uid="{00000000-0005-0000-0000-0000173E0000}"/>
    <cellStyle name="20% - Accent6 3 2 3 2 7" xfId="38048" xr:uid="{00000000-0005-0000-0000-0000183E0000}"/>
    <cellStyle name="20% - Accent6 3 2 3 3" xfId="5019" xr:uid="{00000000-0005-0000-0000-0000193E0000}"/>
    <cellStyle name="20% - Accent6 3 2 3 3 2" xfId="12120" xr:uid="{00000000-0005-0000-0000-00001A3E0000}"/>
    <cellStyle name="20% - Accent6 3 2 3 3 2 2" xfId="38049" xr:uid="{00000000-0005-0000-0000-00001B3E0000}"/>
    <cellStyle name="20% - Accent6 3 2 3 3 3" xfId="19221" xr:uid="{00000000-0005-0000-0000-00001C3E0000}"/>
    <cellStyle name="20% - Accent6 3 2 3 3 4" xfId="26323" xr:uid="{00000000-0005-0000-0000-00001D3E0000}"/>
    <cellStyle name="20% - Accent6 3 2 3 3 5" xfId="33425" xr:uid="{00000000-0005-0000-0000-00001E3E0000}"/>
    <cellStyle name="20% - Accent6 3 2 3 3 6" xfId="38050" xr:uid="{00000000-0005-0000-0000-00001F3E0000}"/>
    <cellStyle name="20% - Accent6 3 2 3 4" xfId="3594" xr:uid="{00000000-0005-0000-0000-0000203E0000}"/>
    <cellStyle name="20% - Accent6 3 2 3 4 2" xfId="10700" xr:uid="{00000000-0005-0000-0000-0000213E0000}"/>
    <cellStyle name="20% - Accent6 3 2 3 4 3" xfId="17801" xr:uid="{00000000-0005-0000-0000-0000223E0000}"/>
    <cellStyle name="20% - Accent6 3 2 3 4 4" xfId="24903" xr:uid="{00000000-0005-0000-0000-0000233E0000}"/>
    <cellStyle name="20% - Accent6 3 2 3 4 5" xfId="32005" xr:uid="{00000000-0005-0000-0000-0000243E0000}"/>
    <cellStyle name="20% - Accent6 3 2 3 4 6" xfId="38051" xr:uid="{00000000-0005-0000-0000-0000253E0000}"/>
    <cellStyle name="20% - Accent6 3 2 3 5" xfId="7860" xr:uid="{00000000-0005-0000-0000-0000263E0000}"/>
    <cellStyle name="20% - Accent6 3 2 3 6" xfId="14961" xr:uid="{00000000-0005-0000-0000-0000273E0000}"/>
    <cellStyle name="20% - Accent6 3 2 3 7" xfId="22063" xr:uid="{00000000-0005-0000-0000-0000283E0000}"/>
    <cellStyle name="20% - Accent6 3 2 3 8" xfId="29165" xr:uid="{00000000-0005-0000-0000-0000293E0000}"/>
    <cellStyle name="20% - Accent6 3 2 3 9" xfId="38052" xr:uid="{00000000-0005-0000-0000-00002A3E0000}"/>
    <cellStyle name="20% - Accent6 3 2 4" xfId="894" xr:uid="{00000000-0005-0000-0000-00002B3E0000}"/>
    <cellStyle name="20% - Accent6 3 2 4 2" xfId="2385" xr:uid="{00000000-0005-0000-0000-00002C3E0000}"/>
    <cellStyle name="20% - Accent6 3 2 4 2 2" xfId="6653" xr:uid="{00000000-0005-0000-0000-00002D3E0000}"/>
    <cellStyle name="20% - Accent6 3 2 4 2 2 2" xfId="13753" xr:uid="{00000000-0005-0000-0000-00002E3E0000}"/>
    <cellStyle name="20% - Accent6 3 2 4 2 2 3" xfId="20854" xr:uid="{00000000-0005-0000-0000-00002F3E0000}"/>
    <cellStyle name="20% - Accent6 3 2 4 2 2 4" xfId="27956" xr:uid="{00000000-0005-0000-0000-0000303E0000}"/>
    <cellStyle name="20% - Accent6 3 2 4 2 2 5" xfId="35058" xr:uid="{00000000-0005-0000-0000-0000313E0000}"/>
    <cellStyle name="20% - Accent6 3 2 4 2 2 6" xfId="38053" xr:uid="{00000000-0005-0000-0000-0000323E0000}"/>
    <cellStyle name="20% - Accent6 3 2 4 2 3" xfId="9493" xr:uid="{00000000-0005-0000-0000-0000333E0000}"/>
    <cellStyle name="20% - Accent6 3 2 4 2 4" xfId="16594" xr:uid="{00000000-0005-0000-0000-0000343E0000}"/>
    <cellStyle name="20% - Accent6 3 2 4 2 5" xfId="23696" xr:uid="{00000000-0005-0000-0000-0000353E0000}"/>
    <cellStyle name="20% - Accent6 3 2 4 2 6" xfId="30798" xr:uid="{00000000-0005-0000-0000-0000363E0000}"/>
    <cellStyle name="20% - Accent6 3 2 4 2 7" xfId="38054" xr:uid="{00000000-0005-0000-0000-0000373E0000}"/>
    <cellStyle name="20% - Accent6 3 2 4 3" xfId="5232" xr:uid="{00000000-0005-0000-0000-0000383E0000}"/>
    <cellStyle name="20% - Accent6 3 2 4 3 2" xfId="12333" xr:uid="{00000000-0005-0000-0000-0000393E0000}"/>
    <cellStyle name="20% - Accent6 3 2 4 3 2 2" xfId="38055" xr:uid="{00000000-0005-0000-0000-00003A3E0000}"/>
    <cellStyle name="20% - Accent6 3 2 4 3 3" xfId="19434" xr:uid="{00000000-0005-0000-0000-00003B3E0000}"/>
    <cellStyle name="20% - Accent6 3 2 4 3 4" xfId="26536" xr:uid="{00000000-0005-0000-0000-00003C3E0000}"/>
    <cellStyle name="20% - Accent6 3 2 4 3 5" xfId="33638" xr:uid="{00000000-0005-0000-0000-00003D3E0000}"/>
    <cellStyle name="20% - Accent6 3 2 4 3 6" xfId="38056" xr:uid="{00000000-0005-0000-0000-00003E3E0000}"/>
    <cellStyle name="20% - Accent6 3 2 4 4" xfId="3807" xr:uid="{00000000-0005-0000-0000-00003F3E0000}"/>
    <cellStyle name="20% - Accent6 3 2 4 4 2" xfId="10913" xr:uid="{00000000-0005-0000-0000-0000403E0000}"/>
    <cellStyle name="20% - Accent6 3 2 4 4 3" xfId="18014" xr:uid="{00000000-0005-0000-0000-0000413E0000}"/>
    <cellStyle name="20% - Accent6 3 2 4 4 4" xfId="25116" xr:uid="{00000000-0005-0000-0000-0000423E0000}"/>
    <cellStyle name="20% - Accent6 3 2 4 4 5" xfId="32218" xr:uid="{00000000-0005-0000-0000-0000433E0000}"/>
    <cellStyle name="20% - Accent6 3 2 4 4 6" xfId="38057" xr:uid="{00000000-0005-0000-0000-0000443E0000}"/>
    <cellStyle name="20% - Accent6 3 2 4 5" xfId="8073" xr:uid="{00000000-0005-0000-0000-0000453E0000}"/>
    <cellStyle name="20% - Accent6 3 2 4 6" xfId="15174" xr:uid="{00000000-0005-0000-0000-0000463E0000}"/>
    <cellStyle name="20% - Accent6 3 2 4 7" xfId="22276" xr:uid="{00000000-0005-0000-0000-0000473E0000}"/>
    <cellStyle name="20% - Accent6 3 2 4 8" xfId="29378" xr:uid="{00000000-0005-0000-0000-0000483E0000}"/>
    <cellStyle name="20% - Accent6 3 2 4 9" xfId="38058" xr:uid="{00000000-0005-0000-0000-0000493E0000}"/>
    <cellStyle name="20% - Accent6 3 2 5" xfId="1036" xr:uid="{00000000-0005-0000-0000-00004A3E0000}"/>
    <cellStyle name="20% - Accent6 3 2 5 2" xfId="2527" xr:uid="{00000000-0005-0000-0000-00004B3E0000}"/>
    <cellStyle name="20% - Accent6 3 2 5 2 2" xfId="6795" xr:uid="{00000000-0005-0000-0000-00004C3E0000}"/>
    <cellStyle name="20% - Accent6 3 2 5 2 2 2" xfId="13895" xr:uid="{00000000-0005-0000-0000-00004D3E0000}"/>
    <cellStyle name="20% - Accent6 3 2 5 2 2 3" xfId="20996" xr:uid="{00000000-0005-0000-0000-00004E3E0000}"/>
    <cellStyle name="20% - Accent6 3 2 5 2 2 4" xfId="28098" xr:uid="{00000000-0005-0000-0000-00004F3E0000}"/>
    <cellStyle name="20% - Accent6 3 2 5 2 2 5" xfId="35200" xr:uid="{00000000-0005-0000-0000-0000503E0000}"/>
    <cellStyle name="20% - Accent6 3 2 5 2 3" xfId="9635" xr:uid="{00000000-0005-0000-0000-0000513E0000}"/>
    <cellStyle name="20% - Accent6 3 2 5 2 4" xfId="16736" xr:uid="{00000000-0005-0000-0000-0000523E0000}"/>
    <cellStyle name="20% - Accent6 3 2 5 2 5" xfId="23838" xr:uid="{00000000-0005-0000-0000-0000533E0000}"/>
    <cellStyle name="20% - Accent6 3 2 5 2 6" xfId="30940" xr:uid="{00000000-0005-0000-0000-0000543E0000}"/>
    <cellStyle name="20% - Accent6 3 2 5 2 7" xfId="38059" xr:uid="{00000000-0005-0000-0000-0000553E0000}"/>
    <cellStyle name="20% - Accent6 3 2 5 3" xfId="5374" xr:uid="{00000000-0005-0000-0000-0000563E0000}"/>
    <cellStyle name="20% - Accent6 3 2 5 3 2" xfId="12475" xr:uid="{00000000-0005-0000-0000-0000573E0000}"/>
    <cellStyle name="20% - Accent6 3 2 5 3 3" xfId="19576" xr:uid="{00000000-0005-0000-0000-0000583E0000}"/>
    <cellStyle name="20% - Accent6 3 2 5 3 4" xfId="26678" xr:uid="{00000000-0005-0000-0000-0000593E0000}"/>
    <cellStyle name="20% - Accent6 3 2 5 3 5" xfId="33780" xr:uid="{00000000-0005-0000-0000-00005A3E0000}"/>
    <cellStyle name="20% - Accent6 3 2 5 4" xfId="3949" xr:uid="{00000000-0005-0000-0000-00005B3E0000}"/>
    <cellStyle name="20% - Accent6 3 2 5 4 2" xfId="11055" xr:uid="{00000000-0005-0000-0000-00005C3E0000}"/>
    <cellStyle name="20% - Accent6 3 2 5 4 3" xfId="18156" xr:uid="{00000000-0005-0000-0000-00005D3E0000}"/>
    <cellStyle name="20% - Accent6 3 2 5 4 4" xfId="25258" xr:uid="{00000000-0005-0000-0000-00005E3E0000}"/>
    <cellStyle name="20% - Accent6 3 2 5 4 5" xfId="32360" xr:uid="{00000000-0005-0000-0000-00005F3E0000}"/>
    <cellStyle name="20% - Accent6 3 2 5 5" xfId="8215" xr:uid="{00000000-0005-0000-0000-0000603E0000}"/>
    <cellStyle name="20% - Accent6 3 2 5 6" xfId="15316" xr:uid="{00000000-0005-0000-0000-0000613E0000}"/>
    <cellStyle name="20% - Accent6 3 2 5 7" xfId="22418" xr:uid="{00000000-0005-0000-0000-0000623E0000}"/>
    <cellStyle name="20% - Accent6 3 2 5 8" xfId="29520" xr:uid="{00000000-0005-0000-0000-0000633E0000}"/>
    <cellStyle name="20% - Accent6 3 2 5 9" xfId="38060" xr:uid="{00000000-0005-0000-0000-0000643E0000}"/>
    <cellStyle name="20% - Accent6 3 2 6" xfId="1462" xr:uid="{00000000-0005-0000-0000-0000653E0000}"/>
    <cellStyle name="20% - Accent6 3 2 6 2" xfId="2953" xr:uid="{00000000-0005-0000-0000-0000663E0000}"/>
    <cellStyle name="20% - Accent6 3 2 6 2 2" xfId="7221" xr:uid="{00000000-0005-0000-0000-0000673E0000}"/>
    <cellStyle name="20% - Accent6 3 2 6 2 2 2" xfId="14321" xr:uid="{00000000-0005-0000-0000-0000683E0000}"/>
    <cellStyle name="20% - Accent6 3 2 6 2 2 3" xfId="21422" xr:uid="{00000000-0005-0000-0000-0000693E0000}"/>
    <cellStyle name="20% - Accent6 3 2 6 2 2 4" xfId="28524" xr:uid="{00000000-0005-0000-0000-00006A3E0000}"/>
    <cellStyle name="20% - Accent6 3 2 6 2 2 5" xfId="35626" xr:uid="{00000000-0005-0000-0000-00006B3E0000}"/>
    <cellStyle name="20% - Accent6 3 2 6 2 3" xfId="10061" xr:uid="{00000000-0005-0000-0000-00006C3E0000}"/>
    <cellStyle name="20% - Accent6 3 2 6 2 4" xfId="17162" xr:uid="{00000000-0005-0000-0000-00006D3E0000}"/>
    <cellStyle name="20% - Accent6 3 2 6 2 5" xfId="24264" xr:uid="{00000000-0005-0000-0000-00006E3E0000}"/>
    <cellStyle name="20% - Accent6 3 2 6 2 6" xfId="31366" xr:uid="{00000000-0005-0000-0000-00006F3E0000}"/>
    <cellStyle name="20% - Accent6 3 2 6 2 7" xfId="38061" xr:uid="{00000000-0005-0000-0000-0000703E0000}"/>
    <cellStyle name="20% - Accent6 3 2 6 3" xfId="5800" xr:uid="{00000000-0005-0000-0000-0000713E0000}"/>
    <cellStyle name="20% - Accent6 3 2 6 3 2" xfId="12901" xr:uid="{00000000-0005-0000-0000-0000723E0000}"/>
    <cellStyle name="20% - Accent6 3 2 6 3 3" xfId="20002" xr:uid="{00000000-0005-0000-0000-0000733E0000}"/>
    <cellStyle name="20% - Accent6 3 2 6 3 4" xfId="27104" xr:uid="{00000000-0005-0000-0000-0000743E0000}"/>
    <cellStyle name="20% - Accent6 3 2 6 3 5" xfId="34206" xr:uid="{00000000-0005-0000-0000-0000753E0000}"/>
    <cellStyle name="20% - Accent6 3 2 6 4" xfId="4375" xr:uid="{00000000-0005-0000-0000-0000763E0000}"/>
    <cellStyle name="20% - Accent6 3 2 6 4 2" xfId="11481" xr:uid="{00000000-0005-0000-0000-0000773E0000}"/>
    <cellStyle name="20% - Accent6 3 2 6 4 3" xfId="18582" xr:uid="{00000000-0005-0000-0000-0000783E0000}"/>
    <cellStyle name="20% - Accent6 3 2 6 4 4" xfId="25684" xr:uid="{00000000-0005-0000-0000-0000793E0000}"/>
    <cellStyle name="20% - Accent6 3 2 6 4 5" xfId="32786" xr:uid="{00000000-0005-0000-0000-00007A3E0000}"/>
    <cellStyle name="20% - Accent6 3 2 6 5" xfId="8641" xr:uid="{00000000-0005-0000-0000-00007B3E0000}"/>
    <cellStyle name="20% - Accent6 3 2 6 6" xfId="15742" xr:uid="{00000000-0005-0000-0000-00007C3E0000}"/>
    <cellStyle name="20% - Accent6 3 2 6 7" xfId="22844" xr:uid="{00000000-0005-0000-0000-00007D3E0000}"/>
    <cellStyle name="20% - Accent6 3 2 6 8" xfId="29946" xr:uid="{00000000-0005-0000-0000-00007E3E0000}"/>
    <cellStyle name="20% - Accent6 3 2 6 9" xfId="38062" xr:uid="{00000000-0005-0000-0000-00007F3E0000}"/>
    <cellStyle name="20% - Accent6 3 2 7" xfId="1746" xr:uid="{00000000-0005-0000-0000-0000803E0000}"/>
    <cellStyle name="20% - Accent6 3 2 7 2" xfId="6014" xr:uid="{00000000-0005-0000-0000-0000813E0000}"/>
    <cellStyle name="20% - Accent6 3 2 7 2 2" xfId="13114" xr:uid="{00000000-0005-0000-0000-0000823E0000}"/>
    <cellStyle name="20% - Accent6 3 2 7 2 3" xfId="20215" xr:uid="{00000000-0005-0000-0000-0000833E0000}"/>
    <cellStyle name="20% - Accent6 3 2 7 2 4" xfId="27317" xr:uid="{00000000-0005-0000-0000-0000843E0000}"/>
    <cellStyle name="20% - Accent6 3 2 7 2 5" xfId="34419" xr:uid="{00000000-0005-0000-0000-0000853E0000}"/>
    <cellStyle name="20% - Accent6 3 2 7 3" xfId="8854" xr:uid="{00000000-0005-0000-0000-0000863E0000}"/>
    <cellStyle name="20% - Accent6 3 2 7 4" xfId="15955" xr:uid="{00000000-0005-0000-0000-0000873E0000}"/>
    <cellStyle name="20% - Accent6 3 2 7 5" xfId="23057" xr:uid="{00000000-0005-0000-0000-0000883E0000}"/>
    <cellStyle name="20% - Accent6 3 2 7 6" xfId="30159" xr:uid="{00000000-0005-0000-0000-0000893E0000}"/>
    <cellStyle name="20% - Accent6 3 2 7 7" xfId="38063" xr:uid="{00000000-0005-0000-0000-00008A3E0000}"/>
    <cellStyle name="20% - Accent6 3 2 8" xfId="4593" xr:uid="{00000000-0005-0000-0000-00008B3E0000}"/>
    <cellStyle name="20% - Accent6 3 2 8 2" xfId="11694" xr:uid="{00000000-0005-0000-0000-00008C3E0000}"/>
    <cellStyle name="20% - Accent6 3 2 8 3" xfId="18795" xr:uid="{00000000-0005-0000-0000-00008D3E0000}"/>
    <cellStyle name="20% - Accent6 3 2 8 4" xfId="25897" xr:uid="{00000000-0005-0000-0000-00008E3E0000}"/>
    <cellStyle name="20% - Accent6 3 2 8 5" xfId="32999" xr:uid="{00000000-0005-0000-0000-00008F3E0000}"/>
    <cellStyle name="20% - Accent6 3 2 9" xfId="3168" xr:uid="{00000000-0005-0000-0000-0000903E0000}"/>
    <cellStyle name="20% - Accent6 3 2 9 2" xfId="10274" xr:uid="{00000000-0005-0000-0000-0000913E0000}"/>
    <cellStyle name="20% - Accent6 3 2 9 3" xfId="17375" xr:uid="{00000000-0005-0000-0000-0000923E0000}"/>
    <cellStyle name="20% - Accent6 3 2 9 4" xfId="24477" xr:uid="{00000000-0005-0000-0000-0000933E0000}"/>
    <cellStyle name="20% - Accent6 3 2 9 5" xfId="31579" xr:uid="{00000000-0005-0000-0000-0000943E0000}"/>
    <cellStyle name="20% - Accent6 3 3" xfId="184" xr:uid="{00000000-0005-0000-0000-0000953E0000}"/>
    <cellStyle name="20% - Accent6 3 3 10" xfId="7363" xr:uid="{00000000-0005-0000-0000-0000963E0000}"/>
    <cellStyle name="20% - Accent6 3 3 11" xfId="14464" xr:uid="{00000000-0005-0000-0000-0000973E0000}"/>
    <cellStyle name="20% - Accent6 3 3 12" xfId="21566" xr:uid="{00000000-0005-0000-0000-0000983E0000}"/>
    <cellStyle name="20% - Accent6 3 3 13" xfId="28668" xr:uid="{00000000-0005-0000-0000-0000993E0000}"/>
    <cellStyle name="20% - Accent6 3 3 14" xfId="35770" xr:uid="{00000000-0005-0000-0000-00009A3E0000}"/>
    <cellStyle name="20% - Accent6 3 3 15" xfId="38064" xr:uid="{00000000-0005-0000-0000-00009B3E0000}"/>
    <cellStyle name="20% - Accent6 3 3 2" xfId="397" xr:uid="{00000000-0005-0000-0000-00009C3E0000}"/>
    <cellStyle name="20% - Accent6 3 3 2 2" xfId="1888" xr:uid="{00000000-0005-0000-0000-00009D3E0000}"/>
    <cellStyle name="20% - Accent6 3 3 2 2 2" xfId="6156" xr:uid="{00000000-0005-0000-0000-00009E3E0000}"/>
    <cellStyle name="20% - Accent6 3 3 2 2 2 2" xfId="13256" xr:uid="{00000000-0005-0000-0000-00009F3E0000}"/>
    <cellStyle name="20% - Accent6 3 3 2 2 2 3" xfId="20357" xr:uid="{00000000-0005-0000-0000-0000A03E0000}"/>
    <cellStyle name="20% - Accent6 3 3 2 2 2 4" xfId="27459" xr:uid="{00000000-0005-0000-0000-0000A13E0000}"/>
    <cellStyle name="20% - Accent6 3 3 2 2 2 5" xfId="34561" xr:uid="{00000000-0005-0000-0000-0000A23E0000}"/>
    <cellStyle name="20% - Accent6 3 3 2 2 2 6" xfId="38065" xr:uid="{00000000-0005-0000-0000-0000A33E0000}"/>
    <cellStyle name="20% - Accent6 3 3 2 2 3" xfId="8996" xr:uid="{00000000-0005-0000-0000-0000A43E0000}"/>
    <cellStyle name="20% - Accent6 3 3 2 2 4" xfId="16097" xr:uid="{00000000-0005-0000-0000-0000A53E0000}"/>
    <cellStyle name="20% - Accent6 3 3 2 2 5" xfId="23199" xr:uid="{00000000-0005-0000-0000-0000A63E0000}"/>
    <cellStyle name="20% - Accent6 3 3 2 2 6" xfId="30301" xr:uid="{00000000-0005-0000-0000-0000A73E0000}"/>
    <cellStyle name="20% - Accent6 3 3 2 2 7" xfId="38066" xr:uid="{00000000-0005-0000-0000-0000A83E0000}"/>
    <cellStyle name="20% - Accent6 3 3 2 3" xfId="4735" xr:uid="{00000000-0005-0000-0000-0000A93E0000}"/>
    <cellStyle name="20% - Accent6 3 3 2 3 2" xfId="11836" xr:uid="{00000000-0005-0000-0000-0000AA3E0000}"/>
    <cellStyle name="20% - Accent6 3 3 2 3 2 2" xfId="38067" xr:uid="{00000000-0005-0000-0000-0000AB3E0000}"/>
    <cellStyle name="20% - Accent6 3 3 2 3 3" xfId="18937" xr:uid="{00000000-0005-0000-0000-0000AC3E0000}"/>
    <cellStyle name="20% - Accent6 3 3 2 3 4" xfId="26039" xr:uid="{00000000-0005-0000-0000-0000AD3E0000}"/>
    <cellStyle name="20% - Accent6 3 3 2 3 5" xfId="33141" xr:uid="{00000000-0005-0000-0000-0000AE3E0000}"/>
    <cellStyle name="20% - Accent6 3 3 2 3 6" xfId="38068" xr:uid="{00000000-0005-0000-0000-0000AF3E0000}"/>
    <cellStyle name="20% - Accent6 3 3 2 4" xfId="3310" xr:uid="{00000000-0005-0000-0000-0000B03E0000}"/>
    <cellStyle name="20% - Accent6 3 3 2 4 2" xfId="10416" xr:uid="{00000000-0005-0000-0000-0000B13E0000}"/>
    <cellStyle name="20% - Accent6 3 3 2 4 3" xfId="17517" xr:uid="{00000000-0005-0000-0000-0000B23E0000}"/>
    <cellStyle name="20% - Accent6 3 3 2 4 4" xfId="24619" xr:uid="{00000000-0005-0000-0000-0000B33E0000}"/>
    <cellStyle name="20% - Accent6 3 3 2 4 5" xfId="31721" xr:uid="{00000000-0005-0000-0000-0000B43E0000}"/>
    <cellStyle name="20% - Accent6 3 3 2 4 6" xfId="38069" xr:uid="{00000000-0005-0000-0000-0000B53E0000}"/>
    <cellStyle name="20% - Accent6 3 3 2 5" xfId="7576" xr:uid="{00000000-0005-0000-0000-0000B63E0000}"/>
    <cellStyle name="20% - Accent6 3 3 2 6" xfId="14677" xr:uid="{00000000-0005-0000-0000-0000B73E0000}"/>
    <cellStyle name="20% - Accent6 3 3 2 7" xfId="21779" xr:uid="{00000000-0005-0000-0000-0000B83E0000}"/>
    <cellStyle name="20% - Accent6 3 3 2 8" xfId="28881" xr:uid="{00000000-0005-0000-0000-0000B93E0000}"/>
    <cellStyle name="20% - Accent6 3 3 2 9" xfId="38070" xr:uid="{00000000-0005-0000-0000-0000BA3E0000}"/>
    <cellStyle name="20% - Accent6 3 3 3" xfId="610" xr:uid="{00000000-0005-0000-0000-0000BB3E0000}"/>
    <cellStyle name="20% - Accent6 3 3 3 2" xfId="2101" xr:uid="{00000000-0005-0000-0000-0000BC3E0000}"/>
    <cellStyle name="20% - Accent6 3 3 3 2 2" xfId="6369" xr:uid="{00000000-0005-0000-0000-0000BD3E0000}"/>
    <cellStyle name="20% - Accent6 3 3 3 2 2 2" xfId="13469" xr:uid="{00000000-0005-0000-0000-0000BE3E0000}"/>
    <cellStyle name="20% - Accent6 3 3 3 2 2 3" xfId="20570" xr:uid="{00000000-0005-0000-0000-0000BF3E0000}"/>
    <cellStyle name="20% - Accent6 3 3 3 2 2 4" xfId="27672" xr:uid="{00000000-0005-0000-0000-0000C03E0000}"/>
    <cellStyle name="20% - Accent6 3 3 3 2 2 5" xfId="34774" xr:uid="{00000000-0005-0000-0000-0000C13E0000}"/>
    <cellStyle name="20% - Accent6 3 3 3 2 2 6" xfId="38071" xr:uid="{00000000-0005-0000-0000-0000C23E0000}"/>
    <cellStyle name="20% - Accent6 3 3 3 2 3" xfId="9209" xr:uid="{00000000-0005-0000-0000-0000C33E0000}"/>
    <cellStyle name="20% - Accent6 3 3 3 2 4" xfId="16310" xr:uid="{00000000-0005-0000-0000-0000C43E0000}"/>
    <cellStyle name="20% - Accent6 3 3 3 2 5" xfId="23412" xr:uid="{00000000-0005-0000-0000-0000C53E0000}"/>
    <cellStyle name="20% - Accent6 3 3 3 2 6" xfId="30514" xr:uid="{00000000-0005-0000-0000-0000C63E0000}"/>
    <cellStyle name="20% - Accent6 3 3 3 2 7" xfId="38072" xr:uid="{00000000-0005-0000-0000-0000C73E0000}"/>
    <cellStyle name="20% - Accent6 3 3 3 3" xfId="4948" xr:uid="{00000000-0005-0000-0000-0000C83E0000}"/>
    <cellStyle name="20% - Accent6 3 3 3 3 2" xfId="12049" xr:uid="{00000000-0005-0000-0000-0000C93E0000}"/>
    <cellStyle name="20% - Accent6 3 3 3 3 2 2" xfId="38073" xr:uid="{00000000-0005-0000-0000-0000CA3E0000}"/>
    <cellStyle name="20% - Accent6 3 3 3 3 3" xfId="19150" xr:uid="{00000000-0005-0000-0000-0000CB3E0000}"/>
    <cellStyle name="20% - Accent6 3 3 3 3 4" xfId="26252" xr:uid="{00000000-0005-0000-0000-0000CC3E0000}"/>
    <cellStyle name="20% - Accent6 3 3 3 3 5" xfId="33354" xr:uid="{00000000-0005-0000-0000-0000CD3E0000}"/>
    <cellStyle name="20% - Accent6 3 3 3 3 6" xfId="38074" xr:uid="{00000000-0005-0000-0000-0000CE3E0000}"/>
    <cellStyle name="20% - Accent6 3 3 3 4" xfId="3523" xr:uid="{00000000-0005-0000-0000-0000CF3E0000}"/>
    <cellStyle name="20% - Accent6 3 3 3 4 2" xfId="10629" xr:uid="{00000000-0005-0000-0000-0000D03E0000}"/>
    <cellStyle name="20% - Accent6 3 3 3 4 3" xfId="17730" xr:uid="{00000000-0005-0000-0000-0000D13E0000}"/>
    <cellStyle name="20% - Accent6 3 3 3 4 4" xfId="24832" xr:uid="{00000000-0005-0000-0000-0000D23E0000}"/>
    <cellStyle name="20% - Accent6 3 3 3 4 5" xfId="31934" xr:uid="{00000000-0005-0000-0000-0000D33E0000}"/>
    <cellStyle name="20% - Accent6 3 3 3 4 6" xfId="38075" xr:uid="{00000000-0005-0000-0000-0000D43E0000}"/>
    <cellStyle name="20% - Accent6 3 3 3 5" xfId="7789" xr:uid="{00000000-0005-0000-0000-0000D53E0000}"/>
    <cellStyle name="20% - Accent6 3 3 3 6" xfId="14890" xr:uid="{00000000-0005-0000-0000-0000D63E0000}"/>
    <cellStyle name="20% - Accent6 3 3 3 7" xfId="21992" xr:uid="{00000000-0005-0000-0000-0000D73E0000}"/>
    <cellStyle name="20% - Accent6 3 3 3 8" xfId="29094" xr:uid="{00000000-0005-0000-0000-0000D83E0000}"/>
    <cellStyle name="20% - Accent6 3 3 3 9" xfId="38076" xr:uid="{00000000-0005-0000-0000-0000D93E0000}"/>
    <cellStyle name="20% - Accent6 3 3 4" xfId="823" xr:uid="{00000000-0005-0000-0000-0000DA3E0000}"/>
    <cellStyle name="20% - Accent6 3 3 4 2" xfId="2314" xr:uid="{00000000-0005-0000-0000-0000DB3E0000}"/>
    <cellStyle name="20% - Accent6 3 3 4 2 2" xfId="6582" xr:uid="{00000000-0005-0000-0000-0000DC3E0000}"/>
    <cellStyle name="20% - Accent6 3 3 4 2 2 2" xfId="13682" xr:uid="{00000000-0005-0000-0000-0000DD3E0000}"/>
    <cellStyle name="20% - Accent6 3 3 4 2 2 3" xfId="20783" xr:uid="{00000000-0005-0000-0000-0000DE3E0000}"/>
    <cellStyle name="20% - Accent6 3 3 4 2 2 4" xfId="27885" xr:uid="{00000000-0005-0000-0000-0000DF3E0000}"/>
    <cellStyle name="20% - Accent6 3 3 4 2 2 5" xfId="34987" xr:uid="{00000000-0005-0000-0000-0000E03E0000}"/>
    <cellStyle name="20% - Accent6 3 3 4 2 2 6" xfId="38077" xr:uid="{00000000-0005-0000-0000-0000E13E0000}"/>
    <cellStyle name="20% - Accent6 3 3 4 2 3" xfId="9422" xr:uid="{00000000-0005-0000-0000-0000E23E0000}"/>
    <cellStyle name="20% - Accent6 3 3 4 2 4" xfId="16523" xr:uid="{00000000-0005-0000-0000-0000E33E0000}"/>
    <cellStyle name="20% - Accent6 3 3 4 2 5" xfId="23625" xr:uid="{00000000-0005-0000-0000-0000E43E0000}"/>
    <cellStyle name="20% - Accent6 3 3 4 2 6" xfId="30727" xr:uid="{00000000-0005-0000-0000-0000E53E0000}"/>
    <cellStyle name="20% - Accent6 3 3 4 2 7" xfId="38078" xr:uid="{00000000-0005-0000-0000-0000E63E0000}"/>
    <cellStyle name="20% - Accent6 3 3 4 3" xfId="5161" xr:uid="{00000000-0005-0000-0000-0000E73E0000}"/>
    <cellStyle name="20% - Accent6 3 3 4 3 2" xfId="12262" xr:uid="{00000000-0005-0000-0000-0000E83E0000}"/>
    <cellStyle name="20% - Accent6 3 3 4 3 2 2" xfId="38079" xr:uid="{00000000-0005-0000-0000-0000E93E0000}"/>
    <cellStyle name="20% - Accent6 3 3 4 3 3" xfId="19363" xr:uid="{00000000-0005-0000-0000-0000EA3E0000}"/>
    <cellStyle name="20% - Accent6 3 3 4 3 4" xfId="26465" xr:uid="{00000000-0005-0000-0000-0000EB3E0000}"/>
    <cellStyle name="20% - Accent6 3 3 4 3 5" xfId="33567" xr:uid="{00000000-0005-0000-0000-0000EC3E0000}"/>
    <cellStyle name="20% - Accent6 3 3 4 3 6" xfId="38080" xr:uid="{00000000-0005-0000-0000-0000ED3E0000}"/>
    <cellStyle name="20% - Accent6 3 3 4 4" xfId="3736" xr:uid="{00000000-0005-0000-0000-0000EE3E0000}"/>
    <cellStyle name="20% - Accent6 3 3 4 4 2" xfId="10842" xr:uid="{00000000-0005-0000-0000-0000EF3E0000}"/>
    <cellStyle name="20% - Accent6 3 3 4 4 3" xfId="17943" xr:uid="{00000000-0005-0000-0000-0000F03E0000}"/>
    <cellStyle name="20% - Accent6 3 3 4 4 4" xfId="25045" xr:uid="{00000000-0005-0000-0000-0000F13E0000}"/>
    <cellStyle name="20% - Accent6 3 3 4 4 5" xfId="32147" xr:uid="{00000000-0005-0000-0000-0000F23E0000}"/>
    <cellStyle name="20% - Accent6 3 3 4 4 6" xfId="38081" xr:uid="{00000000-0005-0000-0000-0000F33E0000}"/>
    <cellStyle name="20% - Accent6 3 3 4 5" xfId="8002" xr:uid="{00000000-0005-0000-0000-0000F43E0000}"/>
    <cellStyle name="20% - Accent6 3 3 4 6" xfId="15103" xr:uid="{00000000-0005-0000-0000-0000F53E0000}"/>
    <cellStyle name="20% - Accent6 3 3 4 7" xfId="22205" xr:uid="{00000000-0005-0000-0000-0000F63E0000}"/>
    <cellStyle name="20% - Accent6 3 3 4 8" xfId="29307" xr:uid="{00000000-0005-0000-0000-0000F73E0000}"/>
    <cellStyle name="20% - Accent6 3 3 4 9" xfId="38082" xr:uid="{00000000-0005-0000-0000-0000F83E0000}"/>
    <cellStyle name="20% - Accent6 3 3 5" xfId="1178" xr:uid="{00000000-0005-0000-0000-0000F93E0000}"/>
    <cellStyle name="20% - Accent6 3 3 5 2" xfId="2669" xr:uid="{00000000-0005-0000-0000-0000FA3E0000}"/>
    <cellStyle name="20% - Accent6 3 3 5 2 2" xfId="6937" xr:uid="{00000000-0005-0000-0000-0000FB3E0000}"/>
    <cellStyle name="20% - Accent6 3 3 5 2 2 2" xfId="14037" xr:uid="{00000000-0005-0000-0000-0000FC3E0000}"/>
    <cellStyle name="20% - Accent6 3 3 5 2 2 3" xfId="21138" xr:uid="{00000000-0005-0000-0000-0000FD3E0000}"/>
    <cellStyle name="20% - Accent6 3 3 5 2 2 4" xfId="28240" xr:uid="{00000000-0005-0000-0000-0000FE3E0000}"/>
    <cellStyle name="20% - Accent6 3 3 5 2 2 5" xfId="35342" xr:uid="{00000000-0005-0000-0000-0000FF3E0000}"/>
    <cellStyle name="20% - Accent6 3 3 5 2 3" xfId="9777" xr:uid="{00000000-0005-0000-0000-0000003F0000}"/>
    <cellStyle name="20% - Accent6 3 3 5 2 4" xfId="16878" xr:uid="{00000000-0005-0000-0000-0000013F0000}"/>
    <cellStyle name="20% - Accent6 3 3 5 2 5" xfId="23980" xr:uid="{00000000-0005-0000-0000-0000023F0000}"/>
    <cellStyle name="20% - Accent6 3 3 5 2 6" xfId="31082" xr:uid="{00000000-0005-0000-0000-0000033F0000}"/>
    <cellStyle name="20% - Accent6 3 3 5 2 7" xfId="38083" xr:uid="{00000000-0005-0000-0000-0000043F0000}"/>
    <cellStyle name="20% - Accent6 3 3 5 3" xfId="5516" xr:uid="{00000000-0005-0000-0000-0000053F0000}"/>
    <cellStyle name="20% - Accent6 3 3 5 3 2" xfId="12617" xr:uid="{00000000-0005-0000-0000-0000063F0000}"/>
    <cellStyle name="20% - Accent6 3 3 5 3 3" xfId="19718" xr:uid="{00000000-0005-0000-0000-0000073F0000}"/>
    <cellStyle name="20% - Accent6 3 3 5 3 4" xfId="26820" xr:uid="{00000000-0005-0000-0000-0000083F0000}"/>
    <cellStyle name="20% - Accent6 3 3 5 3 5" xfId="33922" xr:uid="{00000000-0005-0000-0000-0000093F0000}"/>
    <cellStyle name="20% - Accent6 3 3 5 4" xfId="4091" xr:uid="{00000000-0005-0000-0000-00000A3F0000}"/>
    <cellStyle name="20% - Accent6 3 3 5 4 2" xfId="11197" xr:uid="{00000000-0005-0000-0000-00000B3F0000}"/>
    <cellStyle name="20% - Accent6 3 3 5 4 3" xfId="18298" xr:uid="{00000000-0005-0000-0000-00000C3F0000}"/>
    <cellStyle name="20% - Accent6 3 3 5 4 4" xfId="25400" xr:uid="{00000000-0005-0000-0000-00000D3F0000}"/>
    <cellStyle name="20% - Accent6 3 3 5 4 5" xfId="32502" xr:uid="{00000000-0005-0000-0000-00000E3F0000}"/>
    <cellStyle name="20% - Accent6 3 3 5 5" xfId="8357" xr:uid="{00000000-0005-0000-0000-00000F3F0000}"/>
    <cellStyle name="20% - Accent6 3 3 5 6" xfId="15458" xr:uid="{00000000-0005-0000-0000-0000103F0000}"/>
    <cellStyle name="20% - Accent6 3 3 5 7" xfId="22560" xr:uid="{00000000-0005-0000-0000-0000113F0000}"/>
    <cellStyle name="20% - Accent6 3 3 5 8" xfId="29662" xr:uid="{00000000-0005-0000-0000-0000123F0000}"/>
    <cellStyle name="20% - Accent6 3 3 5 9" xfId="38084" xr:uid="{00000000-0005-0000-0000-0000133F0000}"/>
    <cellStyle name="20% - Accent6 3 3 6" xfId="1391" xr:uid="{00000000-0005-0000-0000-0000143F0000}"/>
    <cellStyle name="20% - Accent6 3 3 6 2" xfId="2882" xr:uid="{00000000-0005-0000-0000-0000153F0000}"/>
    <cellStyle name="20% - Accent6 3 3 6 2 2" xfId="7150" xr:uid="{00000000-0005-0000-0000-0000163F0000}"/>
    <cellStyle name="20% - Accent6 3 3 6 2 2 2" xfId="14250" xr:uid="{00000000-0005-0000-0000-0000173F0000}"/>
    <cellStyle name="20% - Accent6 3 3 6 2 2 3" xfId="21351" xr:uid="{00000000-0005-0000-0000-0000183F0000}"/>
    <cellStyle name="20% - Accent6 3 3 6 2 2 4" xfId="28453" xr:uid="{00000000-0005-0000-0000-0000193F0000}"/>
    <cellStyle name="20% - Accent6 3 3 6 2 2 5" xfId="35555" xr:uid="{00000000-0005-0000-0000-00001A3F0000}"/>
    <cellStyle name="20% - Accent6 3 3 6 2 3" xfId="9990" xr:uid="{00000000-0005-0000-0000-00001B3F0000}"/>
    <cellStyle name="20% - Accent6 3 3 6 2 4" xfId="17091" xr:uid="{00000000-0005-0000-0000-00001C3F0000}"/>
    <cellStyle name="20% - Accent6 3 3 6 2 5" xfId="24193" xr:uid="{00000000-0005-0000-0000-00001D3F0000}"/>
    <cellStyle name="20% - Accent6 3 3 6 2 6" xfId="31295" xr:uid="{00000000-0005-0000-0000-00001E3F0000}"/>
    <cellStyle name="20% - Accent6 3 3 6 2 7" xfId="38085" xr:uid="{00000000-0005-0000-0000-00001F3F0000}"/>
    <cellStyle name="20% - Accent6 3 3 6 3" xfId="5729" xr:uid="{00000000-0005-0000-0000-0000203F0000}"/>
    <cellStyle name="20% - Accent6 3 3 6 3 2" xfId="12830" xr:uid="{00000000-0005-0000-0000-0000213F0000}"/>
    <cellStyle name="20% - Accent6 3 3 6 3 3" xfId="19931" xr:uid="{00000000-0005-0000-0000-0000223F0000}"/>
    <cellStyle name="20% - Accent6 3 3 6 3 4" xfId="27033" xr:uid="{00000000-0005-0000-0000-0000233F0000}"/>
    <cellStyle name="20% - Accent6 3 3 6 3 5" xfId="34135" xr:uid="{00000000-0005-0000-0000-0000243F0000}"/>
    <cellStyle name="20% - Accent6 3 3 6 4" xfId="4304" xr:uid="{00000000-0005-0000-0000-0000253F0000}"/>
    <cellStyle name="20% - Accent6 3 3 6 4 2" xfId="11410" xr:uid="{00000000-0005-0000-0000-0000263F0000}"/>
    <cellStyle name="20% - Accent6 3 3 6 4 3" xfId="18511" xr:uid="{00000000-0005-0000-0000-0000273F0000}"/>
    <cellStyle name="20% - Accent6 3 3 6 4 4" xfId="25613" xr:uid="{00000000-0005-0000-0000-0000283F0000}"/>
    <cellStyle name="20% - Accent6 3 3 6 4 5" xfId="32715" xr:uid="{00000000-0005-0000-0000-0000293F0000}"/>
    <cellStyle name="20% - Accent6 3 3 6 5" xfId="8570" xr:uid="{00000000-0005-0000-0000-00002A3F0000}"/>
    <cellStyle name="20% - Accent6 3 3 6 6" xfId="15671" xr:uid="{00000000-0005-0000-0000-00002B3F0000}"/>
    <cellStyle name="20% - Accent6 3 3 6 7" xfId="22773" xr:uid="{00000000-0005-0000-0000-00002C3F0000}"/>
    <cellStyle name="20% - Accent6 3 3 6 8" xfId="29875" xr:uid="{00000000-0005-0000-0000-00002D3F0000}"/>
    <cellStyle name="20% - Accent6 3 3 6 9" xfId="38086" xr:uid="{00000000-0005-0000-0000-00002E3F0000}"/>
    <cellStyle name="20% - Accent6 3 3 7" xfId="1675" xr:uid="{00000000-0005-0000-0000-00002F3F0000}"/>
    <cellStyle name="20% - Accent6 3 3 7 2" xfId="5943" xr:uid="{00000000-0005-0000-0000-0000303F0000}"/>
    <cellStyle name="20% - Accent6 3 3 7 2 2" xfId="13043" xr:uid="{00000000-0005-0000-0000-0000313F0000}"/>
    <cellStyle name="20% - Accent6 3 3 7 2 3" xfId="20144" xr:uid="{00000000-0005-0000-0000-0000323F0000}"/>
    <cellStyle name="20% - Accent6 3 3 7 2 4" xfId="27246" xr:uid="{00000000-0005-0000-0000-0000333F0000}"/>
    <cellStyle name="20% - Accent6 3 3 7 2 5" xfId="34348" xr:uid="{00000000-0005-0000-0000-0000343F0000}"/>
    <cellStyle name="20% - Accent6 3 3 7 3" xfId="8783" xr:uid="{00000000-0005-0000-0000-0000353F0000}"/>
    <cellStyle name="20% - Accent6 3 3 7 4" xfId="15884" xr:uid="{00000000-0005-0000-0000-0000363F0000}"/>
    <cellStyle name="20% - Accent6 3 3 7 5" xfId="22986" xr:uid="{00000000-0005-0000-0000-0000373F0000}"/>
    <cellStyle name="20% - Accent6 3 3 7 6" xfId="30088" xr:uid="{00000000-0005-0000-0000-0000383F0000}"/>
    <cellStyle name="20% - Accent6 3 3 7 7" xfId="38087" xr:uid="{00000000-0005-0000-0000-0000393F0000}"/>
    <cellStyle name="20% - Accent6 3 3 8" xfId="4522" xr:uid="{00000000-0005-0000-0000-00003A3F0000}"/>
    <cellStyle name="20% - Accent6 3 3 8 2" xfId="11623" xr:uid="{00000000-0005-0000-0000-00003B3F0000}"/>
    <cellStyle name="20% - Accent6 3 3 8 3" xfId="18724" xr:uid="{00000000-0005-0000-0000-00003C3F0000}"/>
    <cellStyle name="20% - Accent6 3 3 8 4" xfId="25826" xr:uid="{00000000-0005-0000-0000-00003D3F0000}"/>
    <cellStyle name="20% - Accent6 3 3 8 5" xfId="32928" xr:uid="{00000000-0005-0000-0000-00003E3F0000}"/>
    <cellStyle name="20% - Accent6 3 3 9" xfId="3097" xr:uid="{00000000-0005-0000-0000-00003F3F0000}"/>
    <cellStyle name="20% - Accent6 3 3 9 2" xfId="10203" xr:uid="{00000000-0005-0000-0000-0000403F0000}"/>
    <cellStyle name="20% - Accent6 3 3 9 3" xfId="17304" xr:uid="{00000000-0005-0000-0000-0000413F0000}"/>
    <cellStyle name="20% - Accent6 3 3 9 4" xfId="24406" xr:uid="{00000000-0005-0000-0000-0000423F0000}"/>
    <cellStyle name="20% - Accent6 3 3 9 5" xfId="31508" xr:uid="{00000000-0005-0000-0000-0000433F0000}"/>
    <cellStyle name="20% - Accent6 3 4" xfId="326" xr:uid="{00000000-0005-0000-0000-0000443F0000}"/>
    <cellStyle name="20% - Accent6 3 4 10" xfId="38088" xr:uid="{00000000-0005-0000-0000-0000453F0000}"/>
    <cellStyle name="20% - Accent6 3 4 2" xfId="1107" xr:uid="{00000000-0005-0000-0000-0000463F0000}"/>
    <cellStyle name="20% - Accent6 3 4 2 2" xfId="2598" xr:uid="{00000000-0005-0000-0000-0000473F0000}"/>
    <cellStyle name="20% - Accent6 3 4 2 2 2" xfId="6866" xr:uid="{00000000-0005-0000-0000-0000483F0000}"/>
    <cellStyle name="20% - Accent6 3 4 2 2 2 2" xfId="13966" xr:uid="{00000000-0005-0000-0000-0000493F0000}"/>
    <cellStyle name="20% - Accent6 3 4 2 2 2 3" xfId="21067" xr:uid="{00000000-0005-0000-0000-00004A3F0000}"/>
    <cellStyle name="20% - Accent6 3 4 2 2 2 4" xfId="28169" xr:uid="{00000000-0005-0000-0000-00004B3F0000}"/>
    <cellStyle name="20% - Accent6 3 4 2 2 2 5" xfId="35271" xr:uid="{00000000-0005-0000-0000-00004C3F0000}"/>
    <cellStyle name="20% - Accent6 3 4 2 2 3" xfId="9706" xr:uid="{00000000-0005-0000-0000-00004D3F0000}"/>
    <cellStyle name="20% - Accent6 3 4 2 2 4" xfId="16807" xr:uid="{00000000-0005-0000-0000-00004E3F0000}"/>
    <cellStyle name="20% - Accent6 3 4 2 2 5" xfId="23909" xr:uid="{00000000-0005-0000-0000-00004F3F0000}"/>
    <cellStyle name="20% - Accent6 3 4 2 2 6" xfId="31011" xr:uid="{00000000-0005-0000-0000-0000503F0000}"/>
    <cellStyle name="20% - Accent6 3 4 2 2 7" xfId="38089" xr:uid="{00000000-0005-0000-0000-0000513F0000}"/>
    <cellStyle name="20% - Accent6 3 4 2 3" xfId="5445" xr:uid="{00000000-0005-0000-0000-0000523F0000}"/>
    <cellStyle name="20% - Accent6 3 4 2 3 2" xfId="12546" xr:uid="{00000000-0005-0000-0000-0000533F0000}"/>
    <cellStyle name="20% - Accent6 3 4 2 3 3" xfId="19647" xr:uid="{00000000-0005-0000-0000-0000543F0000}"/>
    <cellStyle name="20% - Accent6 3 4 2 3 4" xfId="26749" xr:uid="{00000000-0005-0000-0000-0000553F0000}"/>
    <cellStyle name="20% - Accent6 3 4 2 3 5" xfId="33851" xr:uid="{00000000-0005-0000-0000-0000563F0000}"/>
    <cellStyle name="20% - Accent6 3 4 2 4" xfId="4020" xr:uid="{00000000-0005-0000-0000-0000573F0000}"/>
    <cellStyle name="20% - Accent6 3 4 2 4 2" xfId="11126" xr:uid="{00000000-0005-0000-0000-0000583F0000}"/>
    <cellStyle name="20% - Accent6 3 4 2 4 3" xfId="18227" xr:uid="{00000000-0005-0000-0000-0000593F0000}"/>
    <cellStyle name="20% - Accent6 3 4 2 4 4" xfId="25329" xr:uid="{00000000-0005-0000-0000-00005A3F0000}"/>
    <cellStyle name="20% - Accent6 3 4 2 4 5" xfId="32431" xr:uid="{00000000-0005-0000-0000-00005B3F0000}"/>
    <cellStyle name="20% - Accent6 3 4 2 5" xfId="8286" xr:uid="{00000000-0005-0000-0000-00005C3F0000}"/>
    <cellStyle name="20% - Accent6 3 4 2 6" xfId="15387" xr:uid="{00000000-0005-0000-0000-00005D3F0000}"/>
    <cellStyle name="20% - Accent6 3 4 2 7" xfId="22489" xr:uid="{00000000-0005-0000-0000-00005E3F0000}"/>
    <cellStyle name="20% - Accent6 3 4 2 8" xfId="29591" xr:uid="{00000000-0005-0000-0000-00005F3F0000}"/>
    <cellStyle name="20% - Accent6 3 4 2 9" xfId="38090" xr:uid="{00000000-0005-0000-0000-0000603F0000}"/>
    <cellStyle name="20% - Accent6 3 4 3" xfId="1817" xr:uid="{00000000-0005-0000-0000-0000613F0000}"/>
    <cellStyle name="20% - Accent6 3 4 3 2" xfId="6085" xr:uid="{00000000-0005-0000-0000-0000623F0000}"/>
    <cellStyle name="20% - Accent6 3 4 3 2 2" xfId="13185" xr:uid="{00000000-0005-0000-0000-0000633F0000}"/>
    <cellStyle name="20% - Accent6 3 4 3 2 3" xfId="20286" xr:uid="{00000000-0005-0000-0000-0000643F0000}"/>
    <cellStyle name="20% - Accent6 3 4 3 2 4" xfId="27388" xr:uid="{00000000-0005-0000-0000-0000653F0000}"/>
    <cellStyle name="20% - Accent6 3 4 3 2 5" xfId="34490" xr:uid="{00000000-0005-0000-0000-0000663F0000}"/>
    <cellStyle name="20% - Accent6 3 4 3 2 6" xfId="38091" xr:uid="{00000000-0005-0000-0000-0000673F0000}"/>
    <cellStyle name="20% - Accent6 3 4 3 3" xfId="8925" xr:uid="{00000000-0005-0000-0000-0000683F0000}"/>
    <cellStyle name="20% - Accent6 3 4 3 4" xfId="16026" xr:uid="{00000000-0005-0000-0000-0000693F0000}"/>
    <cellStyle name="20% - Accent6 3 4 3 5" xfId="23128" xr:uid="{00000000-0005-0000-0000-00006A3F0000}"/>
    <cellStyle name="20% - Accent6 3 4 3 6" xfId="30230" xr:uid="{00000000-0005-0000-0000-00006B3F0000}"/>
    <cellStyle name="20% - Accent6 3 4 3 7" xfId="38092" xr:uid="{00000000-0005-0000-0000-00006C3F0000}"/>
    <cellStyle name="20% - Accent6 3 4 4" xfId="4664" xr:uid="{00000000-0005-0000-0000-00006D3F0000}"/>
    <cellStyle name="20% - Accent6 3 4 4 2" xfId="11765" xr:uid="{00000000-0005-0000-0000-00006E3F0000}"/>
    <cellStyle name="20% - Accent6 3 4 4 3" xfId="18866" xr:uid="{00000000-0005-0000-0000-00006F3F0000}"/>
    <cellStyle name="20% - Accent6 3 4 4 4" xfId="25968" xr:uid="{00000000-0005-0000-0000-0000703F0000}"/>
    <cellStyle name="20% - Accent6 3 4 4 5" xfId="33070" xr:uid="{00000000-0005-0000-0000-0000713F0000}"/>
    <cellStyle name="20% - Accent6 3 4 4 6" xfId="38093" xr:uid="{00000000-0005-0000-0000-0000723F0000}"/>
    <cellStyle name="20% - Accent6 3 4 5" xfId="3239" xr:uid="{00000000-0005-0000-0000-0000733F0000}"/>
    <cellStyle name="20% - Accent6 3 4 5 2" xfId="10345" xr:uid="{00000000-0005-0000-0000-0000743F0000}"/>
    <cellStyle name="20% - Accent6 3 4 5 3" xfId="17446" xr:uid="{00000000-0005-0000-0000-0000753F0000}"/>
    <cellStyle name="20% - Accent6 3 4 5 4" xfId="24548" xr:uid="{00000000-0005-0000-0000-0000763F0000}"/>
    <cellStyle name="20% - Accent6 3 4 5 5" xfId="31650" xr:uid="{00000000-0005-0000-0000-0000773F0000}"/>
    <cellStyle name="20% - Accent6 3 4 6" xfId="7505" xr:uid="{00000000-0005-0000-0000-0000783F0000}"/>
    <cellStyle name="20% - Accent6 3 4 7" xfId="14606" xr:uid="{00000000-0005-0000-0000-0000793F0000}"/>
    <cellStyle name="20% - Accent6 3 4 8" xfId="21708" xr:uid="{00000000-0005-0000-0000-00007A3F0000}"/>
    <cellStyle name="20% - Accent6 3 4 9" xfId="28810" xr:uid="{00000000-0005-0000-0000-00007B3F0000}"/>
    <cellStyle name="20% - Accent6 3 5" xfId="539" xr:uid="{00000000-0005-0000-0000-00007C3F0000}"/>
    <cellStyle name="20% - Accent6 3 5 2" xfId="2030" xr:uid="{00000000-0005-0000-0000-00007D3F0000}"/>
    <cellStyle name="20% - Accent6 3 5 2 2" xfId="6298" xr:uid="{00000000-0005-0000-0000-00007E3F0000}"/>
    <cellStyle name="20% - Accent6 3 5 2 2 2" xfId="13398" xr:uid="{00000000-0005-0000-0000-00007F3F0000}"/>
    <cellStyle name="20% - Accent6 3 5 2 2 3" xfId="20499" xr:uid="{00000000-0005-0000-0000-0000803F0000}"/>
    <cellStyle name="20% - Accent6 3 5 2 2 4" xfId="27601" xr:uid="{00000000-0005-0000-0000-0000813F0000}"/>
    <cellStyle name="20% - Accent6 3 5 2 2 5" xfId="34703" xr:uid="{00000000-0005-0000-0000-0000823F0000}"/>
    <cellStyle name="20% - Accent6 3 5 2 2 6" xfId="38094" xr:uid="{00000000-0005-0000-0000-0000833F0000}"/>
    <cellStyle name="20% - Accent6 3 5 2 3" xfId="9138" xr:uid="{00000000-0005-0000-0000-0000843F0000}"/>
    <cellStyle name="20% - Accent6 3 5 2 4" xfId="16239" xr:uid="{00000000-0005-0000-0000-0000853F0000}"/>
    <cellStyle name="20% - Accent6 3 5 2 5" xfId="23341" xr:uid="{00000000-0005-0000-0000-0000863F0000}"/>
    <cellStyle name="20% - Accent6 3 5 2 6" xfId="30443" xr:uid="{00000000-0005-0000-0000-0000873F0000}"/>
    <cellStyle name="20% - Accent6 3 5 2 7" xfId="38095" xr:uid="{00000000-0005-0000-0000-0000883F0000}"/>
    <cellStyle name="20% - Accent6 3 5 3" xfId="4877" xr:uid="{00000000-0005-0000-0000-0000893F0000}"/>
    <cellStyle name="20% - Accent6 3 5 3 2" xfId="11978" xr:uid="{00000000-0005-0000-0000-00008A3F0000}"/>
    <cellStyle name="20% - Accent6 3 5 3 2 2" xfId="38096" xr:uid="{00000000-0005-0000-0000-00008B3F0000}"/>
    <cellStyle name="20% - Accent6 3 5 3 3" xfId="19079" xr:uid="{00000000-0005-0000-0000-00008C3F0000}"/>
    <cellStyle name="20% - Accent6 3 5 3 4" xfId="26181" xr:uid="{00000000-0005-0000-0000-00008D3F0000}"/>
    <cellStyle name="20% - Accent6 3 5 3 5" xfId="33283" xr:uid="{00000000-0005-0000-0000-00008E3F0000}"/>
    <cellStyle name="20% - Accent6 3 5 3 6" xfId="38097" xr:uid="{00000000-0005-0000-0000-00008F3F0000}"/>
    <cellStyle name="20% - Accent6 3 5 4" xfId="3452" xr:uid="{00000000-0005-0000-0000-0000903F0000}"/>
    <cellStyle name="20% - Accent6 3 5 4 2" xfId="10558" xr:uid="{00000000-0005-0000-0000-0000913F0000}"/>
    <cellStyle name="20% - Accent6 3 5 4 3" xfId="17659" xr:uid="{00000000-0005-0000-0000-0000923F0000}"/>
    <cellStyle name="20% - Accent6 3 5 4 4" xfId="24761" xr:uid="{00000000-0005-0000-0000-0000933F0000}"/>
    <cellStyle name="20% - Accent6 3 5 4 5" xfId="31863" xr:uid="{00000000-0005-0000-0000-0000943F0000}"/>
    <cellStyle name="20% - Accent6 3 5 4 6" xfId="38098" xr:uid="{00000000-0005-0000-0000-0000953F0000}"/>
    <cellStyle name="20% - Accent6 3 5 5" xfId="7718" xr:uid="{00000000-0005-0000-0000-0000963F0000}"/>
    <cellStyle name="20% - Accent6 3 5 6" xfId="14819" xr:uid="{00000000-0005-0000-0000-0000973F0000}"/>
    <cellStyle name="20% - Accent6 3 5 7" xfId="21921" xr:uid="{00000000-0005-0000-0000-0000983F0000}"/>
    <cellStyle name="20% - Accent6 3 5 8" xfId="29023" xr:uid="{00000000-0005-0000-0000-0000993F0000}"/>
    <cellStyle name="20% - Accent6 3 5 9" xfId="38099" xr:uid="{00000000-0005-0000-0000-00009A3F0000}"/>
    <cellStyle name="20% - Accent6 3 6" xfId="752" xr:uid="{00000000-0005-0000-0000-00009B3F0000}"/>
    <cellStyle name="20% - Accent6 3 6 2" xfId="2243" xr:uid="{00000000-0005-0000-0000-00009C3F0000}"/>
    <cellStyle name="20% - Accent6 3 6 2 2" xfId="6511" xr:uid="{00000000-0005-0000-0000-00009D3F0000}"/>
    <cellStyle name="20% - Accent6 3 6 2 2 2" xfId="13611" xr:uid="{00000000-0005-0000-0000-00009E3F0000}"/>
    <cellStyle name="20% - Accent6 3 6 2 2 3" xfId="20712" xr:uid="{00000000-0005-0000-0000-00009F3F0000}"/>
    <cellStyle name="20% - Accent6 3 6 2 2 4" xfId="27814" xr:uid="{00000000-0005-0000-0000-0000A03F0000}"/>
    <cellStyle name="20% - Accent6 3 6 2 2 5" xfId="34916" xr:uid="{00000000-0005-0000-0000-0000A13F0000}"/>
    <cellStyle name="20% - Accent6 3 6 2 2 6" xfId="38100" xr:uid="{00000000-0005-0000-0000-0000A23F0000}"/>
    <cellStyle name="20% - Accent6 3 6 2 3" xfId="9351" xr:uid="{00000000-0005-0000-0000-0000A33F0000}"/>
    <cellStyle name="20% - Accent6 3 6 2 4" xfId="16452" xr:uid="{00000000-0005-0000-0000-0000A43F0000}"/>
    <cellStyle name="20% - Accent6 3 6 2 5" xfId="23554" xr:uid="{00000000-0005-0000-0000-0000A53F0000}"/>
    <cellStyle name="20% - Accent6 3 6 2 6" xfId="30656" xr:uid="{00000000-0005-0000-0000-0000A63F0000}"/>
    <cellStyle name="20% - Accent6 3 6 2 7" xfId="38101" xr:uid="{00000000-0005-0000-0000-0000A73F0000}"/>
    <cellStyle name="20% - Accent6 3 6 3" xfId="5090" xr:uid="{00000000-0005-0000-0000-0000A83F0000}"/>
    <cellStyle name="20% - Accent6 3 6 3 2" xfId="12191" xr:uid="{00000000-0005-0000-0000-0000A93F0000}"/>
    <cellStyle name="20% - Accent6 3 6 3 2 2" xfId="38102" xr:uid="{00000000-0005-0000-0000-0000AA3F0000}"/>
    <cellStyle name="20% - Accent6 3 6 3 3" xfId="19292" xr:uid="{00000000-0005-0000-0000-0000AB3F0000}"/>
    <cellStyle name="20% - Accent6 3 6 3 4" xfId="26394" xr:uid="{00000000-0005-0000-0000-0000AC3F0000}"/>
    <cellStyle name="20% - Accent6 3 6 3 5" xfId="33496" xr:uid="{00000000-0005-0000-0000-0000AD3F0000}"/>
    <cellStyle name="20% - Accent6 3 6 3 6" xfId="38103" xr:uid="{00000000-0005-0000-0000-0000AE3F0000}"/>
    <cellStyle name="20% - Accent6 3 6 4" xfId="3665" xr:uid="{00000000-0005-0000-0000-0000AF3F0000}"/>
    <cellStyle name="20% - Accent6 3 6 4 2" xfId="10771" xr:uid="{00000000-0005-0000-0000-0000B03F0000}"/>
    <cellStyle name="20% - Accent6 3 6 4 3" xfId="17872" xr:uid="{00000000-0005-0000-0000-0000B13F0000}"/>
    <cellStyle name="20% - Accent6 3 6 4 4" xfId="24974" xr:uid="{00000000-0005-0000-0000-0000B23F0000}"/>
    <cellStyle name="20% - Accent6 3 6 4 5" xfId="32076" xr:uid="{00000000-0005-0000-0000-0000B33F0000}"/>
    <cellStyle name="20% - Accent6 3 6 4 6" xfId="38104" xr:uid="{00000000-0005-0000-0000-0000B43F0000}"/>
    <cellStyle name="20% - Accent6 3 6 5" xfId="7931" xr:uid="{00000000-0005-0000-0000-0000B53F0000}"/>
    <cellStyle name="20% - Accent6 3 6 6" xfId="15032" xr:uid="{00000000-0005-0000-0000-0000B63F0000}"/>
    <cellStyle name="20% - Accent6 3 6 7" xfId="22134" xr:uid="{00000000-0005-0000-0000-0000B73F0000}"/>
    <cellStyle name="20% - Accent6 3 6 8" xfId="29236" xr:uid="{00000000-0005-0000-0000-0000B83F0000}"/>
    <cellStyle name="20% - Accent6 3 6 9" xfId="38105" xr:uid="{00000000-0005-0000-0000-0000B93F0000}"/>
    <cellStyle name="20% - Accent6 3 7" xfId="965" xr:uid="{00000000-0005-0000-0000-0000BA3F0000}"/>
    <cellStyle name="20% - Accent6 3 7 2" xfId="2456" xr:uid="{00000000-0005-0000-0000-0000BB3F0000}"/>
    <cellStyle name="20% - Accent6 3 7 2 2" xfId="6724" xr:uid="{00000000-0005-0000-0000-0000BC3F0000}"/>
    <cellStyle name="20% - Accent6 3 7 2 2 2" xfId="13824" xr:uid="{00000000-0005-0000-0000-0000BD3F0000}"/>
    <cellStyle name="20% - Accent6 3 7 2 2 3" xfId="20925" xr:uid="{00000000-0005-0000-0000-0000BE3F0000}"/>
    <cellStyle name="20% - Accent6 3 7 2 2 4" xfId="28027" xr:uid="{00000000-0005-0000-0000-0000BF3F0000}"/>
    <cellStyle name="20% - Accent6 3 7 2 2 5" xfId="35129" xr:uid="{00000000-0005-0000-0000-0000C03F0000}"/>
    <cellStyle name="20% - Accent6 3 7 2 3" xfId="9564" xr:uid="{00000000-0005-0000-0000-0000C13F0000}"/>
    <cellStyle name="20% - Accent6 3 7 2 4" xfId="16665" xr:uid="{00000000-0005-0000-0000-0000C23F0000}"/>
    <cellStyle name="20% - Accent6 3 7 2 5" xfId="23767" xr:uid="{00000000-0005-0000-0000-0000C33F0000}"/>
    <cellStyle name="20% - Accent6 3 7 2 6" xfId="30869" xr:uid="{00000000-0005-0000-0000-0000C43F0000}"/>
    <cellStyle name="20% - Accent6 3 7 2 7" xfId="38106" xr:uid="{00000000-0005-0000-0000-0000C53F0000}"/>
    <cellStyle name="20% - Accent6 3 7 3" xfId="5303" xr:uid="{00000000-0005-0000-0000-0000C63F0000}"/>
    <cellStyle name="20% - Accent6 3 7 3 2" xfId="12404" xr:uid="{00000000-0005-0000-0000-0000C73F0000}"/>
    <cellStyle name="20% - Accent6 3 7 3 3" xfId="19505" xr:uid="{00000000-0005-0000-0000-0000C83F0000}"/>
    <cellStyle name="20% - Accent6 3 7 3 4" xfId="26607" xr:uid="{00000000-0005-0000-0000-0000C93F0000}"/>
    <cellStyle name="20% - Accent6 3 7 3 5" xfId="33709" xr:uid="{00000000-0005-0000-0000-0000CA3F0000}"/>
    <cellStyle name="20% - Accent6 3 7 4" xfId="3878" xr:uid="{00000000-0005-0000-0000-0000CB3F0000}"/>
    <cellStyle name="20% - Accent6 3 7 4 2" xfId="10984" xr:uid="{00000000-0005-0000-0000-0000CC3F0000}"/>
    <cellStyle name="20% - Accent6 3 7 4 3" xfId="18085" xr:uid="{00000000-0005-0000-0000-0000CD3F0000}"/>
    <cellStyle name="20% - Accent6 3 7 4 4" xfId="25187" xr:uid="{00000000-0005-0000-0000-0000CE3F0000}"/>
    <cellStyle name="20% - Accent6 3 7 4 5" xfId="32289" xr:uid="{00000000-0005-0000-0000-0000CF3F0000}"/>
    <cellStyle name="20% - Accent6 3 7 5" xfId="8144" xr:uid="{00000000-0005-0000-0000-0000D03F0000}"/>
    <cellStyle name="20% - Accent6 3 7 6" xfId="15245" xr:uid="{00000000-0005-0000-0000-0000D13F0000}"/>
    <cellStyle name="20% - Accent6 3 7 7" xfId="22347" xr:uid="{00000000-0005-0000-0000-0000D23F0000}"/>
    <cellStyle name="20% - Accent6 3 7 8" xfId="29449" xr:uid="{00000000-0005-0000-0000-0000D33F0000}"/>
    <cellStyle name="20% - Accent6 3 7 9" xfId="38107" xr:uid="{00000000-0005-0000-0000-0000D43F0000}"/>
    <cellStyle name="20% - Accent6 3 8" xfId="1320" xr:uid="{00000000-0005-0000-0000-0000D53F0000}"/>
    <cellStyle name="20% - Accent6 3 8 2" xfId="2811" xr:uid="{00000000-0005-0000-0000-0000D63F0000}"/>
    <cellStyle name="20% - Accent6 3 8 2 2" xfId="7079" xr:uid="{00000000-0005-0000-0000-0000D73F0000}"/>
    <cellStyle name="20% - Accent6 3 8 2 2 2" xfId="14179" xr:uid="{00000000-0005-0000-0000-0000D83F0000}"/>
    <cellStyle name="20% - Accent6 3 8 2 2 3" xfId="21280" xr:uid="{00000000-0005-0000-0000-0000D93F0000}"/>
    <cellStyle name="20% - Accent6 3 8 2 2 4" xfId="28382" xr:uid="{00000000-0005-0000-0000-0000DA3F0000}"/>
    <cellStyle name="20% - Accent6 3 8 2 2 5" xfId="35484" xr:uid="{00000000-0005-0000-0000-0000DB3F0000}"/>
    <cellStyle name="20% - Accent6 3 8 2 3" xfId="9919" xr:uid="{00000000-0005-0000-0000-0000DC3F0000}"/>
    <cellStyle name="20% - Accent6 3 8 2 4" xfId="17020" xr:uid="{00000000-0005-0000-0000-0000DD3F0000}"/>
    <cellStyle name="20% - Accent6 3 8 2 5" xfId="24122" xr:uid="{00000000-0005-0000-0000-0000DE3F0000}"/>
    <cellStyle name="20% - Accent6 3 8 2 6" xfId="31224" xr:uid="{00000000-0005-0000-0000-0000DF3F0000}"/>
    <cellStyle name="20% - Accent6 3 8 2 7" xfId="38108" xr:uid="{00000000-0005-0000-0000-0000E03F0000}"/>
    <cellStyle name="20% - Accent6 3 8 3" xfId="5658" xr:uid="{00000000-0005-0000-0000-0000E13F0000}"/>
    <cellStyle name="20% - Accent6 3 8 3 2" xfId="12759" xr:uid="{00000000-0005-0000-0000-0000E23F0000}"/>
    <cellStyle name="20% - Accent6 3 8 3 3" xfId="19860" xr:uid="{00000000-0005-0000-0000-0000E33F0000}"/>
    <cellStyle name="20% - Accent6 3 8 3 4" xfId="26962" xr:uid="{00000000-0005-0000-0000-0000E43F0000}"/>
    <cellStyle name="20% - Accent6 3 8 3 5" xfId="34064" xr:uid="{00000000-0005-0000-0000-0000E53F0000}"/>
    <cellStyle name="20% - Accent6 3 8 4" xfId="4233" xr:uid="{00000000-0005-0000-0000-0000E63F0000}"/>
    <cellStyle name="20% - Accent6 3 8 4 2" xfId="11339" xr:uid="{00000000-0005-0000-0000-0000E73F0000}"/>
    <cellStyle name="20% - Accent6 3 8 4 3" xfId="18440" xr:uid="{00000000-0005-0000-0000-0000E83F0000}"/>
    <cellStyle name="20% - Accent6 3 8 4 4" xfId="25542" xr:uid="{00000000-0005-0000-0000-0000E93F0000}"/>
    <cellStyle name="20% - Accent6 3 8 4 5" xfId="32644" xr:uid="{00000000-0005-0000-0000-0000EA3F0000}"/>
    <cellStyle name="20% - Accent6 3 8 5" xfId="8499" xr:uid="{00000000-0005-0000-0000-0000EB3F0000}"/>
    <cellStyle name="20% - Accent6 3 8 6" xfId="15600" xr:uid="{00000000-0005-0000-0000-0000EC3F0000}"/>
    <cellStyle name="20% - Accent6 3 8 7" xfId="22702" xr:uid="{00000000-0005-0000-0000-0000ED3F0000}"/>
    <cellStyle name="20% - Accent6 3 8 8" xfId="29804" xr:uid="{00000000-0005-0000-0000-0000EE3F0000}"/>
    <cellStyle name="20% - Accent6 3 8 9" xfId="38109" xr:uid="{00000000-0005-0000-0000-0000EF3F0000}"/>
    <cellStyle name="20% - Accent6 3 9" xfId="1602" xr:uid="{00000000-0005-0000-0000-0000F03F0000}"/>
    <cellStyle name="20% - Accent6 3 9 2" xfId="5872" xr:uid="{00000000-0005-0000-0000-0000F13F0000}"/>
    <cellStyle name="20% - Accent6 3 9 2 2" xfId="12972" xr:uid="{00000000-0005-0000-0000-0000F23F0000}"/>
    <cellStyle name="20% - Accent6 3 9 2 3" xfId="20073" xr:uid="{00000000-0005-0000-0000-0000F33F0000}"/>
    <cellStyle name="20% - Accent6 3 9 2 4" xfId="27175" xr:uid="{00000000-0005-0000-0000-0000F43F0000}"/>
    <cellStyle name="20% - Accent6 3 9 2 5" xfId="34277" xr:uid="{00000000-0005-0000-0000-0000F53F0000}"/>
    <cellStyle name="20% - Accent6 3 9 3" xfId="8712" xr:uid="{00000000-0005-0000-0000-0000F63F0000}"/>
    <cellStyle name="20% - Accent6 3 9 4" xfId="15813" xr:uid="{00000000-0005-0000-0000-0000F73F0000}"/>
    <cellStyle name="20% - Accent6 3 9 5" xfId="22915" xr:uid="{00000000-0005-0000-0000-0000F83F0000}"/>
    <cellStyle name="20% - Accent6 3 9 6" xfId="30017" xr:uid="{00000000-0005-0000-0000-0000F93F0000}"/>
    <cellStyle name="20% - Accent6 3 9 7" xfId="38110" xr:uid="{00000000-0005-0000-0000-0000FA3F0000}"/>
    <cellStyle name="20% - Accent6 4" xfId="142" xr:uid="{00000000-0005-0000-0000-0000FB3F0000}"/>
    <cellStyle name="20% - Accent6 4 10" xfId="4482" xr:uid="{00000000-0005-0000-0000-0000FC3F0000}"/>
    <cellStyle name="20% - Accent6 4 10 2" xfId="11583" xr:uid="{00000000-0005-0000-0000-0000FD3F0000}"/>
    <cellStyle name="20% - Accent6 4 10 3" xfId="18684" xr:uid="{00000000-0005-0000-0000-0000FE3F0000}"/>
    <cellStyle name="20% - Accent6 4 10 4" xfId="25786" xr:uid="{00000000-0005-0000-0000-0000FF3F0000}"/>
    <cellStyle name="20% - Accent6 4 10 5" xfId="32888" xr:uid="{00000000-0005-0000-0000-000000400000}"/>
    <cellStyle name="20% - Accent6 4 11" xfId="3057" xr:uid="{00000000-0005-0000-0000-000001400000}"/>
    <cellStyle name="20% - Accent6 4 11 2" xfId="10163" xr:uid="{00000000-0005-0000-0000-000002400000}"/>
    <cellStyle name="20% - Accent6 4 11 3" xfId="17264" xr:uid="{00000000-0005-0000-0000-000003400000}"/>
    <cellStyle name="20% - Accent6 4 11 4" xfId="24366" xr:uid="{00000000-0005-0000-0000-000004400000}"/>
    <cellStyle name="20% - Accent6 4 11 5" xfId="31468" xr:uid="{00000000-0005-0000-0000-000005400000}"/>
    <cellStyle name="20% - Accent6 4 12" xfId="7323" xr:uid="{00000000-0005-0000-0000-000006400000}"/>
    <cellStyle name="20% - Accent6 4 13" xfId="14424" xr:uid="{00000000-0005-0000-0000-000007400000}"/>
    <cellStyle name="20% - Accent6 4 14" xfId="21526" xr:uid="{00000000-0005-0000-0000-000008400000}"/>
    <cellStyle name="20% - Accent6 4 15" xfId="28628" xr:uid="{00000000-0005-0000-0000-000009400000}"/>
    <cellStyle name="20% - Accent6 4 16" xfId="35730" xr:uid="{00000000-0005-0000-0000-00000A400000}"/>
    <cellStyle name="20% - Accent6 4 17" xfId="38111" xr:uid="{00000000-0005-0000-0000-00000B400000}"/>
    <cellStyle name="20% - Accent6 4 18" xfId="38112" xr:uid="{00000000-0005-0000-0000-00000C400000}"/>
    <cellStyle name="20% - Accent6 4 2" xfId="286" xr:uid="{00000000-0005-0000-0000-00000D400000}"/>
    <cellStyle name="20% - Accent6 4 2 10" xfId="7465" xr:uid="{00000000-0005-0000-0000-00000E400000}"/>
    <cellStyle name="20% - Accent6 4 2 11" xfId="14566" xr:uid="{00000000-0005-0000-0000-00000F400000}"/>
    <cellStyle name="20% - Accent6 4 2 12" xfId="21668" xr:uid="{00000000-0005-0000-0000-000010400000}"/>
    <cellStyle name="20% - Accent6 4 2 13" xfId="28770" xr:uid="{00000000-0005-0000-0000-000011400000}"/>
    <cellStyle name="20% - Accent6 4 2 14" xfId="35872" xr:uid="{00000000-0005-0000-0000-000012400000}"/>
    <cellStyle name="20% - Accent6 4 2 15" xfId="38113" xr:uid="{00000000-0005-0000-0000-000013400000}"/>
    <cellStyle name="20% - Accent6 4 2 2" xfId="499" xr:uid="{00000000-0005-0000-0000-000014400000}"/>
    <cellStyle name="20% - Accent6 4 2 2 10" xfId="38114" xr:uid="{00000000-0005-0000-0000-000015400000}"/>
    <cellStyle name="20% - Accent6 4 2 2 2" xfId="1280" xr:uid="{00000000-0005-0000-0000-000016400000}"/>
    <cellStyle name="20% - Accent6 4 2 2 2 2" xfId="2771" xr:uid="{00000000-0005-0000-0000-000017400000}"/>
    <cellStyle name="20% - Accent6 4 2 2 2 2 2" xfId="7039" xr:uid="{00000000-0005-0000-0000-000018400000}"/>
    <cellStyle name="20% - Accent6 4 2 2 2 2 2 2" xfId="14139" xr:uid="{00000000-0005-0000-0000-000019400000}"/>
    <cellStyle name="20% - Accent6 4 2 2 2 2 2 3" xfId="21240" xr:uid="{00000000-0005-0000-0000-00001A400000}"/>
    <cellStyle name="20% - Accent6 4 2 2 2 2 2 4" xfId="28342" xr:uid="{00000000-0005-0000-0000-00001B400000}"/>
    <cellStyle name="20% - Accent6 4 2 2 2 2 2 5" xfId="35444" xr:uid="{00000000-0005-0000-0000-00001C400000}"/>
    <cellStyle name="20% - Accent6 4 2 2 2 2 3" xfId="9879" xr:uid="{00000000-0005-0000-0000-00001D400000}"/>
    <cellStyle name="20% - Accent6 4 2 2 2 2 4" xfId="16980" xr:uid="{00000000-0005-0000-0000-00001E400000}"/>
    <cellStyle name="20% - Accent6 4 2 2 2 2 5" xfId="24082" xr:uid="{00000000-0005-0000-0000-00001F400000}"/>
    <cellStyle name="20% - Accent6 4 2 2 2 2 6" xfId="31184" xr:uid="{00000000-0005-0000-0000-000020400000}"/>
    <cellStyle name="20% - Accent6 4 2 2 2 2 7" xfId="38115" xr:uid="{00000000-0005-0000-0000-000021400000}"/>
    <cellStyle name="20% - Accent6 4 2 2 2 3" xfId="5618" xr:uid="{00000000-0005-0000-0000-000022400000}"/>
    <cellStyle name="20% - Accent6 4 2 2 2 3 2" xfId="12719" xr:uid="{00000000-0005-0000-0000-000023400000}"/>
    <cellStyle name="20% - Accent6 4 2 2 2 3 3" xfId="19820" xr:uid="{00000000-0005-0000-0000-000024400000}"/>
    <cellStyle name="20% - Accent6 4 2 2 2 3 4" xfId="26922" xr:uid="{00000000-0005-0000-0000-000025400000}"/>
    <cellStyle name="20% - Accent6 4 2 2 2 3 5" xfId="34024" xr:uid="{00000000-0005-0000-0000-000026400000}"/>
    <cellStyle name="20% - Accent6 4 2 2 2 4" xfId="4193" xr:uid="{00000000-0005-0000-0000-000027400000}"/>
    <cellStyle name="20% - Accent6 4 2 2 2 4 2" xfId="11299" xr:uid="{00000000-0005-0000-0000-000028400000}"/>
    <cellStyle name="20% - Accent6 4 2 2 2 4 3" xfId="18400" xr:uid="{00000000-0005-0000-0000-000029400000}"/>
    <cellStyle name="20% - Accent6 4 2 2 2 4 4" xfId="25502" xr:uid="{00000000-0005-0000-0000-00002A400000}"/>
    <cellStyle name="20% - Accent6 4 2 2 2 4 5" xfId="32604" xr:uid="{00000000-0005-0000-0000-00002B400000}"/>
    <cellStyle name="20% - Accent6 4 2 2 2 5" xfId="8459" xr:uid="{00000000-0005-0000-0000-00002C400000}"/>
    <cellStyle name="20% - Accent6 4 2 2 2 6" xfId="15560" xr:uid="{00000000-0005-0000-0000-00002D400000}"/>
    <cellStyle name="20% - Accent6 4 2 2 2 7" xfId="22662" xr:uid="{00000000-0005-0000-0000-00002E400000}"/>
    <cellStyle name="20% - Accent6 4 2 2 2 8" xfId="29764" xr:uid="{00000000-0005-0000-0000-00002F400000}"/>
    <cellStyle name="20% - Accent6 4 2 2 2 9" xfId="38116" xr:uid="{00000000-0005-0000-0000-000030400000}"/>
    <cellStyle name="20% - Accent6 4 2 2 3" xfId="1990" xr:uid="{00000000-0005-0000-0000-000031400000}"/>
    <cellStyle name="20% - Accent6 4 2 2 3 2" xfId="6258" xr:uid="{00000000-0005-0000-0000-000032400000}"/>
    <cellStyle name="20% - Accent6 4 2 2 3 2 2" xfId="13358" xr:uid="{00000000-0005-0000-0000-000033400000}"/>
    <cellStyle name="20% - Accent6 4 2 2 3 2 3" xfId="20459" xr:uid="{00000000-0005-0000-0000-000034400000}"/>
    <cellStyle name="20% - Accent6 4 2 2 3 2 4" xfId="27561" xr:uid="{00000000-0005-0000-0000-000035400000}"/>
    <cellStyle name="20% - Accent6 4 2 2 3 2 5" xfId="34663" xr:uid="{00000000-0005-0000-0000-000036400000}"/>
    <cellStyle name="20% - Accent6 4 2 2 3 2 6" xfId="38117" xr:uid="{00000000-0005-0000-0000-000037400000}"/>
    <cellStyle name="20% - Accent6 4 2 2 3 3" xfId="9098" xr:uid="{00000000-0005-0000-0000-000038400000}"/>
    <cellStyle name="20% - Accent6 4 2 2 3 4" xfId="16199" xr:uid="{00000000-0005-0000-0000-000039400000}"/>
    <cellStyle name="20% - Accent6 4 2 2 3 5" xfId="23301" xr:uid="{00000000-0005-0000-0000-00003A400000}"/>
    <cellStyle name="20% - Accent6 4 2 2 3 6" xfId="30403" xr:uid="{00000000-0005-0000-0000-00003B400000}"/>
    <cellStyle name="20% - Accent6 4 2 2 3 7" xfId="38118" xr:uid="{00000000-0005-0000-0000-00003C400000}"/>
    <cellStyle name="20% - Accent6 4 2 2 4" xfId="4837" xr:uid="{00000000-0005-0000-0000-00003D400000}"/>
    <cellStyle name="20% - Accent6 4 2 2 4 2" xfId="11938" xr:uid="{00000000-0005-0000-0000-00003E400000}"/>
    <cellStyle name="20% - Accent6 4 2 2 4 3" xfId="19039" xr:uid="{00000000-0005-0000-0000-00003F400000}"/>
    <cellStyle name="20% - Accent6 4 2 2 4 4" xfId="26141" xr:uid="{00000000-0005-0000-0000-000040400000}"/>
    <cellStyle name="20% - Accent6 4 2 2 4 5" xfId="33243" xr:uid="{00000000-0005-0000-0000-000041400000}"/>
    <cellStyle name="20% - Accent6 4 2 2 4 6" xfId="38119" xr:uid="{00000000-0005-0000-0000-000042400000}"/>
    <cellStyle name="20% - Accent6 4 2 2 5" xfId="3412" xr:uid="{00000000-0005-0000-0000-000043400000}"/>
    <cellStyle name="20% - Accent6 4 2 2 5 2" xfId="10518" xr:uid="{00000000-0005-0000-0000-000044400000}"/>
    <cellStyle name="20% - Accent6 4 2 2 5 3" xfId="17619" xr:uid="{00000000-0005-0000-0000-000045400000}"/>
    <cellStyle name="20% - Accent6 4 2 2 5 4" xfId="24721" xr:uid="{00000000-0005-0000-0000-000046400000}"/>
    <cellStyle name="20% - Accent6 4 2 2 5 5" xfId="31823" xr:uid="{00000000-0005-0000-0000-000047400000}"/>
    <cellStyle name="20% - Accent6 4 2 2 6" xfId="7678" xr:uid="{00000000-0005-0000-0000-000048400000}"/>
    <cellStyle name="20% - Accent6 4 2 2 7" xfId="14779" xr:uid="{00000000-0005-0000-0000-000049400000}"/>
    <cellStyle name="20% - Accent6 4 2 2 8" xfId="21881" xr:uid="{00000000-0005-0000-0000-00004A400000}"/>
    <cellStyle name="20% - Accent6 4 2 2 9" xfId="28983" xr:uid="{00000000-0005-0000-0000-00004B400000}"/>
    <cellStyle name="20% - Accent6 4 2 3" xfId="712" xr:uid="{00000000-0005-0000-0000-00004C400000}"/>
    <cellStyle name="20% - Accent6 4 2 3 2" xfId="2203" xr:uid="{00000000-0005-0000-0000-00004D400000}"/>
    <cellStyle name="20% - Accent6 4 2 3 2 2" xfId="6471" xr:uid="{00000000-0005-0000-0000-00004E400000}"/>
    <cellStyle name="20% - Accent6 4 2 3 2 2 2" xfId="13571" xr:uid="{00000000-0005-0000-0000-00004F400000}"/>
    <cellStyle name="20% - Accent6 4 2 3 2 2 3" xfId="20672" xr:uid="{00000000-0005-0000-0000-000050400000}"/>
    <cellStyle name="20% - Accent6 4 2 3 2 2 4" xfId="27774" xr:uid="{00000000-0005-0000-0000-000051400000}"/>
    <cellStyle name="20% - Accent6 4 2 3 2 2 5" xfId="34876" xr:uid="{00000000-0005-0000-0000-000052400000}"/>
    <cellStyle name="20% - Accent6 4 2 3 2 2 6" xfId="38120" xr:uid="{00000000-0005-0000-0000-000053400000}"/>
    <cellStyle name="20% - Accent6 4 2 3 2 3" xfId="9311" xr:uid="{00000000-0005-0000-0000-000054400000}"/>
    <cellStyle name="20% - Accent6 4 2 3 2 4" xfId="16412" xr:uid="{00000000-0005-0000-0000-000055400000}"/>
    <cellStyle name="20% - Accent6 4 2 3 2 5" xfId="23514" xr:uid="{00000000-0005-0000-0000-000056400000}"/>
    <cellStyle name="20% - Accent6 4 2 3 2 6" xfId="30616" xr:uid="{00000000-0005-0000-0000-000057400000}"/>
    <cellStyle name="20% - Accent6 4 2 3 2 7" xfId="38121" xr:uid="{00000000-0005-0000-0000-000058400000}"/>
    <cellStyle name="20% - Accent6 4 2 3 3" xfId="5050" xr:uid="{00000000-0005-0000-0000-000059400000}"/>
    <cellStyle name="20% - Accent6 4 2 3 3 2" xfId="12151" xr:uid="{00000000-0005-0000-0000-00005A400000}"/>
    <cellStyle name="20% - Accent6 4 2 3 3 2 2" xfId="38122" xr:uid="{00000000-0005-0000-0000-00005B400000}"/>
    <cellStyle name="20% - Accent6 4 2 3 3 3" xfId="19252" xr:uid="{00000000-0005-0000-0000-00005C400000}"/>
    <cellStyle name="20% - Accent6 4 2 3 3 4" xfId="26354" xr:uid="{00000000-0005-0000-0000-00005D400000}"/>
    <cellStyle name="20% - Accent6 4 2 3 3 5" xfId="33456" xr:uid="{00000000-0005-0000-0000-00005E400000}"/>
    <cellStyle name="20% - Accent6 4 2 3 3 6" xfId="38123" xr:uid="{00000000-0005-0000-0000-00005F400000}"/>
    <cellStyle name="20% - Accent6 4 2 3 4" xfId="3625" xr:uid="{00000000-0005-0000-0000-000060400000}"/>
    <cellStyle name="20% - Accent6 4 2 3 4 2" xfId="10731" xr:uid="{00000000-0005-0000-0000-000061400000}"/>
    <cellStyle name="20% - Accent6 4 2 3 4 3" xfId="17832" xr:uid="{00000000-0005-0000-0000-000062400000}"/>
    <cellStyle name="20% - Accent6 4 2 3 4 4" xfId="24934" xr:uid="{00000000-0005-0000-0000-000063400000}"/>
    <cellStyle name="20% - Accent6 4 2 3 4 5" xfId="32036" xr:uid="{00000000-0005-0000-0000-000064400000}"/>
    <cellStyle name="20% - Accent6 4 2 3 4 6" xfId="38124" xr:uid="{00000000-0005-0000-0000-000065400000}"/>
    <cellStyle name="20% - Accent6 4 2 3 5" xfId="7891" xr:uid="{00000000-0005-0000-0000-000066400000}"/>
    <cellStyle name="20% - Accent6 4 2 3 6" xfId="14992" xr:uid="{00000000-0005-0000-0000-000067400000}"/>
    <cellStyle name="20% - Accent6 4 2 3 7" xfId="22094" xr:uid="{00000000-0005-0000-0000-000068400000}"/>
    <cellStyle name="20% - Accent6 4 2 3 8" xfId="29196" xr:uid="{00000000-0005-0000-0000-000069400000}"/>
    <cellStyle name="20% - Accent6 4 2 3 9" xfId="38125" xr:uid="{00000000-0005-0000-0000-00006A400000}"/>
    <cellStyle name="20% - Accent6 4 2 4" xfId="925" xr:uid="{00000000-0005-0000-0000-00006B400000}"/>
    <cellStyle name="20% - Accent6 4 2 4 2" xfId="2416" xr:uid="{00000000-0005-0000-0000-00006C400000}"/>
    <cellStyle name="20% - Accent6 4 2 4 2 2" xfId="6684" xr:uid="{00000000-0005-0000-0000-00006D400000}"/>
    <cellStyle name="20% - Accent6 4 2 4 2 2 2" xfId="13784" xr:uid="{00000000-0005-0000-0000-00006E400000}"/>
    <cellStyle name="20% - Accent6 4 2 4 2 2 3" xfId="20885" xr:uid="{00000000-0005-0000-0000-00006F400000}"/>
    <cellStyle name="20% - Accent6 4 2 4 2 2 4" xfId="27987" xr:uid="{00000000-0005-0000-0000-000070400000}"/>
    <cellStyle name="20% - Accent6 4 2 4 2 2 5" xfId="35089" xr:uid="{00000000-0005-0000-0000-000071400000}"/>
    <cellStyle name="20% - Accent6 4 2 4 2 2 6" xfId="38126" xr:uid="{00000000-0005-0000-0000-000072400000}"/>
    <cellStyle name="20% - Accent6 4 2 4 2 3" xfId="9524" xr:uid="{00000000-0005-0000-0000-000073400000}"/>
    <cellStyle name="20% - Accent6 4 2 4 2 4" xfId="16625" xr:uid="{00000000-0005-0000-0000-000074400000}"/>
    <cellStyle name="20% - Accent6 4 2 4 2 5" xfId="23727" xr:uid="{00000000-0005-0000-0000-000075400000}"/>
    <cellStyle name="20% - Accent6 4 2 4 2 6" xfId="30829" xr:uid="{00000000-0005-0000-0000-000076400000}"/>
    <cellStyle name="20% - Accent6 4 2 4 2 7" xfId="38127" xr:uid="{00000000-0005-0000-0000-000077400000}"/>
    <cellStyle name="20% - Accent6 4 2 4 3" xfId="5263" xr:uid="{00000000-0005-0000-0000-000078400000}"/>
    <cellStyle name="20% - Accent6 4 2 4 3 2" xfId="12364" xr:uid="{00000000-0005-0000-0000-000079400000}"/>
    <cellStyle name="20% - Accent6 4 2 4 3 2 2" xfId="38128" xr:uid="{00000000-0005-0000-0000-00007A400000}"/>
    <cellStyle name="20% - Accent6 4 2 4 3 3" xfId="19465" xr:uid="{00000000-0005-0000-0000-00007B400000}"/>
    <cellStyle name="20% - Accent6 4 2 4 3 4" xfId="26567" xr:uid="{00000000-0005-0000-0000-00007C400000}"/>
    <cellStyle name="20% - Accent6 4 2 4 3 5" xfId="33669" xr:uid="{00000000-0005-0000-0000-00007D400000}"/>
    <cellStyle name="20% - Accent6 4 2 4 3 6" xfId="38129" xr:uid="{00000000-0005-0000-0000-00007E400000}"/>
    <cellStyle name="20% - Accent6 4 2 4 4" xfId="3838" xr:uid="{00000000-0005-0000-0000-00007F400000}"/>
    <cellStyle name="20% - Accent6 4 2 4 4 2" xfId="10944" xr:uid="{00000000-0005-0000-0000-000080400000}"/>
    <cellStyle name="20% - Accent6 4 2 4 4 3" xfId="18045" xr:uid="{00000000-0005-0000-0000-000081400000}"/>
    <cellStyle name="20% - Accent6 4 2 4 4 4" xfId="25147" xr:uid="{00000000-0005-0000-0000-000082400000}"/>
    <cellStyle name="20% - Accent6 4 2 4 4 5" xfId="32249" xr:uid="{00000000-0005-0000-0000-000083400000}"/>
    <cellStyle name="20% - Accent6 4 2 4 4 6" xfId="38130" xr:uid="{00000000-0005-0000-0000-000084400000}"/>
    <cellStyle name="20% - Accent6 4 2 4 5" xfId="8104" xr:uid="{00000000-0005-0000-0000-000085400000}"/>
    <cellStyle name="20% - Accent6 4 2 4 6" xfId="15205" xr:uid="{00000000-0005-0000-0000-000086400000}"/>
    <cellStyle name="20% - Accent6 4 2 4 7" xfId="22307" xr:uid="{00000000-0005-0000-0000-000087400000}"/>
    <cellStyle name="20% - Accent6 4 2 4 8" xfId="29409" xr:uid="{00000000-0005-0000-0000-000088400000}"/>
    <cellStyle name="20% - Accent6 4 2 4 9" xfId="38131" xr:uid="{00000000-0005-0000-0000-000089400000}"/>
    <cellStyle name="20% - Accent6 4 2 5" xfId="1067" xr:uid="{00000000-0005-0000-0000-00008A400000}"/>
    <cellStyle name="20% - Accent6 4 2 5 2" xfId="2558" xr:uid="{00000000-0005-0000-0000-00008B400000}"/>
    <cellStyle name="20% - Accent6 4 2 5 2 2" xfId="6826" xr:uid="{00000000-0005-0000-0000-00008C400000}"/>
    <cellStyle name="20% - Accent6 4 2 5 2 2 2" xfId="13926" xr:uid="{00000000-0005-0000-0000-00008D400000}"/>
    <cellStyle name="20% - Accent6 4 2 5 2 2 3" xfId="21027" xr:uid="{00000000-0005-0000-0000-00008E400000}"/>
    <cellStyle name="20% - Accent6 4 2 5 2 2 4" xfId="28129" xr:uid="{00000000-0005-0000-0000-00008F400000}"/>
    <cellStyle name="20% - Accent6 4 2 5 2 2 5" xfId="35231" xr:uid="{00000000-0005-0000-0000-000090400000}"/>
    <cellStyle name="20% - Accent6 4 2 5 2 3" xfId="9666" xr:uid="{00000000-0005-0000-0000-000091400000}"/>
    <cellStyle name="20% - Accent6 4 2 5 2 4" xfId="16767" xr:uid="{00000000-0005-0000-0000-000092400000}"/>
    <cellStyle name="20% - Accent6 4 2 5 2 5" xfId="23869" xr:uid="{00000000-0005-0000-0000-000093400000}"/>
    <cellStyle name="20% - Accent6 4 2 5 2 6" xfId="30971" xr:uid="{00000000-0005-0000-0000-000094400000}"/>
    <cellStyle name="20% - Accent6 4 2 5 2 7" xfId="38132" xr:uid="{00000000-0005-0000-0000-000095400000}"/>
    <cellStyle name="20% - Accent6 4 2 5 3" xfId="5405" xr:uid="{00000000-0005-0000-0000-000096400000}"/>
    <cellStyle name="20% - Accent6 4 2 5 3 2" xfId="12506" xr:uid="{00000000-0005-0000-0000-000097400000}"/>
    <cellStyle name="20% - Accent6 4 2 5 3 3" xfId="19607" xr:uid="{00000000-0005-0000-0000-000098400000}"/>
    <cellStyle name="20% - Accent6 4 2 5 3 4" xfId="26709" xr:uid="{00000000-0005-0000-0000-000099400000}"/>
    <cellStyle name="20% - Accent6 4 2 5 3 5" xfId="33811" xr:uid="{00000000-0005-0000-0000-00009A400000}"/>
    <cellStyle name="20% - Accent6 4 2 5 4" xfId="3980" xr:uid="{00000000-0005-0000-0000-00009B400000}"/>
    <cellStyle name="20% - Accent6 4 2 5 4 2" xfId="11086" xr:uid="{00000000-0005-0000-0000-00009C400000}"/>
    <cellStyle name="20% - Accent6 4 2 5 4 3" xfId="18187" xr:uid="{00000000-0005-0000-0000-00009D400000}"/>
    <cellStyle name="20% - Accent6 4 2 5 4 4" xfId="25289" xr:uid="{00000000-0005-0000-0000-00009E400000}"/>
    <cellStyle name="20% - Accent6 4 2 5 4 5" xfId="32391" xr:uid="{00000000-0005-0000-0000-00009F400000}"/>
    <cellStyle name="20% - Accent6 4 2 5 5" xfId="8246" xr:uid="{00000000-0005-0000-0000-0000A0400000}"/>
    <cellStyle name="20% - Accent6 4 2 5 6" xfId="15347" xr:uid="{00000000-0005-0000-0000-0000A1400000}"/>
    <cellStyle name="20% - Accent6 4 2 5 7" xfId="22449" xr:uid="{00000000-0005-0000-0000-0000A2400000}"/>
    <cellStyle name="20% - Accent6 4 2 5 8" xfId="29551" xr:uid="{00000000-0005-0000-0000-0000A3400000}"/>
    <cellStyle name="20% - Accent6 4 2 5 9" xfId="38133" xr:uid="{00000000-0005-0000-0000-0000A4400000}"/>
    <cellStyle name="20% - Accent6 4 2 6" xfId="1493" xr:uid="{00000000-0005-0000-0000-0000A5400000}"/>
    <cellStyle name="20% - Accent6 4 2 6 2" xfId="2984" xr:uid="{00000000-0005-0000-0000-0000A6400000}"/>
    <cellStyle name="20% - Accent6 4 2 6 2 2" xfId="7252" xr:uid="{00000000-0005-0000-0000-0000A7400000}"/>
    <cellStyle name="20% - Accent6 4 2 6 2 2 2" xfId="14352" xr:uid="{00000000-0005-0000-0000-0000A8400000}"/>
    <cellStyle name="20% - Accent6 4 2 6 2 2 3" xfId="21453" xr:uid="{00000000-0005-0000-0000-0000A9400000}"/>
    <cellStyle name="20% - Accent6 4 2 6 2 2 4" xfId="28555" xr:uid="{00000000-0005-0000-0000-0000AA400000}"/>
    <cellStyle name="20% - Accent6 4 2 6 2 2 5" xfId="35657" xr:uid="{00000000-0005-0000-0000-0000AB400000}"/>
    <cellStyle name="20% - Accent6 4 2 6 2 3" xfId="10092" xr:uid="{00000000-0005-0000-0000-0000AC400000}"/>
    <cellStyle name="20% - Accent6 4 2 6 2 4" xfId="17193" xr:uid="{00000000-0005-0000-0000-0000AD400000}"/>
    <cellStyle name="20% - Accent6 4 2 6 2 5" xfId="24295" xr:uid="{00000000-0005-0000-0000-0000AE400000}"/>
    <cellStyle name="20% - Accent6 4 2 6 2 6" xfId="31397" xr:uid="{00000000-0005-0000-0000-0000AF400000}"/>
    <cellStyle name="20% - Accent6 4 2 6 2 7" xfId="38134" xr:uid="{00000000-0005-0000-0000-0000B0400000}"/>
    <cellStyle name="20% - Accent6 4 2 6 3" xfId="5831" xr:uid="{00000000-0005-0000-0000-0000B1400000}"/>
    <cellStyle name="20% - Accent6 4 2 6 3 2" xfId="12932" xr:uid="{00000000-0005-0000-0000-0000B2400000}"/>
    <cellStyle name="20% - Accent6 4 2 6 3 3" xfId="20033" xr:uid="{00000000-0005-0000-0000-0000B3400000}"/>
    <cellStyle name="20% - Accent6 4 2 6 3 4" xfId="27135" xr:uid="{00000000-0005-0000-0000-0000B4400000}"/>
    <cellStyle name="20% - Accent6 4 2 6 3 5" xfId="34237" xr:uid="{00000000-0005-0000-0000-0000B5400000}"/>
    <cellStyle name="20% - Accent6 4 2 6 4" xfId="4406" xr:uid="{00000000-0005-0000-0000-0000B6400000}"/>
    <cellStyle name="20% - Accent6 4 2 6 4 2" xfId="11512" xr:uid="{00000000-0005-0000-0000-0000B7400000}"/>
    <cellStyle name="20% - Accent6 4 2 6 4 3" xfId="18613" xr:uid="{00000000-0005-0000-0000-0000B8400000}"/>
    <cellStyle name="20% - Accent6 4 2 6 4 4" xfId="25715" xr:uid="{00000000-0005-0000-0000-0000B9400000}"/>
    <cellStyle name="20% - Accent6 4 2 6 4 5" xfId="32817" xr:uid="{00000000-0005-0000-0000-0000BA400000}"/>
    <cellStyle name="20% - Accent6 4 2 6 5" xfId="8672" xr:uid="{00000000-0005-0000-0000-0000BB400000}"/>
    <cellStyle name="20% - Accent6 4 2 6 6" xfId="15773" xr:uid="{00000000-0005-0000-0000-0000BC400000}"/>
    <cellStyle name="20% - Accent6 4 2 6 7" xfId="22875" xr:uid="{00000000-0005-0000-0000-0000BD400000}"/>
    <cellStyle name="20% - Accent6 4 2 6 8" xfId="29977" xr:uid="{00000000-0005-0000-0000-0000BE400000}"/>
    <cellStyle name="20% - Accent6 4 2 6 9" xfId="38135" xr:uid="{00000000-0005-0000-0000-0000BF400000}"/>
    <cellStyle name="20% - Accent6 4 2 7" xfId="1777" xr:uid="{00000000-0005-0000-0000-0000C0400000}"/>
    <cellStyle name="20% - Accent6 4 2 7 2" xfId="6045" xr:uid="{00000000-0005-0000-0000-0000C1400000}"/>
    <cellStyle name="20% - Accent6 4 2 7 2 2" xfId="13145" xr:uid="{00000000-0005-0000-0000-0000C2400000}"/>
    <cellStyle name="20% - Accent6 4 2 7 2 3" xfId="20246" xr:uid="{00000000-0005-0000-0000-0000C3400000}"/>
    <cellStyle name="20% - Accent6 4 2 7 2 4" xfId="27348" xr:uid="{00000000-0005-0000-0000-0000C4400000}"/>
    <cellStyle name="20% - Accent6 4 2 7 2 5" xfId="34450" xr:uid="{00000000-0005-0000-0000-0000C5400000}"/>
    <cellStyle name="20% - Accent6 4 2 7 3" xfId="8885" xr:uid="{00000000-0005-0000-0000-0000C6400000}"/>
    <cellStyle name="20% - Accent6 4 2 7 4" xfId="15986" xr:uid="{00000000-0005-0000-0000-0000C7400000}"/>
    <cellStyle name="20% - Accent6 4 2 7 5" xfId="23088" xr:uid="{00000000-0005-0000-0000-0000C8400000}"/>
    <cellStyle name="20% - Accent6 4 2 7 6" xfId="30190" xr:uid="{00000000-0005-0000-0000-0000C9400000}"/>
    <cellStyle name="20% - Accent6 4 2 7 7" xfId="38136" xr:uid="{00000000-0005-0000-0000-0000CA400000}"/>
    <cellStyle name="20% - Accent6 4 2 8" xfId="4624" xr:uid="{00000000-0005-0000-0000-0000CB400000}"/>
    <cellStyle name="20% - Accent6 4 2 8 2" xfId="11725" xr:uid="{00000000-0005-0000-0000-0000CC400000}"/>
    <cellStyle name="20% - Accent6 4 2 8 3" xfId="18826" xr:uid="{00000000-0005-0000-0000-0000CD400000}"/>
    <cellStyle name="20% - Accent6 4 2 8 4" xfId="25928" xr:uid="{00000000-0005-0000-0000-0000CE400000}"/>
    <cellStyle name="20% - Accent6 4 2 8 5" xfId="33030" xr:uid="{00000000-0005-0000-0000-0000CF400000}"/>
    <cellStyle name="20% - Accent6 4 2 9" xfId="3199" xr:uid="{00000000-0005-0000-0000-0000D0400000}"/>
    <cellStyle name="20% - Accent6 4 2 9 2" xfId="10305" xr:uid="{00000000-0005-0000-0000-0000D1400000}"/>
    <cellStyle name="20% - Accent6 4 2 9 3" xfId="17406" xr:uid="{00000000-0005-0000-0000-0000D2400000}"/>
    <cellStyle name="20% - Accent6 4 2 9 4" xfId="24508" xr:uid="{00000000-0005-0000-0000-0000D3400000}"/>
    <cellStyle name="20% - Accent6 4 2 9 5" xfId="31610" xr:uid="{00000000-0005-0000-0000-0000D4400000}"/>
    <cellStyle name="20% - Accent6 4 3" xfId="215" xr:uid="{00000000-0005-0000-0000-0000D5400000}"/>
    <cellStyle name="20% - Accent6 4 3 10" xfId="7394" xr:uid="{00000000-0005-0000-0000-0000D6400000}"/>
    <cellStyle name="20% - Accent6 4 3 11" xfId="14495" xr:uid="{00000000-0005-0000-0000-0000D7400000}"/>
    <cellStyle name="20% - Accent6 4 3 12" xfId="21597" xr:uid="{00000000-0005-0000-0000-0000D8400000}"/>
    <cellStyle name="20% - Accent6 4 3 13" xfId="28699" xr:uid="{00000000-0005-0000-0000-0000D9400000}"/>
    <cellStyle name="20% - Accent6 4 3 14" xfId="35801" xr:uid="{00000000-0005-0000-0000-0000DA400000}"/>
    <cellStyle name="20% - Accent6 4 3 15" xfId="38137" xr:uid="{00000000-0005-0000-0000-0000DB400000}"/>
    <cellStyle name="20% - Accent6 4 3 2" xfId="428" xr:uid="{00000000-0005-0000-0000-0000DC400000}"/>
    <cellStyle name="20% - Accent6 4 3 2 2" xfId="1919" xr:uid="{00000000-0005-0000-0000-0000DD400000}"/>
    <cellStyle name="20% - Accent6 4 3 2 2 2" xfId="6187" xr:uid="{00000000-0005-0000-0000-0000DE400000}"/>
    <cellStyle name="20% - Accent6 4 3 2 2 2 2" xfId="13287" xr:uid="{00000000-0005-0000-0000-0000DF400000}"/>
    <cellStyle name="20% - Accent6 4 3 2 2 2 3" xfId="20388" xr:uid="{00000000-0005-0000-0000-0000E0400000}"/>
    <cellStyle name="20% - Accent6 4 3 2 2 2 4" xfId="27490" xr:uid="{00000000-0005-0000-0000-0000E1400000}"/>
    <cellStyle name="20% - Accent6 4 3 2 2 2 5" xfId="34592" xr:uid="{00000000-0005-0000-0000-0000E2400000}"/>
    <cellStyle name="20% - Accent6 4 3 2 2 2 6" xfId="38138" xr:uid="{00000000-0005-0000-0000-0000E3400000}"/>
    <cellStyle name="20% - Accent6 4 3 2 2 3" xfId="9027" xr:uid="{00000000-0005-0000-0000-0000E4400000}"/>
    <cellStyle name="20% - Accent6 4 3 2 2 4" xfId="16128" xr:uid="{00000000-0005-0000-0000-0000E5400000}"/>
    <cellStyle name="20% - Accent6 4 3 2 2 5" xfId="23230" xr:uid="{00000000-0005-0000-0000-0000E6400000}"/>
    <cellStyle name="20% - Accent6 4 3 2 2 6" xfId="30332" xr:uid="{00000000-0005-0000-0000-0000E7400000}"/>
    <cellStyle name="20% - Accent6 4 3 2 2 7" xfId="38139" xr:uid="{00000000-0005-0000-0000-0000E8400000}"/>
    <cellStyle name="20% - Accent6 4 3 2 3" xfId="4766" xr:uid="{00000000-0005-0000-0000-0000E9400000}"/>
    <cellStyle name="20% - Accent6 4 3 2 3 2" xfId="11867" xr:uid="{00000000-0005-0000-0000-0000EA400000}"/>
    <cellStyle name="20% - Accent6 4 3 2 3 2 2" xfId="38140" xr:uid="{00000000-0005-0000-0000-0000EB400000}"/>
    <cellStyle name="20% - Accent6 4 3 2 3 3" xfId="18968" xr:uid="{00000000-0005-0000-0000-0000EC400000}"/>
    <cellStyle name="20% - Accent6 4 3 2 3 4" xfId="26070" xr:uid="{00000000-0005-0000-0000-0000ED400000}"/>
    <cellStyle name="20% - Accent6 4 3 2 3 5" xfId="33172" xr:uid="{00000000-0005-0000-0000-0000EE400000}"/>
    <cellStyle name="20% - Accent6 4 3 2 3 6" xfId="38141" xr:uid="{00000000-0005-0000-0000-0000EF400000}"/>
    <cellStyle name="20% - Accent6 4 3 2 4" xfId="3341" xr:uid="{00000000-0005-0000-0000-0000F0400000}"/>
    <cellStyle name="20% - Accent6 4 3 2 4 2" xfId="10447" xr:uid="{00000000-0005-0000-0000-0000F1400000}"/>
    <cellStyle name="20% - Accent6 4 3 2 4 3" xfId="17548" xr:uid="{00000000-0005-0000-0000-0000F2400000}"/>
    <cellStyle name="20% - Accent6 4 3 2 4 4" xfId="24650" xr:uid="{00000000-0005-0000-0000-0000F3400000}"/>
    <cellStyle name="20% - Accent6 4 3 2 4 5" xfId="31752" xr:uid="{00000000-0005-0000-0000-0000F4400000}"/>
    <cellStyle name="20% - Accent6 4 3 2 4 6" xfId="38142" xr:uid="{00000000-0005-0000-0000-0000F5400000}"/>
    <cellStyle name="20% - Accent6 4 3 2 5" xfId="7607" xr:uid="{00000000-0005-0000-0000-0000F6400000}"/>
    <cellStyle name="20% - Accent6 4 3 2 6" xfId="14708" xr:uid="{00000000-0005-0000-0000-0000F7400000}"/>
    <cellStyle name="20% - Accent6 4 3 2 7" xfId="21810" xr:uid="{00000000-0005-0000-0000-0000F8400000}"/>
    <cellStyle name="20% - Accent6 4 3 2 8" xfId="28912" xr:uid="{00000000-0005-0000-0000-0000F9400000}"/>
    <cellStyle name="20% - Accent6 4 3 2 9" xfId="38143" xr:uid="{00000000-0005-0000-0000-0000FA400000}"/>
    <cellStyle name="20% - Accent6 4 3 3" xfId="641" xr:uid="{00000000-0005-0000-0000-0000FB400000}"/>
    <cellStyle name="20% - Accent6 4 3 3 2" xfId="2132" xr:uid="{00000000-0005-0000-0000-0000FC400000}"/>
    <cellStyle name="20% - Accent6 4 3 3 2 2" xfId="6400" xr:uid="{00000000-0005-0000-0000-0000FD400000}"/>
    <cellStyle name="20% - Accent6 4 3 3 2 2 2" xfId="13500" xr:uid="{00000000-0005-0000-0000-0000FE400000}"/>
    <cellStyle name="20% - Accent6 4 3 3 2 2 3" xfId="20601" xr:uid="{00000000-0005-0000-0000-0000FF400000}"/>
    <cellStyle name="20% - Accent6 4 3 3 2 2 4" xfId="27703" xr:uid="{00000000-0005-0000-0000-000000410000}"/>
    <cellStyle name="20% - Accent6 4 3 3 2 2 5" xfId="34805" xr:uid="{00000000-0005-0000-0000-000001410000}"/>
    <cellStyle name="20% - Accent6 4 3 3 2 2 6" xfId="38144" xr:uid="{00000000-0005-0000-0000-000002410000}"/>
    <cellStyle name="20% - Accent6 4 3 3 2 3" xfId="9240" xr:uid="{00000000-0005-0000-0000-000003410000}"/>
    <cellStyle name="20% - Accent6 4 3 3 2 4" xfId="16341" xr:uid="{00000000-0005-0000-0000-000004410000}"/>
    <cellStyle name="20% - Accent6 4 3 3 2 5" xfId="23443" xr:uid="{00000000-0005-0000-0000-000005410000}"/>
    <cellStyle name="20% - Accent6 4 3 3 2 6" xfId="30545" xr:uid="{00000000-0005-0000-0000-000006410000}"/>
    <cellStyle name="20% - Accent6 4 3 3 2 7" xfId="38145" xr:uid="{00000000-0005-0000-0000-000007410000}"/>
    <cellStyle name="20% - Accent6 4 3 3 3" xfId="4979" xr:uid="{00000000-0005-0000-0000-000008410000}"/>
    <cellStyle name="20% - Accent6 4 3 3 3 2" xfId="12080" xr:uid="{00000000-0005-0000-0000-000009410000}"/>
    <cellStyle name="20% - Accent6 4 3 3 3 2 2" xfId="38146" xr:uid="{00000000-0005-0000-0000-00000A410000}"/>
    <cellStyle name="20% - Accent6 4 3 3 3 3" xfId="19181" xr:uid="{00000000-0005-0000-0000-00000B410000}"/>
    <cellStyle name="20% - Accent6 4 3 3 3 4" xfId="26283" xr:uid="{00000000-0005-0000-0000-00000C410000}"/>
    <cellStyle name="20% - Accent6 4 3 3 3 5" xfId="33385" xr:uid="{00000000-0005-0000-0000-00000D410000}"/>
    <cellStyle name="20% - Accent6 4 3 3 3 6" xfId="38147" xr:uid="{00000000-0005-0000-0000-00000E410000}"/>
    <cellStyle name="20% - Accent6 4 3 3 4" xfId="3554" xr:uid="{00000000-0005-0000-0000-00000F410000}"/>
    <cellStyle name="20% - Accent6 4 3 3 4 2" xfId="10660" xr:uid="{00000000-0005-0000-0000-000010410000}"/>
    <cellStyle name="20% - Accent6 4 3 3 4 3" xfId="17761" xr:uid="{00000000-0005-0000-0000-000011410000}"/>
    <cellStyle name="20% - Accent6 4 3 3 4 4" xfId="24863" xr:uid="{00000000-0005-0000-0000-000012410000}"/>
    <cellStyle name="20% - Accent6 4 3 3 4 5" xfId="31965" xr:uid="{00000000-0005-0000-0000-000013410000}"/>
    <cellStyle name="20% - Accent6 4 3 3 4 6" xfId="38148" xr:uid="{00000000-0005-0000-0000-000014410000}"/>
    <cellStyle name="20% - Accent6 4 3 3 5" xfId="7820" xr:uid="{00000000-0005-0000-0000-000015410000}"/>
    <cellStyle name="20% - Accent6 4 3 3 6" xfId="14921" xr:uid="{00000000-0005-0000-0000-000016410000}"/>
    <cellStyle name="20% - Accent6 4 3 3 7" xfId="22023" xr:uid="{00000000-0005-0000-0000-000017410000}"/>
    <cellStyle name="20% - Accent6 4 3 3 8" xfId="29125" xr:uid="{00000000-0005-0000-0000-000018410000}"/>
    <cellStyle name="20% - Accent6 4 3 3 9" xfId="38149" xr:uid="{00000000-0005-0000-0000-000019410000}"/>
    <cellStyle name="20% - Accent6 4 3 4" xfId="854" xr:uid="{00000000-0005-0000-0000-00001A410000}"/>
    <cellStyle name="20% - Accent6 4 3 4 2" xfId="2345" xr:uid="{00000000-0005-0000-0000-00001B410000}"/>
    <cellStyle name="20% - Accent6 4 3 4 2 2" xfId="6613" xr:uid="{00000000-0005-0000-0000-00001C410000}"/>
    <cellStyle name="20% - Accent6 4 3 4 2 2 2" xfId="13713" xr:uid="{00000000-0005-0000-0000-00001D410000}"/>
    <cellStyle name="20% - Accent6 4 3 4 2 2 3" xfId="20814" xr:uid="{00000000-0005-0000-0000-00001E410000}"/>
    <cellStyle name="20% - Accent6 4 3 4 2 2 4" xfId="27916" xr:uid="{00000000-0005-0000-0000-00001F410000}"/>
    <cellStyle name="20% - Accent6 4 3 4 2 2 5" xfId="35018" xr:uid="{00000000-0005-0000-0000-000020410000}"/>
    <cellStyle name="20% - Accent6 4 3 4 2 2 6" xfId="38150" xr:uid="{00000000-0005-0000-0000-000021410000}"/>
    <cellStyle name="20% - Accent6 4 3 4 2 3" xfId="9453" xr:uid="{00000000-0005-0000-0000-000022410000}"/>
    <cellStyle name="20% - Accent6 4 3 4 2 4" xfId="16554" xr:uid="{00000000-0005-0000-0000-000023410000}"/>
    <cellStyle name="20% - Accent6 4 3 4 2 5" xfId="23656" xr:uid="{00000000-0005-0000-0000-000024410000}"/>
    <cellStyle name="20% - Accent6 4 3 4 2 6" xfId="30758" xr:uid="{00000000-0005-0000-0000-000025410000}"/>
    <cellStyle name="20% - Accent6 4 3 4 2 7" xfId="38151" xr:uid="{00000000-0005-0000-0000-000026410000}"/>
    <cellStyle name="20% - Accent6 4 3 4 3" xfId="5192" xr:uid="{00000000-0005-0000-0000-000027410000}"/>
    <cellStyle name="20% - Accent6 4 3 4 3 2" xfId="12293" xr:uid="{00000000-0005-0000-0000-000028410000}"/>
    <cellStyle name="20% - Accent6 4 3 4 3 2 2" xfId="38152" xr:uid="{00000000-0005-0000-0000-000029410000}"/>
    <cellStyle name="20% - Accent6 4 3 4 3 3" xfId="19394" xr:uid="{00000000-0005-0000-0000-00002A410000}"/>
    <cellStyle name="20% - Accent6 4 3 4 3 4" xfId="26496" xr:uid="{00000000-0005-0000-0000-00002B410000}"/>
    <cellStyle name="20% - Accent6 4 3 4 3 5" xfId="33598" xr:uid="{00000000-0005-0000-0000-00002C410000}"/>
    <cellStyle name="20% - Accent6 4 3 4 3 6" xfId="38153" xr:uid="{00000000-0005-0000-0000-00002D410000}"/>
    <cellStyle name="20% - Accent6 4 3 4 4" xfId="3767" xr:uid="{00000000-0005-0000-0000-00002E410000}"/>
    <cellStyle name="20% - Accent6 4 3 4 4 2" xfId="10873" xr:uid="{00000000-0005-0000-0000-00002F410000}"/>
    <cellStyle name="20% - Accent6 4 3 4 4 3" xfId="17974" xr:uid="{00000000-0005-0000-0000-000030410000}"/>
    <cellStyle name="20% - Accent6 4 3 4 4 4" xfId="25076" xr:uid="{00000000-0005-0000-0000-000031410000}"/>
    <cellStyle name="20% - Accent6 4 3 4 4 5" xfId="32178" xr:uid="{00000000-0005-0000-0000-000032410000}"/>
    <cellStyle name="20% - Accent6 4 3 4 4 6" xfId="38154" xr:uid="{00000000-0005-0000-0000-000033410000}"/>
    <cellStyle name="20% - Accent6 4 3 4 5" xfId="8033" xr:uid="{00000000-0005-0000-0000-000034410000}"/>
    <cellStyle name="20% - Accent6 4 3 4 6" xfId="15134" xr:uid="{00000000-0005-0000-0000-000035410000}"/>
    <cellStyle name="20% - Accent6 4 3 4 7" xfId="22236" xr:uid="{00000000-0005-0000-0000-000036410000}"/>
    <cellStyle name="20% - Accent6 4 3 4 8" xfId="29338" xr:uid="{00000000-0005-0000-0000-000037410000}"/>
    <cellStyle name="20% - Accent6 4 3 4 9" xfId="38155" xr:uid="{00000000-0005-0000-0000-000038410000}"/>
    <cellStyle name="20% - Accent6 4 3 5" xfId="1209" xr:uid="{00000000-0005-0000-0000-000039410000}"/>
    <cellStyle name="20% - Accent6 4 3 5 2" xfId="2700" xr:uid="{00000000-0005-0000-0000-00003A410000}"/>
    <cellStyle name="20% - Accent6 4 3 5 2 2" xfId="6968" xr:uid="{00000000-0005-0000-0000-00003B410000}"/>
    <cellStyle name="20% - Accent6 4 3 5 2 2 2" xfId="14068" xr:uid="{00000000-0005-0000-0000-00003C410000}"/>
    <cellStyle name="20% - Accent6 4 3 5 2 2 3" xfId="21169" xr:uid="{00000000-0005-0000-0000-00003D410000}"/>
    <cellStyle name="20% - Accent6 4 3 5 2 2 4" xfId="28271" xr:uid="{00000000-0005-0000-0000-00003E410000}"/>
    <cellStyle name="20% - Accent6 4 3 5 2 2 5" xfId="35373" xr:uid="{00000000-0005-0000-0000-00003F410000}"/>
    <cellStyle name="20% - Accent6 4 3 5 2 3" xfId="9808" xr:uid="{00000000-0005-0000-0000-000040410000}"/>
    <cellStyle name="20% - Accent6 4 3 5 2 4" xfId="16909" xr:uid="{00000000-0005-0000-0000-000041410000}"/>
    <cellStyle name="20% - Accent6 4 3 5 2 5" xfId="24011" xr:uid="{00000000-0005-0000-0000-000042410000}"/>
    <cellStyle name="20% - Accent6 4 3 5 2 6" xfId="31113" xr:uid="{00000000-0005-0000-0000-000043410000}"/>
    <cellStyle name="20% - Accent6 4 3 5 2 7" xfId="38156" xr:uid="{00000000-0005-0000-0000-000044410000}"/>
    <cellStyle name="20% - Accent6 4 3 5 3" xfId="5547" xr:uid="{00000000-0005-0000-0000-000045410000}"/>
    <cellStyle name="20% - Accent6 4 3 5 3 2" xfId="12648" xr:uid="{00000000-0005-0000-0000-000046410000}"/>
    <cellStyle name="20% - Accent6 4 3 5 3 3" xfId="19749" xr:uid="{00000000-0005-0000-0000-000047410000}"/>
    <cellStyle name="20% - Accent6 4 3 5 3 4" xfId="26851" xr:uid="{00000000-0005-0000-0000-000048410000}"/>
    <cellStyle name="20% - Accent6 4 3 5 3 5" xfId="33953" xr:uid="{00000000-0005-0000-0000-000049410000}"/>
    <cellStyle name="20% - Accent6 4 3 5 4" xfId="4122" xr:uid="{00000000-0005-0000-0000-00004A410000}"/>
    <cellStyle name="20% - Accent6 4 3 5 4 2" xfId="11228" xr:uid="{00000000-0005-0000-0000-00004B410000}"/>
    <cellStyle name="20% - Accent6 4 3 5 4 3" xfId="18329" xr:uid="{00000000-0005-0000-0000-00004C410000}"/>
    <cellStyle name="20% - Accent6 4 3 5 4 4" xfId="25431" xr:uid="{00000000-0005-0000-0000-00004D410000}"/>
    <cellStyle name="20% - Accent6 4 3 5 4 5" xfId="32533" xr:uid="{00000000-0005-0000-0000-00004E410000}"/>
    <cellStyle name="20% - Accent6 4 3 5 5" xfId="8388" xr:uid="{00000000-0005-0000-0000-00004F410000}"/>
    <cellStyle name="20% - Accent6 4 3 5 6" xfId="15489" xr:uid="{00000000-0005-0000-0000-000050410000}"/>
    <cellStyle name="20% - Accent6 4 3 5 7" xfId="22591" xr:uid="{00000000-0005-0000-0000-000051410000}"/>
    <cellStyle name="20% - Accent6 4 3 5 8" xfId="29693" xr:uid="{00000000-0005-0000-0000-000052410000}"/>
    <cellStyle name="20% - Accent6 4 3 5 9" xfId="38157" xr:uid="{00000000-0005-0000-0000-000053410000}"/>
    <cellStyle name="20% - Accent6 4 3 6" xfId="1422" xr:uid="{00000000-0005-0000-0000-000054410000}"/>
    <cellStyle name="20% - Accent6 4 3 6 2" xfId="2913" xr:uid="{00000000-0005-0000-0000-000055410000}"/>
    <cellStyle name="20% - Accent6 4 3 6 2 2" xfId="7181" xr:uid="{00000000-0005-0000-0000-000056410000}"/>
    <cellStyle name="20% - Accent6 4 3 6 2 2 2" xfId="14281" xr:uid="{00000000-0005-0000-0000-000057410000}"/>
    <cellStyle name="20% - Accent6 4 3 6 2 2 3" xfId="21382" xr:uid="{00000000-0005-0000-0000-000058410000}"/>
    <cellStyle name="20% - Accent6 4 3 6 2 2 4" xfId="28484" xr:uid="{00000000-0005-0000-0000-000059410000}"/>
    <cellStyle name="20% - Accent6 4 3 6 2 2 5" xfId="35586" xr:uid="{00000000-0005-0000-0000-00005A410000}"/>
    <cellStyle name="20% - Accent6 4 3 6 2 3" xfId="10021" xr:uid="{00000000-0005-0000-0000-00005B410000}"/>
    <cellStyle name="20% - Accent6 4 3 6 2 4" xfId="17122" xr:uid="{00000000-0005-0000-0000-00005C410000}"/>
    <cellStyle name="20% - Accent6 4 3 6 2 5" xfId="24224" xr:uid="{00000000-0005-0000-0000-00005D410000}"/>
    <cellStyle name="20% - Accent6 4 3 6 2 6" xfId="31326" xr:uid="{00000000-0005-0000-0000-00005E410000}"/>
    <cellStyle name="20% - Accent6 4 3 6 2 7" xfId="38158" xr:uid="{00000000-0005-0000-0000-00005F410000}"/>
    <cellStyle name="20% - Accent6 4 3 6 3" xfId="5760" xr:uid="{00000000-0005-0000-0000-000060410000}"/>
    <cellStyle name="20% - Accent6 4 3 6 3 2" xfId="12861" xr:uid="{00000000-0005-0000-0000-000061410000}"/>
    <cellStyle name="20% - Accent6 4 3 6 3 3" xfId="19962" xr:uid="{00000000-0005-0000-0000-000062410000}"/>
    <cellStyle name="20% - Accent6 4 3 6 3 4" xfId="27064" xr:uid="{00000000-0005-0000-0000-000063410000}"/>
    <cellStyle name="20% - Accent6 4 3 6 3 5" xfId="34166" xr:uid="{00000000-0005-0000-0000-000064410000}"/>
    <cellStyle name="20% - Accent6 4 3 6 4" xfId="4335" xr:uid="{00000000-0005-0000-0000-000065410000}"/>
    <cellStyle name="20% - Accent6 4 3 6 4 2" xfId="11441" xr:uid="{00000000-0005-0000-0000-000066410000}"/>
    <cellStyle name="20% - Accent6 4 3 6 4 3" xfId="18542" xr:uid="{00000000-0005-0000-0000-000067410000}"/>
    <cellStyle name="20% - Accent6 4 3 6 4 4" xfId="25644" xr:uid="{00000000-0005-0000-0000-000068410000}"/>
    <cellStyle name="20% - Accent6 4 3 6 4 5" xfId="32746" xr:uid="{00000000-0005-0000-0000-000069410000}"/>
    <cellStyle name="20% - Accent6 4 3 6 5" xfId="8601" xr:uid="{00000000-0005-0000-0000-00006A410000}"/>
    <cellStyle name="20% - Accent6 4 3 6 6" xfId="15702" xr:uid="{00000000-0005-0000-0000-00006B410000}"/>
    <cellStyle name="20% - Accent6 4 3 6 7" xfId="22804" xr:uid="{00000000-0005-0000-0000-00006C410000}"/>
    <cellStyle name="20% - Accent6 4 3 6 8" xfId="29906" xr:uid="{00000000-0005-0000-0000-00006D410000}"/>
    <cellStyle name="20% - Accent6 4 3 6 9" xfId="38159" xr:uid="{00000000-0005-0000-0000-00006E410000}"/>
    <cellStyle name="20% - Accent6 4 3 7" xfId="1706" xr:uid="{00000000-0005-0000-0000-00006F410000}"/>
    <cellStyle name="20% - Accent6 4 3 7 2" xfId="5974" xr:uid="{00000000-0005-0000-0000-000070410000}"/>
    <cellStyle name="20% - Accent6 4 3 7 2 2" xfId="13074" xr:uid="{00000000-0005-0000-0000-000071410000}"/>
    <cellStyle name="20% - Accent6 4 3 7 2 3" xfId="20175" xr:uid="{00000000-0005-0000-0000-000072410000}"/>
    <cellStyle name="20% - Accent6 4 3 7 2 4" xfId="27277" xr:uid="{00000000-0005-0000-0000-000073410000}"/>
    <cellStyle name="20% - Accent6 4 3 7 2 5" xfId="34379" xr:uid="{00000000-0005-0000-0000-000074410000}"/>
    <cellStyle name="20% - Accent6 4 3 7 3" xfId="8814" xr:uid="{00000000-0005-0000-0000-000075410000}"/>
    <cellStyle name="20% - Accent6 4 3 7 4" xfId="15915" xr:uid="{00000000-0005-0000-0000-000076410000}"/>
    <cellStyle name="20% - Accent6 4 3 7 5" xfId="23017" xr:uid="{00000000-0005-0000-0000-000077410000}"/>
    <cellStyle name="20% - Accent6 4 3 7 6" xfId="30119" xr:uid="{00000000-0005-0000-0000-000078410000}"/>
    <cellStyle name="20% - Accent6 4 3 7 7" xfId="38160" xr:uid="{00000000-0005-0000-0000-000079410000}"/>
    <cellStyle name="20% - Accent6 4 3 8" xfId="4553" xr:uid="{00000000-0005-0000-0000-00007A410000}"/>
    <cellStyle name="20% - Accent6 4 3 8 2" xfId="11654" xr:uid="{00000000-0005-0000-0000-00007B410000}"/>
    <cellStyle name="20% - Accent6 4 3 8 3" xfId="18755" xr:uid="{00000000-0005-0000-0000-00007C410000}"/>
    <cellStyle name="20% - Accent6 4 3 8 4" xfId="25857" xr:uid="{00000000-0005-0000-0000-00007D410000}"/>
    <cellStyle name="20% - Accent6 4 3 8 5" xfId="32959" xr:uid="{00000000-0005-0000-0000-00007E410000}"/>
    <cellStyle name="20% - Accent6 4 3 9" xfId="3128" xr:uid="{00000000-0005-0000-0000-00007F410000}"/>
    <cellStyle name="20% - Accent6 4 3 9 2" xfId="10234" xr:uid="{00000000-0005-0000-0000-000080410000}"/>
    <cellStyle name="20% - Accent6 4 3 9 3" xfId="17335" xr:uid="{00000000-0005-0000-0000-000081410000}"/>
    <cellStyle name="20% - Accent6 4 3 9 4" xfId="24437" xr:uid="{00000000-0005-0000-0000-000082410000}"/>
    <cellStyle name="20% - Accent6 4 3 9 5" xfId="31539" xr:uid="{00000000-0005-0000-0000-000083410000}"/>
    <cellStyle name="20% - Accent6 4 4" xfId="357" xr:uid="{00000000-0005-0000-0000-000084410000}"/>
    <cellStyle name="20% - Accent6 4 4 10" xfId="38161" xr:uid="{00000000-0005-0000-0000-000085410000}"/>
    <cellStyle name="20% - Accent6 4 4 2" xfId="1138" xr:uid="{00000000-0005-0000-0000-000086410000}"/>
    <cellStyle name="20% - Accent6 4 4 2 2" xfId="2629" xr:uid="{00000000-0005-0000-0000-000087410000}"/>
    <cellStyle name="20% - Accent6 4 4 2 2 2" xfId="6897" xr:uid="{00000000-0005-0000-0000-000088410000}"/>
    <cellStyle name="20% - Accent6 4 4 2 2 2 2" xfId="13997" xr:uid="{00000000-0005-0000-0000-000089410000}"/>
    <cellStyle name="20% - Accent6 4 4 2 2 2 3" xfId="21098" xr:uid="{00000000-0005-0000-0000-00008A410000}"/>
    <cellStyle name="20% - Accent6 4 4 2 2 2 4" xfId="28200" xr:uid="{00000000-0005-0000-0000-00008B410000}"/>
    <cellStyle name="20% - Accent6 4 4 2 2 2 5" xfId="35302" xr:uid="{00000000-0005-0000-0000-00008C410000}"/>
    <cellStyle name="20% - Accent6 4 4 2 2 3" xfId="9737" xr:uid="{00000000-0005-0000-0000-00008D410000}"/>
    <cellStyle name="20% - Accent6 4 4 2 2 4" xfId="16838" xr:uid="{00000000-0005-0000-0000-00008E410000}"/>
    <cellStyle name="20% - Accent6 4 4 2 2 5" xfId="23940" xr:uid="{00000000-0005-0000-0000-00008F410000}"/>
    <cellStyle name="20% - Accent6 4 4 2 2 6" xfId="31042" xr:uid="{00000000-0005-0000-0000-000090410000}"/>
    <cellStyle name="20% - Accent6 4 4 2 2 7" xfId="38162" xr:uid="{00000000-0005-0000-0000-000091410000}"/>
    <cellStyle name="20% - Accent6 4 4 2 3" xfId="5476" xr:uid="{00000000-0005-0000-0000-000092410000}"/>
    <cellStyle name="20% - Accent6 4 4 2 3 2" xfId="12577" xr:uid="{00000000-0005-0000-0000-000093410000}"/>
    <cellStyle name="20% - Accent6 4 4 2 3 3" xfId="19678" xr:uid="{00000000-0005-0000-0000-000094410000}"/>
    <cellStyle name="20% - Accent6 4 4 2 3 4" xfId="26780" xr:uid="{00000000-0005-0000-0000-000095410000}"/>
    <cellStyle name="20% - Accent6 4 4 2 3 5" xfId="33882" xr:uid="{00000000-0005-0000-0000-000096410000}"/>
    <cellStyle name="20% - Accent6 4 4 2 4" xfId="4051" xr:uid="{00000000-0005-0000-0000-000097410000}"/>
    <cellStyle name="20% - Accent6 4 4 2 4 2" xfId="11157" xr:uid="{00000000-0005-0000-0000-000098410000}"/>
    <cellStyle name="20% - Accent6 4 4 2 4 3" xfId="18258" xr:uid="{00000000-0005-0000-0000-000099410000}"/>
    <cellStyle name="20% - Accent6 4 4 2 4 4" xfId="25360" xr:uid="{00000000-0005-0000-0000-00009A410000}"/>
    <cellStyle name="20% - Accent6 4 4 2 4 5" xfId="32462" xr:uid="{00000000-0005-0000-0000-00009B410000}"/>
    <cellStyle name="20% - Accent6 4 4 2 5" xfId="8317" xr:uid="{00000000-0005-0000-0000-00009C410000}"/>
    <cellStyle name="20% - Accent6 4 4 2 6" xfId="15418" xr:uid="{00000000-0005-0000-0000-00009D410000}"/>
    <cellStyle name="20% - Accent6 4 4 2 7" xfId="22520" xr:uid="{00000000-0005-0000-0000-00009E410000}"/>
    <cellStyle name="20% - Accent6 4 4 2 8" xfId="29622" xr:uid="{00000000-0005-0000-0000-00009F410000}"/>
    <cellStyle name="20% - Accent6 4 4 2 9" xfId="38163" xr:uid="{00000000-0005-0000-0000-0000A0410000}"/>
    <cellStyle name="20% - Accent6 4 4 3" xfId="1848" xr:uid="{00000000-0005-0000-0000-0000A1410000}"/>
    <cellStyle name="20% - Accent6 4 4 3 2" xfId="6116" xr:uid="{00000000-0005-0000-0000-0000A2410000}"/>
    <cellStyle name="20% - Accent6 4 4 3 2 2" xfId="13216" xr:uid="{00000000-0005-0000-0000-0000A3410000}"/>
    <cellStyle name="20% - Accent6 4 4 3 2 3" xfId="20317" xr:uid="{00000000-0005-0000-0000-0000A4410000}"/>
    <cellStyle name="20% - Accent6 4 4 3 2 4" xfId="27419" xr:uid="{00000000-0005-0000-0000-0000A5410000}"/>
    <cellStyle name="20% - Accent6 4 4 3 2 5" xfId="34521" xr:uid="{00000000-0005-0000-0000-0000A6410000}"/>
    <cellStyle name="20% - Accent6 4 4 3 2 6" xfId="38164" xr:uid="{00000000-0005-0000-0000-0000A7410000}"/>
    <cellStyle name="20% - Accent6 4 4 3 3" xfId="8956" xr:uid="{00000000-0005-0000-0000-0000A8410000}"/>
    <cellStyle name="20% - Accent6 4 4 3 4" xfId="16057" xr:uid="{00000000-0005-0000-0000-0000A9410000}"/>
    <cellStyle name="20% - Accent6 4 4 3 5" xfId="23159" xr:uid="{00000000-0005-0000-0000-0000AA410000}"/>
    <cellStyle name="20% - Accent6 4 4 3 6" xfId="30261" xr:uid="{00000000-0005-0000-0000-0000AB410000}"/>
    <cellStyle name="20% - Accent6 4 4 3 7" xfId="38165" xr:uid="{00000000-0005-0000-0000-0000AC410000}"/>
    <cellStyle name="20% - Accent6 4 4 4" xfId="4695" xr:uid="{00000000-0005-0000-0000-0000AD410000}"/>
    <cellStyle name="20% - Accent6 4 4 4 2" xfId="11796" xr:uid="{00000000-0005-0000-0000-0000AE410000}"/>
    <cellStyle name="20% - Accent6 4 4 4 3" xfId="18897" xr:uid="{00000000-0005-0000-0000-0000AF410000}"/>
    <cellStyle name="20% - Accent6 4 4 4 4" xfId="25999" xr:uid="{00000000-0005-0000-0000-0000B0410000}"/>
    <cellStyle name="20% - Accent6 4 4 4 5" xfId="33101" xr:uid="{00000000-0005-0000-0000-0000B1410000}"/>
    <cellStyle name="20% - Accent6 4 4 4 6" xfId="38166" xr:uid="{00000000-0005-0000-0000-0000B2410000}"/>
    <cellStyle name="20% - Accent6 4 4 5" xfId="3270" xr:uid="{00000000-0005-0000-0000-0000B3410000}"/>
    <cellStyle name="20% - Accent6 4 4 5 2" xfId="10376" xr:uid="{00000000-0005-0000-0000-0000B4410000}"/>
    <cellStyle name="20% - Accent6 4 4 5 3" xfId="17477" xr:uid="{00000000-0005-0000-0000-0000B5410000}"/>
    <cellStyle name="20% - Accent6 4 4 5 4" xfId="24579" xr:uid="{00000000-0005-0000-0000-0000B6410000}"/>
    <cellStyle name="20% - Accent6 4 4 5 5" xfId="31681" xr:uid="{00000000-0005-0000-0000-0000B7410000}"/>
    <cellStyle name="20% - Accent6 4 4 6" xfId="7536" xr:uid="{00000000-0005-0000-0000-0000B8410000}"/>
    <cellStyle name="20% - Accent6 4 4 7" xfId="14637" xr:uid="{00000000-0005-0000-0000-0000B9410000}"/>
    <cellStyle name="20% - Accent6 4 4 8" xfId="21739" xr:uid="{00000000-0005-0000-0000-0000BA410000}"/>
    <cellStyle name="20% - Accent6 4 4 9" xfId="28841" xr:uid="{00000000-0005-0000-0000-0000BB410000}"/>
    <cellStyle name="20% - Accent6 4 5" xfId="570" xr:uid="{00000000-0005-0000-0000-0000BC410000}"/>
    <cellStyle name="20% - Accent6 4 5 2" xfId="2061" xr:uid="{00000000-0005-0000-0000-0000BD410000}"/>
    <cellStyle name="20% - Accent6 4 5 2 2" xfId="6329" xr:uid="{00000000-0005-0000-0000-0000BE410000}"/>
    <cellStyle name="20% - Accent6 4 5 2 2 2" xfId="13429" xr:uid="{00000000-0005-0000-0000-0000BF410000}"/>
    <cellStyle name="20% - Accent6 4 5 2 2 3" xfId="20530" xr:uid="{00000000-0005-0000-0000-0000C0410000}"/>
    <cellStyle name="20% - Accent6 4 5 2 2 4" xfId="27632" xr:uid="{00000000-0005-0000-0000-0000C1410000}"/>
    <cellStyle name="20% - Accent6 4 5 2 2 5" xfId="34734" xr:uid="{00000000-0005-0000-0000-0000C2410000}"/>
    <cellStyle name="20% - Accent6 4 5 2 2 6" xfId="38167" xr:uid="{00000000-0005-0000-0000-0000C3410000}"/>
    <cellStyle name="20% - Accent6 4 5 2 3" xfId="9169" xr:uid="{00000000-0005-0000-0000-0000C4410000}"/>
    <cellStyle name="20% - Accent6 4 5 2 4" xfId="16270" xr:uid="{00000000-0005-0000-0000-0000C5410000}"/>
    <cellStyle name="20% - Accent6 4 5 2 5" xfId="23372" xr:uid="{00000000-0005-0000-0000-0000C6410000}"/>
    <cellStyle name="20% - Accent6 4 5 2 6" xfId="30474" xr:uid="{00000000-0005-0000-0000-0000C7410000}"/>
    <cellStyle name="20% - Accent6 4 5 2 7" xfId="38168" xr:uid="{00000000-0005-0000-0000-0000C8410000}"/>
    <cellStyle name="20% - Accent6 4 5 3" xfId="4908" xr:uid="{00000000-0005-0000-0000-0000C9410000}"/>
    <cellStyle name="20% - Accent6 4 5 3 2" xfId="12009" xr:uid="{00000000-0005-0000-0000-0000CA410000}"/>
    <cellStyle name="20% - Accent6 4 5 3 2 2" xfId="38169" xr:uid="{00000000-0005-0000-0000-0000CB410000}"/>
    <cellStyle name="20% - Accent6 4 5 3 3" xfId="19110" xr:uid="{00000000-0005-0000-0000-0000CC410000}"/>
    <cellStyle name="20% - Accent6 4 5 3 4" xfId="26212" xr:uid="{00000000-0005-0000-0000-0000CD410000}"/>
    <cellStyle name="20% - Accent6 4 5 3 5" xfId="33314" xr:uid="{00000000-0005-0000-0000-0000CE410000}"/>
    <cellStyle name="20% - Accent6 4 5 3 6" xfId="38170" xr:uid="{00000000-0005-0000-0000-0000CF410000}"/>
    <cellStyle name="20% - Accent6 4 5 4" xfId="3483" xr:uid="{00000000-0005-0000-0000-0000D0410000}"/>
    <cellStyle name="20% - Accent6 4 5 4 2" xfId="10589" xr:uid="{00000000-0005-0000-0000-0000D1410000}"/>
    <cellStyle name="20% - Accent6 4 5 4 3" xfId="17690" xr:uid="{00000000-0005-0000-0000-0000D2410000}"/>
    <cellStyle name="20% - Accent6 4 5 4 4" xfId="24792" xr:uid="{00000000-0005-0000-0000-0000D3410000}"/>
    <cellStyle name="20% - Accent6 4 5 4 5" xfId="31894" xr:uid="{00000000-0005-0000-0000-0000D4410000}"/>
    <cellStyle name="20% - Accent6 4 5 4 6" xfId="38171" xr:uid="{00000000-0005-0000-0000-0000D5410000}"/>
    <cellStyle name="20% - Accent6 4 5 5" xfId="7749" xr:uid="{00000000-0005-0000-0000-0000D6410000}"/>
    <cellStyle name="20% - Accent6 4 5 6" xfId="14850" xr:uid="{00000000-0005-0000-0000-0000D7410000}"/>
    <cellStyle name="20% - Accent6 4 5 7" xfId="21952" xr:uid="{00000000-0005-0000-0000-0000D8410000}"/>
    <cellStyle name="20% - Accent6 4 5 8" xfId="29054" xr:uid="{00000000-0005-0000-0000-0000D9410000}"/>
    <cellStyle name="20% - Accent6 4 5 9" xfId="38172" xr:uid="{00000000-0005-0000-0000-0000DA410000}"/>
    <cellStyle name="20% - Accent6 4 6" xfId="783" xr:uid="{00000000-0005-0000-0000-0000DB410000}"/>
    <cellStyle name="20% - Accent6 4 6 2" xfId="2274" xr:uid="{00000000-0005-0000-0000-0000DC410000}"/>
    <cellStyle name="20% - Accent6 4 6 2 2" xfId="6542" xr:uid="{00000000-0005-0000-0000-0000DD410000}"/>
    <cellStyle name="20% - Accent6 4 6 2 2 2" xfId="13642" xr:uid="{00000000-0005-0000-0000-0000DE410000}"/>
    <cellStyle name="20% - Accent6 4 6 2 2 3" xfId="20743" xr:uid="{00000000-0005-0000-0000-0000DF410000}"/>
    <cellStyle name="20% - Accent6 4 6 2 2 4" xfId="27845" xr:uid="{00000000-0005-0000-0000-0000E0410000}"/>
    <cellStyle name="20% - Accent6 4 6 2 2 5" xfId="34947" xr:uid="{00000000-0005-0000-0000-0000E1410000}"/>
    <cellStyle name="20% - Accent6 4 6 2 2 6" xfId="38173" xr:uid="{00000000-0005-0000-0000-0000E2410000}"/>
    <cellStyle name="20% - Accent6 4 6 2 3" xfId="9382" xr:uid="{00000000-0005-0000-0000-0000E3410000}"/>
    <cellStyle name="20% - Accent6 4 6 2 4" xfId="16483" xr:uid="{00000000-0005-0000-0000-0000E4410000}"/>
    <cellStyle name="20% - Accent6 4 6 2 5" xfId="23585" xr:uid="{00000000-0005-0000-0000-0000E5410000}"/>
    <cellStyle name="20% - Accent6 4 6 2 6" xfId="30687" xr:uid="{00000000-0005-0000-0000-0000E6410000}"/>
    <cellStyle name="20% - Accent6 4 6 2 7" xfId="38174" xr:uid="{00000000-0005-0000-0000-0000E7410000}"/>
    <cellStyle name="20% - Accent6 4 6 3" xfId="5121" xr:uid="{00000000-0005-0000-0000-0000E8410000}"/>
    <cellStyle name="20% - Accent6 4 6 3 2" xfId="12222" xr:uid="{00000000-0005-0000-0000-0000E9410000}"/>
    <cellStyle name="20% - Accent6 4 6 3 2 2" xfId="38175" xr:uid="{00000000-0005-0000-0000-0000EA410000}"/>
    <cellStyle name="20% - Accent6 4 6 3 3" xfId="19323" xr:uid="{00000000-0005-0000-0000-0000EB410000}"/>
    <cellStyle name="20% - Accent6 4 6 3 4" xfId="26425" xr:uid="{00000000-0005-0000-0000-0000EC410000}"/>
    <cellStyle name="20% - Accent6 4 6 3 5" xfId="33527" xr:uid="{00000000-0005-0000-0000-0000ED410000}"/>
    <cellStyle name="20% - Accent6 4 6 3 6" xfId="38176" xr:uid="{00000000-0005-0000-0000-0000EE410000}"/>
    <cellStyle name="20% - Accent6 4 6 4" xfId="3696" xr:uid="{00000000-0005-0000-0000-0000EF410000}"/>
    <cellStyle name="20% - Accent6 4 6 4 2" xfId="10802" xr:uid="{00000000-0005-0000-0000-0000F0410000}"/>
    <cellStyle name="20% - Accent6 4 6 4 3" xfId="17903" xr:uid="{00000000-0005-0000-0000-0000F1410000}"/>
    <cellStyle name="20% - Accent6 4 6 4 4" xfId="25005" xr:uid="{00000000-0005-0000-0000-0000F2410000}"/>
    <cellStyle name="20% - Accent6 4 6 4 5" xfId="32107" xr:uid="{00000000-0005-0000-0000-0000F3410000}"/>
    <cellStyle name="20% - Accent6 4 6 4 6" xfId="38177" xr:uid="{00000000-0005-0000-0000-0000F4410000}"/>
    <cellStyle name="20% - Accent6 4 6 5" xfId="7962" xr:uid="{00000000-0005-0000-0000-0000F5410000}"/>
    <cellStyle name="20% - Accent6 4 6 6" xfId="15063" xr:uid="{00000000-0005-0000-0000-0000F6410000}"/>
    <cellStyle name="20% - Accent6 4 6 7" xfId="22165" xr:uid="{00000000-0005-0000-0000-0000F7410000}"/>
    <cellStyle name="20% - Accent6 4 6 8" xfId="29267" xr:uid="{00000000-0005-0000-0000-0000F8410000}"/>
    <cellStyle name="20% - Accent6 4 6 9" xfId="38178" xr:uid="{00000000-0005-0000-0000-0000F9410000}"/>
    <cellStyle name="20% - Accent6 4 7" xfId="996" xr:uid="{00000000-0005-0000-0000-0000FA410000}"/>
    <cellStyle name="20% - Accent6 4 7 2" xfId="2487" xr:uid="{00000000-0005-0000-0000-0000FB410000}"/>
    <cellStyle name="20% - Accent6 4 7 2 2" xfId="6755" xr:uid="{00000000-0005-0000-0000-0000FC410000}"/>
    <cellStyle name="20% - Accent6 4 7 2 2 2" xfId="13855" xr:uid="{00000000-0005-0000-0000-0000FD410000}"/>
    <cellStyle name="20% - Accent6 4 7 2 2 3" xfId="20956" xr:uid="{00000000-0005-0000-0000-0000FE410000}"/>
    <cellStyle name="20% - Accent6 4 7 2 2 4" xfId="28058" xr:uid="{00000000-0005-0000-0000-0000FF410000}"/>
    <cellStyle name="20% - Accent6 4 7 2 2 5" xfId="35160" xr:uid="{00000000-0005-0000-0000-000000420000}"/>
    <cellStyle name="20% - Accent6 4 7 2 3" xfId="9595" xr:uid="{00000000-0005-0000-0000-000001420000}"/>
    <cellStyle name="20% - Accent6 4 7 2 4" xfId="16696" xr:uid="{00000000-0005-0000-0000-000002420000}"/>
    <cellStyle name="20% - Accent6 4 7 2 5" xfId="23798" xr:uid="{00000000-0005-0000-0000-000003420000}"/>
    <cellStyle name="20% - Accent6 4 7 2 6" xfId="30900" xr:uid="{00000000-0005-0000-0000-000004420000}"/>
    <cellStyle name="20% - Accent6 4 7 2 7" xfId="38179" xr:uid="{00000000-0005-0000-0000-000005420000}"/>
    <cellStyle name="20% - Accent6 4 7 3" xfId="5334" xr:uid="{00000000-0005-0000-0000-000006420000}"/>
    <cellStyle name="20% - Accent6 4 7 3 2" xfId="12435" xr:uid="{00000000-0005-0000-0000-000007420000}"/>
    <cellStyle name="20% - Accent6 4 7 3 3" xfId="19536" xr:uid="{00000000-0005-0000-0000-000008420000}"/>
    <cellStyle name="20% - Accent6 4 7 3 4" xfId="26638" xr:uid="{00000000-0005-0000-0000-000009420000}"/>
    <cellStyle name="20% - Accent6 4 7 3 5" xfId="33740" xr:uid="{00000000-0005-0000-0000-00000A420000}"/>
    <cellStyle name="20% - Accent6 4 7 4" xfId="3909" xr:uid="{00000000-0005-0000-0000-00000B420000}"/>
    <cellStyle name="20% - Accent6 4 7 4 2" xfId="11015" xr:uid="{00000000-0005-0000-0000-00000C420000}"/>
    <cellStyle name="20% - Accent6 4 7 4 3" xfId="18116" xr:uid="{00000000-0005-0000-0000-00000D420000}"/>
    <cellStyle name="20% - Accent6 4 7 4 4" xfId="25218" xr:uid="{00000000-0005-0000-0000-00000E420000}"/>
    <cellStyle name="20% - Accent6 4 7 4 5" xfId="32320" xr:uid="{00000000-0005-0000-0000-00000F420000}"/>
    <cellStyle name="20% - Accent6 4 7 5" xfId="8175" xr:uid="{00000000-0005-0000-0000-000010420000}"/>
    <cellStyle name="20% - Accent6 4 7 6" xfId="15276" xr:uid="{00000000-0005-0000-0000-000011420000}"/>
    <cellStyle name="20% - Accent6 4 7 7" xfId="22378" xr:uid="{00000000-0005-0000-0000-000012420000}"/>
    <cellStyle name="20% - Accent6 4 7 8" xfId="29480" xr:uid="{00000000-0005-0000-0000-000013420000}"/>
    <cellStyle name="20% - Accent6 4 7 9" xfId="38180" xr:uid="{00000000-0005-0000-0000-000014420000}"/>
    <cellStyle name="20% - Accent6 4 8" xfId="1351" xr:uid="{00000000-0005-0000-0000-000015420000}"/>
    <cellStyle name="20% - Accent6 4 8 2" xfId="2842" xr:uid="{00000000-0005-0000-0000-000016420000}"/>
    <cellStyle name="20% - Accent6 4 8 2 2" xfId="7110" xr:uid="{00000000-0005-0000-0000-000017420000}"/>
    <cellStyle name="20% - Accent6 4 8 2 2 2" xfId="14210" xr:uid="{00000000-0005-0000-0000-000018420000}"/>
    <cellStyle name="20% - Accent6 4 8 2 2 3" xfId="21311" xr:uid="{00000000-0005-0000-0000-000019420000}"/>
    <cellStyle name="20% - Accent6 4 8 2 2 4" xfId="28413" xr:uid="{00000000-0005-0000-0000-00001A420000}"/>
    <cellStyle name="20% - Accent6 4 8 2 2 5" xfId="35515" xr:uid="{00000000-0005-0000-0000-00001B420000}"/>
    <cellStyle name="20% - Accent6 4 8 2 3" xfId="9950" xr:uid="{00000000-0005-0000-0000-00001C420000}"/>
    <cellStyle name="20% - Accent6 4 8 2 4" xfId="17051" xr:uid="{00000000-0005-0000-0000-00001D420000}"/>
    <cellStyle name="20% - Accent6 4 8 2 5" xfId="24153" xr:uid="{00000000-0005-0000-0000-00001E420000}"/>
    <cellStyle name="20% - Accent6 4 8 2 6" xfId="31255" xr:uid="{00000000-0005-0000-0000-00001F420000}"/>
    <cellStyle name="20% - Accent6 4 8 2 7" xfId="38181" xr:uid="{00000000-0005-0000-0000-000020420000}"/>
    <cellStyle name="20% - Accent6 4 8 3" xfId="5689" xr:uid="{00000000-0005-0000-0000-000021420000}"/>
    <cellStyle name="20% - Accent6 4 8 3 2" xfId="12790" xr:uid="{00000000-0005-0000-0000-000022420000}"/>
    <cellStyle name="20% - Accent6 4 8 3 3" xfId="19891" xr:uid="{00000000-0005-0000-0000-000023420000}"/>
    <cellStyle name="20% - Accent6 4 8 3 4" xfId="26993" xr:uid="{00000000-0005-0000-0000-000024420000}"/>
    <cellStyle name="20% - Accent6 4 8 3 5" xfId="34095" xr:uid="{00000000-0005-0000-0000-000025420000}"/>
    <cellStyle name="20% - Accent6 4 8 4" xfId="4264" xr:uid="{00000000-0005-0000-0000-000026420000}"/>
    <cellStyle name="20% - Accent6 4 8 4 2" xfId="11370" xr:uid="{00000000-0005-0000-0000-000027420000}"/>
    <cellStyle name="20% - Accent6 4 8 4 3" xfId="18471" xr:uid="{00000000-0005-0000-0000-000028420000}"/>
    <cellStyle name="20% - Accent6 4 8 4 4" xfId="25573" xr:uid="{00000000-0005-0000-0000-000029420000}"/>
    <cellStyle name="20% - Accent6 4 8 4 5" xfId="32675" xr:uid="{00000000-0005-0000-0000-00002A420000}"/>
    <cellStyle name="20% - Accent6 4 8 5" xfId="8530" xr:uid="{00000000-0005-0000-0000-00002B420000}"/>
    <cellStyle name="20% - Accent6 4 8 6" xfId="15631" xr:uid="{00000000-0005-0000-0000-00002C420000}"/>
    <cellStyle name="20% - Accent6 4 8 7" xfId="22733" xr:uid="{00000000-0005-0000-0000-00002D420000}"/>
    <cellStyle name="20% - Accent6 4 8 8" xfId="29835" xr:uid="{00000000-0005-0000-0000-00002E420000}"/>
    <cellStyle name="20% - Accent6 4 8 9" xfId="38182" xr:uid="{00000000-0005-0000-0000-00002F420000}"/>
    <cellStyle name="20% - Accent6 4 9" xfId="1635" xr:uid="{00000000-0005-0000-0000-000030420000}"/>
    <cellStyle name="20% - Accent6 4 9 2" xfId="5903" xr:uid="{00000000-0005-0000-0000-000031420000}"/>
    <cellStyle name="20% - Accent6 4 9 2 2" xfId="13003" xr:uid="{00000000-0005-0000-0000-000032420000}"/>
    <cellStyle name="20% - Accent6 4 9 2 3" xfId="20104" xr:uid="{00000000-0005-0000-0000-000033420000}"/>
    <cellStyle name="20% - Accent6 4 9 2 4" xfId="27206" xr:uid="{00000000-0005-0000-0000-000034420000}"/>
    <cellStyle name="20% - Accent6 4 9 2 5" xfId="34308" xr:uid="{00000000-0005-0000-0000-000035420000}"/>
    <cellStyle name="20% - Accent6 4 9 3" xfId="8743" xr:uid="{00000000-0005-0000-0000-000036420000}"/>
    <cellStyle name="20% - Accent6 4 9 4" xfId="15844" xr:uid="{00000000-0005-0000-0000-000037420000}"/>
    <cellStyle name="20% - Accent6 4 9 5" xfId="22946" xr:uid="{00000000-0005-0000-0000-000038420000}"/>
    <cellStyle name="20% - Accent6 4 9 6" xfId="30048" xr:uid="{00000000-0005-0000-0000-000039420000}"/>
    <cellStyle name="20% - Accent6 4 9 7" xfId="38183" xr:uid="{00000000-0005-0000-0000-00003A420000}"/>
    <cellStyle name="20% - Accent6 5" xfId="227" xr:uid="{00000000-0005-0000-0000-00003B420000}"/>
    <cellStyle name="20% - Accent6 5 10" xfId="7406" xr:uid="{00000000-0005-0000-0000-00003C420000}"/>
    <cellStyle name="20% - Accent6 5 11" xfId="14507" xr:uid="{00000000-0005-0000-0000-00003D420000}"/>
    <cellStyle name="20% - Accent6 5 12" xfId="21609" xr:uid="{00000000-0005-0000-0000-00003E420000}"/>
    <cellStyle name="20% - Accent6 5 13" xfId="28711" xr:uid="{00000000-0005-0000-0000-00003F420000}"/>
    <cellStyle name="20% - Accent6 5 14" xfId="35813" xr:uid="{00000000-0005-0000-0000-000040420000}"/>
    <cellStyle name="20% - Accent6 5 15" xfId="38184" xr:uid="{00000000-0005-0000-0000-000041420000}"/>
    <cellStyle name="20% - Accent6 5 2" xfId="440" xr:uid="{00000000-0005-0000-0000-000042420000}"/>
    <cellStyle name="20% - Accent6 5 2 10" xfId="38185" xr:uid="{00000000-0005-0000-0000-000043420000}"/>
    <cellStyle name="20% - Accent6 5 2 2" xfId="1221" xr:uid="{00000000-0005-0000-0000-000044420000}"/>
    <cellStyle name="20% - Accent6 5 2 2 2" xfId="2712" xr:uid="{00000000-0005-0000-0000-000045420000}"/>
    <cellStyle name="20% - Accent6 5 2 2 2 2" xfId="6980" xr:uid="{00000000-0005-0000-0000-000046420000}"/>
    <cellStyle name="20% - Accent6 5 2 2 2 2 2" xfId="14080" xr:uid="{00000000-0005-0000-0000-000047420000}"/>
    <cellStyle name="20% - Accent6 5 2 2 2 2 3" xfId="21181" xr:uid="{00000000-0005-0000-0000-000048420000}"/>
    <cellStyle name="20% - Accent6 5 2 2 2 2 4" xfId="28283" xr:uid="{00000000-0005-0000-0000-000049420000}"/>
    <cellStyle name="20% - Accent6 5 2 2 2 2 5" xfId="35385" xr:uid="{00000000-0005-0000-0000-00004A420000}"/>
    <cellStyle name="20% - Accent6 5 2 2 2 3" xfId="9820" xr:uid="{00000000-0005-0000-0000-00004B420000}"/>
    <cellStyle name="20% - Accent6 5 2 2 2 4" xfId="16921" xr:uid="{00000000-0005-0000-0000-00004C420000}"/>
    <cellStyle name="20% - Accent6 5 2 2 2 5" xfId="24023" xr:uid="{00000000-0005-0000-0000-00004D420000}"/>
    <cellStyle name="20% - Accent6 5 2 2 2 6" xfId="31125" xr:uid="{00000000-0005-0000-0000-00004E420000}"/>
    <cellStyle name="20% - Accent6 5 2 2 2 7" xfId="38186" xr:uid="{00000000-0005-0000-0000-00004F420000}"/>
    <cellStyle name="20% - Accent6 5 2 2 3" xfId="5559" xr:uid="{00000000-0005-0000-0000-000050420000}"/>
    <cellStyle name="20% - Accent6 5 2 2 3 2" xfId="12660" xr:uid="{00000000-0005-0000-0000-000051420000}"/>
    <cellStyle name="20% - Accent6 5 2 2 3 3" xfId="19761" xr:uid="{00000000-0005-0000-0000-000052420000}"/>
    <cellStyle name="20% - Accent6 5 2 2 3 4" xfId="26863" xr:uid="{00000000-0005-0000-0000-000053420000}"/>
    <cellStyle name="20% - Accent6 5 2 2 3 5" xfId="33965" xr:uid="{00000000-0005-0000-0000-000054420000}"/>
    <cellStyle name="20% - Accent6 5 2 2 4" xfId="4134" xr:uid="{00000000-0005-0000-0000-000055420000}"/>
    <cellStyle name="20% - Accent6 5 2 2 4 2" xfId="11240" xr:uid="{00000000-0005-0000-0000-000056420000}"/>
    <cellStyle name="20% - Accent6 5 2 2 4 3" xfId="18341" xr:uid="{00000000-0005-0000-0000-000057420000}"/>
    <cellStyle name="20% - Accent6 5 2 2 4 4" xfId="25443" xr:uid="{00000000-0005-0000-0000-000058420000}"/>
    <cellStyle name="20% - Accent6 5 2 2 4 5" xfId="32545" xr:uid="{00000000-0005-0000-0000-000059420000}"/>
    <cellStyle name="20% - Accent6 5 2 2 5" xfId="8400" xr:uid="{00000000-0005-0000-0000-00005A420000}"/>
    <cellStyle name="20% - Accent6 5 2 2 6" xfId="15501" xr:uid="{00000000-0005-0000-0000-00005B420000}"/>
    <cellStyle name="20% - Accent6 5 2 2 7" xfId="22603" xr:uid="{00000000-0005-0000-0000-00005C420000}"/>
    <cellStyle name="20% - Accent6 5 2 2 8" xfId="29705" xr:uid="{00000000-0005-0000-0000-00005D420000}"/>
    <cellStyle name="20% - Accent6 5 2 2 9" xfId="38187" xr:uid="{00000000-0005-0000-0000-00005E420000}"/>
    <cellStyle name="20% - Accent6 5 2 3" xfId="1931" xr:uid="{00000000-0005-0000-0000-00005F420000}"/>
    <cellStyle name="20% - Accent6 5 2 3 2" xfId="6199" xr:uid="{00000000-0005-0000-0000-000060420000}"/>
    <cellStyle name="20% - Accent6 5 2 3 2 2" xfId="13299" xr:uid="{00000000-0005-0000-0000-000061420000}"/>
    <cellStyle name="20% - Accent6 5 2 3 2 3" xfId="20400" xr:uid="{00000000-0005-0000-0000-000062420000}"/>
    <cellStyle name="20% - Accent6 5 2 3 2 4" xfId="27502" xr:uid="{00000000-0005-0000-0000-000063420000}"/>
    <cellStyle name="20% - Accent6 5 2 3 2 5" xfId="34604" xr:uid="{00000000-0005-0000-0000-000064420000}"/>
    <cellStyle name="20% - Accent6 5 2 3 2 6" xfId="38188" xr:uid="{00000000-0005-0000-0000-000065420000}"/>
    <cellStyle name="20% - Accent6 5 2 3 3" xfId="9039" xr:uid="{00000000-0005-0000-0000-000066420000}"/>
    <cellStyle name="20% - Accent6 5 2 3 4" xfId="16140" xr:uid="{00000000-0005-0000-0000-000067420000}"/>
    <cellStyle name="20% - Accent6 5 2 3 5" xfId="23242" xr:uid="{00000000-0005-0000-0000-000068420000}"/>
    <cellStyle name="20% - Accent6 5 2 3 6" xfId="30344" xr:uid="{00000000-0005-0000-0000-000069420000}"/>
    <cellStyle name="20% - Accent6 5 2 3 7" xfId="38189" xr:uid="{00000000-0005-0000-0000-00006A420000}"/>
    <cellStyle name="20% - Accent6 5 2 4" xfId="4778" xr:uid="{00000000-0005-0000-0000-00006B420000}"/>
    <cellStyle name="20% - Accent6 5 2 4 2" xfId="11879" xr:uid="{00000000-0005-0000-0000-00006C420000}"/>
    <cellStyle name="20% - Accent6 5 2 4 3" xfId="18980" xr:uid="{00000000-0005-0000-0000-00006D420000}"/>
    <cellStyle name="20% - Accent6 5 2 4 4" xfId="26082" xr:uid="{00000000-0005-0000-0000-00006E420000}"/>
    <cellStyle name="20% - Accent6 5 2 4 5" xfId="33184" xr:uid="{00000000-0005-0000-0000-00006F420000}"/>
    <cellStyle name="20% - Accent6 5 2 4 6" xfId="38190" xr:uid="{00000000-0005-0000-0000-000070420000}"/>
    <cellStyle name="20% - Accent6 5 2 5" xfId="3353" xr:uid="{00000000-0005-0000-0000-000071420000}"/>
    <cellStyle name="20% - Accent6 5 2 5 2" xfId="10459" xr:uid="{00000000-0005-0000-0000-000072420000}"/>
    <cellStyle name="20% - Accent6 5 2 5 3" xfId="17560" xr:uid="{00000000-0005-0000-0000-000073420000}"/>
    <cellStyle name="20% - Accent6 5 2 5 4" xfId="24662" xr:uid="{00000000-0005-0000-0000-000074420000}"/>
    <cellStyle name="20% - Accent6 5 2 5 5" xfId="31764" xr:uid="{00000000-0005-0000-0000-000075420000}"/>
    <cellStyle name="20% - Accent6 5 2 6" xfId="7619" xr:uid="{00000000-0005-0000-0000-000076420000}"/>
    <cellStyle name="20% - Accent6 5 2 7" xfId="14720" xr:uid="{00000000-0005-0000-0000-000077420000}"/>
    <cellStyle name="20% - Accent6 5 2 8" xfId="21822" xr:uid="{00000000-0005-0000-0000-000078420000}"/>
    <cellStyle name="20% - Accent6 5 2 9" xfId="28924" xr:uid="{00000000-0005-0000-0000-000079420000}"/>
    <cellStyle name="20% - Accent6 5 3" xfId="653" xr:uid="{00000000-0005-0000-0000-00007A420000}"/>
    <cellStyle name="20% - Accent6 5 3 2" xfId="2144" xr:uid="{00000000-0005-0000-0000-00007B420000}"/>
    <cellStyle name="20% - Accent6 5 3 2 2" xfId="6412" xr:uid="{00000000-0005-0000-0000-00007C420000}"/>
    <cellStyle name="20% - Accent6 5 3 2 2 2" xfId="13512" xr:uid="{00000000-0005-0000-0000-00007D420000}"/>
    <cellStyle name="20% - Accent6 5 3 2 2 3" xfId="20613" xr:uid="{00000000-0005-0000-0000-00007E420000}"/>
    <cellStyle name="20% - Accent6 5 3 2 2 4" xfId="27715" xr:uid="{00000000-0005-0000-0000-00007F420000}"/>
    <cellStyle name="20% - Accent6 5 3 2 2 5" xfId="34817" xr:uid="{00000000-0005-0000-0000-000080420000}"/>
    <cellStyle name="20% - Accent6 5 3 2 2 6" xfId="38191" xr:uid="{00000000-0005-0000-0000-000081420000}"/>
    <cellStyle name="20% - Accent6 5 3 2 3" xfId="9252" xr:uid="{00000000-0005-0000-0000-000082420000}"/>
    <cellStyle name="20% - Accent6 5 3 2 4" xfId="16353" xr:uid="{00000000-0005-0000-0000-000083420000}"/>
    <cellStyle name="20% - Accent6 5 3 2 5" xfId="23455" xr:uid="{00000000-0005-0000-0000-000084420000}"/>
    <cellStyle name="20% - Accent6 5 3 2 6" xfId="30557" xr:uid="{00000000-0005-0000-0000-000085420000}"/>
    <cellStyle name="20% - Accent6 5 3 2 7" xfId="38192" xr:uid="{00000000-0005-0000-0000-000086420000}"/>
    <cellStyle name="20% - Accent6 5 3 3" xfId="4991" xr:uid="{00000000-0005-0000-0000-000087420000}"/>
    <cellStyle name="20% - Accent6 5 3 3 2" xfId="12092" xr:uid="{00000000-0005-0000-0000-000088420000}"/>
    <cellStyle name="20% - Accent6 5 3 3 2 2" xfId="38193" xr:uid="{00000000-0005-0000-0000-000089420000}"/>
    <cellStyle name="20% - Accent6 5 3 3 3" xfId="19193" xr:uid="{00000000-0005-0000-0000-00008A420000}"/>
    <cellStyle name="20% - Accent6 5 3 3 4" xfId="26295" xr:uid="{00000000-0005-0000-0000-00008B420000}"/>
    <cellStyle name="20% - Accent6 5 3 3 5" xfId="33397" xr:uid="{00000000-0005-0000-0000-00008C420000}"/>
    <cellStyle name="20% - Accent6 5 3 3 6" xfId="38194" xr:uid="{00000000-0005-0000-0000-00008D420000}"/>
    <cellStyle name="20% - Accent6 5 3 4" xfId="3566" xr:uid="{00000000-0005-0000-0000-00008E420000}"/>
    <cellStyle name="20% - Accent6 5 3 4 2" xfId="10672" xr:uid="{00000000-0005-0000-0000-00008F420000}"/>
    <cellStyle name="20% - Accent6 5 3 4 3" xfId="17773" xr:uid="{00000000-0005-0000-0000-000090420000}"/>
    <cellStyle name="20% - Accent6 5 3 4 4" xfId="24875" xr:uid="{00000000-0005-0000-0000-000091420000}"/>
    <cellStyle name="20% - Accent6 5 3 4 5" xfId="31977" xr:uid="{00000000-0005-0000-0000-000092420000}"/>
    <cellStyle name="20% - Accent6 5 3 4 6" xfId="38195" xr:uid="{00000000-0005-0000-0000-000093420000}"/>
    <cellStyle name="20% - Accent6 5 3 5" xfId="7832" xr:uid="{00000000-0005-0000-0000-000094420000}"/>
    <cellStyle name="20% - Accent6 5 3 6" xfId="14933" xr:uid="{00000000-0005-0000-0000-000095420000}"/>
    <cellStyle name="20% - Accent6 5 3 7" xfId="22035" xr:uid="{00000000-0005-0000-0000-000096420000}"/>
    <cellStyle name="20% - Accent6 5 3 8" xfId="29137" xr:uid="{00000000-0005-0000-0000-000097420000}"/>
    <cellStyle name="20% - Accent6 5 3 9" xfId="38196" xr:uid="{00000000-0005-0000-0000-000098420000}"/>
    <cellStyle name="20% - Accent6 5 4" xfId="866" xr:uid="{00000000-0005-0000-0000-000099420000}"/>
    <cellStyle name="20% - Accent6 5 4 2" xfId="2357" xr:uid="{00000000-0005-0000-0000-00009A420000}"/>
    <cellStyle name="20% - Accent6 5 4 2 2" xfId="6625" xr:uid="{00000000-0005-0000-0000-00009B420000}"/>
    <cellStyle name="20% - Accent6 5 4 2 2 2" xfId="13725" xr:uid="{00000000-0005-0000-0000-00009C420000}"/>
    <cellStyle name="20% - Accent6 5 4 2 2 3" xfId="20826" xr:uid="{00000000-0005-0000-0000-00009D420000}"/>
    <cellStyle name="20% - Accent6 5 4 2 2 4" xfId="27928" xr:uid="{00000000-0005-0000-0000-00009E420000}"/>
    <cellStyle name="20% - Accent6 5 4 2 2 5" xfId="35030" xr:uid="{00000000-0005-0000-0000-00009F420000}"/>
    <cellStyle name="20% - Accent6 5 4 2 2 6" xfId="38197" xr:uid="{00000000-0005-0000-0000-0000A0420000}"/>
    <cellStyle name="20% - Accent6 5 4 2 3" xfId="9465" xr:uid="{00000000-0005-0000-0000-0000A1420000}"/>
    <cellStyle name="20% - Accent6 5 4 2 4" xfId="16566" xr:uid="{00000000-0005-0000-0000-0000A2420000}"/>
    <cellStyle name="20% - Accent6 5 4 2 5" xfId="23668" xr:uid="{00000000-0005-0000-0000-0000A3420000}"/>
    <cellStyle name="20% - Accent6 5 4 2 6" xfId="30770" xr:uid="{00000000-0005-0000-0000-0000A4420000}"/>
    <cellStyle name="20% - Accent6 5 4 2 7" xfId="38198" xr:uid="{00000000-0005-0000-0000-0000A5420000}"/>
    <cellStyle name="20% - Accent6 5 4 3" xfId="5204" xr:uid="{00000000-0005-0000-0000-0000A6420000}"/>
    <cellStyle name="20% - Accent6 5 4 3 2" xfId="12305" xr:uid="{00000000-0005-0000-0000-0000A7420000}"/>
    <cellStyle name="20% - Accent6 5 4 3 2 2" xfId="38199" xr:uid="{00000000-0005-0000-0000-0000A8420000}"/>
    <cellStyle name="20% - Accent6 5 4 3 3" xfId="19406" xr:uid="{00000000-0005-0000-0000-0000A9420000}"/>
    <cellStyle name="20% - Accent6 5 4 3 4" xfId="26508" xr:uid="{00000000-0005-0000-0000-0000AA420000}"/>
    <cellStyle name="20% - Accent6 5 4 3 5" xfId="33610" xr:uid="{00000000-0005-0000-0000-0000AB420000}"/>
    <cellStyle name="20% - Accent6 5 4 3 6" xfId="38200" xr:uid="{00000000-0005-0000-0000-0000AC420000}"/>
    <cellStyle name="20% - Accent6 5 4 4" xfId="3779" xr:uid="{00000000-0005-0000-0000-0000AD420000}"/>
    <cellStyle name="20% - Accent6 5 4 4 2" xfId="10885" xr:uid="{00000000-0005-0000-0000-0000AE420000}"/>
    <cellStyle name="20% - Accent6 5 4 4 3" xfId="17986" xr:uid="{00000000-0005-0000-0000-0000AF420000}"/>
    <cellStyle name="20% - Accent6 5 4 4 4" xfId="25088" xr:uid="{00000000-0005-0000-0000-0000B0420000}"/>
    <cellStyle name="20% - Accent6 5 4 4 5" xfId="32190" xr:uid="{00000000-0005-0000-0000-0000B1420000}"/>
    <cellStyle name="20% - Accent6 5 4 4 6" xfId="38201" xr:uid="{00000000-0005-0000-0000-0000B2420000}"/>
    <cellStyle name="20% - Accent6 5 4 5" xfId="8045" xr:uid="{00000000-0005-0000-0000-0000B3420000}"/>
    <cellStyle name="20% - Accent6 5 4 6" xfId="15146" xr:uid="{00000000-0005-0000-0000-0000B4420000}"/>
    <cellStyle name="20% - Accent6 5 4 7" xfId="22248" xr:uid="{00000000-0005-0000-0000-0000B5420000}"/>
    <cellStyle name="20% - Accent6 5 4 8" xfId="29350" xr:uid="{00000000-0005-0000-0000-0000B6420000}"/>
    <cellStyle name="20% - Accent6 5 4 9" xfId="38202" xr:uid="{00000000-0005-0000-0000-0000B7420000}"/>
    <cellStyle name="20% - Accent6 5 5" xfId="1008" xr:uid="{00000000-0005-0000-0000-0000B8420000}"/>
    <cellStyle name="20% - Accent6 5 5 2" xfId="2499" xr:uid="{00000000-0005-0000-0000-0000B9420000}"/>
    <cellStyle name="20% - Accent6 5 5 2 2" xfId="6767" xr:uid="{00000000-0005-0000-0000-0000BA420000}"/>
    <cellStyle name="20% - Accent6 5 5 2 2 2" xfId="13867" xr:uid="{00000000-0005-0000-0000-0000BB420000}"/>
    <cellStyle name="20% - Accent6 5 5 2 2 3" xfId="20968" xr:uid="{00000000-0005-0000-0000-0000BC420000}"/>
    <cellStyle name="20% - Accent6 5 5 2 2 4" xfId="28070" xr:uid="{00000000-0005-0000-0000-0000BD420000}"/>
    <cellStyle name="20% - Accent6 5 5 2 2 5" xfId="35172" xr:uid="{00000000-0005-0000-0000-0000BE420000}"/>
    <cellStyle name="20% - Accent6 5 5 2 3" xfId="9607" xr:uid="{00000000-0005-0000-0000-0000BF420000}"/>
    <cellStyle name="20% - Accent6 5 5 2 4" xfId="16708" xr:uid="{00000000-0005-0000-0000-0000C0420000}"/>
    <cellStyle name="20% - Accent6 5 5 2 5" xfId="23810" xr:uid="{00000000-0005-0000-0000-0000C1420000}"/>
    <cellStyle name="20% - Accent6 5 5 2 6" xfId="30912" xr:uid="{00000000-0005-0000-0000-0000C2420000}"/>
    <cellStyle name="20% - Accent6 5 5 2 7" xfId="38203" xr:uid="{00000000-0005-0000-0000-0000C3420000}"/>
    <cellStyle name="20% - Accent6 5 5 3" xfId="5346" xr:uid="{00000000-0005-0000-0000-0000C4420000}"/>
    <cellStyle name="20% - Accent6 5 5 3 2" xfId="12447" xr:uid="{00000000-0005-0000-0000-0000C5420000}"/>
    <cellStyle name="20% - Accent6 5 5 3 3" xfId="19548" xr:uid="{00000000-0005-0000-0000-0000C6420000}"/>
    <cellStyle name="20% - Accent6 5 5 3 4" xfId="26650" xr:uid="{00000000-0005-0000-0000-0000C7420000}"/>
    <cellStyle name="20% - Accent6 5 5 3 5" xfId="33752" xr:uid="{00000000-0005-0000-0000-0000C8420000}"/>
    <cellStyle name="20% - Accent6 5 5 4" xfId="3921" xr:uid="{00000000-0005-0000-0000-0000C9420000}"/>
    <cellStyle name="20% - Accent6 5 5 4 2" xfId="11027" xr:uid="{00000000-0005-0000-0000-0000CA420000}"/>
    <cellStyle name="20% - Accent6 5 5 4 3" xfId="18128" xr:uid="{00000000-0005-0000-0000-0000CB420000}"/>
    <cellStyle name="20% - Accent6 5 5 4 4" xfId="25230" xr:uid="{00000000-0005-0000-0000-0000CC420000}"/>
    <cellStyle name="20% - Accent6 5 5 4 5" xfId="32332" xr:uid="{00000000-0005-0000-0000-0000CD420000}"/>
    <cellStyle name="20% - Accent6 5 5 5" xfId="8187" xr:uid="{00000000-0005-0000-0000-0000CE420000}"/>
    <cellStyle name="20% - Accent6 5 5 6" xfId="15288" xr:uid="{00000000-0005-0000-0000-0000CF420000}"/>
    <cellStyle name="20% - Accent6 5 5 7" xfId="22390" xr:uid="{00000000-0005-0000-0000-0000D0420000}"/>
    <cellStyle name="20% - Accent6 5 5 8" xfId="29492" xr:uid="{00000000-0005-0000-0000-0000D1420000}"/>
    <cellStyle name="20% - Accent6 5 5 9" xfId="38204" xr:uid="{00000000-0005-0000-0000-0000D2420000}"/>
    <cellStyle name="20% - Accent6 5 6" xfId="1434" xr:uid="{00000000-0005-0000-0000-0000D3420000}"/>
    <cellStyle name="20% - Accent6 5 6 2" xfId="2925" xr:uid="{00000000-0005-0000-0000-0000D4420000}"/>
    <cellStyle name="20% - Accent6 5 6 2 2" xfId="7193" xr:uid="{00000000-0005-0000-0000-0000D5420000}"/>
    <cellStyle name="20% - Accent6 5 6 2 2 2" xfId="14293" xr:uid="{00000000-0005-0000-0000-0000D6420000}"/>
    <cellStyle name="20% - Accent6 5 6 2 2 3" xfId="21394" xr:uid="{00000000-0005-0000-0000-0000D7420000}"/>
    <cellStyle name="20% - Accent6 5 6 2 2 4" xfId="28496" xr:uid="{00000000-0005-0000-0000-0000D8420000}"/>
    <cellStyle name="20% - Accent6 5 6 2 2 5" xfId="35598" xr:uid="{00000000-0005-0000-0000-0000D9420000}"/>
    <cellStyle name="20% - Accent6 5 6 2 3" xfId="10033" xr:uid="{00000000-0005-0000-0000-0000DA420000}"/>
    <cellStyle name="20% - Accent6 5 6 2 4" xfId="17134" xr:uid="{00000000-0005-0000-0000-0000DB420000}"/>
    <cellStyle name="20% - Accent6 5 6 2 5" xfId="24236" xr:uid="{00000000-0005-0000-0000-0000DC420000}"/>
    <cellStyle name="20% - Accent6 5 6 2 6" xfId="31338" xr:uid="{00000000-0005-0000-0000-0000DD420000}"/>
    <cellStyle name="20% - Accent6 5 6 2 7" xfId="38205" xr:uid="{00000000-0005-0000-0000-0000DE420000}"/>
    <cellStyle name="20% - Accent6 5 6 3" xfId="5772" xr:uid="{00000000-0005-0000-0000-0000DF420000}"/>
    <cellStyle name="20% - Accent6 5 6 3 2" xfId="12873" xr:uid="{00000000-0005-0000-0000-0000E0420000}"/>
    <cellStyle name="20% - Accent6 5 6 3 3" xfId="19974" xr:uid="{00000000-0005-0000-0000-0000E1420000}"/>
    <cellStyle name="20% - Accent6 5 6 3 4" xfId="27076" xr:uid="{00000000-0005-0000-0000-0000E2420000}"/>
    <cellStyle name="20% - Accent6 5 6 3 5" xfId="34178" xr:uid="{00000000-0005-0000-0000-0000E3420000}"/>
    <cellStyle name="20% - Accent6 5 6 4" xfId="4347" xr:uid="{00000000-0005-0000-0000-0000E4420000}"/>
    <cellStyle name="20% - Accent6 5 6 4 2" xfId="11453" xr:uid="{00000000-0005-0000-0000-0000E5420000}"/>
    <cellStyle name="20% - Accent6 5 6 4 3" xfId="18554" xr:uid="{00000000-0005-0000-0000-0000E6420000}"/>
    <cellStyle name="20% - Accent6 5 6 4 4" xfId="25656" xr:uid="{00000000-0005-0000-0000-0000E7420000}"/>
    <cellStyle name="20% - Accent6 5 6 4 5" xfId="32758" xr:uid="{00000000-0005-0000-0000-0000E8420000}"/>
    <cellStyle name="20% - Accent6 5 6 5" xfId="8613" xr:uid="{00000000-0005-0000-0000-0000E9420000}"/>
    <cellStyle name="20% - Accent6 5 6 6" xfId="15714" xr:uid="{00000000-0005-0000-0000-0000EA420000}"/>
    <cellStyle name="20% - Accent6 5 6 7" xfId="22816" xr:uid="{00000000-0005-0000-0000-0000EB420000}"/>
    <cellStyle name="20% - Accent6 5 6 8" xfId="29918" xr:uid="{00000000-0005-0000-0000-0000EC420000}"/>
    <cellStyle name="20% - Accent6 5 6 9" xfId="38206" xr:uid="{00000000-0005-0000-0000-0000ED420000}"/>
    <cellStyle name="20% - Accent6 5 7" xfId="1718" xr:uid="{00000000-0005-0000-0000-0000EE420000}"/>
    <cellStyle name="20% - Accent6 5 7 2" xfId="5986" xr:uid="{00000000-0005-0000-0000-0000EF420000}"/>
    <cellStyle name="20% - Accent6 5 7 2 2" xfId="13086" xr:uid="{00000000-0005-0000-0000-0000F0420000}"/>
    <cellStyle name="20% - Accent6 5 7 2 3" xfId="20187" xr:uid="{00000000-0005-0000-0000-0000F1420000}"/>
    <cellStyle name="20% - Accent6 5 7 2 4" xfId="27289" xr:uid="{00000000-0005-0000-0000-0000F2420000}"/>
    <cellStyle name="20% - Accent6 5 7 2 5" xfId="34391" xr:uid="{00000000-0005-0000-0000-0000F3420000}"/>
    <cellStyle name="20% - Accent6 5 7 3" xfId="8826" xr:uid="{00000000-0005-0000-0000-0000F4420000}"/>
    <cellStyle name="20% - Accent6 5 7 4" xfId="15927" xr:uid="{00000000-0005-0000-0000-0000F5420000}"/>
    <cellStyle name="20% - Accent6 5 7 5" xfId="23029" xr:uid="{00000000-0005-0000-0000-0000F6420000}"/>
    <cellStyle name="20% - Accent6 5 7 6" xfId="30131" xr:uid="{00000000-0005-0000-0000-0000F7420000}"/>
    <cellStyle name="20% - Accent6 5 7 7" xfId="38207" xr:uid="{00000000-0005-0000-0000-0000F8420000}"/>
    <cellStyle name="20% - Accent6 5 8" xfId="4565" xr:uid="{00000000-0005-0000-0000-0000F9420000}"/>
    <cellStyle name="20% - Accent6 5 8 2" xfId="11666" xr:uid="{00000000-0005-0000-0000-0000FA420000}"/>
    <cellStyle name="20% - Accent6 5 8 3" xfId="18767" xr:uid="{00000000-0005-0000-0000-0000FB420000}"/>
    <cellStyle name="20% - Accent6 5 8 4" xfId="25869" xr:uid="{00000000-0005-0000-0000-0000FC420000}"/>
    <cellStyle name="20% - Accent6 5 8 5" xfId="32971" xr:uid="{00000000-0005-0000-0000-0000FD420000}"/>
    <cellStyle name="20% - Accent6 5 9" xfId="3140" xr:uid="{00000000-0005-0000-0000-0000FE420000}"/>
    <cellStyle name="20% - Accent6 5 9 2" xfId="10246" xr:uid="{00000000-0005-0000-0000-0000FF420000}"/>
    <cellStyle name="20% - Accent6 5 9 3" xfId="17347" xr:uid="{00000000-0005-0000-0000-000000430000}"/>
    <cellStyle name="20% - Accent6 5 9 4" xfId="24449" xr:uid="{00000000-0005-0000-0000-000001430000}"/>
    <cellStyle name="20% - Accent6 5 9 5" xfId="31551" xr:uid="{00000000-0005-0000-0000-000002430000}"/>
    <cellStyle name="20% - Accent6 6" xfId="155" xr:uid="{00000000-0005-0000-0000-000003430000}"/>
    <cellStyle name="20% - Accent6 6 10" xfId="7335" xr:uid="{00000000-0005-0000-0000-000004430000}"/>
    <cellStyle name="20% - Accent6 6 11" xfId="14436" xr:uid="{00000000-0005-0000-0000-000005430000}"/>
    <cellStyle name="20% - Accent6 6 12" xfId="21538" xr:uid="{00000000-0005-0000-0000-000006430000}"/>
    <cellStyle name="20% - Accent6 6 13" xfId="28640" xr:uid="{00000000-0005-0000-0000-000007430000}"/>
    <cellStyle name="20% - Accent6 6 14" xfId="35742" xr:uid="{00000000-0005-0000-0000-000008430000}"/>
    <cellStyle name="20% - Accent6 6 15" xfId="38208" xr:uid="{00000000-0005-0000-0000-000009430000}"/>
    <cellStyle name="20% - Accent6 6 2" xfId="369" xr:uid="{00000000-0005-0000-0000-00000A430000}"/>
    <cellStyle name="20% - Accent6 6 2 2" xfId="1860" xr:uid="{00000000-0005-0000-0000-00000B430000}"/>
    <cellStyle name="20% - Accent6 6 2 2 2" xfId="6128" xr:uid="{00000000-0005-0000-0000-00000C430000}"/>
    <cellStyle name="20% - Accent6 6 2 2 2 2" xfId="13228" xr:uid="{00000000-0005-0000-0000-00000D430000}"/>
    <cellStyle name="20% - Accent6 6 2 2 2 3" xfId="20329" xr:uid="{00000000-0005-0000-0000-00000E430000}"/>
    <cellStyle name="20% - Accent6 6 2 2 2 4" xfId="27431" xr:uid="{00000000-0005-0000-0000-00000F430000}"/>
    <cellStyle name="20% - Accent6 6 2 2 2 5" xfId="34533" xr:uid="{00000000-0005-0000-0000-000010430000}"/>
    <cellStyle name="20% - Accent6 6 2 2 2 6" xfId="38209" xr:uid="{00000000-0005-0000-0000-000011430000}"/>
    <cellStyle name="20% - Accent6 6 2 2 3" xfId="8968" xr:uid="{00000000-0005-0000-0000-000012430000}"/>
    <cellStyle name="20% - Accent6 6 2 2 4" xfId="16069" xr:uid="{00000000-0005-0000-0000-000013430000}"/>
    <cellStyle name="20% - Accent6 6 2 2 5" xfId="23171" xr:uid="{00000000-0005-0000-0000-000014430000}"/>
    <cellStyle name="20% - Accent6 6 2 2 6" xfId="30273" xr:uid="{00000000-0005-0000-0000-000015430000}"/>
    <cellStyle name="20% - Accent6 6 2 2 7" xfId="38210" xr:uid="{00000000-0005-0000-0000-000016430000}"/>
    <cellStyle name="20% - Accent6 6 2 3" xfId="4707" xr:uid="{00000000-0005-0000-0000-000017430000}"/>
    <cellStyle name="20% - Accent6 6 2 3 2" xfId="11808" xr:uid="{00000000-0005-0000-0000-000018430000}"/>
    <cellStyle name="20% - Accent6 6 2 3 2 2" xfId="38211" xr:uid="{00000000-0005-0000-0000-000019430000}"/>
    <cellStyle name="20% - Accent6 6 2 3 3" xfId="18909" xr:uid="{00000000-0005-0000-0000-00001A430000}"/>
    <cellStyle name="20% - Accent6 6 2 3 4" xfId="26011" xr:uid="{00000000-0005-0000-0000-00001B430000}"/>
    <cellStyle name="20% - Accent6 6 2 3 5" xfId="33113" xr:uid="{00000000-0005-0000-0000-00001C430000}"/>
    <cellStyle name="20% - Accent6 6 2 3 6" xfId="38212" xr:uid="{00000000-0005-0000-0000-00001D430000}"/>
    <cellStyle name="20% - Accent6 6 2 4" xfId="3282" xr:uid="{00000000-0005-0000-0000-00001E430000}"/>
    <cellStyle name="20% - Accent6 6 2 4 2" xfId="10388" xr:uid="{00000000-0005-0000-0000-00001F430000}"/>
    <cellStyle name="20% - Accent6 6 2 4 3" xfId="17489" xr:uid="{00000000-0005-0000-0000-000020430000}"/>
    <cellStyle name="20% - Accent6 6 2 4 4" xfId="24591" xr:uid="{00000000-0005-0000-0000-000021430000}"/>
    <cellStyle name="20% - Accent6 6 2 4 5" xfId="31693" xr:uid="{00000000-0005-0000-0000-000022430000}"/>
    <cellStyle name="20% - Accent6 6 2 4 6" xfId="38213" xr:uid="{00000000-0005-0000-0000-000023430000}"/>
    <cellStyle name="20% - Accent6 6 2 5" xfId="7548" xr:uid="{00000000-0005-0000-0000-000024430000}"/>
    <cellStyle name="20% - Accent6 6 2 6" xfId="14649" xr:uid="{00000000-0005-0000-0000-000025430000}"/>
    <cellStyle name="20% - Accent6 6 2 7" xfId="21751" xr:uid="{00000000-0005-0000-0000-000026430000}"/>
    <cellStyle name="20% - Accent6 6 2 8" xfId="28853" xr:uid="{00000000-0005-0000-0000-000027430000}"/>
    <cellStyle name="20% - Accent6 6 2 9" xfId="38214" xr:uid="{00000000-0005-0000-0000-000028430000}"/>
    <cellStyle name="20% - Accent6 6 3" xfId="582" xr:uid="{00000000-0005-0000-0000-000029430000}"/>
    <cellStyle name="20% - Accent6 6 3 2" xfId="2073" xr:uid="{00000000-0005-0000-0000-00002A430000}"/>
    <cellStyle name="20% - Accent6 6 3 2 2" xfId="6341" xr:uid="{00000000-0005-0000-0000-00002B430000}"/>
    <cellStyle name="20% - Accent6 6 3 2 2 2" xfId="13441" xr:uid="{00000000-0005-0000-0000-00002C430000}"/>
    <cellStyle name="20% - Accent6 6 3 2 2 3" xfId="20542" xr:uid="{00000000-0005-0000-0000-00002D430000}"/>
    <cellStyle name="20% - Accent6 6 3 2 2 4" xfId="27644" xr:uid="{00000000-0005-0000-0000-00002E430000}"/>
    <cellStyle name="20% - Accent6 6 3 2 2 5" xfId="34746" xr:uid="{00000000-0005-0000-0000-00002F430000}"/>
    <cellStyle name="20% - Accent6 6 3 2 2 6" xfId="38215" xr:uid="{00000000-0005-0000-0000-000030430000}"/>
    <cellStyle name="20% - Accent6 6 3 2 3" xfId="9181" xr:uid="{00000000-0005-0000-0000-000031430000}"/>
    <cellStyle name="20% - Accent6 6 3 2 4" xfId="16282" xr:uid="{00000000-0005-0000-0000-000032430000}"/>
    <cellStyle name="20% - Accent6 6 3 2 5" xfId="23384" xr:uid="{00000000-0005-0000-0000-000033430000}"/>
    <cellStyle name="20% - Accent6 6 3 2 6" xfId="30486" xr:uid="{00000000-0005-0000-0000-000034430000}"/>
    <cellStyle name="20% - Accent6 6 3 2 7" xfId="38216" xr:uid="{00000000-0005-0000-0000-000035430000}"/>
    <cellStyle name="20% - Accent6 6 3 3" xfId="4920" xr:uid="{00000000-0005-0000-0000-000036430000}"/>
    <cellStyle name="20% - Accent6 6 3 3 2" xfId="12021" xr:uid="{00000000-0005-0000-0000-000037430000}"/>
    <cellStyle name="20% - Accent6 6 3 3 2 2" xfId="38217" xr:uid="{00000000-0005-0000-0000-000038430000}"/>
    <cellStyle name="20% - Accent6 6 3 3 3" xfId="19122" xr:uid="{00000000-0005-0000-0000-000039430000}"/>
    <cellStyle name="20% - Accent6 6 3 3 4" xfId="26224" xr:uid="{00000000-0005-0000-0000-00003A430000}"/>
    <cellStyle name="20% - Accent6 6 3 3 5" xfId="33326" xr:uid="{00000000-0005-0000-0000-00003B430000}"/>
    <cellStyle name="20% - Accent6 6 3 3 6" xfId="38218" xr:uid="{00000000-0005-0000-0000-00003C430000}"/>
    <cellStyle name="20% - Accent6 6 3 4" xfId="3495" xr:uid="{00000000-0005-0000-0000-00003D430000}"/>
    <cellStyle name="20% - Accent6 6 3 4 2" xfId="10601" xr:uid="{00000000-0005-0000-0000-00003E430000}"/>
    <cellStyle name="20% - Accent6 6 3 4 3" xfId="17702" xr:uid="{00000000-0005-0000-0000-00003F430000}"/>
    <cellStyle name="20% - Accent6 6 3 4 4" xfId="24804" xr:uid="{00000000-0005-0000-0000-000040430000}"/>
    <cellStyle name="20% - Accent6 6 3 4 5" xfId="31906" xr:uid="{00000000-0005-0000-0000-000041430000}"/>
    <cellStyle name="20% - Accent6 6 3 4 6" xfId="38219" xr:uid="{00000000-0005-0000-0000-000042430000}"/>
    <cellStyle name="20% - Accent6 6 3 5" xfId="7761" xr:uid="{00000000-0005-0000-0000-000043430000}"/>
    <cellStyle name="20% - Accent6 6 3 6" xfId="14862" xr:uid="{00000000-0005-0000-0000-000044430000}"/>
    <cellStyle name="20% - Accent6 6 3 7" xfId="21964" xr:uid="{00000000-0005-0000-0000-000045430000}"/>
    <cellStyle name="20% - Accent6 6 3 8" xfId="29066" xr:uid="{00000000-0005-0000-0000-000046430000}"/>
    <cellStyle name="20% - Accent6 6 3 9" xfId="38220" xr:uid="{00000000-0005-0000-0000-000047430000}"/>
    <cellStyle name="20% - Accent6 6 4" xfId="795" xr:uid="{00000000-0005-0000-0000-000048430000}"/>
    <cellStyle name="20% - Accent6 6 4 2" xfId="2286" xr:uid="{00000000-0005-0000-0000-000049430000}"/>
    <cellStyle name="20% - Accent6 6 4 2 2" xfId="6554" xr:uid="{00000000-0005-0000-0000-00004A430000}"/>
    <cellStyle name="20% - Accent6 6 4 2 2 2" xfId="13654" xr:uid="{00000000-0005-0000-0000-00004B430000}"/>
    <cellStyle name="20% - Accent6 6 4 2 2 3" xfId="20755" xr:uid="{00000000-0005-0000-0000-00004C430000}"/>
    <cellStyle name="20% - Accent6 6 4 2 2 4" xfId="27857" xr:uid="{00000000-0005-0000-0000-00004D430000}"/>
    <cellStyle name="20% - Accent6 6 4 2 2 5" xfId="34959" xr:uid="{00000000-0005-0000-0000-00004E430000}"/>
    <cellStyle name="20% - Accent6 6 4 2 2 6" xfId="38221" xr:uid="{00000000-0005-0000-0000-00004F430000}"/>
    <cellStyle name="20% - Accent6 6 4 2 3" xfId="9394" xr:uid="{00000000-0005-0000-0000-000050430000}"/>
    <cellStyle name="20% - Accent6 6 4 2 4" xfId="16495" xr:uid="{00000000-0005-0000-0000-000051430000}"/>
    <cellStyle name="20% - Accent6 6 4 2 5" xfId="23597" xr:uid="{00000000-0005-0000-0000-000052430000}"/>
    <cellStyle name="20% - Accent6 6 4 2 6" xfId="30699" xr:uid="{00000000-0005-0000-0000-000053430000}"/>
    <cellStyle name="20% - Accent6 6 4 2 7" xfId="38222" xr:uid="{00000000-0005-0000-0000-000054430000}"/>
    <cellStyle name="20% - Accent6 6 4 3" xfId="5133" xr:uid="{00000000-0005-0000-0000-000055430000}"/>
    <cellStyle name="20% - Accent6 6 4 3 2" xfId="12234" xr:uid="{00000000-0005-0000-0000-000056430000}"/>
    <cellStyle name="20% - Accent6 6 4 3 2 2" xfId="38223" xr:uid="{00000000-0005-0000-0000-000057430000}"/>
    <cellStyle name="20% - Accent6 6 4 3 3" xfId="19335" xr:uid="{00000000-0005-0000-0000-000058430000}"/>
    <cellStyle name="20% - Accent6 6 4 3 4" xfId="26437" xr:uid="{00000000-0005-0000-0000-000059430000}"/>
    <cellStyle name="20% - Accent6 6 4 3 5" xfId="33539" xr:uid="{00000000-0005-0000-0000-00005A430000}"/>
    <cellStyle name="20% - Accent6 6 4 3 6" xfId="38224" xr:uid="{00000000-0005-0000-0000-00005B430000}"/>
    <cellStyle name="20% - Accent6 6 4 4" xfId="3708" xr:uid="{00000000-0005-0000-0000-00005C430000}"/>
    <cellStyle name="20% - Accent6 6 4 4 2" xfId="10814" xr:uid="{00000000-0005-0000-0000-00005D430000}"/>
    <cellStyle name="20% - Accent6 6 4 4 3" xfId="17915" xr:uid="{00000000-0005-0000-0000-00005E430000}"/>
    <cellStyle name="20% - Accent6 6 4 4 4" xfId="25017" xr:uid="{00000000-0005-0000-0000-00005F430000}"/>
    <cellStyle name="20% - Accent6 6 4 4 5" xfId="32119" xr:uid="{00000000-0005-0000-0000-000060430000}"/>
    <cellStyle name="20% - Accent6 6 4 4 6" xfId="38225" xr:uid="{00000000-0005-0000-0000-000061430000}"/>
    <cellStyle name="20% - Accent6 6 4 5" xfId="7974" xr:uid="{00000000-0005-0000-0000-000062430000}"/>
    <cellStyle name="20% - Accent6 6 4 6" xfId="15075" xr:uid="{00000000-0005-0000-0000-000063430000}"/>
    <cellStyle name="20% - Accent6 6 4 7" xfId="22177" xr:uid="{00000000-0005-0000-0000-000064430000}"/>
    <cellStyle name="20% - Accent6 6 4 8" xfId="29279" xr:uid="{00000000-0005-0000-0000-000065430000}"/>
    <cellStyle name="20% - Accent6 6 4 9" xfId="38226" xr:uid="{00000000-0005-0000-0000-000066430000}"/>
    <cellStyle name="20% - Accent6 6 5" xfId="1150" xr:uid="{00000000-0005-0000-0000-000067430000}"/>
    <cellStyle name="20% - Accent6 6 5 2" xfId="2641" xr:uid="{00000000-0005-0000-0000-000068430000}"/>
    <cellStyle name="20% - Accent6 6 5 2 2" xfId="6909" xr:uid="{00000000-0005-0000-0000-000069430000}"/>
    <cellStyle name="20% - Accent6 6 5 2 2 2" xfId="14009" xr:uid="{00000000-0005-0000-0000-00006A430000}"/>
    <cellStyle name="20% - Accent6 6 5 2 2 3" xfId="21110" xr:uid="{00000000-0005-0000-0000-00006B430000}"/>
    <cellStyle name="20% - Accent6 6 5 2 2 4" xfId="28212" xr:uid="{00000000-0005-0000-0000-00006C430000}"/>
    <cellStyle name="20% - Accent6 6 5 2 2 5" xfId="35314" xr:uid="{00000000-0005-0000-0000-00006D430000}"/>
    <cellStyle name="20% - Accent6 6 5 2 3" xfId="9749" xr:uid="{00000000-0005-0000-0000-00006E430000}"/>
    <cellStyle name="20% - Accent6 6 5 2 4" xfId="16850" xr:uid="{00000000-0005-0000-0000-00006F430000}"/>
    <cellStyle name="20% - Accent6 6 5 2 5" xfId="23952" xr:uid="{00000000-0005-0000-0000-000070430000}"/>
    <cellStyle name="20% - Accent6 6 5 2 6" xfId="31054" xr:uid="{00000000-0005-0000-0000-000071430000}"/>
    <cellStyle name="20% - Accent6 6 5 2 7" xfId="38227" xr:uid="{00000000-0005-0000-0000-000072430000}"/>
    <cellStyle name="20% - Accent6 6 5 3" xfId="5488" xr:uid="{00000000-0005-0000-0000-000073430000}"/>
    <cellStyle name="20% - Accent6 6 5 3 2" xfId="12589" xr:uid="{00000000-0005-0000-0000-000074430000}"/>
    <cellStyle name="20% - Accent6 6 5 3 3" xfId="19690" xr:uid="{00000000-0005-0000-0000-000075430000}"/>
    <cellStyle name="20% - Accent6 6 5 3 4" xfId="26792" xr:uid="{00000000-0005-0000-0000-000076430000}"/>
    <cellStyle name="20% - Accent6 6 5 3 5" xfId="33894" xr:uid="{00000000-0005-0000-0000-000077430000}"/>
    <cellStyle name="20% - Accent6 6 5 4" xfId="4063" xr:uid="{00000000-0005-0000-0000-000078430000}"/>
    <cellStyle name="20% - Accent6 6 5 4 2" xfId="11169" xr:uid="{00000000-0005-0000-0000-000079430000}"/>
    <cellStyle name="20% - Accent6 6 5 4 3" xfId="18270" xr:uid="{00000000-0005-0000-0000-00007A430000}"/>
    <cellStyle name="20% - Accent6 6 5 4 4" xfId="25372" xr:uid="{00000000-0005-0000-0000-00007B430000}"/>
    <cellStyle name="20% - Accent6 6 5 4 5" xfId="32474" xr:uid="{00000000-0005-0000-0000-00007C430000}"/>
    <cellStyle name="20% - Accent6 6 5 5" xfId="8329" xr:uid="{00000000-0005-0000-0000-00007D430000}"/>
    <cellStyle name="20% - Accent6 6 5 6" xfId="15430" xr:uid="{00000000-0005-0000-0000-00007E430000}"/>
    <cellStyle name="20% - Accent6 6 5 7" xfId="22532" xr:uid="{00000000-0005-0000-0000-00007F430000}"/>
    <cellStyle name="20% - Accent6 6 5 8" xfId="29634" xr:uid="{00000000-0005-0000-0000-000080430000}"/>
    <cellStyle name="20% - Accent6 6 5 9" xfId="38228" xr:uid="{00000000-0005-0000-0000-000081430000}"/>
    <cellStyle name="20% - Accent6 6 6" xfId="1363" xr:uid="{00000000-0005-0000-0000-000082430000}"/>
    <cellStyle name="20% - Accent6 6 6 2" xfId="2854" xr:uid="{00000000-0005-0000-0000-000083430000}"/>
    <cellStyle name="20% - Accent6 6 6 2 2" xfId="7122" xr:uid="{00000000-0005-0000-0000-000084430000}"/>
    <cellStyle name="20% - Accent6 6 6 2 2 2" xfId="14222" xr:uid="{00000000-0005-0000-0000-000085430000}"/>
    <cellStyle name="20% - Accent6 6 6 2 2 3" xfId="21323" xr:uid="{00000000-0005-0000-0000-000086430000}"/>
    <cellStyle name="20% - Accent6 6 6 2 2 4" xfId="28425" xr:uid="{00000000-0005-0000-0000-000087430000}"/>
    <cellStyle name="20% - Accent6 6 6 2 2 5" xfId="35527" xr:uid="{00000000-0005-0000-0000-000088430000}"/>
    <cellStyle name="20% - Accent6 6 6 2 3" xfId="9962" xr:uid="{00000000-0005-0000-0000-000089430000}"/>
    <cellStyle name="20% - Accent6 6 6 2 4" xfId="17063" xr:uid="{00000000-0005-0000-0000-00008A430000}"/>
    <cellStyle name="20% - Accent6 6 6 2 5" xfId="24165" xr:uid="{00000000-0005-0000-0000-00008B430000}"/>
    <cellStyle name="20% - Accent6 6 6 2 6" xfId="31267" xr:uid="{00000000-0005-0000-0000-00008C430000}"/>
    <cellStyle name="20% - Accent6 6 6 2 7" xfId="38229" xr:uid="{00000000-0005-0000-0000-00008D430000}"/>
    <cellStyle name="20% - Accent6 6 6 3" xfId="5701" xr:uid="{00000000-0005-0000-0000-00008E430000}"/>
    <cellStyle name="20% - Accent6 6 6 3 2" xfId="12802" xr:uid="{00000000-0005-0000-0000-00008F430000}"/>
    <cellStyle name="20% - Accent6 6 6 3 3" xfId="19903" xr:uid="{00000000-0005-0000-0000-000090430000}"/>
    <cellStyle name="20% - Accent6 6 6 3 4" xfId="27005" xr:uid="{00000000-0005-0000-0000-000091430000}"/>
    <cellStyle name="20% - Accent6 6 6 3 5" xfId="34107" xr:uid="{00000000-0005-0000-0000-000092430000}"/>
    <cellStyle name="20% - Accent6 6 6 4" xfId="4276" xr:uid="{00000000-0005-0000-0000-000093430000}"/>
    <cellStyle name="20% - Accent6 6 6 4 2" xfId="11382" xr:uid="{00000000-0005-0000-0000-000094430000}"/>
    <cellStyle name="20% - Accent6 6 6 4 3" xfId="18483" xr:uid="{00000000-0005-0000-0000-000095430000}"/>
    <cellStyle name="20% - Accent6 6 6 4 4" xfId="25585" xr:uid="{00000000-0005-0000-0000-000096430000}"/>
    <cellStyle name="20% - Accent6 6 6 4 5" xfId="32687" xr:uid="{00000000-0005-0000-0000-000097430000}"/>
    <cellStyle name="20% - Accent6 6 6 5" xfId="8542" xr:uid="{00000000-0005-0000-0000-000098430000}"/>
    <cellStyle name="20% - Accent6 6 6 6" xfId="15643" xr:uid="{00000000-0005-0000-0000-000099430000}"/>
    <cellStyle name="20% - Accent6 6 6 7" xfId="22745" xr:uid="{00000000-0005-0000-0000-00009A430000}"/>
    <cellStyle name="20% - Accent6 6 6 8" xfId="29847" xr:uid="{00000000-0005-0000-0000-00009B430000}"/>
    <cellStyle name="20% - Accent6 6 6 9" xfId="38230" xr:uid="{00000000-0005-0000-0000-00009C430000}"/>
    <cellStyle name="20% - Accent6 6 7" xfId="1647" xr:uid="{00000000-0005-0000-0000-00009D430000}"/>
    <cellStyle name="20% - Accent6 6 7 2" xfId="5915" xr:uid="{00000000-0005-0000-0000-00009E430000}"/>
    <cellStyle name="20% - Accent6 6 7 2 2" xfId="13015" xr:uid="{00000000-0005-0000-0000-00009F430000}"/>
    <cellStyle name="20% - Accent6 6 7 2 3" xfId="20116" xr:uid="{00000000-0005-0000-0000-0000A0430000}"/>
    <cellStyle name="20% - Accent6 6 7 2 4" xfId="27218" xr:uid="{00000000-0005-0000-0000-0000A1430000}"/>
    <cellStyle name="20% - Accent6 6 7 2 5" xfId="34320" xr:uid="{00000000-0005-0000-0000-0000A2430000}"/>
    <cellStyle name="20% - Accent6 6 7 3" xfId="8755" xr:uid="{00000000-0005-0000-0000-0000A3430000}"/>
    <cellStyle name="20% - Accent6 6 7 4" xfId="15856" xr:uid="{00000000-0005-0000-0000-0000A4430000}"/>
    <cellStyle name="20% - Accent6 6 7 5" xfId="22958" xr:uid="{00000000-0005-0000-0000-0000A5430000}"/>
    <cellStyle name="20% - Accent6 6 7 6" xfId="30060" xr:uid="{00000000-0005-0000-0000-0000A6430000}"/>
    <cellStyle name="20% - Accent6 6 7 7" xfId="38231" xr:uid="{00000000-0005-0000-0000-0000A7430000}"/>
    <cellStyle name="20% - Accent6 6 8" xfId="4494" xr:uid="{00000000-0005-0000-0000-0000A8430000}"/>
    <cellStyle name="20% - Accent6 6 8 2" xfId="11595" xr:uid="{00000000-0005-0000-0000-0000A9430000}"/>
    <cellStyle name="20% - Accent6 6 8 3" xfId="18696" xr:uid="{00000000-0005-0000-0000-0000AA430000}"/>
    <cellStyle name="20% - Accent6 6 8 4" xfId="25798" xr:uid="{00000000-0005-0000-0000-0000AB430000}"/>
    <cellStyle name="20% - Accent6 6 8 5" xfId="32900" xr:uid="{00000000-0005-0000-0000-0000AC430000}"/>
    <cellStyle name="20% - Accent6 6 9" xfId="3069" xr:uid="{00000000-0005-0000-0000-0000AD430000}"/>
    <cellStyle name="20% - Accent6 6 9 2" xfId="10175" xr:uid="{00000000-0005-0000-0000-0000AE430000}"/>
    <cellStyle name="20% - Accent6 6 9 3" xfId="17276" xr:uid="{00000000-0005-0000-0000-0000AF430000}"/>
    <cellStyle name="20% - Accent6 6 9 4" xfId="24378" xr:uid="{00000000-0005-0000-0000-0000B0430000}"/>
    <cellStyle name="20% - Accent6 6 9 5" xfId="31480" xr:uid="{00000000-0005-0000-0000-0000B1430000}"/>
    <cellStyle name="20% - Accent6 7" xfId="298" xr:uid="{00000000-0005-0000-0000-0000B2430000}"/>
    <cellStyle name="20% - Accent6 7 10" xfId="38232" xr:uid="{00000000-0005-0000-0000-0000B3430000}"/>
    <cellStyle name="20% - Accent6 7 2" xfId="1079" xr:uid="{00000000-0005-0000-0000-0000B4430000}"/>
    <cellStyle name="20% - Accent6 7 2 2" xfId="2570" xr:uid="{00000000-0005-0000-0000-0000B5430000}"/>
    <cellStyle name="20% - Accent6 7 2 2 2" xfId="6838" xr:uid="{00000000-0005-0000-0000-0000B6430000}"/>
    <cellStyle name="20% - Accent6 7 2 2 2 2" xfId="13938" xr:uid="{00000000-0005-0000-0000-0000B7430000}"/>
    <cellStyle name="20% - Accent6 7 2 2 2 3" xfId="21039" xr:uid="{00000000-0005-0000-0000-0000B8430000}"/>
    <cellStyle name="20% - Accent6 7 2 2 2 4" xfId="28141" xr:uid="{00000000-0005-0000-0000-0000B9430000}"/>
    <cellStyle name="20% - Accent6 7 2 2 2 5" xfId="35243" xr:uid="{00000000-0005-0000-0000-0000BA430000}"/>
    <cellStyle name="20% - Accent6 7 2 2 3" xfId="9678" xr:uid="{00000000-0005-0000-0000-0000BB430000}"/>
    <cellStyle name="20% - Accent6 7 2 2 4" xfId="16779" xr:uid="{00000000-0005-0000-0000-0000BC430000}"/>
    <cellStyle name="20% - Accent6 7 2 2 5" xfId="23881" xr:uid="{00000000-0005-0000-0000-0000BD430000}"/>
    <cellStyle name="20% - Accent6 7 2 2 6" xfId="30983" xr:uid="{00000000-0005-0000-0000-0000BE430000}"/>
    <cellStyle name="20% - Accent6 7 2 2 7" xfId="38233" xr:uid="{00000000-0005-0000-0000-0000BF430000}"/>
    <cellStyle name="20% - Accent6 7 2 3" xfId="5417" xr:uid="{00000000-0005-0000-0000-0000C0430000}"/>
    <cellStyle name="20% - Accent6 7 2 3 2" xfId="12518" xr:uid="{00000000-0005-0000-0000-0000C1430000}"/>
    <cellStyle name="20% - Accent6 7 2 3 3" xfId="19619" xr:uid="{00000000-0005-0000-0000-0000C2430000}"/>
    <cellStyle name="20% - Accent6 7 2 3 4" xfId="26721" xr:uid="{00000000-0005-0000-0000-0000C3430000}"/>
    <cellStyle name="20% - Accent6 7 2 3 5" xfId="33823" xr:uid="{00000000-0005-0000-0000-0000C4430000}"/>
    <cellStyle name="20% - Accent6 7 2 4" xfId="3992" xr:uid="{00000000-0005-0000-0000-0000C5430000}"/>
    <cellStyle name="20% - Accent6 7 2 4 2" xfId="11098" xr:uid="{00000000-0005-0000-0000-0000C6430000}"/>
    <cellStyle name="20% - Accent6 7 2 4 3" xfId="18199" xr:uid="{00000000-0005-0000-0000-0000C7430000}"/>
    <cellStyle name="20% - Accent6 7 2 4 4" xfId="25301" xr:uid="{00000000-0005-0000-0000-0000C8430000}"/>
    <cellStyle name="20% - Accent6 7 2 4 5" xfId="32403" xr:uid="{00000000-0005-0000-0000-0000C9430000}"/>
    <cellStyle name="20% - Accent6 7 2 5" xfId="8258" xr:uid="{00000000-0005-0000-0000-0000CA430000}"/>
    <cellStyle name="20% - Accent6 7 2 6" xfId="15359" xr:uid="{00000000-0005-0000-0000-0000CB430000}"/>
    <cellStyle name="20% - Accent6 7 2 7" xfId="22461" xr:uid="{00000000-0005-0000-0000-0000CC430000}"/>
    <cellStyle name="20% - Accent6 7 2 8" xfId="29563" xr:uid="{00000000-0005-0000-0000-0000CD430000}"/>
    <cellStyle name="20% - Accent6 7 2 9" xfId="38234" xr:uid="{00000000-0005-0000-0000-0000CE430000}"/>
    <cellStyle name="20% - Accent6 7 3" xfId="1789" xr:uid="{00000000-0005-0000-0000-0000CF430000}"/>
    <cellStyle name="20% - Accent6 7 3 2" xfId="6057" xr:uid="{00000000-0005-0000-0000-0000D0430000}"/>
    <cellStyle name="20% - Accent6 7 3 2 2" xfId="13157" xr:uid="{00000000-0005-0000-0000-0000D1430000}"/>
    <cellStyle name="20% - Accent6 7 3 2 3" xfId="20258" xr:uid="{00000000-0005-0000-0000-0000D2430000}"/>
    <cellStyle name="20% - Accent6 7 3 2 4" xfId="27360" xr:uid="{00000000-0005-0000-0000-0000D3430000}"/>
    <cellStyle name="20% - Accent6 7 3 2 5" xfId="34462" xr:uid="{00000000-0005-0000-0000-0000D4430000}"/>
    <cellStyle name="20% - Accent6 7 3 2 6" xfId="38235" xr:uid="{00000000-0005-0000-0000-0000D5430000}"/>
    <cellStyle name="20% - Accent6 7 3 3" xfId="8897" xr:uid="{00000000-0005-0000-0000-0000D6430000}"/>
    <cellStyle name="20% - Accent6 7 3 4" xfId="15998" xr:uid="{00000000-0005-0000-0000-0000D7430000}"/>
    <cellStyle name="20% - Accent6 7 3 5" xfId="23100" xr:uid="{00000000-0005-0000-0000-0000D8430000}"/>
    <cellStyle name="20% - Accent6 7 3 6" xfId="30202" xr:uid="{00000000-0005-0000-0000-0000D9430000}"/>
    <cellStyle name="20% - Accent6 7 3 7" xfId="38236" xr:uid="{00000000-0005-0000-0000-0000DA430000}"/>
    <cellStyle name="20% - Accent6 7 4" xfId="4636" xr:uid="{00000000-0005-0000-0000-0000DB430000}"/>
    <cellStyle name="20% - Accent6 7 4 2" xfId="11737" xr:uid="{00000000-0005-0000-0000-0000DC430000}"/>
    <cellStyle name="20% - Accent6 7 4 3" xfId="18838" xr:uid="{00000000-0005-0000-0000-0000DD430000}"/>
    <cellStyle name="20% - Accent6 7 4 4" xfId="25940" xr:uid="{00000000-0005-0000-0000-0000DE430000}"/>
    <cellStyle name="20% - Accent6 7 4 5" xfId="33042" xr:uid="{00000000-0005-0000-0000-0000DF430000}"/>
    <cellStyle name="20% - Accent6 7 4 6" xfId="38237" xr:uid="{00000000-0005-0000-0000-0000E0430000}"/>
    <cellStyle name="20% - Accent6 7 5" xfId="3211" xr:uid="{00000000-0005-0000-0000-0000E1430000}"/>
    <cellStyle name="20% - Accent6 7 5 2" xfId="10317" xr:uid="{00000000-0005-0000-0000-0000E2430000}"/>
    <cellStyle name="20% - Accent6 7 5 3" xfId="17418" xr:uid="{00000000-0005-0000-0000-0000E3430000}"/>
    <cellStyle name="20% - Accent6 7 5 4" xfId="24520" xr:uid="{00000000-0005-0000-0000-0000E4430000}"/>
    <cellStyle name="20% - Accent6 7 5 5" xfId="31622" xr:uid="{00000000-0005-0000-0000-0000E5430000}"/>
    <cellStyle name="20% - Accent6 7 6" xfId="7477" xr:uid="{00000000-0005-0000-0000-0000E6430000}"/>
    <cellStyle name="20% - Accent6 7 7" xfId="14578" xr:uid="{00000000-0005-0000-0000-0000E7430000}"/>
    <cellStyle name="20% - Accent6 7 8" xfId="21680" xr:uid="{00000000-0005-0000-0000-0000E8430000}"/>
    <cellStyle name="20% - Accent6 7 9" xfId="28782" xr:uid="{00000000-0005-0000-0000-0000E9430000}"/>
    <cellStyle name="20% - Accent6 8" xfId="511" xr:uid="{00000000-0005-0000-0000-0000EA430000}"/>
    <cellStyle name="20% - Accent6 8 2" xfId="2002" xr:uid="{00000000-0005-0000-0000-0000EB430000}"/>
    <cellStyle name="20% - Accent6 8 2 2" xfId="6270" xr:uid="{00000000-0005-0000-0000-0000EC430000}"/>
    <cellStyle name="20% - Accent6 8 2 2 2" xfId="13370" xr:uid="{00000000-0005-0000-0000-0000ED430000}"/>
    <cellStyle name="20% - Accent6 8 2 2 3" xfId="20471" xr:uid="{00000000-0005-0000-0000-0000EE430000}"/>
    <cellStyle name="20% - Accent6 8 2 2 4" xfId="27573" xr:uid="{00000000-0005-0000-0000-0000EF430000}"/>
    <cellStyle name="20% - Accent6 8 2 2 5" xfId="34675" xr:uid="{00000000-0005-0000-0000-0000F0430000}"/>
    <cellStyle name="20% - Accent6 8 2 2 6" xfId="38238" xr:uid="{00000000-0005-0000-0000-0000F1430000}"/>
    <cellStyle name="20% - Accent6 8 2 3" xfId="9110" xr:uid="{00000000-0005-0000-0000-0000F2430000}"/>
    <cellStyle name="20% - Accent6 8 2 4" xfId="16211" xr:uid="{00000000-0005-0000-0000-0000F3430000}"/>
    <cellStyle name="20% - Accent6 8 2 5" xfId="23313" xr:uid="{00000000-0005-0000-0000-0000F4430000}"/>
    <cellStyle name="20% - Accent6 8 2 6" xfId="30415" xr:uid="{00000000-0005-0000-0000-0000F5430000}"/>
    <cellStyle name="20% - Accent6 8 2 7" xfId="38239" xr:uid="{00000000-0005-0000-0000-0000F6430000}"/>
    <cellStyle name="20% - Accent6 8 3" xfId="4849" xr:uid="{00000000-0005-0000-0000-0000F7430000}"/>
    <cellStyle name="20% - Accent6 8 3 2" xfId="11950" xr:uid="{00000000-0005-0000-0000-0000F8430000}"/>
    <cellStyle name="20% - Accent6 8 3 2 2" xfId="38240" xr:uid="{00000000-0005-0000-0000-0000F9430000}"/>
    <cellStyle name="20% - Accent6 8 3 3" xfId="19051" xr:uid="{00000000-0005-0000-0000-0000FA430000}"/>
    <cellStyle name="20% - Accent6 8 3 4" xfId="26153" xr:uid="{00000000-0005-0000-0000-0000FB430000}"/>
    <cellStyle name="20% - Accent6 8 3 5" xfId="33255" xr:uid="{00000000-0005-0000-0000-0000FC430000}"/>
    <cellStyle name="20% - Accent6 8 3 6" xfId="38241" xr:uid="{00000000-0005-0000-0000-0000FD430000}"/>
    <cellStyle name="20% - Accent6 8 4" xfId="3424" xr:uid="{00000000-0005-0000-0000-0000FE430000}"/>
    <cellStyle name="20% - Accent6 8 4 2" xfId="10530" xr:uid="{00000000-0005-0000-0000-0000FF430000}"/>
    <cellStyle name="20% - Accent6 8 4 3" xfId="17631" xr:uid="{00000000-0005-0000-0000-000000440000}"/>
    <cellStyle name="20% - Accent6 8 4 4" xfId="24733" xr:uid="{00000000-0005-0000-0000-000001440000}"/>
    <cellStyle name="20% - Accent6 8 4 5" xfId="31835" xr:uid="{00000000-0005-0000-0000-000002440000}"/>
    <cellStyle name="20% - Accent6 8 4 6" xfId="38242" xr:uid="{00000000-0005-0000-0000-000003440000}"/>
    <cellStyle name="20% - Accent6 8 5" xfId="7690" xr:uid="{00000000-0005-0000-0000-000004440000}"/>
    <cellStyle name="20% - Accent6 8 6" xfId="14791" xr:uid="{00000000-0005-0000-0000-000005440000}"/>
    <cellStyle name="20% - Accent6 8 7" xfId="21893" xr:uid="{00000000-0005-0000-0000-000006440000}"/>
    <cellStyle name="20% - Accent6 8 8" xfId="28995" xr:uid="{00000000-0005-0000-0000-000007440000}"/>
    <cellStyle name="20% - Accent6 8 9" xfId="38243" xr:uid="{00000000-0005-0000-0000-000008440000}"/>
    <cellStyle name="20% - Accent6 9" xfId="724" xr:uid="{00000000-0005-0000-0000-000009440000}"/>
    <cellStyle name="20% - Accent6 9 2" xfId="2215" xr:uid="{00000000-0005-0000-0000-00000A440000}"/>
    <cellStyle name="20% - Accent6 9 2 2" xfId="6483" xr:uid="{00000000-0005-0000-0000-00000B440000}"/>
    <cellStyle name="20% - Accent6 9 2 2 2" xfId="13583" xr:uid="{00000000-0005-0000-0000-00000C440000}"/>
    <cellStyle name="20% - Accent6 9 2 2 3" xfId="20684" xr:uid="{00000000-0005-0000-0000-00000D440000}"/>
    <cellStyle name="20% - Accent6 9 2 2 4" xfId="27786" xr:uid="{00000000-0005-0000-0000-00000E440000}"/>
    <cellStyle name="20% - Accent6 9 2 2 5" xfId="34888" xr:uid="{00000000-0005-0000-0000-00000F440000}"/>
    <cellStyle name="20% - Accent6 9 2 2 6" xfId="38244" xr:uid="{00000000-0005-0000-0000-000010440000}"/>
    <cellStyle name="20% - Accent6 9 2 3" xfId="9323" xr:uid="{00000000-0005-0000-0000-000011440000}"/>
    <cellStyle name="20% - Accent6 9 2 4" xfId="16424" xr:uid="{00000000-0005-0000-0000-000012440000}"/>
    <cellStyle name="20% - Accent6 9 2 5" xfId="23526" xr:uid="{00000000-0005-0000-0000-000013440000}"/>
    <cellStyle name="20% - Accent6 9 2 6" xfId="30628" xr:uid="{00000000-0005-0000-0000-000014440000}"/>
    <cellStyle name="20% - Accent6 9 2 7" xfId="38245" xr:uid="{00000000-0005-0000-0000-000015440000}"/>
    <cellStyle name="20% - Accent6 9 3" xfId="5062" xr:uid="{00000000-0005-0000-0000-000016440000}"/>
    <cellStyle name="20% - Accent6 9 3 2" xfId="12163" xr:uid="{00000000-0005-0000-0000-000017440000}"/>
    <cellStyle name="20% - Accent6 9 3 2 2" xfId="38246" xr:uid="{00000000-0005-0000-0000-000018440000}"/>
    <cellStyle name="20% - Accent6 9 3 3" xfId="19264" xr:uid="{00000000-0005-0000-0000-000019440000}"/>
    <cellStyle name="20% - Accent6 9 3 4" xfId="26366" xr:uid="{00000000-0005-0000-0000-00001A440000}"/>
    <cellStyle name="20% - Accent6 9 3 5" xfId="33468" xr:uid="{00000000-0005-0000-0000-00001B440000}"/>
    <cellStyle name="20% - Accent6 9 3 6" xfId="38247" xr:uid="{00000000-0005-0000-0000-00001C440000}"/>
    <cellStyle name="20% - Accent6 9 4" xfId="3637" xr:uid="{00000000-0005-0000-0000-00001D440000}"/>
    <cellStyle name="20% - Accent6 9 4 2" xfId="10743" xr:uid="{00000000-0005-0000-0000-00001E440000}"/>
    <cellStyle name="20% - Accent6 9 4 3" xfId="17844" xr:uid="{00000000-0005-0000-0000-00001F440000}"/>
    <cellStyle name="20% - Accent6 9 4 4" xfId="24946" xr:uid="{00000000-0005-0000-0000-000020440000}"/>
    <cellStyle name="20% - Accent6 9 4 5" xfId="32048" xr:uid="{00000000-0005-0000-0000-000021440000}"/>
    <cellStyle name="20% - Accent6 9 4 6" xfId="38248" xr:uid="{00000000-0005-0000-0000-000022440000}"/>
    <cellStyle name="20% - Accent6 9 5" xfId="7903" xr:uid="{00000000-0005-0000-0000-000023440000}"/>
    <cellStyle name="20% - Accent6 9 6" xfId="15004" xr:uid="{00000000-0005-0000-0000-000024440000}"/>
    <cellStyle name="20% - Accent6 9 7" xfId="22106" xr:uid="{00000000-0005-0000-0000-000025440000}"/>
    <cellStyle name="20% - Accent6 9 8" xfId="29208" xr:uid="{00000000-0005-0000-0000-000026440000}"/>
    <cellStyle name="20% - Accent6 9 9" xfId="38249" xr:uid="{00000000-0005-0000-0000-000027440000}"/>
    <cellStyle name="40% - Accent1" xfId="43" builtinId="31" customBuiltin="1"/>
    <cellStyle name="40% - Accent1 10" xfId="928" xr:uid="{00000000-0005-0000-0000-000029440000}"/>
    <cellStyle name="40% - Accent1 10 2" xfId="2419" xr:uid="{00000000-0005-0000-0000-00002A440000}"/>
    <cellStyle name="40% - Accent1 10 2 2" xfId="6687" xr:uid="{00000000-0005-0000-0000-00002B440000}"/>
    <cellStyle name="40% - Accent1 10 2 2 2" xfId="13787" xr:uid="{00000000-0005-0000-0000-00002C440000}"/>
    <cellStyle name="40% - Accent1 10 2 2 3" xfId="20888" xr:uid="{00000000-0005-0000-0000-00002D440000}"/>
    <cellStyle name="40% - Accent1 10 2 2 4" xfId="27990" xr:uid="{00000000-0005-0000-0000-00002E440000}"/>
    <cellStyle name="40% - Accent1 10 2 2 5" xfId="35092" xr:uid="{00000000-0005-0000-0000-00002F440000}"/>
    <cellStyle name="40% - Accent1 10 2 3" xfId="9527" xr:uid="{00000000-0005-0000-0000-000030440000}"/>
    <cellStyle name="40% - Accent1 10 2 4" xfId="16628" xr:uid="{00000000-0005-0000-0000-000031440000}"/>
    <cellStyle name="40% - Accent1 10 2 5" xfId="23730" xr:uid="{00000000-0005-0000-0000-000032440000}"/>
    <cellStyle name="40% - Accent1 10 2 6" xfId="30832" xr:uid="{00000000-0005-0000-0000-000033440000}"/>
    <cellStyle name="40% - Accent1 10 2 7" xfId="38250" xr:uid="{00000000-0005-0000-0000-000034440000}"/>
    <cellStyle name="40% - Accent1 10 3" xfId="5266" xr:uid="{00000000-0005-0000-0000-000035440000}"/>
    <cellStyle name="40% - Accent1 10 3 2" xfId="12367" xr:uid="{00000000-0005-0000-0000-000036440000}"/>
    <cellStyle name="40% - Accent1 10 3 3" xfId="19468" xr:uid="{00000000-0005-0000-0000-000037440000}"/>
    <cellStyle name="40% - Accent1 10 3 4" xfId="26570" xr:uid="{00000000-0005-0000-0000-000038440000}"/>
    <cellStyle name="40% - Accent1 10 3 5" xfId="33672" xr:uid="{00000000-0005-0000-0000-000039440000}"/>
    <cellStyle name="40% - Accent1 10 4" xfId="3841" xr:uid="{00000000-0005-0000-0000-00003A440000}"/>
    <cellStyle name="40% - Accent1 10 4 2" xfId="10947" xr:uid="{00000000-0005-0000-0000-00003B440000}"/>
    <cellStyle name="40% - Accent1 10 4 3" xfId="18048" xr:uid="{00000000-0005-0000-0000-00003C440000}"/>
    <cellStyle name="40% - Accent1 10 4 4" xfId="25150" xr:uid="{00000000-0005-0000-0000-00003D440000}"/>
    <cellStyle name="40% - Accent1 10 4 5" xfId="32252" xr:uid="{00000000-0005-0000-0000-00003E440000}"/>
    <cellStyle name="40% - Accent1 10 5" xfId="8107" xr:uid="{00000000-0005-0000-0000-00003F440000}"/>
    <cellStyle name="40% - Accent1 10 6" xfId="15208" xr:uid="{00000000-0005-0000-0000-000040440000}"/>
    <cellStyle name="40% - Accent1 10 7" xfId="22310" xr:uid="{00000000-0005-0000-0000-000041440000}"/>
    <cellStyle name="40% - Accent1 10 8" xfId="29412" xr:uid="{00000000-0005-0000-0000-000042440000}"/>
    <cellStyle name="40% - Accent1 10 9" xfId="38251" xr:uid="{00000000-0005-0000-0000-000043440000}"/>
    <cellStyle name="40% - Accent1 11" xfId="1283" xr:uid="{00000000-0005-0000-0000-000044440000}"/>
    <cellStyle name="40% - Accent1 11 2" xfId="2774" xr:uid="{00000000-0005-0000-0000-000045440000}"/>
    <cellStyle name="40% - Accent1 11 2 2" xfId="7042" xr:uid="{00000000-0005-0000-0000-000046440000}"/>
    <cellStyle name="40% - Accent1 11 2 2 2" xfId="14142" xr:uid="{00000000-0005-0000-0000-000047440000}"/>
    <cellStyle name="40% - Accent1 11 2 2 3" xfId="21243" xr:uid="{00000000-0005-0000-0000-000048440000}"/>
    <cellStyle name="40% - Accent1 11 2 2 4" xfId="28345" xr:uid="{00000000-0005-0000-0000-000049440000}"/>
    <cellStyle name="40% - Accent1 11 2 2 5" xfId="35447" xr:uid="{00000000-0005-0000-0000-00004A440000}"/>
    <cellStyle name="40% - Accent1 11 2 3" xfId="9882" xr:uid="{00000000-0005-0000-0000-00004B440000}"/>
    <cellStyle name="40% - Accent1 11 2 4" xfId="16983" xr:uid="{00000000-0005-0000-0000-00004C440000}"/>
    <cellStyle name="40% - Accent1 11 2 5" xfId="24085" xr:uid="{00000000-0005-0000-0000-00004D440000}"/>
    <cellStyle name="40% - Accent1 11 2 6" xfId="31187" xr:uid="{00000000-0005-0000-0000-00004E440000}"/>
    <cellStyle name="40% - Accent1 11 2 7" xfId="38252" xr:uid="{00000000-0005-0000-0000-00004F440000}"/>
    <cellStyle name="40% - Accent1 11 3" xfId="5621" xr:uid="{00000000-0005-0000-0000-000050440000}"/>
    <cellStyle name="40% - Accent1 11 3 2" xfId="12722" xr:uid="{00000000-0005-0000-0000-000051440000}"/>
    <cellStyle name="40% - Accent1 11 3 3" xfId="19823" xr:uid="{00000000-0005-0000-0000-000052440000}"/>
    <cellStyle name="40% - Accent1 11 3 4" xfId="26925" xr:uid="{00000000-0005-0000-0000-000053440000}"/>
    <cellStyle name="40% - Accent1 11 3 5" xfId="34027" xr:uid="{00000000-0005-0000-0000-000054440000}"/>
    <cellStyle name="40% - Accent1 11 4" xfId="4196" xr:uid="{00000000-0005-0000-0000-000055440000}"/>
    <cellStyle name="40% - Accent1 11 4 2" xfId="11302" xr:uid="{00000000-0005-0000-0000-000056440000}"/>
    <cellStyle name="40% - Accent1 11 4 3" xfId="18403" xr:uid="{00000000-0005-0000-0000-000057440000}"/>
    <cellStyle name="40% - Accent1 11 4 4" xfId="25505" xr:uid="{00000000-0005-0000-0000-000058440000}"/>
    <cellStyle name="40% - Accent1 11 4 5" xfId="32607" xr:uid="{00000000-0005-0000-0000-000059440000}"/>
    <cellStyle name="40% - Accent1 11 5" xfId="8462" xr:uid="{00000000-0005-0000-0000-00005A440000}"/>
    <cellStyle name="40% - Accent1 11 6" xfId="15563" xr:uid="{00000000-0005-0000-0000-00005B440000}"/>
    <cellStyle name="40% - Accent1 11 7" xfId="22665" xr:uid="{00000000-0005-0000-0000-00005C440000}"/>
    <cellStyle name="40% - Accent1 11 8" xfId="29767" xr:uid="{00000000-0005-0000-0000-00005D440000}"/>
    <cellStyle name="40% - Accent1 11 9" xfId="38253" xr:uid="{00000000-0005-0000-0000-00005E440000}"/>
    <cellStyle name="40% - Accent1 12" xfId="1551" xr:uid="{00000000-0005-0000-0000-00005F440000}"/>
    <cellStyle name="40% - Accent1 12 2" xfId="5834" xr:uid="{00000000-0005-0000-0000-000060440000}"/>
    <cellStyle name="40% - Accent1 12 2 2" xfId="12935" xr:uid="{00000000-0005-0000-0000-000061440000}"/>
    <cellStyle name="40% - Accent1 12 2 3" xfId="20036" xr:uid="{00000000-0005-0000-0000-000062440000}"/>
    <cellStyle name="40% - Accent1 12 2 4" xfId="27138" xr:uid="{00000000-0005-0000-0000-000063440000}"/>
    <cellStyle name="40% - Accent1 12 2 5" xfId="34240" xr:uid="{00000000-0005-0000-0000-000064440000}"/>
    <cellStyle name="40% - Accent1 12 3" xfId="8675" xr:uid="{00000000-0005-0000-0000-000065440000}"/>
    <cellStyle name="40% - Accent1 12 4" xfId="15776" xr:uid="{00000000-0005-0000-0000-000066440000}"/>
    <cellStyle name="40% - Accent1 12 5" xfId="22878" xr:uid="{00000000-0005-0000-0000-000067440000}"/>
    <cellStyle name="40% - Accent1 12 6" xfId="29980" xr:uid="{00000000-0005-0000-0000-000068440000}"/>
    <cellStyle name="40% - Accent1 12 7" xfId="38254" xr:uid="{00000000-0005-0000-0000-000069440000}"/>
    <cellStyle name="40% - Accent1 13" xfId="4414" xr:uid="{00000000-0005-0000-0000-00006A440000}"/>
    <cellStyle name="40% - Accent1 13 2" xfId="11515" xr:uid="{00000000-0005-0000-0000-00006B440000}"/>
    <cellStyle name="40% - Accent1 13 3" xfId="18616" xr:uid="{00000000-0005-0000-0000-00006C440000}"/>
    <cellStyle name="40% - Accent1 13 4" xfId="25718" xr:uid="{00000000-0005-0000-0000-00006D440000}"/>
    <cellStyle name="40% - Accent1 13 5" xfId="32820" xr:uid="{00000000-0005-0000-0000-00006E440000}"/>
    <cellStyle name="40% - Accent1 14" xfId="2989" xr:uid="{00000000-0005-0000-0000-00006F440000}"/>
    <cellStyle name="40% - Accent1 14 2" xfId="10095" xr:uid="{00000000-0005-0000-0000-000070440000}"/>
    <cellStyle name="40% - Accent1 14 3" xfId="17196" xr:uid="{00000000-0005-0000-0000-000071440000}"/>
    <cellStyle name="40% - Accent1 14 4" xfId="24298" xr:uid="{00000000-0005-0000-0000-000072440000}"/>
    <cellStyle name="40% - Accent1 14 5" xfId="31400" xr:uid="{00000000-0005-0000-0000-000073440000}"/>
    <cellStyle name="40% - Accent1 15" xfId="7255" xr:uid="{00000000-0005-0000-0000-000074440000}"/>
    <cellStyle name="40% - Accent1 16" xfId="14356" xr:uid="{00000000-0005-0000-0000-000075440000}"/>
    <cellStyle name="40% - Accent1 17" xfId="21458" xr:uid="{00000000-0005-0000-0000-000076440000}"/>
    <cellStyle name="40% - Accent1 18" xfId="28560" xr:uid="{00000000-0005-0000-0000-000077440000}"/>
    <cellStyle name="40% - Accent1 19" xfId="35662" xr:uid="{00000000-0005-0000-0000-000078440000}"/>
    <cellStyle name="40% - Accent1 2" xfId="74" xr:uid="{00000000-0005-0000-0000-000079440000}"/>
    <cellStyle name="40% - Accent1 2 10" xfId="1575" xr:uid="{00000000-0005-0000-0000-00007A440000}"/>
    <cellStyle name="40% - Accent1 2 10 2" xfId="5849" xr:uid="{00000000-0005-0000-0000-00007B440000}"/>
    <cellStyle name="40% - Accent1 2 10 2 2" xfId="12949" xr:uid="{00000000-0005-0000-0000-00007C440000}"/>
    <cellStyle name="40% - Accent1 2 10 2 3" xfId="20050" xr:uid="{00000000-0005-0000-0000-00007D440000}"/>
    <cellStyle name="40% - Accent1 2 10 2 4" xfId="27152" xr:uid="{00000000-0005-0000-0000-00007E440000}"/>
    <cellStyle name="40% - Accent1 2 10 2 5" xfId="34254" xr:uid="{00000000-0005-0000-0000-00007F440000}"/>
    <cellStyle name="40% - Accent1 2 10 2 6" xfId="38255" xr:uid="{00000000-0005-0000-0000-000080440000}"/>
    <cellStyle name="40% - Accent1 2 10 3" xfId="8689" xr:uid="{00000000-0005-0000-0000-000081440000}"/>
    <cellStyle name="40% - Accent1 2 10 4" xfId="15790" xr:uid="{00000000-0005-0000-0000-000082440000}"/>
    <cellStyle name="40% - Accent1 2 10 5" xfId="22892" xr:uid="{00000000-0005-0000-0000-000083440000}"/>
    <cellStyle name="40% - Accent1 2 10 6" xfId="29994" xr:uid="{00000000-0005-0000-0000-000084440000}"/>
    <cellStyle name="40% - Accent1 2 10 7" xfId="38256" xr:uid="{00000000-0005-0000-0000-000085440000}"/>
    <cellStyle name="40% - Accent1 2 11" xfId="4428" xr:uid="{00000000-0005-0000-0000-000086440000}"/>
    <cellStyle name="40% - Accent1 2 11 2" xfId="11529" xr:uid="{00000000-0005-0000-0000-000087440000}"/>
    <cellStyle name="40% - Accent1 2 11 3" xfId="18630" xr:uid="{00000000-0005-0000-0000-000088440000}"/>
    <cellStyle name="40% - Accent1 2 11 4" xfId="25732" xr:uid="{00000000-0005-0000-0000-000089440000}"/>
    <cellStyle name="40% - Accent1 2 11 5" xfId="32834" xr:uid="{00000000-0005-0000-0000-00008A440000}"/>
    <cellStyle name="40% - Accent1 2 11 6" xfId="38257" xr:uid="{00000000-0005-0000-0000-00008B440000}"/>
    <cellStyle name="40% - Accent1 2 12" xfId="3003" xr:uid="{00000000-0005-0000-0000-00008C440000}"/>
    <cellStyle name="40% - Accent1 2 12 2" xfId="10109" xr:uid="{00000000-0005-0000-0000-00008D440000}"/>
    <cellStyle name="40% - Accent1 2 12 3" xfId="17210" xr:uid="{00000000-0005-0000-0000-00008E440000}"/>
    <cellStyle name="40% - Accent1 2 12 4" xfId="24312" xr:uid="{00000000-0005-0000-0000-00008F440000}"/>
    <cellStyle name="40% - Accent1 2 12 5" xfId="31414" xr:uid="{00000000-0005-0000-0000-000090440000}"/>
    <cellStyle name="40% - Accent1 2 13" xfId="7269" xr:uid="{00000000-0005-0000-0000-000091440000}"/>
    <cellStyle name="40% - Accent1 2 14" xfId="14370" xr:uid="{00000000-0005-0000-0000-000092440000}"/>
    <cellStyle name="40% - Accent1 2 15" xfId="21472" xr:uid="{00000000-0005-0000-0000-000093440000}"/>
    <cellStyle name="40% - Accent1 2 16" xfId="28574" xr:uid="{00000000-0005-0000-0000-000094440000}"/>
    <cellStyle name="40% - Accent1 2 17" xfId="35676" xr:uid="{00000000-0005-0000-0000-000095440000}"/>
    <cellStyle name="40% - Accent1 2 18" xfId="38258" xr:uid="{00000000-0005-0000-0000-000096440000}"/>
    <cellStyle name="40% - Accent1 2 19" xfId="38259" xr:uid="{00000000-0005-0000-0000-000097440000}"/>
    <cellStyle name="40% - Accent1 2 2" xfId="119" xr:uid="{00000000-0005-0000-0000-000098440000}"/>
    <cellStyle name="40% - Accent1 2 2 10" xfId="4459" xr:uid="{00000000-0005-0000-0000-000099440000}"/>
    <cellStyle name="40% - Accent1 2 2 10 2" xfId="11560" xr:uid="{00000000-0005-0000-0000-00009A440000}"/>
    <cellStyle name="40% - Accent1 2 2 10 3" xfId="18661" xr:uid="{00000000-0005-0000-0000-00009B440000}"/>
    <cellStyle name="40% - Accent1 2 2 10 4" xfId="25763" xr:uid="{00000000-0005-0000-0000-00009C440000}"/>
    <cellStyle name="40% - Accent1 2 2 10 5" xfId="32865" xr:uid="{00000000-0005-0000-0000-00009D440000}"/>
    <cellStyle name="40% - Accent1 2 2 11" xfId="3034" xr:uid="{00000000-0005-0000-0000-00009E440000}"/>
    <cellStyle name="40% - Accent1 2 2 11 2" xfId="10140" xr:uid="{00000000-0005-0000-0000-00009F440000}"/>
    <cellStyle name="40% - Accent1 2 2 11 3" xfId="17241" xr:uid="{00000000-0005-0000-0000-0000A0440000}"/>
    <cellStyle name="40% - Accent1 2 2 11 4" xfId="24343" xr:uid="{00000000-0005-0000-0000-0000A1440000}"/>
    <cellStyle name="40% - Accent1 2 2 11 5" xfId="31445" xr:uid="{00000000-0005-0000-0000-0000A2440000}"/>
    <cellStyle name="40% - Accent1 2 2 12" xfId="7300" xr:uid="{00000000-0005-0000-0000-0000A3440000}"/>
    <cellStyle name="40% - Accent1 2 2 13" xfId="14401" xr:uid="{00000000-0005-0000-0000-0000A4440000}"/>
    <cellStyle name="40% - Accent1 2 2 14" xfId="21503" xr:uid="{00000000-0005-0000-0000-0000A5440000}"/>
    <cellStyle name="40% - Accent1 2 2 15" xfId="28605" xr:uid="{00000000-0005-0000-0000-0000A6440000}"/>
    <cellStyle name="40% - Accent1 2 2 16" xfId="35707" xr:uid="{00000000-0005-0000-0000-0000A7440000}"/>
    <cellStyle name="40% - Accent1 2 2 17" xfId="38260" xr:uid="{00000000-0005-0000-0000-0000A8440000}"/>
    <cellStyle name="40% - Accent1 2 2 18" xfId="38261" xr:uid="{00000000-0005-0000-0000-0000A9440000}"/>
    <cellStyle name="40% - Accent1 2 2 2" xfId="263" xr:uid="{00000000-0005-0000-0000-0000AA440000}"/>
    <cellStyle name="40% - Accent1 2 2 2 10" xfId="7442" xr:uid="{00000000-0005-0000-0000-0000AB440000}"/>
    <cellStyle name="40% - Accent1 2 2 2 11" xfId="14543" xr:uid="{00000000-0005-0000-0000-0000AC440000}"/>
    <cellStyle name="40% - Accent1 2 2 2 12" xfId="21645" xr:uid="{00000000-0005-0000-0000-0000AD440000}"/>
    <cellStyle name="40% - Accent1 2 2 2 13" xfId="28747" xr:uid="{00000000-0005-0000-0000-0000AE440000}"/>
    <cellStyle name="40% - Accent1 2 2 2 14" xfId="35849" xr:uid="{00000000-0005-0000-0000-0000AF440000}"/>
    <cellStyle name="40% - Accent1 2 2 2 15" xfId="38262" xr:uid="{00000000-0005-0000-0000-0000B0440000}"/>
    <cellStyle name="40% - Accent1 2 2 2 2" xfId="476" xr:uid="{00000000-0005-0000-0000-0000B1440000}"/>
    <cellStyle name="40% - Accent1 2 2 2 2 10" xfId="38263" xr:uid="{00000000-0005-0000-0000-0000B2440000}"/>
    <cellStyle name="40% - Accent1 2 2 2 2 2" xfId="1257" xr:uid="{00000000-0005-0000-0000-0000B3440000}"/>
    <cellStyle name="40% - Accent1 2 2 2 2 2 2" xfId="2748" xr:uid="{00000000-0005-0000-0000-0000B4440000}"/>
    <cellStyle name="40% - Accent1 2 2 2 2 2 2 2" xfId="7016" xr:uid="{00000000-0005-0000-0000-0000B5440000}"/>
    <cellStyle name="40% - Accent1 2 2 2 2 2 2 2 2" xfId="14116" xr:uid="{00000000-0005-0000-0000-0000B6440000}"/>
    <cellStyle name="40% - Accent1 2 2 2 2 2 2 2 3" xfId="21217" xr:uid="{00000000-0005-0000-0000-0000B7440000}"/>
    <cellStyle name="40% - Accent1 2 2 2 2 2 2 2 4" xfId="28319" xr:uid="{00000000-0005-0000-0000-0000B8440000}"/>
    <cellStyle name="40% - Accent1 2 2 2 2 2 2 2 5" xfId="35421" xr:uid="{00000000-0005-0000-0000-0000B9440000}"/>
    <cellStyle name="40% - Accent1 2 2 2 2 2 2 3" xfId="9856" xr:uid="{00000000-0005-0000-0000-0000BA440000}"/>
    <cellStyle name="40% - Accent1 2 2 2 2 2 2 4" xfId="16957" xr:uid="{00000000-0005-0000-0000-0000BB440000}"/>
    <cellStyle name="40% - Accent1 2 2 2 2 2 2 5" xfId="24059" xr:uid="{00000000-0005-0000-0000-0000BC440000}"/>
    <cellStyle name="40% - Accent1 2 2 2 2 2 2 6" xfId="31161" xr:uid="{00000000-0005-0000-0000-0000BD440000}"/>
    <cellStyle name="40% - Accent1 2 2 2 2 2 2 7" xfId="38264" xr:uid="{00000000-0005-0000-0000-0000BE440000}"/>
    <cellStyle name="40% - Accent1 2 2 2 2 2 3" xfId="5595" xr:uid="{00000000-0005-0000-0000-0000BF440000}"/>
    <cellStyle name="40% - Accent1 2 2 2 2 2 3 2" xfId="12696" xr:uid="{00000000-0005-0000-0000-0000C0440000}"/>
    <cellStyle name="40% - Accent1 2 2 2 2 2 3 3" xfId="19797" xr:uid="{00000000-0005-0000-0000-0000C1440000}"/>
    <cellStyle name="40% - Accent1 2 2 2 2 2 3 4" xfId="26899" xr:uid="{00000000-0005-0000-0000-0000C2440000}"/>
    <cellStyle name="40% - Accent1 2 2 2 2 2 3 5" xfId="34001" xr:uid="{00000000-0005-0000-0000-0000C3440000}"/>
    <cellStyle name="40% - Accent1 2 2 2 2 2 4" xfId="4170" xr:uid="{00000000-0005-0000-0000-0000C4440000}"/>
    <cellStyle name="40% - Accent1 2 2 2 2 2 4 2" xfId="11276" xr:uid="{00000000-0005-0000-0000-0000C5440000}"/>
    <cellStyle name="40% - Accent1 2 2 2 2 2 4 3" xfId="18377" xr:uid="{00000000-0005-0000-0000-0000C6440000}"/>
    <cellStyle name="40% - Accent1 2 2 2 2 2 4 4" xfId="25479" xr:uid="{00000000-0005-0000-0000-0000C7440000}"/>
    <cellStyle name="40% - Accent1 2 2 2 2 2 4 5" xfId="32581" xr:uid="{00000000-0005-0000-0000-0000C8440000}"/>
    <cellStyle name="40% - Accent1 2 2 2 2 2 5" xfId="8436" xr:uid="{00000000-0005-0000-0000-0000C9440000}"/>
    <cellStyle name="40% - Accent1 2 2 2 2 2 6" xfId="15537" xr:uid="{00000000-0005-0000-0000-0000CA440000}"/>
    <cellStyle name="40% - Accent1 2 2 2 2 2 7" xfId="22639" xr:uid="{00000000-0005-0000-0000-0000CB440000}"/>
    <cellStyle name="40% - Accent1 2 2 2 2 2 8" xfId="29741" xr:uid="{00000000-0005-0000-0000-0000CC440000}"/>
    <cellStyle name="40% - Accent1 2 2 2 2 2 9" xfId="38265" xr:uid="{00000000-0005-0000-0000-0000CD440000}"/>
    <cellStyle name="40% - Accent1 2 2 2 2 3" xfId="1967" xr:uid="{00000000-0005-0000-0000-0000CE440000}"/>
    <cellStyle name="40% - Accent1 2 2 2 2 3 2" xfId="6235" xr:uid="{00000000-0005-0000-0000-0000CF440000}"/>
    <cellStyle name="40% - Accent1 2 2 2 2 3 2 2" xfId="13335" xr:uid="{00000000-0005-0000-0000-0000D0440000}"/>
    <cellStyle name="40% - Accent1 2 2 2 2 3 2 3" xfId="20436" xr:uid="{00000000-0005-0000-0000-0000D1440000}"/>
    <cellStyle name="40% - Accent1 2 2 2 2 3 2 4" xfId="27538" xr:uid="{00000000-0005-0000-0000-0000D2440000}"/>
    <cellStyle name="40% - Accent1 2 2 2 2 3 2 5" xfId="34640" xr:uid="{00000000-0005-0000-0000-0000D3440000}"/>
    <cellStyle name="40% - Accent1 2 2 2 2 3 2 6" xfId="38266" xr:uid="{00000000-0005-0000-0000-0000D4440000}"/>
    <cellStyle name="40% - Accent1 2 2 2 2 3 3" xfId="9075" xr:uid="{00000000-0005-0000-0000-0000D5440000}"/>
    <cellStyle name="40% - Accent1 2 2 2 2 3 4" xfId="16176" xr:uid="{00000000-0005-0000-0000-0000D6440000}"/>
    <cellStyle name="40% - Accent1 2 2 2 2 3 5" xfId="23278" xr:uid="{00000000-0005-0000-0000-0000D7440000}"/>
    <cellStyle name="40% - Accent1 2 2 2 2 3 6" xfId="30380" xr:uid="{00000000-0005-0000-0000-0000D8440000}"/>
    <cellStyle name="40% - Accent1 2 2 2 2 3 7" xfId="38267" xr:uid="{00000000-0005-0000-0000-0000D9440000}"/>
    <cellStyle name="40% - Accent1 2 2 2 2 4" xfId="4814" xr:uid="{00000000-0005-0000-0000-0000DA440000}"/>
    <cellStyle name="40% - Accent1 2 2 2 2 4 2" xfId="11915" xr:uid="{00000000-0005-0000-0000-0000DB440000}"/>
    <cellStyle name="40% - Accent1 2 2 2 2 4 3" xfId="19016" xr:uid="{00000000-0005-0000-0000-0000DC440000}"/>
    <cellStyle name="40% - Accent1 2 2 2 2 4 4" xfId="26118" xr:uid="{00000000-0005-0000-0000-0000DD440000}"/>
    <cellStyle name="40% - Accent1 2 2 2 2 4 5" xfId="33220" xr:uid="{00000000-0005-0000-0000-0000DE440000}"/>
    <cellStyle name="40% - Accent1 2 2 2 2 4 6" xfId="38268" xr:uid="{00000000-0005-0000-0000-0000DF440000}"/>
    <cellStyle name="40% - Accent1 2 2 2 2 5" xfId="3389" xr:uid="{00000000-0005-0000-0000-0000E0440000}"/>
    <cellStyle name="40% - Accent1 2 2 2 2 5 2" xfId="10495" xr:uid="{00000000-0005-0000-0000-0000E1440000}"/>
    <cellStyle name="40% - Accent1 2 2 2 2 5 3" xfId="17596" xr:uid="{00000000-0005-0000-0000-0000E2440000}"/>
    <cellStyle name="40% - Accent1 2 2 2 2 5 4" xfId="24698" xr:uid="{00000000-0005-0000-0000-0000E3440000}"/>
    <cellStyle name="40% - Accent1 2 2 2 2 5 5" xfId="31800" xr:uid="{00000000-0005-0000-0000-0000E4440000}"/>
    <cellStyle name="40% - Accent1 2 2 2 2 6" xfId="7655" xr:uid="{00000000-0005-0000-0000-0000E5440000}"/>
    <cellStyle name="40% - Accent1 2 2 2 2 7" xfId="14756" xr:uid="{00000000-0005-0000-0000-0000E6440000}"/>
    <cellStyle name="40% - Accent1 2 2 2 2 8" xfId="21858" xr:uid="{00000000-0005-0000-0000-0000E7440000}"/>
    <cellStyle name="40% - Accent1 2 2 2 2 9" xfId="28960" xr:uid="{00000000-0005-0000-0000-0000E8440000}"/>
    <cellStyle name="40% - Accent1 2 2 2 3" xfId="689" xr:uid="{00000000-0005-0000-0000-0000E9440000}"/>
    <cellStyle name="40% - Accent1 2 2 2 3 2" xfId="2180" xr:uid="{00000000-0005-0000-0000-0000EA440000}"/>
    <cellStyle name="40% - Accent1 2 2 2 3 2 2" xfId="6448" xr:uid="{00000000-0005-0000-0000-0000EB440000}"/>
    <cellStyle name="40% - Accent1 2 2 2 3 2 2 2" xfId="13548" xr:uid="{00000000-0005-0000-0000-0000EC440000}"/>
    <cellStyle name="40% - Accent1 2 2 2 3 2 2 3" xfId="20649" xr:uid="{00000000-0005-0000-0000-0000ED440000}"/>
    <cellStyle name="40% - Accent1 2 2 2 3 2 2 4" xfId="27751" xr:uid="{00000000-0005-0000-0000-0000EE440000}"/>
    <cellStyle name="40% - Accent1 2 2 2 3 2 2 5" xfId="34853" xr:uid="{00000000-0005-0000-0000-0000EF440000}"/>
    <cellStyle name="40% - Accent1 2 2 2 3 2 2 6" xfId="38269" xr:uid="{00000000-0005-0000-0000-0000F0440000}"/>
    <cellStyle name="40% - Accent1 2 2 2 3 2 3" xfId="9288" xr:uid="{00000000-0005-0000-0000-0000F1440000}"/>
    <cellStyle name="40% - Accent1 2 2 2 3 2 4" xfId="16389" xr:uid="{00000000-0005-0000-0000-0000F2440000}"/>
    <cellStyle name="40% - Accent1 2 2 2 3 2 5" xfId="23491" xr:uid="{00000000-0005-0000-0000-0000F3440000}"/>
    <cellStyle name="40% - Accent1 2 2 2 3 2 6" xfId="30593" xr:uid="{00000000-0005-0000-0000-0000F4440000}"/>
    <cellStyle name="40% - Accent1 2 2 2 3 2 7" xfId="38270" xr:uid="{00000000-0005-0000-0000-0000F5440000}"/>
    <cellStyle name="40% - Accent1 2 2 2 3 3" xfId="5027" xr:uid="{00000000-0005-0000-0000-0000F6440000}"/>
    <cellStyle name="40% - Accent1 2 2 2 3 3 2" xfId="12128" xr:uid="{00000000-0005-0000-0000-0000F7440000}"/>
    <cellStyle name="40% - Accent1 2 2 2 3 3 2 2" xfId="38271" xr:uid="{00000000-0005-0000-0000-0000F8440000}"/>
    <cellStyle name="40% - Accent1 2 2 2 3 3 3" xfId="19229" xr:uid="{00000000-0005-0000-0000-0000F9440000}"/>
    <cellStyle name="40% - Accent1 2 2 2 3 3 4" xfId="26331" xr:uid="{00000000-0005-0000-0000-0000FA440000}"/>
    <cellStyle name="40% - Accent1 2 2 2 3 3 5" xfId="33433" xr:uid="{00000000-0005-0000-0000-0000FB440000}"/>
    <cellStyle name="40% - Accent1 2 2 2 3 3 6" xfId="38272" xr:uid="{00000000-0005-0000-0000-0000FC440000}"/>
    <cellStyle name="40% - Accent1 2 2 2 3 4" xfId="3602" xr:uid="{00000000-0005-0000-0000-0000FD440000}"/>
    <cellStyle name="40% - Accent1 2 2 2 3 4 2" xfId="10708" xr:uid="{00000000-0005-0000-0000-0000FE440000}"/>
    <cellStyle name="40% - Accent1 2 2 2 3 4 3" xfId="17809" xr:uid="{00000000-0005-0000-0000-0000FF440000}"/>
    <cellStyle name="40% - Accent1 2 2 2 3 4 4" xfId="24911" xr:uid="{00000000-0005-0000-0000-000000450000}"/>
    <cellStyle name="40% - Accent1 2 2 2 3 4 5" xfId="32013" xr:uid="{00000000-0005-0000-0000-000001450000}"/>
    <cellStyle name="40% - Accent1 2 2 2 3 4 6" xfId="38273" xr:uid="{00000000-0005-0000-0000-000002450000}"/>
    <cellStyle name="40% - Accent1 2 2 2 3 5" xfId="7868" xr:uid="{00000000-0005-0000-0000-000003450000}"/>
    <cellStyle name="40% - Accent1 2 2 2 3 6" xfId="14969" xr:uid="{00000000-0005-0000-0000-000004450000}"/>
    <cellStyle name="40% - Accent1 2 2 2 3 7" xfId="22071" xr:uid="{00000000-0005-0000-0000-000005450000}"/>
    <cellStyle name="40% - Accent1 2 2 2 3 8" xfId="29173" xr:uid="{00000000-0005-0000-0000-000006450000}"/>
    <cellStyle name="40% - Accent1 2 2 2 3 9" xfId="38274" xr:uid="{00000000-0005-0000-0000-000007450000}"/>
    <cellStyle name="40% - Accent1 2 2 2 4" xfId="902" xr:uid="{00000000-0005-0000-0000-000008450000}"/>
    <cellStyle name="40% - Accent1 2 2 2 4 2" xfId="2393" xr:uid="{00000000-0005-0000-0000-000009450000}"/>
    <cellStyle name="40% - Accent1 2 2 2 4 2 2" xfId="6661" xr:uid="{00000000-0005-0000-0000-00000A450000}"/>
    <cellStyle name="40% - Accent1 2 2 2 4 2 2 2" xfId="13761" xr:uid="{00000000-0005-0000-0000-00000B450000}"/>
    <cellStyle name="40% - Accent1 2 2 2 4 2 2 3" xfId="20862" xr:uid="{00000000-0005-0000-0000-00000C450000}"/>
    <cellStyle name="40% - Accent1 2 2 2 4 2 2 4" xfId="27964" xr:uid="{00000000-0005-0000-0000-00000D450000}"/>
    <cellStyle name="40% - Accent1 2 2 2 4 2 2 5" xfId="35066" xr:uid="{00000000-0005-0000-0000-00000E450000}"/>
    <cellStyle name="40% - Accent1 2 2 2 4 2 2 6" xfId="38275" xr:uid="{00000000-0005-0000-0000-00000F450000}"/>
    <cellStyle name="40% - Accent1 2 2 2 4 2 3" xfId="9501" xr:uid="{00000000-0005-0000-0000-000010450000}"/>
    <cellStyle name="40% - Accent1 2 2 2 4 2 4" xfId="16602" xr:uid="{00000000-0005-0000-0000-000011450000}"/>
    <cellStyle name="40% - Accent1 2 2 2 4 2 5" xfId="23704" xr:uid="{00000000-0005-0000-0000-000012450000}"/>
    <cellStyle name="40% - Accent1 2 2 2 4 2 6" xfId="30806" xr:uid="{00000000-0005-0000-0000-000013450000}"/>
    <cellStyle name="40% - Accent1 2 2 2 4 2 7" xfId="38276" xr:uid="{00000000-0005-0000-0000-000014450000}"/>
    <cellStyle name="40% - Accent1 2 2 2 4 3" xfId="5240" xr:uid="{00000000-0005-0000-0000-000015450000}"/>
    <cellStyle name="40% - Accent1 2 2 2 4 3 2" xfId="12341" xr:uid="{00000000-0005-0000-0000-000016450000}"/>
    <cellStyle name="40% - Accent1 2 2 2 4 3 2 2" xfId="38277" xr:uid="{00000000-0005-0000-0000-000017450000}"/>
    <cellStyle name="40% - Accent1 2 2 2 4 3 3" xfId="19442" xr:uid="{00000000-0005-0000-0000-000018450000}"/>
    <cellStyle name="40% - Accent1 2 2 2 4 3 4" xfId="26544" xr:uid="{00000000-0005-0000-0000-000019450000}"/>
    <cellStyle name="40% - Accent1 2 2 2 4 3 5" xfId="33646" xr:uid="{00000000-0005-0000-0000-00001A450000}"/>
    <cellStyle name="40% - Accent1 2 2 2 4 3 6" xfId="38278" xr:uid="{00000000-0005-0000-0000-00001B450000}"/>
    <cellStyle name="40% - Accent1 2 2 2 4 4" xfId="3815" xr:uid="{00000000-0005-0000-0000-00001C450000}"/>
    <cellStyle name="40% - Accent1 2 2 2 4 4 2" xfId="10921" xr:uid="{00000000-0005-0000-0000-00001D450000}"/>
    <cellStyle name="40% - Accent1 2 2 2 4 4 3" xfId="18022" xr:uid="{00000000-0005-0000-0000-00001E450000}"/>
    <cellStyle name="40% - Accent1 2 2 2 4 4 4" xfId="25124" xr:uid="{00000000-0005-0000-0000-00001F450000}"/>
    <cellStyle name="40% - Accent1 2 2 2 4 4 5" xfId="32226" xr:uid="{00000000-0005-0000-0000-000020450000}"/>
    <cellStyle name="40% - Accent1 2 2 2 4 4 6" xfId="38279" xr:uid="{00000000-0005-0000-0000-000021450000}"/>
    <cellStyle name="40% - Accent1 2 2 2 4 5" xfId="8081" xr:uid="{00000000-0005-0000-0000-000022450000}"/>
    <cellStyle name="40% - Accent1 2 2 2 4 6" xfId="15182" xr:uid="{00000000-0005-0000-0000-000023450000}"/>
    <cellStyle name="40% - Accent1 2 2 2 4 7" xfId="22284" xr:uid="{00000000-0005-0000-0000-000024450000}"/>
    <cellStyle name="40% - Accent1 2 2 2 4 8" xfId="29386" xr:uid="{00000000-0005-0000-0000-000025450000}"/>
    <cellStyle name="40% - Accent1 2 2 2 4 9" xfId="38280" xr:uid="{00000000-0005-0000-0000-000026450000}"/>
    <cellStyle name="40% - Accent1 2 2 2 5" xfId="1044" xr:uid="{00000000-0005-0000-0000-000027450000}"/>
    <cellStyle name="40% - Accent1 2 2 2 5 2" xfId="2535" xr:uid="{00000000-0005-0000-0000-000028450000}"/>
    <cellStyle name="40% - Accent1 2 2 2 5 2 2" xfId="6803" xr:uid="{00000000-0005-0000-0000-000029450000}"/>
    <cellStyle name="40% - Accent1 2 2 2 5 2 2 2" xfId="13903" xr:uid="{00000000-0005-0000-0000-00002A450000}"/>
    <cellStyle name="40% - Accent1 2 2 2 5 2 2 3" xfId="21004" xr:uid="{00000000-0005-0000-0000-00002B450000}"/>
    <cellStyle name="40% - Accent1 2 2 2 5 2 2 4" xfId="28106" xr:uid="{00000000-0005-0000-0000-00002C450000}"/>
    <cellStyle name="40% - Accent1 2 2 2 5 2 2 5" xfId="35208" xr:uid="{00000000-0005-0000-0000-00002D450000}"/>
    <cellStyle name="40% - Accent1 2 2 2 5 2 3" xfId="9643" xr:uid="{00000000-0005-0000-0000-00002E450000}"/>
    <cellStyle name="40% - Accent1 2 2 2 5 2 4" xfId="16744" xr:uid="{00000000-0005-0000-0000-00002F450000}"/>
    <cellStyle name="40% - Accent1 2 2 2 5 2 5" xfId="23846" xr:uid="{00000000-0005-0000-0000-000030450000}"/>
    <cellStyle name="40% - Accent1 2 2 2 5 2 6" xfId="30948" xr:uid="{00000000-0005-0000-0000-000031450000}"/>
    <cellStyle name="40% - Accent1 2 2 2 5 2 7" xfId="38281" xr:uid="{00000000-0005-0000-0000-000032450000}"/>
    <cellStyle name="40% - Accent1 2 2 2 5 3" xfId="5382" xr:uid="{00000000-0005-0000-0000-000033450000}"/>
    <cellStyle name="40% - Accent1 2 2 2 5 3 2" xfId="12483" xr:uid="{00000000-0005-0000-0000-000034450000}"/>
    <cellStyle name="40% - Accent1 2 2 2 5 3 3" xfId="19584" xr:uid="{00000000-0005-0000-0000-000035450000}"/>
    <cellStyle name="40% - Accent1 2 2 2 5 3 4" xfId="26686" xr:uid="{00000000-0005-0000-0000-000036450000}"/>
    <cellStyle name="40% - Accent1 2 2 2 5 3 5" xfId="33788" xr:uid="{00000000-0005-0000-0000-000037450000}"/>
    <cellStyle name="40% - Accent1 2 2 2 5 4" xfId="3957" xr:uid="{00000000-0005-0000-0000-000038450000}"/>
    <cellStyle name="40% - Accent1 2 2 2 5 4 2" xfId="11063" xr:uid="{00000000-0005-0000-0000-000039450000}"/>
    <cellStyle name="40% - Accent1 2 2 2 5 4 3" xfId="18164" xr:uid="{00000000-0005-0000-0000-00003A450000}"/>
    <cellStyle name="40% - Accent1 2 2 2 5 4 4" xfId="25266" xr:uid="{00000000-0005-0000-0000-00003B450000}"/>
    <cellStyle name="40% - Accent1 2 2 2 5 4 5" xfId="32368" xr:uid="{00000000-0005-0000-0000-00003C450000}"/>
    <cellStyle name="40% - Accent1 2 2 2 5 5" xfId="8223" xr:uid="{00000000-0005-0000-0000-00003D450000}"/>
    <cellStyle name="40% - Accent1 2 2 2 5 6" xfId="15324" xr:uid="{00000000-0005-0000-0000-00003E450000}"/>
    <cellStyle name="40% - Accent1 2 2 2 5 7" xfId="22426" xr:uid="{00000000-0005-0000-0000-00003F450000}"/>
    <cellStyle name="40% - Accent1 2 2 2 5 8" xfId="29528" xr:uid="{00000000-0005-0000-0000-000040450000}"/>
    <cellStyle name="40% - Accent1 2 2 2 5 9" xfId="38282" xr:uid="{00000000-0005-0000-0000-000041450000}"/>
    <cellStyle name="40% - Accent1 2 2 2 6" xfId="1470" xr:uid="{00000000-0005-0000-0000-000042450000}"/>
    <cellStyle name="40% - Accent1 2 2 2 6 2" xfId="2961" xr:uid="{00000000-0005-0000-0000-000043450000}"/>
    <cellStyle name="40% - Accent1 2 2 2 6 2 2" xfId="7229" xr:uid="{00000000-0005-0000-0000-000044450000}"/>
    <cellStyle name="40% - Accent1 2 2 2 6 2 2 2" xfId="14329" xr:uid="{00000000-0005-0000-0000-000045450000}"/>
    <cellStyle name="40% - Accent1 2 2 2 6 2 2 3" xfId="21430" xr:uid="{00000000-0005-0000-0000-000046450000}"/>
    <cellStyle name="40% - Accent1 2 2 2 6 2 2 4" xfId="28532" xr:uid="{00000000-0005-0000-0000-000047450000}"/>
    <cellStyle name="40% - Accent1 2 2 2 6 2 2 5" xfId="35634" xr:uid="{00000000-0005-0000-0000-000048450000}"/>
    <cellStyle name="40% - Accent1 2 2 2 6 2 3" xfId="10069" xr:uid="{00000000-0005-0000-0000-000049450000}"/>
    <cellStyle name="40% - Accent1 2 2 2 6 2 4" xfId="17170" xr:uid="{00000000-0005-0000-0000-00004A450000}"/>
    <cellStyle name="40% - Accent1 2 2 2 6 2 5" xfId="24272" xr:uid="{00000000-0005-0000-0000-00004B450000}"/>
    <cellStyle name="40% - Accent1 2 2 2 6 2 6" xfId="31374" xr:uid="{00000000-0005-0000-0000-00004C450000}"/>
    <cellStyle name="40% - Accent1 2 2 2 6 2 7" xfId="38283" xr:uid="{00000000-0005-0000-0000-00004D450000}"/>
    <cellStyle name="40% - Accent1 2 2 2 6 3" xfId="5808" xr:uid="{00000000-0005-0000-0000-00004E450000}"/>
    <cellStyle name="40% - Accent1 2 2 2 6 3 2" xfId="12909" xr:uid="{00000000-0005-0000-0000-00004F450000}"/>
    <cellStyle name="40% - Accent1 2 2 2 6 3 3" xfId="20010" xr:uid="{00000000-0005-0000-0000-000050450000}"/>
    <cellStyle name="40% - Accent1 2 2 2 6 3 4" xfId="27112" xr:uid="{00000000-0005-0000-0000-000051450000}"/>
    <cellStyle name="40% - Accent1 2 2 2 6 3 5" xfId="34214" xr:uid="{00000000-0005-0000-0000-000052450000}"/>
    <cellStyle name="40% - Accent1 2 2 2 6 4" xfId="4383" xr:uid="{00000000-0005-0000-0000-000053450000}"/>
    <cellStyle name="40% - Accent1 2 2 2 6 4 2" xfId="11489" xr:uid="{00000000-0005-0000-0000-000054450000}"/>
    <cellStyle name="40% - Accent1 2 2 2 6 4 3" xfId="18590" xr:uid="{00000000-0005-0000-0000-000055450000}"/>
    <cellStyle name="40% - Accent1 2 2 2 6 4 4" xfId="25692" xr:uid="{00000000-0005-0000-0000-000056450000}"/>
    <cellStyle name="40% - Accent1 2 2 2 6 4 5" xfId="32794" xr:uid="{00000000-0005-0000-0000-000057450000}"/>
    <cellStyle name="40% - Accent1 2 2 2 6 5" xfId="8649" xr:uid="{00000000-0005-0000-0000-000058450000}"/>
    <cellStyle name="40% - Accent1 2 2 2 6 6" xfId="15750" xr:uid="{00000000-0005-0000-0000-000059450000}"/>
    <cellStyle name="40% - Accent1 2 2 2 6 7" xfId="22852" xr:uid="{00000000-0005-0000-0000-00005A450000}"/>
    <cellStyle name="40% - Accent1 2 2 2 6 8" xfId="29954" xr:uid="{00000000-0005-0000-0000-00005B450000}"/>
    <cellStyle name="40% - Accent1 2 2 2 6 9" xfId="38284" xr:uid="{00000000-0005-0000-0000-00005C450000}"/>
    <cellStyle name="40% - Accent1 2 2 2 7" xfId="1754" xr:uid="{00000000-0005-0000-0000-00005D450000}"/>
    <cellStyle name="40% - Accent1 2 2 2 7 2" xfId="6022" xr:uid="{00000000-0005-0000-0000-00005E450000}"/>
    <cellStyle name="40% - Accent1 2 2 2 7 2 2" xfId="13122" xr:uid="{00000000-0005-0000-0000-00005F450000}"/>
    <cellStyle name="40% - Accent1 2 2 2 7 2 3" xfId="20223" xr:uid="{00000000-0005-0000-0000-000060450000}"/>
    <cellStyle name="40% - Accent1 2 2 2 7 2 4" xfId="27325" xr:uid="{00000000-0005-0000-0000-000061450000}"/>
    <cellStyle name="40% - Accent1 2 2 2 7 2 5" xfId="34427" xr:uid="{00000000-0005-0000-0000-000062450000}"/>
    <cellStyle name="40% - Accent1 2 2 2 7 3" xfId="8862" xr:uid="{00000000-0005-0000-0000-000063450000}"/>
    <cellStyle name="40% - Accent1 2 2 2 7 4" xfId="15963" xr:uid="{00000000-0005-0000-0000-000064450000}"/>
    <cellStyle name="40% - Accent1 2 2 2 7 5" xfId="23065" xr:uid="{00000000-0005-0000-0000-000065450000}"/>
    <cellStyle name="40% - Accent1 2 2 2 7 6" xfId="30167" xr:uid="{00000000-0005-0000-0000-000066450000}"/>
    <cellStyle name="40% - Accent1 2 2 2 7 7" xfId="38285" xr:uid="{00000000-0005-0000-0000-000067450000}"/>
    <cellStyle name="40% - Accent1 2 2 2 8" xfId="4601" xr:uid="{00000000-0005-0000-0000-000068450000}"/>
    <cellStyle name="40% - Accent1 2 2 2 8 2" xfId="11702" xr:uid="{00000000-0005-0000-0000-000069450000}"/>
    <cellStyle name="40% - Accent1 2 2 2 8 3" xfId="18803" xr:uid="{00000000-0005-0000-0000-00006A450000}"/>
    <cellStyle name="40% - Accent1 2 2 2 8 4" xfId="25905" xr:uid="{00000000-0005-0000-0000-00006B450000}"/>
    <cellStyle name="40% - Accent1 2 2 2 8 5" xfId="33007" xr:uid="{00000000-0005-0000-0000-00006C450000}"/>
    <cellStyle name="40% - Accent1 2 2 2 9" xfId="3176" xr:uid="{00000000-0005-0000-0000-00006D450000}"/>
    <cellStyle name="40% - Accent1 2 2 2 9 2" xfId="10282" xr:uid="{00000000-0005-0000-0000-00006E450000}"/>
    <cellStyle name="40% - Accent1 2 2 2 9 3" xfId="17383" xr:uid="{00000000-0005-0000-0000-00006F450000}"/>
    <cellStyle name="40% - Accent1 2 2 2 9 4" xfId="24485" xr:uid="{00000000-0005-0000-0000-000070450000}"/>
    <cellStyle name="40% - Accent1 2 2 2 9 5" xfId="31587" xr:uid="{00000000-0005-0000-0000-000071450000}"/>
    <cellStyle name="40% - Accent1 2 2 3" xfId="192" xr:uid="{00000000-0005-0000-0000-000072450000}"/>
    <cellStyle name="40% - Accent1 2 2 3 10" xfId="7371" xr:uid="{00000000-0005-0000-0000-000073450000}"/>
    <cellStyle name="40% - Accent1 2 2 3 11" xfId="14472" xr:uid="{00000000-0005-0000-0000-000074450000}"/>
    <cellStyle name="40% - Accent1 2 2 3 12" xfId="21574" xr:uid="{00000000-0005-0000-0000-000075450000}"/>
    <cellStyle name="40% - Accent1 2 2 3 13" xfId="28676" xr:uid="{00000000-0005-0000-0000-000076450000}"/>
    <cellStyle name="40% - Accent1 2 2 3 14" xfId="35778" xr:uid="{00000000-0005-0000-0000-000077450000}"/>
    <cellStyle name="40% - Accent1 2 2 3 15" xfId="38286" xr:uid="{00000000-0005-0000-0000-000078450000}"/>
    <cellStyle name="40% - Accent1 2 2 3 2" xfId="405" xr:uid="{00000000-0005-0000-0000-000079450000}"/>
    <cellStyle name="40% - Accent1 2 2 3 2 2" xfId="1896" xr:uid="{00000000-0005-0000-0000-00007A450000}"/>
    <cellStyle name="40% - Accent1 2 2 3 2 2 2" xfId="6164" xr:uid="{00000000-0005-0000-0000-00007B450000}"/>
    <cellStyle name="40% - Accent1 2 2 3 2 2 2 2" xfId="13264" xr:uid="{00000000-0005-0000-0000-00007C450000}"/>
    <cellStyle name="40% - Accent1 2 2 3 2 2 2 3" xfId="20365" xr:uid="{00000000-0005-0000-0000-00007D450000}"/>
    <cellStyle name="40% - Accent1 2 2 3 2 2 2 4" xfId="27467" xr:uid="{00000000-0005-0000-0000-00007E450000}"/>
    <cellStyle name="40% - Accent1 2 2 3 2 2 2 5" xfId="34569" xr:uid="{00000000-0005-0000-0000-00007F450000}"/>
    <cellStyle name="40% - Accent1 2 2 3 2 2 2 6" xfId="38287" xr:uid="{00000000-0005-0000-0000-000080450000}"/>
    <cellStyle name="40% - Accent1 2 2 3 2 2 3" xfId="9004" xr:uid="{00000000-0005-0000-0000-000081450000}"/>
    <cellStyle name="40% - Accent1 2 2 3 2 2 4" xfId="16105" xr:uid="{00000000-0005-0000-0000-000082450000}"/>
    <cellStyle name="40% - Accent1 2 2 3 2 2 5" xfId="23207" xr:uid="{00000000-0005-0000-0000-000083450000}"/>
    <cellStyle name="40% - Accent1 2 2 3 2 2 6" xfId="30309" xr:uid="{00000000-0005-0000-0000-000084450000}"/>
    <cellStyle name="40% - Accent1 2 2 3 2 2 7" xfId="38288" xr:uid="{00000000-0005-0000-0000-000085450000}"/>
    <cellStyle name="40% - Accent1 2 2 3 2 3" xfId="4743" xr:uid="{00000000-0005-0000-0000-000086450000}"/>
    <cellStyle name="40% - Accent1 2 2 3 2 3 2" xfId="11844" xr:uid="{00000000-0005-0000-0000-000087450000}"/>
    <cellStyle name="40% - Accent1 2 2 3 2 3 2 2" xfId="38289" xr:uid="{00000000-0005-0000-0000-000088450000}"/>
    <cellStyle name="40% - Accent1 2 2 3 2 3 3" xfId="18945" xr:uid="{00000000-0005-0000-0000-000089450000}"/>
    <cellStyle name="40% - Accent1 2 2 3 2 3 4" xfId="26047" xr:uid="{00000000-0005-0000-0000-00008A450000}"/>
    <cellStyle name="40% - Accent1 2 2 3 2 3 5" xfId="33149" xr:uid="{00000000-0005-0000-0000-00008B450000}"/>
    <cellStyle name="40% - Accent1 2 2 3 2 3 6" xfId="38290" xr:uid="{00000000-0005-0000-0000-00008C450000}"/>
    <cellStyle name="40% - Accent1 2 2 3 2 4" xfId="3318" xr:uid="{00000000-0005-0000-0000-00008D450000}"/>
    <cellStyle name="40% - Accent1 2 2 3 2 4 2" xfId="10424" xr:uid="{00000000-0005-0000-0000-00008E450000}"/>
    <cellStyle name="40% - Accent1 2 2 3 2 4 3" xfId="17525" xr:uid="{00000000-0005-0000-0000-00008F450000}"/>
    <cellStyle name="40% - Accent1 2 2 3 2 4 4" xfId="24627" xr:uid="{00000000-0005-0000-0000-000090450000}"/>
    <cellStyle name="40% - Accent1 2 2 3 2 4 5" xfId="31729" xr:uid="{00000000-0005-0000-0000-000091450000}"/>
    <cellStyle name="40% - Accent1 2 2 3 2 4 6" xfId="38291" xr:uid="{00000000-0005-0000-0000-000092450000}"/>
    <cellStyle name="40% - Accent1 2 2 3 2 5" xfId="7584" xr:uid="{00000000-0005-0000-0000-000093450000}"/>
    <cellStyle name="40% - Accent1 2 2 3 2 6" xfId="14685" xr:uid="{00000000-0005-0000-0000-000094450000}"/>
    <cellStyle name="40% - Accent1 2 2 3 2 7" xfId="21787" xr:uid="{00000000-0005-0000-0000-000095450000}"/>
    <cellStyle name="40% - Accent1 2 2 3 2 8" xfId="28889" xr:uid="{00000000-0005-0000-0000-000096450000}"/>
    <cellStyle name="40% - Accent1 2 2 3 2 9" xfId="38292" xr:uid="{00000000-0005-0000-0000-000097450000}"/>
    <cellStyle name="40% - Accent1 2 2 3 3" xfId="618" xr:uid="{00000000-0005-0000-0000-000098450000}"/>
    <cellStyle name="40% - Accent1 2 2 3 3 2" xfId="2109" xr:uid="{00000000-0005-0000-0000-000099450000}"/>
    <cellStyle name="40% - Accent1 2 2 3 3 2 2" xfId="6377" xr:uid="{00000000-0005-0000-0000-00009A450000}"/>
    <cellStyle name="40% - Accent1 2 2 3 3 2 2 2" xfId="13477" xr:uid="{00000000-0005-0000-0000-00009B450000}"/>
    <cellStyle name="40% - Accent1 2 2 3 3 2 2 3" xfId="20578" xr:uid="{00000000-0005-0000-0000-00009C450000}"/>
    <cellStyle name="40% - Accent1 2 2 3 3 2 2 4" xfId="27680" xr:uid="{00000000-0005-0000-0000-00009D450000}"/>
    <cellStyle name="40% - Accent1 2 2 3 3 2 2 5" xfId="34782" xr:uid="{00000000-0005-0000-0000-00009E450000}"/>
    <cellStyle name="40% - Accent1 2 2 3 3 2 2 6" xfId="38293" xr:uid="{00000000-0005-0000-0000-00009F450000}"/>
    <cellStyle name="40% - Accent1 2 2 3 3 2 3" xfId="9217" xr:uid="{00000000-0005-0000-0000-0000A0450000}"/>
    <cellStyle name="40% - Accent1 2 2 3 3 2 4" xfId="16318" xr:uid="{00000000-0005-0000-0000-0000A1450000}"/>
    <cellStyle name="40% - Accent1 2 2 3 3 2 5" xfId="23420" xr:uid="{00000000-0005-0000-0000-0000A2450000}"/>
    <cellStyle name="40% - Accent1 2 2 3 3 2 6" xfId="30522" xr:uid="{00000000-0005-0000-0000-0000A3450000}"/>
    <cellStyle name="40% - Accent1 2 2 3 3 2 7" xfId="38294" xr:uid="{00000000-0005-0000-0000-0000A4450000}"/>
    <cellStyle name="40% - Accent1 2 2 3 3 3" xfId="4956" xr:uid="{00000000-0005-0000-0000-0000A5450000}"/>
    <cellStyle name="40% - Accent1 2 2 3 3 3 2" xfId="12057" xr:uid="{00000000-0005-0000-0000-0000A6450000}"/>
    <cellStyle name="40% - Accent1 2 2 3 3 3 2 2" xfId="38295" xr:uid="{00000000-0005-0000-0000-0000A7450000}"/>
    <cellStyle name="40% - Accent1 2 2 3 3 3 3" xfId="19158" xr:uid="{00000000-0005-0000-0000-0000A8450000}"/>
    <cellStyle name="40% - Accent1 2 2 3 3 3 4" xfId="26260" xr:uid="{00000000-0005-0000-0000-0000A9450000}"/>
    <cellStyle name="40% - Accent1 2 2 3 3 3 5" xfId="33362" xr:uid="{00000000-0005-0000-0000-0000AA450000}"/>
    <cellStyle name="40% - Accent1 2 2 3 3 3 6" xfId="38296" xr:uid="{00000000-0005-0000-0000-0000AB450000}"/>
    <cellStyle name="40% - Accent1 2 2 3 3 4" xfId="3531" xr:uid="{00000000-0005-0000-0000-0000AC450000}"/>
    <cellStyle name="40% - Accent1 2 2 3 3 4 2" xfId="10637" xr:uid="{00000000-0005-0000-0000-0000AD450000}"/>
    <cellStyle name="40% - Accent1 2 2 3 3 4 3" xfId="17738" xr:uid="{00000000-0005-0000-0000-0000AE450000}"/>
    <cellStyle name="40% - Accent1 2 2 3 3 4 4" xfId="24840" xr:uid="{00000000-0005-0000-0000-0000AF450000}"/>
    <cellStyle name="40% - Accent1 2 2 3 3 4 5" xfId="31942" xr:uid="{00000000-0005-0000-0000-0000B0450000}"/>
    <cellStyle name="40% - Accent1 2 2 3 3 4 6" xfId="38297" xr:uid="{00000000-0005-0000-0000-0000B1450000}"/>
    <cellStyle name="40% - Accent1 2 2 3 3 5" xfId="7797" xr:uid="{00000000-0005-0000-0000-0000B2450000}"/>
    <cellStyle name="40% - Accent1 2 2 3 3 6" xfId="14898" xr:uid="{00000000-0005-0000-0000-0000B3450000}"/>
    <cellStyle name="40% - Accent1 2 2 3 3 7" xfId="22000" xr:uid="{00000000-0005-0000-0000-0000B4450000}"/>
    <cellStyle name="40% - Accent1 2 2 3 3 8" xfId="29102" xr:uid="{00000000-0005-0000-0000-0000B5450000}"/>
    <cellStyle name="40% - Accent1 2 2 3 3 9" xfId="38298" xr:uid="{00000000-0005-0000-0000-0000B6450000}"/>
    <cellStyle name="40% - Accent1 2 2 3 4" xfId="831" xr:uid="{00000000-0005-0000-0000-0000B7450000}"/>
    <cellStyle name="40% - Accent1 2 2 3 4 2" xfId="2322" xr:uid="{00000000-0005-0000-0000-0000B8450000}"/>
    <cellStyle name="40% - Accent1 2 2 3 4 2 2" xfId="6590" xr:uid="{00000000-0005-0000-0000-0000B9450000}"/>
    <cellStyle name="40% - Accent1 2 2 3 4 2 2 2" xfId="13690" xr:uid="{00000000-0005-0000-0000-0000BA450000}"/>
    <cellStyle name="40% - Accent1 2 2 3 4 2 2 3" xfId="20791" xr:uid="{00000000-0005-0000-0000-0000BB450000}"/>
    <cellStyle name="40% - Accent1 2 2 3 4 2 2 4" xfId="27893" xr:uid="{00000000-0005-0000-0000-0000BC450000}"/>
    <cellStyle name="40% - Accent1 2 2 3 4 2 2 5" xfId="34995" xr:uid="{00000000-0005-0000-0000-0000BD450000}"/>
    <cellStyle name="40% - Accent1 2 2 3 4 2 2 6" xfId="38299" xr:uid="{00000000-0005-0000-0000-0000BE450000}"/>
    <cellStyle name="40% - Accent1 2 2 3 4 2 3" xfId="9430" xr:uid="{00000000-0005-0000-0000-0000BF450000}"/>
    <cellStyle name="40% - Accent1 2 2 3 4 2 4" xfId="16531" xr:uid="{00000000-0005-0000-0000-0000C0450000}"/>
    <cellStyle name="40% - Accent1 2 2 3 4 2 5" xfId="23633" xr:uid="{00000000-0005-0000-0000-0000C1450000}"/>
    <cellStyle name="40% - Accent1 2 2 3 4 2 6" xfId="30735" xr:uid="{00000000-0005-0000-0000-0000C2450000}"/>
    <cellStyle name="40% - Accent1 2 2 3 4 2 7" xfId="38300" xr:uid="{00000000-0005-0000-0000-0000C3450000}"/>
    <cellStyle name="40% - Accent1 2 2 3 4 3" xfId="5169" xr:uid="{00000000-0005-0000-0000-0000C4450000}"/>
    <cellStyle name="40% - Accent1 2 2 3 4 3 2" xfId="12270" xr:uid="{00000000-0005-0000-0000-0000C5450000}"/>
    <cellStyle name="40% - Accent1 2 2 3 4 3 2 2" xfId="38301" xr:uid="{00000000-0005-0000-0000-0000C6450000}"/>
    <cellStyle name="40% - Accent1 2 2 3 4 3 3" xfId="19371" xr:uid="{00000000-0005-0000-0000-0000C7450000}"/>
    <cellStyle name="40% - Accent1 2 2 3 4 3 4" xfId="26473" xr:uid="{00000000-0005-0000-0000-0000C8450000}"/>
    <cellStyle name="40% - Accent1 2 2 3 4 3 5" xfId="33575" xr:uid="{00000000-0005-0000-0000-0000C9450000}"/>
    <cellStyle name="40% - Accent1 2 2 3 4 3 6" xfId="38302" xr:uid="{00000000-0005-0000-0000-0000CA450000}"/>
    <cellStyle name="40% - Accent1 2 2 3 4 4" xfId="3744" xr:uid="{00000000-0005-0000-0000-0000CB450000}"/>
    <cellStyle name="40% - Accent1 2 2 3 4 4 2" xfId="10850" xr:uid="{00000000-0005-0000-0000-0000CC450000}"/>
    <cellStyle name="40% - Accent1 2 2 3 4 4 3" xfId="17951" xr:uid="{00000000-0005-0000-0000-0000CD450000}"/>
    <cellStyle name="40% - Accent1 2 2 3 4 4 4" xfId="25053" xr:uid="{00000000-0005-0000-0000-0000CE450000}"/>
    <cellStyle name="40% - Accent1 2 2 3 4 4 5" xfId="32155" xr:uid="{00000000-0005-0000-0000-0000CF450000}"/>
    <cellStyle name="40% - Accent1 2 2 3 4 4 6" xfId="38303" xr:uid="{00000000-0005-0000-0000-0000D0450000}"/>
    <cellStyle name="40% - Accent1 2 2 3 4 5" xfId="8010" xr:uid="{00000000-0005-0000-0000-0000D1450000}"/>
    <cellStyle name="40% - Accent1 2 2 3 4 6" xfId="15111" xr:uid="{00000000-0005-0000-0000-0000D2450000}"/>
    <cellStyle name="40% - Accent1 2 2 3 4 7" xfId="22213" xr:uid="{00000000-0005-0000-0000-0000D3450000}"/>
    <cellStyle name="40% - Accent1 2 2 3 4 8" xfId="29315" xr:uid="{00000000-0005-0000-0000-0000D4450000}"/>
    <cellStyle name="40% - Accent1 2 2 3 4 9" xfId="38304" xr:uid="{00000000-0005-0000-0000-0000D5450000}"/>
    <cellStyle name="40% - Accent1 2 2 3 5" xfId="1186" xr:uid="{00000000-0005-0000-0000-0000D6450000}"/>
    <cellStyle name="40% - Accent1 2 2 3 5 2" xfId="2677" xr:uid="{00000000-0005-0000-0000-0000D7450000}"/>
    <cellStyle name="40% - Accent1 2 2 3 5 2 2" xfId="6945" xr:uid="{00000000-0005-0000-0000-0000D8450000}"/>
    <cellStyle name="40% - Accent1 2 2 3 5 2 2 2" xfId="14045" xr:uid="{00000000-0005-0000-0000-0000D9450000}"/>
    <cellStyle name="40% - Accent1 2 2 3 5 2 2 3" xfId="21146" xr:uid="{00000000-0005-0000-0000-0000DA450000}"/>
    <cellStyle name="40% - Accent1 2 2 3 5 2 2 4" xfId="28248" xr:uid="{00000000-0005-0000-0000-0000DB450000}"/>
    <cellStyle name="40% - Accent1 2 2 3 5 2 2 5" xfId="35350" xr:uid="{00000000-0005-0000-0000-0000DC450000}"/>
    <cellStyle name="40% - Accent1 2 2 3 5 2 3" xfId="9785" xr:uid="{00000000-0005-0000-0000-0000DD450000}"/>
    <cellStyle name="40% - Accent1 2 2 3 5 2 4" xfId="16886" xr:uid="{00000000-0005-0000-0000-0000DE450000}"/>
    <cellStyle name="40% - Accent1 2 2 3 5 2 5" xfId="23988" xr:uid="{00000000-0005-0000-0000-0000DF450000}"/>
    <cellStyle name="40% - Accent1 2 2 3 5 2 6" xfId="31090" xr:uid="{00000000-0005-0000-0000-0000E0450000}"/>
    <cellStyle name="40% - Accent1 2 2 3 5 2 7" xfId="38305" xr:uid="{00000000-0005-0000-0000-0000E1450000}"/>
    <cellStyle name="40% - Accent1 2 2 3 5 3" xfId="5524" xr:uid="{00000000-0005-0000-0000-0000E2450000}"/>
    <cellStyle name="40% - Accent1 2 2 3 5 3 2" xfId="12625" xr:uid="{00000000-0005-0000-0000-0000E3450000}"/>
    <cellStyle name="40% - Accent1 2 2 3 5 3 3" xfId="19726" xr:uid="{00000000-0005-0000-0000-0000E4450000}"/>
    <cellStyle name="40% - Accent1 2 2 3 5 3 4" xfId="26828" xr:uid="{00000000-0005-0000-0000-0000E5450000}"/>
    <cellStyle name="40% - Accent1 2 2 3 5 3 5" xfId="33930" xr:uid="{00000000-0005-0000-0000-0000E6450000}"/>
    <cellStyle name="40% - Accent1 2 2 3 5 4" xfId="4099" xr:uid="{00000000-0005-0000-0000-0000E7450000}"/>
    <cellStyle name="40% - Accent1 2 2 3 5 4 2" xfId="11205" xr:uid="{00000000-0005-0000-0000-0000E8450000}"/>
    <cellStyle name="40% - Accent1 2 2 3 5 4 3" xfId="18306" xr:uid="{00000000-0005-0000-0000-0000E9450000}"/>
    <cellStyle name="40% - Accent1 2 2 3 5 4 4" xfId="25408" xr:uid="{00000000-0005-0000-0000-0000EA450000}"/>
    <cellStyle name="40% - Accent1 2 2 3 5 4 5" xfId="32510" xr:uid="{00000000-0005-0000-0000-0000EB450000}"/>
    <cellStyle name="40% - Accent1 2 2 3 5 5" xfId="8365" xr:uid="{00000000-0005-0000-0000-0000EC450000}"/>
    <cellStyle name="40% - Accent1 2 2 3 5 6" xfId="15466" xr:uid="{00000000-0005-0000-0000-0000ED450000}"/>
    <cellStyle name="40% - Accent1 2 2 3 5 7" xfId="22568" xr:uid="{00000000-0005-0000-0000-0000EE450000}"/>
    <cellStyle name="40% - Accent1 2 2 3 5 8" xfId="29670" xr:uid="{00000000-0005-0000-0000-0000EF450000}"/>
    <cellStyle name="40% - Accent1 2 2 3 5 9" xfId="38306" xr:uid="{00000000-0005-0000-0000-0000F0450000}"/>
    <cellStyle name="40% - Accent1 2 2 3 6" xfId="1399" xr:uid="{00000000-0005-0000-0000-0000F1450000}"/>
    <cellStyle name="40% - Accent1 2 2 3 6 2" xfId="2890" xr:uid="{00000000-0005-0000-0000-0000F2450000}"/>
    <cellStyle name="40% - Accent1 2 2 3 6 2 2" xfId="7158" xr:uid="{00000000-0005-0000-0000-0000F3450000}"/>
    <cellStyle name="40% - Accent1 2 2 3 6 2 2 2" xfId="14258" xr:uid="{00000000-0005-0000-0000-0000F4450000}"/>
    <cellStyle name="40% - Accent1 2 2 3 6 2 2 3" xfId="21359" xr:uid="{00000000-0005-0000-0000-0000F5450000}"/>
    <cellStyle name="40% - Accent1 2 2 3 6 2 2 4" xfId="28461" xr:uid="{00000000-0005-0000-0000-0000F6450000}"/>
    <cellStyle name="40% - Accent1 2 2 3 6 2 2 5" xfId="35563" xr:uid="{00000000-0005-0000-0000-0000F7450000}"/>
    <cellStyle name="40% - Accent1 2 2 3 6 2 3" xfId="9998" xr:uid="{00000000-0005-0000-0000-0000F8450000}"/>
    <cellStyle name="40% - Accent1 2 2 3 6 2 4" xfId="17099" xr:uid="{00000000-0005-0000-0000-0000F9450000}"/>
    <cellStyle name="40% - Accent1 2 2 3 6 2 5" xfId="24201" xr:uid="{00000000-0005-0000-0000-0000FA450000}"/>
    <cellStyle name="40% - Accent1 2 2 3 6 2 6" xfId="31303" xr:uid="{00000000-0005-0000-0000-0000FB450000}"/>
    <cellStyle name="40% - Accent1 2 2 3 6 2 7" xfId="38307" xr:uid="{00000000-0005-0000-0000-0000FC450000}"/>
    <cellStyle name="40% - Accent1 2 2 3 6 3" xfId="5737" xr:uid="{00000000-0005-0000-0000-0000FD450000}"/>
    <cellStyle name="40% - Accent1 2 2 3 6 3 2" xfId="12838" xr:uid="{00000000-0005-0000-0000-0000FE450000}"/>
    <cellStyle name="40% - Accent1 2 2 3 6 3 3" xfId="19939" xr:uid="{00000000-0005-0000-0000-0000FF450000}"/>
    <cellStyle name="40% - Accent1 2 2 3 6 3 4" xfId="27041" xr:uid="{00000000-0005-0000-0000-000000460000}"/>
    <cellStyle name="40% - Accent1 2 2 3 6 3 5" xfId="34143" xr:uid="{00000000-0005-0000-0000-000001460000}"/>
    <cellStyle name="40% - Accent1 2 2 3 6 4" xfId="4312" xr:uid="{00000000-0005-0000-0000-000002460000}"/>
    <cellStyle name="40% - Accent1 2 2 3 6 4 2" xfId="11418" xr:uid="{00000000-0005-0000-0000-000003460000}"/>
    <cellStyle name="40% - Accent1 2 2 3 6 4 3" xfId="18519" xr:uid="{00000000-0005-0000-0000-000004460000}"/>
    <cellStyle name="40% - Accent1 2 2 3 6 4 4" xfId="25621" xr:uid="{00000000-0005-0000-0000-000005460000}"/>
    <cellStyle name="40% - Accent1 2 2 3 6 4 5" xfId="32723" xr:uid="{00000000-0005-0000-0000-000006460000}"/>
    <cellStyle name="40% - Accent1 2 2 3 6 5" xfId="8578" xr:uid="{00000000-0005-0000-0000-000007460000}"/>
    <cellStyle name="40% - Accent1 2 2 3 6 6" xfId="15679" xr:uid="{00000000-0005-0000-0000-000008460000}"/>
    <cellStyle name="40% - Accent1 2 2 3 6 7" xfId="22781" xr:uid="{00000000-0005-0000-0000-000009460000}"/>
    <cellStyle name="40% - Accent1 2 2 3 6 8" xfId="29883" xr:uid="{00000000-0005-0000-0000-00000A460000}"/>
    <cellStyle name="40% - Accent1 2 2 3 6 9" xfId="38308" xr:uid="{00000000-0005-0000-0000-00000B460000}"/>
    <cellStyle name="40% - Accent1 2 2 3 7" xfId="1683" xr:uid="{00000000-0005-0000-0000-00000C460000}"/>
    <cellStyle name="40% - Accent1 2 2 3 7 2" xfId="5951" xr:uid="{00000000-0005-0000-0000-00000D460000}"/>
    <cellStyle name="40% - Accent1 2 2 3 7 2 2" xfId="13051" xr:uid="{00000000-0005-0000-0000-00000E460000}"/>
    <cellStyle name="40% - Accent1 2 2 3 7 2 3" xfId="20152" xr:uid="{00000000-0005-0000-0000-00000F460000}"/>
    <cellStyle name="40% - Accent1 2 2 3 7 2 4" xfId="27254" xr:uid="{00000000-0005-0000-0000-000010460000}"/>
    <cellStyle name="40% - Accent1 2 2 3 7 2 5" xfId="34356" xr:uid="{00000000-0005-0000-0000-000011460000}"/>
    <cellStyle name="40% - Accent1 2 2 3 7 3" xfId="8791" xr:uid="{00000000-0005-0000-0000-000012460000}"/>
    <cellStyle name="40% - Accent1 2 2 3 7 4" xfId="15892" xr:uid="{00000000-0005-0000-0000-000013460000}"/>
    <cellStyle name="40% - Accent1 2 2 3 7 5" xfId="22994" xr:uid="{00000000-0005-0000-0000-000014460000}"/>
    <cellStyle name="40% - Accent1 2 2 3 7 6" xfId="30096" xr:uid="{00000000-0005-0000-0000-000015460000}"/>
    <cellStyle name="40% - Accent1 2 2 3 7 7" xfId="38309" xr:uid="{00000000-0005-0000-0000-000016460000}"/>
    <cellStyle name="40% - Accent1 2 2 3 8" xfId="4530" xr:uid="{00000000-0005-0000-0000-000017460000}"/>
    <cellStyle name="40% - Accent1 2 2 3 8 2" xfId="11631" xr:uid="{00000000-0005-0000-0000-000018460000}"/>
    <cellStyle name="40% - Accent1 2 2 3 8 3" xfId="18732" xr:uid="{00000000-0005-0000-0000-000019460000}"/>
    <cellStyle name="40% - Accent1 2 2 3 8 4" xfId="25834" xr:uid="{00000000-0005-0000-0000-00001A460000}"/>
    <cellStyle name="40% - Accent1 2 2 3 8 5" xfId="32936" xr:uid="{00000000-0005-0000-0000-00001B460000}"/>
    <cellStyle name="40% - Accent1 2 2 3 9" xfId="3105" xr:uid="{00000000-0005-0000-0000-00001C460000}"/>
    <cellStyle name="40% - Accent1 2 2 3 9 2" xfId="10211" xr:uid="{00000000-0005-0000-0000-00001D460000}"/>
    <cellStyle name="40% - Accent1 2 2 3 9 3" xfId="17312" xr:uid="{00000000-0005-0000-0000-00001E460000}"/>
    <cellStyle name="40% - Accent1 2 2 3 9 4" xfId="24414" xr:uid="{00000000-0005-0000-0000-00001F460000}"/>
    <cellStyle name="40% - Accent1 2 2 3 9 5" xfId="31516" xr:uid="{00000000-0005-0000-0000-000020460000}"/>
    <cellStyle name="40% - Accent1 2 2 4" xfId="334" xr:uid="{00000000-0005-0000-0000-000021460000}"/>
    <cellStyle name="40% - Accent1 2 2 4 10" xfId="38310" xr:uid="{00000000-0005-0000-0000-000022460000}"/>
    <cellStyle name="40% - Accent1 2 2 4 2" xfId="1115" xr:uid="{00000000-0005-0000-0000-000023460000}"/>
    <cellStyle name="40% - Accent1 2 2 4 2 2" xfId="2606" xr:uid="{00000000-0005-0000-0000-000024460000}"/>
    <cellStyle name="40% - Accent1 2 2 4 2 2 2" xfId="6874" xr:uid="{00000000-0005-0000-0000-000025460000}"/>
    <cellStyle name="40% - Accent1 2 2 4 2 2 2 2" xfId="13974" xr:uid="{00000000-0005-0000-0000-000026460000}"/>
    <cellStyle name="40% - Accent1 2 2 4 2 2 2 3" xfId="21075" xr:uid="{00000000-0005-0000-0000-000027460000}"/>
    <cellStyle name="40% - Accent1 2 2 4 2 2 2 4" xfId="28177" xr:uid="{00000000-0005-0000-0000-000028460000}"/>
    <cellStyle name="40% - Accent1 2 2 4 2 2 2 5" xfId="35279" xr:uid="{00000000-0005-0000-0000-000029460000}"/>
    <cellStyle name="40% - Accent1 2 2 4 2 2 3" xfId="9714" xr:uid="{00000000-0005-0000-0000-00002A460000}"/>
    <cellStyle name="40% - Accent1 2 2 4 2 2 4" xfId="16815" xr:uid="{00000000-0005-0000-0000-00002B460000}"/>
    <cellStyle name="40% - Accent1 2 2 4 2 2 5" xfId="23917" xr:uid="{00000000-0005-0000-0000-00002C460000}"/>
    <cellStyle name="40% - Accent1 2 2 4 2 2 6" xfId="31019" xr:uid="{00000000-0005-0000-0000-00002D460000}"/>
    <cellStyle name="40% - Accent1 2 2 4 2 2 7" xfId="38311" xr:uid="{00000000-0005-0000-0000-00002E460000}"/>
    <cellStyle name="40% - Accent1 2 2 4 2 3" xfId="5453" xr:uid="{00000000-0005-0000-0000-00002F460000}"/>
    <cellStyle name="40% - Accent1 2 2 4 2 3 2" xfId="12554" xr:uid="{00000000-0005-0000-0000-000030460000}"/>
    <cellStyle name="40% - Accent1 2 2 4 2 3 3" xfId="19655" xr:uid="{00000000-0005-0000-0000-000031460000}"/>
    <cellStyle name="40% - Accent1 2 2 4 2 3 4" xfId="26757" xr:uid="{00000000-0005-0000-0000-000032460000}"/>
    <cellStyle name="40% - Accent1 2 2 4 2 3 5" xfId="33859" xr:uid="{00000000-0005-0000-0000-000033460000}"/>
    <cellStyle name="40% - Accent1 2 2 4 2 4" xfId="4028" xr:uid="{00000000-0005-0000-0000-000034460000}"/>
    <cellStyle name="40% - Accent1 2 2 4 2 4 2" xfId="11134" xr:uid="{00000000-0005-0000-0000-000035460000}"/>
    <cellStyle name="40% - Accent1 2 2 4 2 4 3" xfId="18235" xr:uid="{00000000-0005-0000-0000-000036460000}"/>
    <cellStyle name="40% - Accent1 2 2 4 2 4 4" xfId="25337" xr:uid="{00000000-0005-0000-0000-000037460000}"/>
    <cellStyle name="40% - Accent1 2 2 4 2 4 5" xfId="32439" xr:uid="{00000000-0005-0000-0000-000038460000}"/>
    <cellStyle name="40% - Accent1 2 2 4 2 5" xfId="8294" xr:uid="{00000000-0005-0000-0000-000039460000}"/>
    <cellStyle name="40% - Accent1 2 2 4 2 6" xfId="15395" xr:uid="{00000000-0005-0000-0000-00003A460000}"/>
    <cellStyle name="40% - Accent1 2 2 4 2 7" xfId="22497" xr:uid="{00000000-0005-0000-0000-00003B460000}"/>
    <cellStyle name="40% - Accent1 2 2 4 2 8" xfId="29599" xr:uid="{00000000-0005-0000-0000-00003C460000}"/>
    <cellStyle name="40% - Accent1 2 2 4 2 9" xfId="38312" xr:uid="{00000000-0005-0000-0000-00003D460000}"/>
    <cellStyle name="40% - Accent1 2 2 4 3" xfId="1825" xr:uid="{00000000-0005-0000-0000-00003E460000}"/>
    <cellStyle name="40% - Accent1 2 2 4 3 2" xfId="6093" xr:uid="{00000000-0005-0000-0000-00003F460000}"/>
    <cellStyle name="40% - Accent1 2 2 4 3 2 2" xfId="13193" xr:uid="{00000000-0005-0000-0000-000040460000}"/>
    <cellStyle name="40% - Accent1 2 2 4 3 2 3" xfId="20294" xr:uid="{00000000-0005-0000-0000-000041460000}"/>
    <cellStyle name="40% - Accent1 2 2 4 3 2 4" xfId="27396" xr:uid="{00000000-0005-0000-0000-000042460000}"/>
    <cellStyle name="40% - Accent1 2 2 4 3 2 5" xfId="34498" xr:uid="{00000000-0005-0000-0000-000043460000}"/>
    <cellStyle name="40% - Accent1 2 2 4 3 2 6" xfId="38313" xr:uid="{00000000-0005-0000-0000-000044460000}"/>
    <cellStyle name="40% - Accent1 2 2 4 3 3" xfId="8933" xr:uid="{00000000-0005-0000-0000-000045460000}"/>
    <cellStyle name="40% - Accent1 2 2 4 3 4" xfId="16034" xr:uid="{00000000-0005-0000-0000-000046460000}"/>
    <cellStyle name="40% - Accent1 2 2 4 3 5" xfId="23136" xr:uid="{00000000-0005-0000-0000-000047460000}"/>
    <cellStyle name="40% - Accent1 2 2 4 3 6" xfId="30238" xr:uid="{00000000-0005-0000-0000-000048460000}"/>
    <cellStyle name="40% - Accent1 2 2 4 3 7" xfId="38314" xr:uid="{00000000-0005-0000-0000-000049460000}"/>
    <cellStyle name="40% - Accent1 2 2 4 4" xfId="4672" xr:uid="{00000000-0005-0000-0000-00004A460000}"/>
    <cellStyle name="40% - Accent1 2 2 4 4 2" xfId="11773" xr:uid="{00000000-0005-0000-0000-00004B460000}"/>
    <cellStyle name="40% - Accent1 2 2 4 4 3" xfId="18874" xr:uid="{00000000-0005-0000-0000-00004C460000}"/>
    <cellStyle name="40% - Accent1 2 2 4 4 4" xfId="25976" xr:uid="{00000000-0005-0000-0000-00004D460000}"/>
    <cellStyle name="40% - Accent1 2 2 4 4 5" xfId="33078" xr:uid="{00000000-0005-0000-0000-00004E460000}"/>
    <cellStyle name="40% - Accent1 2 2 4 4 6" xfId="38315" xr:uid="{00000000-0005-0000-0000-00004F460000}"/>
    <cellStyle name="40% - Accent1 2 2 4 5" xfId="3247" xr:uid="{00000000-0005-0000-0000-000050460000}"/>
    <cellStyle name="40% - Accent1 2 2 4 5 2" xfId="10353" xr:uid="{00000000-0005-0000-0000-000051460000}"/>
    <cellStyle name="40% - Accent1 2 2 4 5 3" xfId="17454" xr:uid="{00000000-0005-0000-0000-000052460000}"/>
    <cellStyle name="40% - Accent1 2 2 4 5 4" xfId="24556" xr:uid="{00000000-0005-0000-0000-000053460000}"/>
    <cellStyle name="40% - Accent1 2 2 4 5 5" xfId="31658" xr:uid="{00000000-0005-0000-0000-000054460000}"/>
    <cellStyle name="40% - Accent1 2 2 4 6" xfId="7513" xr:uid="{00000000-0005-0000-0000-000055460000}"/>
    <cellStyle name="40% - Accent1 2 2 4 7" xfId="14614" xr:uid="{00000000-0005-0000-0000-000056460000}"/>
    <cellStyle name="40% - Accent1 2 2 4 8" xfId="21716" xr:uid="{00000000-0005-0000-0000-000057460000}"/>
    <cellStyle name="40% - Accent1 2 2 4 9" xfId="28818" xr:uid="{00000000-0005-0000-0000-000058460000}"/>
    <cellStyle name="40% - Accent1 2 2 5" xfId="547" xr:uid="{00000000-0005-0000-0000-000059460000}"/>
    <cellStyle name="40% - Accent1 2 2 5 2" xfId="2038" xr:uid="{00000000-0005-0000-0000-00005A460000}"/>
    <cellStyle name="40% - Accent1 2 2 5 2 2" xfId="6306" xr:uid="{00000000-0005-0000-0000-00005B460000}"/>
    <cellStyle name="40% - Accent1 2 2 5 2 2 2" xfId="13406" xr:uid="{00000000-0005-0000-0000-00005C460000}"/>
    <cellStyle name="40% - Accent1 2 2 5 2 2 3" xfId="20507" xr:uid="{00000000-0005-0000-0000-00005D460000}"/>
    <cellStyle name="40% - Accent1 2 2 5 2 2 4" xfId="27609" xr:uid="{00000000-0005-0000-0000-00005E460000}"/>
    <cellStyle name="40% - Accent1 2 2 5 2 2 5" xfId="34711" xr:uid="{00000000-0005-0000-0000-00005F460000}"/>
    <cellStyle name="40% - Accent1 2 2 5 2 2 6" xfId="38316" xr:uid="{00000000-0005-0000-0000-000060460000}"/>
    <cellStyle name="40% - Accent1 2 2 5 2 3" xfId="9146" xr:uid="{00000000-0005-0000-0000-000061460000}"/>
    <cellStyle name="40% - Accent1 2 2 5 2 4" xfId="16247" xr:uid="{00000000-0005-0000-0000-000062460000}"/>
    <cellStyle name="40% - Accent1 2 2 5 2 5" xfId="23349" xr:uid="{00000000-0005-0000-0000-000063460000}"/>
    <cellStyle name="40% - Accent1 2 2 5 2 6" xfId="30451" xr:uid="{00000000-0005-0000-0000-000064460000}"/>
    <cellStyle name="40% - Accent1 2 2 5 2 7" xfId="38317" xr:uid="{00000000-0005-0000-0000-000065460000}"/>
    <cellStyle name="40% - Accent1 2 2 5 3" xfId="4885" xr:uid="{00000000-0005-0000-0000-000066460000}"/>
    <cellStyle name="40% - Accent1 2 2 5 3 2" xfId="11986" xr:uid="{00000000-0005-0000-0000-000067460000}"/>
    <cellStyle name="40% - Accent1 2 2 5 3 2 2" xfId="38318" xr:uid="{00000000-0005-0000-0000-000068460000}"/>
    <cellStyle name="40% - Accent1 2 2 5 3 3" xfId="19087" xr:uid="{00000000-0005-0000-0000-000069460000}"/>
    <cellStyle name="40% - Accent1 2 2 5 3 4" xfId="26189" xr:uid="{00000000-0005-0000-0000-00006A460000}"/>
    <cellStyle name="40% - Accent1 2 2 5 3 5" xfId="33291" xr:uid="{00000000-0005-0000-0000-00006B460000}"/>
    <cellStyle name="40% - Accent1 2 2 5 3 6" xfId="38319" xr:uid="{00000000-0005-0000-0000-00006C460000}"/>
    <cellStyle name="40% - Accent1 2 2 5 4" xfId="3460" xr:uid="{00000000-0005-0000-0000-00006D460000}"/>
    <cellStyle name="40% - Accent1 2 2 5 4 2" xfId="10566" xr:uid="{00000000-0005-0000-0000-00006E460000}"/>
    <cellStyle name="40% - Accent1 2 2 5 4 3" xfId="17667" xr:uid="{00000000-0005-0000-0000-00006F460000}"/>
    <cellStyle name="40% - Accent1 2 2 5 4 4" xfId="24769" xr:uid="{00000000-0005-0000-0000-000070460000}"/>
    <cellStyle name="40% - Accent1 2 2 5 4 5" xfId="31871" xr:uid="{00000000-0005-0000-0000-000071460000}"/>
    <cellStyle name="40% - Accent1 2 2 5 4 6" xfId="38320" xr:uid="{00000000-0005-0000-0000-000072460000}"/>
    <cellStyle name="40% - Accent1 2 2 5 5" xfId="7726" xr:uid="{00000000-0005-0000-0000-000073460000}"/>
    <cellStyle name="40% - Accent1 2 2 5 6" xfId="14827" xr:uid="{00000000-0005-0000-0000-000074460000}"/>
    <cellStyle name="40% - Accent1 2 2 5 7" xfId="21929" xr:uid="{00000000-0005-0000-0000-000075460000}"/>
    <cellStyle name="40% - Accent1 2 2 5 8" xfId="29031" xr:uid="{00000000-0005-0000-0000-000076460000}"/>
    <cellStyle name="40% - Accent1 2 2 5 9" xfId="38321" xr:uid="{00000000-0005-0000-0000-000077460000}"/>
    <cellStyle name="40% - Accent1 2 2 6" xfId="760" xr:uid="{00000000-0005-0000-0000-000078460000}"/>
    <cellStyle name="40% - Accent1 2 2 6 2" xfId="2251" xr:uid="{00000000-0005-0000-0000-000079460000}"/>
    <cellStyle name="40% - Accent1 2 2 6 2 2" xfId="6519" xr:uid="{00000000-0005-0000-0000-00007A460000}"/>
    <cellStyle name="40% - Accent1 2 2 6 2 2 2" xfId="13619" xr:uid="{00000000-0005-0000-0000-00007B460000}"/>
    <cellStyle name="40% - Accent1 2 2 6 2 2 3" xfId="20720" xr:uid="{00000000-0005-0000-0000-00007C460000}"/>
    <cellStyle name="40% - Accent1 2 2 6 2 2 4" xfId="27822" xr:uid="{00000000-0005-0000-0000-00007D460000}"/>
    <cellStyle name="40% - Accent1 2 2 6 2 2 5" xfId="34924" xr:uid="{00000000-0005-0000-0000-00007E460000}"/>
    <cellStyle name="40% - Accent1 2 2 6 2 2 6" xfId="38322" xr:uid="{00000000-0005-0000-0000-00007F460000}"/>
    <cellStyle name="40% - Accent1 2 2 6 2 3" xfId="9359" xr:uid="{00000000-0005-0000-0000-000080460000}"/>
    <cellStyle name="40% - Accent1 2 2 6 2 4" xfId="16460" xr:uid="{00000000-0005-0000-0000-000081460000}"/>
    <cellStyle name="40% - Accent1 2 2 6 2 5" xfId="23562" xr:uid="{00000000-0005-0000-0000-000082460000}"/>
    <cellStyle name="40% - Accent1 2 2 6 2 6" xfId="30664" xr:uid="{00000000-0005-0000-0000-000083460000}"/>
    <cellStyle name="40% - Accent1 2 2 6 2 7" xfId="38323" xr:uid="{00000000-0005-0000-0000-000084460000}"/>
    <cellStyle name="40% - Accent1 2 2 6 3" xfId="5098" xr:uid="{00000000-0005-0000-0000-000085460000}"/>
    <cellStyle name="40% - Accent1 2 2 6 3 2" xfId="12199" xr:uid="{00000000-0005-0000-0000-000086460000}"/>
    <cellStyle name="40% - Accent1 2 2 6 3 2 2" xfId="38324" xr:uid="{00000000-0005-0000-0000-000087460000}"/>
    <cellStyle name="40% - Accent1 2 2 6 3 3" xfId="19300" xr:uid="{00000000-0005-0000-0000-000088460000}"/>
    <cellStyle name="40% - Accent1 2 2 6 3 4" xfId="26402" xr:uid="{00000000-0005-0000-0000-000089460000}"/>
    <cellStyle name="40% - Accent1 2 2 6 3 5" xfId="33504" xr:uid="{00000000-0005-0000-0000-00008A460000}"/>
    <cellStyle name="40% - Accent1 2 2 6 3 6" xfId="38325" xr:uid="{00000000-0005-0000-0000-00008B460000}"/>
    <cellStyle name="40% - Accent1 2 2 6 4" xfId="3673" xr:uid="{00000000-0005-0000-0000-00008C460000}"/>
    <cellStyle name="40% - Accent1 2 2 6 4 2" xfId="10779" xr:uid="{00000000-0005-0000-0000-00008D460000}"/>
    <cellStyle name="40% - Accent1 2 2 6 4 3" xfId="17880" xr:uid="{00000000-0005-0000-0000-00008E460000}"/>
    <cellStyle name="40% - Accent1 2 2 6 4 4" xfId="24982" xr:uid="{00000000-0005-0000-0000-00008F460000}"/>
    <cellStyle name="40% - Accent1 2 2 6 4 5" xfId="32084" xr:uid="{00000000-0005-0000-0000-000090460000}"/>
    <cellStyle name="40% - Accent1 2 2 6 4 6" xfId="38326" xr:uid="{00000000-0005-0000-0000-000091460000}"/>
    <cellStyle name="40% - Accent1 2 2 6 5" xfId="7939" xr:uid="{00000000-0005-0000-0000-000092460000}"/>
    <cellStyle name="40% - Accent1 2 2 6 6" xfId="15040" xr:uid="{00000000-0005-0000-0000-000093460000}"/>
    <cellStyle name="40% - Accent1 2 2 6 7" xfId="22142" xr:uid="{00000000-0005-0000-0000-000094460000}"/>
    <cellStyle name="40% - Accent1 2 2 6 8" xfId="29244" xr:uid="{00000000-0005-0000-0000-000095460000}"/>
    <cellStyle name="40% - Accent1 2 2 6 9" xfId="38327" xr:uid="{00000000-0005-0000-0000-000096460000}"/>
    <cellStyle name="40% - Accent1 2 2 7" xfId="973" xr:uid="{00000000-0005-0000-0000-000097460000}"/>
    <cellStyle name="40% - Accent1 2 2 7 2" xfId="2464" xr:uid="{00000000-0005-0000-0000-000098460000}"/>
    <cellStyle name="40% - Accent1 2 2 7 2 2" xfId="6732" xr:uid="{00000000-0005-0000-0000-000099460000}"/>
    <cellStyle name="40% - Accent1 2 2 7 2 2 2" xfId="13832" xr:uid="{00000000-0005-0000-0000-00009A460000}"/>
    <cellStyle name="40% - Accent1 2 2 7 2 2 3" xfId="20933" xr:uid="{00000000-0005-0000-0000-00009B460000}"/>
    <cellStyle name="40% - Accent1 2 2 7 2 2 4" xfId="28035" xr:uid="{00000000-0005-0000-0000-00009C460000}"/>
    <cellStyle name="40% - Accent1 2 2 7 2 2 5" xfId="35137" xr:uid="{00000000-0005-0000-0000-00009D460000}"/>
    <cellStyle name="40% - Accent1 2 2 7 2 3" xfId="9572" xr:uid="{00000000-0005-0000-0000-00009E460000}"/>
    <cellStyle name="40% - Accent1 2 2 7 2 4" xfId="16673" xr:uid="{00000000-0005-0000-0000-00009F460000}"/>
    <cellStyle name="40% - Accent1 2 2 7 2 5" xfId="23775" xr:uid="{00000000-0005-0000-0000-0000A0460000}"/>
    <cellStyle name="40% - Accent1 2 2 7 2 6" xfId="30877" xr:uid="{00000000-0005-0000-0000-0000A1460000}"/>
    <cellStyle name="40% - Accent1 2 2 7 2 7" xfId="38328" xr:uid="{00000000-0005-0000-0000-0000A2460000}"/>
    <cellStyle name="40% - Accent1 2 2 7 3" xfId="5311" xr:uid="{00000000-0005-0000-0000-0000A3460000}"/>
    <cellStyle name="40% - Accent1 2 2 7 3 2" xfId="12412" xr:uid="{00000000-0005-0000-0000-0000A4460000}"/>
    <cellStyle name="40% - Accent1 2 2 7 3 3" xfId="19513" xr:uid="{00000000-0005-0000-0000-0000A5460000}"/>
    <cellStyle name="40% - Accent1 2 2 7 3 4" xfId="26615" xr:uid="{00000000-0005-0000-0000-0000A6460000}"/>
    <cellStyle name="40% - Accent1 2 2 7 3 5" xfId="33717" xr:uid="{00000000-0005-0000-0000-0000A7460000}"/>
    <cellStyle name="40% - Accent1 2 2 7 4" xfId="3886" xr:uid="{00000000-0005-0000-0000-0000A8460000}"/>
    <cellStyle name="40% - Accent1 2 2 7 4 2" xfId="10992" xr:uid="{00000000-0005-0000-0000-0000A9460000}"/>
    <cellStyle name="40% - Accent1 2 2 7 4 3" xfId="18093" xr:uid="{00000000-0005-0000-0000-0000AA460000}"/>
    <cellStyle name="40% - Accent1 2 2 7 4 4" xfId="25195" xr:uid="{00000000-0005-0000-0000-0000AB460000}"/>
    <cellStyle name="40% - Accent1 2 2 7 4 5" xfId="32297" xr:uid="{00000000-0005-0000-0000-0000AC460000}"/>
    <cellStyle name="40% - Accent1 2 2 7 5" xfId="8152" xr:uid="{00000000-0005-0000-0000-0000AD460000}"/>
    <cellStyle name="40% - Accent1 2 2 7 6" xfId="15253" xr:uid="{00000000-0005-0000-0000-0000AE460000}"/>
    <cellStyle name="40% - Accent1 2 2 7 7" xfId="22355" xr:uid="{00000000-0005-0000-0000-0000AF460000}"/>
    <cellStyle name="40% - Accent1 2 2 7 8" xfId="29457" xr:uid="{00000000-0005-0000-0000-0000B0460000}"/>
    <cellStyle name="40% - Accent1 2 2 7 9" xfId="38329" xr:uid="{00000000-0005-0000-0000-0000B1460000}"/>
    <cellStyle name="40% - Accent1 2 2 8" xfId="1328" xr:uid="{00000000-0005-0000-0000-0000B2460000}"/>
    <cellStyle name="40% - Accent1 2 2 8 2" xfId="2819" xr:uid="{00000000-0005-0000-0000-0000B3460000}"/>
    <cellStyle name="40% - Accent1 2 2 8 2 2" xfId="7087" xr:uid="{00000000-0005-0000-0000-0000B4460000}"/>
    <cellStyle name="40% - Accent1 2 2 8 2 2 2" xfId="14187" xr:uid="{00000000-0005-0000-0000-0000B5460000}"/>
    <cellStyle name="40% - Accent1 2 2 8 2 2 3" xfId="21288" xr:uid="{00000000-0005-0000-0000-0000B6460000}"/>
    <cellStyle name="40% - Accent1 2 2 8 2 2 4" xfId="28390" xr:uid="{00000000-0005-0000-0000-0000B7460000}"/>
    <cellStyle name="40% - Accent1 2 2 8 2 2 5" xfId="35492" xr:uid="{00000000-0005-0000-0000-0000B8460000}"/>
    <cellStyle name="40% - Accent1 2 2 8 2 3" xfId="9927" xr:uid="{00000000-0005-0000-0000-0000B9460000}"/>
    <cellStyle name="40% - Accent1 2 2 8 2 4" xfId="17028" xr:uid="{00000000-0005-0000-0000-0000BA460000}"/>
    <cellStyle name="40% - Accent1 2 2 8 2 5" xfId="24130" xr:uid="{00000000-0005-0000-0000-0000BB460000}"/>
    <cellStyle name="40% - Accent1 2 2 8 2 6" xfId="31232" xr:uid="{00000000-0005-0000-0000-0000BC460000}"/>
    <cellStyle name="40% - Accent1 2 2 8 2 7" xfId="38330" xr:uid="{00000000-0005-0000-0000-0000BD460000}"/>
    <cellStyle name="40% - Accent1 2 2 8 3" xfId="5666" xr:uid="{00000000-0005-0000-0000-0000BE460000}"/>
    <cellStyle name="40% - Accent1 2 2 8 3 2" xfId="12767" xr:uid="{00000000-0005-0000-0000-0000BF460000}"/>
    <cellStyle name="40% - Accent1 2 2 8 3 3" xfId="19868" xr:uid="{00000000-0005-0000-0000-0000C0460000}"/>
    <cellStyle name="40% - Accent1 2 2 8 3 4" xfId="26970" xr:uid="{00000000-0005-0000-0000-0000C1460000}"/>
    <cellStyle name="40% - Accent1 2 2 8 3 5" xfId="34072" xr:uid="{00000000-0005-0000-0000-0000C2460000}"/>
    <cellStyle name="40% - Accent1 2 2 8 4" xfId="4241" xr:uid="{00000000-0005-0000-0000-0000C3460000}"/>
    <cellStyle name="40% - Accent1 2 2 8 4 2" xfId="11347" xr:uid="{00000000-0005-0000-0000-0000C4460000}"/>
    <cellStyle name="40% - Accent1 2 2 8 4 3" xfId="18448" xr:uid="{00000000-0005-0000-0000-0000C5460000}"/>
    <cellStyle name="40% - Accent1 2 2 8 4 4" xfId="25550" xr:uid="{00000000-0005-0000-0000-0000C6460000}"/>
    <cellStyle name="40% - Accent1 2 2 8 4 5" xfId="32652" xr:uid="{00000000-0005-0000-0000-0000C7460000}"/>
    <cellStyle name="40% - Accent1 2 2 8 5" xfId="8507" xr:uid="{00000000-0005-0000-0000-0000C8460000}"/>
    <cellStyle name="40% - Accent1 2 2 8 6" xfId="15608" xr:uid="{00000000-0005-0000-0000-0000C9460000}"/>
    <cellStyle name="40% - Accent1 2 2 8 7" xfId="22710" xr:uid="{00000000-0005-0000-0000-0000CA460000}"/>
    <cellStyle name="40% - Accent1 2 2 8 8" xfId="29812" xr:uid="{00000000-0005-0000-0000-0000CB460000}"/>
    <cellStyle name="40% - Accent1 2 2 8 9" xfId="38331" xr:uid="{00000000-0005-0000-0000-0000CC460000}"/>
    <cellStyle name="40% - Accent1 2 2 9" xfId="1612" xr:uid="{00000000-0005-0000-0000-0000CD460000}"/>
    <cellStyle name="40% - Accent1 2 2 9 2" xfId="5880" xr:uid="{00000000-0005-0000-0000-0000CE460000}"/>
    <cellStyle name="40% - Accent1 2 2 9 2 2" xfId="12980" xr:uid="{00000000-0005-0000-0000-0000CF460000}"/>
    <cellStyle name="40% - Accent1 2 2 9 2 3" xfId="20081" xr:uid="{00000000-0005-0000-0000-0000D0460000}"/>
    <cellStyle name="40% - Accent1 2 2 9 2 4" xfId="27183" xr:uid="{00000000-0005-0000-0000-0000D1460000}"/>
    <cellStyle name="40% - Accent1 2 2 9 2 5" xfId="34285" xr:uid="{00000000-0005-0000-0000-0000D2460000}"/>
    <cellStyle name="40% - Accent1 2 2 9 3" xfId="8720" xr:uid="{00000000-0005-0000-0000-0000D3460000}"/>
    <cellStyle name="40% - Accent1 2 2 9 4" xfId="15821" xr:uid="{00000000-0005-0000-0000-0000D4460000}"/>
    <cellStyle name="40% - Accent1 2 2 9 5" xfId="22923" xr:uid="{00000000-0005-0000-0000-0000D5460000}"/>
    <cellStyle name="40% - Accent1 2 2 9 6" xfId="30025" xr:uid="{00000000-0005-0000-0000-0000D6460000}"/>
    <cellStyle name="40% - Accent1 2 2 9 7" xfId="38332" xr:uid="{00000000-0005-0000-0000-0000D7460000}"/>
    <cellStyle name="40% - Accent1 2 3" xfId="232" xr:uid="{00000000-0005-0000-0000-0000D8460000}"/>
    <cellStyle name="40% - Accent1 2 3 10" xfId="7411" xr:uid="{00000000-0005-0000-0000-0000D9460000}"/>
    <cellStyle name="40% - Accent1 2 3 11" xfId="14512" xr:uid="{00000000-0005-0000-0000-0000DA460000}"/>
    <cellStyle name="40% - Accent1 2 3 12" xfId="21614" xr:uid="{00000000-0005-0000-0000-0000DB460000}"/>
    <cellStyle name="40% - Accent1 2 3 13" xfId="28716" xr:uid="{00000000-0005-0000-0000-0000DC460000}"/>
    <cellStyle name="40% - Accent1 2 3 14" xfId="35818" xr:uid="{00000000-0005-0000-0000-0000DD460000}"/>
    <cellStyle name="40% - Accent1 2 3 15" xfId="38333" xr:uid="{00000000-0005-0000-0000-0000DE460000}"/>
    <cellStyle name="40% - Accent1 2 3 2" xfId="445" xr:uid="{00000000-0005-0000-0000-0000DF460000}"/>
    <cellStyle name="40% - Accent1 2 3 2 10" xfId="38334" xr:uid="{00000000-0005-0000-0000-0000E0460000}"/>
    <cellStyle name="40% - Accent1 2 3 2 2" xfId="1226" xr:uid="{00000000-0005-0000-0000-0000E1460000}"/>
    <cellStyle name="40% - Accent1 2 3 2 2 2" xfId="2717" xr:uid="{00000000-0005-0000-0000-0000E2460000}"/>
    <cellStyle name="40% - Accent1 2 3 2 2 2 2" xfId="6985" xr:uid="{00000000-0005-0000-0000-0000E3460000}"/>
    <cellStyle name="40% - Accent1 2 3 2 2 2 2 2" xfId="14085" xr:uid="{00000000-0005-0000-0000-0000E4460000}"/>
    <cellStyle name="40% - Accent1 2 3 2 2 2 2 3" xfId="21186" xr:uid="{00000000-0005-0000-0000-0000E5460000}"/>
    <cellStyle name="40% - Accent1 2 3 2 2 2 2 4" xfId="28288" xr:uid="{00000000-0005-0000-0000-0000E6460000}"/>
    <cellStyle name="40% - Accent1 2 3 2 2 2 2 5" xfId="35390" xr:uid="{00000000-0005-0000-0000-0000E7460000}"/>
    <cellStyle name="40% - Accent1 2 3 2 2 2 3" xfId="9825" xr:uid="{00000000-0005-0000-0000-0000E8460000}"/>
    <cellStyle name="40% - Accent1 2 3 2 2 2 4" xfId="16926" xr:uid="{00000000-0005-0000-0000-0000E9460000}"/>
    <cellStyle name="40% - Accent1 2 3 2 2 2 5" xfId="24028" xr:uid="{00000000-0005-0000-0000-0000EA460000}"/>
    <cellStyle name="40% - Accent1 2 3 2 2 2 6" xfId="31130" xr:uid="{00000000-0005-0000-0000-0000EB460000}"/>
    <cellStyle name="40% - Accent1 2 3 2 2 2 7" xfId="38335" xr:uid="{00000000-0005-0000-0000-0000EC460000}"/>
    <cellStyle name="40% - Accent1 2 3 2 2 3" xfId="5564" xr:uid="{00000000-0005-0000-0000-0000ED460000}"/>
    <cellStyle name="40% - Accent1 2 3 2 2 3 2" xfId="12665" xr:uid="{00000000-0005-0000-0000-0000EE460000}"/>
    <cellStyle name="40% - Accent1 2 3 2 2 3 3" xfId="19766" xr:uid="{00000000-0005-0000-0000-0000EF460000}"/>
    <cellStyle name="40% - Accent1 2 3 2 2 3 4" xfId="26868" xr:uid="{00000000-0005-0000-0000-0000F0460000}"/>
    <cellStyle name="40% - Accent1 2 3 2 2 3 5" xfId="33970" xr:uid="{00000000-0005-0000-0000-0000F1460000}"/>
    <cellStyle name="40% - Accent1 2 3 2 2 4" xfId="4139" xr:uid="{00000000-0005-0000-0000-0000F2460000}"/>
    <cellStyle name="40% - Accent1 2 3 2 2 4 2" xfId="11245" xr:uid="{00000000-0005-0000-0000-0000F3460000}"/>
    <cellStyle name="40% - Accent1 2 3 2 2 4 3" xfId="18346" xr:uid="{00000000-0005-0000-0000-0000F4460000}"/>
    <cellStyle name="40% - Accent1 2 3 2 2 4 4" xfId="25448" xr:uid="{00000000-0005-0000-0000-0000F5460000}"/>
    <cellStyle name="40% - Accent1 2 3 2 2 4 5" xfId="32550" xr:uid="{00000000-0005-0000-0000-0000F6460000}"/>
    <cellStyle name="40% - Accent1 2 3 2 2 5" xfId="8405" xr:uid="{00000000-0005-0000-0000-0000F7460000}"/>
    <cellStyle name="40% - Accent1 2 3 2 2 6" xfId="15506" xr:uid="{00000000-0005-0000-0000-0000F8460000}"/>
    <cellStyle name="40% - Accent1 2 3 2 2 7" xfId="22608" xr:uid="{00000000-0005-0000-0000-0000F9460000}"/>
    <cellStyle name="40% - Accent1 2 3 2 2 8" xfId="29710" xr:uid="{00000000-0005-0000-0000-0000FA460000}"/>
    <cellStyle name="40% - Accent1 2 3 2 2 9" xfId="38336" xr:uid="{00000000-0005-0000-0000-0000FB460000}"/>
    <cellStyle name="40% - Accent1 2 3 2 3" xfId="1936" xr:uid="{00000000-0005-0000-0000-0000FC460000}"/>
    <cellStyle name="40% - Accent1 2 3 2 3 2" xfId="6204" xr:uid="{00000000-0005-0000-0000-0000FD460000}"/>
    <cellStyle name="40% - Accent1 2 3 2 3 2 2" xfId="13304" xr:uid="{00000000-0005-0000-0000-0000FE460000}"/>
    <cellStyle name="40% - Accent1 2 3 2 3 2 3" xfId="20405" xr:uid="{00000000-0005-0000-0000-0000FF460000}"/>
    <cellStyle name="40% - Accent1 2 3 2 3 2 4" xfId="27507" xr:uid="{00000000-0005-0000-0000-000000470000}"/>
    <cellStyle name="40% - Accent1 2 3 2 3 2 5" xfId="34609" xr:uid="{00000000-0005-0000-0000-000001470000}"/>
    <cellStyle name="40% - Accent1 2 3 2 3 2 6" xfId="38337" xr:uid="{00000000-0005-0000-0000-000002470000}"/>
    <cellStyle name="40% - Accent1 2 3 2 3 3" xfId="9044" xr:uid="{00000000-0005-0000-0000-000003470000}"/>
    <cellStyle name="40% - Accent1 2 3 2 3 4" xfId="16145" xr:uid="{00000000-0005-0000-0000-000004470000}"/>
    <cellStyle name="40% - Accent1 2 3 2 3 5" xfId="23247" xr:uid="{00000000-0005-0000-0000-000005470000}"/>
    <cellStyle name="40% - Accent1 2 3 2 3 6" xfId="30349" xr:uid="{00000000-0005-0000-0000-000006470000}"/>
    <cellStyle name="40% - Accent1 2 3 2 3 7" xfId="38338" xr:uid="{00000000-0005-0000-0000-000007470000}"/>
    <cellStyle name="40% - Accent1 2 3 2 4" xfId="4783" xr:uid="{00000000-0005-0000-0000-000008470000}"/>
    <cellStyle name="40% - Accent1 2 3 2 4 2" xfId="11884" xr:uid="{00000000-0005-0000-0000-000009470000}"/>
    <cellStyle name="40% - Accent1 2 3 2 4 3" xfId="18985" xr:uid="{00000000-0005-0000-0000-00000A470000}"/>
    <cellStyle name="40% - Accent1 2 3 2 4 4" xfId="26087" xr:uid="{00000000-0005-0000-0000-00000B470000}"/>
    <cellStyle name="40% - Accent1 2 3 2 4 5" xfId="33189" xr:uid="{00000000-0005-0000-0000-00000C470000}"/>
    <cellStyle name="40% - Accent1 2 3 2 4 6" xfId="38339" xr:uid="{00000000-0005-0000-0000-00000D470000}"/>
    <cellStyle name="40% - Accent1 2 3 2 5" xfId="3358" xr:uid="{00000000-0005-0000-0000-00000E470000}"/>
    <cellStyle name="40% - Accent1 2 3 2 5 2" xfId="10464" xr:uid="{00000000-0005-0000-0000-00000F470000}"/>
    <cellStyle name="40% - Accent1 2 3 2 5 3" xfId="17565" xr:uid="{00000000-0005-0000-0000-000010470000}"/>
    <cellStyle name="40% - Accent1 2 3 2 5 4" xfId="24667" xr:uid="{00000000-0005-0000-0000-000011470000}"/>
    <cellStyle name="40% - Accent1 2 3 2 5 5" xfId="31769" xr:uid="{00000000-0005-0000-0000-000012470000}"/>
    <cellStyle name="40% - Accent1 2 3 2 6" xfId="7624" xr:uid="{00000000-0005-0000-0000-000013470000}"/>
    <cellStyle name="40% - Accent1 2 3 2 7" xfId="14725" xr:uid="{00000000-0005-0000-0000-000014470000}"/>
    <cellStyle name="40% - Accent1 2 3 2 8" xfId="21827" xr:uid="{00000000-0005-0000-0000-000015470000}"/>
    <cellStyle name="40% - Accent1 2 3 2 9" xfId="28929" xr:uid="{00000000-0005-0000-0000-000016470000}"/>
    <cellStyle name="40% - Accent1 2 3 3" xfId="658" xr:uid="{00000000-0005-0000-0000-000017470000}"/>
    <cellStyle name="40% - Accent1 2 3 3 2" xfId="2149" xr:uid="{00000000-0005-0000-0000-000018470000}"/>
    <cellStyle name="40% - Accent1 2 3 3 2 2" xfId="6417" xr:uid="{00000000-0005-0000-0000-000019470000}"/>
    <cellStyle name="40% - Accent1 2 3 3 2 2 2" xfId="13517" xr:uid="{00000000-0005-0000-0000-00001A470000}"/>
    <cellStyle name="40% - Accent1 2 3 3 2 2 3" xfId="20618" xr:uid="{00000000-0005-0000-0000-00001B470000}"/>
    <cellStyle name="40% - Accent1 2 3 3 2 2 4" xfId="27720" xr:uid="{00000000-0005-0000-0000-00001C470000}"/>
    <cellStyle name="40% - Accent1 2 3 3 2 2 5" xfId="34822" xr:uid="{00000000-0005-0000-0000-00001D470000}"/>
    <cellStyle name="40% - Accent1 2 3 3 2 2 6" xfId="38340" xr:uid="{00000000-0005-0000-0000-00001E470000}"/>
    <cellStyle name="40% - Accent1 2 3 3 2 3" xfId="9257" xr:uid="{00000000-0005-0000-0000-00001F470000}"/>
    <cellStyle name="40% - Accent1 2 3 3 2 4" xfId="16358" xr:uid="{00000000-0005-0000-0000-000020470000}"/>
    <cellStyle name="40% - Accent1 2 3 3 2 5" xfId="23460" xr:uid="{00000000-0005-0000-0000-000021470000}"/>
    <cellStyle name="40% - Accent1 2 3 3 2 6" xfId="30562" xr:uid="{00000000-0005-0000-0000-000022470000}"/>
    <cellStyle name="40% - Accent1 2 3 3 2 7" xfId="38341" xr:uid="{00000000-0005-0000-0000-000023470000}"/>
    <cellStyle name="40% - Accent1 2 3 3 3" xfId="4996" xr:uid="{00000000-0005-0000-0000-000024470000}"/>
    <cellStyle name="40% - Accent1 2 3 3 3 2" xfId="12097" xr:uid="{00000000-0005-0000-0000-000025470000}"/>
    <cellStyle name="40% - Accent1 2 3 3 3 2 2" xfId="38342" xr:uid="{00000000-0005-0000-0000-000026470000}"/>
    <cellStyle name="40% - Accent1 2 3 3 3 3" xfId="19198" xr:uid="{00000000-0005-0000-0000-000027470000}"/>
    <cellStyle name="40% - Accent1 2 3 3 3 4" xfId="26300" xr:uid="{00000000-0005-0000-0000-000028470000}"/>
    <cellStyle name="40% - Accent1 2 3 3 3 5" xfId="33402" xr:uid="{00000000-0005-0000-0000-000029470000}"/>
    <cellStyle name="40% - Accent1 2 3 3 3 6" xfId="38343" xr:uid="{00000000-0005-0000-0000-00002A470000}"/>
    <cellStyle name="40% - Accent1 2 3 3 4" xfId="3571" xr:uid="{00000000-0005-0000-0000-00002B470000}"/>
    <cellStyle name="40% - Accent1 2 3 3 4 2" xfId="10677" xr:uid="{00000000-0005-0000-0000-00002C470000}"/>
    <cellStyle name="40% - Accent1 2 3 3 4 3" xfId="17778" xr:uid="{00000000-0005-0000-0000-00002D470000}"/>
    <cellStyle name="40% - Accent1 2 3 3 4 4" xfId="24880" xr:uid="{00000000-0005-0000-0000-00002E470000}"/>
    <cellStyle name="40% - Accent1 2 3 3 4 5" xfId="31982" xr:uid="{00000000-0005-0000-0000-00002F470000}"/>
    <cellStyle name="40% - Accent1 2 3 3 4 6" xfId="38344" xr:uid="{00000000-0005-0000-0000-000030470000}"/>
    <cellStyle name="40% - Accent1 2 3 3 5" xfId="7837" xr:uid="{00000000-0005-0000-0000-000031470000}"/>
    <cellStyle name="40% - Accent1 2 3 3 6" xfId="14938" xr:uid="{00000000-0005-0000-0000-000032470000}"/>
    <cellStyle name="40% - Accent1 2 3 3 7" xfId="22040" xr:uid="{00000000-0005-0000-0000-000033470000}"/>
    <cellStyle name="40% - Accent1 2 3 3 8" xfId="29142" xr:uid="{00000000-0005-0000-0000-000034470000}"/>
    <cellStyle name="40% - Accent1 2 3 3 9" xfId="38345" xr:uid="{00000000-0005-0000-0000-000035470000}"/>
    <cellStyle name="40% - Accent1 2 3 4" xfId="871" xr:uid="{00000000-0005-0000-0000-000036470000}"/>
    <cellStyle name="40% - Accent1 2 3 4 2" xfId="2362" xr:uid="{00000000-0005-0000-0000-000037470000}"/>
    <cellStyle name="40% - Accent1 2 3 4 2 2" xfId="6630" xr:uid="{00000000-0005-0000-0000-000038470000}"/>
    <cellStyle name="40% - Accent1 2 3 4 2 2 2" xfId="13730" xr:uid="{00000000-0005-0000-0000-000039470000}"/>
    <cellStyle name="40% - Accent1 2 3 4 2 2 3" xfId="20831" xr:uid="{00000000-0005-0000-0000-00003A470000}"/>
    <cellStyle name="40% - Accent1 2 3 4 2 2 4" xfId="27933" xr:uid="{00000000-0005-0000-0000-00003B470000}"/>
    <cellStyle name="40% - Accent1 2 3 4 2 2 5" xfId="35035" xr:uid="{00000000-0005-0000-0000-00003C470000}"/>
    <cellStyle name="40% - Accent1 2 3 4 2 2 6" xfId="38346" xr:uid="{00000000-0005-0000-0000-00003D470000}"/>
    <cellStyle name="40% - Accent1 2 3 4 2 3" xfId="9470" xr:uid="{00000000-0005-0000-0000-00003E470000}"/>
    <cellStyle name="40% - Accent1 2 3 4 2 4" xfId="16571" xr:uid="{00000000-0005-0000-0000-00003F470000}"/>
    <cellStyle name="40% - Accent1 2 3 4 2 5" xfId="23673" xr:uid="{00000000-0005-0000-0000-000040470000}"/>
    <cellStyle name="40% - Accent1 2 3 4 2 6" xfId="30775" xr:uid="{00000000-0005-0000-0000-000041470000}"/>
    <cellStyle name="40% - Accent1 2 3 4 2 7" xfId="38347" xr:uid="{00000000-0005-0000-0000-000042470000}"/>
    <cellStyle name="40% - Accent1 2 3 4 3" xfId="5209" xr:uid="{00000000-0005-0000-0000-000043470000}"/>
    <cellStyle name="40% - Accent1 2 3 4 3 2" xfId="12310" xr:uid="{00000000-0005-0000-0000-000044470000}"/>
    <cellStyle name="40% - Accent1 2 3 4 3 2 2" xfId="38348" xr:uid="{00000000-0005-0000-0000-000045470000}"/>
    <cellStyle name="40% - Accent1 2 3 4 3 3" xfId="19411" xr:uid="{00000000-0005-0000-0000-000046470000}"/>
    <cellStyle name="40% - Accent1 2 3 4 3 4" xfId="26513" xr:uid="{00000000-0005-0000-0000-000047470000}"/>
    <cellStyle name="40% - Accent1 2 3 4 3 5" xfId="33615" xr:uid="{00000000-0005-0000-0000-000048470000}"/>
    <cellStyle name="40% - Accent1 2 3 4 3 6" xfId="38349" xr:uid="{00000000-0005-0000-0000-000049470000}"/>
    <cellStyle name="40% - Accent1 2 3 4 4" xfId="3784" xr:uid="{00000000-0005-0000-0000-00004A470000}"/>
    <cellStyle name="40% - Accent1 2 3 4 4 2" xfId="10890" xr:uid="{00000000-0005-0000-0000-00004B470000}"/>
    <cellStyle name="40% - Accent1 2 3 4 4 3" xfId="17991" xr:uid="{00000000-0005-0000-0000-00004C470000}"/>
    <cellStyle name="40% - Accent1 2 3 4 4 4" xfId="25093" xr:uid="{00000000-0005-0000-0000-00004D470000}"/>
    <cellStyle name="40% - Accent1 2 3 4 4 5" xfId="32195" xr:uid="{00000000-0005-0000-0000-00004E470000}"/>
    <cellStyle name="40% - Accent1 2 3 4 4 6" xfId="38350" xr:uid="{00000000-0005-0000-0000-00004F470000}"/>
    <cellStyle name="40% - Accent1 2 3 4 5" xfId="8050" xr:uid="{00000000-0005-0000-0000-000050470000}"/>
    <cellStyle name="40% - Accent1 2 3 4 6" xfId="15151" xr:uid="{00000000-0005-0000-0000-000051470000}"/>
    <cellStyle name="40% - Accent1 2 3 4 7" xfId="22253" xr:uid="{00000000-0005-0000-0000-000052470000}"/>
    <cellStyle name="40% - Accent1 2 3 4 8" xfId="29355" xr:uid="{00000000-0005-0000-0000-000053470000}"/>
    <cellStyle name="40% - Accent1 2 3 4 9" xfId="38351" xr:uid="{00000000-0005-0000-0000-000054470000}"/>
    <cellStyle name="40% - Accent1 2 3 5" xfId="1013" xr:uid="{00000000-0005-0000-0000-000055470000}"/>
    <cellStyle name="40% - Accent1 2 3 5 2" xfId="2504" xr:uid="{00000000-0005-0000-0000-000056470000}"/>
    <cellStyle name="40% - Accent1 2 3 5 2 2" xfId="6772" xr:uid="{00000000-0005-0000-0000-000057470000}"/>
    <cellStyle name="40% - Accent1 2 3 5 2 2 2" xfId="13872" xr:uid="{00000000-0005-0000-0000-000058470000}"/>
    <cellStyle name="40% - Accent1 2 3 5 2 2 3" xfId="20973" xr:uid="{00000000-0005-0000-0000-000059470000}"/>
    <cellStyle name="40% - Accent1 2 3 5 2 2 4" xfId="28075" xr:uid="{00000000-0005-0000-0000-00005A470000}"/>
    <cellStyle name="40% - Accent1 2 3 5 2 2 5" xfId="35177" xr:uid="{00000000-0005-0000-0000-00005B470000}"/>
    <cellStyle name="40% - Accent1 2 3 5 2 3" xfId="9612" xr:uid="{00000000-0005-0000-0000-00005C470000}"/>
    <cellStyle name="40% - Accent1 2 3 5 2 4" xfId="16713" xr:uid="{00000000-0005-0000-0000-00005D470000}"/>
    <cellStyle name="40% - Accent1 2 3 5 2 5" xfId="23815" xr:uid="{00000000-0005-0000-0000-00005E470000}"/>
    <cellStyle name="40% - Accent1 2 3 5 2 6" xfId="30917" xr:uid="{00000000-0005-0000-0000-00005F470000}"/>
    <cellStyle name="40% - Accent1 2 3 5 2 7" xfId="38352" xr:uid="{00000000-0005-0000-0000-000060470000}"/>
    <cellStyle name="40% - Accent1 2 3 5 3" xfId="5351" xr:uid="{00000000-0005-0000-0000-000061470000}"/>
    <cellStyle name="40% - Accent1 2 3 5 3 2" xfId="12452" xr:uid="{00000000-0005-0000-0000-000062470000}"/>
    <cellStyle name="40% - Accent1 2 3 5 3 3" xfId="19553" xr:uid="{00000000-0005-0000-0000-000063470000}"/>
    <cellStyle name="40% - Accent1 2 3 5 3 4" xfId="26655" xr:uid="{00000000-0005-0000-0000-000064470000}"/>
    <cellStyle name="40% - Accent1 2 3 5 3 5" xfId="33757" xr:uid="{00000000-0005-0000-0000-000065470000}"/>
    <cellStyle name="40% - Accent1 2 3 5 4" xfId="3926" xr:uid="{00000000-0005-0000-0000-000066470000}"/>
    <cellStyle name="40% - Accent1 2 3 5 4 2" xfId="11032" xr:uid="{00000000-0005-0000-0000-000067470000}"/>
    <cellStyle name="40% - Accent1 2 3 5 4 3" xfId="18133" xr:uid="{00000000-0005-0000-0000-000068470000}"/>
    <cellStyle name="40% - Accent1 2 3 5 4 4" xfId="25235" xr:uid="{00000000-0005-0000-0000-000069470000}"/>
    <cellStyle name="40% - Accent1 2 3 5 4 5" xfId="32337" xr:uid="{00000000-0005-0000-0000-00006A470000}"/>
    <cellStyle name="40% - Accent1 2 3 5 5" xfId="8192" xr:uid="{00000000-0005-0000-0000-00006B470000}"/>
    <cellStyle name="40% - Accent1 2 3 5 6" xfId="15293" xr:uid="{00000000-0005-0000-0000-00006C470000}"/>
    <cellStyle name="40% - Accent1 2 3 5 7" xfId="22395" xr:uid="{00000000-0005-0000-0000-00006D470000}"/>
    <cellStyle name="40% - Accent1 2 3 5 8" xfId="29497" xr:uid="{00000000-0005-0000-0000-00006E470000}"/>
    <cellStyle name="40% - Accent1 2 3 5 9" xfId="38353" xr:uid="{00000000-0005-0000-0000-00006F470000}"/>
    <cellStyle name="40% - Accent1 2 3 6" xfId="1439" xr:uid="{00000000-0005-0000-0000-000070470000}"/>
    <cellStyle name="40% - Accent1 2 3 6 2" xfId="2930" xr:uid="{00000000-0005-0000-0000-000071470000}"/>
    <cellStyle name="40% - Accent1 2 3 6 2 2" xfId="7198" xr:uid="{00000000-0005-0000-0000-000072470000}"/>
    <cellStyle name="40% - Accent1 2 3 6 2 2 2" xfId="14298" xr:uid="{00000000-0005-0000-0000-000073470000}"/>
    <cellStyle name="40% - Accent1 2 3 6 2 2 3" xfId="21399" xr:uid="{00000000-0005-0000-0000-000074470000}"/>
    <cellStyle name="40% - Accent1 2 3 6 2 2 4" xfId="28501" xr:uid="{00000000-0005-0000-0000-000075470000}"/>
    <cellStyle name="40% - Accent1 2 3 6 2 2 5" xfId="35603" xr:uid="{00000000-0005-0000-0000-000076470000}"/>
    <cellStyle name="40% - Accent1 2 3 6 2 3" xfId="10038" xr:uid="{00000000-0005-0000-0000-000077470000}"/>
    <cellStyle name="40% - Accent1 2 3 6 2 4" xfId="17139" xr:uid="{00000000-0005-0000-0000-000078470000}"/>
    <cellStyle name="40% - Accent1 2 3 6 2 5" xfId="24241" xr:uid="{00000000-0005-0000-0000-000079470000}"/>
    <cellStyle name="40% - Accent1 2 3 6 2 6" xfId="31343" xr:uid="{00000000-0005-0000-0000-00007A470000}"/>
    <cellStyle name="40% - Accent1 2 3 6 2 7" xfId="38354" xr:uid="{00000000-0005-0000-0000-00007B470000}"/>
    <cellStyle name="40% - Accent1 2 3 6 3" xfId="5777" xr:uid="{00000000-0005-0000-0000-00007C470000}"/>
    <cellStyle name="40% - Accent1 2 3 6 3 2" xfId="12878" xr:uid="{00000000-0005-0000-0000-00007D470000}"/>
    <cellStyle name="40% - Accent1 2 3 6 3 3" xfId="19979" xr:uid="{00000000-0005-0000-0000-00007E470000}"/>
    <cellStyle name="40% - Accent1 2 3 6 3 4" xfId="27081" xr:uid="{00000000-0005-0000-0000-00007F470000}"/>
    <cellStyle name="40% - Accent1 2 3 6 3 5" xfId="34183" xr:uid="{00000000-0005-0000-0000-000080470000}"/>
    <cellStyle name="40% - Accent1 2 3 6 4" xfId="4352" xr:uid="{00000000-0005-0000-0000-000081470000}"/>
    <cellStyle name="40% - Accent1 2 3 6 4 2" xfId="11458" xr:uid="{00000000-0005-0000-0000-000082470000}"/>
    <cellStyle name="40% - Accent1 2 3 6 4 3" xfId="18559" xr:uid="{00000000-0005-0000-0000-000083470000}"/>
    <cellStyle name="40% - Accent1 2 3 6 4 4" xfId="25661" xr:uid="{00000000-0005-0000-0000-000084470000}"/>
    <cellStyle name="40% - Accent1 2 3 6 4 5" xfId="32763" xr:uid="{00000000-0005-0000-0000-000085470000}"/>
    <cellStyle name="40% - Accent1 2 3 6 5" xfId="8618" xr:uid="{00000000-0005-0000-0000-000086470000}"/>
    <cellStyle name="40% - Accent1 2 3 6 6" xfId="15719" xr:uid="{00000000-0005-0000-0000-000087470000}"/>
    <cellStyle name="40% - Accent1 2 3 6 7" xfId="22821" xr:uid="{00000000-0005-0000-0000-000088470000}"/>
    <cellStyle name="40% - Accent1 2 3 6 8" xfId="29923" xr:uid="{00000000-0005-0000-0000-000089470000}"/>
    <cellStyle name="40% - Accent1 2 3 6 9" xfId="38355" xr:uid="{00000000-0005-0000-0000-00008A470000}"/>
    <cellStyle name="40% - Accent1 2 3 7" xfId="1723" xr:uid="{00000000-0005-0000-0000-00008B470000}"/>
    <cellStyle name="40% - Accent1 2 3 7 2" xfId="5991" xr:uid="{00000000-0005-0000-0000-00008C470000}"/>
    <cellStyle name="40% - Accent1 2 3 7 2 2" xfId="13091" xr:uid="{00000000-0005-0000-0000-00008D470000}"/>
    <cellStyle name="40% - Accent1 2 3 7 2 3" xfId="20192" xr:uid="{00000000-0005-0000-0000-00008E470000}"/>
    <cellStyle name="40% - Accent1 2 3 7 2 4" xfId="27294" xr:uid="{00000000-0005-0000-0000-00008F470000}"/>
    <cellStyle name="40% - Accent1 2 3 7 2 5" xfId="34396" xr:uid="{00000000-0005-0000-0000-000090470000}"/>
    <cellStyle name="40% - Accent1 2 3 7 3" xfId="8831" xr:uid="{00000000-0005-0000-0000-000091470000}"/>
    <cellStyle name="40% - Accent1 2 3 7 4" xfId="15932" xr:uid="{00000000-0005-0000-0000-000092470000}"/>
    <cellStyle name="40% - Accent1 2 3 7 5" xfId="23034" xr:uid="{00000000-0005-0000-0000-000093470000}"/>
    <cellStyle name="40% - Accent1 2 3 7 6" xfId="30136" xr:uid="{00000000-0005-0000-0000-000094470000}"/>
    <cellStyle name="40% - Accent1 2 3 7 7" xfId="38356" xr:uid="{00000000-0005-0000-0000-000095470000}"/>
    <cellStyle name="40% - Accent1 2 3 8" xfId="4570" xr:uid="{00000000-0005-0000-0000-000096470000}"/>
    <cellStyle name="40% - Accent1 2 3 8 2" xfId="11671" xr:uid="{00000000-0005-0000-0000-000097470000}"/>
    <cellStyle name="40% - Accent1 2 3 8 3" xfId="18772" xr:uid="{00000000-0005-0000-0000-000098470000}"/>
    <cellStyle name="40% - Accent1 2 3 8 4" xfId="25874" xr:uid="{00000000-0005-0000-0000-000099470000}"/>
    <cellStyle name="40% - Accent1 2 3 8 5" xfId="32976" xr:uid="{00000000-0005-0000-0000-00009A470000}"/>
    <cellStyle name="40% - Accent1 2 3 9" xfId="3145" xr:uid="{00000000-0005-0000-0000-00009B470000}"/>
    <cellStyle name="40% - Accent1 2 3 9 2" xfId="10251" xr:uid="{00000000-0005-0000-0000-00009C470000}"/>
    <cellStyle name="40% - Accent1 2 3 9 3" xfId="17352" xr:uid="{00000000-0005-0000-0000-00009D470000}"/>
    <cellStyle name="40% - Accent1 2 3 9 4" xfId="24454" xr:uid="{00000000-0005-0000-0000-00009E470000}"/>
    <cellStyle name="40% - Accent1 2 3 9 5" xfId="31556" xr:uid="{00000000-0005-0000-0000-00009F470000}"/>
    <cellStyle name="40% - Accent1 2 4" xfId="161" xr:uid="{00000000-0005-0000-0000-0000A0470000}"/>
    <cellStyle name="40% - Accent1 2 4 10" xfId="7340" xr:uid="{00000000-0005-0000-0000-0000A1470000}"/>
    <cellStyle name="40% - Accent1 2 4 11" xfId="14441" xr:uid="{00000000-0005-0000-0000-0000A2470000}"/>
    <cellStyle name="40% - Accent1 2 4 12" xfId="21543" xr:uid="{00000000-0005-0000-0000-0000A3470000}"/>
    <cellStyle name="40% - Accent1 2 4 13" xfId="28645" xr:uid="{00000000-0005-0000-0000-0000A4470000}"/>
    <cellStyle name="40% - Accent1 2 4 14" xfId="35747" xr:uid="{00000000-0005-0000-0000-0000A5470000}"/>
    <cellStyle name="40% - Accent1 2 4 15" xfId="38357" xr:uid="{00000000-0005-0000-0000-0000A6470000}"/>
    <cellStyle name="40% - Accent1 2 4 2" xfId="374" xr:uid="{00000000-0005-0000-0000-0000A7470000}"/>
    <cellStyle name="40% - Accent1 2 4 2 2" xfId="1865" xr:uid="{00000000-0005-0000-0000-0000A8470000}"/>
    <cellStyle name="40% - Accent1 2 4 2 2 2" xfId="6133" xr:uid="{00000000-0005-0000-0000-0000A9470000}"/>
    <cellStyle name="40% - Accent1 2 4 2 2 2 2" xfId="13233" xr:uid="{00000000-0005-0000-0000-0000AA470000}"/>
    <cellStyle name="40% - Accent1 2 4 2 2 2 3" xfId="20334" xr:uid="{00000000-0005-0000-0000-0000AB470000}"/>
    <cellStyle name="40% - Accent1 2 4 2 2 2 4" xfId="27436" xr:uid="{00000000-0005-0000-0000-0000AC470000}"/>
    <cellStyle name="40% - Accent1 2 4 2 2 2 5" xfId="34538" xr:uid="{00000000-0005-0000-0000-0000AD470000}"/>
    <cellStyle name="40% - Accent1 2 4 2 2 2 6" xfId="38358" xr:uid="{00000000-0005-0000-0000-0000AE470000}"/>
    <cellStyle name="40% - Accent1 2 4 2 2 3" xfId="8973" xr:uid="{00000000-0005-0000-0000-0000AF470000}"/>
    <cellStyle name="40% - Accent1 2 4 2 2 4" xfId="16074" xr:uid="{00000000-0005-0000-0000-0000B0470000}"/>
    <cellStyle name="40% - Accent1 2 4 2 2 5" xfId="23176" xr:uid="{00000000-0005-0000-0000-0000B1470000}"/>
    <cellStyle name="40% - Accent1 2 4 2 2 6" xfId="30278" xr:uid="{00000000-0005-0000-0000-0000B2470000}"/>
    <cellStyle name="40% - Accent1 2 4 2 2 7" xfId="38359" xr:uid="{00000000-0005-0000-0000-0000B3470000}"/>
    <cellStyle name="40% - Accent1 2 4 2 3" xfId="4712" xr:uid="{00000000-0005-0000-0000-0000B4470000}"/>
    <cellStyle name="40% - Accent1 2 4 2 3 2" xfId="11813" xr:uid="{00000000-0005-0000-0000-0000B5470000}"/>
    <cellStyle name="40% - Accent1 2 4 2 3 2 2" xfId="38360" xr:uid="{00000000-0005-0000-0000-0000B6470000}"/>
    <cellStyle name="40% - Accent1 2 4 2 3 3" xfId="18914" xr:uid="{00000000-0005-0000-0000-0000B7470000}"/>
    <cellStyle name="40% - Accent1 2 4 2 3 4" xfId="26016" xr:uid="{00000000-0005-0000-0000-0000B8470000}"/>
    <cellStyle name="40% - Accent1 2 4 2 3 5" xfId="33118" xr:uid="{00000000-0005-0000-0000-0000B9470000}"/>
    <cellStyle name="40% - Accent1 2 4 2 3 6" xfId="38361" xr:uid="{00000000-0005-0000-0000-0000BA470000}"/>
    <cellStyle name="40% - Accent1 2 4 2 4" xfId="3287" xr:uid="{00000000-0005-0000-0000-0000BB470000}"/>
    <cellStyle name="40% - Accent1 2 4 2 4 2" xfId="10393" xr:uid="{00000000-0005-0000-0000-0000BC470000}"/>
    <cellStyle name="40% - Accent1 2 4 2 4 3" xfId="17494" xr:uid="{00000000-0005-0000-0000-0000BD470000}"/>
    <cellStyle name="40% - Accent1 2 4 2 4 4" xfId="24596" xr:uid="{00000000-0005-0000-0000-0000BE470000}"/>
    <cellStyle name="40% - Accent1 2 4 2 4 5" xfId="31698" xr:uid="{00000000-0005-0000-0000-0000BF470000}"/>
    <cellStyle name="40% - Accent1 2 4 2 4 6" xfId="38362" xr:uid="{00000000-0005-0000-0000-0000C0470000}"/>
    <cellStyle name="40% - Accent1 2 4 2 5" xfId="7553" xr:uid="{00000000-0005-0000-0000-0000C1470000}"/>
    <cellStyle name="40% - Accent1 2 4 2 6" xfId="14654" xr:uid="{00000000-0005-0000-0000-0000C2470000}"/>
    <cellStyle name="40% - Accent1 2 4 2 7" xfId="21756" xr:uid="{00000000-0005-0000-0000-0000C3470000}"/>
    <cellStyle name="40% - Accent1 2 4 2 8" xfId="28858" xr:uid="{00000000-0005-0000-0000-0000C4470000}"/>
    <cellStyle name="40% - Accent1 2 4 2 9" xfId="38363" xr:uid="{00000000-0005-0000-0000-0000C5470000}"/>
    <cellStyle name="40% - Accent1 2 4 3" xfId="587" xr:uid="{00000000-0005-0000-0000-0000C6470000}"/>
    <cellStyle name="40% - Accent1 2 4 3 2" xfId="2078" xr:uid="{00000000-0005-0000-0000-0000C7470000}"/>
    <cellStyle name="40% - Accent1 2 4 3 2 2" xfId="6346" xr:uid="{00000000-0005-0000-0000-0000C8470000}"/>
    <cellStyle name="40% - Accent1 2 4 3 2 2 2" xfId="13446" xr:uid="{00000000-0005-0000-0000-0000C9470000}"/>
    <cellStyle name="40% - Accent1 2 4 3 2 2 3" xfId="20547" xr:uid="{00000000-0005-0000-0000-0000CA470000}"/>
    <cellStyle name="40% - Accent1 2 4 3 2 2 4" xfId="27649" xr:uid="{00000000-0005-0000-0000-0000CB470000}"/>
    <cellStyle name="40% - Accent1 2 4 3 2 2 5" xfId="34751" xr:uid="{00000000-0005-0000-0000-0000CC470000}"/>
    <cellStyle name="40% - Accent1 2 4 3 2 2 6" xfId="38364" xr:uid="{00000000-0005-0000-0000-0000CD470000}"/>
    <cellStyle name="40% - Accent1 2 4 3 2 3" xfId="9186" xr:uid="{00000000-0005-0000-0000-0000CE470000}"/>
    <cellStyle name="40% - Accent1 2 4 3 2 4" xfId="16287" xr:uid="{00000000-0005-0000-0000-0000CF470000}"/>
    <cellStyle name="40% - Accent1 2 4 3 2 5" xfId="23389" xr:uid="{00000000-0005-0000-0000-0000D0470000}"/>
    <cellStyle name="40% - Accent1 2 4 3 2 6" xfId="30491" xr:uid="{00000000-0005-0000-0000-0000D1470000}"/>
    <cellStyle name="40% - Accent1 2 4 3 2 7" xfId="38365" xr:uid="{00000000-0005-0000-0000-0000D2470000}"/>
    <cellStyle name="40% - Accent1 2 4 3 3" xfId="4925" xr:uid="{00000000-0005-0000-0000-0000D3470000}"/>
    <cellStyle name="40% - Accent1 2 4 3 3 2" xfId="12026" xr:uid="{00000000-0005-0000-0000-0000D4470000}"/>
    <cellStyle name="40% - Accent1 2 4 3 3 2 2" xfId="38366" xr:uid="{00000000-0005-0000-0000-0000D5470000}"/>
    <cellStyle name="40% - Accent1 2 4 3 3 3" xfId="19127" xr:uid="{00000000-0005-0000-0000-0000D6470000}"/>
    <cellStyle name="40% - Accent1 2 4 3 3 4" xfId="26229" xr:uid="{00000000-0005-0000-0000-0000D7470000}"/>
    <cellStyle name="40% - Accent1 2 4 3 3 5" xfId="33331" xr:uid="{00000000-0005-0000-0000-0000D8470000}"/>
    <cellStyle name="40% - Accent1 2 4 3 3 6" xfId="38367" xr:uid="{00000000-0005-0000-0000-0000D9470000}"/>
    <cellStyle name="40% - Accent1 2 4 3 4" xfId="3500" xr:uid="{00000000-0005-0000-0000-0000DA470000}"/>
    <cellStyle name="40% - Accent1 2 4 3 4 2" xfId="10606" xr:uid="{00000000-0005-0000-0000-0000DB470000}"/>
    <cellStyle name="40% - Accent1 2 4 3 4 3" xfId="17707" xr:uid="{00000000-0005-0000-0000-0000DC470000}"/>
    <cellStyle name="40% - Accent1 2 4 3 4 4" xfId="24809" xr:uid="{00000000-0005-0000-0000-0000DD470000}"/>
    <cellStyle name="40% - Accent1 2 4 3 4 5" xfId="31911" xr:uid="{00000000-0005-0000-0000-0000DE470000}"/>
    <cellStyle name="40% - Accent1 2 4 3 4 6" xfId="38368" xr:uid="{00000000-0005-0000-0000-0000DF470000}"/>
    <cellStyle name="40% - Accent1 2 4 3 5" xfId="7766" xr:uid="{00000000-0005-0000-0000-0000E0470000}"/>
    <cellStyle name="40% - Accent1 2 4 3 6" xfId="14867" xr:uid="{00000000-0005-0000-0000-0000E1470000}"/>
    <cellStyle name="40% - Accent1 2 4 3 7" xfId="21969" xr:uid="{00000000-0005-0000-0000-0000E2470000}"/>
    <cellStyle name="40% - Accent1 2 4 3 8" xfId="29071" xr:uid="{00000000-0005-0000-0000-0000E3470000}"/>
    <cellStyle name="40% - Accent1 2 4 3 9" xfId="38369" xr:uid="{00000000-0005-0000-0000-0000E4470000}"/>
    <cellStyle name="40% - Accent1 2 4 4" xfId="800" xr:uid="{00000000-0005-0000-0000-0000E5470000}"/>
    <cellStyle name="40% - Accent1 2 4 4 2" xfId="2291" xr:uid="{00000000-0005-0000-0000-0000E6470000}"/>
    <cellStyle name="40% - Accent1 2 4 4 2 2" xfId="6559" xr:uid="{00000000-0005-0000-0000-0000E7470000}"/>
    <cellStyle name="40% - Accent1 2 4 4 2 2 2" xfId="13659" xr:uid="{00000000-0005-0000-0000-0000E8470000}"/>
    <cellStyle name="40% - Accent1 2 4 4 2 2 3" xfId="20760" xr:uid="{00000000-0005-0000-0000-0000E9470000}"/>
    <cellStyle name="40% - Accent1 2 4 4 2 2 4" xfId="27862" xr:uid="{00000000-0005-0000-0000-0000EA470000}"/>
    <cellStyle name="40% - Accent1 2 4 4 2 2 5" xfId="34964" xr:uid="{00000000-0005-0000-0000-0000EB470000}"/>
    <cellStyle name="40% - Accent1 2 4 4 2 2 6" xfId="38370" xr:uid="{00000000-0005-0000-0000-0000EC470000}"/>
    <cellStyle name="40% - Accent1 2 4 4 2 3" xfId="9399" xr:uid="{00000000-0005-0000-0000-0000ED470000}"/>
    <cellStyle name="40% - Accent1 2 4 4 2 4" xfId="16500" xr:uid="{00000000-0005-0000-0000-0000EE470000}"/>
    <cellStyle name="40% - Accent1 2 4 4 2 5" xfId="23602" xr:uid="{00000000-0005-0000-0000-0000EF470000}"/>
    <cellStyle name="40% - Accent1 2 4 4 2 6" xfId="30704" xr:uid="{00000000-0005-0000-0000-0000F0470000}"/>
    <cellStyle name="40% - Accent1 2 4 4 2 7" xfId="38371" xr:uid="{00000000-0005-0000-0000-0000F1470000}"/>
    <cellStyle name="40% - Accent1 2 4 4 3" xfId="5138" xr:uid="{00000000-0005-0000-0000-0000F2470000}"/>
    <cellStyle name="40% - Accent1 2 4 4 3 2" xfId="12239" xr:uid="{00000000-0005-0000-0000-0000F3470000}"/>
    <cellStyle name="40% - Accent1 2 4 4 3 2 2" xfId="38372" xr:uid="{00000000-0005-0000-0000-0000F4470000}"/>
    <cellStyle name="40% - Accent1 2 4 4 3 3" xfId="19340" xr:uid="{00000000-0005-0000-0000-0000F5470000}"/>
    <cellStyle name="40% - Accent1 2 4 4 3 4" xfId="26442" xr:uid="{00000000-0005-0000-0000-0000F6470000}"/>
    <cellStyle name="40% - Accent1 2 4 4 3 5" xfId="33544" xr:uid="{00000000-0005-0000-0000-0000F7470000}"/>
    <cellStyle name="40% - Accent1 2 4 4 3 6" xfId="38373" xr:uid="{00000000-0005-0000-0000-0000F8470000}"/>
    <cellStyle name="40% - Accent1 2 4 4 4" xfId="3713" xr:uid="{00000000-0005-0000-0000-0000F9470000}"/>
    <cellStyle name="40% - Accent1 2 4 4 4 2" xfId="10819" xr:uid="{00000000-0005-0000-0000-0000FA470000}"/>
    <cellStyle name="40% - Accent1 2 4 4 4 3" xfId="17920" xr:uid="{00000000-0005-0000-0000-0000FB470000}"/>
    <cellStyle name="40% - Accent1 2 4 4 4 4" xfId="25022" xr:uid="{00000000-0005-0000-0000-0000FC470000}"/>
    <cellStyle name="40% - Accent1 2 4 4 4 5" xfId="32124" xr:uid="{00000000-0005-0000-0000-0000FD470000}"/>
    <cellStyle name="40% - Accent1 2 4 4 4 6" xfId="38374" xr:uid="{00000000-0005-0000-0000-0000FE470000}"/>
    <cellStyle name="40% - Accent1 2 4 4 5" xfId="7979" xr:uid="{00000000-0005-0000-0000-0000FF470000}"/>
    <cellStyle name="40% - Accent1 2 4 4 6" xfId="15080" xr:uid="{00000000-0005-0000-0000-000000480000}"/>
    <cellStyle name="40% - Accent1 2 4 4 7" xfId="22182" xr:uid="{00000000-0005-0000-0000-000001480000}"/>
    <cellStyle name="40% - Accent1 2 4 4 8" xfId="29284" xr:uid="{00000000-0005-0000-0000-000002480000}"/>
    <cellStyle name="40% - Accent1 2 4 4 9" xfId="38375" xr:uid="{00000000-0005-0000-0000-000003480000}"/>
    <cellStyle name="40% - Accent1 2 4 5" xfId="1155" xr:uid="{00000000-0005-0000-0000-000004480000}"/>
    <cellStyle name="40% - Accent1 2 4 5 2" xfId="2646" xr:uid="{00000000-0005-0000-0000-000005480000}"/>
    <cellStyle name="40% - Accent1 2 4 5 2 2" xfId="6914" xr:uid="{00000000-0005-0000-0000-000006480000}"/>
    <cellStyle name="40% - Accent1 2 4 5 2 2 2" xfId="14014" xr:uid="{00000000-0005-0000-0000-000007480000}"/>
    <cellStyle name="40% - Accent1 2 4 5 2 2 3" xfId="21115" xr:uid="{00000000-0005-0000-0000-000008480000}"/>
    <cellStyle name="40% - Accent1 2 4 5 2 2 4" xfId="28217" xr:uid="{00000000-0005-0000-0000-000009480000}"/>
    <cellStyle name="40% - Accent1 2 4 5 2 2 5" xfId="35319" xr:uid="{00000000-0005-0000-0000-00000A480000}"/>
    <cellStyle name="40% - Accent1 2 4 5 2 3" xfId="9754" xr:uid="{00000000-0005-0000-0000-00000B480000}"/>
    <cellStyle name="40% - Accent1 2 4 5 2 4" xfId="16855" xr:uid="{00000000-0005-0000-0000-00000C480000}"/>
    <cellStyle name="40% - Accent1 2 4 5 2 5" xfId="23957" xr:uid="{00000000-0005-0000-0000-00000D480000}"/>
    <cellStyle name="40% - Accent1 2 4 5 2 6" xfId="31059" xr:uid="{00000000-0005-0000-0000-00000E480000}"/>
    <cellStyle name="40% - Accent1 2 4 5 2 7" xfId="38376" xr:uid="{00000000-0005-0000-0000-00000F480000}"/>
    <cellStyle name="40% - Accent1 2 4 5 3" xfId="5493" xr:uid="{00000000-0005-0000-0000-000010480000}"/>
    <cellStyle name="40% - Accent1 2 4 5 3 2" xfId="12594" xr:uid="{00000000-0005-0000-0000-000011480000}"/>
    <cellStyle name="40% - Accent1 2 4 5 3 3" xfId="19695" xr:uid="{00000000-0005-0000-0000-000012480000}"/>
    <cellStyle name="40% - Accent1 2 4 5 3 4" xfId="26797" xr:uid="{00000000-0005-0000-0000-000013480000}"/>
    <cellStyle name="40% - Accent1 2 4 5 3 5" xfId="33899" xr:uid="{00000000-0005-0000-0000-000014480000}"/>
    <cellStyle name="40% - Accent1 2 4 5 4" xfId="4068" xr:uid="{00000000-0005-0000-0000-000015480000}"/>
    <cellStyle name="40% - Accent1 2 4 5 4 2" xfId="11174" xr:uid="{00000000-0005-0000-0000-000016480000}"/>
    <cellStyle name="40% - Accent1 2 4 5 4 3" xfId="18275" xr:uid="{00000000-0005-0000-0000-000017480000}"/>
    <cellStyle name="40% - Accent1 2 4 5 4 4" xfId="25377" xr:uid="{00000000-0005-0000-0000-000018480000}"/>
    <cellStyle name="40% - Accent1 2 4 5 4 5" xfId="32479" xr:uid="{00000000-0005-0000-0000-000019480000}"/>
    <cellStyle name="40% - Accent1 2 4 5 5" xfId="8334" xr:uid="{00000000-0005-0000-0000-00001A480000}"/>
    <cellStyle name="40% - Accent1 2 4 5 6" xfId="15435" xr:uid="{00000000-0005-0000-0000-00001B480000}"/>
    <cellStyle name="40% - Accent1 2 4 5 7" xfId="22537" xr:uid="{00000000-0005-0000-0000-00001C480000}"/>
    <cellStyle name="40% - Accent1 2 4 5 8" xfId="29639" xr:uid="{00000000-0005-0000-0000-00001D480000}"/>
    <cellStyle name="40% - Accent1 2 4 5 9" xfId="38377" xr:uid="{00000000-0005-0000-0000-00001E480000}"/>
    <cellStyle name="40% - Accent1 2 4 6" xfId="1368" xr:uid="{00000000-0005-0000-0000-00001F480000}"/>
    <cellStyle name="40% - Accent1 2 4 6 2" xfId="2859" xr:uid="{00000000-0005-0000-0000-000020480000}"/>
    <cellStyle name="40% - Accent1 2 4 6 2 2" xfId="7127" xr:uid="{00000000-0005-0000-0000-000021480000}"/>
    <cellStyle name="40% - Accent1 2 4 6 2 2 2" xfId="14227" xr:uid="{00000000-0005-0000-0000-000022480000}"/>
    <cellStyle name="40% - Accent1 2 4 6 2 2 3" xfId="21328" xr:uid="{00000000-0005-0000-0000-000023480000}"/>
    <cellStyle name="40% - Accent1 2 4 6 2 2 4" xfId="28430" xr:uid="{00000000-0005-0000-0000-000024480000}"/>
    <cellStyle name="40% - Accent1 2 4 6 2 2 5" xfId="35532" xr:uid="{00000000-0005-0000-0000-000025480000}"/>
    <cellStyle name="40% - Accent1 2 4 6 2 3" xfId="9967" xr:uid="{00000000-0005-0000-0000-000026480000}"/>
    <cellStyle name="40% - Accent1 2 4 6 2 4" xfId="17068" xr:uid="{00000000-0005-0000-0000-000027480000}"/>
    <cellStyle name="40% - Accent1 2 4 6 2 5" xfId="24170" xr:uid="{00000000-0005-0000-0000-000028480000}"/>
    <cellStyle name="40% - Accent1 2 4 6 2 6" xfId="31272" xr:uid="{00000000-0005-0000-0000-000029480000}"/>
    <cellStyle name="40% - Accent1 2 4 6 2 7" xfId="38378" xr:uid="{00000000-0005-0000-0000-00002A480000}"/>
    <cellStyle name="40% - Accent1 2 4 6 3" xfId="5706" xr:uid="{00000000-0005-0000-0000-00002B480000}"/>
    <cellStyle name="40% - Accent1 2 4 6 3 2" xfId="12807" xr:uid="{00000000-0005-0000-0000-00002C480000}"/>
    <cellStyle name="40% - Accent1 2 4 6 3 3" xfId="19908" xr:uid="{00000000-0005-0000-0000-00002D480000}"/>
    <cellStyle name="40% - Accent1 2 4 6 3 4" xfId="27010" xr:uid="{00000000-0005-0000-0000-00002E480000}"/>
    <cellStyle name="40% - Accent1 2 4 6 3 5" xfId="34112" xr:uid="{00000000-0005-0000-0000-00002F480000}"/>
    <cellStyle name="40% - Accent1 2 4 6 4" xfId="4281" xr:uid="{00000000-0005-0000-0000-000030480000}"/>
    <cellStyle name="40% - Accent1 2 4 6 4 2" xfId="11387" xr:uid="{00000000-0005-0000-0000-000031480000}"/>
    <cellStyle name="40% - Accent1 2 4 6 4 3" xfId="18488" xr:uid="{00000000-0005-0000-0000-000032480000}"/>
    <cellStyle name="40% - Accent1 2 4 6 4 4" xfId="25590" xr:uid="{00000000-0005-0000-0000-000033480000}"/>
    <cellStyle name="40% - Accent1 2 4 6 4 5" xfId="32692" xr:uid="{00000000-0005-0000-0000-000034480000}"/>
    <cellStyle name="40% - Accent1 2 4 6 5" xfId="8547" xr:uid="{00000000-0005-0000-0000-000035480000}"/>
    <cellStyle name="40% - Accent1 2 4 6 6" xfId="15648" xr:uid="{00000000-0005-0000-0000-000036480000}"/>
    <cellStyle name="40% - Accent1 2 4 6 7" xfId="22750" xr:uid="{00000000-0005-0000-0000-000037480000}"/>
    <cellStyle name="40% - Accent1 2 4 6 8" xfId="29852" xr:uid="{00000000-0005-0000-0000-000038480000}"/>
    <cellStyle name="40% - Accent1 2 4 6 9" xfId="38379" xr:uid="{00000000-0005-0000-0000-000039480000}"/>
    <cellStyle name="40% - Accent1 2 4 7" xfId="1652" xr:uid="{00000000-0005-0000-0000-00003A480000}"/>
    <cellStyle name="40% - Accent1 2 4 7 2" xfId="5920" xr:uid="{00000000-0005-0000-0000-00003B480000}"/>
    <cellStyle name="40% - Accent1 2 4 7 2 2" xfId="13020" xr:uid="{00000000-0005-0000-0000-00003C480000}"/>
    <cellStyle name="40% - Accent1 2 4 7 2 3" xfId="20121" xr:uid="{00000000-0005-0000-0000-00003D480000}"/>
    <cellStyle name="40% - Accent1 2 4 7 2 4" xfId="27223" xr:uid="{00000000-0005-0000-0000-00003E480000}"/>
    <cellStyle name="40% - Accent1 2 4 7 2 5" xfId="34325" xr:uid="{00000000-0005-0000-0000-00003F480000}"/>
    <cellStyle name="40% - Accent1 2 4 7 3" xfId="8760" xr:uid="{00000000-0005-0000-0000-000040480000}"/>
    <cellStyle name="40% - Accent1 2 4 7 4" xfId="15861" xr:uid="{00000000-0005-0000-0000-000041480000}"/>
    <cellStyle name="40% - Accent1 2 4 7 5" xfId="22963" xr:uid="{00000000-0005-0000-0000-000042480000}"/>
    <cellStyle name="40% - Accent1 2 4 7 6" xfId="30065" xr:uid="{00000000-0005-0000-0000-000043480000}"/>
    <cellStyle name="40% - Accent1 2 4 7 7" xfId="38380" xr:uid="{00000000-0005-0000-0000-000044480000}"/>
    <cellStyle name="40% - Accent1 2 4 8" xfId="4499" xr:uid="{00000000-0005-0000-0000-000045480000}"/>
    <cellStyle name="40% - Accent1 2 4 8 2" xfId="11600" xr:uid="{00000000-0005-0000-0000-000046480000}"/>
    <cellStyle name="40% - Accent1 2 4 8 3" xfId="18701" xr:uid="{00000000-0005-0000-0000-000047480000}"/>
    <cellStyle name="40% - Accent1 2 4 8 4" xfId="25803" xr:uid="{00000000-0005-0000-0000-000048480000}"/>
    <cellStyle name="40% - Accent1 2 4 8 5" xfId="32905" xr:uid="{00000000-0005-0000-0000-000049480000}"/>
    <cellStyle name="40% - Accent1 2 4 9" xfId="3074" xr:uid="{00000000-0005-0000-0000-00004A480000}"/>
    <cellStyle name="40% - Accent1 2 4 9 2" xfId="10180" xr:uid="{00000000-0005-0000-0000-00004B480000}"/>
    <cellStyle name="40% - Accent1 2 4 9 3" xfId="17281" xr:uid="{00000000-0005-0000-0000-00004C480000}"/>
    <cellStyle name="40% - Accent1 2 4 9 4" xfId="24383" xr:uid="{00000000-0005-0000-0000-00004D480000}"/>
    <cellStyle name="40% - Accent1 2 4 9 5" xfId="31485" xr:uid="{00000000-0005-0000-0000-00004E480000}"/>
    <cellStyle name="40% - Accent1 2 5" xfId="303" xr:uid="{00000000-0005-0000-0000-00004F480000}"/>
    <cellStyle name="40% - Accent1 2 5 10" xfId="38381" xr:uid="{00000000-0005-0000-0000-000050480000}"/>
    <cellStyle name="40% - Accent1 2 5 2" xfId="1084" xr:uid="{00000000-0005-0000-0000-000051480000}"/>
    <cellStyle name="40% - Accent1 2 5 2 2" xfId="2575" xr:uid="{00000000-0005-0000-0000-000052480000}"/>
    <cellStyle name="40% - Accent1 2 5 2 2 2" xfId="6843" xr:uid="{00000000-0005-0000-0000-000053480000}"/>
    <cellStyle name="40% - Accent1 2 5 2 2 2 2" xfId="13943" xr:uid="{00000000-0005-0000-0000-000054480000}"/>
    <cellStyle name="40% - Accent1 2 5 2 2 2 3" xfId="21044" xr:uid="{00000000-0005-0000-0000-000055480000}"/>
    <cellStyle name="40% - Accent1 2 5 2 2 2 4" xfId="28146" xr:uid="{00000000-0005-0000-0000-000056480000}"/>
    <cellStyle name="40% - Accent1 2 5 2 2 2 5" xfId="35248" xr:uid="{00000000-0005-0000-0000-000057480000}"/>
    <cellStyle name="40% - Accent1 2 5 2 2 2 6" xfId="38382" xr:uid="{00000000-0005-0000-0000-000058480000}"/>
    <cellStyle name="40% - Accent1 2 5 2 2 3" xfId="9683" xr:uid="{00000000-0005-0000-0000-000059480000}"/>
    <cellStyle name="40% - Accent1 2 5 2 2 4" xfId="16784" xr:uid="{00000000-0005-0000-0000-00005A480000}"/>
    <cellStyle name="40% - Accent1 2 5 2 2 5" xfId="23886" xr:uid="{00000000-0005-0000-0000-00005B480000}"/>
    <cellStyle name="40% - Accent1 2 5 2 2 6" xfId="30988" xr:uid="{00000000-0005-0000-0000-00005C480000}"/>
    <cellStyle name="40% - Accent1 2 5 2 2 7" xfId="38383" xr:uid="{00000000-0005-0000-0000-00005D480000}"/>
    <cellStyle name="40% - Accent1 2 5 2 3" xfId="5422" xr:uid="{00000000-0005-0000-0000-00005E480000}"/>
    <cellStyle name="40% - Accent1 2 5 2 3 2" xfId="12523" xr:uid="{00000000-0005-0000-0000-00005F480000}"/>
    <cellStyle name="40% - Accent1 2 5 2 3 2 2" xfId="38384" xr:uid="{00000000-0005-0000-0000-000060480000}"/>
    <cellStyle name="40% - Accent1 2 5 2 3 3" xfId="19624" xr:uid="{00000000-0005-0000-0000-000061480000}"/>
    <cellStyle name="40% - Accent1 2 5 2 3 4" xfId="26726" xr:uid="{00000000-0005-0000-0000-000062480000}"/>
    <cellStyle name="40% - Accent1 2 5 2 3 5" xfId="33828" xr:uid="{00000000-0005-0000-0000-000063480000}"/>
    <cellStyle name="40% - Accent1 2 5 2 3 6" xfId="38385" xr:uid="{00000000-0005-0000-0000-000064480000}"/>
    <cellStyle name="40% - Accent1 2 5 2 4" xfId="3997" xr:uid="{00000000-0005-0000-0000-000065480000}"/>
    <cellStyle name="40% - Accent1 2 5 2 4 2" xfId="11103" xr:uid="{00000000-0005-0000-0000-000066480000}"/>
    <cellStyle name="40% - Accent1 2 5 2 4 3" xfId="18204" xr:uid="{00000000-0005-0000-0000-000067480000}"/>
    <cellStyle name="40% - Accent1 2 5 2 4 4" xfId="25306" xr:uid="{00000000-0005-0000-0000-000068480000}"/>
    <cellStyle name="40% - Accent1 2 5 2 4 5" xfId="32408" xr:uid="{00000000-0005-0000-0000-000069480000}"/>
    <cellStyle name="40% - Accent1 2 5 2 4 6" xfId="38386" xr:uid="{00000000-0005-0000-0000-00006A480000}"/>
    <cellStyle name="40% - Accent1 2 5 2 5" xfId="8263" xr:uid="{00000000-0005-0000-0000-00006B480000}"/>
    <cellStyle name="40% - Accent1 2 5 2 6" xfId="15364" xr:uid="{00000000-0005-0000-0000-00006C480000}"/>
    <cellStyle name="40% - Accent1 2 5 2 7" xfId="22466" xr:uid="{00000000-0005-0000-0000-00006D480000}"/>
    <cellStyle name="40% - Accent1 2 5 2 8" xfId="29568" xr:uid="{00000000-0005-0000-0000-00006E480000}"/>
    <cellStyle name="40% - Accent1 2 5 2 9" xfId="38387" xr:uid="{00000000-0005-0000-0000-00006F480000}"/>
    <cellStyle name="40% - Accent1 2 5 3" xfId="1794" xr:uid="{00000000-0005-0000-0000-000070480000}"/>
    <cellStyle name="40% - Accent1 2 5 3 2" xfId="6062" xr:uid="{00000000-0005-0000-0000-000071480000}"/>
    <cellStyle name="40% - Accent1 2 5 3 2 2" xfId="13162" xr:uid="{00000000-0005-0000-0000-000072480000}"/>
    <cellStyle name="40% - Accent1 2 5 3 2 2 2" xfId="38388" xr:uid="{00000000-0005-0000-0000-000073480000}"/>
    <cellStyle name="40% - Accent1 2 5 3 2 3" xfId="20263" xr:uid="{00000000-0005-0000-0000-000074480000}"/>
    <cellStyle name="40% - Accent1 2 5 3 2 4" xfId="27365" xr:uid="{00000000-0005-0000-0000-000075480000}"/>
    <cellStyle name="40% - Accent1 2 5 3 2 5" xfId="34467" xr:uid="{00000000-0005-0000-0000-000076480000}"/>
    <cellStyle name="40% - Accent1 2 5 3 2 6" xfId="38389" xr:uid="{00000000-0005-0000-0000-000077480000}"/>
    <cellStyle name="40% - Accent1 2 5 3 3" xfId="8902" xr:uid="{00000000-0005-0000-0000-000078480000}"/>
    <cellStyle name="40% - Accent1 2 5 3 3 2" xfId="38390" xr:uid="{00000000-0005-0000-0000-000079480000}"/>
    <cellStyle name="40% - Accent1 2 5 3 3 3" xfId="38391" xr:uid="{00000000-0005-0000-0000-00007A480000}"/>
    <cellStyle name="40% - Accent1 2 5 3 4" xfId="16003" xr:uid="{00000000-0005-0000-0000-00007B480000}"/>
    <cellStyle name="40% - Accent1 2 5 3 4 2" xfId="38392" xr:uid="{00000000-0005-0000-0000-00007C480000}"/>
    <cellStyle name="40% - Accent1 2 5 3 5" xfId="23105" xr:uid="{00000000-0005-0000-0000-00007D480000}"/>
    <cellStyle name="40% - Accent1 2 5 3 6" xfId="30207" xr:uid="{00000000-0005-0000-0000-00007E480000}"/>
    <cellStyle name="40% - Accent1 2 5 3 7" xfId="38393" xr:uid="{00000000-0005-0000-0000-00007F480000}"/>
    <cellStyle name="40% - Accent1 2 5 4" xfId="4641" xr:uid="{00000000-0005-0000-0000-000080480000}"/>
    <cellStyle name="40% - Accent1 2 5 4 2" xfId="11742" xr:uid="{00000000-0005-0000-0000-000081480000}"/>
    <cellStyle name="40% - Accent1 2 5 4 2 2" xfId="38394" xr:uid="{00000000-0005-0000-0000-000082480000}"/>
    <cellStyle name="40% - Accent1 2 5 4 2 3" xfId="38395" xr:uid="{00000000-0005-0000-0000-000083480000}"/>
    <cellStyle name="40% - Accent1 2 5 4 3" xfId="18843" xr:uid="{00000000-0005-0000-0000-000084480000}"/>
    <cellStyle name="40% - Accent1 2 5 4 3 2" xfId="38396" xr:uid="{00000000-0005-0000-0000-000085480000}"/>
    <cellStyle name="40% - Accent1 2 5 4 3 3" xfId="38397" xr:uid="{00000000-0005-0000-0000-000086480000}"/>
    <cellStyle name="40% - Accent1 2 5 4 4" xfId="25945" xr:uid="{00000000-0005-0000-0000-000087480000}"/>
    <cellStyle name="40% - Accent1 2 5 4 4 2" xfId="38398" xr:uid="{00000000-0005-0000-0000-000088480000}"/>
    <cellStyle name="40% - Accent1 2 5 4 5" xfId="33047" xr:uid="{00000000-0005-0000-0000-000089480000}"/>
    <cellStyle name="40% - Accent1 2 5 4 6" xfId="38399" xr:uid="{00000000-0005-0000-0000-00008A480000}"/>
    <cellStyle name="40% - Accent1 2 5 5" xfId="3216" xr:uid="{00000000-0005-0000-0000-00008B480000}"/>
    <cellStyle name="40% - Accent1 2 5 5 2" xfId="10322" xr:uid="{00000000-0005-0000-0000-00008C480000}"/>
    <cellStyle name="40% - Accent1 2 5 5 2 2" xfId="38400" xr:uid="{00000000-0005-0000-0000-00008D480000}"/>
    <cellStyle name="40% - Accent1 2 5 5 3" xfId="17423" xr:uid="{00000000-0005-0000-0000-00008E480000}"/>
    <cellStyle name="40% - Accent1 2 5 5 4" xfId="24525" xr:uid="{00000000-0005-0000-0000-00008F480000}"/>
    <cellStyle name="40% - Accent1 2 5 5 5" xfId="31627" xr:uid="{00000000-0005-0000-0000-000090480000}"/>
    <cellStyle name="40% - Accent1 2 5 5 6" xfId="38401" xr:uid="{00000000-0005-0000-0000-000091480000}"/>
    <cellStyle name="40% - Accent1 2 5 6" xfId="7482" xr:uid="{00000000-0005-0000-0000-000092480000}"/>
    <cellStyle name="40% - Accent1 2 5 6 2" xfId="38402" xr:uid="{00000000-0005-0000-0000-000093480000}"/>
    <cellStyle name="40% - Accent1 2 5 6 3" xfId="38403" xr:uid="{00000000-0005-0000-0000-000094480000}"/>
    <cellStyle name="40% - Accent1 2 5 7" xfId="14583" xr:uid="{00000000-0005-0000-0000-000095480000}"/>
    <cellStyle name="40% - Accent1 2 5 7 2" xfId="38404" xr:uid="{00000000-0005-0000-0000-000096480000}"/>
    <cellStyle name="40% - Accent1 2 5 8" xfId="21685" xr:uid="{00000000-0005-0000-0000-000097480000}"/>
    <cellStyle name="40% - Accent1 2 5 9" xfId="28787" xr:uid="{00000000-0005-0000-0000-000098480000}"/>
    <cellStyle name="40% - Accent1 2 6" xfId="516" xr:uid="{00000000-0005-0000-0000-000099480000}"/>
    <cellStyle name="40% - Accent1 2 6 2" xfId="2007" xr:uid="{00000000-0005-0000-0000-00009A480000}"/>
    <cellStyle name="40% - Accent1 2 6 2 2" xfId="6275" xr:uid="{00000000-0005-0000-0000-00009B480000}"/>
    <cellStyle name="40% - Accent1 2 6 2 2 2" xfId="13375" xr:uid="{00000000-0005-0000-0000-00009C480000}"/>
    <cellStyle name="40% - Accent1 2 6 2 2 3" xfId="20476" xr:uid="{00000000-0005-0000-0000-00009D480000}"/>
    <cellStyle name="40% - Accent1 2 6 2 2 4" xfId="27578" xr:uid="{00000000-0005-0000-0000-00009E480000}"/>
    <cellStyle name="40% - Accent1 2 6 2 2 5" xfId="34680" xr:uid="{00000000-0005-0000-0000-00009F480000}"/>
    <cellStyle name="40% - Accent1 2 6 2 2 6" xfId="38405" xr:uid="{00000000-0005-0000-0000-0000A0480000}"/>
    <cellStyle name="40% - Accent1 2 6 2 3" xfId="9115" xr:uid="{00000000-0005-0000-0000-0000A1480000}"/>
    <cellStyle name="40% - Accent1 2 6 2 4" xfId="16216" xr:uid="{00000000-0005-0000-0000-0000A2480000}"/>
    <cellStyle name="40% - Accent1 2 6 2 5" xfId="23318" xr:uid="{00000000-0005-0000-0000-0000A3480000}"/>
    <cellStyle name="40% - Accent1 2 6 2 6" xfId="30420" xr:uid="{00000000-0005-0000-0000-0000A4480000}"/>
    <cellStyle name="40% - Accent1 2 6 2 7" xfId="38406" xr:uid="{00000000-0005-0000-0000-0000A5480000}"/>
    <cellStyle name="40% - Accent1 2 6 3" xfId="4854" xr:uid="{00000000-0005-0000-0000-0000A6480000}"/>
    <cellStyle name="40% - Accent1 2 6 3 2" xfId="11955" xr:uid="{00000000-0005-0000-0000-0000A7480000}"/>
    <cellStyle name="40% - Accent1 2 6 3 2 2" xfId="38407" xr:uid="{00000000-0005-0000-0000-0000A8480000}"/>
    <cellStyle name="40% - Accent1 2 6 3 3" xfId="19056" xr:uid="{00000000-0005-0000-0000-0000A9480000}"/>
    <cellStyle name="40% - Accent1 2 6 3 4" xfId="26158" xr:uid="{00000000-0005-0000-0000-0000AA480000}"/>
    <cellStyle name="40% - Accent1 2 6 3 5" xfId="33260" xr:uid="{00000000-0005-0000-0000-0000AB480000}"/>
    <cellStyle name="40% - Accent1 2 6 3 6" xfId="38408" xr:uid="{00000000-0005-0000-0000-0000AC480000}"/>
    <cellStyle name="40% - Accent1 2 6 4" xfId="3429" xr:uid="{00000000-0005-0000-0000-0000AD480000}"/>
    <cellStyle name="40% - Accent1 2 6 4 2" xfId="10535" xr:uid="{00000000-0005-0000-0000-0000AE480000}"/>
    <cellStyle name="40% - Accent1 2 6 4 3" xfId="17636" xr:uid="{00000000-0005-0000-0000-0000AF480000}"/>
    <cellStyle name="40% - Accent1 2 6 4 4" xfId="24738" xr:uid="{00000000-0005-0000-0000-0000B0480000}"/>
    <cellStyle name="40% - Accent1 2 6 4 5" xfId="31840" xr:uid="{00000000-0005-0000-0000-0000B1480000}"/>
    <cellStyle name="40% - Accent1 2 6 4 6" xfId="38409" xr:uid="{00000000-0005-0000-0000-0000B2480000}"/>
    <cellStyle name="40% - Accent1 2 6 5" xfId="7695" xr:uid="{00000000-0005-0000-0000-0000B3480000}"/>
    <cellStyle name="40% - Accent1 2 6 6" xfId="14796" xr:uid="{00000000-0005-0000-0000-0000B4480000}"/>
    <cellStyle name="40% - Accent1 2 6 7" xfId="21898" xr:uid="{00000000-0005-0000-0000-0000B5480000}"/>
    <cellStyle name="40% - Accent1 2 6 8" xfId="29000" xr:uid="{00000000-0005-0000-0000-0000B6480000}"/>
    <cellStyle name="40% - Accent1 2 6 9" xfId="38410" xr:uid="{00000000-0005-0000-0000-0000B7480000}"/>
    <cellStyle name="40% - Accent1 2 7" xfId="729" xr:uid="{00000000-0005-0000-0000-0000B8480000}"/>
    <cellStyle name="40% - Accent1 2 7 2" xfId="2220" xr:uid="{00000000-0005-0000-0000-0000B9480000}"/>
    <cellStyle name="40% - Accent1 2 7 2 2" xfId="6488" xr:uid="{00000000-0005-0000-0000-0000BA480000}"/>
    <cellStyle name="40% - Accent1 2 7 2 2 2" xfId="13588" xr:uid="{00000000-0005-0000-0000-0000BB480000}"/>
    <cellStyle name="40% - Accent1 2 7 2 2 3" xfId="20689" xr:uid="{00000000-0005-0000-0000-0000BC480000}"/>
    <cellStyle name="40% - Accent1 2 7 2 2 4" xfId="27791" xr:uid="{00000000-0005-0000-0000-0000BD480000}"/>
    <cellStyle name="40% - Accent1 2 7 2 2 5" xfId="34893" xr:uid="{00000000-0005-0000-0000-0000BE480000}"/>
    <cellStyle name="40% - Accent1 2 7 2 2 6" xfId="38411" xr:uid="{00000000-0005-0000-0000-0000BF480000}"/>
    <cellStyle name="40% - Accent1 2 7 2 3" xfId="9328" xr:uid="{00000000-0005-0000-0000-0000C0480000}"/>
    <cellStyle name="40% - Accent1 2 7 2 4" xfId="16429" xr:uid="{00000000-0005-0000-0000-0000C1480000}"/>
    <cellStyle name="40% - Accent1 2 7 2 5" xfId="23531" xr:uid="{00000000-0005-0000-0000-0000C2480000}"/>
    <cellStyle name="40% - Accent1 2 7 2 6" xfId="30633" xr:uid="{00000000-0005-0000-0000-0000C3480000}"/>
    <cellStyle name="40% - Accent1 2 7 2 7" xfId="38412" xr:uid="{00000000-0005-0000-0000-0000C4480000}"/>
    <cellStyle name="40% - Accent1 2 7 3" xfId="5067" xr:uid="{00000000-0005-0000-0000-0000C5480000}"/>
    <cellStyle name="40% - Accent1 2 7 3 2" xfId="12168" xr:uid="{00000000-0005-0000-0000-0000C6480000}"/>
    <cellStyle name="40% - Accent1 2 7 3 2 2" xfId="38413" xr:uid="{00000000-0005-0000-0000-0000C7480000}"/>
    <cellStyle name="40% - Accent1 2 7 3 3" xfId="19269" xr:uid="{00000000-0005-0000-0000-0000C8480000}"/>
    <cellStyle name="40% - Accent1 2 7 3 4" xfId="26371" xr:uid="{00000000-0005-0000-0000-0000C9480000}"/>
    <cellStyle name="40% - Accent1 2 7 3 5" xfId="33473" xr:uid="{00000000-0005-0000-0000-0000CA480000}"/>
    <cellStyle name="40% - Accent1 2 7 3 6" xfId="38414" xr:uid="{00000000-0005-0000-0000-0000CB480000}"/>
    <cellStyle name="40% - Accent1 2 7 4" xfId="3642" xr:uid="{00000000-0005-0000-0000-0000CC480000}"/>
    <cellStyle name="40% - Accent1 2 7 4 2" xfId="10748" xr:uid="{00000000-0005-0000-0000-0000CD480000}"/>
    <cellStyle name="40% - Accent1 2 7 4 3" xfId="17849" xr:uid="{00000000-0005-0000-0000-0000CE480000}"/>
    <cellStyle name="40% - Accent1 2 7 4 4" xfId="24951" xr:uid="{00000000-0005-0000-0000-0000CF480000}"/>
    <cellStyle name="40% - Accent1 2 7 4 5" xfId="32053" xr:uid="{00000000-0005-0000-0000-0000D0480000}"/>
    <cellStyle name="40% - Accent1 2 7 4 6" xfId="38415" xr:uid="{00000000-0005-0000-0000-0000D1480000}"/>
    <cellStyle name="40% - Accent1 2 7 5" xfId="7908" xr:uid="{00000000-0005-0000-0000-0000D2480000}"/>
    <cellStyle name="40% - Accent1 2 7 6" xfId="15009" xr:uid="{00000000-0005-0000-0000-0000D3480000}"/>
    <cellStyle name="40% - Accent1 2 7 7" xfId="22111" xr:uid="{00000000-0005-0000-0000-0000D4480000}"/>
    <cellStyle name="40% - Accent1 2 7 8" xfId="29213" xr:uid="{00000000-0005-0000-0000-0000D5480000}"/>
    <cellStyle name="40% - Accent1 2 7 9" xfId="38416" xr:uid="{00000000-0005-0000-0000-0000D6480000}"/>
    <cellStyle name="40% - Accent1 2 8" xfId="942" xr:uid="{00000000-0005-0000-0000-0000D7480000}"/>
    <cellStyle name="40% - Accent1 2 8 2" xfId="2433" xr:uid="{00000000-0005-0000-0000-0000D8480000}"/>
    <cellStyle name="40% - Accent1 2 8 2 2" xfId="6701" xr:uid="{00000000-0005-0000-0000-0000D9480000}"/>
    <cellStyle name="40% - Accent1 2 8 2 2 2" xfId="13801" xr:uid="{00000000-0005-0000-0000-0000DA480000}"/>
    <cellStyle name="40% - Accent1 2 8 2 2 3" xfId="20902" xr:uid="{00000000-0005-0000-0000-0000DB480000}"/>
    <cellStyle name="40% - Accent1 2 8 2 2 4" xfId="28004" xr:uid="{00000000-0005-0000-0000-0000DC480000}"/>
    <cellStyle name="40% - Accent1 2 8 2 2 5" xfId="35106" xr:uid="{00000000-0005-0000-0000-0000DD480000}"/>
    <cellStyle name="40% - Accent1 2 8 2 2 6" xfId="38417" xr:uid="{00000000-0005-0000-0000-0000DE480000}"/>
    <cellStyle name="40% - Accent1 2 8 2 3" xfId="9541" xr:uid="{00000000-0005-0000-0000-0000DF480000}"/>
    <cellStyle name="40% - Accent1 2 8 2 4" xfId="16642" xr:uid="{00000000-0005-0000-0000-0000E0480000}"/>
    <cellStyle name="40% - Accent1 2 8 2 5" xfId="23744" xr:uid="{00000000-0005-0000-0000-0000E1480000}"/>
    <cellStyle name="40% - Accent1 2 8 2 6" xfId="30846" xr:uid="{00000000-0005-0000-0000-0000E2480000}"/>
    <cellStyle name="40% - Accent1 2 8 2 7" xfId="38418" xr:uid="{00000000-0005-0000-0000-0000E3480000}"/>
    <cellStyle name="40% - Accent1 2 8 3" xfId="5280" xr:uid="{00000000-0005-0000-0000-0000E4480000}"/>
    <cellStyle name="40% - Accent1 2 8 3 2" xfId="12381" xr:uid="{00000000-0005-0000-0000-0000E5480000}"/>
    <cellStyle name="40% - Accent1 2 8 3 2 2" xfId="38419" xr:uid="{00000000-0005-0000-0000-0000E6480000}"/>
    <cellStyle name="40% - Accent1 2 8 3 3" xfId="19482" xr:uid="{00000000-0005-0000-0000-0000E7480000}"/>
    <cellStyle name="40% - Accent1 2 8 3 4" xfId="26584" xr:uid="{00000000-0005-0000-0000-0000E8480000}"/>
    <cellStyle name="40% - Accent1 2 8 3 5" xfId="33686" xr:uid="{00000000-0005-0000-0000-0000E9480000}"/>
    <cellStyle name="40% - Accent1 2 8 3 6" xfId="38420" xr:uid="{00000000-0005-0000-0000-0000EA480000}"/>
    <cellStyle name="40% - Accent1 2 8 4" xfId="3855" xr:uid="{00000000-0005-0000-0000-0000EB480000}"/>
    <cellStyle name="40% - Accent1 2 8 4 2" xfId="10961" xr:uid="{00000000-0005-0000-0000-0000EC480000}"/>
    <cellStyle name="40% - Accent1 2 8 4 3" xfId="18062" xr:uid="{00000000-0005-0000-0000-0000ED480000}"/>
    <cellStyle name="40% - Accent1 2 8 4 4" xfId="25164" xr:uid="{00000000-0005-0000-0000-0000EE480000}"/>
    <cellStyle name="40% - Accent1 2 8 4 5" xfId="32266" xr:uid="{00000000-0005-0000-0000-0000EF480000}"/>
    <cellStyle name="40% - Accent1 2 8 4 6" xfId="38421" xr:uid="{00000000-0005-0000-0000-0000F0480000}"/>
    <cellStyle name="40% - Accent1 2 8 5" xfId="8121" xr:uid="{00000000-0005-0000-0000-0000F1480000}"/>
    <cellStyle name="40% - Accent1 2 8 6" xfId="15222" xr:uid="{00000000-0005-0000-0000-0000F2480000}"/>
    <cellStyle name="40% - Accent1 2 8 7" xfId="22324" xr:uid="{00000000-0005-0000-0000-0000F3480000}"/>
    <cellStyle name="40% - Accent1 2 8 8" xfId="29426" xr:uid="{00000000-0005-0000-0000-0000F4480000}"/>
    <cellStyle name="40% - Accent1 2 8 9" xfId="38422" xr:uid="{00000000-0005-0000-0000-0000F5480000}"/>
    <cellStyle name="40% - Accent1 2 9" xfId="1297" xr:uid="{00000000-0005-0000-0000-0000F6480000}"/>
    <cellStyle name="40% - Accent1 2 9 2" xfId="2788" xr:uid="{00000000-0005-0000-0000-0000F7480000}"/>
    <cellStyle name="40% - Accent1 2 9 2 2" xfId="7056" xr:uid="{00000000-0005-0000-0000-0000F8480000}"/>
    <cellStyle name="40% - Accent1 2 9 2 2 2" xfId="14156" xr:uid="{00000000-0005-0000-0000-0000F9480000}"/>
    <cellStyle name="40% - Accent1 2 9 2 2 3" xfId="21257" xr:uid="{00000000-0005-0000-0000-0000FA480000}"/>
    <cellStyle name="40% - Accent1 2 9 2 2 4" xfId="28359" xr:uid="{00000000-0005-0000-0000-0000FB480000}"/>
    <cellStyle name="40% - Accent1 2 9 2 2 5" xfId="35461" xr:uid="{00000000-0005-0000-0000-0000FC480000}"/>
    <cellStyle name="40% - Accent1 2 9 2 3" xfId="9896" xr:uid="{00000000-0005-0000-0000-0000FD480000}"/>
    <cellStyle name="40% - Accent1 2 9 2 4" xfId="16997" xr:uid="{00000000-0005-0000-0000-0000FE480000}"/>
    <cellStyle name="40% - Accent1 2 9 2 5" xfId="24099" xr:uid="{00000000-0005-0000-0000-0000FF480000}"/>
    <cellStyle name="40% - Accent1 2 9 2 6" xfId="31201" xr:uid="{00000000-0005-0000-0000-000000490000}"/>
    <cellStyle name="40% - Accent1 2 9 2 7" xfId="38423" xr:uid="{00000000-0005-0000-0000-000001490000}"/>
    <cellStyle name="40% - Accent1 2 9 3" xfId="5635" xr:uid="{00000000-0005-0000-0000-000002490000}"/>
    <cellStyle name="40% - Accent1 2 9 3 2" xfId="12736" xr:uid="{00000000-0005-0000-0000-000003490000}"/>
    <cellStyle name="40% - Accent1 2 9 3 3" xfId="19837" xr:uid="{00000000-0005-0000-0000-000004490000}"/>
    <cellStyle name="40% - Accent1 2 9 3 4" xfId="26939" xr:uid="{00000000-0005-0000-0000-000005490000}"/>
    <cellStyle name="40% - Accent1 2 9 3 5" xfId="34041" xr:uid="{00000000-0005-0000-0000-000006490000}"/>
    <cellStyle name="40% - Accent1 2 9 4" xfId="4210" xr:uid="{00000000-0005-0000-0000-000007490000}"/>
    <cellStyle name="40% - Accent1 2 9 4 2" xfId="11316" xr:uid="{00000000-0005-0000-0000-000008490000}"/>
    <cellStyle name="40% - Accent1 2 9 4 3" xfId="18417" xr:uid="{00000000-0005-0000-0000-000009490000}"/>
    <cellStyle name="40% - Accent1 2 9 4 4" xfId="25519" xr:uid="{00000000-0005-0000-0000-00000A490000}"/>
    <cellStyle name="40% - Accent1 2 9 4 5" xfId="32621" xr:uid="{00000000-0005-0000-0000-00000B490000}"/>
    <cellStyle name="40% - Accent1 2 9 5" xfId="8476" xr:uid="{00000000-0005-0000-0000-00000C490000}"/>
    <cellStyle name="40% - Accent1 2 9 6" xfId="15577" xr:uid="{00000000-0005-0000-0000-00000D490000}"/>
    <cellStyle name="40% - Accent1 2 9 7" xfId="22679" xr:uid="{00000000-0005-0000-0000-00000E490000}"/>
    <cellStyle name="40% - Accent1 2 9 8" xfId="29781" xr:uid="{00000000-0005-0000-0000-00000F490000}"/>
    <cellStyle name="40% - Accent1 2 9 9" xfId="38424" xr:uid="{00000000-0005-0000-0000-000010490000}"/>
    <cellStyle name="40% - Accent1 20" xfId="38425" xr:uid="{00000000-0005-0000-0000-000011490000}"/>
    <cellStyle name="40% - Accent1 21" xfId="38426" xr:uid="{00000000-0005-0000-0000-000012490000}"/>
    <cellStyle name="40% - Accent1 22" xfId="38427" xr:uid="{00000000-0005-0000-0000-000013490000}"/>
    <cellStyle name="40% - Accent1 23" xfId="38428" xr:uid="{00000000-0005-0000-0000-000014490000}"/>
    <cellStyle name="40% - Accent1 24" xfId="38429" xr:uid="{00000000-0005-0000-0000-000015490000}"/>
    <cellStyle name="40% - Accent1 25" xfId="38430" xr:uid="{00000000-0005-0000-0000-000016490000}"/>
    <cellStyle name="40% - Accent1 3" xfId="98" xr:uid="{00000000-0005-0000-0000-000017490000}"/>
    <cellStyle name="40% - Accent1 3 10" xfId="4442" xr:uid="{00000000-0005-0000-0000-000018490000}"/>
    <cellStyle name="40% - Accent1 3 10 2" xfId="11543" xr:uid="{00000000-0005-0000-0000-000019490000}"/>
    <cellStyle name="40% - Accent1 3 10 3" xfId="18644" xr:uid="{00000000-0005-0000-0000-00001A490000}"/>
    <cellStyle name="40% - Accent1 3 10 4" xfId="25746" xr:uid="{00000000-0005-0000-0000-00001B490000}"/>
    <cellStyle name="40% - Accent1 3 10 5" xfId="32848" xr:uid="{00000000-0005-0000-0000-00001C490000}"/>
    <cellStyle name="40% - Accent1 3 11" xfId="3017" xr:uid="{00000000-0005-0000-0000-00001D490000}"/>
    <cellStyle name="40% - Accent1 3 11 2" xfId="10123" xr:uid="{00000000-0005-0000-0000-00001E490000}"/>
    <cellStyle name="40% - Accent1 3 11 3" xfId="17224" xr:uid="{00000000-0005-0000-0000-00001F490000}"/>
    <cellStyle name="40% - Accent1 3 11 4" xfId="24326" xr:uid="{00000000-0005-0000-0000-000020490000}"/>
    <cellStyle name="40% - Accent1 3 11 5" xfId="31428" xr:uid="{00000000-0005-0000-0000-000021490000}"/>
    <cellStyle name="40% - Accent1 3 12" xfId="7283" xr:uid="{00000000-0005-0000-0000-000022490000}"/>
    <cellStyle name="40% - Accent1 3 13" xfId="14384" xr:uid="{00000000-0005-0000-0000-000023490000}"/>
    <cellStyle name="40% - Accent1 3 14" xfId="21486" xr:uid="{00000000-0005-0000-0000-000024490000}"/>
    <cellStyle name="40% - Accent1 3 15" xfId="28588" xr:uid="{00000000-0005-0000-0000-000025490000}"/>
    <cellStyle name="40% - Accent1 3 16" xfId="35690" xr:uid="{00000000-0005-0000-0000-000026490000}"/>
    <cellStyle name="40% - Accent1 3 17" xfId="38431" xr:uid="{00000000-0005-0000-0000-000027490000}"/>
    <cellStyle name="40% - Accent1 3 18" xfId="38432" xr:uid="{00000000-0005-0000-0000-000028490000}"/>
    <cellStyle name="40% - Accent1 3 2" xfId="246" xr:uid="{00000000-0005-0000-0000-000029490000}"/>
    <cellStyle name="40% - Accent1 3 2 10" xfId="7425" xr:uid="{00000000-0005-0000-0000-00002A490000}"/>
    <cellStyle name="40% - Accent1 3 2 11" xfId="14526" xr:uid="{00000000-0005-0000-0000-00002B490000}"/>
    <cellStyle name="40% - Accent1 3 2 12" xfId="21628" xr:uid="{00000000-0005-0000-0000-00002C490000}"/>
    <cellStyle name="40% - Accent1 3 2 13" xfId="28730" xr:uid="{00000000-0005-0000-0000-00002D490000}"/>
    <cellStyle name="40% - Accent1 3 2 14" xfId="35832" xr:uid="{00000000-0005-0000-0000-00002E490000}"/>
    <cellStyle name="40% - Accent1 3 2 15" xfId="38433" xr:uid="{00000000-0005-0000-0000-00002F490000}"/>
    <cellStyle name="40% - Accent1 3 2 2" xfId="459" xr:uid="{00000000-0005-0000-0000-000030490000}"/>
    <cellStyle name="40% - Accent1 3 2 2 10" xfId="38434" xr:uid="{00000000-0005-0000-0000-000031490000}"/>
    <cellStyle name="40% - Accent1 3 2 2 2" xfId="1240" xr:uid="{00000000-0005-0000-0000-000032490000}"/>
    <cellStyle name="40% - Accent1 3 2 2 2 2" xfId="2731" xr:uid="{00000000-0005-0000-0000-000033490000}"/>
    <cellStyle name="40% - Accent1 3 2 2 2 2 2" xfId="6999" xr:uid="{00000000-0005-0000-0000-000034490000}"/>
    <cellStyle name="40% - Accent1 3 2 2 2 2 2 2" xfId="14099" xr:uid="{00000000-0005-0000-0000-000035490000}"/>
    <cellStyle name="40% - Accent1 3 2 2 2 2 2 3" xfId="21200" xr:uid="{00000000-0005-0000-0000-000036490000}"/>
    <cellStyle name="40% - Accent1 3 2 2 2 2 2 4" xfId="28302" xr:uid="{00000000-0005-0000-0000-000037490000}"/>
    <cellStyle name="40% - Accent1 3 2 2 2 2 2 5" xfId="35404" xr:uid="{00000000-0005-0000-0000-000038490000}"/>
    <cellStyle name="40% - Accent1 3 2 2 2 2 3" xfId="9839" xr:uid="{00000000-0005-0000-0000-000039490000}"/>
    <cellStyle name="40% - Accent1 3 2 2 2 2 4" xfId="16940" xr:uid="{00000000-0005-0000-0000-00003A490000}"/>
    <cellStyle name="40% - Accent1 3 2 2 2 2 5" xfId="24042" xr:uid="{00000000-0005-0000-0000-00003B490000}"/>
    <cellStyle name="40% - Accent1 3 2 2 2 2 6" xfId="31144" xr:uid="{00000000-0005-0000-0000-00003C490000}"/>
    <cellStyle name="40% - Accent1 3 2 2 2 2 7" xfId="38435" xr:uid="{00000000-0005-0000-0000-00003D490000}"/>
    <cellStyle name="40% - Accent1 3 2 2 2 3" xfId="5578" xr:uid="{00000000-0005-0000-0000-00003E490000}"/>
    <cellStyle name="40% - Accent1 3 2 2 2 3 2" xfId="12679" xr:uid="{00000000-0005-0000-0000-00003F490000}"/>
    <cellStyle name="40% - Accent1 3 2 2 2 3 3" xfId="19780" xr:uid="{00000000-0005-0000-0000-000040490000}"/>
    <cellStyle name="40% - Accent1 3 2 2 2 3 4" xfId="26882" xr:uid="{00000000-0005-0000-0000-000041490000}"/>
    <cellStyle name="40% - Accent1 3 2 2 2 3 5" xfId="33984" xr:uid="{00000000-0005-0000-0000-000042490000}"/>
    <cellStyle name="40% - Accent1 3 2 2 2 4" xfId="4153" xr:uid="{00000000-0005-0000-0000-000043490000}"/>
    <cellStyle name="40% - Accent1 3 2 2 2 4 2" xfId="11259" xr:uid="{00000000-0005-0000-0000-000044490000}"/>
    <cellStyle name="40% - Accent1 3 2 2 2 4 3" xfId="18360" xr:uid="{00000000-0005-0000-0000-000045490000}"/>
    <cellStyle name="40% - Accent1 3 2 2 2 4 4" xfId="25462" xr:uid="{00000000-0005-0000-0000-000046490000}"/>
    <cellStyle name="40% - Accent1 3 2 2 2 4 5" xfId="32564" xr:uid="{00000000-0005-0000-0000-000047490000}"/>
    <cellStyle name="40% - Accent1 3 2 2 2 5" xfId="8419" xr:uid="{00000000-0005-0000-0000-000048490000}"/>
    <cellStyle name="40% - Accent1 3 2 2 2 6" xfId="15520" xr:uid="{00000000-0005-0000-0000-000049490000}"/>
    <cellStyle name="40% - Accent1 3 2 2 2 7" xfId="22622" xr:uid="{00000000-0005-0000-0000-00004A490000}"/>
    <cellStyle name="40% - Accent1 3 2 2 2 8" xfId="29724" xr:uid="{00000000-0005-0000-0000-00004B490000}"/>
    <cellStyle name="40% - Accent1 3 2 2 2 9" xfId="38436" xr:uid="{00000000-0005-0000-0000-00004C490000}"/>
    <cellStyle name="40% - Accent1 3 2 2 3" xfId="1950" xr:uid="{00000000-0005-0000-0000-00004D490000}"/>
    <cellStyle name="40% - Accent1 3 2 2 3 2" xfId="6218" xr:uid="{00000000-0005-0000-0000-00004E490000}"/>
    <cellStyle name="40% - Accent1 3 2 2 3 2 2" xfId="13318" xr:uid="{00000000-0005-0000-0000-00004F490000}"/>
    <cellStyle name="40% - Accent1 3 2 2 3 2 3" xfId="20419" xr:uid="{00000000-0005-0000-0000-000050490000}"/>
    <cellStyle name="40% - Accent1 3 2 2 3 2 4" xfId="27521" xr:uid="{00000000-0005-0000-0000-000051490000}"/>
    <cellStyle name="40% - Accent1 3 2 2 3 2 5" xfId="34623" xr:uid="{00000000-0005-0000-0000-000052490000}"/>
    <cellStyle name="40% - Accent1 3 2 2 3 2 6" xfId="38437" xr:uid="{00000000-0005-0000-0000-000053490000}"/>
    <cellStyle name="40% - Accent1 3 2 2 3 3" xfId="9058" xr:uid="{00000000-0005-0000-0000-000054490000}"/>
    <cellStyle name="40% - Accent1 3 2 2 3 4" xfId="16159" xr:uid="{00000000-0005-0000-0000-000055490000}"/>
    <cellStyle name="40% - Accent1 3 2 2 3 5" xfId="23261" xr:uid="{00000000-0005-0000-0000-000056490000}"/>
    <cellStyle name="40% - Accent1 3 2 2 3 6" xfId="30363" xr:uid="{00000000-0005-0000-0000-000057490000}"/>
    <cellStyle name="40% - Accent1 3 2 2 3 7" xfId="38438" xr:uid="{00000000-0005-0000-0000-000058490000}"/>
    <cellStyle name="40% - Accent1 3 2 2 4" xfId="4797" xr:uid="{00000000-0005-0000-0000-000059490000}"/>
    <cellStyle name="40% - Accent1 3 2 2 4 2" xfId="11898" xr:uid="{00000000-0005-0000-0000-00005A490000}"/>
    <cellStyle name="40% - Accent1 3 2 2 4 3" xfId="18999" xr:uid="{00000000-0005-0000-0000-00005B490000}"/>
    <cellStyle name="40% - Accent1 3 2 2 4 4" xfId="26101" xr:uid="{00000000-0005-0000-0000-00005C490000}"/>
    <cellStyle name="40% - Accent1 3 2 2 4 5" xfId="33203" xr:uid="{00000000-0005-0000-0000-00005D490000}"/>
    <cellStyle name="40% - Accent1 3 2 2 4 6" xfId="38439" xr:uid="{00000000-0005-0000-0000-00005E490000}"/>
    <cellStyle name="40% - Accent1 3 2 2 5" xfId="3372" xr:uid="{00000000-0005-0000-0000-00005F490000}"/>
    <cellStyle name="40% - Accent1 3 2 2 5 2" xfId="10478" xr:uid="{00000000-0005-0000-0000-000060490000}"/>
    <cellStyle name="40% - Accent1 3 2 2 5 3" xfId="17579" xr:uid="{00000000-0005-0000-0000-000061490000}"/>
    <cellStyle name="40% - Accent1 3 2 2 5 4" xfId="24681" xr:uid="{00000000-0005-0000-0000-000062490000}"/>
    <cellStyle name="40% - Accent1 3 2 2 5 5" xfId="31783" xr:uid="{00000000-0005-0000-0000-000063490000}"/>
    <cellStyle name="40% - Accent1 3 2 2 6" xfId="7638" xr:uid="{00000000-0005-0000-0000-000064490000}"/>
    <cellStyle name="40% - Accent1 3 2 2 7" xfId="14739" xr:uid="{00000000-0005-0000-0000-000065490000}"/>
    <cellStyle name="40% - Accent1 3 2 2 8" xfId="21841" xr:uid="{00000000-0005-0000-0000-000066490000}"/>
    <cellStyle name="40% - Accent1 3 2 2 9" xfId="28943" xr:uid="{00000000-0005-0000-0000-000067490000}"/>
    <cellStyle name="40% - Accent1 3 2 3" xfId="672" xr:uid="{00000000-0005-0000-0000-000068490000}"/>
    <cellStyle name="40% - Accent1 3 2 3 2" xfId="2163" xr:uid="{00000000-0005-0000-0000-000069490000}"/>
    <cellStyle name="40% - Accent1 3 2 3 2 2" xfId="6431" xr:uid="{00000000-0005-0000-0000-00006A490000}"/>
    <cellStyle name="40% - Accent1 3 2 3 2 2 2" xfId="13531" xr:uid="{00000000-0005-0000-0000-00006B490000}"/>
    <cellStyle name="40% - Accent1 3 2 3 2 2 3" xfId="20632" xr:uid="{00000000-0005-0000-0000-00006C490000}"/>
    <cellStyle name="40% - Accent1 3 2 3 2 2 4" xfId="27734" xr:uid="{00000000-0005-0000-0000-00006D490000}"/>
    <cellStyle name="40% - Accent1 3 2 3 2 2 5" xfId="34836" xr:uid="{00000000-0005-0000-0000-00006E490000}"/>
    <cellStyle name="40% - Accent1 3 2 3 2 2 6" xfId="38440" xr:uid="{00000000-0005-0000-0000-00006F490000}"/>
    <cellStyle name="40% - Accent1 3 2 3 2 3" xfId="9271" xr:uid="{00000000-0005-0000-0000-000070490000}"/>
    <cellStyle name="40% - Accent1 3 2 3 2 4" xfId="16372" xr:uid="{00000000-0005-0000-0000-000071490000}"/>
    <cellStyle name="40% - Accent1 3 2 3 2 5" xfId="23474" xr:uid="{00000000-0005-0000-0000-000072490000}"/>
    <cellStyle name="40% - Accent1 3 2 3 2 6" xfId="30576" xr:uid="{00000000-0005-0000-0000-000073490000}"/>
    <cellStyle name="40% - Accent1 3 2 3 2 7" xfId="38441" xr:uid="{00000000-0005-0000-0000-000074490000}"/>
    <cellStyle name="40% - Accent1 3 2 3 3" xfId="5010" xr:uid="{00000000-0005-0000-0000-000075490000}"/>
    <cellStyle name="40% - Accent1 3 2 3 3 2" xfId="12111" xr:uid="{00000000-0005-0000-0000-000076490000}"/>
    <cellStyle name="40% - Accent1 3 2 3 3 2 2" xfId="38442" xr:uid="{00000000-0005-0000-0000-000077490000}"/>
    <cellStyle name="40% - Accent1 3 2 3 3 3" xfId="19212" xr:uid="{00000000-0005-0000-0000-000078490000}"/>
    <cellStyle name="40% - Accent1 3 2 3 3 4" xfId="26314" xr:uid="{00000000-0005-0000-0000-000079490000}"/>
    <cellStyle name="40% - Accent1 3 2 3 3 5" xfId="33416" xr:uid="{00000000-0005-0000-0000-00007A490000}"/>
    <cellStyle name="40% - Accent1 3 2 3 3 6" xfId="38443" xr:uid="{00000000-0005-0000-0000-00007B490000}"/>
    <cellStyle name="40% - Accent1 3 2 3 4" xfId="3585" xr:uid="{00000000-0005-0000-0000-00007C490000}"/>
    <cellStyle name="40% - Accent1 3 2 3 4 2" xfId="10691" xr:uid="{00000000-0005-0000-0000-00007D490000}"/>
    <cellStyle name="40% - Accent1 3 2 3 4 3" xfId="17792" xr:uid="{00000000-0005-0000-0000-00007E490000}"/>
    <cellStyle name="40% - Accent1 3 2 3 4 4" xfId="24894" xr:uid="{00000000-0005-0000-0000-00007F490000}"/>
    <cellStyle name="40% - Accent1 3 2 3 4 5" xfId="31996" xr:uid="{00000000-0005-0000-0000-000080490000}"/>
    <cellStyle name="40% - Accent1 3 2 3 4 6" xfId="38444" xr:uid="{00000000-0005-0000-0000-000081490000}"/>
    <cellStyle name="40% - Accent1 3 2 3 5" xfId="7851" xr:uid="{00000000-0005-0000-0000-000082490000}"/>
    <cellStyle name="40% - Accent1 3 2 3 6" xfId="14952" xr:uid="{00000000-0005-0000-0000-000083490000}"/>
    <cellStyle name="40% - Accent1 3 2 3 7" xfId="22054" xr:uid="{00000000-0005-0000-0000-000084490000}"/>
    <cellStyle name="40% - Accent1 3 2 3 8" xfId="29156" xr:uid="{00000000-0005-0000-0000-000085490000}"/>
    <cellStyle name="40% - Accent1 3 2 3 9" xfId="38445" xr:uid="{00000000-0005-0000-0000-000086490000}"/>
    <cellStyle name="40% - Accent1 3 2 4" xfId="885" xr:uid="{00000000-0005-0000-0000-000087490000}"/>
    <cellStyle name="40% - Accent1 3 2 4 2" xfId="2376" xr:uid="{00000000-0005-0000-0000-000088490000}"/>
    <cellStyle name="40% - Accent1 3 2 4 2 2" xfId="6644" xr:uid="{00000000-0005-0000-0000-000089490000}"/>
    <cellStyle name="40% - Accent1 3 2 4 2 2 2" xfId="13744" xr:uid="{00000000-0005-0000-0000-00008A490000}"/>
    <cellStyle name="40% - Accent1 3 2 4 2 2 3" xfId="20845" xr:uid="{00000000-0005-0000-0000-00008B490000}"/>
    <cellStyle name="40% - Accent1 3 2 4 2 2 4" xfId="27947" xr:uid="{00000000-0005-0000-0000-00008C490000}"/>
    <cellStyle name="40% - Accent1 3 2 4 2 2 5" xfId="35049" xr:uid="{00000000-0005-0000-0000-00008D490000}"/>
    <cellStyle name="40% - Accent1 3 2 4 2 2 6" xfId="38446" xr:uid="{00000000-0005-0000-0000-00008E490000}"/>
    <cellStyle name="40% - Accent1 3 2 4 2 3" xfId="9484" xr:uid="{00000000-0005-0000-0000-00008F490000}"/>
    <cellStyle name="40% - Accent1 3 2 4 2 4" xfId="16585" xr:uid="{00000000-0005-0000-0000-000090490000}"/>
    <cellStyle name="40% - Accent1 3 2 4 2 5" xfId="23687" xr:uid="{00000000-0005-0000-0000-000091490000}"/>
    <cellStyle name="40% - Accent1 3 2 4 2 6" xfId="30789" xr:uid="{00000000-0005-0000-0000-000092490000}"/>
    <cellStyle name="40% - Accent1 3 2 4 2 7" xfId="38447" xr:uid="{00000000-0005-0000-0000-000093490000}"/>
    <cellStyle name="40% - Accent1 3 2 4 3" xfId="5223" xr:uid="{00000000-0005-0000-0000-000094490000}"/>
    <cellStyle name="40% - Accent1 3 2 4 3 2" xfId="12324" xr:uid="{00000000-0005-0000-0000-000095490000}"/>
    <cellStyle name="40% - Accent1 3 2 4 3 2 2" xfId="38448" xr:uid="{00000000-0005-0000-0000-000096490000}"/>
    <cellStyle name="40% - Accent1 3 2 4 3 3" xfId="19425" xr:uid="{00000000-0005-0000-0000-000097490000}"/>
    <cellStyle name="40% - Accent1 3 2 4 3 4" xfId="26527" xr:uid="{00000000-0005-0000-0000-000098490000}"/>
    <cellStyle name="40% - Accent1 3 2 4 3 5" xfId="33629" xr:uid="{00000000-0005-0000-0000-000099490000}"/>
    <cellStyle name="40% - Accent1 3 2 4 3 6" xfId="38449" xr:uid="{00000000-0005-0000-0000-00009A490000}"/>
    <cellStyle name="40% - Accent1 3 2 4 4" xfId="3798" xr:uid="{00000000-0005-0000-0000-00009B490000}"/>
    <cellStyle name="40% - Accent1 3 2 4 4 2" xfId="10904" xr:uid="{00000000-0005-0000-0000-00009C490000}"/>
    <cellStyle name="40% - Accent1 3 2 4 4 3" xfId="18005" xr:uid="{00000000-0005-0000-0000-00009D490000}"/>
    <cellStyle name="40% - Accent1 3 2 4 4 4" xfId="25107" xr:uid="{00000000-0005-0000-0000-00009E490000}"/>
    <cellStyle name="40% - Accent1 3 2 4 4 5" xfId="32209" xr:uid="{00000000-0005-0000-0000-00009F490000}"/>
    <cellStyle name="40% - Accent1 3 2 4 4 6" xfId="38450" xr:uid="{00000000-0005-0000-0000-0000A0490000}"/>
    <cellStyle name="40% - Accent1 3 2 4 5" xfId="8064" xr:uid="{00000000-0005-0000-0000-0000A1490000}"/>
    <cellStyle name="40% - Accent1 3 2 4 6" xfId="15165" xr:uid="{00000000-0005-0000-0000-0000A2490000}"/>
    <cellStyle name="40% - Accent1 3 2 4 7" xfId="22267" xr:uid="{00000000-0005-0000-0000-0000A3490000}"/>
    <cellStyle name="40% - Accent1 3 2 4 8" xfId="29369" xr:uid="{00000000-0005-0000-0000-0000A4490000}"/>
    <cellStyle name="40% - Accent1 3 2 4 9" xfId="38451" xr:uid="{00000000-0005-0000-0000-0000A5490000}"/>
    <cellStyle name="40% - Accent1 3 2 5" xfId="1027" xr:uid="{00000000-0005-0000-0000-0000A6490000}"/>
    <cellStyle name="40% - Accent1 3 2 5 2" xfId="2518" xr:uid="{00000000-0005-0000-0000-0000A7490000}"/>
    <cellStyle name="40% - Accent1 3 2 5 2 2" xfId="6786" xr:uid="{00000000-0005-0000-0000-0000A8490000}"/>
    <cellStyle name="40% - Accent1 3 2 5 2 2 2" xfId="13886" xr:uid="{00000000-0005-0000-0000-0000A9490000}"/>
    <cellStyle name="40% - Accent1 3 2 5 2 2 3" xfId="20987" xr:uid="{00000000-0005-0000-0000-0000AA490000}"/>
    <cellStyle name="40% - Accent1 3 2 5 2 2 4" xfId="28089" xr:uid="{00000000-0005-0000-0000-0000AB490000}"/>
    <cellStyle name="40% - Accent1 3 2 5 2 2 5" xfId="35191" xr:uid="{00000000-0005-0000-0000-0000AC490000}"/>
    <cellStyle name="40% - Accent1 3 2 5 2 3" xfId="9626" xr:uid="{00000000-0005-0000-0000-0000AD490000}"/>
    <cellStyle name="40% - Accent1 3 2 5 2 4" xfId="16727" xr:uid="{00000000-0005-0000-0000-0000AE490000}"/>
    <cellStyle name="40% - Accent1 3 2 5 2 5" xfId="23829" xr:uid="{00000000-0005-0000-0000-0000AF490000}"/>
    <cellStyle name="40% - Accent1 3 2 5 2 6" xfId="30931" xr:uid="{00000000-0005-0000-0000-0000B0490000}"/>
    <cellStyle name="40% - Accent1 3 2 5 2 7" xfId="38452" xr:uid="{00000000-0005-0000-0000-0000B1490000}"/>
    <cellStyle name="40% - Accent1 3 2 5 3" xfId="5365" xr:uid="{00000000-0005-0000-0000-0000B2490000}"/>
    <cellStyle name="40% - Accent1 3 2 5 3 2" xfId="12466" xr:uid="{00000000-0005-0000-0000-0000B3490000}"/>
    <cellStyle name="40% - Accent1 3 2 5 3 3" xfId="19567" xr:uid="{00000000-0005-0000-0000-0000B4490000}"/>
    <cellStyle name="40% - Accent1 3 2 5 3 4" xfId="26669" xr:uid="{00000000-0005-0000-0000-0000B5490000}"/>
    <cellStyle name="40% - Accent1 3 2 5 3 5" xfId="33771" xr:uid="{00000000-0005-0000-0000-0000B6490000}"/>
    <cellStyle name="40% - Accent1 3 2 5 4" xfId="3940" xr:uid="{00000000-0005-0000-0000-0000B7490000}"/>
    <cellStyle name="40% - Accent1 3 2 5 4 2" xfId="11046" xr:uid="{00000000-0005-0000-0000-0000B8490000}"/>
    <cellStyle name="40% - Accent1 3 2 5 4 3" xfId="18147" xr:uid="{00000000-0005-0000-0000-0000B9490000}"/>
    <cellStyle name="40% - Accent1 3 2 5 4 4" xfId="25249" xr:uid="{00000000-0005-0000-0000-0000BA490000}"/>
    <cellStyle name="40% - Accent1 3 2 5 4 5" xfId="32351" xr:uid="{00000000-0005-0000-0000-0000BB490000}"/>
    <cellStyle name="40% - Accent1 3 2 5 5" xfId="8206" xr:uid="{00000000-0005-0000-0000-0000BC490000}"/>
    <cellStyle name="40% - Accent1 3 2 5 6" xfId="15307" xr:uid="{00000000-0005-0000-0000-0000BD490000}"/>
    <cellStyle name="40% - Accent1 3 2 5 7" xfId="22409" xr:uid="{00000000-0005-0000-0000-0000BE490000}"/>
    <cellStyle name="40% - Accent1 3 2 5 8" xfId="29511" xr:uid="{00000000-0005-0000-0000-0000BF490000}"/>
    <cellStyle name="40% - Accent1 3 2 5 9" xfId="38453" xr:uid="{00000000-0005-0000-0000-0000C0490000}"/>
    <cellStyle name="40% - Accent1 3 2 6" xfId="1453" xr:uid="{00000000-0005-0000-0000-0000C1490000}"/>
    <cellStyle name="40% - Accent1 3 2 6 2" xfId="2944" xr:uid="{00000000-0005-0000-0000-0000C2490000}"/>
    <cellStyle name="40% - Accent1 3 2 6 2 2" xfId="7212" xr:uid="{00000000-0005-0000-0000-0000C3490000}"/>
    <cellStyle name="40% - Accent1 3 2 6 2 2 2" xfId="14312" xr:uid="{00000000-0005-0000-0000-0000C4490000}"/>
    <cellStyle name="40% - Accent1 3 2 6 2 2 3" xfId="21413" xr:uid="{00000000-0005-0000-0000-0000C5490000}"/>
    <cellStyle name="40% - Accent1 3 2 6 2 2 4" xfId="28515" xr:uid="{00000000-0005-0000-0000-0000C6490000}"/>
    <cellStyle name="40% - Accent1 3 2 6 2 2 5" xfId="35617" xr:uid="{00000000-0005-0000-0000-0000C7490000}"/>
    <cellStyle name="40% - Accent1 3 2 6 2 3" xfId="10052" xr:uid="{00000000-0005-0000-0000-0000C8490000}"/>
    <cellStyle name="40% - Accent1 3 2 6 2 4" xfId="17153" xr:uid="{00000000-0005-0000-0000-0000C9490000}"/>
    <cellStyle name="40% - Accent1 3 2 6 2 5" xfId="24255" xr:uid="{00000000-0005-0000-0000-0000CA490000}"/>
    <cellStyle name="40% - Accent1 3 2 6 2 6" xfId="31357" xr:uid="{00000000-0005-0000-0000-0000CB490000}"/>
    <cellStyle name="40% - Accent1 3 2 6 2 7" xfId="38454" xr:uid="{00000000-0005-0000-0000-0000CC490000}"/>
    <cellStyle name="40% - Accent1 3 2 6 3" xfId="5791" xr:uid="{00000000-0005-0000-0000-0000CD490000}"/>
    <cellStyle name="40% - Accent1 3 2 6 3 2" xfId="12892" xr:uid="{00000000-0005-0000-0000-0000CE490000}"/>
    <cellStyle name="40% - Accent1 3 2 6 3 3" xfId="19993" xr:uid="{00000000-0005-0000-0000-0000CF490000}"/>
    <cellStyle name="40% - Accent1 3 2 6 3 4" xfId="27095" xr:uid="{00000000-0005-0000-0000-0000D0490000}"/>
    <cellStyle name="40% - Accent1 3 2 6 3 5" xfId="34197" xr:uid="{00000000-0005-0000-0000-0000D1490000}"/>
    <cellStyle name="40% - Accent1 3 2 6 4" xfId="4366" xr:uid="{00000000-0005-0000-0000-0000D2490000}"/>
    <cellStyle name="40% - Accent1 3 2 6 4 2" xfId="11472" xr:uid="{00000000-0005-0000-0000-0000D3490000}"/>
    <cellStyle name="40% - Accent1 3 2 6 4 3" xfId="18573" xr:uid="{00000000-0005-0000-0000-0000D4490000}"/>
    <cellStyle name="40% - Accent1 3 2 6 4 4" xfId="25675" xr:uid="{00000000-0005-0000-0000-0000D5490000}"/>
    <cellStyle name="40% - Accent1 3 2 6 4 5" xfId="32777" xr:uid="{00000000-0005-0000-0000-0000D6490000}"/>
    <cellStyle name="40% - Accent1 3 2 6 5" xfId="8632" xr:uid="{00000000-0005-0000-0000-0000D7490000}"/>
    <cellStyle name="40% - Accent1 3 2 6 6" xfId="15733" xr:uid="{00000000-0005-0000-0000-0000D8490000}"/>
    <cellStyle name="40% - Accent1 3 2 6 7" xfId="22835" xr:uid="{00000000-0005-0000-0000-0000D9490000}"/>
    <cellStyle name="40% - Accent1 3 2 6 8" xfId="29937" xr:uid="{00000000-0005-0000-0000-0000DA490000}"/>
    <cellStyle name="40% - Accent1 3 2 6 9" xfId="38455" xr:uid="{00000000-0005-0000-0000-0000DB490000}"/>
    <cellStyle name="40% - Accent1 3 2 7" xfId="1737" xr:uid="{00000000-0005-0000-0000-0000DC490000}"/>
    <cellStyle name="40% - Accent1 3 2 7 2" xfId="6005" xr:uid="{00000000-0005-0000-0000-0000DD490000}"/>
    <cellStyle name="40% - Accent1 3 2 7 2 2" xfId="13105" xr:uid="{00000000-0005-0000-0000-0000DE490000}"/>
    <cellStyle name="40% - Accent1 3 2 7 2 3" xfId="20206" xr:uid="{00000000-0005-0000-0000-0000DF490000}"/>
    <cellStyle name="40% - Accent1 3 2 7 2 4" xfId="27308" xr:uid="{00000000-0005-0000-0000-0000E0490000}"/>
    <cellStyle name="40% - Accent1 3 2 7 2 5" xfId="34410" xr:uid="{00000000-0005-0000-0000-0000E1490000}"/>
    <cellStyle name="40% - Accent1 3 2 7 3" xfId="8845" xr:uid="{00000000-0005-0000-0000-0000E2490000}"/>
    <cellStyle name="40% - Accent1 3 2 7 4" xfId="15946" xr:uid="{00000000-0005-0000-0000-0000E3490000}"/>
    <cellStyle name="40% - Accent1 3 2 7 5" xfId="23048" xr:uid="{00000000-0005-0000-0000-0000E4490000}"/>
    <cellStyle name="40% - Accent1 3 2 7 6" xfId="30150" xr:uid="{00000000-0005-0000-0000-0000E5490000}"/>
    <cellStyle name="40% - Accent1 3 2 7 7" xfId="38456" xr:uid="{00000000-0005-0000-0000-0000E6490000}"/>
    <cellStyle name="40% - Accent1 3 2 8" xfId="4584" xr:uid="{00000000-0005-0000-0000-0000E7490000}"/>
    <cellStyle name="40% - Accent1 3 2 8 2" xfId="11685" xr:uid="{00000000-0005-0000-0000-0000E8490000}"/>
    <cellStyle name="40% - Accent1 3 2 8 3" xfId="18786" xr:uid="{00000000-0005-0000-0000-0000E9490000}"/>
    <cellStyle name="40% - Accent1 3 2 8 4" xfId="25888" xr:uid="{00000000-0005-0000-0000-0000EA490000}"/>
    <cellStyle name="40% - Accent1 3 2 8 5" xfId="32990" xr:uid="{00000000-0005-0000-0000-0000EB490000}"/>
    <cellStyle name="40% - Accent1 3 2 9" xfId="3159" xr:uid="{00000000-0005-0000-0000-0000EC490000}"/>
    <cellStyle name="40% - Accent1 3 2 9 2" xfId="10265" xr:uid="{00000000-0005-0000-0000-0000ED490000}"/>
    <cellStyle name="40% - Accent1 3 2 9 3" xfId="17366" xr:uid="{00000000-0005-0000-0000-0000EE490000}"/>
    <cellStyle name="40% - Accent1 3 2 9 4" xfId="24468" xr:uid="{00000000-0005-0000-0000-0000EF490000}"/>
    <cellStyle name="40% - Accent1 3 2 9 5" xfId="31570" xr:uid="{00000000-0005-0000-0000-0000F0490000}"/>
    <cellStyle name="40% - Accent1 3 3" xfId="175" xr:uid="{00000000-0005-0000-0000-0000F1490000}"/>
    <cellStyle name="40% - Accent1 3 3 10" xfId="7354" xr:uid="{00000000-0005-0000-0000-0000F2490000}"/>
    <cellStyle name="40% - Accent1 3 3 11" xfId="14455" xr:uid="{00000000-0005-0000-0000-0000F3490000}"/>
    <cellStyle name="40% - Accent1 3 3 12" xfId="21557" xr:uid="{00000000-0005-0000-0000-0000F4490000}"/>
    <cellStyle name="40% - Accent1 3 3 13" xfId="28659" xr:uid="{00000000-0005-0000-0000-0000F5490000}"/>
    <cellStyle name="40% - Accent1 3 3 14" xfId="35761" xr:uid="{00000000-0005-0000-0000-0000F6490000}"/>
    <cellStyle name="40% - Accent1 3 3 15" xfId="38457" xr:uid="{00000000-0005-0000-0000-0000F7490000}"/>
    <cellStyle name="40% - Accent1 3 3 2" xfId="388" xr:uid="{00000000-0005-0000-0000-0000F8490000}"/>
    <cellStyle name="40% - Accent1 3 3 2 2" xfId="1879" xr:uid="{00000000-0005-0000-0000-0000F9490000}"/>
    <cellStyle name="40% - Accent1 3 3 2 2 2" xfId="6147" xr:uid="{00000000-0005-0000-0000-0000FA490000}"/>
    <cellStyle name="40% - Accent1 3 3 2 2 2 2" xfId="13247" xr:uid="{00000000-0005-0000-0000-0000FB490000}"/>
    <cellStyle name="40% - Accent1 3 3 2 2 2 3" xfId="20348" xr:uid="{00000000-0005-0000-0000-0000FC490000}"/>
    <cellStyle name="40% - Accent1 3 3 2 2 2 4" xfId="27450" xr:uid="{00000000-0005-0000-0000-0000FD490000}"/>
    <cellStyle name="40% - Accent1 3 3 2 2 2 5" xfId="34552" xr:uid="{00000000-0005-0000-0000-0000FE490000}"/>
    <cellStyle name="40% - Accent1 3 3 2 2 2 6" xfId="38458" xr:uid="{00000000-0005-0000-0000-0000FF490000}"/>
    <cellStyle name="40% - Accent1 3 3 2 2 3" xfId="8987" xr:uid="{00000000-0005-0000-0000-0000004A0000}"/>
    <cellStyle name="40% - Accent1 3 3 2 2 4" xfId="16088" xr:uid="{00000000-0005-0000-0000-0000014A0000}"/>
    <cellStyle name="40% - Accent1 3 3 2 2 5" xfId="23190" xr:uid="{00000000-0005-0000-0000-0000024A0000}"/>
    <cellStyle name="40% - Accent1 3 3 2 2 6" xfId="30292" xr:uid="{00000000-0005-0000-0000-0000034A0000}"/>
    <cellStyle name="40% - Accent1 3 3 2 2 7" xfId="38459" xr:uid="{00000000-0005-0000-0000-0000044A0000}"/>
    <cellStyle name="40% - Accent1 3 3 2 3" xfId="4726" xr:uid="{00000000-0005-0000-0000-0000054A0000}"/>
    <cellStyle name="40% - Accent1 3 3 2 3 2" xfId="11827" xr:uid="{00000000-0005-0000-0000-0000064A0000}"/>
    <cellStyle name="40% - Accent1 3 3 2 3 2 2" xfId="38460" xr:uid="{00000000-0005-0000-0000-0000074A0000}"/>
    <cellStyle name="40% - Accent1 3 3 2 3 3" xfId="18928" xr:uid="{00000000-0005-0000-0000-0000084A0000}"/>
    <cellStyle name="40% - Accent1 3 3 2 3 4" xfId="26030" xr:uid="{00000000-0005-0000-0000-0000094A0000}"/>
    <cellStyle name="40% - Accent1 3 3 2 3 5" xfId="33132" xr:uid="{00000000-0005-0000-0000-00000A4A0000}"/>
    <cellStyle name="40% - Accent1 3 3 2 3 6" xfId="38461" xr:uid="{00000000-0005-0000-0000-00000B4A0000}"/>
    <cellStyle name="40% - Accent1 3 3 2 4" xfId="3301" xr:uid="{00000000-0005-0000-0000-00000C4A0000}"/>
    <cellStyle name="40% - Accent1 3 3 2 4 2" xfId="10407" xr:uid="{00000000-0005-0000-0000-00000D4A0000}"/>
    <cellStyle name="40% - Accent1 3 3 2 4 3" xfId="17508" xr:uid="{00000000-0005-0000-0000-00000E4A0000}"/>
    <cellStyle name="40% - Accent1 3 3 2 4 4" xfId="24610" xr:uid="{00000000-0005-0000-0000-00000F4A0000}"/>
    <cellStyle name="40% - Accent1 3 3 2 4 5" xfId="31712" xr:uid="{00000000-0005-0000-0000-0000104A0000}"/>
    <cellStyle name="40% - Accent1 3 3 2 4 6" xfId="38462" xr:uid="{00000000-0005-0000-0000-0000114A0000}"/>
    <cellStyle name="40% - Accent1 3 3 2 5" xfId="7567" xr:uid="{00000000-0005-0000-0000-0000124A0000}"/>
    <cellStyle name="40% - Accent1 3 3 2 6" xfId="14668" xr:uid="{00000000-0005-0000-0000-0000134A0000}"/>
    <cellStyle name="40% - Accent1 3 3 2 7" xfId="21770" xr:uid="{00000000-0005-0000-0000-0000144A0000}"/>
    <cellStyle name="40% - Accent1 3 3 2 8" xfId="28872" xr:uid="{00000000-0005-0000-0000-0000154A0000}"/>
    <cellStyle name="40% - Accent1 3 3 2 9" xfId="38463" xr:uid="{00000000-0005-0000-0000-0000164A0000}"/>
    <cellStyle name="40% - Accent1 3 3 3" xfId="601" xr:uid="{00000000-0005-0000-0000-0000174A0000}"/>
    <cellStyle name="40% - Accent1 3 3 3 2" xfId="2092" xr:uid="{00000000-0005-0000-0000-0000184A0000}"/>
    <cellStyle name="40% - Accent1 3 3 3 2 2" xfId="6360" xr:uid="{00000000-0005-0000-0000-0000194A0000}"/>
    <cellStyle name="40% - Accent1 3 3 3 2 2 2" xfId="13460" xr:uid="{00000000-0005-0000-0000-00001A4A0000}"/>
    <cellStyle name="40% - Accent1 3 3 3 2 2 3" xfId="20561" xr:uid="{00000000-0005-0000-0000-00001B4A0000}"/>
    <cellStyle name="40% - Accent1 3 3 3 2 2 4" xfId="27663" xr:uid="{00000000-0005-0000-0000-00001C4A0000}"/>
    <cellStyle name="40% - Accent1 3 3 3 2 2 5" xfId="34765" xr:uid="{00000000-0005-0000-0000-00001D4A0000}"/>
    <cellStyle name="40% - Accent1 3 3 3 2 2 6" xfId="38464" xr:uid="{00000000-0005-0000-0000-00001E4A0000}"/>
    <cellStyle name="40% - Accent1 3 3 3 2 3" xfId="9200" xr:uid="{00000000-0005-0000-0000-00001F4A0000}"/>
    <cellStyle name="40% - Accent1 3 3 3 2 4" xfId="16301" xr:uid="{00000000-0005-0000-0000-0000204A0000}"/>
    <cellStyle name="40% - Accent1 3 3 3 2 5" xfId="23403" xr:uid="{00000000-0005-0000-0000-0000214A0000}"/>
    <cellStyle name="40% - Accent1 3 3 3 2 6" xfId="30505" xr:uid="{00000000-0005-0000-0000-0000224A0000}"/>
    <cellStyle name="40% - Accent1 3 3 3 2 7" xfId="38465" xr:uid="{00000000-0005-0000-0000-0000234A0000}"/>
    <cellStyle name="40% - Accent1 3 3 3 3" xfId="4939" xr:uid="{00000000-0005-0000-0000-0000244A0000}"/>
    <cellStyle name="40% - Accent1 3 3 3 3 2" xfId="12040" xr:uid="{00000000-0005-0000-0000-0000254A0000}"/>
    <cellStyle name="40% - Accent1 3 3 3 3 2 2" xfId="38466" xr:uid="{00000000-0005-0000-0000-0000264A0000}"/>
    <cellStyle name="40% - Accent1 3 3 3 3 3" xfId="19141" xr:uid="{00000000-0005-0000-0000-0000274A0000}"/>
    <cellStyle name="40% - Accent1 3 3 3 3 4" xfId="26243" xr:uid="{00000000-0005-0000-0000-0000284A0000}"/>
    <cellStyle name="40% - Accent1 3 3 3 3 5" xfId="33345" xr:uid="{00000000-0005-0000-0000-0000294A0000}"/>
    <cellStyle name="40% - Accent1 3 3 3 3 6" xfId="38467" xr:uid="{00000000-0005-0000-0000-00002A4A0000}"/>
    <cellStyle name="40% - Accent1 3 3 3 4" xfId="3514" xr:uid="{00000000-0005-0000-0000-00002B4A0000}"/>
    <cellStyle name="40% - Accent1 3 3 3 4 2" xfId="10620" xr:uid="{00000000-0005-0000-0000-00002C4A0000}"/>
    <cellStyle name="40% - Accent1 3 3 3 4 3" xfId="17721" xr:uid="{00000000-0005-0000-0000-00002D4A0000}"/>
    <cellStyle name="40% - Accent1 3 3 3 4 4" xfId="24823" xr:uid="{00000000-0005-0000-0000-00002E4A0000}"/>
    <cellStyle name="40% - Accent1 3 3 3 4 5" xfId="31925" xr:uid="{00000000-0005-0000-0000-00002F4A0000}"/>
    <cellStyle name="40% - Accent1 3 3 3 4 6" xfId="38468" xr:uid="{00000000-0005-0000-0000-0000304A0000}"/>
    <cellStyle name="40% - Accent1 3 3 3 5" xfId="7780" xr:uid="{00000000-0005-0000-0000-0000314A0000}"/>
    <cellStyle name="40% - Accent1 3 3 3 6" xfId="14881" xr:uid="{00000000-0005-0000-0000-0000324A0000}"/>
    <cellStyle name="40% - Accent1 3 3 3 7" xfId="21983" xr:uid="{00000000-0005-0000-0000-0000334A0000}"/>
    <cellStyle name="40% - Accent1 3 3 3 8" xfId="29085" xr:uid="{00000000-0005-0000-0000-0000344A0000}"/>
    <cellStyle name="40% - Accent1 3 3 3 9" xfId="38469" xr:uid="{00000000-0005-0000-0000-0000354A0000}"/>
    <cellStyle name="40% - Accent1 3 3 4" xfId="814" xr:uid="{00000000-0005-0000-0000-0000364A0000}"/>
    <cellStyle name="40% - Accent1 3 3 4 2" xfId="2305" xr:uid="{00000000-0005-0000-0000-0000374A0000}"/>
    <cellStyle name="40% - Accent1 3 3 4 2 2" xfId="6573" xr:uid="{00000000-0005-0000-0000-0000384A0000}"/>
    <cellStyle name="40% - Accent1 3 3 4 2 2 2" xfId="13673" xr:uid="{00000000-0005-0000-0000-0000394A0000}"/>
    <cellStyle name="40% - Accent1 3 3 4 2 2 3" xfId="20774" xr:uid="{00000000-0005-0000-0000-00003A4A0000}"/>
    <cellStyle name="40% - Accent1 3 3 4 2 2 4" xfId="27876" xr:uid="{00000000-0005-0000-0000-00003B4A0000}"/>
    <cellStyle name="40% - Accent1 3 3 4 2 2 5" xfId="34978" xr:uid="{00000000-0005-0000-0000-00003C4A0000}"/>
    <cellStyle name="40% - Accent1 3 3 4 2 2 6" xfId="38470" xr:uid="{00000000-0005-0000-0000-00003D4A0000}"/>
    <cellStyle name="40% - Accent1 3 3 4 2 3" xfId="9413" xr:uid="{00000000-0005-0000-0000-00003E4A0000}"/>
    <cellStyle name="40% - Accent1 3 3 4 2 4" xfId="16514" xr:uid="{00000000-0005-0000-0000-00003F4A0000}"/>
    <cellStyle name="40% - Accent1 3 3 4 2 5" xfId="23616" xr:uid="{00000000-0005-0000-0000-0000404A0000}"/>
    <cellStyle name="40% - Accent1 3 3 4 2 6" xfId="30718" xr:uid="{00000000-0005-0000-0000-0000414A0000}"/>
    <cellStyle name="40% - Accent1 3 3 4 2 7" xfId="38471" xr:uid="{00000000-0005-0000-0000-0000424A0000}"/>
    <cellStyle name="40% - Accent1 3 3 4 3" xfId="5152" xr:uid="{00000000-0005-0000-0000-0000434A0000}"/>
    <cellStyle name="40% - Accent1 3 3 4 3 2" xfId="12253" xr:uid="{00000000-0005-0000-0000-0000444A0000}"/>
    <cellStyle name="40% - Accent1 3 3 4 3 2 2" xfId="38472" xr:uid="{00000000-0005-0000-0000-0000454A0000}"/>
    <cellStyle name="40% - Accent1 3 3 4 3 3" xfId="19354" xr:uid="{00000000-0005-0000-0000-0000464A0000}"/>
    <cellStyle name="40% - Accent1 3 3 4 3 4" xfId="26456" xr:uid="{00000000-0005-0000-0000-0000474A0000}"/>
    <cellStyle name="40% - Accent1 3 3 4 3 5" xfId="33558" xr:uid="{00000000-0005-0000-0000-0000484A0000}"/>
    <cellStyle name="40% - Accent1 3 3 4 3 6" xfId="38473" xr:uid="{00000000-0005-0000-0000-0000494A0000}"/>
    <cellStyle name="40% - Accent1 3 3 4 4" xfId="3727" xr:uid="{00000000-0005-0000-0000-00004A4A0000}"/>
    <cellStyle name="40% - Accent1 3 3 4 4 2" xfId="10833" xr:uid="{00000000-0005-0000-0000-00004B4A0000}"/>
    <cellStyle name="40% - Accent1 3 3 4 4 3" xfId="17934" xr:uid="{00000000-0005-0000-0000-00004C4A0000}"/>
    <cellStyle name="40% - Accent1 3 3 4 4 4" xfId="25036" xr:uid="{00000000-0005-0000-0000-00004D4A0000}"/>
    <cellStyle name="40% - Accent1 3 3 4 4 5" xfId="32138" xr:uid="{00000000-0005-0000-0000-00004E4A0000}"/>
    <cellStyle name="40% - Accent1 3 3 4 4 6" xfId="38474" xr:uid="{00000000-0005-0000-0000-00004F4A0000}"/>
    <cellStyle name="40% - Accent1 3 3 4 5" xfId="7993" xr:uid="{00000000-0005-0000-0000-0000504A0000}"/>
    <cellStyle name="40% - Accent1 3 3 4 6" xfId="15094" xr:uid="{00000000-0005-0000-0000-0000514A0000}"/>
    <cellStyle name="40% - Accent1 3 3 4 7" xfId="22196" xr:uid="{00000000-0005-0000-0000-0000524A0000}"/>
    <cellStyle name="40% - Accent1 3 3 4 8" xfId="29298" xr:uid="{00000000-0005-0000-0000-0000534A0000}"/>
    <cellStyle name="40% - Accent1 3 3 4 9" xfId="38475" xr:uid="{00000000-0005-0000-0000-0000544A0000}"/>
    <cellStyle name="40% - Accent1 3 3 5" xfId="1169" xr:uid="{00000000-0005-0000-0000-0000554A0000}"/>
    <cellStyle name="40% - Accent1 3 3 5 2" xfId="2660" xr:uid="{00000000-0005-0000-0000-0000564A0000}"/>
    <cellStyle name="40% - Accent1 3 3 5 2 2" xfId="6928" xr:uid="{00000000-0005-0000-0000-0000574A0000}"/>
    <cellStyle name="40% - Accent1 3 3 5 2 2 2" xfId="14028" xr:uid="{00000000-0005-0000-0000-0000584A0000}"/>
    <cellStyle name="40% - Accent1 3 3 5 2 2 3" xfId="21129" xr:uid="{00000000-0005-0000-0000-0000594A0000}"/>
    <cellStyle name="40% - Accent1 3 3 5 2 2 4" xfId="28231" xr:uid="{00000000-0005-0000-0000-00005A4A0000}"/>
    <cellStyle name="40% - Accent1 3 3 5 2 2 5" xfId="35333" xr:uid="{00000000-0005-0000-0000-00005B4A0000}"/>
    <cellStyle name="40% - Accent1 3 3 5 2 3" xfId="9768" xr:uid="{00000000-0005-0000-0000-00005C4A0000}"/>
    <cellStyle name="40% - Accent1 3 3 5 2 4" xfId="16869" xr:uid="{00000000-0005-0000-0000-00005D4A0000}"/>
    <cellStyle name="40% - Accent1 3 3 5 2 5" xfId="23971" xr:uid="{00000000-0005-0000-0000-00005E4A0000}"/>
    <cellStyle name="40% - Accent1 3 3 5 2 6" xfId="31073" xr:uid="{00000000-0005-0000-0000-00005F4A0000}"/>
    <cellStyle name="40% - Accent1 3 3 5 2 7" xfId="38476" xr:uid="{00000000-0005-0000-0000-0000604A0000}"/>
    <cellStyle name="40% - Accent1 3 3 5 3" xfId="5507" xr:uid="{00000000-0005-0000-0000-0000614A0000}"/>
    <cellStyle name="40% - Accent1 3 3 5 3 2" xfId="12608" xr:uid="{00000000-0005-0000-0000-0000624A0000}"/>
    <cellStyle name="40% - Accent1 3 3 5 3 3" xfId="19709" xr:uid="{00000000-0005-0000-0000-0000634A0000}"/>
    <cellStyle name="40% - Accent1 3 3 5 3 4" xfId="26811" xr:uid="{00000000-0005-0000-0000-0000644A0000}"/>
    <cellStyle name="40% - Accent1 3 3 5 3 5" xfId="33913" xr:uid="{00000000-0005-0000-0000-0000654A0000}"/>
    <cellStyle name="40% - Accent1 3 3 5 4" xfId="4082" xr:uid="{00000000-0005-0000-0000-0000664A0000}"/>
    <cellStyle name="40% - Accent1 3 3 5 4 2" xfId="11188" xr:uid="{00000000-0005-0000-0000-0000674A0000}"/>
    <cellStyle name="40% - Accent1 3 3 5 4 3" xfId="18289" xr:uid="{00000000-0005-0000-0000-0000684A0000}"/>
    <cellStyle name="40% - Accent1 3 3 5 4 4" xfId="25391" xr:uid="{00000000-0005-0000-0000-0000694A0000}"/>
    <cellStyle name="40% - Accent1 3 3 5 4 5" xfId="32493" xr:uid="{00000000-0005-0000-0000-00006A4A0000}"/>
    <cellStyle name="40% - Accent1 3 3 5 5" xfId="8348" xr:uid="{00000000-0005-0000-0000-00006B4A0000}"/>
    <cellStyle name="40% - Accent1 3 3 5 6" xfId="15449" xr:uid="{00000000-0005-0000-0000-00006C4A0000}"/>
    <cellStyle name="40% - Accent1 3 3 5 7" xfId="22551" xr:uid="{00000000-0005-0000-0000-00006D4A0000}"/>
    <cellStyle name="40% - Accent1 3 3 5 8" xfId="29653" xr:uid="{00000000-0005-0000-0000-00006E4A0000}"/>
    <cellStyle name="40% - Accent1 3 3 5 9" xfId="38477" xr:uid="{00000000-0005-0000-0000-00006F4A0000}"/>
    <cellStyle name="40% - Accent1 3 3 6" xfId="1382" xr:uid="{00000000-0005-0000-0000-0000704A0000}"/>
    <cellStyle name="40% - Accent1 3 3 6 2" xfId="2873" xr:uid="{00000000-0005-0000-0000-0000714A0000}"/>
    <cellStyle name="40% - Accent1 3 3 6 2 2" xfId="7141" xr:uid="{00000000-0005-0000-0000-0000724A0000}"/>
    <cellStyle name="40% - Accent1 3 3 6 2 2 2" xfId="14241" xr:uid="{00000000-0005-0000-0000-0000734A0000}"/>
    <cellStyle name="40% - Accent1 3 3 6 2 2 3" xfId="21342" xr:uid="{00000000-0005-0000-0000-0000744A0000}"/>
    <cellStyle name="40% - Accent1 3 3 6 2 2 4" xfId="28444" xr:uid="{00000000-0005-0000-0000-0000754A0000}"/>
    <cellStyle name="40% - Accent1 3 3 6 2 2 5" xfId="35546" xr:uid="{00000000-0005-0000-0000-0000764A0000}"/>
    <cellStyle name="40% - Accent1 3 3 6 2 3" xfId="9981" xr:uid="{00000000-0005-0000-0000-0000774A0000}"/>
    <cellStyle name="40% - Accent1 3 3 6 2 4" xfId="17082" xr:uid="{00000000-0005-0000-0000-0000784A0000}"/>
    <cellStyle name="40% - Accent1 3 3 6 2 5" xfId="24184" xr:uid="{00000000-0005-0000-0000-0000794A0000}"/>
    <cellStyle name="40% - Accent1 3 3 6 2 6" xfId="31286" xr:uid="{00000000-0005-0000-0000-00007A4A0000}"/>
    <cellStyle name="40% - Accent1 3 3 6 2 7" xfId="38478" xr:uid="{00000000-0005-0000-0000-00007B4A0000}"/>
    <cellStyle name="40% - Accent1 3 3 6 3" xfId="5720" xr:uid="{00000000-0005-0000-0000-00007C4A0000}"/>
    <cellStyle name="40% - Accent1 3 3 6 3 2" xfId="12821" xr:uid="{00000000-0005-0000-0000-00007D4A0000}"/>
    <cellStyle name="40% - Accent1 3 3 6 3 3" xfId="19922" xr:uid="{00000000-0005-0000-0000-00007E4A0000}"/>
    <cellStyle name="40% - Accent1 3 3 6 3 4" xfId="27024" xr:uid="{00000000-0005-0000-0000-00007F4A0000}"/>
    <cellStyle name="40% - Accent1 3 3 6 3 5" xfId="34126" xr:uid="{00000000-0005-0000-0000-0000804A0000}"/>
    <cellStyle name="40% - Accent1 3 3 6 4" xfId="4295" xr:uid="{00000000-0005-0000-0000-0000814A0000}"/>
    <cellStyle name="40% - Accent1 3 3 6 4 2" xfId="11401" xr:uid="{00000000-0005-0000-0000-0000824A0000}"/>
    <cellStyle name="40% - Accent1 3 3 6 4 3" xfId="18502" xr:uid="{00000000-0005-0000-0000-0000834A0000}"/>
    <cellStyle name="40% - Accent1 3 3 6 4 4" xfId="25604" xr:uid="{00000000-0005-0000-0000-0000844A0000}"/>
    <cellStyle name="40% - Accent1 3 3 6 4 5" xfId="32706" xr:uid="{00000000-0005-0000-0000-0000854A0000}"/>
    <cellStyle name="40% - Accent1 3 3 6 5" xfId="8561" xr:uid="{00000000-0005-0000-0000-0000864A0000}"/>
    <cellStyle name="40% - Accent1 3 3 6 6" xfId="15662" xr:uid="{00000000-0005-0000-0000-0000874A0000}"/>
    <cellStyle name="40% - Accent1 3 3 6 7" xfId="22764" xr:uid="{00000000-0005-0000-0000-0000884A0000}"/>
    <cellStyle name="40% - Accent1 3 3 6 8" xfId="29866" xr:uid="{00000000-0005-0000-0000-0000894A0000}"/>
    <cellStyle name="40% - Accent1 3 3 6 9" xfId="38479" xr:uid="{00000000-0005-0000-0000-00008A4A0000}"/>
    <cellStyle name="40% - Accent1 3 3 7" xfId="1666" xr:uid="{00000000-0005-0000-0000-00008B4A0000}"/>
    <cellStyle name="40% - Accent1 3 3 7 2" xfId="5934" xr:uid="{00000000-0005-0000-0000-00008C4A0000}"/>
    <cellStyle name="40% - Accent1 3 3 7 2 2" xfId="13034" xr:uid="{00000000-0005-0000-0000-00008D4A0000}"/>
    <cellStyle name="40% - Accent1 3 3 7 2 3" xfId="20135" xr:uid="{00000000-0005-0000-0000-00008E4A0000}"/>
    <cellStyle name="40% - Accent1 3 3 7 2 4" xfId="27237" xr:uid="{00000000-0005-0000-0000-00008F4A0000}"/>
    <cellStyle name="40% - Accent1 3 3 7 2 5" xfId="34339" xr:uid="{00000000-0005-0000-0000-0000904A0000}"/>
    <cellStyle name="40% - Accent1 3 3 7 3" xfId="8774" xr:uid="{00000000-0005-0000-0000-0000914A0000}"/>
    <cellStyle name="40% - Accent1 3 3 7 4" xfId="15875" xr:uid="{00000000-0005-0000-0000-0000924A0000}"/>
    <cellStyle name="40% - Accent1 3 3 7 5" xfId="22977" xr:uid="{00000000-0005-0000-0000-0000934A0000}"/>
    <cellStyle name="40% - Accent1 3 3 7 6" xfId="30079" xr:uid="{00000000-0005-0000-0000-0000944A0000}"/>
    <cellStyle name="40% - Accent1 3 3 7 7" xfId="38480" xr:uid="{00000000-0005-0000-0000-0000954A0000}"/>
    <cellStyle name="40% - Accent1 3 3 8" xfId="4513" xr:uid="{00000000-0005-0000-0000-0000964A0000}"/>
    <cellStyle name="40% - Accent1 3 3 8 2" xfId="11614" xr:uid="{00000000-0005-0000-0000-0000974A0000}"/>
    <cellStyle name="40% - Accent1 3 3 8 3" xfId="18715" xr:uid="{00000000-0005-0000-0000-0000984A0000}"/>
    <cellStyle name="40% - Accent1 3 3 8 4" xfId="25817" xr:uid="{00000000-0005-0000-0000-0000994A0000}"/>
    <cellStyle name="40% - Accent1 3 3 8 5" xfId="32919" xr:uid="{00000000-0005-0000-0000-00009A4A0000}"/>
    <cellStyle name="40% - Accent1 3 3 9" xfId="3088" xr:uid="{00000000-0005-0000-0000-00009B4A0000}"/>
    <cellStyle name="40% - Accent1 3 3 9 2" xfId="10194" xr:uid="{00000000-0005-0000-0000-00009C4A0000}"/>
    <cellStyle name="40% - Accent1 3 3 9 3" xfId="17295" xr:uid="{00000000-0005-0000-0000-00009D4A0000}"/>
    <cellStyle name="40% - Accent1 3 3 9 4" xfId="24397" xr:uid="{00000000-0005-0000-0000-00009E4A0000}"/>
    <cellStyle name="40% - Accent1 3 3 9 5" xfId="31499" xr:uid="{00000000-0005-0000-0000-00009F4A0000}"/>
    <cellStyle name="40% - Accent1 3 4" xfId="317" xr:uid="{00000000-0005-0000-0000-0000A04A0000}"/>
    <cellStyle name="40% - Accent1 3 4 10" xfId="38481" xr:uid="{00000000-0005-0000-0000-0000A14A0000}"/>
    <cellStyle name="40% - Accent1 3 4 2" xfId="1098" xr:uid="{00000000-0005-0000-0000-0000A24A0000}"/>
    <cellStyle name="40% - Accent1 3 4 2 2" xfId="2589" xr:uid="{00000000-0005-0000-0000-0000A34A0000}"/>
    <cellStyle name="40% - Accent1 3 4 2 2 2" xfId="6857" xr:uid="{00000000-0005-0000-0000-0000A44A0000}"/>
    <cellStyle name="40% - Accent1 3 4 2 2 2 2" xfId="13957" xr:uid="{00000000-0005-0000-0000-0000A54A0000}"/>
    <cellStyle name="40% - Accent1 3 4 2 2 2 3" xfId="21058" xr:uid="{00000000-0005-0000-0000-0000A64A0000}"/>
    <cellStyle name="40% - Accent1 3 4 2 2 2 4" xfId="28160" xr:uid="{00000000-0005-0000-0000-0000A74A0000}"/>
    <cellStyle name="40% - Accent1 3 4 2 2 2 5" xfId="35262" xr:uid="{00000000-0005-0000-0000-0000A84A0000}"/>
    <cellStyle name="40% - Accent1 3 4 2 2 3" xfId="9697" xr:uid="{00000000-0005-0000-0000-0000A94A0000}"/>
    <cellStyle name="40% - Accent1 3 4 2 2 4" xfId="16798" xr:uid="{00000000-0005-0000-0000-0000AA4A0000}"/>
    <cellStyle name="40% - Accent1 3 4 2 2 5" xfId="23900" xr:uid="{00000000-0005-0000-0000-0000AB4A0000}"/>
    <cellStyle name="40% - Accent1 3 4 2 2 6" xfId="31002" xr:uid="{00000000-0005-0000-0000-0000AC4A0000}"/>
    <cellStyle name="40% - Accent1 3 4 2 2 7" xfId="38482" xr:uid="{00000000-0005-0000-0000-0000AD4A0000}"/>
    <cellStyle name="40% - Accent1 3 4 2 3" xfId="5436" xr:uid="{00000000-0005-0000-0000-0000AE4A0000}"/>
    <cellStyle name="40% - Accent1 3 4 2 3 2" xfId="12537" xr:uid="{00000000-0005-0000-0000-0000AF4A0000}"/>
    <cellStyle name="40% - Accent1 3 4 2 3 3" xfId="19638" xr:uid="{00000000-0005-0000-0000-0000B04A0000}"/>
    <cellStyle name="40% - Accent1 3 4 2 3 4" xfId="26740" xr:uid="{00000000-0005-0000-0000-0000B14A0000}"/>
    <cellStyle name="40% - Accent1 3 4 2 3 5" xfId="33842" xr:uid="{00000000-0005-0000-0000-0000B24A0000}"/>
    <cellStyle name="40% - Accent1 3 4 2 4" xfId="4011" xr:uid="{00000000-0005-0000-0000-0000B34A0000}"/>
    <cellStyle name="40% - Accent1 3 4 2 4 2" xfId="11117" xr:uid="{00000000-0005-0000-0000-0000B44A0000}"/>
    <cellStyle name="40% - Accent1 3 4 2 4 3" xfId="18218" xr:uid="{00000000-0005-0000-0000-0000B54A0000}"/>
    <cellStyle name="40% - Accent1 3 4 2 4 4" xfId="25320" xr:uid="{00000000-0005-0000-0000-0000B64A0000}"/>
    <cellStyle name="40% - Accent1 3 4 2 4 5" xfId="32422" xr:uid="{00000000-0005-0000-0000-0000B74A0000}"/>
    <cellStyle name="40% - Accent1 3 4 2 5" xfId="8277" xr:uid="{00000000-0005-0000-0000-0000B84A0000}"/>
    <cellStyle name="40% - Accent1 3 4 2 6" xfId="15378" xr:uid="{00000000-0005-0000-0000-0000B94A0000}"/>
    <cellStyle name="40% - Accent1 3 4 2 7" xfId="22480" xr:uid="{00000000-0005-0000-0000-0000BA4A0000}"/>
    <cellStyle name="40% - Accent1 3 4 2 8" xfId="29582" xr:uid="{00000000-0005-0000-0000-0000BB4A0000}"/>
    <cellStyle name="40% - Accent1 3 4 2 9" xfId="38483" xr:uid="{00000000-0005-0000-0000-0000BC4A0000}"/>
    <cellStyle name="40% - Accent1 3 4 3" xfId="1808" xr:uid="{00000000-0005-0000-0000-0000BD4A0000}"/>
    <cellStyle name="40% - Accent1 3 4 3 2" xfId="6076" xr:uid="{00000000-0005-0000-0000-0000BE4A0000}"/>
    <cellStyle name="40% - Accent1 3 4 3 2 2" xfId="13176" xr:uid="{00000000-0005-0000-0000-0000BF4A0000}"/>
    <cellStyle name="40% - Accent1 3 4 3 2 3" xfId="20277" xr:uid="{00000000-0005-0000-0000-0000C04A0000}"/>
    <cellStyle name="40% - Accent1 3 4 3 2 4" xfId="27379" xr:uid="{00000000-0005-0000-0000-0000C14A0000}"/>
    <cellStyle name="40% - Accent1 3 4 3 2 5" xfId="34481" xr:uid="{00000000-0005-0000-0000-0000C24A0000}"/>
    <cellStyle name="40% - Accent1 3 4 3 2 6" xfId="38484" xr:uid="{00000000-0005-0000-0000-0000C34A0000}"/>
    <cellStyle name="40% - Accent1 3 4 3 3" xfId="8916" xr:uid="{00000000-0005-0000-0000-0000C44A0000}"/>
    <cellStyle name="40% - Accent1 3 4 3 4" xfId="16017" xr:uid="{00000000-0005-0000-0000-0000C54A0000}"/>
    <cellStyle name="40% - Accent1 3 4 3 5" xfId="23119" xr:uid="{00000000-0005-0000-0000-0000C64A0000}"/>
    <cellStyle name="40% - Accent1 3 4 3 6" xfId="30221" xr:uid="{00000000-0005-0000-0000-0000C74A0000}"/>
    <cellStyle name="40% - Accent1 3 4 3 7" xfId="38485" xr:uid="{00000000-0005-0000-0000-0000C84A0000}"/>
    <cellStyle name="40% - Accent1 3 4 4" xfId="4655" xr:uid="{00000000-0005-0000-0000-0000C94A0000}"/>
    <cellStyle name="40% - Accent1 3 4 4 2" xfId="11756" xr:uid="{00000000-0005-0000-0000-0000CA4A0000}"/>
    <cellStyle name="40% - Accent1 3 4 4 3" xfId="18857" xr:uid="{00000000-0005-0000-0000-0000CB4A0000}"/>
    <cellStyle name="40% - Accent1 3 4 4 4" xfId="25959" xr:uid="{00000000-0005-0000-0000-0000CC4A0000}"/>
    <cellStyle name="40% - Accent1 3 4 4 5" xfId="33061" xr:uid="{00000000-0005-0000-0000-0000CD4A0000}"/>
    <cellStyle name="40% - Accent1 3 4 4 6" xfId="38486" xr:uid="{00000000-0005-0000-0000-0000CE4A0000}"/>
    <cellStyle name="40% - Accent1 3 4 5" xfId="3230" xr:uid="{00000000-0005-0000-0000-0000CF4A0000}"/>
    <cellStyle name="40% - Accent1 3 4 5 2" xfId="10336" xr:uid="{00000000-0005-0000-0000-0000D04A0000}"/>
    <cellStyle name="40% - Accent1 3 4 5 3" xfId="17437" xr:uid="{00000000-0005-0000-0000-0000D14A0000}"/>
    <cellStyle name="40% - Accent1 3 4 5 4" xfId="24539" xr:uid="{00000000-0005-0000-0000-0000D24A0000}"/>
    <cellStyle name="40% - Accent1 3 4 5 5" xfId="31641" xr:uid="{00000000-0005-0000-0000-0000D34A0000}"/>
    <cellStyle name="40% - Accent1 3 4 6" xfId="7496" xr:uid="{00000000-0005-0000-0000-0000D44A0000}"/>
    <cellStyle name="40% - Accent1 3 4 7" xfId="14597" xr:uid="{00000000-0005-0000-0000-0000D54A0000}"/>
    <cellStyle name="40% - Accent1 3 4 8" xfId="21699" xr:uid="{00000000-0005-0000-0000-0000D64A0000}"/>
    <cellStyle name="40% - Accent1 3 4 9" xfId="28801" xr:uid="{00000000-0005-0000-0000-0000D74A0000}"/>
    <cellStyle name="40% - Accent1 3 5" xfId="530" xr:uid="{00000000-0005-0000-0000-0000D84A0000}"/>
    <cellStyle name="40% - Accent1 3 5 2" xfId="2021" xr:uid="{00000000-0005-0000-0000-0000D94A0000}"/>
    <cellStyle name="40% - Accent1 3 5 2 2" xfId="6289" xr:uid="{00000000-0005-0000-0000-0000DA4A0000}"/>
    <cellStyle name="40% - Accent1 3 5 2 2 2" xfId="13389" xr:uid="{00000000-0005-0000-0000-0000DB4A0000}"/>
    <cellStyle name="40% - Accent1 3 5 2 2 3" xfId="20490" xr:uid="{00000000-0005-0000-0000-0000DC4A0000}"/>
    <cellStyle name="40% - Accent1 3 5 2 2 4" xfId="27592" xr:uid="{00000000-0005-0000-0000-0000DD4A0000}"/>
    <cellStyle name="40% - Accent1 3 5 2 2 5" xfId="34694" xr:uid="{00000000-0005-0000-0000-0000DE4A0000}"/>
    <cellStyle name="40% - Accent1 3 5 2 2 6" xfId="38487" xr:uid="{00000000-0005-0000-0000-0000DF4A0000}"/>
    <cellStyle name="40% - Accent1 3 5 2 3" xfId="9129" xr:uid="{00000000-0005-0000-0000-0000E04A0000}"/>
    <cellStyle name="40% - Accent1 3 5 2 4" xfId="16230" xr:uid="{00000000-0005-0000-0000-0000E14A0000}"/>
    <cellStyle name="40% - Accent1 3 5 2 5" xfId="23332" xr:uid="{00000000-0005-0000-0000-0000E24A0000}"/>
    <cellStyle name="40% - Accent1 3 5 2 6" xfId="30434" xr:uid="{00000000-0005-0000-0000-0000E34A0000}"/>
    <cellStyle name="40% - Accent1 3 5 2 7" xfId="38488" xr:uid="{00000000-0005-0000-0000-0000E44A0000}"/>
    <cellStyle name="40% - Accent1 3 5 3" xfId="4868" xr:uid="{00000000-0005-0000-0000-0000E54A0000}"/>
    <cellStyle name="40% - Accent1 3 5 3 2" xfId="11969" xr:uid="{00000000-0005-0000-0000-0000E64A0000}"/>
    <cellStyle name="40% - Accent1 3 5 3 2 2" xfId="38489" xr:uid="{00000000-0005-0000-0000-0000E74A0000}"/>
    <cellStyle name="40% - Accent1 3 5 3 3" xfId="19070" xr:uid="{00000000-0005-0000-0000-0000E84A0000}"/>
    <cellStyle name="40% - Accent1 3 5 3 4" xfId="26172" xr:uid="{00000000-0005-0000-0000-0000E94A0000}"/>
    <cellStyle name="40% - Accent1 3 5 3 5" xfId="33274" xr:uid="{00000000-0005-0000-0000-0000EA4A0000}"/>
    <cellStyle name="40% - Accent1 3 5 3 6" xfId="38490" xr:uid="{00000000-0005-0000-0000-0000EB4A0000}"/>
    <cellStyle name="40% - Accent1 3 5 4" xfId="3443" xr:uid="{00000000-0005-0000-0000-0000EC4A0000}"/>
    <cellStyle name="40% - Accent1 3 5 4 2" xfId="10549" xr:uid="{00000000-0005-0000-0000-0000ED4A0000}"/>
    <cellStyle name="40% - Accent1 3 5 4 3" xfId="17650" xr:uid="{00000000-0005-0000-0000-0000EE4A0000}"/>
    <cellStyle name="40% - Accent1 3 5 4 4" xfId="24752" xr:uid="{00000000-0005-0000-0000-0000EF4A0000}"/>
    <cellStyle name="40% - Accent1 3 5 4 5" xfId="31854" xr:uid="{00000000-0005-0000-0000-0000F04A0000}"/>
    <cellStyle name="40% - Accent1 3 5 4 6" xfId="38491" xr:uid="{00000000-0005-0000-0000-0000F14A0000}"/>
    <cellStyle name="40% - Accent1 3 5 5" xfId="7709" xr:uid="{00000000-0005-0000-0000-0000F24A0000}"/>
    <cellStyle name="40% - Accent1 3 5 6" xfId="14810" xr:uid="{00000000-0005-0000-0000-0000F34A0000}"/>
    <cellStyle name="40% - Accent1 3 5 7" xfId="21912" xr:uid="{00000000-0005-0000-0000-0000F44A0000}"/>
    <cellStyle name="40% - Accent1 3 5 8" xfId="29014" xr:uid="{00000000-0005-0000-0000-0000F54A0000}"/>
    <cellStyle name="40% - Accent1 3 5 9" xfId="38492" xr:uid="{00000000-0005-0000-0000-0000F64A0000}"/>
    <cellStyle name="40% - Accent1 3 6" xfId="743" xr:uid="{00000000-0005-0000-0000-0000F74A0000}"/>
    <cellStyle name="40% - Accent1 3 6 2" xfId="2234" xr:uid="{00000000-0005-0000-0000-0000F84A0000}"/>
    <cellStyle name="40% - Accent1 3 6 2 2" xfId="6502" xr:uid="{00000000-0005-0000-0000-0000F94A0000}"/>
    <cellStyle name="40% - Accent1 3 6 2 2 2" xfId="13602" xr:uid="{00000000-0005-0000-0000-0000FA4A0000}"/>
    <cellStyle name="40% - Accent1 3 6 2 2 3" xfId="20703" xr:uid="{00000000-0005-0000-0000-0000FB4A0000}"/>
    <cellStyle name="40% - Accent1 3 6 2 2 4" xfId="27805" xr:uid="{00000000-0005-0000-0000-0000FC4A0000}"/>
    <cellStyle name="40% - Accent1 3 6 2 2 5" xfId="34907" xr:uid="{00000000-0005-0000-0000-0000FD4A0000}"/>
    <cellStyle name="40% - Accent1 3 6 2 2 6" xfId="38493" xr:uid="{00000000-0005-0000-0000-0000FE4A0000}"/>
    <cellStyle name="40% - Accent1 3 6 2 3" xfId="9342" xr:uid="{00000000-0005-0000-0000-0000FF4A0000}"/>
    <cellStyle name="40% - Accent1 3 6 2 4" xfId="16443" xr:uid="{00000000-0005-0000-0000-0000004B0000}"/>
    <cellStyle name="40% - Accent1 3 6 2 5" xfId="23545" xr:uid="{00000000-0005-0000-0000-0000014B0000}"/>
    <cellStyle name="40% - Accent1 3 6 2 6" xfId="30647" xr:uid="{00000000-0005-0000-0000-0000024B0000}"/>
    <cellStyle name="40% - Accent1 3 6 2 7" xfId="38494" xr:uid="{00000000-0005-0000-0000-0000034B0000}"/>
    <cellStyle name="40% - Accent1 3 6 3" xfId="5081" xr:uid="{00000000-0005-0000-0000-0000044B0000}"/>
    <cellStyle name="40% - Accent1 3 6 3 2" xfId="12182" xr:uid="{00000000-0005-0000-0000-0000054B0000}"/>
    <cellStyle name="40% - Accent1 3 6 3 2 2" xfId="38495" xr:uid="{00000000-0005-0000-0000-0000064B0000}"/>
    <cellStyle name="40% - Accent1 3 6 3 3" xfId="19283" xr:uid="{00000000-0005-0000-0000-0000074B0000}"/>
    <cellStyle name="40% - Accent1 3 6 3 4" xfId="26385" xr:uid="{00000000-0005-0000-0000-0000084B0000}"/>
    <cellStyle name="40% - Accent1 3 6 3 5" xfId="33487" xr:uid="{00000000-0005-0000-0000-0000094B0000}"/>
    <cellStyle name="40% - Accent1 3 6 3 6" xfId="38496" xr:uid="{00000000-0005-0000-0000-00000A4B0000}"/>
    <cellStyle name="40% - Accent1 3 6 4" xfId="3656" xr:uid="{00000000-0005-0000-0000-00000B4B0000}"/>
    <cellStyle name="40% - Accent1 3 6 4 2" xfId="10762" xr:uid="{00000000-0005-0000-0000-00000C4B0000}"/>
    <cellStyle name="40% - Accent1 3 6 4 3" xfId="17863" xr:uid="{00000000-0005-0000-0000-00000D4B0000}"/>
    <cellStyle name="40% - Accent1 3 6 4 4" xfId="24965" xr:uid="{00000000-0005-0000-0000-00000E4B0000}"/>
    <cellStyle name="40% - Accent1 3 6 4 5" xfId="32067" xr:uid="{00000000-0005-0000-0000-00000F4B0000}"/>
    <cellStyle name="40% - Accent1 3 6 4 6" xfId="38497" xr:uid="{00000000-0005-0000-0000-0000104B0000}"/>
    <cellStyle name="40% - Accent1 3 6 5" xfId="7922" xr:uid="{00000000-0005-0000-0000-0000114B0000}"/>
    <cellStyle name="40% - Accent1 3 6 6" xfId="15023" xr:uid="{00000000-0005-0000-0000-0000124B0000}"/>
    <cellStyle name="40% - Accent1 3 6 7" xfId="22125" xr:uid="{00000000-0005-0000-0000-0000134B0000}"/>
    <cellStyle name="40% - Accent1 3 6 8" xfId="29227" xr:uid="{00000000-0005-0000-0000-0000144B0000}"/>
    <cellStyle name="40% - Accent1 3 6 9" xfId="38498" xr:uid="{00000000-0005-0000-0000-0000154B0000}"/>
    <cellStyle name="40% - Accent1 3 7" xfId="956" xr:uid="{00000000-0005-0000-0000-0000164B0000}"/>
    <cellStyle name="40% - Accent1 3 7 2" xfId="2447" xr:uid="{00000000-0005-0000-0000-0000174B0000}"/>
    <cellStyle name="40% - Accent1 3 7 2 2" xfId="6715" xr:uid="{00000000-0005-0000-0000-0000184B0000}"/>
    <cellStyle name="40% - Accent1 3 7 2 2 2" xfId="13815" xr:uid="{00000000-0005-0000-0000-0000194B0000}"/>
    <cellStyle name="40% - Accent1 3 7 2 2 3" xfId="20916" xr:uid="{00000000-0005-0000-0000-00001A4B0000}"/>
    <cellStyle name="40% - Accent1 3 7 2 2 4" xfId="28018" xr:uid="{00000000-0005-0000-0000-00001B4B0000}"/>
    <cellStyle name="40% - Accent1 3 7 2 2 5" xfId="35120" xr:uid="{00000000-0005-0000-0000-00001C4B0000}"/>
    <cellStyle name="40% - Accent1 3 7 2 3" xfId="9555" xr:uid="{00000000-0005-0000-0000-00001D4B0000}"/>
    <cellStyle name="40% - Accent1 3 7 2 4" xfId="16656" xr:uid="{00000000-0005-0000-0000-00001E4B0000}"/>
    <cellStyle name="40% - Accent1 3 7 2 5" xfId="23758" xr:uid="{00000000-0005-0000-0000-00001F4B0000}"/>
    <cellStyle name="40% - Accent1 3 7 2 6" xfId="30860" xr:uid="{00000000-0005-0000-0000-0000204B0000}"/>
    <cellStyle name="40% - Accent1 3 7 2 7" xfId="38499" xr:uid="{00000000-0005-0000-0000-0000214B0000}"/>
    <cellStyle name="40% - Accent1 3 7 3" xfId="5294" xr:uid="{00000000-0005-0000-0000-0000224B0000}"/>
    <cellStyle name="40% - Accent1 3 7 3 2" xfId="12395" xr:uid="{00000000-0005-0000-0000-0000234B0000}"/>
    <cellStyle name="40% - Accent1 3 7 3 3" xfId="19496" xr:uid="{00000000-0005-0000-0000-0000244B0000}"/>
    <cellStyle name="40% - Accent1 3 7 3 4" xfId="26598" xr:uid="{00000000-0005-0000-0000-0000254B0000}"/>
    <cellStyle name="40% - Accent1 3 7 3 5" xfId="33700" xr:uid="{00000000-0005-0000-0000-0000264B0000}"/>
    <cellStyle name="40% - Accent1 3 7 4" xfId="3869" xr:uid="{00000000-0005-0000-0000-0000274B0000}"/>
    <cellStyle name="40% - Accent1 3 7 4 2" xfId="10975" xr:uid="{00000000-0005-0000-0000-0000284B0000}"/>
    <cellStyle name="40% - Accent1 3 7 4 3" xfId="18076" xr:uid="{00000000-0005-0000-0000-0000294B0000}"/>
    <cellStyle name="40% - Accent1 3 7 4 4" xfId="25178" xr:uid="{00000000-0005-0000-0000-00002A4B0000}"/>
    <cellStyle name="40% - Accent1 3 7 4 5" xfId="32280" xr:uid="{00000000-0005-0000-0000-00002B4B0000}"/>
    <cellStyle name="40% - Accent1 3 7 5" xfId="8135" xr:uid="{00000000-0005-0000-0000-00002C4B0000}"/>
    <cellStyle name="40% - Accent1 3 7 6" xfId="15236" xr:uid="{00000000-0005-0000-0000-00002D4B0000}"/>
    <cellStyle name="40% - Accent1 3 7 7" xfId="22338" xr:uid="{00000000-0005-0000-0000-00002E4B0000}"/>
    <cellStyle name="40% - Accent1 3 7 8" xfId="29440" xr:uid="{00000000-0005-0000-0000-00002F4B0000}"/>
    <cellStyle name="40% - Accent1 3 7 9" xfId="38500" xr:uid="{00000000-0005-0000-0000-0000304B0000}"/>
    <cellStyle name="40% - Accent1 3 8" xfId="1311" xr:uid="{00000000-0005-0000-0000-0000314B0000}"/>
    <cellStyle name="40% - Accent1 3 8 2" xfId="2802" xr:uid="{00000000-0005-0000-0000-0000324B0000}"/>
    <cellStyle name="40% - Accent1 3 8 2 2" xfId="7070" xr:uid="{00000000-0005-0000-0000-0000334B0000}"/>
    <cellStyle name="40% - Accent1 3 8 2 2 2" xfId="14170" xr:uid="{00000000-0005-0000-0000-0000344B0000}"/>
    <cellStyle name="40% - Accent1 3 8 2 2 3" xfId="21271" xr:uid="{00000000-0005-0000-0000-0000354B0000}"/>
    <cellStyle name="40% - Accent1 3 8 2 2 4" xfId="28373" xr:uid="{00000000-0005-0000-0000-0000364B0000}"/>
    <cellStyle name="40% - Accent1 3 8 2 2 5" xfId="35475" xr:uid="{00000000-0005-0000-0000-0000374B0000}"/>
    <cellStyle name="40% - Accent1 3 8 2 3" xfId="9910" xr:uid="{00000000-0005-0000-0000-0000384B0000}"/>
    <cellStyle name="40% - Accent1 3 8 2 4" xfId="17011" xr:uid="{00000000-0005-0000-0000-0000394B0000}"/>
    <cellStyle name="40% - Accent1 3 8 2 5" xfId="24113" xr:uid="{00000000-0005-0000-0000-00003A4B0000}"/>
    <cellStyle name="40% - Accent1 3 8 2 6" xfId="31215" xr:uid="{00000000-0005-0000-0000-00003B4B0000}"/>
    <cellStyle name="40% - Accent1 3 8 2 7" xfId="38501" xr:uid="{00000000-0005-0000-0000-00003C4B0000}"/>
    <cellStyle name="40% - Accent1 3 8 3" xfId="5649" xr:uid="{00000000-0005-0000-0000-00003D4B0000}"/>
    <cellStyle name="40% - Accent1 3 8 3 2" xfId="12750" xr:uid="{00000000-0005-0000-0000-00003E4B0000}"/>
    <cellStyle name="40% - Accent1 3 8 3 3" xfId="19851" xr:uid="{00000000-0005-0000-0000-00003F4B0000}"/>
    <cellStyle name="40% - Accent1 3 8 3 4" xfId="26953" xr:uid="{00000000-0005-0000-0000-0000404B0000}"/>
    <cellStyle name="40% - Accent1 3 8 3 5" xfId="34055" xr:uid="{00000000-0005-0000-0000-0000414B0000}"/>
    <cellStyle name="40% - Accent1 3 8 4" xfId="4224" xr:uid="{00000000-0005-0000-0000-0000424B0000}"/>
    <cellStyle name="40% - Accent1 3 8 4 2" xfId="11330" xr:uid="{00000000-0005-0000-0000-0000434B0000}"/>
    <cellStyle name="40% - Accent1 3 8 4 3" xfId="18431" xr:uid="{00000000-0005-0000-0000-0000444B0000}"/>
    <cellStyle name="40% - Accent1 3 8 4 4" xfId="25533" xr:uid="{00000000-0005-0000-0000-0000454B0000}"/>
    <cellStyle name="40% - Accent1 3 8 4 5" xfId="32635" xr:uid="{00000000-0005-0000-0000-0000464B0000}"/>
    <cellStyle name="40% - Accent1 3 8 5" xfId="8490" xr:uid="{00000000-0005-0000-0000-0000474B0000}"/>
    <cellStyle name="40% - Accent1 3 8 6" xfId="15591" xr:uid="{00000000-0005-0000-0000-0000484B0000}"/>
    <cellStyle name="40% - Accent1 3 8 7" xfId="22693" xr:uid="{00000000-0005-0000-0000-0000494B0000}"/>
    <cellStyle name="40% - Accent1 3 8 8" xfId="29795" xr:uid="{00000000-0005-0000-0000-00004A4B0000}"/>
    <cellStyle name="40% - Accent1 3 8 9" xfId="38502" xr:uid="{00000000-0005-0000-0000-00004B4B0000}"/>
    <cellStyle name="40% - Accent1 3 9" xfId="1593" xr:uid="{00000000-0005-0000-0000-00004C4B0000}"/>
    <cellStyle name="40% - Accent1 3 9 2" xfId="5863" xr:uid="{00000000-0005-0000-0000-00004D4B0000}"/>
    <cellStyle name="40% - Accent1 3 9 2 2" xfId="12963" xr:uid="{00000000-0005-0000-0000-00004E4B0000}"/>
    <cellStyle name="40% - Accent1 3 9 2 3" xfId="20064" xr:uid="{00000000-0005-0000-0000-00004F4B0000}"/>
    <cellStyle name="40% - Accent1 3 9 2 4" xfId="27166" xr:uid="{00000000-0005-0000-0000-0000504B0000}"/>
    <cellStyle name="40% - Accent1 3 9 2 5" xfId="34268" xr:uid="{00000000-0005-0000-0000-0000514B0000}"/>
    <cellStyle name="40% - Accent1 3 9 3" xfId="8703" xr:uid="{00000000-0005-0000-0000-0000524B0000}"/>
    <cellStyle name="40% - Accent1 3 9 4" xfId="15804" xr:uid="{00000000-0005-0000-0000-0000534B0000}"/>
    <cellStyle name="40% - Accent1 3 9 5" xfId="22906" xr:uid="{00000000-0005-0000-0000-0000544B0000}"/>
    <cellStyle name="40% - Accent1 3 9 6" xfId="30008" xr:uid="{00000000-0005-0000-0000-0000554B0000}"/>
    <cellStyle name="40% - Accent1 3 9 7" xfId="38503" xr:uid="{00000000-0005-0000-0000-0000564B0000}"/>
    <cellStyle name="40% - Accent1 4" xfId="133" xr:uid="{00000000-0005-0000-0000-0000574B0000}"/>
    <cellStyle name="40% - Accent1 4 10" xfId="4473" xr:uid="{00000000-0005-0000-0000-0000584B0000}"/>
    <cellStyle name="40% - Accent1 4 10 2" xfId="11574" xr:uid="{00000000-0005-0000-0000-0000594B0000}"/>
    <cellStyle name="40% - Accent1 4 10 3" xfId="18675" xr:uid="{00000000-0005-0000-0000-00005A4B0000}"/>
    <cellStyle name="40% - Accent1 4 10 4" xfId="25777" xr:uid="{00000000-0005-0000-0000-00005B4B0000}"/>
    <cellStyle name="40% - Accent1 4 10 5" xfId="32879" xr:uid="{00000000-0005-0000-0000-00005C4B0000}"/>
    <cellStyle name="40% - Accent1 4 11" xfId="3048" xr:uid="{00000000-0005-0000-0000-00005D4B0000}"/>
    <cellStyle name="40% - Accent1 4 11 2" xfId="10154" xr:uid="{00000000-0005-0000-0000-00005E4B0000}"/>
    <cellStyle name="40% - Accent1 4 11 3" xfId="17255" xr:uid="{00000000-0005-0000-0000-00005F4B0000}"/>
    <cellStyle name="40% - Accent1 4 11 4" xfId="24357" xr:uid="{00000000-0005-0000-0000-0000604B0000}"/>
    <cellStyle name="40% - Accent1 4 11 5" xfId="31459" xr:uid="{00000000-0005-0000-0000-0000614B0000}"/>
    <cellStyle name="40% - Accent1 4 12" xfId="7314" xr:uid="{00000000-0005-0000-0000-0000624B0000}"/>
    <cellStyle name="40% - Accent1 4 13" xfId="14415" xr:uid="{00000000-0005-0000-0000-0000634B0000}"/>
    <cellStyle name="40% - Accent1 4 14" xfId="21517" xr:uid="{00000000-0005-0000-0000-0000644B0000}"/>
    <cellStyle name="40% - Accent1 4 15" xfId="28619" xr:uid="{00000000-0005-0000-0000-0000654B0000}"/>
    <cellStyle name="40% - Accent1 4 16" xfId="35721" xr:uid="{00000000-0005-0000-0000-0000664B0000}"/>
    <cellStyle name="40% - Accent1 4 17" xfId="38504" xr:uid="{00000000-0005-0000-0000-0000674B0000}"/>
    <cellStyle name="40% - Accent1 4 18" xfId="38505" xr:uid="{00000000-0005-0000-0000-0000684B0000}"/>
    <cellStyle name="40% - Accent1 4 2" xfId="277" xr:uid="{00000000-0005-0000-0000-0000694B0000}"/>
    <cellStyle name="40% - Accent1 4 2 10" xfId="7456" xr:uid="{00000000-0005-0000-0000-00006A4B0000}"/>
    <cellStyle name="40% - Accent1 4 2 11" xfId="14557" xr:uid="{00000000-0005-0000-0000-00006B4B0000}"/>
    <cellStyle name="40% - Accent1 4 2 12" xfId="21659" xr:uid="{00000000-0005-0000-0000-00006C4B0000}"/>
    <cellStyle name="40% - Accent1 4 2 13" xfId="28761" xr:uid="{00000000-0005-0000-0000-00006D4B0000}"/>
    <cellStyle name="40% - Accent1 4 2 14" xfId="35863" xr:uid="{00000000-0005-0000-0000-00006E4B0000}"/>
    <cellStyle name="40% - Accent1 4 2 15" xfId="38506" xr:uid="{00000000-0005-0000-0000-00006F4B0000}"/>
    <cellStyle name="40% - Accent1 4 2 2" xfId="490" xr:uid="{00000000-0005-0000-0000-0000704B0000}"/>
    <cellStyle name="40% - Accent1 4 2 2 10" xfId="38507" xr:uid="{00000000-0005-0000-0000-0000714B0000}"/>
    <cellStyle name="40% - Accent1 4 2 2 2" xfId="1271" xr:uid="{00000000-0005-0000-0000-0000724B0000}"/>
    <cellStyle name="40% - Accent1 4 2 2 2 2" xfId="2762" xr:uid="{00000000-0005-0000-0000-0000734B0000}"/>
    <cellStyle name="40% - Accent1 4 2 2 2 2 2" xfId="7030" xr:uid="{00000000-0005-0000-0000-0000744B0000}"/>
    <cellStyle name="40% - Accent1 4 2 2 2 2 2 2" xfId="14130" xr:uid="{00000000-0005-0000-0000-0000754B0000}"/>
    <cellStyle name="40% - Accent1 4 2 2 2 2 2 3" xfId="21231" xr:uid="{00000000-0005-0000-0000-0000764B0000}"/>
    <cellStyle name="40% - Accent1 4 2 2 2 2 2 4" xfId="28333" xr:uid="{00000000-0005-0000-0000-0000774B0000}"/>
    <cellStyle name="40% - Accent1 4 2 2 2 2 2 5" xfId="35435" xr:uid="{00000000-0005-0000-0000-0000784B0000}"/>
    <cellStyle name="40% - Accent1 4 2 2 2 2 3" xfId="9870" xr:uid="{00000000-0005-0000-0000-0000794B0000}"/>
    <cellStyle name="40% - Accent1 4 2 2 2 2 4" xfId="16971" xr:uid="{00000000-0005-0000-0000-00007A4B0000}"/>
    <cellStyle name="40% - Accent1 4 2 2 2 2 5" xfId="24073" xr:uid="{00000000-0005-0000-0000-00007B4B0000}"/>
    <cellStyle name="40% - Accent1 4 2 2 2 2 6" xfId="31175" xr:uid="{00000000-0005-0000-0000-00007C4B0000}"/>
    <cellStyle name="40% - Accent1 4 2 2 2 2 7" xfId="38508" xr:uid="{00000000-0005-0000-0000-00007D4B0000}"/>
    <cellStyle name="40% - Accent1 4 2 2 2 3" xfId="5609" xr:uid="{00000000-0005-0000-0000-00007E4B0000}"/>
    <cellStyle name="40% - Accent1 4 2 2 2 3 2" xfId="12710" xr:uid="{00000000-0005-0000-0000-00007F4B0000}"/>
    <cellStyle name="40% - Accent1 4 2 2 2 3 3" xfId="19811" xr:uid="{00000000-0005-0000-0000-0000804B0000}"/>
    <cellStyle name="40% - Accent1 4 2 2 2 3 4" xfId="26913" xr:uid="{00000000-0005-0000-0000-0000814B0000}"/>
    <cellStyle name="40% - Accent1 4 2 2 2 3 5" xfId="34015" xr:uid="{00000000-0005-0000-0000-0000824B0000}"/>
    <cellStyle name="40% - Accent1 4 2 2 2 4" xfId="4184" xr:uid="{00000000-0005-0000-0000-0000834B0000}"/>
    <cellStyle name="40% - Accent1 4 2 2 2 4 2" xfId="11290" xr:uid="{00000000-0005-0000-0000-0000844B0000}"/>
    <cellStyle name="40% - Accent1 4 2 2 2 4 3" xfId="18391" xr:uid="{00000000-0005-0000-0000-0000854B0000}"/>
    <cellStyle name="40% - Accent1 4 2 2 2 4 4" xfId="25493" xr:uid="{00000000-0005-0000-0000-0000864B0000}"/>
    <cellStyle name="40% - Accent1 4 2 2 2 4 5" xfId="32595" xr:uid="{00000000-0005-0000-0000-0000874B0000}"/>
    <cellStyle name="40% - Accent1 4 2 2 2 5" xfId="8450" xr:uid="{00000000-0005-0000-0000-0000884B0000}"/>
    <cellStyle name="40% - Accent1 4 2 2 2 6" xfId="15551" xr:uid="{00000000-0005-0000-0000-0000894B0000}"/>
    <cellStyle name="40% - Accent1 4 2 2 2 7" xfId="22653" xr:uid="{00000000-0005-0000-0000-00008A4B0000}"/>
    <cellStyle name="40% - Accent1 4 2 2 2 8" xfId="29755" xr:uid="{00000000-0005-0000-0000-00008B4B0000}"/>
    <cellStyle name="40% - Accent1 4 2 2 2 9" xfId="38509" xr:uid="{00000000-0005-0000-0000-00008C4B0000}"/>
    <cellStyle name="40% - Accent1 4 2 2 3" xfId="1981" xr:uid="{00000000-0005-0000-0000-00008D4B0000}"/>
    <cellStyle name="40% - Accent1 4 2 2 3 2" xfId="6249" xr:uid="{00000000-0005-0000-0000-00008E4B0000}"/>
    <cellStyle name="40% - Accent1 4 2 2 3 2 2" xfId="13349" xr:uid="{00000000-0005-0000-0000-00008F4B0000}"/>
    <cellStyle name="40% - Accent1 4 2 2 3 2 3" xfId="20450" xr:uid="{00000000-0005-0000-0000-0000904B0000}"/>
    <cellStyle name="40% - Accent1 4 2 2 3 2 4" xfId="27552" xr:uid="{00000000-0005-0000-0000-0000914B0000}"/>
    <cellStyle name="40% - Accent1 4 2 2 3 2 5" xfId="34654" xr:uid="{00000000-0005-0000-0000-0000924B0000}"/>
    <cellStyle name="40% - Accent1 4 2 2 3 2 6" xfId="38510" xr:uid="{00000000-0005-0000-0000-0000934B0000}"/>
    <cellStyle name="40% - Accent1 4 2 2 3 3" xfId="9089" xr:uid="{00000000-0005-0000-0000-0000944B0000}"/>
    <cellStyle name="40% - Accent1 4 2 2 3 4" xfId="16190" xr:uid="{00000000-0005-0000-0000-0000954B0000}"/>
    <cellStyle name="40% - Accent1 4 2 2 3 5" xfId="23292" xr:uid="{00000000-0005-0000-0000-0000964B0000}"/>
    <cellStyle name="40% - Accent1 4 2 2 3 6" xfId="30394" xr:uid="{00000000-0005-0000-0000-0000974B0000}"/>
    <cellStyle name="40% - Accent1 4 2 2 3 7" xfId="38511" xr:uid="{00000000-0005-0000-0000-0000984B0000}"/>
    <cellStyle name="40% - Accent1 4 2 2 4" xfId="4828" xr:uid="{00000000-0005-0000-0000-0000994B0000}"/>
    <cellStyle name="40% - Accent1 4 2 2 4 2" xfId="11929" xr:uid="{00000000-0005-0000-0000-00009A4B0000}"/>
    <cellStyle name="40% - Accent1 4 2 2 4 3" xfId="19030" xr:uid="{00000000-0005-0000-0000-00009B4B0000}"/>
    <cellStyle name="40% - Accent1 4 2 2 4 4" xfId="26132" xr:uid="{00000000-0005-0000-0000-00009C4B0000}"/>
    <cellStyle name="40% - Accent1 4 2 2 4 5" xfId="33234" xr:uid="{00000000-0005-0000-0000-00009D4B0000}"/>
    <cellStyle name="40% - Accent1 4 2 2 4 6" xfId="38512" xr:uid="{00000000-0005-0000-0000-00009E4B0000}"/>
    <cellStyle name="40% - Accent1 4 2 2 5" xfId="3403" xr:uid="{00000000-0005-0000-0000-00009F4B0000}"/>
    <cellStyle name="40% - Accent1 4 2 2 5 2" xfId="10509" xr:uid="{00000000-0005-0000-0000-0000A04B0000}"/>
    <cellStyle name="40% - Accent1 4 2 2 5 3" xfId="17610" xr:uid="{00000000-0005-0000-0000-0000A14B0000}"/>
    <cellStyle name="40% - Accent1 4 2 2 5 4" xfId="24712" xr:uid="{00000000-0005-0000-0000-0000A24B0000}"/>
    <cellStyle name="40% - Accent1 4 2 2 5 5" xfId="31814" xr:uid="{00000000-0005-0000-0000-0000A34B0000}"/>
    <cellStyle name="40% - Accent1 4 2 2 6" xfId="7669" xr:uid="{00000000-0005-0000-0000-0000A44B0000}"/>
    <cellStyle name="40% - Accent1 4 2 2 7" xfId="14770" xr:uid="{00000000-0005-0000-0000-0000A54B0000}"/>
    <cellStyle name="40% - Accent1 4 2 2 8" xfId="21872" xr:uid="{00000000-0005-0000-0000-0000A64B0000}"/>
    <cellStyle name="40% - Accent1 4 2 2 9" xfId="28974" xr:uid="{00000000-0005-0000-0000-0000A74B0000}"/>
    <cellStyle name="40% - Accent1 4 2 3" xfId="703" xr:uid="{00000000-0005-0000-0000-0000A84B0000}"/>
    <cellStyle name="40% - Accent1 4 2 3 2" xfId="2194" xr:uid="{00000000-0005-0000-0000-0000A94B0000}"/>
    <cellStyle name="40% - Accent1 4 2 3 2 2" xfId="6462" xr:uid="{00000000-0005-0000-0000-0000AA4B0000}"/>
    <cellStyle name="40% - Accent1 4 2 3 2 2 2" xfId="13562" xr:uid="{00000000-0005-0000-0000-0000AB4B0000}"/>
    <cellStyle name="40% - Accent1 4 2 3 2 2 3" xfId="20663" xr:uid="{00000000-0005-0000-0000-0000AC4B0000}"/>
    <cellStyle name="40% - Accent1 4 2 3 2 2 4" xfId="27765" xr:uid="{00000000-0005-0000-0000-0000AD4B0000}"/>
    <cellStyle name="40% - Accent1 4 2 3 2 2 5" xfId="34867" xr:uid="{00000000-0005-0000-0000-0000AE4B0000}"/>
    <cellStyle name="40% - Accent1 4 2 3 2 2 6" xfId="38513" xr:uid="{00000000-0005-0000-0000-0000AF4B0000}"/>
    <cellStyle name="40% - Accent1 4 2 3 2 3" xfId="9302" xr:uid="{00000000-0005-0000-0000-0000B04B0000}"/>
    <cellStyle name="40% - Accent1 4 2 3 2 4" xfId="16403" xr:uid="{00000000-0005-0000-0000-0000B14B0000}"/>
    <cellStyle name="40% - Accent1 4 2 3 2 5" xfId="23505" xr:uid="{00000000-0005-0000-0000-0000B24B0000}"/>
    <cellStyle name="40% - Accent1 4 2 3 2 6" xfId="30607" xr:uid="{00000000-0005-0000-0000-0000B34B0000}"/>
    <cellStyle name="40% - Accent1 4 2 3 2 7" xfId="38514" xr:uid="{00000000-0005-0000-0000-0000B44B0000}"/>
    <cellStyle name="40% - Accent1 4 2 3 3" xfId="5041" xr:uid="{00000000-0005-0000-0000-0000B54B0000}"/>
    <cellStyle name="40% - Accent1 4 2 3 3 2" xfId="12142" xr:uid="{00000000-0005-0000-0000-0000B64B0000}"/>
    <cellStyle name="40% - Accent1 4 2 3 3 2 2" xfId="38515" xr:uid="{00000000-0005-0000-0000-0000B74B0000}"/>
    <cellStyle name="40% - Accent1 4 2 3 3 3" xfId="19243" xr:uid="{00000000-0005-0000-0000-0000B84B0000}"/>
    <cellStyle name="40% - Accent1 4 2 3 3 4" xfId="26345" xr:uid="{00000000-0005-0000-0000-0000B94B0000}"/>
    <cellStyle name="40% - Accent1 4 2 3 3 5" xfId="33447" xr:uid="{00000000-0005-0000-0000-0000BA4B0000}"/>
    <cellStyle name="40% - Accent1 4 2 3 3 6" xfId="38516" xr:uid="{00000000-0005-0000-0000-0000BB4B0000}"/>
    <cellStyle name="40% - Accent1 4 2 3 4" xfId="3616" xr:uid="{00000000-0005-0000-0000-0000BC4B0000}"/>
    <cellStyle name="40% - Accent1 4 2 3 4 2" xfId="10722" xr:uid="{00000000-0005-0000-0000-0000BD4B0000}"/>
    <cellStyle name="40% - Accent1 4 2 3 4 3" xfId="17823" xr:uid="{00000000-0005-0000-0000-0000BE4B0000}"/>
    <cellStyle name="40% - Accent1 4 2 3 4 4" xfId="24925" xr:uid="{00000000-0005-0000-0000-0000BF4B0000}"/>
    <cellStyle name="40% - Accent1 4 2 3 4 5" xfId="32027" xr:uid="{00000000-0005-0000-0000-0000C04B0000}"/>
    <cellStyle name="40% - Accent1 4 2 3 4 6" xfId="38517" xr:uid="{00000000-0005-0000-0000-0000C14B0000}"/>
    <cellStyle name="40% - Accent1 4 2 3 5" xfId="7882" xr:uid="{00000000-0005-0000-0000-0000C24B0000}"/>
    <cellStyle name="40% - Accent1 4 2 3 6" xfId="14983" xr:uid="{00000000-0005-0000-0000-0000C34B0000}"/>
    <cellStyle name="40% - Accent1 4 2 3 7" xfId="22085" xr:uid="{00000000-0005-0000-0000-0000C44B0000}"/>
    <cellStyle name="40% - Accent1 4 2 3 8" xfId="29187" xr:uid="{00000000-0005-0000-0000-0000C54B0000}"/>
    <cellStyle name="40% - Accent1 4 2 3 9" xfId="38518" xr:uid="{00000000-0005-0000-0000-0000C64B0000}"/>
    <cellStyle name="40% - Accent1 4 2 4" xfId="916" xr:uid="{00000000-0005-0000-0000-0000C74B0000}"/>
    <cellStyle name="40% - Accent1 4 2 4 2" xfId="2407" xr:uid="{00000000-0005-0000-0000-0000C84B0000}"/>
    <cellStyle name="40% - Accent1 4 2 4 2 2" xfId="6675" xr:uid="{00000000-0005-0000-0000-0000C94B0000}"/>
    <cellStyle name="40% - Accent1 4 2 4 2 2 2" xfId="13775" xr:uid="{00000000-0005-0000-0000-0000CA4B0000}"/>
    <cellStyle name="40% - Accent1 4 2 4 2 2 3" xfId="20876" xr:uid="{00000000-0005-0000-0000-0000CB4B0000}"/>
    <cellStyle name="40% - Accent1 4 2 4 2 2 4" xfId="27978" xr:uid="{00000000-0005-0000-0000-0000CC4B0000}"/>
    <cellStyle name="40% - Accent1 4 2 4 2 2 5" xfId="35080" xr:uid="{00000000-0005-0000-0000-0000CD4B0000}"/>
    <cellStyle name="40% - Accent1 4 2 4 2 2 6" xfId="38519" xr:uid="{00000000-0005-0000-0000-0000CE4B0000}"/>
    <cellStyle name="40% - Accent1 4 2 4 2 3" xfId="9515" xr:uid="{00000000-0005-0000-0000-0000CF4B0000}"/>
    <cellStyle name="40% - Accent1 4 2 4 2 4" xfId="16616" xr:uid="{00000000-0005-0000-0000-0000D04B0000}"/>
    <cellStyle name="40% - Accent1 4 2 4 2 5" xfId="23718" xr:uid="{00000000-0005-0000-0000-0000D14B0000}"/>
    <cellStyle name="40% - Accent1 4 2 4 2 6" xfId="30820" xr:uid="{00000000-0005-0000-0000-0000D24B0000}"/>
    <cellStyle name="40% - Accent1 4 2 4 2 7" xfId="38520" xr:uid="{00000000-0005-0000-0000-0000D34B0000}"/>
    <cellStyle name="40% - Accent1 4 2 4 3" xfId="5254" xr:uid="{00000000-0005-0000-0000-0000D44B0000}"/>
    <cellStyle name="40% - Accent1 4 2 4 3 2" xfId="12355" xr:uid="{00000000-0005-0000-0000-0000D54B0000}"/>
    <cellStyle name="40% - Accent1 4 2 4 3 2 2" xfId="38521" xr:uid="{00000000-0005-0000-0000-0000D64B0000}"/>
    <cellStyle name="40% - Accent1 4 2 4 3 3" xfId="19456" xr:uid="{00000000-0005-0000-0000-0000D74B0000}"/>
    <cellStyle name="40% - Accent1 4 2 4 3 4" xfId="26558" xr:uid="{00000000-0005-0000-0000-0000D84B0000}"/>
    <cellStyle name="40% - Accent1 4 2 4 3 5" xfId="33660" xr:uid="{00000000-0005-0000-0000-0000D94B0000}"/>
    <cellStyle name="40% - Accent1 4 2 4 3 6" xfId="38522" xr:uid="{00000000-0005-0000-0000-0000DA4B0000}"/>
    <cellStyle name="40% - Accent1 4 2 4 4" xfId="3829" xr:uid="{00000000-0005-0000-0000-0000DB4B0000}"/>
    <cellStyle name="40% - Accent1 4 2 4 4 2" xfId="10935" xr:uid="{00000000-0005-0000-0000-0000DC4B0000}"/>
    <cellStyle name="40% - Accent1 4 2 4 4 3" xfId="18036" xr:uid="{00000000-0005-0000-0000-0000DD4B0000}"/>
    <cellStyle name="40% - Accent1 4 2 4 4 4" xfId="25138" xr:uid="{00000000-0005-0000-0000-0000DE4B0000}"/>
    <cellStyle name="40% - Accent1 4 2 4 4 5" xfId="32240" xr:uid="{00000000-0005-0000-0000-0000DF4B0000}"/>
    <cellStyle name="40% - Accent1 4 2 4 4 6" xfId="38523" xr:uid="{00000000-0005-0000-0000-0000E04B0000}"/>
    <cellStyle name="40% - Accent1 4 2 4 5" xfId="8095" xr:uid="{00000000-0005-0000-0000-0000E14B0000}"/>
    <cellStyle name="40% - Accent1 4 2 4 6" xfId="15196" xr:uid="{00000000-0005-0000-0000-0000E24B0000}"/>
    <cellStyle name="40% - Accent1 4 2 4 7" xfId="22298" xr:uid="{00000000-0005-0000-0000-0000E34B0000}"/>
    <cellStyle name="40% - Accent1 4 2 4 8" xfId="29400" xr:uid="{00000000-0005-0000-0000-0000E44B0000}"/>
    <cellStyle name="40% - Accent1 4 2 4 9" xfId="38524" xr:uid="{00000000-0005-0000-0000-0000E54B0000}"/>
    <cellStyle name="40% - Accent1 4 2 5" xfId="1058" xr:uid="{00000000-0005-0000-0000-0000E64B0000}"/>
    <cellStyle name="40% - Accent1 4 2 5 2" xfId="2549" xr:uid="{00000000-0005-0000-0000-0000E74B0000}"/>
    <cellStyle name="40% - Accent1 4 2 5 2 2" xfId="6817" xr:uid="{00000000-0005-0000-0000-0000E84B0000}"/>
    <cellStyle name="40% - Accent1 4 2 5 2 2 2" xfId="13917" xr:uid="{00000000-0005-0000-0000-0000E94B0000}"/>
    <cellStyle name="40% - Accent1 4 2 5 2 2 3" xfId="21018" xr:uid="{00000000-0005-0000-0000-0000EA4B0000}"/>
    <cellStyle name="40% - Accent1 4 2 5 2 2 4" xfId="28120" xr:uid="{00000000-0005-0000-0000-0000EB4B0000}"/>
    <cellStyle name="40% - Accent1 4 2 5 2 2 5" xfId="35222" xr:uid="{00000000-0005-0000-0000-0000EC4B0000}"/>
    <cellStyle name="40% - Accent1 4 2 5 2 3" xfId="9657" xr:uid="{00000000-0005-0000-0000-0000ED4B0000}"/>
    <cellStyle name="40% - Accent1 4 2 5 2 4" xfId="16758" xr:uid="{00000000-0005-0000-0000-0000EE4B0000}"/>
    <cellStyle name="40% - Accent1 4 2 5 2 5" xfId="23860" xr:uid="{00000000-0005-0000-0000-0000EF4B0000}"/>
    <cellStyle name="40% - Accent1 4 2 5 2 6" xfId="30962" xr:uid="{00000000-0005-0000-0000-0000F04B0000}"/>
    <cellStyle name="40% - Accent1 4 2 5 2 7" xfId="38525" xr:uid="{00000000-0005-0000-0000-0000F14B0000}"/>
    <cellStyle name="40% - Accent1 4 2 5 3" xfId="5396" xr:uid="{00000000-0005-0000-0000-0000F24B0000}"/>
    <cellStyle name="40% - Accent1 4 2 5 3 2" xfId="12497" xr:uid="{00000000-0005-0000-0000-0000F34B0000}"/>
    <cellStyle name="40% - Accent1 4 2 5 3 3" xfId="19598" xr:uid="{00000000-0005-0000-0000-0000F44B0000}"/>
    <cellStyle name="40% - Accent1 4 2 5 3 4" xfId="26700" xr:uid="{00000000-0005-0000-0000-0000F54B0000}"/>
    <cellStyle name="40% - Accent1 4 2 5 3 5" xfId="33802" xr:uid="{00000000-0005-0000-0000-0000F64B0000}"/>
    <cellStyle name="40% - Accent1 4 2 5 4" xfId="3971" xr:uid="{00000000-0005-0000-0000-0000F74B0000}"/>
    <cellStyle name="40% - Accent1 4 2 5 4 2" xfId="11077" xr:uid="{00000000-0005-0000-0000-0000F84B0000}"/>
    <cellStyle name="40% - Accent1 4 2 5 4 3" xfId="18178" xr:uid="{00000000-0005-0000-0000-0000F94B0000}"/>
    <cellStyle name="40% - Accent1 4 2 5 4 4" xfId="25280" xr:uid="{00000000-0005-0000-0000-0000FA4B0000}"/>
    <cellStyle name="40% - Accent1 4 2 5 4 5" xfId="32382" xr:uid="{00000000-0005-0000-0000-0000FB4B0000}"/>
    <cellStyle name="40% - Accent1 4 2 5 5" xfId="8237" xr:uid="{00000000-0005-0000-0000-0000FC4B0000}"/>
    <cellStyle name="40% - Accent1 4 2 5 6" xfId="15338" xr:uid="{00000000-0005-0000-0000-0000FD4B0000}"/>
    <cellStyle name="40% - Accent1 4 2 5 7" xfId="22440" xr:uid="{00000000-0005-0000-0000-0000FE4B0000}"/>
    <cellStyle name="40% - Accent1 4 2 5 8" xfId="29542" xr:uid="{00000000-0005-0000-0000-0000FF4B0000}"/>
    <cellStyle name="40% - Accent1 4 2 5 9" xfId="38526" xr:uid="{00000000-0005-0000-0000-0000004C0000}"/>
    <cellStyle name="40% - Accent1 4 2 6" xfId="1484" xr:uid="{00000000-0005-0000-0000-0000014C0000}"/>
    <cellStyle name="40% - Accent1 4 2 6 2" xfId="2975" xr:uid="{00000000-0005-0000-0000-0000024C0000}"/>
    <cellStyle name="40% - Accent1 4 2 6 2 2" xfId="7243" xr:uid="{00000000-0005-0000-0000-0000034C0000}"/>
    <cellStyle name="40% - Accent1 4 2 6 2 2 2" xfId="14343" xr:uid="{00000000-0005-0000-0000-0000044C0000}"/>
    <cellStyle name="40% - Accent1 4 2 6 2 2 3" xfId="21444" xr:uid="{00000000-0005-0000-0000-0000054C0000}"/>
    <cellStyle name="40% - Accent1 4 2 6 2 2 4" xfId="28546" xr:uid="{00000000-0005-0000-0000-0000064C0000}"/>
    <cellStyle name="40% - Accent1 4 2 6 2 2 5" xfId="35648" xr:uid="{00000000-0005-0000-0000-0000074C0000}"/>
    <cellStyle name="40% - Accent1 4 2 6 2 3" xfId="10083" xr:uid="{00000000-0005-0000-0000-0000084C0000}"/>
    <cellStyle name="40% - Accent1 4 2 6 2 4" xfId="17184" xr:uid="{00000000-0005-0000-0000-0000094C0000}"/>
    <cellStyle name="40% - Accent1 4 2 6 2 5" xfId="24286" xr:uid="{00000000-0005-0000-0000-00000A4C0000}"/>
    <cellStyle name="40% - Accent1 4 2 6 2 6" xfId="31388" xr:uid="{00000000-0005-0000-0000-00000B4C0000}"/>
    <cellStyle name="40% - Accent1 4 2 6 2 7" xfId="38527" xr:uid="{00000000-0005-0000-0000-00000C4C0000}"/>
    <cellStyle name="40% - Accent1 4 2 6 3" xfId="5822" xr:uid="{00000000-0005-0000-0000-00000D4C0000}"/>
    <cellStyle name="40% - Accent1 4 2 6 3 2" xfId="12923" xr:uid="{00000000-0005-0000-0000-00000E4C0000}"/>
    <cellStyle name="40% - Accent1 4 2 6 3 3" xfId="20024" xr:uid="{00000000-0005-0000-0000-00000F4C0000}"/>
    <cellStyle name="40% - Accent1 4 2 6 3 4" xfId="27126" xr:uid="{00000000-0005-0000-0000-0000104C0000}"/>
    <cellStyle name="40% - Accent1 4 2 6 3 5" xfId="34228" xr:uid="{00000000-0005-0000-0000-0000114C0000}"/>
    <cellStyle name="40% - Accent1 4 2 6 4" xfId="4397" xr:uid="{00000000-0005-0000-0000-0000124C0000}"/>
    <cellStyle name="40% - Accent1 4 2 6 4 2" xfId="11503" xr:uid="{00000000-0005-0000-0000-0000134C0000}"/>
    <cellStyle name="40% - Accent1 4 2 6 4 3" xfId="18604" xr:uid="{00000000-0005-0000-0000-0000144C0000}"/>
    <cellStyle name="40% - Accent1 4 2 6 4 4" xfId="25706" xr:uid="{00000000-0005-0000-0000-0000154C0000}"/>
    <cellStyle name="40% - Accent1 4 2 6 4 5" xfId="32808" xr:uid="{00000000-0005-0000-0000-0000164C0000}"/>
    <cellStyle name="40% - Accent1 4 2 6 5" xfId="8663" xr:uid="{00000000-0005-0000-0000-0000174C0000}"/>
    <cellStyle name="40% - Accent1 4 2 6 6" xfId="15764" xr:uid="{00000000-0005-0000-0000-0000184C0000}"/>
    <cellStyle name="40% - Accent1 4 2 6 7" xfId="22866" xr:uid="{00000000-0005-0000-0000-0000194C0000}"/>
    <cellStyle name="40% - Accent1 4 2 6 8" xfId="29968" xr:uid="{00000000-0005-0000-0000-00001A4C0000}"/>
    <cellStyle name="40% - Accent1 4 2 6 9" xfId="38528" xr:uid="{00000000-0005-0000-0000-00001B4C0000}"/>
    <cellStyle name="40% - Accent1 4 2 7" xfId="1768" xr:uid="{00000000-0005-0000-0000-00001C4C0000}"/>
    <cellStyle name="40% - Accent1 4 2 7 2" xfId="6036" xr:uid="{00000000-0005-0000-0000-00001D4C0000}"/>
    <cellStyle name="40% - Accent1 4 2 7 2 2" xfId="13136" xr:uid="{00000000-0005-0000-0000-00001E4C0000}"/>
    <cellStyle name="40% - Accent1 4 2 7 2 3" xfId="20237" xr:uid="{00000000-0005-0000-0000-00001F4C0000}"/>
    <cellStyle name="40% - Accent1 4 2 7 2 4" xfId="27339" xr:uid="{00000000-0005-0000-0000-0000204C0000}"/>
    <cellStyle name="40% - Accent1 4 2 7 2 5" xfId="34441" xr:uid="{00000000-0005-0000-0000-0000214C0000}"/>
    <cellStyle name="40% - Accent1 4 2 7 3" xfId="8876" xr:uid="{00000000-0005-0000-0000-0000224C0000}"/>
    <cellStyle name="40% - Accent1 4 2 7 4" xfId="15977" xr:uid="{00000000-0005-0000-0000-0000234C0000}"/>
    <cellStyle name="40% - Accent1 4 2 7 5" xfId="23079" xr:uid="{00000000-0005-0000-0000-0000244C0000}"/>
    <cellStyle name="40% - Accent1 4 2 7 6" xfId="30181" xr:uid="{00000000-0005-0000-0000-0000254C0000}"/>
    <cellStyle name="40% - Accent1 4 2 7 7" xfId="38529" xr:uid="{00000000-0005-0000-0000-0000264C0000}"/>
    <cellStyle name="40% - Accent1 4 2 8" xfId="4615" xr:uid="{00000000-0005-0000-0000-0000274C0000}"/>
    <cellStyle name="40% - Accent1 4 2 8 2" xfId="11716" xr:uid="{00000000-0005-0000-0000-0000284C0000}"/>
    <cellStyle name="40% - Accent1 4 2 8 3" xfId="18817" xr:uid="{00000000-0005-0000-0000-0000294C0000}"/>
    <cellStyle name="40% - Accent1 4 2 8 4" xfId="25919" xr:uid="{00000000-0005-0000-0000-00002A4C0000}"/>
    <cellStyle name="40% - Accent1 4 2 8 5" xfId="33021" xr:uid="{00000000-0005-0000-0000-00002B4C0000}"/>
    <cellStyle name="40% - Accent1 4 2 9" xfId="3190" xr:uid="{00000000-0005-0000-0000-00002C4C0000}"/>
    <cellStyle name="40% - Accent1 4 2 9 2" xfId="10296" xr:uid="{00000000-0005-0000-0000-00002D4C0000}"/>
    <cellStyle name="40% - Accent1 4 2 9 3" xfId="17397" xr:uid="{00000000-0005-0000-0000-00002E4C0000}"/>
    <cellStyle name="40% - Accent1 4 2 9 4" xfId="24499" xr:uid="{00000000-0005-0000-0000-00002F4C0000}"/>
    <cellStyle name="40% - Accent1 4 2 9 5" xfId="31601" xr:uid="{00000000-0005-0000-0000-0000304C0000}"/>
    <cellStyle name="40% - Accent1 4 3" xfId="206" xr:uid="{00000000-0005-0000-0000-0000314C0000}"/>
    <cellStyle name="40% - Accent1 4 3 10" xfId="7385" xr:uid="{00000000-0005-0000-0000-0000324C0000}"/>
    <cellStyle name="40% - Accent1 4 3 11" xfId="14486" xr:uid="{00000000-0005-0000-0000-0000334C0000}"/>
    <cellStyle name="40% - Accent1 4 3 12" xfId="21588" xr:uid="{00000000-0005-0000-0000-0000344C0000}"/>
    <cellStyle name="40% - Accent1 4 3 13" xfId="28690" xr:uid="{00000000-0005-0000-0000-0000354C0000}"/>
    <cellStyle name="40% - Accent1 4 3 14" xfId="35792" xr:uid="{00000000-0005-0000-0000-0000364C0000}"/>
    <cellStyle name="40% - Accent1 4 3 15" xfId="38530" xr:uid="{00000000-0005-0000-0000-0000374C0000}"/>
    <cellStyle name="40% - Accent1 4 3 2" xfId="419" xr:uid="{00000000-0005-0000-0000-0000384C0000}"/>
    <cellStyle name="40% - Accent1 4 3 2 2" xfId="1910" xr:uid="{00000000-0005-0000-0000-0000394C0000}"/>
    <cellStyle name="40% - Accent1 4 3 2 2 2" xfId="6178" xr:uid="{00000000-0005-0000-0000-00003A4C0000}"/>
    <cellStyle name="40% - Accent1 4 3 2 2 2 2" xfId="13278" xr:uid="{00000000-0005-0000-0000-00003B4C0000}"/>
    <cellStyle name="40% - Accent1 4 3 2 2 2 3" xfId="20379" xr:uid="{00000000-0005-0000-0000-00003C4C0000}"/>
    <cellStyle name="40% - Accent1 4 3 2 2 2 4" xfId="27481" xr:uid="{00000000-0005-0000-0000-00003D4C0000}"/>
    <cellStyle name="40% - Accent1 4 3 2 2 2 5" xfId="34583" xr:uid="{00000000-0005-0000-0000-00003E4C0000}"/>
    <cellStyle name="40% - Accent1 4 3 2 2 2 6" xfId="38531" xr:uid="{00000000-0005-0000-0000-00003F4C0000}"/>
    <cellStyle name="40% - Accent1 4 3 2 2 3" xfId="9018" xr:uid="{00000000-0005-0000-0000-0000404C0000}"/>
    <cellStyle name="40% - Accent1 4 3 2 2 4" xfId="16119" xr:uid="{00000000-0005-0000-0000-0000414C0000}"/>
    <cellStyle name="40% - Accent1 4 3 2 2 5" xfId="23221" xr:uid="{00000000-0005-0000-0000-0000424C0000}"/>
    <cellStyle name="40% - Accent1 4 3 2 2 6" xfId="30323" xr:uid="{00000000-0005-0000-0000-0000434C0000}"/>
    <cellStyle name="40% - Accent1 4 3 2 2 7" xfId="38532" xr:uid="{00000000-0005-0000-0000-0000444C0000}"/>
    <cellStyle name="40% - Accent1 4 3 2 3" xfId="4757" xr:uid="{00000000-0005-0000-0000-0000454C0000}"/>
    <cellStyle name="40% - Accent1 4 3 2 3 2" xfId="11858" xr:uid="{00000000-0005-0000-0000-0000464C0000}"/>
    <cellStyle name="40% - Accent1 4 3 2 3 2 2" xfId="38533" xr:uid="{00000000-0005-0000-0000-0000474C0000}"/>
    <cellStyle name="40% - Accent1 4 3 2 3 3" xfId="18959" xr:uid="{00000000-0005-0000-0000-0000484C0000}"/>
    <cellStyle name="40% - Accent1 4 3 2 3 4" xfId="26061" xr:uid="{00000000-0005-0000-0000-0000494C0000}"/>
    <cellStyle name="40% - Accent1 4 3 2 3 5" xfId="33163" xr:uid="{00000000-0005-0000-0000-00004A4C0000}"/>
    <cellStyle name="40% - Accent1 4 3 2 3 6" xfId="38534" xr:uid="{00000000-0005-0000-0000-00004B4C0000}"/>
    <cellStyle name="40% - Accent1 4 3 2 4" xfId="3332" xr:uid="{00000000-0005-0000-0000-00004C4C0000}"/>
    <cellStyle name="40% - Accent1 4 3 2 4 2" xfId="10438" xr:uid="{00000000-0005-0000-0000-00004D4C0000}"/>
    <cellStyle name="40% - Accent1 4 3 2 4 3" xfId="17539" xr:uid="{00000000-0005-0000-0000-00004E4C0000}"/>
    <cellStyle name="40% - Accent1 4 3 2 4 4" xfId="24641" xr:uid="{00000000-0005-0000-0000-00004F4C0000}"/>
    <cellStyle name="40% - Accent1 4 3 2 4 5" xfId="31743" xr:uid="{00000000-0005-0000-0000-0000504C0000}"/>
    <cellStyle name="40% - Accent1 4 3 2 4 6" xfId="38535" xr:uid="{00000000-0005-0000-0000-0000514C0000}"/>
    <cellStyle name="40% - Accent1 4 3 2 5" xfId="7598" xr:uid="{00000000-0005-0000-0000-0000524C0000}"/>
    <cellStyle name="40% - Accent1 4 3 2 6" xfId="14699" xr:uid="{00000000-0005-0000-0000-0000534C0000}"/>
    <cellStyle name="40% - Accent1 4 3 2 7" xfId="21801" xr:uid="{00000000-0005-0000-0000-0000544C0000}"/>
    <cellStyle name="40% - Accent1 4 3 2 8" xfId="28903" xr:uid="{00000000-0005-0000-0000-0000554C0000}"/>
    <cellStyle name="40% - Accent1 4 3 2 9" xfId="38536" xr:uid="{00000000-0005-0000-0000-0000564C0000}"/>
    <cellStyle name="40% - Accent1 4 3 3" xfId="632" xr:uid="{00000000-0005-0000-0000-0000574C0000}"/>
    <cellStyle name="40% - Accent1 4 3 3 2" xfId="2123" xr:uid="{00000000-0005-0000-0000-0000584C0000}"/>
    <cellStyle name="40% - Accent1 4 3 3 2 2" xfId="6391" xr:uid="{00000000-0005-0000-0000-0000594C0000}"/>
    <cellStyle name="40% - Accent1 4 3 3 2 2 2" xfId="13491" xr:uid="{00000000-0005-0000-0000-00005A4C0000}"/>
    <cellStyle name="40% - Accent1 4 3 3 2 2 3" xfId="20592" xr:uid="{00000000-0005-0000-0000-00005B4C0000}"/>
    <cellStyle name="40% - Accent1 4 3 3 2 2 4" xfId="27694" xr:uid="{00000000-0005-0000-0000-00005C4C0000}"/>
    <cellStyle name="40% - Accent1 4 3 3 2 2 5" xfId="34796" xr:uid="{00000000-0005-0000-0000-00005D4C0000}"/>
    <cellStyle name="40% - Accent1 4 3 3 2 2 6" xfId="38537" xr:uid="{00000000-0005-0000-0000-00005E4C0000}"/>
    <cellStyle name="40% - Accent1 4 3 3 2 3" xfId="9231" xr:uid="{00000000-0005-0000-0000-00005F4C0000}"/>
    <cellStyle name="40% - Accent1 4 3 3 2 4" xfId="16332" xr:uid="{00000000-0005-0000-0000-0000604C0000}"/>
    <cellStyle name="40% - Accent1 4 3 3 2 5" xfId="23434" xr:uid="{00000000-0005-0000-0000-0000614C0000}"/>
    <cellStyle name="40% - Accent1 4 3 3 2 6" xfId="30536" xr:uid="{00000000-0005-0000-0000-0000624C0000}"/>
    <cellStyle name="40% - Accent1 4 3 3 2 7" xfId="38538" xr:uid="{00000000-0005-0000-0000-0000634C0000}"/>
    <cellStyle name="40% - Accent1 4 3 3 3" xfId="4970" xr:uid="{00000000-0005-0000-0000-0000644C0000}"/>
    <cellStyle name="40% - Accent1 4 3 3 3 2" xfId="12071" xr:uid="{00000000-0005-0000-0000-0000654C0000}"/>
    <cellStyle name="40% - Accent1 4 3 3 3 2 2" xfId="38539" xr:uid="{00000000-0005-0000-0000-0000664C0000}"/>
    <cellStyle name="40% - Accent1 4 3 3 3 3" xfId="19172" xr:uid="{00000000-0005-0000-0000-0000674C0000}"/>
    <cellStyle name="40% - Accent1 4 3 3 3 4" xfId="26274" xr:uid="{00000000-0005-0000-0000-0000684C0000}"/>
    <cellStyle name="40% - Accent1 4 3 3 3 5" xfId="33376" xr:uid="{00000000-0005-0000-0000-0000694C0000}"/>
    <cellStyle name="40% - Accent1 4 3 3 3 6" xfId="38540" xr:uid="{00000000-0005-0000-0000-00006A4C0000}"/>
    <cellStyle name="40% - Accent1 4 3 3 4" xfId="3545" xr:uid="{00000000-0005-0000-0000-00006B4C0000}"/>
    <cellStyle name="40% - Accent1 4 3 3 4 2" xfId="10651" xr:uid="{00000000-0005-0000-0000-00006C4C0000}"/>
    <cellStyle name="40% - Accent1 4 3 3 4 3" xfId="17752" xr:uid="{00000000-0005-0000-0000-00006D4C0000}"/>
    <cellStyle name="40% - Accent1 4 3 3 4 4" xfId="24854" xr:uid="{00000000-0005-0000-0000-00006E4C0000}"/>
    <cellStyle name="40% - Accent1 4 3 3 4 5" xfId="31956" xr:uid="{00000000-0005-0000-0000-00006F4C0000}"/>
    <cellStyle name="40% - Accent1 4 3 3 4 6" xfId="38541" xr:uid="{00000000-0005-0000-0000-0000704C0000}"/>
    <cellStyle name="40% - Accent1 4 3 3 5" xfId="7811" xr:uid="{00000000-0005-0000-0000-0000714C0000}"/>
    <cellStyle name="40% - Accent1 4 3 3 6" xfId="14912" xr:uid="{00000000-0005-0000-0000-0000724C0000}"/>
    <cellStyle name="40% - Accent1 4 3 3 7" xfId="22014" xr:uid="{00000000-0005-0000-0000-0000734C0000}"/>
    <cellStyle name="40% - Accent1 4 3 3 8" xfId="29116" xr:uid="{00000000-0005-0000-0000-0000744C0000}"/>
    <cellStyle name="40% - Accent1 4 3 3 9" xfId="38542" xr:uid="{00000000-0005-0000-0000-0000754C0000}"/>
    <cellStyle name="40% - Accent1 4 3 4" xfId="845" xr:uid="{00000000-0005-0000-0000-0000764C0000}"/>
    <cellStyle name="40% - Accent1 4 3 4 2" xfId="2336" xr:uid="{00000000-0005-0000-0000-0000774C0000}"/>
    <cellStyle name="40% - Accent1 4 3 4 2 2" xfId="6604" xr:uid="{00000000-0005-0000-0000-0000784C0000}"/>
    <cellStyle name="40% - Accent1 4 3 4 2 2 2" xfId="13704" xr:uid="{00000000-0005-0000-0000-0000794C0000}"/>
    <cellStyle name="40% - Accent1 4 3 4 2 2 3" xfId="20805" xr:uid="{00000000-0005-0000-0000-00007A4C0000}"/>
    <cellStyle name="40% - Accent1 4 3 4 2 2 4" xfId="27907" xr:uid="{00000000-0005-0000-0000-00007B4C0000}"/>
    <cellStyle name="40% - Accent1 4 3 4 2 2 5" xfId="35009" xr:uid="{00000000-0005-0000-0000-00007C4C0000}"/>
    <cellStyle name="40% - Accent1 4 3 4 2 2 6" xfId="38543" xr:uid="{00000000-0005-0000-0000-00007D4C0000}"/>
    <cellStyle name="40% - Accent1 4 3 4 2 3" xfId="9444" xr:uid="{00000000-0005-0000-0000-00007E4C0000}"/>
    <cellStyle name="40% - Accent1 4 3 4 2 4" xfId="16545" xr:uid="{00000000-0005-0000-0000-00007F4C0000}"/>
    <cellStyle name="40% - Accent1 4 3 4 2 5" xfId="23647" xr:uid="{00000000-0005-0000-0000-0000804C0000}"/>
    <cellStyle name="40% - Accent1 4 3 4 2 6" xfId="30749" xr:uid="{00000000-0005-0000-0000-0000814C0000}"/>
    <cellStyle name="40% - Accent1 4 3 4 2 7" xfId="38544" xr:uid="{00000000-0005-0000-0000-0000824C0000}"/>
    <cellStyle name="40% - Accent1 4 3 4 3" xfId="5183" xr:uid="{00000000-0005-0000-0000-0000834C0000}"/>
    <cellStyle name="40% - Accent1 4 3 4 3 2" xfId="12284" xr:uid="{00000000-0005-0000-0000-0000844C0000}"/>
    <cellStyle name="40% - Accent1 4 3 4 3 2 2" xfId="38545" xr:uid="{00000000-0005-0000-0000-0000854C0000}"/>
    <cellStyle name="40% - Accent1 4 3 4 3 3" xfId="19385" xr:uid="{00000000-0005-0000-0000-0000864C0000}"/>
    <cellStyle name="40% - Accent1 4 3 4 3 4" xfId="26487" xr:uid="{00000000-0005-0000-0000-0000874C0000}"/>
    <cellStyle name="40% - Accent1 4 3 4 3 5" xfId="33589" xr:uid="{00000000-0005-0000-0000-0000884C0000}"/>
    <cellStyle name="40% - Accent1 4 3 4 3 6" xfId="38546" xr:uid="{00000000-0005-0000-0000-0000894C0000}"/>
    <cellStyle name="40% - Accent1 4 3 4 4" xfId="3758" xr:uid="{00000000-0005-0000-0000-00008A4C0000}"/>
    <cellStyle name="40% - Accent1 4 3 4 4 2" xfId="10864" xr:uid="{00000000-0005-0000-0000-00008B4C0000}"/>
    <cellStyle name="40% - Accent1 4 3 4 4 3" xfId="17965" xr:uid="{00000000-0005-0000-0000-00008C4C0000}"/>
    <cellStyle name="40% - Accent1 4 3 4 4 4" xfId="25067" xr:uid="{00000000-0005-0000-0000-00008D4C0000}"/>
    <cellStyle name="40% - Accent1 4 3 4 4 5" xfId="32169" xr:uid="{00000000-0005-0000-0000-00008E4C0000}"/>
    <cellStyle name="40% - Accent1 4 3 4 4 6" xfId="38547" xr:uid="{00000000-0005-0000-0000-00008F4C0000}"/>
    <cellStyle name="40% - Accent1 4 3 4 5" xfId="8024" xr:uid="{00000000-0005-0000-0000-0000904C0000}"/>
    <cellStyle name="40% - Accent1 4 3 4 6" xfId="15125" xr:uid="{00000000-0005-0000-0000-0000914C0000}"/>
    <cellStyle name="40% - Accent1 4 3 4 7" xfId="22227" xr:uid="{00000000-0005-0000-0000-0000924C0000}"/>
    <cellStyle name="40% - Accent1 4 3 4 8" xfId="29329" xr:uid="{00000000-0005-0000-0000-0000934C0000}"/>
    <cellStyle name="40% - Accent1 4 3 4 9" xfId="38548" xr:uid="{00000000-0005-0000-0000-0000944C0000}"/>
    <cellStyle name="40% - Accent1 4 3 5" xfId="1200" xr:uid="{00000000-0005-0000-0000-0000954C0000}"/>
    <cellStyle name="40% - Accent1 4 3 5 2" xfId="2691" xr:uid="{00000000-0005-0000-0000-0000964C0000}"/>
    <cellStyle name="40% - Accent1 4 3 5 2 2" xfId="6959" xr:uid="{00000000-0005-0000-0000-0000974C0000}"/>
    <cellStyle name="40% - Accent1 4 3 5 2 2 2" xfId="14059" xr:uid="{00000000-0005-0000-0000-0000984C0000}"/>
    <cellStyle name="40% - Accent1 4 3 5 2 2 3" xfId="21160" xr:uid="{00000000-0005-0000-0000-0000994C0000}"/>
    <cellStyle name="40% - Accent1 4 3 5 2 2 4" xfId="28262" xr:uid="{00000000-0005-0000-0000-00009A4C0000}"/>
    <cellStyle name="40% - Accent1 4 3 5 2 2 5" xfId="35364" xr:uid="{00000000-0005-0000-0000-00009B4C0000}"/>
    <cellStyle name="40% - Accent1 4 3 5 2 3" xfId="9799" xr:uid="{00000000-0005-0000-0000-00009C4C0000}"/>
    <cellStyle name="40% - Accent1 4 3 5 2 4" xfId="16900" xr:uid="{00000000-0005-0000-0000-00009D4C0000}"/>
    <cellStyle name="40% - Accent1 4 3 5 2 5" xfId="24002" xr:uid="{00000000-0005-0000-0000-00009E4C0000}"/>
    <cellStyle name="40% - Accent1 4 3 5 2 6" xfId="31104" xr:uid="{00000000-0005-0000-0000-00009F4C0000}"/>
    <cellStyle name="40% - Accent1 4 3 5 2 7" xfId="38549" xr:uid="{00000000-0005-0000-0000-0000A04C0000}"/>
    <cellStyle name="40% - Accent1 4 3 5 3" xfId="5538" xr:uid="{00000000-0005-0000-0000-0000A14C0000}"/>
    <cellStyle name="40% - Accent1 4 3 5 3 2" xfId="12639" xr:uid="{00000000-0005-0000-0000-0000A24C0000}"/>
    <cellStyle name="40% - Accent1 4 3 5 3 3" xfId="19740" xr:uid="{00000000-0005-0000-0000-0000A34C0000}"/>
    <cellStyle name="40% - Accent1 4 3 5 3 4" xfId="26842" xr:uid="{00000000-0005-0000-0000-0000A44C0000}"/>
    <cellStyle name="40% - Accent1 4 3 5 3 5" xfId="33944" xr:uid="{00000000-0005-0000-0000-0000A54C0000}"/>
    <cellStyle name="40% - Accent1 4 3 5 4" xfId="4113" xr:uid="{00000000-0005-0000-0000-0000A64C0000}"/>
    <cellStyle name="40% - Accent1 4 3 5 4 2" xfId="11219" xr:uid="{00000000-0005-0000-0000-0000A74C0000}"/>
    <cellStyle name="40% - Accent1 4 3 5 4 3" xfId="18320" xr:uid="{00000000-0005-0000-0000-0000A84C0000}"/>
    <cellStyle name="40% - Accent1 4 3 5 4 4" xfId="25422" xr:uid="{00000000-0005-0000-0000-0000A94C0000}"/>
    <cellStyle name="40% - Accent1 4 3 5 4 5" xfId="32524" xr:uid="{00000000-0005-0000-0000-0000AA4C0000}"/>
    <cellStyle name="40% - Accent1 4 3 5 5" xfId="8379" xr:uid="{00000000-0005-0000-0000-0000AB4C0000}"/>
    <cellStyle name="40% - Accent1 4 3 5 6" xfId="15480" xr:uid="{00000000-0005-0000-0000-0000AC4C0000}"/>
    <cellStyle name="40% - Accent1 4 3 5 7" xfId="22582" xr:uid="{00000000-0005-0000-0000-0000AD4C0000}"/>
    <cellStyle name="40% - Accent1 4 3 5 8" xfId="29684" xr:uid="{00000000-0005-0000-0000-0000AE4C0000}"/>
    <cellStyle name="40% - Accent1 4 3 5 9" xfId="38550" xr:uid="{00000000-0005-0000-0000-0000AF4C0000}"/>
    <cellStyle name="40% - Accent1 4 3 6" xfId="1413" xr:uid="{00000000-0005-0000-0000-0000B04C0000}"/>
    <cellStyle name="40% - Accent1 4 3 6 2" xfId="2904" xr:uid="{00000000-0005-0000-0000-0000B14C0000}"/>
    <cellStyle name="40% - Accent1 4 3 6 2 2" xfId="7172" xr:uid="{00000000-0005-0000-0000-0000B24C0000}"/>
    <cellStyle name="40% - Accent1 4 3 6 2 2 2" xfId="14272" xr:uid="{00000000-0005-0000-0000-0000B34C0000}"/>
    <cellStyle name="40% - Accent1 4 3 6 2 2 3" xfId="21373" xr:uid="{00000000-0005-0000-0000-0000B44C0000}"/>
    <cellStyle name="40% - Accent1 4 3 6 2 2 4" xfId="28475" xr:uid="{00000000-0005-0000-0000-0000B54C0000}"/>
    <cellStyle name="40% - Accent1 4 3 6 2 2 5" xfId="35577" xr:uid="{00000000-0005-0000-0000-0000B64C0000}"/>
    <cellStyle name="40% - Accent1 4 3 6 2 3" xfId="10012" xr:uid="{00000000-0005-0000-0000-0000B74C0000}"/>
    <cellStyle name="40% - Accent1 4 3 6 2 4" xfId="17113" xr:uid="{00000000-0005-0000-0000-0000B84C0000}"/>
    <cellStyle name="40% - Accent1 4 3 6 2 5" xfId="24215" xr:uid="{00000000-0005-0000-0000-0000B94C0000}"/>
    <cellStyle name="40% - Accent1 4 3 6 2 6" xfId="31317" xr:uid="{00000000-0005-0000-0000-0000BA4C0000}"/>
    <cellStyle name="40% - Accent1 4 3 6 2 7" xfId="38551" xr:uid="{00000000-0005-0000-0000-0000BB4C0000}"/>
    <cellStyle name="40% - Accent1 4 3 6 3" xfId="5751" xr:uid="{00000000-0005-0000-0000-0000BC4C0000}"/>
    <cellStyle name="40% - Accent1 4 3 6 3 2" xfId="12852" xr:uid="{00000000-0005-0000-0000-0000BD4C0000}"/>
    <cellStyle name="40% - Accent1 4 3 6 3 3" xfId="19953" xr:uid="{00000000-0005-0000-0000-0000BE4C0000}"/>
    <cellStyle name="40% - Accent1 4 3 6 3 4" xfId="27055" xr:uid="{00000000-0005-0000-0000-0000BF4C0000}"/>
    <cellStyle name="40% - Accent1 4 3 6 3 5" xfId="34157" xr:uid="{00000000-0005-0000-0000-0000C04C0000}"/>
    <cellStyle name="40% - Accent1 4 3 6 4" xfId="4326" xr:uid="{00000000-0005-0000-0000-0000C14C0000}"/>
    <cellStyle name="40% - Accent1 4 3 6 4 2" xfId="11432" xr:uid="{00000000-0005-0000-0000-0000C24C0000}"/>
    <cellStyle name="40% - Accent1 4 3 6 4 3" xfId="18533" xr:uid="{00000000-0005-0000-0000-0000C34C0000}"/>
    <cellStyle name="40% - Accent1 4 3 6 4 4" xfId="25635" xr:uid="{00000000-0005-0000-0000-0000C44C0000}"/>
    <cellStyle name="40% - Accent1 4 3 6 4 5" xfId="32737" xr:uid="{00000000-0005-0000-0000-0000C54C0000}"/>
    <cellStyle name="40% - Accent1 4 3 6 5" xfId="8592" xr:uid="{00000000-0005-0000-0000-0000C64C0000}"/>
    <cellStyle name="40% - Accent1 4 3 6 6" xfId="15693" xr:uid="{00000000-0005-0000-0000-0000C74C0000}"/>
    <cellStyle name="40% - Accent1 4 3 6 7" xfId="22795" xr:uid="{00000000-0005-0000-0000-0000C84C0000}"/>
    <cellStyle name="40% - Accent1 4 3 6 8" xfId="29897" xr:uid="{00000000-0005-0000-0000-0000C94C0000}"/>
    <cellStyle name="40% - Accent1 4 3 6 9" xfId="38552" xr:uid="{00000000-0005-0000-0000-0000CA4C0000}"/>
    <cellStyle name="40% - Accent1 4 3 7" xfId="1697" xr:uid="{00000000-0005-0000-0000-0000CB4C0000}"/>
    <cellStyle name="40% - Accent1 4 3 7 2" xfId="5965" xr:uid="{00000000-0005-0000-0000-0000CC4C0000}"/>
    <cellStyle name="40% - Accent1 4 3 7 2 2" xfId="13065" xr:uid="{00000000-0005-0000-0000-0000CD4C0000}"/>
    <cellStyle name="40% - Accent1 4 3 7 2 3" xfId="20166" xr:uid="{00000000-0005-0000-0000-0000CE4C0000}"/>
    <cellStyle name="40% - Accent1 4 3 7 2 4" xfId="27268" xr:uid="{00000000-0005-0000-0000-0000CF4C0000}"/>
    <cellStyle name="40% - Accent1 4 3 7 2 5" xfId="34370" xr:uid="{00000000-0005-0000-0000-0000D04C0000}"/>
    <cellStyle name="40% - Accent1 4 3 7 3" xfId="8805" xr:uid="{00000000-0005-0000-0000-0000D14C0000}"/>
    <cellStyle name="40% - Accent1 4 3 7 4" xfId="15906" xr:uid="{00000000-0005-0000-0000-0000D24C0000}"/>
    <cellStyle name="40% - Accent1 4 3 7 5" xfId="23008" xr:uid="{00000000-0005-0000-0000-0000D34C0000}"/>
    <cellStyle name="40% - Accent1 4 3 7 6" xfId="30110" xr:uid="{00000000-0005-0000-0000-0000D44C0000}"/>
    <cellStyle name="40% - Accent1 4 3 7 7" xfId="38553" xr:uid="{00000000-0005-0000-0000-0000D54C0000}"/>
    <cellStyle name="40% - Accent1 4 3 8" xfId="4544" xr:uid="{00000000-0005-0000-0000-0000D64C0000}"/>
    <cellStyle name="40% - Accent1 4 3 8 2" xfId="11645" xr:uid="{00000000-0005-0000-0000-0000D74C0000}"/>
    <cellStyle name="40% - Accent1 4 3 8 3" xfId="18746" xr:uid="{00000000-0005-0000-0000-0000D84C0000}"/>
    <cellStyle name="40% - Accent1 4 3 8 4" xfId="25848" xr:uid="{00000000-0005-0000-0000-0000D94C0000}"/>
    <cellStyle name="40% - Accent1 4 3 8 5" xfId="32950" xr:uid="{00000000-0005-0000-0000-0000DA4C0000}"/>
    <cellStyle name="40% - Accent1 4 3 9" xfId="3119" xr:uid="{00000000-0005-0000-0000-0000DB4C0000}"/>
    <cellStyle name="40% - Accent1 4 3 9 2" xfId="10225" xr:uid="{00000000-0005-0000-0000-0000DC4C0000}"/>
    <cellStyle name="40% - Accent1 4 3 9 3" xfId="17326" xr:uid="{00000000-0005-0000-0000-0000DD4C0000}"/>
    <cellStyle name="40% - Accent1 4 3 9 4" xfId="24428" xr:uid="{00000000-0005-0000-0000-0000DE4C0000}"/>
    <cellStyle name="40% - Accent1 4 3 9 5" xfId="31530" xr:uid="{00000000-0005-0000-0000-0000DF4C0000}"/>
    <cellStyle name="40% - Accent1 4 4" xfId="348" xr:uid="{00000000-0005-0000-0000-0000E04C0000}"/>
    <cellStyle name="40% - Accent1 4 4 10" xfId="38554" xr:uid="{00000000-0005-0000-0000-0000E14C0000}"/>
    <cellStyle name="40% - Accent1 4 4 2" xfId="1129" xr:uid="{00000000-0005-0000-0000-0000E24C0000}"/>
    <cellStyle name="40% - Accent1 4 4 2 2" xfId="2620" xr:uid="{00000000-0005-0000-0000-0000E34C0000}"/>
    <cellStyle name="40% - Accent1 4 4 2 2 2" xfId="6888" xr:uid="{00000000-0005-0000-0000-0000E44C0000}"/>
    <cellStyle name="40% - Accent1 4 4 2 2 2 2" xfId="13988" xr:uid="{00000000-0005-0000-0000-0000E54C0000}"/>
    <cellStyle name="40% - Accent1 4 4 2 2 2 3" xfId="21089" xr:uid="{00000000-0005-0000-0000-0000E64C0000}"/>
    <cellStyle name="40% - Accent1 4 4 2 2 2 4" xfId="28191" xr:uid="{00000000-0005-0000-0000-0000E74C0000}"/>
    <cellStyle name="40% - Accent1 4 4 2 2 2 5" xfId="35293" xr:uid="{00000000-0005-0000-0000-0000E84C0000}"/>
    <cellStyle name="40% - Accent1 4 4 2 2 3" xfId="9728" xr:uid="{00000000-0005-0000-0000-0000E94C0000}"/>
    <cellStyle name="40% - Accent1 4 4 2 2 4" xfId="16829" xr:uid="{00000000-0005-0000-0000-0000EA4C0000}"/>
    <cellStyle name="40% - Accent1 4 4 2 2 5" xfId="23931" xr:uid="{00000000-0005-0000-0000-0000EB4C0000}"/>
    <cellStyle name="40% - Accent1 4 4 2 2 6" xfId="31033" xr:uid="{00000000-0005-0000-0000-0000EC4C0000}"/>
    <cellStyle name="40% - Accent1 4 4 2 2 7" xfId="38555" xr:uid="{00000000-0005-0000-0000-0000ED4C0000}"/>
    <cellStyle name="40% - Accent1 4 4 2 3" xfId="5467" xr:uid="{00000000-0005-0000-0000-0000EE4C0000}"/>
    <cellStyle name="40% - Accent1 4 4 2 3 2" xfId="12568" xr:uid="{00000000-0005-0000-0000-0000EF4C0000}"/>
    <cellStyle name="40% - Accent1 4 4 2 3 3" xfId="19669" xr:uid="{00000000-0005-0000-0000-0000F04C0000}"/>
    <cellStyle name="40% - Accent1 4 4 2 3 4" xfId="26771" xr:uid="{00000000-0005-0000-0000-0000F14C0000}"/>
    <cellStyle name="40% - Accent1 4 4 2 3 5" xfId="33873" xr:uid="{00000000-0005-0000-0000-0000F24C0000}"/>
    <cellStyle name="40% - Accent1 4 4 2 4" xfId="4042" xr:uid="{00000000-0005-0000-0000-0000F34C0000}"/>
    <cellStyle name="40% - Accent1 4 4 2 4 2" xfId="11148" xr:uid="{00000000-0005-0000-0000-0000F44C0000}"/>
    <cellStyle name="40% - Accent1 4 4 2 4 3" xfId="18249" xr:uid="{00000000-0005-0000-0000-0000F54C0000}"/>
    <cellStyle name="40% - Accent1 4 4 2 4 4" xfId="25351" xr:uid="{00000000-0005-0000-0000-0000F64C0000}"/>
    <cellStyle name="40% - Accent1 4 4 2 4 5" xfId="32453" xr:uid="{00000000-0005-0000-0000-0000F74C0000}"/>
    <cellStyle name="40% - Accent1 4 4 2 5" xfId="8308" xr:uid="{00000000-0005-0000-0000-0000F84C0000}"/>
    <cellStyle name="40% - Accent1 4 4 2 6" xfId="15409" xr:uid="{00000000-0005-0000-0000-0000F94C0000}"/>
    <cellStyle name="40% - Accent1 4 4 2 7" xfId="22511" xr:uid="{00000000-0005-0000-0000-0000FA4C0000}"/>
    <cellStyle name="40% - Accent1 4 4 2 8" xfId="29613" xr:uid="{00000000-0005-0000-0000-0000FB4C0000}"/>
    <cellStyle name="40% - Accent1 4 4 2 9" xfId="38556" xr:uid="{00000000-0005-0000-0000-0000FC4C0000}"/>
    <cellStyle name="40% - Accent1 4 4 3" xfId="1839" xr:uid="{00000000-0005-0000-0000-0000FD4C0000}"/>
    <cellStyle name="40% - Accent1 4 4 3 2" xfId="6107" xr:uid="{00000000-0005-0000-0000-0000FE4C0000}"/>
    <cellStyle name="40% - Accent1 4 4 3 2 2" xfId="13207" xr:uid="{00000000-0005-0000-0000-0000FF4C0000}"/>
    <cellStyle name="40% - Accent1 4 4 3 2 3" xfId="20308" xr:uid="{00000000-0005-0000-0000-0000004D0000}"/>
    <cellStyle name="40% - Accent1 4 4 3 2 4" xfId="27410" xr:uid="{00000000-0005-0000-0000-0000014D0000}"/>
    <cellStyle name="40% - Accent1 4 4 3 2 5" xfId="34512" xr:uid="{00000000-0005-0000-0000-0000024D0000}"/>
    <cellStyle name="40% - Accent1 4 4 3 2 6" xfId="38557" xr:uid="{00000000-0005-0000-0000-0000034D0000}"/>
    <cellStyle name="40% - Accent1 4 4 3 3" xfId="8947" xr:uid="{00000000-0005-0000-0000-0000044D0000}"/>
    <cellStyle name="40% - Accent1 4 4 3 4" xfId="16048" xr:uid="{00000000-0005-0000-0000-0000054D0000}"/>
    <cellStyle name="40% - Accent1 4 4 3 5" xfId="23150" xr:uid="{00000000-0005-0000-0000-0000064D0000}"/>
    <cellStyle name="40% - Accent1 4 4 3 6" xfId="30252" xr:uid="{00000000-0005-0000-0000-0000074D0000}"/>
    <cellStyle name="40% - Accent1 4 4 3 7" xfId="38558" xr:uid="{00000000-0005-0000-0000-0000084D0000}"/>
    <cellStyle name="40% - Accent1 4 4 4" xfId="4686" xr:uid="{00000000-0005-0000-0000-0000094D0000}"/>
    <cellStyle name="40% - Accent1 4 4 4 2" xfId="11787" xr:uid="{00000000-0005-0000-0000-00000A4D0000}"/>
    <cellStyle name="40% - Accent1 4 4 4 3" xfId="18888" xr:uid="{00000000-0005-0000-0000-00000B4D0000}"/>
    <cellStyle name="40% - Accent1 4 4 4 4" xfId="25990" xr:uid="{00000000-0005-0000-0000-00000C4D0000}"/>
    <cellStyle name="40% - Accent1 4 4 4 5" xfId="33092" xr:uid="{00000000-0005-0000-0000-00000D4D0000}"/>
    <cellStyle name="40% - Accent1 4 4 4 6" xfId="38559" xr:uid="{00000000-0005-0000-0000-00000E4D0000}"/>
    <cellStyle name="40% - Accent1 4 4 5" xfId="3261" xr:uid="{00000000-0005-0000-0000-00000F4D0000}"/>
    <cellStyle name="40% - Accent1 4 4 5 2" xfId="10367" xr:uid="{00000000-0005-0000-0000-0000104D0000}"/>
    <cellStyle name="40% - Accent1 4 4 5 3" xfId="17468" xr:uid="{00000000-0005-0000-0000-0000114D0000}"/>
    <cellStyle name="40% - Accent1 4 4 5 4" xfId="24570" xr:uid="{00000000-0005-0000-0000-0000124D0000}"/>
    <cellStyle name="40% - Accent1 4 4 5 5" xfId="31672" xr:uid="{00000000-0005-0000-0000-0000134D0000}"/>
    <cellStyle name="40% - Accent1 4 4 6" xfId="7527" xr:uid="{00000000-0005-0000-0000-0000144D0000}"/>
    <cellStyle name="40% - Accent1 4 4 7" xfId="14628" xr:uid="{00000000-0005-0000-0000-0000154D0000}"/>
    <cellStyle name="40% - Accent1 4 4 8" xfId="21730" xr:uid="{00000000-0005-0000-0000-0000164D0000}"/>
    <cellStyle name="40% - Accent1 4 4 9" xfId="28832" xr:uid="{00000000-0005-0000-0000-0000174D0000}"/>
    <cellStyle name="40% - Accent1 4 5" xfId="561" xr:uid="{00000000-0005-0000-0000-0000184D0000}"/>
    <cellStyle name="40% - Accent1 4 5 2" xfId="2052" xr:uid="{00000000-0005-0000-0000-0000194D0000}"/>
    <cellStyle name="40% - Accent1 4 5 2 2" xfId="6320" xr:uid="{00000000-0005-0000-0000-00001A4D0000}"/>
    <cellStyle name="40% - Accent1 4 5 2 2 2" xfId="13420" xr:uid="{00000000-0005-0000-0000-00001B4D0000}"/>
    <cellStyle name="40% - Accent1 4 5 2 2 3" xfId="20521" xr:uid="{00000000-0005-0000-0000-00001C4D0000}"/>
    <cellStyle name="40% - Accent1 4 5 2 2 4" xfId="27623" xr:uid="{00000000-0005-0000-0000-00001D4D0000}"/>
    <cellStyle name="40% - Accent1 4 5 2 2 5" xfId="34725" xr:uid="{00000000-0005-0000-0000-00001E4D0000}"/>
    <cellStyle name="40% - Accent1 4 5 2 2 6" xfId="38560" xr:uid="{00000000-0005-0000-0000-00001F4D0000}"/>
    <cellStyle name="40% - Accent1 4 5 2 3" xfId="9160" xr:uid="{00000000-0005-0000-0000-0000204D0000}"/>
    <cellStyle name="40% - Accent1 4 5 2 4" xfId="16261" xr:uid="{00000000-0005-0000-0000-0000214D0000}"/>
    <cellStyle name="40% - Accent1 4 5 2 5" xfId="23363" xr:uid="{00000000-0005-0000-0000-0000224D0000}"/>
    <cellStyle name="40% - Accent1 4 5 2 6" xfId="30465" xr:uid="{00000000-0005-0000-0000-0000234D0000}"/>
    <cellStyle name="40% - Accent1 4 5 2 7" xfId="38561" xr:uid="{00000000-0005-0000-0000-0000244D0000}"/>
    <cellStyle name="40% - Accent1 4 5 3" xfId="4899" xr:uid="{00000000-0005-0000-0000-0000254D0000}"/>
    <cellStyle name="40% - Accent1 4 5 3 2" xfId="12000" xr:uid="{00000000-0005-0000-0000-0000264D0000}"/>
    <cellStyle name="40% - Accent1 4 5 3 2 2" xfId="38562" xr:uid="{00000000-0005-0000-0000-0000274D0000}"/>
    <cellStyle name="40% - Accent1 4 5 3 3" xfId="19101" xr:uid="{00000000-0005-0000-0000-0000284D0000}"/>
    <cellStyle name="40% - Accent1 4 5 3 4" xfId="26203" xr:uid="{00000000-0005-0000-0000-0000294D0000}"/>
    <cellStyle name="40% - Accent1 4 5 3 5" xfId="33305" xr:uid="{00000000-0005-0000-0000-00002A4D0000}"/>
    <cellStyle name="40% - Accent1 4 5 3 6" xfId="38563" xr:uid="{00000000-0005-0000-0000-00002B4D0000}"/>
    <cellStyle name="40% - Accent1 4 5 4" xfId="3474" xr:uid="{00000000-0005-0000-0000-00002C4D0000}"/>
    <cellStyle name="40% - Accent1 4 5 4 2" xfId="10580" xr:uid="{00000000-0005-0000-0000-00002D4D0000}"/>
    <cellStyle name="40% - Accent1 4 5 4 3" xfId="17681" xr:uid="{00000000-0005-0000-0000-00002E4D0000}"/>
    <cellStyle name="40% - Accent1 4 5 4 4" xfId="24783" xr:uid="{00000000-0005-0000-0000-00002F4D0000}"/>
    <cellStyle name="40% - Accent1 4 5 4 5" xfId="31885" xr:uid="{00000000-0005-0000-0000-0000304D0000}"/>
    <cellStyle name="40% - Accent1 4 5 4 6" xfId="38564" xr:uid="{00000000-0005-0000-0000-0000314D0000}"/>
    <cellStyle name="40% - Accent1 4 5 5" xfId="7740" xr:uid="{00000000-0005-0000-0000-0000324D0000}"/>
    <cellStyle name="40% - Accent1 4 5 6" xfId="14841" xr:uid="{00000000-0005-0000-0000-0000334D0000}"/>
    <cellStyle name="40% - Accent1 4 5 7" xfId="21943" xr:uid="{00000000-0005-0000-0000-0000344D0000}"/>
    <cellStyle name="40% - Accent1 4 5 8" xfId="29045" xr:uid="{00000000-0005-0000-0000-0000354D0000}"/>
    <cellStyle name="40% - Accent1 4 5 9" xfId="38565" xr:uid="{00000000-0005-0000-0000-0000364D0000}"/>
    <cellStyle name="40% - Accent1 4 6" xfId="774" xr:uid="{00000000-0005-0000-0000-0000374D0000}"/>
    <cellStyle name="40% - Accent1 4 6 2" xfId="2265" xr:uid="{00000000-0005-0000-0000-0000384D0000}"/>
    <cellStyle name="40% - Accent1 4 6 2 2" xfId="6533" xr:uid="{00000000-0005-0000-0000-0000394D0000}"/>
    <cellStyle name="40% - Accent1 4 6 2 2 2" xfId="13633" xr:uid="{00000000-0005-0000-0000-00003A4D0000}"/>
    <cellStyle name="40% - Accent1 4 6 2 2 3" xfId="20734" xr:uid="{00000000-0005-0000-0000-00003B4D0000}"/>
    <cellStyle name="40% - Accent1 4 6 2 2 4" xfId="27836" xr:uid="{00000000-0005-0000-0000-00003C4D0000}"/>
    <cellStyle name="40% - Accent1 4 6 2 2 5" xfId="34938" xr:uid="{00000000-0005-0000-0000-00003D4D0000}"/>
    <cellStyle name="40% - Accent1 4 6 2 2 6" xfId="38566" xr:uid="{00000000-0005-0000-0000-00003E4D0000}"/>
    <cellStyle name="40% - Accent1 4 6 2 3" xfId="9373" xr:uid="{00000000-0005-0000-0000-00003F4D0000}"/>
    <cellStyle name="40% - Accent1 4 6 2 4" xfId="16474" xr:uid="{00000000-0005-0000-0000-0000404D0000}"/>
    <cellStyle name="40% - Accent1 4 6 2 5" xfId="23576" xr:uid="{00000000-0005-0000-0000-0000414D0000}"/>
    <cellStyle name="40% - Accent1 4 6 2 6" xfId="30678" xr:uid="{00000000-0005-0000-0000-0000424D0000}"/>
    <cellStyle name="40% - Accent1 4 6 2 7" xfId="38567" xr:uid="{00000000-0005-0000-0000-0000434D0000}"/>
    <cellStyle name="40% - Accent1 4 6 3" xfId="5112" xr:uid="{00000000-0005-0000-0000-0000444D0000}"/>
    <cellStyle name="40% - Accent1 4 6 3 2" xfId="12213" xr:uid="{00000000-0005-0000-0000-0000454D0000}"/>
    <cellStyle name="40% - Accent1 4 6 3 2 2" xfId="38568" xr:uid="{00000000-0005-0000-0000-0000464D0000}"/>
    <cellStyle name="40% - Accent1 4 6 3 3" xfId="19314" xr:uid="{00000000-0005-0000-0000-0000474D0000}"/>
    <cellStyle name="40% - Accent1 4 6 3 4" xfId="26416" xr:uid="{00000000-0005-0000-0000-0000484D0000}"/>
    <cellStyle name="40% - Accent1 4 6 3 5" xfId="33518" xr:uid="{00000000-0005-0000-0000-0000494D0000}"/>
    <cellStyle name="40% - Accent1 4 6 3 6" xfId="38569" xr:uid="{00000000-0005-0000-0000-00004A4D0000}"/>
    <cellStyle name="40% - Accent1 4 6 4" xfId="3687" xr:uid="{00000000-0005-0000-0000-00004B4D0000}"/>
    <cellStyle name="40% - Accent1 4 6 4 2" xfId="10793" xr:uid="{00000000-0005-0000-0000-00004C4D0000}"/>
    <cellStyle name="40% - Accent1 4 6 4 3" xfId="17894" xr:uid="{00000000-0005-0000-0000-00004D4D0000}"/>
    <cellStyle name="40% - Accent1 4 6 4 4" xfId="24996" xr:uid="{00000000-0005-0000-0000-00004E4D0000}"/>
    <cellStyle name="40% - Accent1 4 6 4 5" xfId="32098" xr:uid="{00000000-0005-0000-0000-00004F4D0000}"/>
    <cellStyle name="40% - Accent1 4 6 4 6" xfId="38570" xr:uid="{00000000-0005-0000-0000-0000504D0000}"/>
    <cellStyle name="40% - Accent1 4 6 5" xfId="7953" xr:uid="{00000000-0005-0000-0000-0000514D0000}"/>
    <cellStyle name="40% - Accent1 4 6 6" xfId="15054" xr:uid="{00000000-0005-0000-0000-0000524D0000}"/>
    <cellStyle name="40% - Accent1 4 6 7" xfId="22156" xr:uid="{00000000-0005-0000-0000-0000534D0000}"/>
    <cellStyle name="40% - Accent1 4 6 8" xfId="29258" xr:uid="{00000000-0005-0000-0000-0000544D0000}"/>
    <cellStyle name="40% - Accent1 4 6 9" xfId="38571" xr:uid="{00000000-0005-0000-0000-0000554D0000}"/>
    <cellStyle name="40% - Accent1 4 7" xfId="987" xr:uid="{00000000-0005-0000-0000-0000564D0000}"/>
    <cellStyle name="40% - Accent1 4 7 2" xfId="2478" xr:uid="{00000000-0005-0000-0000-0000574D0000}"/>
    <cellStyle name="40% - Accent1 4 7 2 2" xfId="6746" xr:uid="{00000000-0005-0000-0000-0000584D0000}"/>
    <cellStyle name="40% - Accent1 4 7 2 2 2" xfId="13846" xr:uid="{00000000-0005-0000-0000-0000594D0000}"/>
    <cellStyle name="40% - Accent1 4 7 2 2 3" xfId="20947" xr:uid="{00000000-0005-0000-0000-00005A4D0000}"/>
    <cellStyle name="40% - Accent1 4 7 2 2 4" xfId="28049" xr:uid="{00000000-0005-0000-0000-00005B4D0000}"/>
    <cellStyle name="40% - Accent1 4 7 2 2 5" xfId="35151" xr:uid="{00000000-0005-0000-0000-00005C4D0000}"/>
    <cellStyle name="40% - Accent1 4 7 2 3" xfId="9586" xr:uid="{00000000-0005-0000-0000-00005D4D0000}"/>
    <cellStyle name="40% - Accent1 4 7 2 4" xfId="16687" xr:uid="{00000000-0005-0000-0000-00005E4D0000}"/>
    <cellStyle name="40% - Accent1 4 7 2 5" xfId="23789" xr:uid="{00000000-0005-0000-0000-00005F4D0000}"/>
    <cellStyle name="40% - Accent1 4 7 2 6" xfId="30891" xr:uid="{00000000-0005-0000-0000-0000604D0000}"/>
    <cellStyle name="40% - Accent1 4 7 2 7" xfId="38572" xr:uid="{00000000-0005-0000-0000-0000614D0000}"/>
    <cellStyle name="40% - Accent1 4 7 3" xfId="5325" xr:uid="{00000000-0005-0000-0000-0000624D0000}"/>
    <cellStyle name="40% - Accent1 4 7 3 2" xfId="12426" xr:uid="{00000000-0005-0000-0000-0000634D0000}"/>
    <cellStyle name="40% - Accent1 4 7 3 3" xfId="19527" xr:uid="{00000000-0005-0000-0000-0000644D0000}"/>
    <cellStyle name="40% - Accent1 4 7 3 4" xfId="26629" xr:uid="{00000000-0005-0000-0000-0000654D0000}"/>
    <cellStyle name="40% - Accent1 4 7 3 5" xfId="33731" xr:uid="{00000000-0005-0000-0000-0000664D0000}"/>
    <cellStyle name="40% - Accent1 4 7 4" xfId="3900" xr:uid="{00000000-0005-0000-0000-0000674D0000}"/>
    <cellStyle name="40% - Accent1 4 7 4 2" xfId="11006" xr:uid="{00000000-0005-0000-0000-0000684D0000}"/>
    <cellStyle name="40% - Accent1 4 7 4 3" xfId="18107" xr:uid="{00000000-0005-0000-0000-0000694D0000}"/>
    <cellStyle name="40% - Accent1 4 7 4 4" xfId="25209" xr:uid="{00000000-0005-0000-0000-00006A4D0000}"/>
    <cellStyle name="40% - Accent1 4 7 4 5" xfId="32311" xr:uid="{00000000-0005-0000-0000-00006B4D0000}"/>
    <cellStyle name="40% - Accent1 4 7 5" xfId="8166" xr:uid="{00000000-0005-0000-0000-00006C4D0000}"/>
    <cellStyle name="40% - Accent1 4 7 6" xfId="15267" xr:uid="{00000000-0005-0000-0000-00006D4D0000}"/>
    <cellStyle name="40% - Accent1 4 7 7" xfId="22369" xr:uid="{00000000-0005-0000-0000-00006E4D0000}"/>
    <cellStyle name="40% - Accent1 4 7 8" xfId="29471" xr:uid="{00000000-0005-0000-0000-00006F4D0000}"/>
    <cellStyle name="40% - Accent1 4 7 9" xfId="38573" xr:uid="{00000000-0005-0000-0000-0000704D0000}"/>
    <cellStyle name="40% - Accent1 4 8" xfId="1342" xr:uid="{00000000-0005-0000-0000-0000714D0000}"/>
    <cellStyle name="40% - Accent1 4 8 2" xfId="2833" xr:uid="{00000000-0005-0000-0000-0000724D0000}"/>
    <cellStyle name="40% - Accent1 4 8 2 2" xfId="7101" xr:uid="{00000000-0005-0000-0000-0000734D0000}"/>
    <cellStyle name="40% - Accent1 4 8 2 2 2" xfId="14201" xr:uid="{00000000-0005-0000-0000-0000744D0000}"/>
    <cellStyle name="40% - Accent1 4 8 2 2 3" xfId="21302" xr:uid="{00000000-0005-0000-0000-0000754D0000}"/>
    <cellStyle name="40% - Accent1 4 8 2 2 4" xfId="28404" xr:uid="{00000000-0005-0000-0000-0000764D0000}"/>
    <cellStyle name="40% - Accent1 4 8 2 2 5" xfId="35506" xr:uid="{00000000-0005-0000-0000-0000774D0000}"/>
    <cellStyle name="40% - Accent1 4 8 2 3" xfId="9941" xr:uid="{00000000-0005-0000-0000-0000784D0000}"/>
    <cellStyle name="40% - Accent1 4 8 2 4" xfId="17042" xr:uid="{00000000-0005-0000-0000-0000794D0000}"/>
    <cellStyle name="40% - Accent1 4 8 2 5" xfId="24144" xr:uid="{00000000-0005-0000-0000-00007A4D0000}"/>
    <cellStyle name="40% - Accent1 4 8 2 6" xfId="31246" xr:uid="{00000000-0005-0000-0000-00007B4D0000}"/>
    <cellStyle name="40% - Accent1 4 8 2 7" xfId="38574" xr:uid="{00000000-0005-0000-0000-00007C4D0000}"/>
    <cellStyle name="40% - Accent1 4 8 3" xfId="5680" xr:uid="{00000000-0005-0000-0000-00007D4D0000}"/>
    <cellStyle name="40% - Accent1 4 8 3 2" xfId="12781" xr:uid="{00000000-0005-0000-0000-00007E4D0000}"/>
    <cellStyle name="40% - Accent1 4 8 3 3" xfId="19882" xr:uid="{00000000-0005-0000-0000-00007F4D0000}"/>
    <cellStyle name="40% - Accent1 4 8 3 4" xfId="26984" xr:uid="{00000000-0005-0000-0000-0000804D0000}"/>
    <cellStyle name="40% - Accent1 4 8 3 5" xfId="34086" xr:uid="{00000000-0005-0000-0000-0000814D0000}"/>
    <cellStyle name="40% - Accent1 4 8 4" xfId="4255" xr:uid="{00000000-0005-0000-0000-0000824D0000}"/>
    <cellStyle name="40% - Accent1 4 8 4 2" xfId="11361" xr:uid="{00000000-0005-0000-0000-0000834D0000}"/>
    <cellStyle name="40% - Accent1 4 8 4 3" xfId="18462" xr:uid="{00000000-0005-0000-0000-0000844D0000}"/>
    <cellStyle name="40% - Accent1 4 8 4 4" xfId="25564" xr:uid="{00000000-0005-0000-0000-0000854D0000}"/>
    <cellStyle name="40% - Accent1 4 8 4 5" xfId="32666" xr:uid="{00000000-0005-0000-0000-0000864D0000}"/>
    <cellStyle name="40% - Accent1 4 8 5" xfId="8521" xr:uid="{00000000-0005-0000-0000-0000874D0000}"/>
    <cellStyle name="40% - Accent1 4 8 6" xfId="15622" xr:uid="{00000000-0005-0000-0000-0000884D0000}"/>
    <cellStyle name="40% - Accent1 4 8 7" xfId="22724" xr:uid="{00000000-0005-0000-0000-0000894D0000}"/>
    <cellStyle name="40% - Accent1 4 8 8" xfId="29826" xr:uid="{00000000-0005-0000-0000-00008A4D0000}"/>
    <cellStyle name="40% - Accent1 4 8 9" xfId="38575" xr:uid="{00000000-0005-0000-0000-00008B4D0000}"/>
    <cellStyle name="40% - Accent1 4 9" xfId="1626" xr:uid="{00000000-0005-0000-0000-00008C4D0000}"/>
    <cellStyle name="40% - Accent1 4 9 2" xfId="5894" xr:uid="{00000000-0005-0000-0000-00008D4D0000}"/>
    <cellStyle name="40% - Accent1 4 9 2 2" xfId="12994" xr:uid="{00000000-0005-0000-0000-00008E4D0000}"/>
    <cellStyle name="40% - Accent1 4 9 2 3" xfId="20095" xr:uid="{00000000-0005-0000-0000-00008F4D0000}"/>
    <cellStyle name="40% - Accent1 4 9 2 4" xfId="27197" xr:uid="{00000000-0005-0000-0000-0000904D0000}"/>
    <cellStyle name="40% - Accent1 4 9 2 5" xfId="34299" xr:uid="{00000000-0005-0000-0000-0000914D0000}"/>
    <cellStyle name="40% - Accent1 4 9 3" xfId="8734" xr:uid="{00000000-0005-0000-0000-0000924D0000}"/>
    <cellStyle name="40% - Accent1 4 9 4" xfId="15835" xr:uid="{00000000-0005-0000-0000-0000934D0000}"/>
    <cellStyle name="40% - Accent1 4 9 5" xfId="22937" xr:uid="{00000000-0005-0000-0000-0000944D0000}"/>
    <cellStyle name="40% - Accent1 4 9 6" xfId="30039" xr:uid="{00000000-0005-0000-0000-0000954D0000}"/>
    <cellStyle name="40% - Accent1 4 9 7" xfId="38576" xr:uid="{00000000-0005-0000-0000-0000964D0000}"/>
    <cellStyle name="40% - Accent1 5" xfId="218" xr:uid="{00000000-0005-0000-0000-0000974D0000}"/>
    <cellStyle name="40% - Accent1 5 10" xfId="7397" xr:uid="{00000000-0005-0000-0000-0000984D0000}"/>
    <cellStyle name="40% - Accent1 5 11" xfId="14498" xr:uid="{00000000-0005-0000-0000-0000994D0000}"/>
    <cellStyle name="40% - Accent1 5 12" xfId="21600" xr:uid="{00000000-0005-0000-0000-00009A4D0000}"/>
    <cellStyle name="40% - Accent1 5 13" xfId="28702" xr:uid="{00000000-0005-0000-0000-00009B4D0000}"/>
    <cellStyle name="40% - Accent1 5 14" xfId="35804" xr:uid="{00000000-0005-0000-0000-00009C4D0000}"/>
    <cellStyle name="40% - Accent1 5 15" xfId="38577" xr:uid="{00000000-0005-0000-0000-00009D4D0000}"/>
    <cellStyle name="40% - Accent1 5 2" xfId="431" xr:uid="{00000000-0005-0000-0000-00009E4D0000}"/>
    <cellStyle name="40% - Accent1 5 2 10" xfId="38578" xr:uid="{00000000-0005-0000-0000-00009F4D0000}"/>
    <cellStyle name="40% - Accent1 5 2 2" xfId="1212" xr:uid="{00000000-0005-0000-0000-0000A04D0000}"/>
    <cellStyle name="40% - Accent1 5 2 2 2" xfId="2703" xr:uid="{00000000-0005-0000-0000-0000A14D0000}"/>
    <cellStyle name="40% - Accent1 5 2 2 2 2" xfId="6971" xr:uid="{00000000-0005-0000-0000-0000A24D0000}"/>
    <cellStyle name="40% - Accent1 5 2 2 2 2 2" xfId="14071" xr:uid="{00000000-0005-0000-0000-0000A34D0000}"/>
    <cellStyle name="40% - Accent1 5 2 2 2 2 3" xfId="21172" xr:uid="{00000000-0005-0000-0000-0000A44D0000}"/>
    <cellStyle name="40% - Accent1 5 2 2 2 2 4" xfId="28274" xr:uid="{00000000-0005-0000-0000-0000A54D0000}"/>
    <cellStyle name="40% - Accent1 5 2 2 2 2 5" xfId="35376" xr:uid="{00000000-0005-0000-0000-0000A64D0000}"/>
    <cellStyle name="40% - Accent1 5 2 2 2 3" xfId="9811" xr:uid="{00000000-0005-0000-0000-0000A74D0000}"/>
    <cellStyle name="40% - Accent1 5 2 2 2 4" xfId="16912" xr:uid="{00000000-0005-0000-0000-0000A84D0000}"/>
    <cellStyle name="40% - Accent1 5 2 2 2 5" xfId="24014" xr:uid="{00000000-0005-0000-0000-0000A94D0000}"/>
    <cellStyle name="40% - Accent1 5 2 2 2 6" xfId="31116" xr:uid="{00000000-0005-0000-0000-0000AA4D0000}"/>
    <cellStyle name="40% - Accent1 5 2 2 2 7" xfId="38579" xr:uid="{00000000-0005-0000-0000-0000AB4D0000}"/>
    <cellStyle name="40% - Accent1 5 2 2 3" xfId="5550" xr:uid="{00000000-0005-0000-0000-0000AC4D0000}"/>
    <cellStyle name="40% - Accent1 5 2 2 3 2" xfId="12651" xr:uid="{00000000-0005-0000-0000-0000AD4D0000}"/>
    <cellStyle name="40% - Accent1 5 2 2 3 3" xfId="19752" xr:uid="{00000000-0005-0000-0000-0000AE4D0000}"/>
    <cellStyle name="40% - Accent1 5 2 2 3 4" xfId="26854" xr:uid="{00000000-0005-0000-0000-0000AF4D0000}"/>
    <cellStyle name="40% - Accent1 5 2 2 3 5" xfId="33956" xr:uid="{00000000-0005-0000-0000-0000B04D0000}"/>
    <cellStyle name="40% - Accent1 5 2 2 4" xfId="4125" xr:uid="{00000000-0005-0000-0000-0000B14D0000}"/>
    <cellStyle name="40% - Accent1 5 2 2 4 2" xfId="11231" xr:uid="{00000000-0005-0000-0000-0000B24D0000}"/>
    <cellStyle name="40% - Accent1 5 2 2 4 3" xfId="18332" xr:uid="{00000000-0005-0000-0000-0000B34D0000}"/>
    <cellStyle name="40% - Accent1 5 2 2 4 4" xfId="25434" xr:uid="{00000000-0005-0000-0000-0000B44D0000}"/>
    <cellStyle name="40% - Accent1 5 2 2 4 5" xfId="32536" xr:uid="{00000000-0005-0000-0000-0000B54D0000}"/>
    <cellStyle name="40% - Accent1 5 2 2 5" xfId="8391" xr:uid="{00000000-0005-0000-0000-0000B64D0000}"/>
    <cellStyle name="40% - Accent1 5 2 2 6" xfId="15492" xr:uid="{00000000-0005-0000-0000-0000B74D0000}"/>
    <cellStyle name="40% - Accent1 5 2 2 7" xfId="22594" xr:uid="{00000000-0005-0000-0000-0000B84D0000}"/>
    <cellStyle name="40% - Accent1 5 2 2 8" xfId="29696" xr:uid="{00000000-0005-0000-0000-0000B94D0000}"/>
    <cellStyle name="40% - Accent1 5 2 2 9" xfId="38580" xr:uid="{00000000-0005-0000-0000-0000BA4D0000}"/>
    <cellStyle name="40% - Accent1 5 2 3" xfId="1922" xr:uid="{00000000-0005-0000-0000-0000BB4D0000}"/>
    <cellStyle name="40% - Accent1 5 2 3 2" xfId="6190" xr:uid="{00000000-0005-0000-0000-0000BC4D0000}"/>
    <cellStyle name="40% - Accent1 5 2 3 2 2" xfId="13290" xr:uid="{00000000-0005-0000-0000-0000BD4D0000}"/>
    <cellStyle name="40% - Accent1 5 2 3 2 3" xfId="20391" xr:uid="{00000000-0005-0000-0000-0000BE4D0000}"/>
    <cellStyle name="40% - Accent1 5 2 3 2 4" xfId="27493" xr:uid="{00000000-0005-0000-0000-0000BF4D0000}"/>
    <cellStyle name="40% - Accent1 5 2 3 2 5" xfId="34595" xr:uid="{00000000-0005-0000-0000-0000C04D0000}"/>
    <cellStyle name="40% - Accent1 5 2 3 2 6" xfId="38581" xr:uid="{00000000-0005-0000-0000-0000C14D0000}"/>
    <cellStyle name="40% - Accent1 5 2 3 3" xfId="9030" xr:uid="{00000000-0005-0000-0000-0000C24D0000}"/>
    <cellStyle name="40% - Accent1 5 2 3 4" xfId="16131" xr:uid="{00000000-0005-0000-0000-0000C34D0000}"/>
    <cellStyle name="40% - Accent1 5 2 3 5" xfId="23233" xr:uid="{00000000-0005-0000-0000-0000C44D0000}"/>
    <cellStyle name="40% - Accent1 5 2 3 6" xfId="30335" xr:uid="{00000000-0005-0000-0000-0000C54D0000}"/>
    <cellStyle name="40% - Accent1 5 2 3 7" xfId="38582" xr:uid="{00000000-0005-0000-0000-0000C64D0000}"/>
    <cellStyle name="40% - Accent1 5 2 4" xfId="4769" xr:uid="{00000000-0005-0000-0000-0000C74D0000}"/>
    <cellStyle name="40% - Accent1 5 2 4 2" xfId="11870" xr:uid="{00000000-0005-0000-0000-0000C84D0000}"/>
    <cellStyle name="40% - Accent1 5 2 4 3" xfId="18971" xr:uid="{00000000-0005-0000-0000-0000C94D0000}"/>
    <cellStyle name="40% - Accent1 5 2 4 4" xfId="26073" xr:uid="{00000000-0005-0000-0000-0000CA4D0000}"/>
    <cellStyle name="40% - Accent1 5 2 4 5" xfId="33175" xr:uid="{00000000-0005-0000-0000-0000CB4D0000}"/>
    <cellStyle name="40% - Accent1 5 2 4 6" xfId="38583" xr:uid="{00000000-0005-0000-0000-0000CC4D0000}"/>
    <cellStyle name="40% - Accent1 5 2 5" xfId="3344" xr:uid="{00000000-0005-0000-0000-0000CD4D0000}"/>
    <cellStyle name="40% - Accent1 5 2 5 2" xfId="10450" xr:uid="{00000000-0005-0000-0000-0000CE4D0000}"/>
    <cellStyle name="40% - Accent1 5 2 5 3" xfId="17551" xr:uid="{00000000-0005-0000-0000-0000CF4D0000}"/>
    <cellStyle name="40% - Accent1 5 2 5 4" xfId="24653" xr:uid="{00000000-0005-0000-0000-0000D04D0000}"/>
    <cellStyle name="40% - Accent1 5 2 5 5" xfId="31755" xr:uid="{00000000-0005-0000-0000-0000D14D0000}"/>
    <cellStyle name="40% - Accent1 5 2 6" xfId="7610" xr:uid="{00000000-0005-0000-0000-0000D24D0000}"/>
    <cellStyle name="40% - Accent1 5 2 7" xfId="14711" xr:uid="{00000000-0005-0000-0000-0000D34D0000}"/>
    <cellStyle name="40% - Accent1 5 2 8" xfId="21813" xr:uid="{00000000-0005-0000-0000-0000D44D0000}"/>
    <cellStyle name="40% - Accent1 5 2 9" xfId="28915" xr:uid="{00000000-0005-0000-0000-0000D54D0000}"/>
    <cellStyle name="40% - Accent1 5 3" xfId="644" xr:uid="{00000000-0005-0000-0000-0000D64D0000}"/>
    <cellStyle name="40% - Accent1 5 3 2" xfId="2135" xr:uid="{00000000-0005-0000-0000-0000D74D0000}"/>
    <cellStyle name="40% - Accent1 5 3 2 2" xfId="6403" xr:uid="{00000000-0005-0000-0000-0000D84D0000}"/>
    <cellStyle name="40% - Accent1 5 3 2 2 2" xfId="13503" xr:uid="{00000000-0005-0000-0000-0000D94D0000}"/>
    <cellStyle name="40% - Accent1 5 3 2 2 3" xfId="20604" xr:uid="{00000000-0005-0000-0000-0000DA4D0000}"/>
    <cellStyle name="40% - Accent1 5 3 2 2 4" xfId="27706" xr:uid="{00000000-0005-0000-0000-0000DB4D0000}"/>
    <cellStyle name="40% - Accent1 5 3 2 2 5" xfId="34808" xr:uid="{00000000-0005-0000-0000-0000DC4D0000}"/>
    <cellStyle name="40% - Accent1 5 3 2 2 6" xfId="38584" xr:uid="{00000000-0005-0000-0000-0000DD4D0000}"/>
    <cellStyle name="40% - Accent1 5 3 2 3" xfId="9243" xr:uid="{00000000-0005-0000-0000-0000DE4D0000}"/>
    <cellStyle name="40% - Accent1 5 3 2 4" xfId="16344" xr:uid="{00000000-0005-0000-0000-0000DF4D0000}"/>
    <cellStyle name="40% - Accent1 5 3 2 5" xfId="23446" xr:uid="{00000000-0005-0000-0000-0000E04D0000}"/>
    <cellStyle name="40% - Accent1 5 3 2 6" xfId="30548" xr:uid="{00000000-0005-0000-0000-0000E14D0000}"/>
    <cellStyle name="40% - Accent1 5 3 2 7" xfId="38585" xr:uid="{00000000-0005-0000-0000-0000E24D0000}"/>
    <cellStyle name="40% - Accent1 5 3 3" xfId="4982" xr:uid="{00000000-0005-0000-0000-0000E34D0000}"/>
    <cellStyle name="40% - Accent1 5 3 3 2" xfId="12083" xr:uid="{00000000-0005-0000-0000-0000E44D0000}"/>
    <cellStyle name="40% - Accent1 5 3 3 2 2" xfId="38586" xr:uid="{00000000-0005-0000-0000-0000E54D0000}"/>
    <cellStyle name="40% - Accent1 5 3 3 3" xfId="19184" xr:uid="{00000000-0005-0000-0000-0000E64D0000}"/>
    <cellStyle name="40% - Accent1 5 3 3 4" xfId="26286" xr:uid="{00000000-0005-0000-0000-0000E74D0000}"/>
    <cellStyle name="40% - Accent1 5 3 3 5" xfId="33388" xr:uid="{00000000-0005-0000-0000-0000E84D0000}"/>
    <cellStyle name="40% - Accent1 5 3 3 6" xfId="38587" xr:uid="{00000000-0005-0000-0000-0000E94D0000}"/>
    <cellStyle name="40% - Accent1 5 3 4" xfId="3557" xr:uid="{00000000-0005-0000-0000-0000EA4D0000}"/>
    <cellStyle name="40% - Accent1 5 3 4 2" xfId="10663" xr:uid="{00000000-0005-0000-0000-0000EB4D0000}"/>
    <cellStyle name="40% - Accent1 5 3 4 3" xfId="17764" xr:uid="{00000000-0005-0000-0000-0000EC4D0000}"/>
    <cellStyle name="40% - Accent1 5 3 4 4" xfId="24866" xr:uid="{00000000-0005-0000-0000-0000ED4D0000}"/>
    <cellStyle name="40% - Accent1 5 3 4 5" xfId="31968" xr:uid="{00000000-0005-0000-0000-0000EE4D0000}"/>
    <cellStyle name="40% - Accent1 5 3 4 6" xfId="38588" xr:uid="{00000000-0005-0000-0000-0000EF4D0000}"/>
    <cellStyle name="40% - Accent1 5 3 5" xfId="7823" xr:uid="{00000000-0005-0000-0000-0000F04D0000}"/>
    <cellStyle name="40% - Accent1 5 3 6" xfId="14924" xr:uid="{00000000-0005-0000-0000-0000F14D0000}"/>
    <cellStyle name="40% - Accent1 5 3 7" xfId="22026" xr:uid="{00000000-0005-0000-0000-0000F24D0000}"/>
    <cellStyle name="40% - Accent1 5 3 8" xfId="29128" xr:uid="{00000000-0005-0000-0000-0000F34D0000}"/>
    <cellStyle name="40% - Accent1 5 3 9" xfId="38589" xr:uid="{00000000-0005-0000-0000-0000F44D0000}"/>
    <cellStyle name="40% - Accent1 5 4" xfId="857" xr:uid="{00000000-0005-0000-0000-0000F54D0000}"/>
    <cellStyle name="40% - Accent1 5 4 2" xfId="2348" xr:uid="{00000000-0005-0000-0000-0000F64D0000}"/>
    <cellStyle name="40% - Accent1 5 4 2 2" xfId="6616" xr:uid="{00000000-0005-0000-0000-0000F74D0000}"/>
    <cellStyle name="40% - Accent1 5 4 2 2 2" xfId="13716" xr:uid="{00000000-0005-0000-0000-0000F84D0000}"/>
    <cellStyle name="40% - Accent1 5 4 2 2 3" xfId="20817" xr:uid="{00000000-0005-0000-0000-0000F94D0000}"/>
    <cellStyle name="40% - Accent1 5 4 2 2 4" xfId="27919" xr:uid="{00000000-0005-0000-0000-0000FA4D0000}"/>
    <cellStyle name="40% - Accent1 5 4 2 2 5" xfId="35021" xr:uid="{00000000-0005-0000-0000-0000FB4D0000}"/>
    <cellStyle name="40% - Accent1 5 4 2 2 6" xfId="38590" xr:uid="{00000000-0005-0000-0000-0000FC4D0000}"/>
    <cellStyle name="40% - Accent1 5 4 2 3" xfId="9456" xr:uid="{00000000-0005-0000-0000-0000FD4D0000}"/>
    <cellStyle name="40% - Accent1 5 4 2 4" xfId="16557" xr:uid="{00000000-0005-0000-0000-0000FE4D0000}"/>
    <cellStyle name="40% - Accent1 5 4 2 5" xfId="23659" xr:uid="{00000000-0005-0000-0000-0000FF4D0000}"/>
    <cellStyle name="40% - Accent1 5 4 2 6" xfId="30761" xr:uid="{00000000-0005-0000-0000-0000004E0000}"/>
    <cellStyle name="40% - Accent1 5 4 2 7" xfId="38591" xr:uid="{00000000-0005-0000-0000-0000014E0000}"/>
    <cellStyle name="40% - Accent1 5 4 3" xfId="5195" xr:uid="{00000000-0005-0000-0000-0000024E0000}"/>
    <cellStyle name="40% - Accent1 5 4 3 2" xfId="12296" xr:uid="{00000000-0005-0000-0000-0000034E0000}"/>
    <cellStyle name="40% - Accent1 5 4 3 2 2" xfId="38592" xr:uid="{00000000-0005-0000-0000-0000044E0000}"/>
    <cellStyle name="40% - Accent1 5 4 3 3" xfId="19397" xr:uid="{00000000-0005-0000-0000-0000054E0000}"/>
    <cellStyle name="40% - Accent1 5 4 3 4" xfId="26499" xr:uid="{00000000-0005-0000-0000-0000064E0000}"/>
    <cellStyle name="40% - Accent1 5 4 3 5" xfId="33601" xr:uid="{00000000-0005-0000-0000-0000074E0000}"/>
    <cellStyle name="40% - Accent1 5 4 3 6" xfId="38593" xr:uid="{00000000-0005-0000-0000-0000084E0000}"/>
    <cellStyle name="40% - Accent1 5 4 4" xfId="3770" xr:uid="{00000000-0005-0000-0000-0000094E0000}"/>
    <cellStyle name="40% - Accent1 5 4 4 2" xfId="10876" xr:uid="{00000000-0005-0000-0000-00000A4E0000}"/>
    <cellStyle name="40% - Accent1 5 4 4 3" xfId="17977" xr:uid="{00000000-0005-0000-0000-00000B4E0000}"/>
    <cellStyle name="40% - Accent1 5 4 4 4" xfId="25079" xr:uid="{00000000-0005-0000-0000-00000C4E0000}"/>
    <cellStyle name="40% - Accent1 5 4 4 5" xfId="32181" xr:uid="{00000000-0005-0000-0000-00000D4E0000}"/>
    <cellStyle name="40% - Accent1 5 4 4 6" xfId="38594" xr:uid="{00000000-0005-0000-0000-00000E4E0000}"/>
    <cellStyle name="40% - Accent1 5 4 5" xfId="8036" xr:uid="{00000000-0005-0000-0000-00000F4E0000}"/>
    <cellStyle name="40% - Accent1 5 4 6" xfId="15137" xr:uid="{00000000-0005-0000-0000-0000104E0000}"/>
    <cellStyle name="40% - Accent1 5 4 7" xfId="22239" xr:uid="{00000000-0005-0000-0000-0000114E0000}"/>
    <cellStyle name="40% - Accent1 5 4 8" xfId="29341" xr:uid="{00000000-0005-0000-0000-0000124E0000}"/>
    <cellStyle name="40% - Accent1 5 4 9" xfId="38595" xr:uid="{00000000-0005-0000-0000-0000134E0000}"/>
    <cellStyle name="40% - Accent1 5 5" xfId="999" xr:uid="{00000000-0005-0000-0000-0000144E0000}"/>
    <cellStyle name="40% - Accent1 5 5 2" xfId="2490" xr:uid="{00000000-0005-0000-0000-0000154E0000}"/>
    <cellStyle name="40% - Accent1 5 5 2 2" xfId="6758" xr:uid="{00000000-0005-0000-0000-0000164E0000}"/>
    <cellStyle name="40% - Accent1 5 5 2 2 2" xfId="13858" xr:uid="{00000000-0005-0000-0000-0000174E0000}"/>
    <cellStyle name="40% - Accent1 5 5 2 2 3" xfId="20959" xr:uid="{00000000-0005-0000-0000-0000184E0000}"/>
    <cellStyle name="40% - Accent1 5 5 2 2 4" xfId="28061" xr:uid="{00000000-0005-0000-0000-0000194E0000}"/>
    <cellStyle name="40% - Accent1 5 5 2 2 5" xfId="35163" xr:uid="{00000000-0005-0000-0000-00001A4E0000}"/>
    <cellStyle name="40% - Accent1 5 5 2 3" xfId="9598" xr:uid="{00000000-0005-0000-0000-00001B4E0000}"/>
    <cellStyle name="40% - Accent1 5 5 2 4" xfId="16699" xr:uid="{00000000-0005-0000-0000-00001C4E0000}"/>
    <cellStyle name="40% - Accent1 5 5 2 5" xfId="23801" xr:uid="{00000000-0005-0000-0000-00001D4E0000}"/>
    <cellStyle name="40% - Accent1 5 5 2 6" xfId="30903" xr:uid="{00000000-0005-0000-0000-00001E4E0000}"/>
    <cellStyle name="40% - Accent1 5 5 2 7" xfId="38596" xr:uid="{00000000-0005-0000-0000-00001F4E0000}"/>
    <cellStyle name="40% - Accent1 5 5 3" xfId="5337" xr:uid="{00000000-0005-0000-0000-0000204E0000}"/>
    <cellStyle name="40% - Accent1 5 5 3 2" xfId="12438" xr:uid="{00000000-0005-0000-0000-0000214E0000}"/>
    <cellStyle name="40% - Accent1 5 5 3 3" xfId="19539" xr:uid="{00000000-0005-0000-0000-0000224E0000}"/>
    <cellStyle name="40% - Accent1 5 5 3 4" xfId="26641" xr:uid="{00000000-0005-0000-0000-0000234E0000}"/>
    <cellStyle name="40% - Accent1 5 5 3 5" xfId="33743" xr:uid="{00000000-0005-0000-0000-0000244E0000}"/>
    <cellStyle name="40% - Accent1 5 5 4" xfId="3912" xr:uid="{00000000-0005-0000-0000-0000254E0000}"/>
    <cellStyle name="40% - Accent1 5 5 4 2" xfId="11018" xr:uid="{00000000-0005-0000-0000-0000264E0000}"/>
    <cellStyle name="40% - Accent1 5 5 4 3" xfId="18119" xr:uid="{00000000-0005-0000-0000-0000274E0000}"/>
    <cellStyle name="40% - Accent1 5 5 4 4" xfId="25221" xr:uid="{00000000-0005-0000-0000-0000284E0000}"/>
    <cellStyle name="40% - Accent1 5 5 4 5" xfId="32323" xr:uid="{00000000-0005-0000-0000-0000294E0000}"/>
    <cellStyle name="40% - Accent1 5 5 5" xfId="8178" xr:uid="{00000000-0005-0000-0000-00002A4E0000}"/>
    <cellStyle name="40% - Accent1 5 5 6" xfId="15279" xr:uid="{00000000-0005-0000-0000-00002B4E0000}"/>
    <cellStyle name="40% - Accent1 5 5 7" xfId="22381" xr:uid="{00000000-0005-0000-0000-00002C4E0000}"/>
    <cellStyle name="40% - Accent1 5 5 8" xfId="29483" xr:uid="{00000000-0005-0000-0000-00002D4E0000}"/>
    <cellStyle name="40% - Accent1 5 5 9" xfId="38597" xr:uid="{00000000-0005-0000-0000-00002E4E0000}"/>
    <cellStyle name="40% - Accent1 5 6" xfId="1425" xr:uid="{00000000-0005-0000-0000-00002F4E0000}"/>
    <cellStyle name="40% - Accent1 5 6 2" xfId="2916" xr:uid="{00000000-0005-0000-0000-0000304E0000}"/>
    <cellStyle name="40% - Accent1 5 6 2 2" xfId="7184" xr:uid="{00000000-0005-0000-0000-0000314E0000}"/>
    <cellStyle name="40% - Accent1 5 6 2 2 2" xfId="14284" xr:uid="{00000000-0005-0000-0000-0000324E0000}"/>
    <cellStyle name="40% - Accent1 5 6 2 2 3" xfId="21385" xr:uid="{00000000-0005-0000-0000-0000334E0000}"/>
    <cellStyle name="40% - Accent1 5 6 2 2 4" xfId="28487" xr:uid="{00000000-0005-0000-0000-0000344E0000}"/>
    <cellStyle name="40% - Accent1 5 6 2 2 5" xfId="35589" xr:uid="{00000000-0005-0000-0000-0000354E0000}"/>
    <cellStyle name="40% - Accent1 5 6 2 3" xfId="10024" xr:uid="{00000000-0005-0000-0000-0000364E0000}"/>
    <cellStyle name="40% - Accent1 5 6 2 4" xfId="17125" xr:uid="{00000000-0005-0000-0000-0000374E0000}"/>
    <cellStyle name="40% - Accent1 5 6 2 5" xfId="24227" xr:uid="{00000000-0005-0000-0000-0000384E0000}"/>
    <cellStyle name="40% - Accent1 5 6 2 6" xfId="31329" xr:uid="{00000000-0005-0000-0000-0000394E0000}"/>
    <cellStyle name="40% - Accent1 5 6 2 7" xfId="38598" xr:uid="{00000000-0005-0000-0000-00003A4E0000}"/>
    <cellStyle name="40% - Accent1 5 6 3" xfId="5763" xr:uid="{00000000-0005-0000-0000-00003B4E0000}"/>
    <cellStyle name="40% - Accent1 5 6 3 2" xfId="12864" xr:uid="{00000000-0005-0000-0000-00003C4E0000}"/>
    <cellStyle name="40% - Accent1 5 6 3 3" xfId="19965" xr:uid="{00000000-0005-0000-0000-00003D4E0000}"/>
    <cellStyle name="40% - Accent1 5 6 3 4" xfId="27067" xr:uid="{00000000-0005-0000-0000-00003E4E0000}"/>
    <cellStyle name="40% - Accent1 5 6 3 5" xfId="34169" xr:uid="{00000000-0005-0000-0000-00003F4E0000}"/>
    <cellStyle name="40% - Accent1 5 6 4" xfId="4338" xr:uid="{00000000-0005-0000-0000-0000404E0000}"/>
    <cellStyle name="40% - Accent1 5 6 4 2" xfId="11444" xr:uid="{00000000-0005-0000-0000-0000414E0000}"/>
    <cellStyle name="40% - Accent1 5 6 4 3" xfId="18545" xr:uid="{00000000-0005-0000-0000-0000424E0000}"/>
    <cellStyle name="40% - Accent1 5 6 4 4" xfId="25647" xr:uid="{00000000-0005-0000-0000-0000434E0000}"/>
    <cellStyle name="40% - Accent1 5 6 4 5" xfId="32749" xr:uid="{00000000-0005-0000-0000-0000444E0000}"/>
    <cellStyle name="40% - Accent1 5 6 5" xfId="8604" xr:uid="{00000000-0005-0000-0000-0000454E0000}"/>
    <cellStyle name="40% - Accent1 5 6 6" xfId="15705" xr:uid="{00000000-0005-0000-0000-0000464E0000}"/>
    <cellStyle name="40% - Accent1 5 6 7" xfId="22807" xr:uid="{00000000-0005-0000-0000-0000474E0000}"/>
    <cellStyle name="40% - Accent1 5 6 8" xfId="29909" xr:uid="{00000000-0005-0000-0000-0000484E0000}"/>
    <cellStyle name="40% - Accent1 5 6 9" xfId="38599" xr:uid="{00000000-0005-0000-0000-0000494E0000}"/>
    <cellStyle name="40% - Accent1 5 7" xfId="1709" xr:uid="{00000000-0005-0000-0000-00004A4E0000}"/>
    <cellStyle name="40% - Accent1 5 7 2" xfId="5977" xr:uid="{00000000-0005-0000-0000-00004B4E0000}"/>
    <cellStyle name="40% - Accent1 5 7 2 2" xfId="13077" xr:uid="{00000000-0005-0000-0000-00004C4E0000}"/>
    <cellStyle name="40% - Accent1 5 7 2 3" xfId="20178" xr:uid="{00000000-0005-0000-0000-00004D4E0000}"/>
    <cellStyle name="40% - Accent1 5 7 2 4" xfId="27280" xr:uid="{00000000-0005-0000-0000-00004E4E0000}"/>
    <cellStyle name="40% - Accent1 5 7 2 5" xfId="34382" xr:uid="{00000000-0005-0000-0000-00004F4E0000}"/>
    <cellStyle name="40% - Accent1 5 7 3" xfId="8817" xr:uid="{00000000-0005-0000-0000-0000504E0000}"/>
    <cellStyle name="40% - Accent1 5 7 4" xfId="15918" xr:uid="{00000000-0005-0000-0000-0000514E0000}"/>
    <cellStyle name="40% - Accent1 5 7 5" xfId="23020" xr:uid="{00000000-0005-0000-0000-0000524E0000}"/>
    <cellStyle name="40% - Accent1 5 7 6" xfId="30122" xr:uid="{00000000-0005-0000-0000-0000534E0000}"/>
    <cellStyle name="40% - Accent1 5 7 7" xfId="38600" xr:uid="{00000000-0005-0000-0000-0000544E0000}"/>
    <cellStyle name="40% - Accent1 5 8" xfId="4556" xr:uid="{00000000-0005-0000-0000-0000554E0000}"/>
    <cellStyle name="40% - Accent1 5 8 2" xfId="11657" xr:uid="{00000000-0005-0000-0000-0000564E0000}"/>
    <cellStyle name="40% - Accent1 5 8 3" xfId="18758" xr:uid="{00000000-0005-0000-0000-0000574E0000}"/>
    <cellStyle name="40% - Accent1 5 8 4" xfId="25860" xr:uid="{00000000-0005-0000-0000-0000584E0000}"/>
    <cellStyle name="40% - Accent1 5 8 5" xfId="32962" xr:uid="{00000000-0005-0000-0000-0000594E0000}"/>
    <cellStyle name="40% - Accent1 5 9" xfId="3131" xr:uid="{00000000-0005-0000-0000-00005A4E0000}"/>
    <cellStyle name="40% - Accent1 5 9 2" xfId="10237" xr:uid="{00000000-0005-0000-0000-00005B4E0000}"/>
    <cellStyle name="40% - Accent1 5 9 3" xfId="17338" xr:uid="{00000000-0005-0000-0000-00005C4E0000}"/>
    <cellStyle name="40% - Accent1 5 9 4" xfId="24440" xr:uid="{00000000-0005-0000-0000-00005D4E0000}"/>
    <cellStyle name="40% - Accent1 5 9 5" xfId="31542" xr:uid="{00000000-0005-0000-0000-00005E4E0000}"/>
    <cellStyle name="40% - Accent1 6" xfId="146" xr:uid="{00000000-0005-0000-0000-00005F4E0000}"/>
    <cellStyle name="40% - Accent1 6 10" xfId="7326" xr:uid="{00000000-0005-0000-0000-0000604E0000}"/>
    <cellStyle name="40% - Accent1 6 11" xfId="14427" xr:uid="{00000000-0005-0000-0000-0000614E0000}"/>
    <cellStyle name="40% - Accent1 6 12" xfId="21529" xr:uid="{00000000-0005-0000-0000-0000624E0000}"/>
    <cellStyle name="40% - Accent1 6 13" xfId="28631" xr:uid="{00000000-0005-0000-0000-0000634E0000}"/>
    <cellStyle name="40% - Accent1 6 14" xfId="35733" xr:uid="{00000000-0005-0000-0000-0000644E0000}"/>
    <cellStyle name="40% - Accent1 6 15" xfId="38601" xr:uid="{00000000-0005-0000-0000-0000654E0000}"/>
    <cellStyle name="40% - Accent1 6 2" xfId="360" xr:uid="{00000000-0005-0000-0000-0000664E0000}"/>
    <cellStyle name="40% - Accent1 6 2 2" xfId="1851" xr:uid="{00000000-0005-0000-0000-0000674E0000}"/>
    <cellStyle name="40% - Accent1 6 2 2 2" xfId="6119" xr:uid="{00000000-0005-0000-0000-0000684E0000}"/>
    <cellStyle name="40% - Accent1 6 2 2 2 2" xfId="13219" xr:uid="{00000000-0005-0000-0000-0000694E0000}"/>
    <cellStyle name="40% - Accent1 6 2 2 2 3" xfId="20320" xr:uid="{00000000-0005-0000-0000-00006A4E0000}"/>
    <cellStyle name="40% - Accent1 6 2 2 2 4" xfId="27422" xr:uid="{00000000-0005-0000-0000-00006B4E0000}"/>
    <cellStyle name="40% - Accent1 6 2 2 2 5" xfId="34524" xr:uid="{00000000-0005-0000-0000-00006C4E0000}"/>
    <cellStyle name="40% - Accent1 6 2 2 2 6" xfId="38602" xr:uid="{00000000-0005-0000-0000-00006D4E0000}"/>
    <cellStyle name="40% - Accent1 6 2 2 3" xfId="8959" xr:uid="{00000000-0005-0000-0000-00006E4E0000}"/>
    <cellStyle name="40% - Accent1 6 2 2 4" xfId="16060" xr:uid="{00000000-0005-0000-0000-00006F4E0000}"/>
    <cellStyle name="40% - Accent1 6 2 2 5" xfId="23162" xr:uid="{00000000-0005-0000-0000-0000704E0000}"/>
    <cellStyle name="40% - Accent1 6 2 2 6" xfId="30264" xr:uid="{00000000-0005-0000-0000-0000714E0000}"/>
    <cellStyle name="40% - Accent1 6 2 2 7" xfId="38603" xr:uid="{00000000-0005-0000-0000-0000724E0000}"/>
    <cellStyle name="40% - Accent1 6 2 3" xfId="4698" xr:uid="{00000000-0005-0000-0000-0000734E0000}"/>
    <cellStyle name="40% - Accent1 6 2 3 2" xfId="11799" xr:uid="{00000000-0005-0000-0000-0000744E0000}"/>
    <cellStyle name="40% - Accent1 6 2 3 2 2" xfId="38604" xr:uid="{00000000-0005-0000-0000-0000754E0000}"/>
    <cellStyle name="40% - Accent1 6 2 3 3" xfId="18900" xr:uid="{00000000-0005-0000-0000-0000764E0000}"/>
    <cellStyle name="40% - Accent1 6 2 3 4" xfId="26002" xr:uid="{00000000-0005-0000-0000-0000774E0000}"/>
    <cellStyle name="40% - Accent1 6 2 3 5" xfId="33104" xr:uid="{00000000-0005-0000-0000-0000784E0000}"/>
    <cellStyle name="40% - Accent1 6 2 3 6" xfId="38605" xr:uid="{00000000-0005-0000-0000-0000794E0000}"/>
    <cellStyle name="40% - Accent1 6 2 4" xfId="3273" xr:uid="{00000000-0005-0000-0000-00007A4E0000}"/>
    <cellStyle name="40% - Accent1 6 2 4 2" xfId="10379" xr:uid="{00000000-0005-0000-0000-00007B4E0000}"/>
    <cellStyle name="40% - Accent1 6 2 4 3" xfId="17480" xr:uid="{00000000-0005-0000-0000-00007C4E0000}"/>
    <cellStyle name="40% - Accent1 6 2 4 4" xfId="24582" xr:uid="{00000000-0005-0000-0000-00007D4E0000}"/>
    <cellStyle name="40% - Accent1 6 2 4 5" xfId="31684" xr:uid="{00000000-0005-0000-0000-00007E4E0000}"/>
    <cellStyle name="40% - Accent1 6 2 4 6" xfId="38606" xr:uid="{00000000-0005-0000-0000-00007F4E0000}"/>
    <cellStyle name="40% - Accent1 6 2 5" xfId="7539" xr:uid="{00000000-0005-0000-0000-0000804E0000}"/>
    <cellStyle name="40% - Accent1 6 2 6" xfId="14640" xr:uid="{00000000-0005-0000-0000-0000814E0000}"/>
    <cellStyle name="40% - Accent1 6 2 7" xfId="21742" xr:uid="{00000000-0005-0000-0000-0000824E0000}"/>
    <cellStyle name="40% - Accent1 6 2 8" xfId="28844" xr:uid="{00000000-0005-0000-0000-0000834E0000}"/>
    <cellStyle name="40% - Accent1 6 2 9" xfId="38607" xr:uid="{00000000-0005-0000-0000-0000844E0000}"/>
    <cellStyle name="40% - Accent1 6 3" xfId="573" xr:uid="{00000000-0005-0000-0000-0000854E0000}"/>
    <cellStyle name="40% - Accent1 6 3 2" xfId="2064" xr:uid="{00000000-0005-0000-0000-0000864E0000}"/>
    <cellStyle name="40% - Accent1 6 3 2 2" xfId="6332" xr:uid="{00000000-0005-0000-0000-0000874E0000}"/>
    <cellStyle name="40% - Accent1 6 3 2 2 2" xfId="13432" xr:uid="{00000000-0005-0000-0000-0000884E0000}"/>
    <cellStyle name="40% - Accent1 6 3 2 2 3" xfId="20533" xr:uid="{00000000-0005-0000-0000-0000894E0000}"/>
    <cellStyle name="40% - Accent1 6 3 2 2 4" xfId="27635" xr:uid="{00000000-0005-0000-0000-00008A4E0000}"/>
    <cellStyle name="40% - Accent1 6 3 2 2 5" xfId="34737" xr:uid="{00000000-0005-0000-0000-00008B4E0000}"/>
    <cellStyle name="40% - Accent1 6 3 2 2 6" xfId="38608" xr:uid="{00000000-0005-0000-0000-00008C4E0000}"/>
    <cellStyle name="40% - Accent1 6 3 2 3" xfId="9172" xr:uid="{00000000-0005-0000-0000-00008D4E0000}"/>
    <cellStyle name="40% - Accent1 6 3 2 4" xfId="16273" xr:uid="{00000000-0005-0000-0000-00008E4E0000}"/>
    <cellStyle name="40% - Accent1 6 3 2 5" xfId="23375" xr:uid="{00000000-0005-0000-0000-00008F4E0000}"/>
    <cellStyle name="40% - Accent1 6 3 2 6" xfId="30477" xr:uid="{00000000-0005-0000-0000-0000904E0000}"/>
    <cellStyle name="40% - Accent1 6 3 2 7" xfId="38609" xr:uid="{00000000-0005-0000-0000-0000914E0000}"/>
    <cellStyle name="40% - Accent1 6 3 3" xfId="4911" xr:uid="{00000000-0005-0000-0000-0000924E0000}"/>
    <cellStyle name="40% - Accent1 6 3 3 2" xfId="12012" xr:uid="{00000000-0005-0000-0000-0000934E0000}"/>
    <cellStyle name="40% - Accent1 6 3 3 2 2" xfId="38610" xr:uid="{00000000-0005-0000-0000-0000944E0000}"/>
    <cellStyle name="40% - Accent1 6 3 3 3" xfId="19113" xr:uid="{00000000-0005-0000-0000-0000954E0000}"/>
    <cellStyle name="40% - Accent1 6 3 3 4" xfId="26215" xr:uid="{00000000-0005-0000-0000-0000964E0000}"/>
    <cellStyle name="40% - Accent1 6 3 3 5" xfId="33317" xr:uid="{00000000-0005-0000-0000-0000974E0000}"/>
    <cellStyle name="40% - Accent1 6 3 3 6" xfId="38611" xr:uid="{00000000-0005-0000-0000-0000984E0000}"/>
    <cellStyle name="40% - Accent1 6 3 4" xfId="3486" xr:uid="{00000000-0005-0000-0000-0000994E0000}"/>
    <cellStyle name="40% - Accent1 6 3 4 2" xfId="10592" xr:uid="{00000000-0005-0000-0000-00009A4E0000}"/>
    <cellStyle name="40% - Accent1 6 3 4 3" xfId="17693" xr:uid="{00000000-0005-0000-0000-00009B4E0000}"/>
    <cellStyle name="40% - Accent1 6 3 4 4" xfId="24795" xr:uid="{00000000-0005-0000-0000-00009C4E0000}"/>
    <cellStyle name="40% - Accent1 6 3 4 5" xfId="31897" xr:uid="{00000000-0005-0000-0000-00009D4E0000}"/>
    <cellStyle name="40% - Accent1 6 3 4 6" xfId="38612" xr:uid="{00000000-0005-0000-0000-00009E4E0000}"/>
    <cellStyle name="40% - Accent1 6 3 5" xfId="7752" xr:uid="{00000000-0005-0000-0000-00009F4E0000}"/>
    <cellStyle name="40% - Accent1 6 3 6" xfId="14853" xr:uid="{00000000-0005-0000-0000-0000A04E0000}"/>
    <cellStyle name="40% - Accent1 6 3 7" xfId="21955" xr:uid="{00000000-0005-0000-0000-0000A14E0000}"/>
    <cellStyle name="40% - Accent1 6 3 8" xfId="29057" xr:uid="{00000000-0005-0000-0000-0000A24E0000}"/>
    <cellStyle name="40% - Accent1 6 3 9" xfId="38613" xr:uid="{00000000-0005-0000-0000-0000A34E0000}"/>
    <cellStyle name="40% - Accent1 6 4" xfId="786" xr:uid="{00000000-0005-0000-0000-0000A44E0000}"/>
    <cellStyle name="40% - Accent1 6 4 2" xfId="2277" xr:uid="{00000000-0005-0000-0000-0000A54E0000}"/>
    <cellStyle name="40% - Accent1 6 4 2 2" xfId="6545" xr:uid="{00000000-0005-0000-0000-0000A64E0000}"/>
    <cellStyle name="40% - Accent1 6 4 2 2 2" xfId="13645" xr:uid="{00000000-0005-0000-0000-0000A74E0000}"/>
    <cellStyle name="40% - Accent1 6 4 2 2 3" xfId="20746" xr:uid="{00000000-0005-0000-0000-0000A84E0000}"/>
    <cellStyle name="40% - Accent1 6 4 2 2 4" xfId="27848" xr:uid="{00000000-0005-0000-0000-0000A94E0000}"/>
    <cellStyle name="40% - Accent1 6 4 2 2 5" xfId="34950" xr:uid="{00000000-0005-0000-0000-0000AA4E0000}"/>
    <cellStyle name="40% - Accent1 6 4 2 2 6" xfId="38614" xr:uid="{00000000-0005-0000-0000-0000AB4E0000}"/>
    <cellStyle name="40% - Accent1 6 4 2 3" xfId="9385" xr:uid="{00000000-0005-0000-0000-0000AC4E0000}"/>
    <cellStyle name="40% - Accent1 6 4 2 4" xfId="16486" xr:uid="{00000000-0005-0000-0000-0000AD4E0000}"/>
    <cellStyle name="40% - Accent1 6 4 2 5" xfId="23588" xr:uid="{00000000-0005-0000-0000-0000AE4E0000}"/>
    <cellStyle name="40% - Accent1 6 4 2 6" xfId="30690" xr:uid="{00000000-0005-0000-0000-0000AF4E0000}"/>
    <cellStyle name="40% - Accent1 6 4 2 7" xfId="38615" xr:uid="{00000000-0005-0000-0000-0000B04E0000}"/>
    <cellStyle name="40% - Accent1 6 4 3" xfId="5124" xr:uid="{00000000-0005-0000-0000-0000B14E0000}"/>
    <cellStyle name="40% - Accent1 6 4 3 2" xfId="12225" xr:uid="{00000000-0005-0000-0000-0000B24E0000}"/>
    <cellStyle name="40% - Accent1 6 4 3 2 2" xfId="38616" xr:uid="{00000000-0005-0000-0000-0000B34E0000}"/>
    <cellStyle name="40% - Accent1 6 4 3 3" xfId="19326" xr:uid="{00000000-0005-0000-0000-0000B44E0000}"/>
    <cellStyle name="40% - Accent1 6 4 3 4" xfId="26428" xr:uid="{00000000-0005-0000-0000-0000B54E0000}"/>
    <cellStyle name="40% - Accent1 6 4 3 5" xfId="33530" xr:uid="{00000000-0005-0000-0000-0000B64E0000}"/>
    <cellStyle name="40% - Accent1 6 4 3 6" xfId="38617" xr:uid="{00000000-0005-0000-0000-0000B74E0000}"/>
    <cellStyle name="40% - Accent1 6 4 4" xfId="3699" xr:uid="{00000000-0005-0000-0000-0000B84E0000}"/>
    <cellStyle name="40% - Accent1 6 4 4 2" xfId="10805" xr:uid="{00000000-0005-0000-0000-0000B94E0000}"/>
    <cellStyle name="40% - Accent1 6 4 4 3" xfId="17906" xr:uid="{00000000-0005-0000-0000-0000BA4E0000}"/>
    <cellStyle name="40% - Accent1 6 4 4 4" xfId="25008" xr:uid="{00000000-0005-0000-0000-0000BB4E0000}"/>
    <cellStyle name="40% - Accent1 6 4 4 5" xfId="32110" xr:uid="{00000000-0005-0000-0000-0000BC4E0000}"/>
    <cellStyle name="40% - Accent1 6 4 4 6" xfId="38618" xr:uid="{00000000-0005-0000-0000-0000BD4E0000}"/>
    <cellStyle name="40% - Accent1 6 4 5" xfId="7965" xr:uid="{00000000-0005-0000-0000-0000BE4E0000}"/>
    <cellStyle name="40% - Accent1 6 4 6" xfId="15066" xr:uid="{00000000-0005-0000-0000-0000BF4E0000}"/>
    <cellStyle name="40% - Accent1 6 4 7" xfId="22168" xr:uid="{00000000-0005-0000-0000-0000C04E0000}"/>
    <cellStyle name="40% - Accent1 6 4 8" xfId="29270" xr:uid="{00000000-0005-0000-0000-0000C14E0000}"/>
    <cellStyle name="40% - Accent1 6 4 9" xfId="38619" xr:uid="{00000000-0005-0000-0000-0000C24E0000}"/>
    <cellStyle name="40% - Accent1 6 5" xfId="1141" xr:uid="{00000000-0005-0000-0000-0000C34E0000}"/>
    <cellStyle name="40% - Accent1 6 5 2" xfId="2632" xr:uid="{00000000-0005-0000-0000-0000C44E0000}"/>
    <cellStyle name="40% - Accent1 6 5 2 2" xfId="6900" xr:uid="{00000000-0005-0000-0000-0000C54E0000}"/>
    <cellStyle name="40% - Accent1 6 5 2 2 2" xfId="14000" xr:uid="{00000000-0005-0000-0000-0000C64E0000}"/>
    <cellStyle name="40% - Accent1 6 5 2 2 3" xfId="21101" xr:uid="{00000000-0005-0000-0000-0000C74E0000}"/>
    <cellStyle name="40% - Accent1 6 5 2 2 4" xfId="28203" xr:uid="{00000000-0005-0000-0000-0000C84E0000}"/>
    <cellStyle name="40% - Accent1 6 5 2 2 5" xfId="35305" xr:uid="{00000000-0005-0000-0000-0000C94E0000}"/>
    <cellStyle name="40% - Accent1 6 5 2 3" xfId="9740" xr:uid="{00000000-0005-0000-0000-0000CA4E0000}"/>
    <cellStyle name="40% - Accent1 6 5 2 4" xfId="16841" xr:uid="{00000000-0005-0000-0000-0000CB4E0000}"/>
    <cellStyle name="40% - Accent1 6 5 2 5" xfId="23943" xr:uid="{00000000-0005-0000-0000-0000CC4E0000}"/>
    <cellStyle name="40% - Accent1 6 5 2 6" xfId="31045" xr:uid="{00000000-0005-0000-0000-0000CD4E0000}"/>
    <cellStyle name="40% - Accent1 6 5 2 7" xfId="38620" xr:uid="{00000000-0005-0000-0000-0000CE4E0000}"/>
    <cellStyle name="40% - Accent1 6 5 3" xfId="5479" xr:uid="{00000000-0005-0000-0000-0000CF4E0000}"/>
    <cellStyle name="40% - Accent1 6 5 3 2" xfId="12580" xr:uid="{00000000-0005-0000-0000-0000D04E0000}"/>
    <cellStyle name="40% - Accent1 6 5 3 3" xfId="19681" xr:uid="{00000000-0005-0000-0000-0000D14E0000}"/>
    <cellStyle name="40% - Accent1 6 5 3 4" xfId="26783" xr:uid="{00000000-0005-0000-0000-0000D24E0000}"/>
    <cellStyle name="40% - Accent1 6 5 3 5" xfId="33885" xr:uid="{00000000-0005-0000-0000-0000D34E0000}"/>
    <cellStyle name="40% - Accent1 6 5 4" xfId="4054" xr:uid="{00000000-0005-0000-0000-0000D44E0000}"/>
    <cellStyle name="40% - Accent1 6 5 4 2" xfId="11160" xr:uid="{00000000-0005-0000-0000-0000D54E0000}"/>
    <cellStyle name="40% - Accent1 6 5 4 3" xfId="18261" xr:uid="{00000000-0005-0000-0000-0000D64E0000}"/>
    <cellStyle name="40% - Accent1 6 5 4 4" xfId="25363" xr:uid="{00000000-0005-0000-0000-0000D74E0000}"/>
    <cellStyle name="40% - Accent1 6 5 4 5" xfId="32465" xr:uid="{00000000-0005-0000-0000-0000D84E0000}"/>
    <cellStyle name="40% - Accent1 6 5 5" xfId="8320" xr:uid="{00000000-0005-0000-0000-0000D94E0000}"/>
    <cellStyle name="40% - Accent1 6 5 6" xfId="15421" xr:uid="{00000000-0005-0000-0000-0000DA4E0000}"/>
    <cellStyle name="40% - Accent1 6 5 7" xfId="22523" xr:uid="{00000000-0005-0000-0000-0000DB4E0000}"/>
    <cellStyle name="40% - Accent1 6 5 8" xfId="29625" xr:uid="{00000000-0005-0000-0000-0000DC4E0000}"/>
    <cellStyle name="40% - Accent1 6 5 9" xfId="38621" xr:uid="{00000000-0005-0000-0000-0000DD4E0000}"/>
    <cellStyle name="40% - Accent1 6 6" xfId="1354" xr:uid="{00000000-0005-0000-0000-0000DE4E0000}"/>
    <cellStyle name="40% - Accent1 6 6 2" xfId="2845" xr:uid="{00000000-0005-0000-0000-0000DF4E0000}"/>
    <cellStyle name="40% - Accent1 6 6 2 2" xfId="7113" xr:uid="{00000000-0005-0000-0000-0000E04E0000}"/>
    <cellStyle name="40% - Accent1 6 6 2 2 2" xfId="14213" xr:uid="{00000000-0005-0000-0000-0000E14E0000}"/>
    <cellStyle name="40% - Accent1 6 6 2 2 3" xfId="21314" xr:uid="{00000000-0005-0000-0000-0000E24E0000}"/>
    <cellStyle name="40% - Accent1 6 6 2 2 4" xfId="28416" xr:uid="{00000000-0005-0000-0000-0000E34E0000}"/>
    <cellStyle name="40% - Accent1 6 6 2 2 5" xfId="35518" xr:uid="{00000000-0005-0000-0000-0000E44E0000}"/>
    <cellStyle name="40% - Accent1 6 6 2 3" xfId="9953" xr:uid="{00000000-0005-0000-0000-0000E54E0000}"/>
    <cellStyle name="40% - Accent1 6 6 2 4" xfId="17054" xr:uid="{00000000-0005-0000-0000-0000E64E0000}"/>
    <cellStyle name="40% - Accent1 6 6 2 5" xfId="24156" xr:uid="{00000000-0005-0000-0000-0000E74E0000}"/>
    <cellStyle name="40% - Accent1 6 6 2 6" xfId="31258" xr:uid="{00000000-0005-0000-0000-0000E84E0000}"/>
    <cellStyle name="40% - Accent1 6 6 2 7" xfId="38622" xr:uid="{00000000-0005-0000-0000-0000E94E0000}"/>
    <cellStyle name="40% - Accent1 6 6 3" xfId="5692" xr:uid="{00000000-0005-0000-0000-0000EA4E0000}"/>
    <cellStyle name="40% - Accent1 6 6 3 2" xfId="12793" xr:uid="{00000000-0005-0000-0000-0000EB4E0000}"/>
    <cellStyle name="40% - Accent1 6 6 3 3" xfId="19894" xr:uid="{00000000-0005-0000-0000-0000EC4E0000}"/>
    <cellStyle name="40% - Accent1 6 6 3 4" xfId="26996" xr:uid="{00000000-0005-0000-0000-0000ED4E0000}"/>
    <cellStyle name="40% - Accent1 6 6 3 5" xfId="34098" xr:uid="{00000000-0005-0000-0000-0000EE4E0000}"/>
    <cellStyle name="40% - Accent1 6 6 4" xfId="4267" xr:uid="{00000000-0005-0000-0000-0000EF4E0000}"/>
    <cellStyle name="40% - Accent1 6 6 4 2" xfId="11373" xr:uid="{00000000-0005-0000-0000-0000F04E0000}"/>
    <cellStyle name="40% - Accent1 6 6 4 3" xfId="18474" xr:uid="{00000000-0005-0000-0000-0000F14E0000}"/>
    <cellStyle name="40% - Accent1 6 6 4 4" xfId="25576" xr:uid="{00000000-0005-0000-0000-0000F24E0000}"/>
    <cellStyle name="40% - Accent1 6 6 4 5" xfId="32678" xr:uid="{00000000-0005-0000-0000-0000F34E0000}"/>
    <cellStyle name="40% - Accent1 6 6 5" xfId="8533" xr:uid="{00000000-0005-0000-0000-0000F44E0000}"/>
    <cellStyle name="40% - Accent1 6 6 6" xfId="15634" xr:uid="{00000000-0005-0000-0000-0000F54E0000}"/>
    <cellStyle name="40% - Accent1 6 6 7" xfId="22736" xr:uid="{00000000-0005-0000-0000-0000F64E0000}"/>
    <cellStyle name="40% - Accent1 6 6 8" xfId="29838" xr:uid="{00000000-0005-0000-0000-0000F74E0000}"/>
    <cellStyle name="40% - Accent1 6 6 9" xfId="38623" xr:uid="{00000000-0005-0000-0000-0000F84E0000}"/>
    <cellStyle name="40% - Accent1 6 7" xfId="1638" xr:uid="{00000000-0005-0000-0000-0000F94E0000}"/>
    <cellStyle name="40% - Accent1 6 7 2" xfId="5906" xr:uid="{00000000-0005-0000-0000-0000FA4E0000}"/>
    <cellStyle name="40% - Accent1 6 7 2 2" xfId="13006" xr:uid="{00000000-0005-0000-0000-0000FB4E0000}"/>
    <cellStyle name="40% - Accent1 6 7 2 3" xfId="20107" xr:uid="{00000000-0005-0000-0000-0000FC4E0000}"/>
    <cellStyle name="40% - Accent1 6 7 2 4" xfId="27209" xr:uid="{00000000-0005-0000-0000-0000FD4E0000}"/>
    <cellStyle name="40% - Accent1 6 7 2 5" xfId="34311" xr:uid="{00000000-0005-0000-0000-0000FE4E0000}"/>
    <cellStyle name="40% - Accent1 6 7 3" xfId="8746" xr:uid="{00000000-0005-0000-0000-0000FF4E0000}"/>
    <cellStyle name="40% - Accent1 6 7 4" xfId="15847" xr:uid="{00000000-0005-0000-0000-0000004F0000}"/>
    <cellStyle name="40% - Accent1 6 7 5" xfId="22949" xr:uid="{00000000-0005-0000-0000-0000014F0000}"/>
    <cellStyle name="40% - Accent1 6 7 6" xfId="30051" xr:uid="{00000000-0005-0000-0000-0000024F0000}"/>
    <cellStyle name="40% - Accent1 6 7 7" xfId="38624" xr:uid="{00000000-0005-0000-0000-0000034F0000}"/>
    <cellStyle name="40% - Accent1 6 8" xfId="4485" xr:uid="{00000000-0005-0000-0000-0000044F0000}"/>
    <cellStyle name="40% - Accent1 6 8 2" xfId="11586" xr:uid="{00000000-0005-0000-0000-0000054F0000}"/>
    <cellStyle name="40% - Accent1 6 8 3" xfId="18687" xr:uid="{00000000-0005-0000-0000-0000064F0000}"/>
    <cellStyle name="40% - Accent1 6 8 4" xfId="25789" xr:uid="{00000000-0005-0000-0000-0000074F0000}"/>
    <cellStyle name="40% - Accent1 6 8 5" xfId="32891" xr:uid="{00000000-0005-0000-0000-0000084F0000}"/>
    <cellStyle name="40% - Accent1 6 9" xfId="3060" xr:uid="{00000000-0005-0000-0000-0000094F0000}"/>
    <cellStyle name="40% - Accent1 6 9 2" xfId="10166" xr:uid="{00000000-0005-0000-0000-00000A4F0000}"/>
    <cellStyle name="40% - Accent1 6 9 3" xfId="17267" xr:uid="{00000000-0005-0000-0000-00000B4F0000}"/>
    <cellStyle name="40% - Accent1 6 9 4" xfId="24369" xr:uid="{00000000-0005-0000-0000-00000C4F0000}"/>
    <cellStyle name="40% - Accent1 6 9 5" xfId="31471" xr:uid="{00000000-0005-0000-0000-00000D4F0000}"/>
    <cellStyle name="40% - Accent1 7" xfId="289" xr:uid="{00000000-0005-0000-0000-00000E4F0000}"/>
    <cellStyle name="40% - Accent1 7 10" xfId="38625" xr:uid="{00000000-0005-0000-0000-00000F4F0000}"/>
    <cellStyle name="40% - Accent1 7 2" xfId="1070" xr:uid="{00000000-0005-0000-0000-0000104F0000}"/>
    <cellStyle name="40% - Accent1 7 2 2" xfId="2561" xr:uid="{00000000-0005-0000-0000-0000114F0000}"/>
    <cellStyle name="40% - Accent1 7 2 2 2" xfId="6829" xr:uid="{00000000-0005-0000-0000-0000124F0000}"/>
    <cellStyle name="40% - Accent1 7 2 2 2 2" xfId="13929" xr:uid="{00000000-0005-0000-0000-0000134F0000}"/>
    <cellStyle name="40% - Accent1 7 2 2 2 3" xfId="21030" xr:uid="{00000000-0005-0000-0000-0000144F0000}"/>
    <cellStyle name="40% - Accent1 7 2 2 2 4" xfId="28132" xr:uid="{00000000-0005-0000-0000-0000154F0000}"/>
    <cellStyle name="40% - Accent1 7 2 2 2 5" xfId="35234" xr:uid="{00000000-0005-0000-0000-0000164F0000}"/>
    <cellStyle name="40% - Accent1 7 2 2 3" xfId="9669" xr:uid="{00000000-0005-0000-0000-0000174F0000}"/>
    <cellStyle name="40% - Accent1 7 2 2 4" xfId="16770" xr:uid="{00000000-0005-0000-0000-0000184F0000}"/>
    <cellStyle name="40% - Accent1 7 2 2 5" xfId="23872" xr:uid="{00000000-0005-0000-0000-0000194F0000}"/>
    <cellStyle name="40% - Accent1 7 2 2 6" xfId="30974" xr:uid="{00000000-0005-0000-0000-00001A4F0000}"/>
    <cellStyle name="40% - Accent1 7 2 2 7" xfId="38626" xr:uid="{00000000-0005-0000-0000-00001B4F0000}"/>
    <cellStyle name="40% - Accent1 7 2 3" xfId="5408" xr:uid="{00000000-0005-0000-0000-00001C4F0000}"/>
    <cellStyle name="40% - Accent1 7 2 3 2" xfId="12509" xr:uid="{00000000-0005-0000-0000-00001D4F0000}"/>
    <cellStyle name="40% - Accent1 7 2 3 3" xfId="19610" xr:uid="{00000000-0005-0000-0000-00001E4F0000}"/>
    <cellStyle name="40% - Accent1 7 2 3 4" xfId="26712" xr:uid="{00000000-0005-0000-0000-00001F4F0000}"/>
    <cellStyle name="40% - Accent1 7 2 3 5" xfId="33814" xr:uid="{00000000-0005-0000-0000-0000204F0000}"/>
    <cellStyle name="40% - Accent1 7 2 4" xfId="3983" xr:uid="{00000000-0005-0000-0000-0000214F0000}"/>
    <cellStyle name="40% - Accent1 7 2 4 2" xfId="11089" xr:uid="{00000000-0005-0000-0000-0000224F0000}"/>
    <cellStyle name="40% - Accent1 7 2 4 3" xfId="18190" xr:uid="{00000000-0005-0000-0000-0000234F0000}"/>
    <cellStyle name="40% - Accent1 7 2 4 4" xfId="25292" xr:uid="{00000000-0005-0000-0000-0000244F0000}"/>
    <cellStyle name="40% - Accent1 7 2 4 5" xfId="32394" xr:uid="{00000000-0005-0000-0000-0000254F0000}"/>
    <cellStyle name="40% - Accent1 7 2 5" xfId="8249" xr:uid="{00000000-0005-0000-0000-0000264F0000}"/>
    <cellStyle name="40% - Accent1 7 2 6" xfId="15350" xr:uid="{00000000-0005-0000-0000-0000274F0000}"/>
    <cellStyle name="40% - Accent1 7 2 7" xfId="22452" xr:uid="{00000000-0005-0000-0000-0000284F0000}"/>
    <cellStyle name="40% - Accent1 7 2 8" xfId="29554" xr:uid="{00000000-0005-0000-0000-0000294F0000}"/>
    <cellStyle name="40% - Accent1 7 2 9" xfId="38627" xr:uid="{00000000-0005-0000-0000-00002A4F0000}"/>
    <cellStyle name="40% - Accent1 7 3" xfId="1780" xr:uid="{00000000-0005-0000-0000-00002B4F0000}"/>
    <cellStyle name="40% - Accent1 7 3 2" xfId="6048" xr:uid="{00000000-0005-0000-0000-00002C4F0000}"/>
    <cellStyle name="40% - Accent1 7 3 2 2" xfId="13148" xr:uid="{00000000-0005-0000-0000-00002D4F0000}"/>
    <cellStyle name="40% - Accent1 7 3 2 3" xfId="20249" xr:uid="{00000000-0005-0000-0000-00002E4F0000}"/>
    <cellStyle name="40% - Accent1 7 3 2 4" xfId="27351" xr:uid="{00000000-0005-0000-0000-00002F4F0000}"/>
    <cellStyle name="40% - Accent1 7 3 2 5" xfId="34453" xr:uid="{00000000-0005-0000-0000-0000304F0000}"/>
    <cellStyle name="40% - Accent1 7 3 2 6" xfId="38628" xr:uid="{00000000-0005-0000-0000-0000314F0000}"/>
    <cellStyle name="40% - Accent1 7 3 3" xfId="8888" xr:uid="{00000000-0005-0000-0000-0000324F0000}"/>
    <cellStyle name="40% - Accent1 7 3 4" xfId="15989" xr:uid="{00000000-0005-0000-0000-0000334F0000}"/>
    <cellStyle name="40% - Accent1 7 3 5" xfId="23091" xr:uid="{00000000-0005-0000-0000-0000344F0000}"/>
    <cellStyle name="40% - Accent1 7 3 6" xfId="30193" xr:uid="{00000000-0005-0000-0000-0000354F0000}"/>
    <cellStyle name="40% - Accent1 7 3 7" xfId="38629" xr:uid="{00000000-0005-0000-0000-0000364F0000}"/>
    <cellStyle name="40% - Accent1 7 4" xfId="4627" xr:uid="{00000000-0005-0000-0000-0000374F0000}"/>
    <cellStyle name="40% - Accent1 7 4 2" xfId="11728" xr:uid="{00000000-0005-0000-0000-0000384F0000}"/>
    <cellStyle name="40% - Accent1 7 4 3" xfId="18829" xr:uid="{00000000-0005-0000-0000-0000394F0000}"/>
    <cellStyle name="40% - Accent1 7 4 4" xfId="25931" xr:uid="{00000000-0005-0000-0000-00003A4F0000}"/>
    <cellStyle name="40% - Accent1 7 4 5" xfId="33033" xr:uid="{00000000-0005-0000-0000-00003B4F0000}"/>
    <cellStyle name="40% - Accent1 7 4 6" xfId="38630" xr:uid="{00000000-0005-0000-0000-00003C4F0000}"/>
    <cellStyle name="40% - Accent1 7 5" xfId="3202" xr:uid="{00000000-0005-0000-0000-00003D4F0000}"/>
    <cellStyle name="40% - Accent1 7 5 2" xfId="10308" xr:uid="{00000000-0005-0000-0000-00003E4F0000}"/>
    <cellStyle name="40% - Accent1 7 5 3" xfId="17409" xr:uid="{00000000-0005-0000-0000-00003F4F0000}"/>
    <cellStyle name="40% - Accent1 7 5 4" xfId="24511" xr:uid="{00000000-0005-0000-0000-0000404F0000}"/>
    <cellStyle name="40% - Accent1 7 5 5" xfId="31613" xr:uid="{00000000-0005-0000-0000-0000414F0000}"/>
    <cellStyle name="40% - Accent1 7 6" xfId="7468" xr:uid="{00000000-0005-0000-0000-0000424F0000}"/>
    <cellStyle name="40% - Accent1 7 7" xfId="14569" xr:uid="{00000000-0005-0000-0000-0000434F0000}"/>
    <cellStyle name="40% - Accent1 7 8" xfId="21671" xr:uid="{00000000-0005-0000-0000-0000444F0000}"/>
    <cellStyle name="40% - Accent1 7 9" xfId="28773" xr:uid="{00000000-0005-0000-0000-0000454F0000}"/>
    <cellStyle name="40% - Accent1 8" xfId="502" xr:uid="{00000000-0005-0000-0000-0000464F0000}"/>
    <cellStyle name="40% - Accent1 8 2" xfId="1993" xr:uid="{00000000-0005-0000-0000-0000474F0000}"/>
    <cellStyle name="40% - Accent1 8 2 2" xfId="6261" xr:uid="{00000000-0005-0000-0000-0000484F0000}"/>
    <cellStyle name="40% - Accent1 8 2 2 2" xfId="13361" xr:uid="{00000000-0005-0000-0000-0000494F0000}"/>
    <cellStyle name="40% - Accent1 8 2 2 3" xfId="20462" xr:uid="{00000000-0005-0000-0000-00004A4F0000}"/>
    <cellStyle name="40% - Accent1 8 2 2 4" xfId="27564" xr:uid="{00000000-0005-0000-0000-00004B4F0000}"/>
    <cellStyle name="40% - Accent1 8 2 2 5" xfId="34666" xr:uid="{00000000-0005-0000-0000-00004C4F0000}"/>
    <cellStyle name="40% - Accent1 8 2 2 6" xfId="38631" xr:uid="{00000000-0005-0000-0000-00004D4F0000}"/>
    <cellStyle name="40% - Accent1 8 2 3" xfId="9101" xr:uid="{00000000-0005-0000-0000-00004E4F0000}"/>
    <cellStyle name="40% - Accent1 8 2 4" xfId="16202" xr:uid="{00000000-0005-0000-0000-00004F4F0000}"/>
    <cellStyle name="40% - Accent1 8 2 5" xfId="23304" xr:uid="{00000000-0005-0000-0000-0000504F0000}"/>
    <cellStyle name="40% - Accent1 8 2 6" xfId="30406" xr:uid="{00000000-0005-0000-0000-0000514F0000}"/>
    <cellStyle name="40% - Accent1 8 2 7" xfId="38632" xr:uid="{00000000-0005-0000-0000-0000524F0000}"/>
    <cellStyle name="40% - Accent1 8 3" xfId="4840" xr:uid="{00000000-0005-0000-0000-0000534F0000}"/>
    <cellStyle name="40% - Accent1 8 3 2" xfId="11941" xr:uid="{00000000-0005-0000-0000-0000544F0000}"/>
    <cellStyle name="40% - Accent1 8 3 2 2" xfId="38633" xr:uid="{00000000-0005-0000-0000-0000554F0000}"/>
    <cellStyle name="40% - Accent1 8 3 3" xfId="19042" xr:uid="{00000000-0005-0000-0000-0000564F0000}"/>
    <cellStyle name="40% - Accent1 8 3 4" xfId="26144" xr:uid="{00000000-0005-0000-0000-0000574F0000}"/>
    <cellStyle name="40% - Accent1 8 3 5" xfId="33246" xr:uid="{00000000-0005-0000-0000-0000584F0000}"/>
    <cellStyle name="40% - Accent1 8 3 6" xfId="38634" xr:uid="{00000000-0005-0000-0000-0000594F0000}"/>
    <cellStyle name="40% - Accent1 8 4" xfId="3415" xr:uid="{00000000-0005-0000-0000-00005A4F0000}"/>
    <cellStyle name="40% - Accent1 8 4 2" xfId="10521" xr:uid="{00000000-0005-0000-0000-00005B4F0000}"/>
    <cellStyle name="40% - Accent1 8 4 3" xfId="17622" xr:uid="{00000000-0005-0000-0000-00005C4F0000}"/>
    <cellStyle name="40% - Accent1 8 4 4" xfId="24724" xr:uid="{00000000-0005-0000-0000-00005D4F0000}"/>
    <cellStyle name="40% - Accent1 8 4 5" xfId="31826" xr:uid="{00000000-0005-0000-0000-00005E4F0000}"/>
    <cellStyle name="40% - Accent1 8 4 6" xfId="38635" xr:uid="{00000000-0005-0000-0000-00005F4F0000}"/>
    <cellStyle name="40% - Accent1 8 5" xfId="7681" xr:uid="{00000000-0005-0000-0000-0000604F0000}"/>
    <cellStyle name="40% - Accent1 8 6" xfId="14782" xr:uid="{00000000-0005-0000-0000-0000614F0000}"/>
    <cellStyle name="40% - Accent1 8 7" xfId="21884" xr:uid="{00000000-0005-0000-0000-0000624F0000}"/>
    <cellStyle name="40% - Accent1 8 8" xfId="28986" xr:uid="{00000000-0005-0000-0000-0000634F0000}"/>
    <cellStyle name="40% - Accent1 8 9" xfId="38636" xr:uid="{00000000-0005-0000-0000-0000644F0000}"/>
    <cellStyle name="40% - Accent1 9" xfId="715" xr:uid="{00000000-0005-0000-0000-0000654F0000}"/>
    <cellStyle name="40% - Accent1 9 2" xfId="2206" xr:uid="{00000000-0005-0000-0000-0000664F0000}"/>
    <cellStyle name="40% - Accent1 9 2 2" xfId="6474" xr:uid="{00000000-0005-0000-0000-0000674F0000}"/>
    <cellStyle name="40% - Accent1 9 2 2 2" xfId="13574" xr:uid="{00000000-0005-0000-0000-0000684F0000}"/>
    <cellStyle name="40% - Accent1 9 2 2 3" xfId="20675" xr:uid="{00000000-0005-0000-0000-0000694F0000}"/>
    <cellStyle name="40% - Accent1 9 2 2 4" xfId="27777" xr:uid="{00000000-0005-0000-0000-00006A4F0000}"/>
    <cellStyle name="40% - Accent1 9 2 2 5" xfId="34879" xr:uid="{00000000-0005-0000-0000-00006B4F0000}"/>
    <cellStyle name="40% - Accent1 9 2 2 6" xfId="38637" xr:uid="{00000000-0005-0000-0000-00006C4F0000}"/>
    <cellStyle name="40% - Accent1 9 2 3" xfId="9314" xr:uid="{00000000-0005-0000-0000-00006D4F0000}"/>
    <cellStyle name="40% - Accent1 9 2 4" xfId="16415" xr:uid="{00000000-0005-0000-0000-00006E4F0000}"/>
    <cellStyle name="40% - Accent1 9 2 5" xfId="23517" xr:uid="{00000000-0005-0000-0000-00006F4F0000}"/>
    <cellStyle name="40% - Accent1 9 2 6" xfId="30619" xr:uid="{00000000-0005-0000-0000-0000704F0000}"/>
    <cellStyle name="40% - Accent1 9 2 7" xfId="38638" xr:uid="{00000000-0005-0000-0000-0000714F0000}"/>
    <cellStyle name="40% - Accent1 9 3" xfId="5053" xr:uid="{00000000-0005-0000-0000-0000724F0000}"/>
    <cellStyle name="40% - Accent1 9 3 2" xfId="12154" xr:uid="{00000000-0005-0000-0000-0000734F0000}"/>
    <cellStyle name="40% - Accent1 9 3 2 2" xfId="38639" xr:uid="{00000000-0005-0000-0000-0000744F0000}"/>
    <cellStyle name="40% - Accent1 9 3 3" xfId="19255" xr:uid="{00000000-0005-0000-0000-0000754F0000}"/>
    <cellStyle name="40% - Accent1 9 3 4" xfId="26357" xr:uid="{00000000-0005-0000-0000-0000764F0000}"/>
    <cellStyle name="40% - Accent1 9 3 5" xfId="33459" xr:uid="{00000000-0005-0000-0000-0000774F0000}"/>
    <cellStyle name="40% - Accent1 9 3 6" xfId="38640" xr:uid="{00000000-0005-0000-0000-0000784F0000}"/>
    <cellStyle name="40% - Accent1 9 4" xfId="3628" xr:uid="{00000000-0005-0000-0000-0000794F0000}"/>
    <cellStyle name="40% - Accent1 9 4 2" xfId="10734" xr:uid="{00000000-0005-0000-0000-00007A4F0000}"/>
    <cellStyle name="40% - Accent1 9 4 3" xfId="17835" xr:uid="{00000000-0005-0000-0000-00007B4F0000}"/>
    <cellStyle name="40% - Accent1 9 4 4" xfId="24937" xr:uid="{00000000-0005-0000-0000-00007C4F0000}"/>
    <cellStyle name="40% - Accent1 9 4 5" xfId="32039" xr:uid="{00000000-0005-0000-0000-00007D4F0000}"/>
    <cellStyle name="40% - Accent1 9 4 6" xfId="38641" xr:uid="{00000000-0005-0000-0000-00007E4F0000}"/>
    <cellStyle name="40% - Accent1 9 5" xfId="7894" xr:uid="{00000000-0005-0000-0000-00007F4F0000}"/>
    <cellStyle name="40% - Accent1 9 6" xfId="14995" xr:uid="{00000000-0005-0000-0000-0000804F0000}"/>
    <cellStyle name="40% - Accent1 9 7" xfId="22097" xr:uid="{00000000-0005-0000-0000-0000814F0000}"/>
    <cellStyle name="40% - Accent1 9 8" xfId="29199" xr:uid="{00000000-0005-0000-0000-0000824F0000}"/>
    <cellStyle name="40% - Accent1 9 9" xfId="38642" xr:uid="{00000000-0005-0000-0000-0000834F0000}"/>
    <cellStyle name="40% - Accent2" xfId="47" builtinId="35" customBuiltin="1"/>
    <cellStyle name="40% - Accent2 10" xfId="930" xr:uid="{00000000-0005-0000-0000-0000854F0000}"/>
    <cellStyle name="40% - Accent2 10 2" xfId="2421" xr:uid="{00000000-0005-0000-0000-0000864F0000}"/>
    <cellStyle name="40% - Accent2 10 2 2" xfId="6689" xr:uid="{00000000-0005-0000-0000-0000874F0000}"/>
    <cellStyle name="40% - Accent2 10 2 2 2" xfId="13789" xr:uid="{00000000-0005-0000-0000-0000884F0000}"/>
    <cellStyle name="40% - Accent2 10 2 2 3" xfId="20890" xr:uid="{00000000-0005-0000-0000-0000894F0000}"/>
    <cellStyle name="40% - Accent2 10 2 2 4" xfId="27992" xr:uid="{00000000-0005-0000-0000-00008A4F0000}"/>
    <cellStyle name="40% - Accent2 10 2 2 5" xfId="35094" xr:uid="{00000000-0005-0000-0000-00008B4F0000}"/>
    <cellStyle name="40% - Accent2 10 2 3" xfId="9529" xr:uid="{00000000-0005-0000-0000-00008C4F0000}"/>
    <cellStyle name="40% - Accent2 10 2 4" xfId="16630" xr:uid="{00000000-0005-0000-0000-00008D4F0000}"/>
    <cellStyle name="40% - Accent2 10 2 5" xfId="23732" xr:uid="{00000000-0005-0000-0000-00008E4F0000}"/>
    <cellStyle name="40% - Accent2 10 2 6" xfId="30834" xr:uid="{00000000-0005-0000-0000-00008F4F0000}"/>
    <cellStyle name="40% - Accent2 10 2 7" xfId="38643" xr:uid="{00000000-0005-0000-0000-0000904F0000}"/>
    <cellStyle name="40% - Accent2 10 3" xfId="5268" xr:uid="{00000000-0005-0000-0000-0000914F0000}"/>
    <cellStyle name="40% - Accent2 10 3 2" xfId="12369" xr:uid="{00000000-0005-0000-0000-0000924F0000}"/>
    <cellStyle name="40% - Accent2 10 3 3" xfId="19470" xr:uid="{00000000-0005-0000-0000-0000934F0000}"/>
    <cellStyle name="40% - Accent2 10 3 4" xfId="26572" xr:uid="{00000000-0005-0000-0000-0000944F0000}"/>
    <cellStyle name="40% - Accent2 10 3 5" xfId="33674" xr:uid="{00000000-0005-0000-0000-0000954F0000}"/>
    <cellStyle name="40% - Accent2 10 4" xfId="3843" xr:uid="{00000000-0005-0000-0000-0000964F0000}"/>
    <cellStyle name="40% - Accent2 10 4 2" xfId="10949" xr:uid="{00000000-0005-0000-0000-0000974F0000}"/>
    <cellStyle name="40% - Accent2 10 4 3" xfId="18050" xr:uid="{00000000-0005-0000-0000-0000984F0000}"/>
    <cellStyle name="40% - Accent2 10 4 4" xfId="25152" xr:uid="{00000000-0005-0000-0000-0000994F0000}"/>
    <cellStyle name="40% - Accent2 10 4 5" xfId="32254" xr:uid="{00000000-0005-0000-0000-00009A4F0000}"/>
    <cellStyle name="40% - Accent2 10 5" xfId="8109" xr:uid="{00000000-0005-0000-0000-00009B4F0000}"/>
    <cellStyle name="40% - Accent2 10 6" xfId="15210" xr:uid="{00000000-0005-0000-0000-00009C4F0000}"/>
    <cellStyle name="40% - Accent2 10 7" xfId="22312" xr:uid="{00000000-0005-0000-0000-00009D4F0000}"/>
    <cellStyle name="40% - Accent2 10 8" xfId="29414" xr:uid="{00000000-0005-0000-0000-00009E4F0000}"/>
    <cellStyle name="40% - Accent2 10 9" xfId="38644" xr:uid="{00000000-0005-0000-0000-00009F4F0000}"/>
    <cellStyle name="40% - Accent2 11" xfId="1285" xr:uid="{00000000-0005-0000-0000-0000A04F0000}"/>
    <cellStyle name="40% - Accent2 11 2" xfId="2776" xr:uid="{00000000-0005-0000-0000-0000A14F0000}"/>
    <cellStyle name="40% - Accent2 11 2 2" xfId="7044" xr:uid="{00000000-0005-0000-0000-0000A24F0000}"/>
    <cellStyle name="40% - Accent2 11 2 2 2" xfId="14144" xr:uid="{00000000-0005-0000-0000-0000A34F0000}"/>
    <cellStyle name="40% - Accent2 11 2 2 3" xfId="21245" xr:uid="{00000000-0005-0000-0000-0000A44F0000}"/>
    <cellStyle name="40% - Accent2 11 2 2 4" xfId="28347" xr:uid="{00000000-0005-0000-0000-0000A54F0000}"/>
    <cellStyle name="40% - Accent2 11 2 2 5" xfId="35449" xr:uid="{00000000-0005-0000-0000-0000A64F0000}"/>
    <cellStyle name="40% - Accent2 11 2 3" xfId="9884" xr:uid="{00000000-0005-0000-0000-0000A74F0000}"/>
    <cellStyle name="40% - Accent2 11 2 4" xfId="16985" xr:uid="{00000000-0005-0000-0000-0000A84F0000}"/>
    <cellStyle name="40% - Accent2 11 2 5" xfId="24087" xr:uid="{00000000-0005-0000-0000-0000A94F0000}"/>
    <cellStyle name="40% - Accent2 11 2 6" xfId="31189" xr:uid="{00000000-0005-0000-0000-0000AA4F0000}"/>
    <cellStyle name="40% - Accent2 11 2 7" xfId="38645" xr:uid="{00000000-0005-0000-0000-0000AB4F0000}"/>
    <cellStyle name="40% - Accent2 11 3" xfId="5623" xr:uid="{00000000-0005-0000-0000-0000AC4F0000}"/>
    <cellStyle name="40% - Accent2 11 3 2" xfId="12724" xr:uid="{00000000-0005-0000-0000-0000AD4F0000}"/>
    <cellStyle name="40% - Accent2 11 3 3" xfId="19825" xr:uid="{00000000-0005-0000-0000-0000AE4F0000}"/>
    <cellStyle name="40% - Accent2 11 3 4" xfId="26927" xr:uid="{00000000-0005-0000-0000-0000AF4F0000}"/>
    <cellStyle name="40% - Accent2 11 3 5" xfId="34029" xr:uid="{00000000-0005-0000-0000-0000B04F0000}"/>
    <cellStyle name="40% - Accent2 11 4" xfId="4198" xr:uid="{00000000-0005-0000-0000-0000B14F0000}"/>
    <cellStyle name="40% - Accent2 11 4 2" xfId="11304" xr:uid="{00000000-0005-0000-0000-0000B24F0000}"/>
    <cellStyle name="40% - Accent2 11 4 3" xfId="18405" xr:uid="{00000000-0005-0000-0000-0000B34F0000}"/>
    <cellStyle name="40% - Accent2 11 4 4" xfId="25507" xr:uid="{00000000-0005-0000-0000-0000B44F0000}"/>
    <cellStyle name="40% - Accent2 11 4 5" xfId="32609" xr:uid="{00000000-0005-0000-0000-0000B54F0000}"/>
    <cellStyle name="40% - Accent2 11 5" xfId="8464" xr:uid="{00000000-0005-0000-0000-0000B64F0000}"/>
    <cellStyle name="40% - Accent2 11 6" xfId="15565" xr:uid="{00000000-0005-0000-0000-0000B74F0000}"/>
    <cellStyle name="40% - Accent2 11 7" xfId="22667" xr:uid="{00000000-0005-0000-0000-0000B84F0000}"/>
    <cellStyle name="40% - Accent2 11 8" xfId="29769" xr:uid="{00000000-0005-0000-0000-0000B94F0000}"/>
    <cellStyle name="40% - Accent2 11 9" xfId="38646" xr:uid="{00000000-0005-0000-0000-0000BA4F0000}"/>
    <cellStyle name="40% - Accent2 12" xfId="1553" xr:uid="{00000000-0005-0000-0000-0000BB4F0000}"/>
    <cellStyle name="40% - Accent2 12 2" xfId="5836" xr:uid="{00000000-0005-0000-0000-0000BC4F0000}"/>
    <cellStyle name="40% - Accent2 12 2 2" xfId="12937" xr:uid="{00000000-0005-0000-0000-0000BD4F0000}"/>
    <cellStyle name="40% - Accent2 12 2 3" xfId="20038" xr:uid="{00000000-0005-0000-0000-0000BE4F0000}"/>
    <cellStyle name="40% - Accent2 12 2 4" xfId="27140" xr:uid="{00000000-0005-0000-0000-0000BF4F0000}"/>
    <cellStyle name="40% - Accent2 12 2 5" xfId="34242" xr:uid="{00000000-0005-0000-0000-0000C04F0000}"/>
    <cellStyle name="40% - Accent2 12 3" xfId="8677" xr:uid="{00000000-0005-0000-0000-0000C14F0000}"/>
    <cellStyle name="40% - Accent2 12 4" xfId="15778" xr:uid="{00000000-0005-0000-0000-0000C24F0000}"/>
    <cellStyle name="40% - Accent2 12 5" xfId="22880" xr:uid="{00000000-0005-0000-0000-0000C34F0000}"/>
    <cellStyle name="40% - Accent2 12 6" xfId="29982" xr:uid="{00000000-0005-0000-0000-0000C44F0000}"/>
    <cellStyle name="40% - Accent2 12 7" xfId="38647" xr:uid="{00000000-0005-0000-0000-0000C54F0000}"/>
    <cellStyle name="40% - Accent2 13" xfId="4416" xr:uid="{00000000-0005-0000-0000-0000C64F0000}"/>
    <cellStyle name="40% - Accent2 13 2" xfId="11517" xr:uid="{00000000-0005-0000-0000-0000C74F0000}"/>
    <cellStyle name="40% - Accent2 13 3" xfId="18618" xr:uid="{00000000-0005-0000-0000-0000C84F0000}"/>
    <cellStyle name="40% - Accent2 13 4" xfId="25720" xr:uid="{00000000-0005-0000-0000-0000C94F0000}"/>
    <cellStyle name="40% - Accent2 13 5" xfId="32822" xr:uid="{00000000-0005-0000-0000-0000CA4F0000}"/>
    <cellStyle name="40% - Accent2 14" xfId="2991" xr:uid="{00000000-0005-0000-0000-0000CB4F0000}"/>
    <cellStyle name="40% - Accent2 14 2" xfId="10097" xr:uid="{00000000-0005-0000-0000-0000CC4F0000}"/>
    <cellStyle name="40% - Accent2 14 3" xfId="17198" xr:uid="{00000000-0005-0000-0000-0000CD4F0000}"/>
    <cellStyle name="40% - Accent2 14 4" xfId="24300" xr:uid="{00000000-0005-0000-0000-0000CE4F0000}"/>
    <cellStyle name="40% - Accent2 14 5" xfId="31402" xr:uid="{00000000-0005-0000-0000-0000CF4F0000}"/>
    <cellStyle name="40% - Accent2 15" xfId="7257" xr:uid="{00000000-0005-0000-0000-0000D04F0000}"/>
    <cellStyle name="40% - Accent2 16" xfId="14358" xr:uid="{00000000-0005-0000-0000-0000D14F0000}"/>
    <cellStyle name="40% - Accent2 17" xfId="21460" xr:uid="{00000000-0005-0000-0000-0000D24F0000}"/>
    <cellStyle name="40% - Accent2 18" xfId="28562" xr:uid="{00000000-0005-0000-0000-0000D34F0000}"/>
    <cellStyle name="40% - Accent2 19" xfId="35664" xr:uid="{00000000-0005-0000-0000-0000D44F0000}"/>
    <cellStyle name="40% - Accent2 2" xfId="76" xr:uid="{00000000-0005-0000-0000-0000D54F0000}"/>
    <cellStyle name="40% - Accent2 2 10" xfId="1577" xr:uid="{00000000-0005-0000-0000-0000D64F0000}"/>
    <cellStyle name="40% - Accent2 2 10 2" xfId="5851" xr:uid="{00000000-0005-0000-0000-0000D74F0000}"/>
    <cellStyle name="40% - Accent2 2 10 2 2" xfId="12951" xr:uid="{00000000-0005-0000-0000-0000D84F0000}"/>
    <cellStyle name="40% - Accent2 2 10 2 3" xfId="20052" xr:uid="{00000000-0005-0000-0000-0000D94F0000}"/>
    <cellStyle name="40% - Accent2 2 10 2 4" xfId="27154" xr:uid="{00000000-0005-0000-0000-0000DA4F0000}"/>
    <cellStyle name="40% - Accent2 2 10 2 5" xfId="34256" xr:uid="{00000000-0005-0000-0000-0000DB4F0000}"/>
    <cellStyle name="40% - Accent2 2 10 2 6" xfId="38648" xr:uid="{00000000-0005-0000-0000-0000DC4F0000}"/>
    <cellStyle name="40% - Accent2 2 10 3" xfId="8691" xr:uid="{00000000-0005-0000-0000-0000DD4F0000}"/>
    <cellStyle name="40% - Accent2 2 10 4" xfId="15792" xr:uid="{00000000-0005-0000-0000-0000DE4F0000}"/>
    <cellStyle name="40% - Accent2 2 10 5" xfId="22894" xr:uid="{00000000-0005-0000-0000-0000DF4F0000}"/>
    <cellStyle name="40% - Accent2 2 10 6" xfId="29996" xr:uid="{00000000-0005-0000-0000-0000E04F0000}"/>
    <cellStyle name="40% - Accent2 2 10 7" xfId="38649" xr:uid="{00000000-0005-0000-0000-0000E14F0000}"/>
    <cellStyle name="40% - Accent2 2 11" xfId="4430" xr:uid="{00000000-0005-0000-0000-0000E24F0000}"/>
    <cellStyle name="40% - Accent2 2 11 2" xfId="11531" xr:uid="{00000000-0005-0000-0000-0000E34F0000}"/>
    <cellStyle name="40% - Accent2 2 11 3" xfId="18632" xr:uid="{00000000-0005-0000-0000-0000E44F0000}"/>
    <cellStyle name="40% - Accent2 2 11 4" xfId="25734" xr:uid="{00000000-0005-0000-0000-0000E54F0000}"/>
    <cellStyle name="40% - Accent2 2 11 5" xfId="32836" xr:uid="{00000000-0005-0000-0000-0000E64F0000}"/>
    <cellStyle name="40% - Accent2 2 11 6" xfId="38650" xr:uid="{00000000-0005-0000-0000-0000E74F0000}"/>
    <cellStyle name="40% - Accent2 2 12" xfId="3005" xr:uid="{00000000-0005-0000-0000-0000E84F0000}"/>
    <cellStyle name="40% - Accent2 2 12 2" xfId="10111" xr:uid="{00000000-0005-0000-0000-0000E94F0000}"/>
    <cellStyle name="40% - Accent2 2 12 3" xfId="17212" xr:uid="{00000000-0005-0000-0000-0000EA4F0000}"/>
    <cellStyle name="40% - Accent2 2 12 4" xfId="24314" xr:uid="{00000000-0005-0000-0000-0000EB4F0000}"/>
    <cellStyle name="40% - Accent2 2 12 5" xfId="31416" xr:uid="{00000000-0005-0000-0000-0000EC4F0000}"/>
    <cellStyle name="40% - Accent2 2 13" xfId="7271" xr:uid="{00000000-0005-0000-0000-0000ED4F0000}"/>
    <cellStyle name="40% - Accent2 2 14" xfId="14372" xr:uid="{00000000-0005-0000-0000-0000EE4F0000}"/>
    <cellStyle name="40% - Accent2 2 15" xfId="21474" xr:uid="{00000000-0005-0000-0000-0000EF4F0000}"/>
    <cellStyle name="40% - Accent2 2 16" xfId="28576" xr:uid="{00000000-0005-0000-0000-0000F04F0000}"/>
    <cellStyle name="40% - Accent2 2 17" xfId="35678" xr:uid="{00000000-0005-0000-0000-0000F14F0000}"/>
    <cellStyle name="40% - Accent2 2 18" xfId="38651" xr:uid="{00000000-0005-0000-0000-0000F24F0000}"/>
    <cellStyle name="40% - Accent2 2 19" xfId="38652" xr:uid="{00000000-0005-0000-0000-0000F34F0000}"/>
    <cellStyle name="40% - Accent2 2 2" xfId="121" xr:uid="{00000000-0005-0000-0000-0000F44F0000}"/>
    <cellStyle name="40% - Accent2 2 2 10" xfId="4461" xr:uid="{00000000-0005-0000-0000-0000F54F0000}"/>
    <cellStyle name="40% - Accent2 2 2 10 2" xfId="11562" xr:uid="{00000000-0005-0000-0000-0000F64F0000}"/>
    <cellStyle name="40% - Accent2 2 2 10 3" xfId="18663" xr:uid="{00000000-0005-0000-0000-0000F74F0000}"/>
    <cellStyle name="40% - Accent2 2 2 10 4" xfId="25765" xr:uid="{00000000-0005-0000-0000-0000F84F0000}"/>
    <cellStyle name="40% - Accent2 2 2 10 5" xfId="32867" xr:uid="{00000000-0005-0000-0000-0000F94F0000}"/>
    <cellStyle name="40% - Accent2 2 2 11" xfId="3036" xr:uid="{00000000-0005-0000-0000-0000FA4F0000}"/>
    <cellStyle name="40% - Accent2 2 2 11 2" xfId="10142" xr:uid="{00000000-0005-0000-0000-0000FB4F0000}"/>
    <cellStyle name="40% - Accent2 2 2 11 3" xfId="17243" xr:uid="{00000000-0005-0000-0000-0000FC4F0000}"/>
    <cellStyle name="40% - Accent2 2 2 11 4" xfId="24345" xr:uid="{00000000-0005-0000-0000-0000FD4F0000}"/>
    <cellStyle name="40% - Accent2 2 2 11 5" xfId="31447" xr:uid="{00000000-0005-0000-0000-0000FE4F0000}"/>
    <cellStyle name="40% - Accent2 2 2 12" xfId="7302" xr:uid="{00000000-0005-0000-0000-0000FF4F0000}"/>
    <cellStyle name="40% - Accent2 2 2 13" xfId="14403" xr:uid="{00000000-0005-0000-0000-000000500000}"/>
    <cellStyle name="40% - Accent2 2 2 14" xfId="21505" xr:uid="{00000000-0005-0000-0000-000001500000}"/>
    <cellStyle name="40% - Accent2 2 2 15" xfId="28607" xr:uid="{00000000-0005-0000-0000-000002500000}"/>
    <cellStyle name="40% - Accent2 2 2 16" xfId="35709" xr:uid="{00000000-0005-0000-0000-000003500000}"/>
    <cellStyle name="40% - Accent2 2 2 17" xfId="38653" xr:uid="{00000000-0005-0000-0000-000004500000}"/>
    <cellStyle name="40% - Accent2 2 2 18" xfId="38654" xr:uid="{00000000-0005-0000-0000-000005500000}"/>
    <cellStyle name="40% - Accent2 2 2 2" xfId="265" xr:uid="{00000000-0005-0000-0000-000006500000}"/>
    <cellStyle name="40% - Accent2 2 2 2 10" xfId="7444" xr:uid="{00000000-0005-0000-0000-000007500000}"/>
    <cellStyle name="40% - Accent2 2 2 2 11" xfId="14545" xr:uid="{00000000-0005-0000-0000-000008500000}"/>
    <cellStyle name="40% - Accent2 2 2 2 12" xfId="21647" xr:uid="{00000000-0005-0000-0000-000009500000}"/>
    <cellStyle name="40% - Accent2 2 2 2 13" xfId="28749" xr:uid="{00000000-0005-0000-0000-00000A500000}"/>
    <cellStyle name="40% - Accent2 2 2 2 14" xfId="35851" xr:uid="{00000000-0005-0000-0000-00000B500000}"/>
    <cellStyle name="40% - Accent2 2 2 2 15" xfId="38655" xr:uid="{00000000-0005-0000-0000-00000C500000}"/>
    <cellStyle name="40% - Accent2 2 2 2 2" xfId="478" xr:uid="{00000000-0005-0000-0000-00000D500000}"/>
    <cellStyle name="40% - Accent2 2 2 2 2 10" xfId="38656" xr:uid="{00000000-0005-0000-0000-00000E500000}"/>
    <cellStyle name="40% - Accent2 2 2 2 2 2" xfId="1259" xr:uid="{00000000-0005-0000-0000-00000F500000}"/>
    <cellStyle name="40% - Accent2 2 2 2 2 2 2" xfId="2750" xr:uid="{00000000-0005-0000-0000-000010500000}"/>
    <cellStyle name="40% - Accent2 2 2 2 2 2 2 2" xfId="7018" xr:uid="{00000000-0005-0000-0000-000011500000}"/>
    <cellStyle name="40% - Accent2 2 2 2 2 2 2 2 2" xfId="14118" xr:uid="{00000000-0005-0000-0000-000012500000}"/>
    <cellStyle name="40% - Accent2 2 2 2 2 2 2 2 3" xfId="21219" xr:uid="{00000000-0005-0000-0000-000013500000}"/>
    <cellStyle name="40% - Accent2 2 2 2 2 2 2 2 4" xfId="28321" xr:uid="{00000000-0005-0000-0000-000014500000}"/>
    <cellStyle name="40% - Accent2 2 2 2 2 2 2 2 5" xfId="35423" xr:uid="{00000000-0005-0000-0000-000015500000}"/>
    <cellStyle name="40% - Accent2 2 2 2 2 2 2 3" xfId="9858" xr:uid="{00000000-0005-0000-0000-000016500000}"/>
    <cellStyle name="40% - Accent2 2 2 2 2 2 2 4" xfId="16959" xr:uid="{00000000-0005-0000-0000-000017500000}"/>
    <cellStyle name="40% - Accent2 2 2 2 2 2 2 5" xfId="24061" xr:uid="{00000000-0005-0000-0000-000018500000}"/>
    <cellStyle name="40% - Accent2 2 2 2 2 2 2 6" xfId="31163" xr:uid="{00000000-0005-0000-0000-000019500000}"/>
    <cellStyle name="40% - Accent2 2 2 2 2 2 2 7" xfId="38657" xr:uid="{00000000-0005-0000-0000-00001A500000}"/>
    <cellStyle name="40% - Accent2 2 2 2 2 2 3" xfId="5597" xr:uid="{00000000-0005-0000-0000-00001B500000}"/>
    <cellStyle name="40% - Accent2 2 2 2 2 2 3 2" xfId="12698" xr:uid="{00000000-0005-0000-0000-00001C500000}"/>
    <cellStyle name="40% - Accent2 2 2 2 2 2 3 3" xfId="19799" xr:uid="{00000000-0005-0000-0000-00001D500000}"/>
    <cellStyle name="40% - Accent2 2 2 2 2 2 3 4" xfId="26901" xr:uid="{00000000-0005-0000-0000-00001E500000}"/>
    <cellStyle name="40% - Accent2 2 2 2 2 2 3 5" xfId="34003" xr:uid="{00000000-0005-0000-0000-00001F500000}"/>
    <cellStyle name="40% - Accent2 2 2 2 2 2 4" xfId="4172" xr:uid="{00000000-0005-0000-0000-000020500000}"/>
    <cellStyle name="40% - Accent2 2 2 2 2 2 4 2" xfId="11278" xr:uid="{00000000-0005-0000-0000-000021500000}"/>
    <cellStyle name="40% - Accent2 2 2 2 2 2 4 3" xfId="18379" xr:uid="{00000000-0005-0000-0000-000022500000}"/>
    <cellStyle name="40% - Accent2 2 2 2 2 2 4 4" xfId="25481" xr:uid="{00000000-0005-0000-0000-000023500000}"/>
    <cellStyle name="40% - Accent2 2 2 2 2 2 4 5" xfId="32583" xr:uid="{00000000-0005-0000-0000-000024500000}"/>
    <cellStyle name="40% - Accent2 2 2 2 2 2 5" xfId="8438" xr:uid="{00000000-0005-0000-0000-000025500000}"/>
    <cellStyle name="40% - Accent2 2 2 2 2 2 6" xfId="15539" xr:uid="{00000000-0005-0000-0000-000026500000}"/>
    <cellStyle name="40% - Accent2 2 2 2 2 2 7" xfId="22641" xr:uid="{00000000-0005-0000-0000-000027500000}"/>
    <cellStyle name="40% - Accent2 2 2 2 2 2 8" xfId="29743" xr:uid="{00000000-0005-0000-0000-000028500000}"/>
    <cellStyle name="40% - Accent2 2 2 2 2 2 9" xfId="38658" xr:uid="{00000000-0005-0000-0000-000029500000}"/>
    <cellStyle name="40% - Accent2 2 2 2 2 3" xfId="1969" xr:uid="{00000000-0005-0000-0000-00002A500000}"/>
    <cellStyle name="40% - Accent2 2 2 2 2 3 2" xfId="6237" xr:uid="{00000000-0005-0000-0000-00002B500000}"/>
    <cellStyle name="40% - Accent2 2 2 2 2 3 2 2" xfId="13337" xr:uid="{00000000-0005-0000-0000-00002C500000}"/>
    <cellStyle name="40% - Accent2 2 2 2 2 3 2 3" xfId="20438" xr:uid="{00000000-0005-0000-0000-00002D500000}"/>
    <cellStyle name="40% - Accent2 2 2 2 2 3 2 4" xfId="27540" xr:uid="{00000000-0005-0000-0000-00002E500000}"/>
    <cellStyle name="40% - Accent2 2 2 2 2 3 2 5" xfId="34642" xr:uid="{00000000-0005-0000-0000-00002F500000}"/>
    <cellStyle name="40% - Accent2 2 2 2 2 3 2 6" xfId="38659" xr:uid="{00000000-0005-0000-0000-000030500000}"/>
    <cellStyle name="40% - Accent2 2 2 2 2 3 3" xfId="9077" xr:uid="{00000000-0005-0000-0000-000031500000}"/>
    <cellStyle name="40% - Accent2 2 2 2 2 3 4" xfId="16178" xr:uid="{00000000-0005-0000-0000-000032500000}"/>
    <cellStyle name="40% - Accent2 2 2 2 2 3 5" xfId="23280" xr:uid="{00000000-0005-0000-0000-000033500000}"/>
    <cellStyle name="40% - Accent2 2 2 2 2 3 6" xfId="30382" xr:uid="{00000000-0005-0000-0000-000034500000}"/>
    <cellStyle name="40% - Accent2 2 2 2 2 3 7" xfId="38660" xr:uid="{00000000-0005-0000-0000-000035500000}"/>
    <cellStyle name="40% - Accent2 2 2 2 2 4" xfId="4816" xr:uid="{00000000-0005-0000-0000-000036500000}"/>
    <cellStyle name="40% - Accent2 2 2 2 2 4 2" xfId="11917" xr:uid="{00000000-0005-0000-0000-000037500000}"/>
    <cellStyle name="40% - Accent2 2 2 2 2 4 3" xfId="19018" xr:uid="{00000000-0005-0000-0000-000038500000}"/>
    <cellStyle name="40% - Accent2 2 2 2 2 4 4" xfId="26120" xr:uid="{00000000-0005-0000-0000-000039500000}"/>
    <cellStyle name="40% - Accent2 2 2 2 2 4 5" xfId="33222" xr:uid="{00000000-0005-0000-0000-00003A500000}"/>
    <cellStyle name="40% - Accent2 2 2 2 2 4 6" xfId="38661" xr:uid="{00000000-0005-0000-0000-00003B500000}"/>
    <cellStyle name="40% - Accent2 2 2 2 2 5" xfId="3391" xr:uid="{00000000-0005-0000-0000-00003C500000}"/>
    <cellStyle name="40% - Accent2 2 2 2 2 5 2" xfId="10497" xr:uid="{00000000-0005-0000-0000-00003D500000}"/>
    <cellStyle name="40% - Accent2 2 2 2 2 5 3" xfId="17598" xr:uid="{00000000-0005-0000-0000-00003E500000}"/>
    <cellStyle name="40% - Accent2 2 2 2 2 5 4" xfId="24700" xr:uid="{00000000-0005-0000-0000-00003F500000}"/>
    <cellStyle name="40% - Accent2 2 2 2 2 5 5" xfId="31802" xr:uid="{00000000-0005-0000-0000-000040500000}"/>
    <cellStyle name="40% - Accent2 2 2 2 2 6" xfId="7657" xr:uid="{00000000-0005-0000-0000-000041500000}"/>
    <cellStyle name="40% - Accent2 2 2 2 2 7" xfId="14758" xr:uid="{00000000-0005-0000-0000-000042500000}"/>
    <cellStyle name="40% - Accent2 2 2 2 2 8" xfId="21860" xr:uid="{00000000-0005-0000-0000-000043500000}"/>
    <cellStyle name="40% - Accent2 2 2 2 2 9" xfId="28962" xr:uid="{00000000-0005-0000-0000-000044500000}"/>
    <cellStyle name="40% - Accent2 2 2 2 3" xfId="691" xr:uid="{00000000-0005-0000-0000-000045500000}"/>
    <cellStyle name="40% - Accent2 2 2 2 3 2" xfId="2182" xr:uid="{00000000-0005-0000-0000-000046500000}"/>
    <cellStyle name="40% - Accent2 2 2 2 3 2 2" xfId="6450" xr:uid="{00000000-0005-0000-0000-000047500000}"/>
    <cellStyle name="40% - Accent2 2 2 2 3 2 2 2" xfId="13550" xr:uid="{00000000-0005-0000-0000-000048500000}"/>
    <cellStyle name="40% - Accent2 2 2 2 3 2 2 3" xfId="20651" xr:uid="{00000000-0005-0000-0000-000049500000}"/>
    <cellStyle name="40% - Accent2 2 2 2 3 2 2 4" xfId="27753" xr:uid="{00000000-0005-0000-0000-00004A500000}"/>
    <cellStyle name="40% - Accent2 2 2 2 3 2 2 5" xfId="34855" xr:uid="{00000000-0005-0000-0000-00004B500000}"/>
    <cellStyle name="40% - Accent2 2 2 2 3 2 2 6" xfId="38662" xr:uid="{00000000-0005-0000-0000-00004C500000}"/>
    <cellStyle name="40% - Accent2 2 2 2 3 2 3" xfId="9290" xr:uid="{00000000-0005-0000-0000-00004D500000}"/>
    <cellStyle name="40% - Accent2 2 2 2 3 2 4" xfId="16391" xr:uid="{00000000-0005-0000-0000-00004E500000}"/>
    <cellStyle name="40% - Accent2 2 2 2 3 2 5" xfId="23493" xr:uid="{00000000-0005-0000-0000-00004F500000}"/>
    <cellStyle name="40% - Accent2 2 2 2 3 2 6" xfId="30595" xr:uid="{00000000-0005-0000-0000-000050500000}"/>
    <cellStyle name="40% - Accent2 2 2 2 3 2 7" xfId="38663" xr:uid="{00000000-0005-0000-0000-000051500000}"/>
    <cellStyle name="40% - Accent2 2 2 2 3 3" xfId="5029" xr:uid="{00000000-0005-0000-0000-000052500000}"/>
    <cellStyle name="40% - Accent2 2 2 2 3 3 2" xfId="12130" xr:uid="{00000000-0005-0000-0000-000053500000}"/>
    <cellStyle name="40% - Accent2 2 2 2 3 3 2 2" xfId="38664" xr:uid="{00000000-0005-0000-0000-000054500000}"/>
    <cellStyle name="40% - Accent2 2 2 2 3 3 3" xfId="19231" xr:uid="{00000000-0005-0000-0000-000055500000}"/>
    <cellStyle name="40% - Accent2 2 2 2 3 3 4" xfId="26333" xr:uid="{00000000-0005-0000-0000-000056500000}"/>
    <cellStyle name="40% - Accent2 2 2 2 3 3 5" xfId="33435" xr:uid="{00000000-0005-0000-0000-000057500000}"/>
    <cellStyle name="40% - Accent2 2 2 2 3 3 6" xfId="38665" xr:uid="{00000000-0005-0000-0000-000058500000}"/>
    <cellStyle name="40% - Accent2 2 2 2 3 4" xfId="3604" xr:uid="{00000000-0005-0000-0000-000059500000}"/>
    <cellStyle name="40% - Accent2 2 2 2 3 4 2" xfId="10710" xr:uid="{00000000-0005-0000-0000-00005A500000}"/>
    <cellStyle name="40% - Accent2 2 2 2 3 4 3" xfId="17811" xr:uid="{00000000-0005-0000-0000-00005B500000}"/>
    <cellStyle name="40% - Accent2 2 2 2 3 4 4" xfId="24913" xr:uid="{00000000-0005-0000-0000-00005C500000}"/>
    <cellStyle name="40% - Accent2 2 2 2 3 4 5" xfId="32015" xr:uid="{00000000-0005-0000-0000-00005D500000}"/>
    <cellStyle name="40% - Accent2 2 2 2 3 4 6" xfId="38666" xr:uid="{00000000-0005-0000-0000-00005E500000}"/>
    <cellStyle name="40% - Accent2 2 2 2 3 5" xfId="7870" xr:uid="{00000000-0005-0000-0000-00005F500000}"/>
    <cellStyle name="40% - Accent2 2 2 2 3 6" xfId="14971" xr:uid="{00000000-0005-0000-0000-000060500000}"/>
    <cellStyle name="40% - Accent2 2 2 2 3 7" xfId="22073" xr:uid="{00000000-0005-0000-0000-000061500000}"/>
    <cellStyle name="40% - Accent2 2 2 2 3 8" xfId="29175" xr:uid="{00000000-0005-0000-0000-000062500000}"/>
    <cellStyle name="40% - Accent2 2 2 2 3 9" xfId="38667" xr:uid="{00000000-0005-0000-0000-000063500000}"/>
    <cellStyle name="40% - Accent2 2 2 2 4" xfId="904" xr:uid="{00000000-0005-0000-0000-000064500000}"/>
    <cellStyle name="40% - Accent2 2 2 2 4 2" xfId="2395" xr:uid="{00000000-0005-0000-0000-000065500000}"/>
    <cellStyle name="40% - Accent2 2 2 2 4 2 2" xfId="6663" xr:uid="{00000000-0005-0000-0000-000066500000}"/>
    <cellStyle name="40% - Accent2 2 2 2 4 2 2 2" xfId="13763" xr:uid="{00000000-0005-0000-0000-000067500000}"/>
    <cellStyle name="40% - Accent2 2 2 2 4 2 2 3" xfId="20864" xr:uid="{00000000-0005-0000-0000-000068500000}"/>
    <cellStyle name="40% - Accent2 2 2 2 4 2 2 4" xfId="27966" xr:uid="{00000000-0005-0000-0000-000069500000}"/>
    <cellStyle name="40% - Accent2 2 2 2 4 2 2 5" xfId="35068" xr:uid="{00000000-0005-0000-0000-00006A500000}"/>
    <cellStyle name="40% - Accent2 2 2 2 4 2 2 6" xfId="38668" xr:uid="{00000000-0005-0000-0000-00006B500000}"/>
    <cellStyle name="40% - Accent2 2 2 2 4 2 3" xfId="9503" xr:uid="{00000000-0005-0000-0000-00006C500000}"/>
    <cellStyle name="40% - Accent2 2 2 2 4 2 4" xfId="16604" xr:uid="{00000000-0005-0000-0000-00006D500000}"/>
    <cellStyle name="40% - Accent2 2 2 2 4 2 5" xfId="23706" xr:uid="{00000000-0005-0000-0000-00006E500000}"/>
    <cellStyle name="40% - Accent2 2 2 2 4 2 6" xfId="30808" xr:uid="{00000000-0005-0000-0000-00006F500000}"/>
    <cellStyle name="40% - Accent2 2 2 2 4 2 7" xfId="38669" xr:uid="{00000000-0005-0000-0000-000070500000}"/>
    <cellStyle name="40% - Accent2 2 2 2 4 3" xfId="5242" xr:uid="{00000000-0005-0000-0000-000071500000}"/>
    <cellStyle name="40% - Accent2 2 2 2 4 3 2" xfId="12343" xr:uid="{00000000-0005-0000-0000-000072500000}"/>
    <cellStyle name="40% - Accent2 2 2 2 4 3 2 2" xfId="38670" xr:uid="{00000000-0005-0000-0000-000073500000}"/>
    <cellStyle name="40% - Accent2 2 2 2 4 3 3" xfId="19444" xr:uid="{00000000-0005-0000-0000-000074500000}"/>
    <cellStyle name="40% - Accent2 2 2 2 4 3 4" xfId="26546" xr:uid="{00000000-0005-0000-0000-000075500000}"/>
    <cellStyle name="40% - Accent2 2 2 2 4 3 5" xfId="33648" xr:uid="{00000000-0005-0000-0000-000076500000}"/>
    <cellStyle name="40% - Accent2 2 2 2 4 3 6" xfId="38671" xr:uid="{00000000-0005-0000-0000-000077500000}"/>
    <cellStyle name="40% - Accent2 2 2 2 4 4" xfId="3817" xr:uid="{00000000-0005-0000-0000-000078500000}"/>
    <cellStyle name="40% - Accent2 2 2 2 4 4 2" xfId="10923" xr:uid="{00000000-0005-0000-0000-000079500000}"/>
    <cellStyle name="40% - Accent2 2 2 2 4 4 3" xfId="18024" xr:uid="{00000000-0005-0000-0000-00007A500000}"/>
    <cellStyle name="40% - Accent2 2 2 2 4 4 4" xfId="25126" xr:uid="{00000000-0005-0000-0000-00007B500000}"/>
    <cellStyle name="40% - Accent2 2 2 2 4 4 5" xfId="32228" xr:uid="{00000000-0005-0000-0000-00007C500000}"/>
    <cellStyle name="40% - Accent2 2 2 2 4 4 6" xfId="38672" xr:uid="{00000000-0005-0000-0000-00007D500000}"/>
    <cellStyle name="40% - Accent2 2 2 2 4 5" xfId="8083" xr:uid="{00000000-0005-0000-0000-00007E500000}"/>
    <cellStyle name="40% - Accent2 2 2 2 4 6" xfId="15184" xr:uid="{00000000-0005-0000-0000-00007F500000}"/>
    <cellStyle name="40% - Accent2 2 2 2 4 7" xfId="22286" xr:uid="{00000000-0005-0000-0000-000080500000}"/>
    <cellStyle name="40% - Accent2 2 2 2 4 8" xfId="29388" xr:uid="{00000000-0005-0000-0000-000081500000}"/>
    <cellStyle name="40% - Accent2 2 2 2 4 9" xfId="38673" xr:uid="{00000000-0005-0000-0000-000082500000}"/>
    <cellStyle name="40% - Accent2 2 2 2 5" xfId="1046" xr:uid="{00000000-0005-0000-0000-000083500000}"/>
    <cellStyle name="40% - Accent2 2 2 2 5 2" xfId="2537" xr:uid="{00000000-0005-0000-0000-000084500000}"/>
    <cellStyle name="40% - Accent2 2 2 2 5 2 2" xfId="6805" xr:uid="{00000000-0005-0000-0000-000085500000}"/>
    <cellStyle name="40% - Accent2 2 2 2 5 2 2 2" xfId="13905" xr:uid="{00000000-0005-0000-0000-000086500000}"/>
    <cellStyle name="40% - Accent2 2 2 2 5 2 2 3" xfId="21006" xr:uid="{00000000-0005-0000-0000-000087500000}"/>
    <cellStyle name="40% - Accent2 2 2 2 5 2 2 4" xfId="28108" xr:uid="{00000000-0005-0000-0000-000088500000}"/>
    <cellStyle name="40% - Accent2 2 2 2 5 2 2 5" xfId="35210" xr:uid="{00000000-0005-0000-0000-000089500000}"/>
    <cellStyle name="40% - Accent2 2 2 2 5 2 3" xfId="9645" xr:uid="{00000000-0005-0000-0000-00008A500000}"/>
    <cellStyle name="40% - Accent2 2 2 2 5 2 4" xfId="16746" xr:uid="{00000000-0005-0000-0000-00008B500000}"/>
    <cellStyle name="40% - Accent2 2 2 2 5 2 5" xfId="23848" xr:uid="{00000000-0005-0000-0000-00008C500000}"/>
    <cellStyle name="40% - Accent2 2 2 2 5 2 6" xfId="30950" xr:uid="{00000000-0005-0000-0000-00008D500000}"/>
    <cellStyle name="40% - Accent2 2 2 2 5 2 7" xfId="38674" xr:uid="{00000000-0005-0000-0000-00008E500000}"/>
    <cellStyle name="40% - Accent2 2 2 2 5 3" xfId="5384" xr:uid="{00000000-0005-0000-0000-00008F500000}"/>
    <cellStyle name="40% - Accent2 2 2 2 5 3 2" xfId="12485" xr:uid="{00000000-0005-0000-0000-000090500000}"/>
    <cellStyle name="40% - Accent2 2 2 2 5 3 3" xfId="19586" xr:uid="{00000000-0005-0000-0000-000091500000}"/>
    <cellStyle name="40% - Accent2 2 2 2 5 3 4" xfId="26688" xr:uid="{00000000-0005-0000-0000-000092500000}"/>
    <cellStyle name="40% - Accent2 2 2 2 5 3 5" xfId="33790" xr:uid="{00000000-0005-0000-0000-000093500000}"/>
    <cellStyle name="40% - Accent2 2 2 2 5 4" xfId="3959" xr:uid="{00000000-0005-0000-0000-000094500000}"/>
    <cellStyle name="40% - Accent2 2 2 2 5 4 2" xfId="11065" xr:uid="{00000000-0005-0000-0000-000095500000}"/>
    <cellStyle name="40% - Accent2 2 2 2 5 4 3" xfId="18166" xr:uid="{00000000-0005-0000-0000-000096500000}"/>
    <cellStyle name="40% - Accent2 2 2 2 5 4 4" xfId="25268" xr:uid="{00000000-0005-0000-0000-000097500000}"/>
    <cellStyle name="40% - Accent2 2 2 2 5 4 5" xfId="32370" xr:uid="{00000000-0005-0000-0000-000098500000}"/>
    <cellStyle name="40% - Accent2 2 2 2 5 5" xfId="8225" xr:uid="{00000000-0005-0000-0000-000099500000}"/>
    <cellStyle name="40% - Accent2 2 2 2 5 6" xfId="15326" xr:uid="{00000000-0005-0000-0000-00009A500000}"/>
    <cellStyle name="40% - Accent2 2 2 2 5 7" xfId="22428" xr:uid="{00000000-0005-0000-0000-00009B500000}"/>
    <cellStyle name="40% - Accent2 2 2 2 5 8" xfId="29530" xr:uid="{00000000-0005-0000-0000-00009C500000}"/>
    <cellStyle name="40% - Accent2 2 2 2 5 9" xfId="38675" xr:uid="{00000000-0005-0000-0000-00009D500000}"/>
    <cellStyle name="40% - Accent2 2 2 2 6" xfId="1472" xr:uid="{00000000-0005-0000-0000-00009E500000}"/>
    <cellStyle name="40% - Accent2 2 2 2 6 2" xfId="2963" xr:uid="{00000000-0005-0000-0000-00009F500000}"/>
    <cellStyle name="40% - Accent2 2 2 2 6 2 2" xfId="7231" xr:uid="{00000000-0005-0000-0000-0000A0500000}"/>
    <cellStyle name="40% - Accent2 2 2 2 6 2 2 2" xfId="14331" xr:uid="{00000000-0005-0000-0000-0000A1500000}"/>
    <cellStyle name="40% - Accent2 2 2 2 6 2 2 3" xfId="21432" xr:uid="{00000000-0005-0000-0000-0000A2500000}"/>
    <cellStyle name="40% - Accent2 2 2 2 6 2 2 4" xfId="28534" xr:uid="{00000000-0005-0000-0000-0000A3500000}"/>
    <cellStyle name="40% - Accent2 2 2 2 6 2 2 5" xfId="35636" xr:uid="{00000000-0005-0000-0000-0000A4500000}"/>
    <cellStyle name="40% - Accent2 2 2 2 6 2 3" xfId="10071" xr:uid="{00000000-0005-0000-0000-0000A5500000}"/>
    <cellStyle name="40% - Accent2 2 2 2 6 2 4" xfId="17172" xr:uid="{00000000-0005-0000-0000-0000A6500000}"/>
    <cellStyle name="40% - Accent2 2 2 2 6 2 5" xfId="24274" xr:uid="{00000000-0005-0000-0000-0000A7500000}"/>
    <cellStyle name="40% - Accent2 2 2 2 6 2 6" xfId="31376" xr:uid="{00000000-0005-0000-0000-0000A8500000}"/>
    <cellStyle name="40% - Accent2 2 2 2 6 2 7" xfId="38676" xr:uid="{00000000-0005-0000-0000-0000A9500000}"/>
    <cellStyle name="40% - Accent2 2 2 2 6 3" xfId="5810" xr:uid="{00000000-0005-0000-0000-0000AA500000}"/>
    <cellStyle name="40% - Accent2 2 2 2 6 3 2" xfId="12911" xr:uid="{00000000-0005-0000-0000-0000AB500000}"/>
    <cellStyle name="40% - Accent2 2 2 2 6 3 3" xfId="20012" xr:uid="{00000000-0005-0000-0000-0000AC500000}"/>
    <cellStyle name="40% - Accent2 2 2 2 6 3 4" xfId="27114" xr:uid="{00000000-0005-0000-0000-0000AD500000}"/>
    <cellStyle name="40% - Accent2 2 2 2 6 3 5" xfId="34216" xr:uid="{00000000-0005-0000-0000-0000AE500000}"/>
    <cellStyle name="40% - Accent2 2 2 2 6 4" xfId="4385" xr:uid="{00000000-0005-0000-0000-0000AF500000}"/>
    <cellStyle name="40% - Accent2 2 2 2 6 4 2" xfId="11491" xr:uid="{00000000-0005-0000-0000-0000B0500000}"/>
    <cellStyle name="40% - Accent2 2 2 2 6 4 3" xfId="18592" xr:uid="{00000000-0005-0000-0000-0000B1500000}"/>
    <cellStyle name="40% - Accent2 2 2 2 6 4 4" xfId="25694" xr:uid="{00000000-0005-0000-0000-0000B2500000}"/>
    <cellStyle name="40% - Accent2 2 2 2 6 4 5" xfId="32796" xr:uid="{00000000-0005-0000-0000-0000B3500000}"/>
    <cellStyle name="40% - Accent2 2 2 2 6 5" xfId="8651" xr:uid="{00000000-0005-0000-0000-0000B4500000}"/>
    <cellStyle name="40% - Accent2 2 2 2 6 6" xfId="15752" xr:uid="{00000000-0005-0000-0000-0000B5500000}"/>
    <cellStyle name="40% - Accent2 2 2 2 6 7" xfId="22854" xr:uid="{00000000-0005-0000-0000-0000B6500000}"/>
    <cellStyle name="40% - Accent2 2 2 2 6 8" xfId="29956" xr:uid="{00000000-0005-0000-0000-0000B7500000}"/>
    <cellStyle name="40% - Accent2 2 2 2 6 9" xfId="38677" xr:uid="{00000000-0005-0000-0000-0000B8500000}"/>
    <cellStyle name="40% - Accent2 2 2 2 7" xfId="1756" xr:uid="{00000000-0005-0000-0000-0000B9500000}"/>
    <cellStyle name="40% - Accent2 2 2 2 7 2" xfId="6024" xr:uid="{00000000-0005-0000-0000-0000BA500000}"/>
    <cellStyle name="40% - Accent2 2 2 2 7 2 2" xfId="13124" xr:uid="{00000000-0005-0000-0000-0000BB500000}"/>
    <cellStyle name="40% - Accent2 2 2 2 7 2 3" xfId="20225" xr:uid="{00000000-0005-0000-0000-0000BC500000}"/>
    <cellStyle name="40% - Accent2 2 2 2 7 2 4" xfId="27327" xr:uid="{00000000-0005-0000-0000-0000BD500000}"/>
    <cellStyle name="40% - Accent2 2 2 2 7 2 5" xfId="34429" xr:uid="{00000000-0005-0000-0000-0000BE500000}"/>
    <cellStyle name="40% - Accent2 2 2 2 7 3" xfId="8864" xr:uid="{00000000-0005-0000-0000-0000BF500000}"/>
    <cellStyle name="40% - Accent2 2 2 2 7 4" xfId="15965" xr:uid="{00000000-0005-0000-0000-0000C0500000}"/>
    <cellStyle name="40% - Accent2 2 2 2 7 5" xfId="23067" xr:uid="{00000000-0005-0000-0000-0000C1500000}"/>
    <cellStyle name="40% - Accent2 2 2 2 7 6" xfId="30169" xr:uid="{00000000-0005-0000-0000-0000C2500000}"/>
    <cellStyle name="40% - Accent2 2 2 2 7 7" xfId="38678" xr:uid="{00000000-0005-0000-0000-0000C3500000}"/>
    <cellStyle name="40% - Accent2 2 2 2 8" xfId="4603" xr:uid="{00000000-0005-0000-0000-0000C4500000}"/>
    <cellStyle name="40% - Accent2 2 2 2 8 2" xfId="11704" xr:uid="{00000000-0005-0000-0000-0000C5500000}"/>
    <cellStyle name="40% - Accent2 2 2 2 8 3" xfId="18805" xr:uid="{00000000-0005-0000-0000-0000C6500000}"/>
    <cellStyle name="40% - Accent2 2 2 2 8 4" xfId="25907" xr:uid="{00000000-0005-0000-0000-0000C7500000}"/>
    <cellStyle name="40% - Accent2 2 2 2 8 5" xfId="33009" xr:uid="{00000000-0005-0000-0000-0000C8500000}"/>
    <cellStyle name="40% - Accent2 2 2 2 9" xfId="3178" xr:uid="{00000000-0005-0000-0000-0000C9500000}"/>
    <cellStyle name="40% - Accent2 2 2 2 9 2" xfId="10284" xr:uid="{00000000-0005-0000-0000-0000CA500000}"/>
    <cellStyle name="40% - Accent2 2 2 2 9 3" xfId="17385" xr:uid="{00000000-0005-0000-0000-0000CB500000}"/>
    <cellStyle name="40% - Accent2 2 2 2 9 4" xfId="24487" xr:uid="{00000000-0005-0000-0000-0000CC500000}"/>
    <cellStyle name="40% - Accent2 2 2 2 9 5" xfId="31589" xr:uid="{00000000-0005-0000-0000-0000CD500000}"/>
    <cellStyle name="40% - Accent2 2 2 3" xfId="194" xr:uid="{00000000-0005-0000-0000-0000CE500000}"/>
    <cellStyle name="40% - Accent2 2 2 3 10" xfId="7373" xr:uid="{00000000-0005-0000-0000-0000CF500000}"/>
    <cellStyle name="40% - Accent2 2 2 3 11" xfId="14474" xr:uid="{00000000-0005-0000-0000-0000D0500000}"/>
    <cellStyle name="40% - Accent2 2 2 3 12" xfId="21576" xr:uid="{00000000-0005-0000-0000-0000D1500000}"/>
    <cellStyle name="40% - Accent2 2 2 3 13" xfId="28678" xr:uid="{00000000-0005-0000-0000-0000D2500000}"/>
    <cellStyle name="40% - Accent2 2 2 3 14" xfId="35780" xr:uid="{00000000-0005-0000-0000-0000D3500000}"/>
    <cellStyle name="40% - Accent2 2 2 3 15" xfId="38679" xr:uid="{00000000-0005-0000-0000-0000D4500000}"/>
    <cellStyle name="40% - Accent2 2 2 3 2" xfId="407" xr:uid="{00000000-0005-0000-0000-0000D5500000}"/>
    <cellStyle name="40% - Accent2 2 2 3 2 2" xfId="1898" xr:uid="{00000000-0005-0000-0000-0000D6500000}"/>
    <cellStyle name="40% - Accent2 2 2 3 2 2 2" xfId="6166" xr:uid="{00000000-0005-0000-0000-0000D7500000}"/>
    <cellStyle name="40% - Accent2 2 2 3 2 2 2 2" xfId="13266" xr:uid="{00000000-0005-0000-0000-0000D8500000}"/>
    <cellStyle name="40% - Accent2 2 2 3 2 2 2 3" xfId="20367" xr:uid="{00000000-0005-0000-0000-0000D9500000}"/>
    <cellStyle name="40% - Accent2 2 2 3 2 2 2 4" xfId="27469" xr:uid="{00000000-0005-0000-0000-0000DA500000}"/>
    <cellStyle name="40% - Accent2 2 2 3 2 2 2 5" xfId="34571" xr:uid="{00000000-0005-0000-0000-0000DB500000}"/>
    <cellStyle name="40% - Accent2 2 2 3 2 2 2 6" xfId="38680" xr:uid="{00000000-0005-0000-0000-0000DC500000}"/>
    <cellStyle name="40% - Accent2 2 2 3 2 2 3" xfId="9006" xr:uid="{00000000-0005-0000-0000-0000DD500000}"/>
    <cellStyle name="40% - Accent2 2 2 3 2 2 4" xfId="16107" xr:uid="{00000000-0005-0000-0000-0000DE500000}"/>
    <cellStyle name="40% - Accent2 2 2 3 2 2 5" xfId="23209" xr:uid="{00000000-0005-0000-0000-0000DF500000}"/>
    <cellStyle name="40% - Accent2 2 2 3 2 2 6" xfId="30311" xr:uid="{00000000-0005-0000-0000-0000E0500000}"/>
    <cellStyle name="40% - Accent2 2 2 3 2 2 7" xfId="38681" xr:uid="{00000000-0005-0000-0000-0000E1500000}"/>
    <cellStyle name="40% - Accent2 2 2 3 2 3" xfId="4745" xr:uid="{00000000-0005-0000-0000-0000E2500000}"/>
    <cellStyle name="40% - Accent2 2 2 3 2 3 2" xfId="11846" xr:uid="{00000000-0005-0000-0000-0000E3500000}"/>
    <cellStyle name="40% - Accent2 2 2 3 2 3 2 2" xfId="38682" xr:uid="{00000000-0005-0000-0000-0000E4500000}"/>
    <cellStyle name="40% - Accent2 2 2 3 2 3 3" xfId="18947" xr:uid="{00000000-0005-0000-0000-0000E5500000}"/>
    <cellStyle name="40% - Accent2 2 2 3 2 3 4" xfId="26049" xr:uid="{00000000-0005-0000-0000-0000E6500000}"/>
    <cellStyle name="40% - Accent2 2 2 3 2 3 5" xfId="33151" xr:uid="{00000000-0005-0000-0000-0000E7500000}"/>
    <cellStyle name="40% - Accent2 2 2 3 2 3 6" xfId="38683" xr:uid="{00000000-0005-0000-0000-0000E8500000}"/>
    <cellStyle name="40% - Accent2 2 2 3 2 4" xfId="3320" xr:uid="{00000000-0005-0000-0000-0000E9500000}"/>
    <cellStyle name="40% - Accent2 2 2 3 2 4 2" xfId="10426" xr:uid="{00000000-0005-0000-0000-0000EA500000}"/>
    <cellStyle name="40% - Accent2 2 2 3 2 4 3" xfId="17527" xr:uid="{00000000-0005-0000-0000-0000EB500000}"/>
    <cellStyle name="40% - Accent2 2 2 3 2 4 4" xfId="24629" xr:uid="{00000000-0005-0000-0000-0000EC500000}"/>
    <cellStyle name="40% - Accent2 2 2 3 2 4 5" xfId="31731" xr:uid="{00000000-0005-0000-0000-0000ED500000}"/>
    <cellStyle name="40% - Accent2 2 2 3 2 4 6" xfId="38684" xr:uid="{00000000-0005-0000-0000-0000EE500000}"/>
    <cellStyle name="40% - Accent2 2 2 3 2 5" xfId="7586" xr:uid="{00000000-0005-0000-0000-0000EF500000}"/>
    <cellStyle name="40% - Accent2 2 2 3 2 6" xfId="14687" xr:uid="{00000000-0005-0000-0000-0000F0500000}"/>
    <cellStyle name="40% - Accent2 2 2 3 2 7" xfId="21789" xr:uid="{00000000-0005-0000-0000-0000F1500000}"/>
    <cellStyle name="40% - Accent2 2 2 3 2 8" xfId="28891" xr:uid="{00000000-0005-0000-0000-0000F2500000}"/>
    <cellStyle name="40% - Accent2 2 2 3 2 9" xfId="38685" xr:uid="{00000000-0005-0000-0000-0000F3500000}"/>
    <cellStyle name="40% - Accent2 2 2 3 3" xfId="620" xr:uid="{00000000-0005-0000-0000-0000F4500000}"/>
    <cellStyle name="40% - Accent2 2 2 3 3 2" xfId="2111" xr:uid="{00000000-0005-0000-0000-0000F5500000}"/>
    <cellStyle name="40% - Accent2 2 2 3 3 2 2" xfId="6379" xr:uid="{00000000-0005-0000-0000-0000F6500000}"/>
    <cellStyle name="40% - Accent2 2 2 3 3 2 2 2" xfId="13479" xr:uid="{00000000-0005-0000-0000-0000F7500000}"/>
    <cellStyle name="40% - Accent2 2 2 3 3 2 2 3" xfId="20580" xr:uid="{00000000-0005-0000-0000-0000F8500000}"/>
    <cellStyle name="40% - Accent2 2 2 3 3 2 2 4" xfId="27682" xr:uid="{00000000-0005-0000-0000-0000F9500000}"/>
    <cellStyle name="40% - Accent2 2 2 3 3 2 2 5" xfId="34784" xr:uid="{00000000-0005-0000-0000-0000FA500000}"/>
    <cellStyle name="40% - Accent2 2 2 3 3 2 2 6" xfId="38686" xr:uid="{00000000-0005-0000-0000-0000FB500000}"/>
    <cellStyle name="40% - Accent2 2 2 3 3 2 3" xfId="9219" xr:uid="{00000000-0005-0000-0000-0000FC500000}"/>
    <cellStyle name="40% - Accent2 2 2 3 3 2 4" xfId="16320" xr:uid="{00000000-0005-0000-0000-0000FD500000}"/>
    <cellStyle name="40% - Accent2 2 2 3 3 2 5" xfId="23422" xr:uid="{00000000-0005-0000-0000-0000FE500000}"/>
    <cellStyle name="40% - Accent2 2 2 3 3 2 6" xfId="30524" xr:uid="{00000000-0005-0000-0000-0000FF500000}"/>
    <cellStyle name="40% - Accent2 2 2 3 3 2 7" xfId="38687" xr:uid="{00000000-0005-0000-0000-000000510000}"/>
    <cellStyle name="40% - Accent2 2 2 3 3 3" xfId="4958" xr:uid="{00000000-0005-0000-0000-000001510000}"/>
    <cellStyle name="40% - Accent2 2 2 3 3 3 2" xfId="12059" xr:uid="{00000000-0005-0000-0000-000002510000}"/>
    <cellStyle name="40% - Accent2 2 2 3 3 3 2 2" xfId="38688" xr:uid="{00000000-0005-0000-0000-000003510000}"/>
    <cellStyle name="40% - Accent2 2 2 3 3 3 3" xfId="19160" xr:uid="{00000000-0005-0000-0000-000004510000}"/>
    <cellStyle name="40% - Accent2 2 2 3 3 3 4" xfId="26262" xr:uid="{00000000-0005-0000-0000-000005510000}"/>
    <cellStyle name="40% - Accent2 2 2 3 3 3 5" xfId="33364" xr:uid="{00000000-0005-0000-0000-000006510000}"/>
    <cellStyle name="40% - Accent2 2 2 3 3 3 6" xfId="38689" xr:uid="{00000000-0005-0000-0000-000007510000}"/>
    <cellStyle name="40% - Accent2 2 2 3 3 4" xfId="3533" xr:uid="{00000000-0005-0000-0000-000008510000}"/>
    <cellStyle name="40% - Accent2 2 2 3 3 4 2" xfId="10639" xr:uid="{00000000-0005-0000-0000-000009510000}"/>
    <cellStyle name="40% - Accent2 2 2 3 3 4 3" xfId="17740" xr:uid="{00000000-0005-0000-0000-00000A510000}"/>
    <cellStyle name="40% - Accent2 2 2 3 3 4 4" xfId="24842" xr:uid="{00000000-0005-0000-0000-00000B510000}"/>
    <cellStyle name="40% - Accent2 2 2 3 3 4 5" xfId="31944" xr:uid="{00000000-0005-0000-0000-00000C510000}"/>
    <cellStyle name="40% - Accent2 2 2 3 3 4 6" xfId="38690" xr:uid="{00000000-0005-0000-0000-00000D510000}"/>
    <cellStyle name="40% - Accent2 2 2 3 3 5" xfId="7799" xr:uid="{00000000-0005-0000-0000-00000E510000}"/>
    <cellStyle name="40% - Accent2 2 2 3 3 6" xfId="14900" xr:uid="{00000000-0005-0000-0000-00000F510000}"/>
    <cellStyle name="40% - Accent2 2 2 3 3 7" xfId="22002" xr:uid="{00000000-0005-0000-0000-000010510000}"/>
    <cellStyle name="40% - Accent2 2 2 3 3 8" xfId="29104" xr:uid="{00000000-0005-0000-0000-000011510000}"/>
    <cellStyle name="40% - Accent2 2 2 3 3 9" xfId="38691" xr:uid="{00000000-0005-0000-0000-000012510000}"/>
    <cellStyle name="40% - Accent2 2 2 3 4" xfId="833" xr:uid="{00000000-0005-0000-0000-000013510000}"/>
    <cellStyle name="40% - Accent2 2 2 3 4 2" xfId="2324" xr:uid="{00000000-0005-0000-0000-000014510000}"/>
    <cellStyle name="40% - Accent2 2 2 3 4 2 2" xfId="6592" xr:uid="{00000000-0005-0000-0000-000015510000}"/>
    <cellStyle name="40% - Accent2 2 2 3 4 2 2 2" xfId="13692" xr:uid="{00000000-0005-0000-0000-000016510000}"/>
    <cellStyle name="40% - Accent2 2 2 3 4 2 2 3" xfId="20793" xr:uid="{00000000-0005-0000-0000-000017510000}"/>
    <cellStyle name="40% - Accent2 2 2 3 4 2 2 4" xfId="27895" xr:uid="{00000000-0005-0000-0000-000018510000}"/>
    <cellStyle name="40% - Accent2 2 2 3 4 2 2 5" xfId="34997" xr:uid="{00000000-0005-0000-0000-000019510000}"/>
    <cellStyle name="40% - Accent2 2 2 3 4 2 2 6" xfId="38692" xr:uid="{00000000-0005-0000-0000-00001A510000}"/>
    <cellStyle name="40% - Accent2 2 2 3 4 2 3" xfId="9432" xr:uid="{00000000-0005-0000-0000-00001B510000}"/>
    <cellStyle name="40% - Accent2 2 2 3 4 2 4" xfId="16533" xr:uid="{00000000-0005-0000-0000-00001C510000}"/>
    <cellStyle name="40% - Accent2 2 2 3 4 2 5" xfId="23635" xr:uid="{00000000-0005-0000-0000-00001D510000}"/>
    <cellStyle name="40% - Accent2 2 2 3 4 2 6" xfId="30737" xr:uid="{00000000-0005-0000-0000-00001E510000}"/>
    <cellStyle name="40% - Accent2 2 2 3 4 2 7" xfId="38693" xr:uid="{00000000-0005-0000-0000-00001F510000}"/>
    <cellStyle name="40% - Accent2 2 2 3 4 3" xfId="5171" xr:uid="{00000000-0005-0000-0000-000020510000}"/>
    <cellStyle name="40% - Accent2 2 2 3 4 3 2" xfId="12272" xr:uid="{00000000-0005-0000-0000-000021510000}"/>
    <cellStyle name="40% - Accent2 2 2 3 4 3 2 2" xfId="38694" xr:uid="{00000000-0005-0000-0000-000022510000}"/>
    <cellStyle name="40% - Accent2 2 2 3 4 3 3" xfId="19373" xr:uid="{00000000-0005-0000-0000-000023510000}"/>
    <cellStyle name="40% - Accent2 2 2 3 4 3 4" xfId="26475" xr:uid="{00000000-0005-0000-0000-000024510000}"/>
    <cellStyle name="40% - Accent2 2 2 3 4 3 5" xfId="33577" xr:uid="{00000000-0005-0000-0000-000025510000}"/>
    <cellStyle name="40% - Accent2 2 2 3 4 3 6" xfId="38695" xr:uid="{00000000-0005-0000-0000-000026510000}"/>
    <cellStyle name="40% - Accent2 2 2 3 4 4" xfId="3746" xr:uid="{00000000-0005-0000-0000-000027510000}"/>
    <cellStyle name="40% - Accent2 2 2 3 4 4 2" xfId="10852" xr:uid="{00000000-0005-0000-0000-000028510000}"/>
    <cellStyle name="40% - Accent2 2 2 3 4 4 3" xfId="17953" xr:uid="{00000000-0005-0000-0000-000029510000}"/>
    <cellStyle name="40% - Accent2 2 2 3 4 4 4" xfId="25055" xr:uid="{00000000-0005-0000-0000-00002A510000}"/>
    <cellStyle name="40% - Accent2 2 2 3 4 4 5" xfId="32157" xr:uid="{00000000-0005-0000-0000-00002B510000}"/>
    <cellStyle name="40% - Accent2 2 2 3 4 4 6" xfId="38696" xr:uid="{00000000-0005-0000-0000-00002C510000}"/>
    <cellStyle name="40% - Accent2 2 2 3 4 5" xfId="8012" xr:uid="{00000000-0005-0000-0000-00002D510000}"/>
    <cellStyle name="40% - Accent2 2 2 3 4 6" xfId="15113" xr:uid="{00000000-0005-0000-0000-00002E510000}"/>
    <cellStyle name="40% - Accent2 2 2 3 4 7" xfId="22215" xr:uid="{00000000-0005-0000-0000-00002F510000}"/>
    <cellStyle name="40% - Accent2 2 2 3 4 8" xfId="29317" xr:uid="{00000000-0005-0000-0000-000030510000}"/>
    <cellStyle name="40% - Accent2 2 2 3 4 9" xfId="38697" xr:uid="{00000000-0005-0000-0000-000031510000}"/>
    <cellStyle name="40% - Accent2 2 2 3 5" xfId="1188" xr:uid="{00000000-0005-0000-0000-000032510000}"/>
    <cellStyle name="40% - Accent2 2 2 3 5 2" xfId="2679" xr:uid="{00000000-0005-0000-0000-000033510000}"/>
    <cellStyle name="40% - Accent2 2 2 3 5 2 2" xfId="6947" xr:uid="{00000000-0005-0000-0000-000034510000}"/>
    <cellStyle name="40% - Accent2 2 2 3 5 2 2 2" xfId="14047" xr:uid="{00000000-0005-0000-0000-000035510000}"/>
    <cellStyle name="40% - Accent2 2 2 3 5 2 2 3" xfId="21148" xr:uid="{00000000-0005-0000-0000-000036510000}"/>
    <cellStyle name="40% - Accent2 2 2 3 5 2 2 4" xfId="28250" xr:uid="{00000000-0005-0000-0000-000037510000}"/>
    <cellStyle name="40% - Accent2 2 2 3 5 2 2 5" xfId="35352" xr:uid="{00000000-0005-0000-0000-000038510000}"/>
    <cellStyle name="40% - Accent2 2 2 3 5 2 3" xfId="9787" xr:uid="{00000000-0005-0000-0000-000039510000}"/>
    <cellStyle name="40% - Accent2 2 2 3 5 2 4" xfId="16888" xr:uid="{00000000-0005-0000-0000-00003A510000}"/>
    <cellStyle name="40% - Accent2 2 2 3 5 2 5" xfId="23990" xr:uid="{00000000-0005-0000-0000-00003B510000}"/>
    <cellStyle name="40% - Accent2 2 2 3 5 2 6" xfId="31092" xr:uid="{00000000-0005-0000-0000-00003C510000}"/>
    <cellStyle name="40% - Accent2 2 2 3 5 2 7" xfId="38698" xr:uid="{00000000-0005-0000-0000-00003D510000}"/>
    <cellStyle name="40% - Accent2 2 2 3 5 3" xfId="5526" xr:uid="{00000000-0005-0000-0000-00003E510000}"/>
    <cellStyle name="40% - Accent2 2 2 3 5 3 2" xfId="12627" xr:uid="{00000000-0005-0000-0000-00003F510000}"/>
    <cellStyle name="40% - Accent2 2 2 3 5 3 3" xfId="19728" xr:uid="{00000000-0005-0000-0000-000040510000}"/>
    <cellStyle name="40% - Accent2 2 2 3 5 3 4" xfId="26830" xr:uid="{00000000-0005-0000-0000-000041510000}"/>
    <cellStyle name="40% - Accent2 2 2 3 5 3 5" xfId="33932" xr:uid="{00000000-0005-0000-0000-000042510000}"/>
    <cellStyle name="40% - Accent2 2 2 3 5 4" xfId="4101" xr:uid="{00000000-0005-0000-0000-000043510000}"/>
    <cellStyle name="40% - Accent2 2 2 3 5 4 2" xfId="11207" xr:uid="{00000000-0005-0000-0000-000044510000}"/>
    <cellStyle name="40% - Accent2 2 2 3 5 4 3" xfId="18308" xr:uid="{00000000-0005-0000-0000-000045510000}"/>
    <cellStyle name="40% - Accent2 2 2 3 5 4 4" xfId="25410" xr:uid="{00000000-0005-0000-0000-000046510000}"/>
    <cellStyle name="40% - Accent2 2 2 3 5 4 5" xfId="32512" xr:uid="{00000000-0005-0000-0000-000047510000}"/>
    <cellStyle name="40% - Accent2 2 2 3 5 5" xfId="8367" xr:uid="{00000000-0005-0000-0000-000048510000}"/>
    <cellStyle name="40% - Accent2 2 2 3 5 6" xfId="15468" xr:uid="{00000000-0005-0000-0000-000049510000}"/>
    <cellStyle name="40% - Accent2 2 2 3 5 7" xfId="22570" xr:uid="{00000000-0005-0000-0000-00004A510000}"/>
    <cellStyle name="40% - Accent2 2 2 3 5 8" xfId="29672" xr:uid="{00000000-0005-0000-0000-00004B510000}"/>
    <cellStyle name="40% - Accent2 2 2 3 5 9" xfId="38699" xr:uid="{00000000-0005-0000-0000-00004C510000}"/>
    <cellStyle name="40% - Accent2 2 2 3 6" xfId="1401" xr:uid="{00000000-0005-0000-0000-00004D510000}"/>
    <cellStyle name="40% - Accent2 2 2 3 6 2" xfId="2892" xr:uid="{00000000-0005-0000-0000-00004E510000}"/>
    <cellStyle name="40% - Accent2 2 2 3 6 2 2" xfId="7160" xr:uid="{00000000-0005-0000-0000-00004F510000}"/>
    <cellStyle name="40% - Accent2 2 2 3 6 2 2 2" xfId="14260" xr:uid="{00000000-0005-0000-0000-000050510000}"/>
    <cellStyle name="40% - Accent2 2 2 3 6 2 2 3" xfId="21361" xr:uid="{00000000-0005-0000-0000-000051510000}"/>
    <cellStyle name="40% - Accent2 2 2 3 6 2 2 4" xfId="28463" xr:uid="{00000000-0005-0000-0000-000052510000}"/>
    <cellStyle name="40% - Accent2 2 2 3 6 2 2 5" xfId="35565" xr:uid="{00000000-0005-0000-0000-000053510000}"/>
    <cellStyle name="40% - Accent2 2 2 3 6 2 3" xfId="10000" xr:uid="{00000000-0005-0000-0000-000054510000}"/>
    <cellStyle name="40% - Accent2 2 2 3 6 2 4" xfId="17101" xr:uid="{00000000-0005-0000-0000-000055510000}"/>
    <cellStyle name="40% - Accent2 2 2 3 6 2 5" xfId="24203" xr:uid="{00000000-0005-0000-0000-000056510000}"/>
    <cellStyle name="40% - Accent2 2 2 3 6 2 6" xfId="31305" xr:uid="{00000000-0005-0000-0000-000057510000}"/>
    <cellStyle name="40% - Accent2 2 2 3 6 2 7" xfId="38700" xr:uid="{00000000-0005-0000-0000-000058510000}"/>
    <cellStyle name="40% - Accent2 2 2 3 6 3" xfId="5739" xr:uid="{00000000-0005-0000-0000-000059510000}"/>
    <cellStyle name="40% - Accent2 2 2 3 6 3 2" xfId="12840" xr:uid="{00000000-0005-0000-0000-00005A510000}"/>
    <cellStyle name="40% - Accent2 2 2 3 6 3 3" xfId="19941" xr:uid="{00000000-0005-0000-0000-00005B510000}"/>
    <cellStyle name="40% - Accent2 2 2 3 6 3 4" xfId="27043" xr:uid="{00000000-0005-0000-0000-00005C510000}"/>
    <cellStyle name="40% - Accent2 2 2 3 6 3 5" xfId="34145" xr:uid="{00000000-0005-0000-0000-00005D510000}"/>
    <cellStyle name="40% - Accent2 2 2 3 6 4" xfId="4314" xr:uid="{00000000-0005-0000-0000-00005E510000}"/>
    <cellStyle name="40% - Accent2 2 2 3 6 4 2" xfId="11420" xr:uid="{00000000-0005-0000-0000-00005F510000}"/>
    <cellStyle name="40% - Accent2 2 2 3 6 4 3" xfId="18521" xr:uid="{00000000-0005-0000-0000-000060510000}"/>
    <cellStyle name="40% - Accent2 2 2 3 6 4 4" xfId="25623" xr:uid="{00000000-0005-0000-0000-000061510000}"/>
    <cellStyle name="40% - Accent2 2 2 3 6 4 5" xfId="32725" xr:uid="{00000000-0005-0000-0000-000062510000}"/>
    <cellStyle name="40% - Accent2 2 2 3 6 5" xfId="8580" xr:uid="{00000000-0005-0000-0000-000063510000}"/>
    <cellStyle name="40% - Accent2 2 2 3 6 6" xfId="15681" xr:uid="{00000000-0005-0000-0000-000064510000}"/>
    <cellStyle name="40% - Accent2 2 2 3 6 7" xfId="22783" xr:uid="{00000000-0005-0000-0000-000065510000}"/>
    <cellStyle name="40% - Accent2 2 2 3 6 8" xfId="29885" xr:uid="{00000000-0005-0000-0000-000066510000}"/>
    <cellStyle name="40% - Accent2 2 2 3 6 9" xfId="38701" xr:uid="{00000000-0005-0000-0000-000067510000}"/>
    <cellStyle name="40% - Accent2 2 2 3 7" xfId="1685" xr:uid="{00000000-0005-0000-0000-000068510000}"/>
    <cellStyle name="40% - Accent2 2 2 3 7 2" xfId="5953" xr:uid="{00000000-0005-0000-0000-000069510000}"/>
    <cellStyle name="40% - Accent2 2 2 3 7 2 2" xfId="13053" xr:uid="{00000000-0005-0000-0000-00006A510000}"/>
    <cellStyle name="40% - Accent2 2 2 3 7 2 3" xfId="20154" xr:uid="{00000000-0005-0000-0000-00006B510000}"/>
    <cellStyle name="40% - Accent2 2 2 3 7 2 4" xfId="27256" xr:uid="{00000000-0005-0000-0000-00006C510000}"/>
    <cellStyle name="40% - Accent2 2 2 3 7 2 5" xfId="34358" xr:uid="{00000000-0005-0000-0000-00006D510000}"/>
    <cellStyle name="40% - Accent2 2 2 3 7 3" xfId="8793" xr:uid="{00000000-0005-0000-0000-00006E510000}"/>
    <cellStyle name="40% - Accent2 2 2 3 7 4" xfId="15894" xr:uid="{00000000-0005-0000-0000-00006F510000}"/>
    <cellStyle name="40% - Accent2 2 2 3 7 5" xfId="22996" xr:uid="{00000000-0005-0000-0000-000070510000}"/>
    <cellStyle name="40% - Accent2 2 2 3 7 6" xfId="30098" xr:uid="{00000000-0005-0000-0000-000071510000}"/>
    <cellStyle name="40% - Accent2 2 2 3 7 7" xfId="38702" xr:uid="{00000000-0005-0000-0000-000072510000}"/>
    <cellStyle name="40% - Accent2 2 2 3 8" xfId="4532" xr:uid="{00000000-0005-0000-0000-000073510000}"/>
    <cellStyle name="40% - Accent2 2 2 3 8 2" xfId="11633" xr:uid="{00000000-0005-0000-0000-000074510000}"/>
    <cellStyle name="40% - Accent2 2 2 3 8 3" xfId="18734" xr:uid="{00000000-0005-0000-0000-000075510000}"/>
    <cellStyle name="40% - Accent2 2 2 3 8 4" xfId="25836" xr:uid="{00000000-0005-0000-0000-000076510000}"/>
    <cellStyle name="40% - Accent2 2 2 3 8 5" xfId="32938" xr:uid="{00000000-0005-0000-0000-000077510000}"/>
    <cellStyle name="40% - Accent2 2 2 3 9" xfId="3107" xr:uid="{00000000-0005-0000-0000-000078510000}"/>
    <cellStyle name="40% - Accent2 2 2 3 9 2" xfId="10213" xr:uid="{00000000-0005-0000-0000-000079510000}"/>
    <cellStyle name="40% - Accent2 2 2 3 9 3" xfId="17314" xr:uid="{00000000-0005-0000-0000-00007A510000}"/>
    <cellStyle name="40% - Accent2 2 2 3 9 4" xfId="24416" xr:uid="{00000000-0005-0000-0000-00007B510000}"/>
    <cellStyle name="40% - Accent2 2 2 3 9 5" xfId="31518" xr:uid="{00000000-0005-0000-0000-00007C510000}"/>
    <cellStyle name="40% - Accent2 2 2 4" xfId="336" xr:uid="{00000000-0005-0000-0000-00007D510000}"/>
    <cellStyle name="40% - Accent2 2 2 4 10" xfId="38703" xr:uid="{00000000-0005-0000-0000-00007E510000}"/>
    <cellStyle name="40% - Accent2 2 2 4 2" xfId="1117" xr:uid="{00000000-0005-0000-0000-00007F510000}"/>
    <cellStyle name="40% - Accent2 2 2 4 2 2" xfId="2608" xr:uid="{00000000-0005-0000-0000-000080510000}"/>
    <cellStyle name="40% - Accent2 2 2 4 2 2 2" xfId="6876" xr:uid="{00000000-0005-0000-0000-000081510000}"/>
    <cellStyle name="40% - Accent2 2 2 4 2 2 2 2" xfId="13976" xr:uid="{00000000-0005-0000-0000-000082510000}"/>
    <cellStyle name="40% - Accent2 2 2 4 2 2 2 3" xfId="21077" xr:uid="{00000000-0005-0000-0000-000083510000}"/>
    <cellStyle name="40% - Accent2 2 2 4 2 2 2 4" xfId="28179" xr:uid="{00000000-0005-0000-0000-000084510000}"/>
    <cellStyle name="40% - Accent2 2 2 4 2 2 2 5" xfId="35281" xr:uid="{00000000-0005-0000-0000-000085510000}"/>
    <cellStyle name="40% - Accent2 2 2 4 2 2 3" xfId="9716" xr:uid="{00000000-0005-0000-0000-000086510000}"/>
    <cellStyle name="40% - Accent2 2 2 4 2 2 4" xfId="16817" xr:uid="{00000000-0005-0000-0000-000087510000}"/>
    <cellStyle name="40% - Accent2 2 2 4 2 2 5" xfId="23919" xr:uid="{00000000-0005-0000-0000-000088510000}"/>
    <cellStyle name="40% - Accent2 2 2 4 2 2 6" xfId="31021" xr:uid="{00000000-0005-0000-0000-000089510000}"/>
    <cellStyle name="40% - Accent2 2 2 4 2 2 7" xfId="38704" xr:uid="{00000000-0005-0000-0000-00008A510000}"/>
    <cellStyle name="40% - Accent2 2 2 4 2 3" xfId="5455" xr:uid="{00000000-0005-0000-0000-00008B510000}"/>
    <cellStyle name="40% - Accent2 2 2 4 2 3 2" xfId="12556" xr:uid="{00000000-0005-0000-0000-00008C510000}"/>
    <cellStyle name="40% - Accent2 2 2 4 2 3 3" xfId="19657" xr:uid="{00000000-0005-0000-0000-00008D510000}"/>
    <cellStyle name="40% - Accent2 2 2 4 2 3 4" xfId="26759" xr:uid="{00000000-0005-0000-0000-00008E510000}"/>
    <cellStyle name="40% - Accent2 2 2 4 2 3 5" xfId="33861" xr:uid="{00000000-0005-0000-0000-00008F510000}"/>
    <cellStyle name="40% - Accent2 2 2 4 2 4" xfId="4030" xr:uid="{00000000-0005-0000-0000-000090510000}"/>
    <cellStyle name="40% - Accent2 2 2 4 2 4 2" xfId="11136" xr:uid="{00000000-0005-0000-0000-000091510000}"/>
    <cellStyle name="40% - Accent2 2 2 4 2 4 3" xfId="18237" xr:uid="{00000000-0005-0000-0000-000092510000}"/>
    <cellStyle name="40% - Accent2 2 2 4 2 4 4" xfId="25339" xr:uid="{00000000-0005-0000-0000-000093510000}"/>
    <cellStyle name="40% - Accent2 2 2 4 2 4 5" xfId="32441" xr:uid="{00000000-0005-0000-0000-000094510000}"/>
    <cellStyle name="40% - Accent2 2 2 4 2 5" xfId="8296" xr:uid="{00000000-0005-0000-0000-000095510000}"/>
    <cellStyle name="40% - Accent2 2 2 4 2 6" xfId="15397" xr:uid="{00000000-0005-0000-0000-000096510000}"/>
    <cellStyle name="40% - Accent2 2 2 4 2 7" xfId="22499" xr:uid="{00000000-0005-0000-0000-000097510000}"/>
    <cellStyle name="40% - Accent2 2 2 4 2 8" xfId="29601" xr:uid="{00000000-0005-0000-0000-000098510000}"/>
    <cellStyle name="40% - Accent2 2 2 4 2 9" xfId="38705" xr:uid="{00000000-0005-0000-0000-000099510000}"/>
    <cellStyle name="40% - Accent2 2 2 4 3" xfId="1827" xr:uid="{00000000-0005-0000-0000-00009A510000}"/>
    <cellStyle name="40% - Accent2 2 2 4 3 2" xfId="6095" xr:uid="{00000000-0005-0000-0000-00009B510000}"/>
    <cellStyle name="40% - Accent2 2 2 4 3 2 2" xfId="13195" xr:uid="{00000000-0005-0000-0000-00009C510000}"/>
    <cellStyle name="40% - Accent2 2 2 4 3 2 3" xfId="20296" xr:uid="{00000000-0005-0000-0000-00009D510000}"/>
    <cellStyle name="40% - Accent2 2 2 4 3 2 4" xfId="27398" xr:uid="{00000000-0005-0000-0000-00009E510000}"/>
    <cellStyle name="40% - Accent2 2 2 4 3 2 5" xfId="34500" xr:uid="{00000000-0005-0000-0000-00009F510000}"/>
    <cellStyle name="40% - Accent2 2 2 4 3 2 6" xfId="38706" xr:uid="{00000000-0005-0000-0000-0000A0510000}"/>
    <cellStyle name="40% - Accent2 2 2 4 3 3" xfId="8935" xr:uid="{00000000-0005-0000-0000-0000A1510000}"/>
    <cellStyle name="40% - Accent2 2 2 4 3 4" xfId="16036" xr:uid="{00000000-0005-0000-0000-0000A2510000}"/>
    <cellStyle name="40% - Accent2 2 2 4 3 5" xfId="23138" xr:uid="{00000000-0005-0000-0000-0000A3510000}"/>
    <cellStyle name="40% - Accent2 2 2 4 3 6" xfId="30240" xr:uid="{00000000-0005-0000-0000-0000A4510000}"/>
    <cellStyle name="40% - Accent2 2 2 4 3 7" xfId="38707" xr:uid="{00000000-0005-0000-0000-0000A5510000}"/>
    <cellStyle name="40% - Accent2 2 2 4 4" xfId="4674" xr:uid="{00000000-0005-0000-0000-0000A6510000}"/>
    <cellStyle name="40% - Accent2 2 2 4 4 2" xfId="11775" xr:uid="{00000000-0005-0000-0000-0000A7510000}"/>
    <cellStyle name="40% - Accent2 2 2 4 4 3" xfId="18876" xr:uid="{00000000-0005-0000-0000-0000A8510000}"/>
    <cellStyle name="40% - Accent2 2 2 4 4 4" xfId="25978" xr:uid="{00000000-0005-0000-0000-0000A9510000}"/>
    <cellStyle name="40% - Accent2 2 2 4 4 5" xfId="33080" xr:uid="{00000000-0005-0000-0000-0000AA510000}"/>
    <cellStyle name="40% - Accent2 2 2 4 4 6" xfId="38708" xr:uid="{00000000-0005-0000-0000-0000AB510000}"/>
    <cellStyle name="40% - Accent2 2 2 4 5" xfId="3249" xr:uid="{00000000-0005-0000-0000-0000AC510000}"/>
    <cellStyle name="40% - Accent2 2 2 4 5 2" xfId="10355" xr:uid="{00000000-0005-0000-0000-0000AD510000}"/>
    <cellStyle name="40% - Accent2 2 2 4 5 3" xfId="17456" xr:uid="{00000000-0005-0000-0000-0000AE510000}"/>
    <cellStyle name="40% - Accent2 2 2 4 5 4" xfId="24558" xr:uid="{00000000-0005-0000-0000-0000AF510000}"/>
    <cellStyle name="40% - Accent2 2 2 4 5 5" xfId="31660" xr:uid="{00000000-0005-0000-0000-0000B0510000}"/>
    <cellStyle name="40% - Accent2 2 2 4 6" xfId="7515" xr:uid="{00000000-0005-0000-0000-0000B1510000}"/>
    <cellStyle name="40% - Accent2 2 2 4 7" xfId="14616" xr:uid="{00000000-0005-0000-0000-0000B2510000}"/>
    <cellStyle name="40% - Accent2 2 2 4 8" xfId="21718" xr:uid="{00000000-0005-0000-0000-0000B3510000}"/>
    <cellStyle name="40% - Accent2 2 2 4 9" xfId="28820" xr:uid="{00000000-0005-0000-0000-0000B4510000}"/>
    <cellStyle name="40% - Accent2 2 2 5" xfId="549" xr:uid="{00000000-0005-0000-0000-0000B5510000}"/>
    <cellStyle name="40% - Accent2 2 2 5 2" xfId="2040" xr:uid="{00000000-0005-0000-0000-0000B6510000}"/>
    <cellStyle name="40% - Accent2 2 2 5 2 2" xfId="6308" xr:uid="{00000000-0005-0000-0000-0000B7510000}"/>
    <cellStyle name="40% - Accent2 2 2 5 2 2 2" xfId="13408" xr:uid="{00000000-0005-0000-0000-0000B8510000}"/>
    <cellStyle name="40% - Accent2 2 2 5 2 2 3" xfId="20509" xr:uid="{00000000-0005-0000-0000-0000B9510000}"/>
    <cellStyle name="40% - Accent2 2 2 5 2 2 4" xfId="27611" xr:uid="{00000000-0005-0000-0000-0000BA510000}"/>
    <cellStyle name="40% - Accent2 2 2 5 2 2 5" xfId="34713" xr:uid="{00000000-0005-0000-0000-0000BB510000}"/>
    <cellStyle name="40% - Accent2 2 2 5 2 2 6" xfId="38709" xr:uid="{00000000-0005-0000-0000-0000BC510000}"/>
    <cellStyle name="40% - Accent2 2 2 5 2 3" xfId="9148" xr:uid="{00000000-0005-0000-0000-0000BD510000}"/>
    <cellStyle name="40% - Accent2 2 2 5 2 4" xfId="16249" xr:uid="{00000000-0005-0000-0000-0000BE510000}"/>
    <cellStyle name="40% - Accent2 2 2 5 2 5" xfId="23351" xr:uid="{00000000-0005-0000-0000-0000BF510000}"/>
    <cellStyle name="40% - Accent2 2 2 5 2 6" xfId="30453" xr:uid="{00000000-0005-0000-0000-0000C0510000}"/>
    <cellStyle name="40% - Accent2 2 2 5 2 7" xfId="38710" xr:uid="{00000000-0005-0000-0000-0000C1510000}"/>
    <cellStyle name="40% - Accent2 2 2 5 3" xfId="4887" xr:uid="{00000000-0005-0000-0000-0000C2510000}"/>
    <cellStyle name="40% - Accent2 2 2 5 3 2" xfId="11988" xr:uid="{00000000-0005-0000-0000-0000C3510000}"/>
    <cellStyle name="40% - Accent2 2 2 5 3 2 2" xfId="38711" xr:uid="{00000000-0005-0000-0000-0000C4510000}"/>
    <cellStyle name="40% - Accent2 2 2 5 3 3" xfId="19089" xr:uid="{00000000-0005-0000-0000-0000C5510000}"/>
    <cellStyle name="40% - Accent2 2 2 5 3 4" xfId="26191" xr:uid="{00000000-0005-0000-0000-0000C6510000}"/>
    <cellStyle name="40% - Accent2 2 2 5 3 5" xfId="33293" xr:uid="{00000000-0005-0000-0000-0000C7510000}"/>
    <cellStyle name="40% - Accent2 2 2 5 3 6" xfId="38712" xr:uid="{00000000-0005-0000-0000-0000C8510000}"/>
    <cellStyle name="40% - Accent2 2 2 5 4" xfId="3462" xr:uid="{00000000-0005-0000-0000-0000C9510000}"/>
    <cellStyle name="40% - Accent2 2 2 5 4 2" xfId="10568" xr:uid="{00000000-0005-0000-0000-0000CA510000}"/>
    <cellStyle name="40% - Accent2 2 2 5 4 3" xfId="17669" xr:uid="{00000000-0005-0000-0000-0000CB510000}"/>
    <cellStyle name="40% - Accent2 2 2 5 4 4" xfId="24771" xr:uid="{00000000-0005-0000-0000-0000CC510000}"/>
    <cellStyle name="40% - Accent2 2 2 5 4 5" xfId="31873" xr:uid="{00000000-0005-0000-0000-0000CD510000}"/>
    <cellStyle name="40% - Accent2 2 2 5 4 6" xfId="38713" xr:uid="{00000000-0005-0000-0000-0000CE510000}"/>
    <cellStyle name="40% - Accent2 2 2 5 5" xfId="7728" xr:uid="{00000000-0005-0000-0000-0000CF510000}"/>
    <cellStyle name="40% - Accent2 2 2 5 6" xfId="14829" xr:uid="{00000000-0005-0000-0000-0000D0510000}"/>
    <cellStyle name="40% - Accent2 2 2 5 7" xfId="21931" xr:uid="{00000000-0005-0000-0000-0000D1510000}"/>
    <cellStyle name="40% - Accent2 2 2 5 8" xfId="29033" xr:uid="{00000000-0005-0000-0000-0000D2510000}"/>
    <cellStyle name="40% - Accent2 2 2 5 9" xfId="38714" xr:uid="{00000000-0005-0000-0000-0000D3510000}"/>
    <cellStyle name="40% - Accent2 2 2 6" xfId="762" xr:uid="{00000000-0005-0000-0000-0000D4510000}"/>
    <cellStyle name="40% - Accent2 2 2 6 2" xfId="2253" xr:uid="{00000000-0005-0000-0000-0000D5510000}"/>
    <cellStyle name="40% - Accent2 2 2 6 2 2" xfId="6521" xr:uid="{00000000-0005-0000-0000-0000D6510000}"/>
    <cellStyle name="40% - Accent2 2 2 6 2 2 2" xfId="13621" xr:uid="{00000000-0005-0000-0000-0000D7510000}"/>
    <cellStyle name="40% - Accent2 2 2 6 2 2 3" xfId="20722" xr:uid="{00000000-0005-0000-0000-0000D8510000}"/>
    <cellStyle name="40% - Accent2 2 2 6 2 2 4" xfId="27824" xr:uid="{00000000-0005-0000-0000-0000D9510000}"/>
    <cellStyle name="40% - Accent2 2 2 6 2 2 5" xfId="34926" xr:uid="{00000000-0005-0000-0000-0000DA510000}"/>
    <cellStyle name="40% - Accent2 2 2 6 2 2 6" xfId="38715" xr:uid="{00000000-0005-0000-0000-0000DB510000}"/>
    <cellStyle name="40% - Accent2 2 2 6 2 3" xfId="9361" xr:uid="{00000000-0005-0000-0000-0000DC510000}"/>
    <cellStyle name="40% - Accent2 2 2 6 2 4" xfId="16462" xr:uid="{00000000-0005-0000-0000-0000DD510000}"/>
    <cellStyle name="40% - Accent2 2 2 6 2 5" xfId="23564" xr:uid="{00000000-0005-0000-0000-0000DE510000}"/>
    <cellStyle name="40% - Accent2 2 2 6 2 6" xfId="30666" xr:uid="{00000000-0005-0000-0000-0000DF510000}"/>
    <cellStyle name="40% - Accent2 2 2 6 2 7" xfId="38716" xr:uid="{00000000-0005-0000-0000-0000E0510000}"/>
    <cellStyle name="40% - Accent2 2 2 6 3" xfId="5100" xr:uid="{00000000-0005-0000-0000-0000E1510000}"/>
    <cellStyle name="40% - Accent2 2 2 6 3 2" xfId="12201" xr:uid="{00000000-0005-0000-0000-0000E2510000}"/>
    <cellStyle name="40% - Accent2 2 2 6 3 2 2" xfId="38717" xr:uid="{00000000-0005-0000-0000-0000E3510000}"/>
    <cellStyle name="40% - Accent2 2 2 6 3 3" xfId="19302" xr:uid="{00000000-0005-0000-0000-0000E4510000}"/>
    <cellStyle name="40% - Accent2 2 2 6 3 4" xfId="26404" xr:uid="{00000000-0005-0000-0000-0000E5510000}"/>
    <cellStyle name="40% - Accent2 2 2 6 3 5" xfId="33506" xr:uid="{00000000-0005-0000-0000-0000E6510000}"/>
    <cellStyle name="40% - Accent2 2 2 6 3 6" xfId="38718" xr:uid="{00000000-0005-0000-0000-0000E7510000}"/>
    <cellStyle name="40% - Accent2 2 2 6 4" xfId="3675" xr:uid="{00000000-0005-0000-0000-0000E8510000}"/>
    <cellStyle name="40% - Accent2 2 2 6 4 2" xfId="10781" xr:uid="{00000000-0005-0000-0000-0000E9510000}"/>
    <cellStyle name="40% - Accent2 2 2 6 4 3" xfId="17882" xr:uid="{00000000-0005-0000-0000-0000EA510000}"/>
    <cellStyle name="40% - Accent2 2 2 6 4 4" xfId="24984" xr:uid="{00000000-0005-0000-0000-0000EB510000}"/>
    <cellStyle name="40% - Accent2 2 2 6 4 5" xfId="32086" xr:uid="{00000000-0005-0000-0000-0000EC510000}"/>
    <cellStyle name="40% - Accent2 2 2 6 4 6" xfId="38719" xr:uid="{00000000-0005-0000-0000-0000ED510000}"/>
    <cellStyle name="40% - Accent2 2 2 6 5" xfId="7941" xr:uid="{00000000-0005-0000-0000-0000EE510000}"/>
    <cellStyle name="40% - Accent2 2 2 6 6" xfId="15042" xr:uid="{00000000-0005-0000-0000-0000EF510000}"/>
    <cellStyle name="40% - Accent2 2 2 6 7" xfId="22144" xr:uid="{00000000-0005-0000-0000-0000F0510000}"/>
    <cellStyle name="40% - Accent2 2 2 6 8" xfId="29246" xr:uid="{00000000-0005-0000-0000-0000F1510000}"/>
    <cellStyle name="40% - Accent2 2 2 6 9" xfId="38720" xr:uid="{00000000-0005-0000-0000-0000F2510000}"/>
    <cellStyle name="40% - Accent2 2 2 7" xfId="975" xr:uid="{00000000-0005-0000-0000-0000F3510000}"/>
    <cellStyle name="40% - Accent2 2 2 7 2" xfId="2466" xr:uid="{00000000-0005-0000-0000-0000F4510000}"/>
    <cellStyle name="40% - Accent2 2 2 7 2 2" xfId="6734" xr:uid="{00000000-0005-0000-0000-0000F5510000}"/>
    <cellStyle name="40% - Accent2 2 2 7 2 2 2" xfId="13834" xr:uid="{00000000-0005-0000-0000-0000F6510000}"/>
    <cellStyle name="40% - Accent2 2 2 7 2 2 3" xfId="20935" xr:uid="{00000000-0005-0000-0000-0000F7510000}"/>
    <cellStyle name="40% - Accent2 2 2 7 2 2 4" xfId="28037" xr:uid="{00000000-0005-0000-0000-0000F8510000}"/>
    <cellStyle name="40% - Accent2 2 2 7 2 2 5" xfId="35139" xr:uid="{00000000-0005-0000-0000-0000F9510000}"/>
    <cellStyle name="40% - Accent2 2 2 7 2 3" xfId="9574" xr:uid="{00000000-0005-0000-0000-0000FA510000}"/>
    <cellStyle name="40% - Accent2 2 2 7 2 4" xfId="16675" xr:uid="{00000000-0005-0000-0000-0000FB510000}"/>
    <cellStyle name="40% - Accent2 2 2 7 2 5" xfId="23777" xr:uid="{00000000-0005-0000-0000-0000FC510000}"/>
    <cellStyle name="40% - Accent2 2 2 7 2 6" xfId="30879" xr:uid="{00000000-0005-0000-0000-0000FD510000}"/>
    <cellStyle name="40% - Accent2 2 2 7 2 7" xfId="38721" xr:uid="{00000000-0005-0000-0000-0000FE510000}"/>
    <cellStyle name="40% - Accent2 2 2 7 3" xfId="5313" xr:uid="{00000000-0005-0000-0000-0000FF510000}"/>
    <cellStyle name="40% - Accent2 2 2 7 3 2" xfId="12414" xr:uid="{00000000-0005-0000-0000-000000520000}"/>
    <cellStyle name="40% - Accent2 2 2 7 3 3" xfId="19515" xr:uid="{00000000-0005-0000-0000-000001520000}"/>
    <cellStyle name="40% - Accent2 2 2 7 3 4" xfId="26617" xr:uid="{00000000-0005-0000-0000-000002520000}"/>
    <cellStyle name="40% - Accent2 2 2 7 3 5" xfId="33719" xr:uid="{00000000-0005-0000-0000-000003520000}"/>
    <cellStyle name="40% - Accent2 2 2 7 4" xfId="3888" xr:uid="{00000000-0005-0000-0000-000004520000}"/>
    <cellStyle name="40% - Accent2 2 2 7 4 2" xfId="10994" xr:uid="{00000000-0005-0000-0000-000005520000}"/>
    <cellStyle name="40% - Accent2 2 2 7 4 3" xfId="18095" xr:uid="{00000000-0005-0000-0000-000006520000}"/>
    <cellStyle name="40% - Accent2 2 2 7 4 4" xfId="25197" xr:uid="{00000000-0005-0000-0000-000007520000}"/>
    <cellStyle name="40% - Accent2 2 2 7 4 5" xfId="32299" xr:uid="{00000000-0005-0000-0000-000008520000}"/>
    <cellStyle name="40% - Accent2 2 2 7 5" xfId="8154" xr:uid="{00000000-0005-0000-0000-000009520000}"/>
    <cellStyle name="40% - Accent2 2 2 7 6" xfId="15255" xr:uid="{00000000-0005-0000-0000-00000A520000}"/>
    <cellStyle name="40% - Accent2 2 2 7 7" xfId="22357" xr:uid="{00000000-0005-0000-0000-00000B520000}"/>
    <cellStyle name="40% - Accent2 2 2 7 8" xfId="29459" xr:uid="{00000000-0005-0000-0000-00000C520000}"/>
    <cellStyle name="40% - Accent2 2 2 7 9" xfId="38722" xr:uid="{00000000-0005-0000-0000-00000D520000}"/>
    <cellStyle name="40% - Accent2 2 2 8" xfId="1330" xr:uid="{00000000-0005-0000-0000-00000E520000}"/>
    <cellStyle name="40% - Accent2 2 2 8 2" xfId="2821" xr:uid="{00000000-0005-0000-0000-00000F520000}"/>
    <cellStyle name="40% - Accent2 2 2 8 2 2" xfId="7089" xr:uid="{00000000-0005-0000-0000-000010520000}"/>
    <cellStyle name="40% - Accent2 2 2 8 2 2 2" xfId="14189" xr:uid="{00000000-0005-0000-0000-000011520000}"/>
    <cellStyle name="40% - Accent2 2 2 8 2 2 3" xfId="21290" xr:uid="{00000000-0005-0000-0000-000012520000}"/>
    <cellStyle name="40% - Accent2 2 2 8 2 2 4" xfId="28392" xr:uid="{00000000-0005-0000-0000-000013520000}"/>
    <cellStyle name="40% - Accent2 2 2 8 2 2 5" xfId="35494" xr:uid="{00000000-0005-0000-0000-000014520000}"/>
    <cellStyle name="40% - Accent2 2 2 8 2 3" xfId="9929" xr:uid="{00000000-0005-0000-0000-000015520000}"/>
    <cellStyle name="40% - Accent2 2 2 8 2 4" xfId="17030" xr:uid="{00000000-0005-0000-0000-000016520000}"/>
    <cellStyle name="40% - Accent2 2 2 8 2 5" xfId="24132" xr:uid="{00000000-0005-0000-0000-000017520000}"/>
    <cellStyle name="40% - Accent2 2 2 8 2 6" xfId="31234" xr:uid="{00000000-0005-0000-0000-000018520000}"/>
    <cellStyle name="40% - Accent2 2 2 8 2 7" xfId="38723" xr:uid="{00000000-0005-0000-0000-000019520000}"/>
    <cellStyle name="40% - Accent2 2 2 8 3" xfId="5668" xr:uid="{00000000-0005-0000-0000-00001A520000}"/>
    <cellStyle name="40% - Accent2 2 2 8 3 2" xfId="12769" xr:uid="{00000000-0005-0000-0000-00001B520000}"/>
    <cellStyle name="40% - Accent2 2 2 8 3 3" xfId="19870" xr:uid="{00000000-0005-0000-0000-00001C520000}"/>
    <cellStyle name="40% - Accent2 2 2 8 3 4" xfId="26972" xr:uid="{00000000-0005-0000-0000-00001D520000}"/>
    <cellStyle name="40% - Accent2 2 2 8 3 5" xfId="34074" xr:uid="{00000000-0005-0000-0000-00001E520000}"/>
    <cellStyle name="40% - Accent2 2 2 8 4" xfId="4243" xr:uid="{00000000-0005-0000-0000-00001F520000}"/>
    <cellStyle name="40% - Accent2 2 2 8 4 2" xfId="11349" xr:uid="{00000000-0005-0000-0000-000020520000}"/>
    <cellStyle name="40% - Accent2 2 2 8 4 3" xfId="18450" xr:uid="{00000000-0005-0000-0000-000021520000}"/>
    <cellStyle name="40% - Accent2 2 2 8 4 4" xfId="25552" xr:uid="{00000000-0005-0000-0000-000022520000}"/>
    <cellStyle name="40% - Accent2 2 2 8 4 5" xfId="32654" xr:uid="{00000000-0005-0000-0000-000023520000}"/>
    <cellStyle name="40% - Accent2 2 2 8 5" xfId="8509" xr:uid="{00000000-0005-0000-0000-000024520000}"/>
    <cellStyle name="40% - Accent2 2 2 8 6" xfId="15610" xr:uid="{00000000-0005-0000-0000-000025520000}"/>
    <cellStyle name="40% - Accent2 2 2 8 7" xfId="22712" xr:uid="{00000000-0005-0000-0000-000026520000}"/>
    <cellStyle name="40% - Accent2 2 2 8 8" xfId="29814" xr:uid="{00000000-0005-0000-0000-000027520000}"/>
    <cellStyle name="40% - Accent2 2 2 8 9" xfId="38724" xr:uid="{00000000-0005-0000-0000-000028520000}"/>
    <cellStyle name="40% - Accent2 2 2 9" xfId="1614" xr:uid="{00000000-0005-0000-0000-000029520000}"/>
    <cellStyle name="40% - Accent2 2 2 9 2" xfId="5882" xr:uid="{00000000-0005-0000-0000-00002A520000}"/>
    <cellStyle name="40% - Accent2 2 2 9 2 2" xfId="12982" xr:uid="{00000000-0005-0000-0000-00002B520000}"/>
    <cellStyle name="40% - Accent2 2 2 9 2 3" xfId="20083" xr:uid="{00000000-0005-0000-0000-00002C520000}"/>
    <cellStyle name="40% - Accent2 2 2 9 2 4" xfId="27185" xr:uid="{00000000-0005-0000-0000-00002D520000}"/>
    <cellStyle name="40% - Accent2 2 2 9 2 5" xfId="34287" xr:uid="{00000000-0005-0000-0000-00002E520000}"/>
    <cellStyle name="40% - Accent2 2 2 9 3" xfId="8722" xr:uid="{00000000-0005-0000-0000-00002F520000}"/>
    <cellStyle name="40% - Accent2 2 2 9 4" xfId="15823" xr:uid="{00000000-0005-0000-0000-000030520000}"/>
    <cellStyle name="40% - Accent2 2 2 9 5" xfId="22925" xr:uid="{00000000-0005-0000-0000-000031520000}"/>
    <cellStyle name="40% - Accent2 2 2 9 6" xfId="30027" xr:uid="{00000000-0005-0000-0000-000032520000}"/>
    <cellStyle name="40% - Accent2 2 2 9 7" xfId="38725" xr:uid="{00000000-0005-0000-0000-000033520000}"/>
    <cellStyle name="40% - Accent2 2 3" xfId="234" xr:uid="{00000000-0005-0000-0000-000034520000}"/>
    <cellStyle name="40% - Accent2 2 3 10" xfId="7413" xr:uid="{00000000-0005-0000-0000-000035520000}"/>
    <cellStyle name="40% - Accent2 2 3 11" xfId="14514" xr:uid="{00000000-0005-0000-0000-000036520000}"/>
    <cellStyle name="40% - Accent2 2 3 12" xfId="21616" xr:uid="{00000000-0005-0000-0000-000037520000}"/>
    <cellStyle name="40% - Accent2 2 3 13" xfId="28718" xr:uid="{00000000-0005-0000-0000-000038520000}"/>
    <cellStyle name="40% - Accent2 2 3 14" xfId="35820" xr:uid="{00000000-0005-0000-0000-000039520000}"/>
    <cellStyle name="40% - Accent2 2 3 15" xfId="38726" xr:uid="{00000000-0005-0000-0000-00003A520000}"/>
    <cellStyle name="40% - Accent2 2 3 2" xfId="447" xr:uid="{00000000-0005-0000-0000-00003B520000}"/>
    <cellStyle name="40% - Accent2 2 3 2 10" xfId="38727" xr:uid="{00000000-0005-0000-0000-00003C520000}"/>
    <cellStyle name="40% - Accent2 2 3 2 2" xfId="1228" xr:uid="{00000000-0005-0000-0000-00003D520000}"/>
    <cellStyle name="40% - Accent2 2 3 2 2 2" xfId="2719" xr:uid="{00000000-0005-0000-0000-00003E520000}"/>
    <cellStyle name="40% - Accent2 2 3 2 2 2 2" xfId="6987" xr:uid="{00000000-0005-0000-0000-00003F520000}"/>
    <cellStyle name="40% - Accent2 2 3 2 2 2 2 2" xfId="14087" xr:uid="{00000000-0005-0000-0000-000040520000}"/>
    <cellStyle name="40% - Accent2 2 3 2 2 2 2 3" xfId="21188" xr:uid="{00000000-0005-0000-0000-000041520000}"/>
    <cellStyle name="40% - Accent2 2 3 2 2 2 2 4" xfId="28290" xr:uid="{00000000-0005-0000-0000-000042520000}"/>
    <cellStyle name="40% - Accent2 2 3 2 2 2 2 5" xfId="35392" xr:uid="{00000000-0005-0000-0000-000043520000}"/>
    <cellStyle name="40% - Accent2 2 3 2 2 2 3" xfId="9827" xr:uid="{00000000-0005-0000-0000-000044520000}"/>
    <cellStyle name="40% - Accent2 2 3 2 2 2 4" xfId="16928" xr:uid="{00000000-0005-0000-0000-000045520000}"/>
    <cellStyle name="40% - Accent2 2 3 2 2 2 5" xfId="24030" xr:uid="{00000000-0005-0000-0000-000046520000}"/>
    <cellStyle name="40% - Accent2 2 3 2 2 2 6" xfId="31132" xr:uid="{00000000-0005-0000-0000-000047520000}"/>
    <cellStyle name="40% - Accent2 2 3 2 2 2 7" xfId="38728" xr:uid="{00000000-0005-0000-0000-000048520000}"/>
    <cellStyle name="40% - Accent2 2 3 2 2 3" xfId="5566" xr:uid="{00000000-0005-0000-0000-000049520000}"/>
    <cellStyle name="40% - Accent2 2 3 2 2 3 2" xfId="12667" xr:uid="{00000000-0005-0000-0000-00004A520000}"/>
    <cellStyle name="40% - Accent2 2 3 2 2 3 3" xfId="19768" xr:uid="{00000000-0005-0000-0000-00004B520000}"/>
    <cellStyle name="40% - Accent2 2 3 2 2 3 4" xfId="26870" xr:uid="{00000000-0005-0000-0000-00004C520000}"/>
    <cellStyle name="40% - Accent2 2 3 2 2 3 5" xfId="33972" xr:uid="{00000000-0005-0000-0000-00004D520000}"/>
    <cellStyle name="40% - Accent2 2 3 2 2 4" xfId="4141" xr:uid="{00000000-0005-0000-0000-00004E520000}"/>
    <cellStyle name="40% - Accent2 2 3 2 2 4 2" xfId="11247" xr:uid="{00000000-0005-0000-0000-00004F520000}"/>
    <cellStyle name="40% - Accent2 2 3 2 2 4 3" xfId="18348" xr:uid="{00000000-0005-0000-0000-000050520000}"/>
    <cellStyle name="40% - Accent2 2 3 2 2 4 4" xfId="25450" xr:uid="{00000000-0005-0000-0000-000051520000}"/>
    <cellStyle name="40% - Accent2 2 3 2 2 4 5" xfId="32552" xr:uid="{00000000-0005-0000-0000-000052520000}"/>
    <cellStyle name="40% - Accent2 2 3 2 2 5" xfId="8407" xr:uid="{00000000-0005-0000-0000-000053520000}"/>
    <cellStyle name="40% - Accent2 2 3 2 2 6" xfId="15508" xr:uid="{00000000-0005-0000-0000-000054520000}"/>
    <cellStyle name="40% - Accent2 2 3 2 2 7" xfId="22610" xr:uid="{00000000-0005-0000-0000-000055520000}"/>
    <cellStyle name="40% - Accent2 2 3 2 2 8" xfId="29712" xr:uid="{00000000-0005-0000-0000-000056520000}"/>
    <cellStyle name="40% - Accent2 2 3 2 2 9" xfId="38729" xr:uid="{00000000-0005-0000-0000-000057520000}"/>
    <cellStyle name="40% - Accent2 2 3 2 3" xfId="1938" xr:uid="{00000000-0005-0000-0000-000058520000}"/>
    <cellStyle name="40% - Accent2 2 3 2 3 2" xfId="6206" xr:uid="{00000000-0005-0000-0000-000059520000}"/>
    <cellStyle name="40% - Accent2 2 3 2 3 2 2" xfId="13306" xr:uid="{00000000-0005-0000-0000-00005A520000}"/>
    <cellStyle name="40% - Accent2 2 3 2 3 2 3" xfId="20407" xr:uid="{00000000-0005-0000-0000-00005B520000}"/>
    <cellStyle name="40% - Accent2 2 3 2 3 2 4" xfId="27509" xr:uid="{00000000-0005-0000-0000-00005C520000}"/>
    <cellStyle name="40% - Accent2 2 3 2 3 2 5" xfId="34611" xr:uid="{00000000-0005-0000-0000-00005D520000}"/>
    <cellStyle name="40% - Accent2 2 3 2 3 2 6" xfId="38730" xr:uid="{00000000-0005-0000-0000-00005E520000}"/>
    <cellStyle name="40% - Accent2 2 3 2 3 3" xfId="9046" xr:uid="{00000000-0005-0000-0000-00005F520000}"/>
    <cellStyle name="40% - Accent2 2 3 2 3 4" xfId="16147" xr:uid="{00000000-0005-0000-0000-000060520000}"/>
    <cellStyle name="40% - Accent2 2 3 2 3 5" xfId="23249" xr:uid="{00000000-0005-0000-0000-000061520000}"/>
    <cellStyle name="40% - Accent2 2 3 2 3 6" xfId="30351" xr:uid="{00000000-0005-0000-0000-000062520000}"/>
    <cellStyle name="40% - Accent2 2 3 2 3 7" xfId="38731" xr:uid="{00000000-0005-0000-0000-000063520000}"/>
    <cellStyle name="40% - Accent2 2 3 2 4" xfId="4785" xr:uid="{00000000-0005-0000-0000-000064520000}"/>
    <cellStyle name="40% - Accent2 2 3 2 4 2" xfId="11886" xr:uid="{00000000-0005-0000-0000-000065520000}"/>
    <cellStyle name="40% - Accent2 2 3 2 4 3" xfId="18987" xr:uid="{00000000-0005-0000-0000-000066520000}"/>
    <cellStyle name="40% - Accent2 2 3 2 4 4" xfId="26089" xr:uid="{00000000-0005-0000-0000-000067520000}"/>
    <cellStyle name="40% - Accent2 2 3 2 4 5" xfId="33191" xr:uid="{00000000-0005-0000-0000-000068520000}"/>
    <cellStyle name="40% - Accent2 2 3 2 4 6" xfId="38732" xr:uid="{00000000-0005-0000-0000-000069520000}"/>
    <cellStyle name="40% - Accent2 2 3 2 5" xfId="3360" xr:uid="{00000000-0005-0000-0000-00006A520000}"/>
    <cellStyle name="40% - Accent2 2 3 2 5 2" xfId="10466" xr:uid="{00000000-0005-0000-0000-00006B520000}"/>
    <cellStyle name="40% - Accent2 2 3 2 5 3" xfId="17567" xr:uid="{00000000-0005-0000-0000-00006C520000}"/>
    <cellStyle name="40% - Accent2 2 3 2 5 4" xfId="24669" xr:uid="{00000000-0005-0000-0000-00006D520000}"/>
    <cellStyle name="40% - Accent2 2 3 2 5 5" xfId="31771" xr:uid="{00000000-0005-0000-0000-00006E520000}"/>
    <cellStyle name="40% - Accent2 2 3 2 6" xfId="7626" xr:uid="{00000000-0005-0000-0000-00006F520000}"/>
    <cellStyle name="40% - Accent2 2 3 2 7" xfId="14727" xr:uid="{00000000-0005-0000-0000-000070520000}"/>
    <cellStyle name="40% - Accent2 2 3 2 8" xfId="21829" xr:uid="{00000000-0005-0000-0000-000071520000}"/>
    <cellStyle name="40% - Accent2 2 3 2 9" xfId="28931" xr:uid="{00000000-0005-0000-0000-000072520000}"/>
    <cellStyle name="40% - Accent2 2 3 3" xfId="660" xr:uid="{00000000-0005-0000-0000-000073520000}"/>
    <cellStyle name="40% - Accent2 2 3 3 2" xfId="2151" xr:uid="{00000000-0005-0000-0000-000074520000}"/>
    <cellStyle name="40% - Accent2 2 3 3 2 2" xfId="6419" xr:uid="{00000000-0005-0000-0000-000075520000}"/>
    <cellStyle name="40% - Accent2 2 3 3 2 2 2" xfId="13519" xr:uid="{00000000-0005-0000-0000-000076520000}"/>
    <cellStyle name="40% - Accent2 2 3 3 2 2 3" xfId="20620" xr:uid="{00000000-0005-0000-0000-000077520000}"/>
    <cellStyle name="40% - Accent2 2 3 3 2 2 4" xfId="27722" xr:uid="{00000000-0005-0000-0000-000078520000}"/>
    <cellStyle name="40% - Accent2 2 3 3 2 2 5" xfId="34824" xr:uid="{00000000-0005-0000-0000-000079520000}"/>
    <cellStyle name="40% - Accent2 2 3 3 2 2 6" xfId="38733" xr:uid="{00000000-0005-0000-0000-00007A520000}"/>
    <cellStyle name="40% - Accent2 2 3 3 2 3" xfId="9259" xr:uid="{00000000-0005-0000-0000-00007B520000}"/>
    <cellStyle name="40% - Accent2 2 3 3 2 4" xfId="16360" xr:uid="{00000000-0005-0000-0000-00007C520000}"/>
    <cellStyle name="40% - Accent2 2 3 3 2 5" xfId="23462" xr:uid="{00000000-0005-0000-0000-00007D520000}"/>
    <cellStyle name="40% - Accent2 2 3 3 2 6" xfId="30564" xr:uid="{00000000-0005-0000-0000-00007E520000}"/>
    <cellStyle name="40% - Accent2 2 3 3 2 7" xfId="38734" xr:uid="{00000000-0005-0000-0000-00007F520000}"/>
    <cellStyle name="40% - Accent2 2 3 3 3" xfId="4998" xr:uid="{00000000-0005-0000-0000-000080520000}"/>
    <cellStyle name="40% - Accent2 2 3 3 3 2" xfId="12099" xr:uid="{00000000-0005-0000-0000-000081520000}"/>
    <cellStyle name="40% - Accent2 2 3 3 3 2 2" xfId="38735" xr:uid="{00000000-0005-0000-0000-000082520000}"/>
    <cellStyle name="40% - Accent2 2 3 3 3 3" xfId="19200" xr:uid="{00000000-0005-0000-0000-000083520000}"/>
    <cellStyle name="40% - Accent2 2 3 3 3 4" xfId="26302" xr:uid="{00000000-0005-0000-0000-000084520000}"/>
    <cellStyle name="40% - Accent2 2 3 3 3 5" xfId="33404" xr:uid="{00000000-0005-0000-0000-000085520000}"/>
    <cellStyle name="40% - Accent2 2 3 3 3 6" xfId="38736" xr:uid="{00000000-0005-0000-0000-000086520000}"/>
    <cellStyle name="40% - Accent2 2 3 3 4" xfId="3573" xr:uid="{00000000-0005-0000-0000-000087520000}"/>
    <cellStyle name="40% - Accent2 2 3 3 4 2" xfId="10679" xr:uid="{00000000-0005-0000-0000-000088520000}"/>
    <cellStyle name="40% - Accent2 2 3 3 4 3" xfId="17780" xr:uid="{00000000-0005-0000-0000-000089520000}"/>
    <cellStyle name="40% - Accent2 2 3 3 4 4" xfId="24882" xr:uid="{00000000-0005-0000-0000-00008A520000}"/>
    <cellStyle name="40% - Accent2 2 3 3 4 5" xfId="31984" xr:uid="{00000000-0005-0000-0000-00008B520000}"/>
    <cellStyle name="40% - Accent2 2 3 3 4 6" xfId="38737" xr:uid="{00000000-0005-0000-0000-00008C520000}"/>
    <cellStyle name="40% - Accent2 2 3 3 5" xfId="7839" xr:uid="{00000000-0005-0000-0000-00008D520000}"/>
    <cellStyle name="40% - Accent2 2 3 3 6" xfId="14940" xr:uid="{00000000-0005-0000-0000-00008E520000}"/>
    <cellStyle name="40% - Accent2 2 3 3 7" xfId="22042" xr:uid="{00000000-0005-0000-0000-00008F520000}"/>
    <cellStyle name="40% - Accent2 2 3 3 8" xfId="29144" xr:uid="{00000000-0005-0000-0000-000090520000}"/>
    <cellStyle name="40% - Accent2 2 3 3 9" xfId="38738" xr:uid="{00000000-0005-0000-0000-000091520000}"/>
    <cellStyle name="40% - Accent2 2 3 4" xfId="873" xr:uid="{00000000-0005-0000-0000-000092520000}"/>
    <cellStyle name="40% - Accent2 2 3 4 2" xfId="2364" xr:uid="{00000000-0005-0000-0000-000093520000}"/>
    <cellStyle name="40% - Accent2 2 3 4 2 2" xfId="6632" xr:uid="{00000000-0005-0000-0000-000094520000}"/>
    <cellStyle name="40% - Accent2 2 3 4 2 2 2" xfId="13732" xr:uid="{00000000-0005-0000-0000-000095520000}"/>
    <cellStyle name="40% - Accent2 2 3 4 2 2 3" xfId="20833" xr:uid="{00000000-0005-0000-0000-000096520000}"/>
    <cellStyle name="40% - Accent2 2 3 4 2 2 4" xfId="27935" xr:uid="{00000000-0005-0000-0000-000097520000}"/>
    <cellStyle name="40% - Accent2 2 3 4 2 2 5" xfId="35037" xr:uid="{00000000-0005-0000-0000-000098520000}"/>
    <cellStyle name="40% - Accent2 2 3 4 2 2 6" xfId="38739" xr:uid="{00000000-0005-0000-0000-000099520000}"/>
    <cellStyle name="40% - Accent2 2 3 4 2 3" xfId="9472" xr:uid="{00000000-0005-0000-0000-00009A520000}"/>
    <cellStyle name="40% - Accent2 2 3 4 2 4" xfId="16573" xr:uid="{00000000-0005-0000-0000-00009B520000}"/>
    <cellStyle name="40% - Accent2 2 3 4 2 5" xfId="23675" xr:uid="{00000000-0005-0000-0000-00009C520000}"/>
    <cellStyle name="40% - Accent2 2 3 4 2 6" xfId="30777" xr:uid="{00000000-0005-0000-0000-00009D520000}"/>
    <cellStyle name="40% - Accent2 2 3 4 2 7" xfId="38740" xr:uid="{00000000-0005-0000-0000-00009E520000}"/>
    <cellStyle name="40% - Accent2 2 3 4 3" xfId="5211" xr:uid="{00000000-0005-0000-0000-00009F520000}"/>
    <cellStyle name="40% - Accent2 2 3 4 3 2" xfId="12312" xr:uid="{00000000-0005-0000-0000-0000A0520000}"/>
    <cellStyle name="40% - Accent2 2 3 4 3 2 2" xfId="38741" xr:uid="{00000000-0005-0000-0000-0000A1520000}"/>
    <cellStyle name="40% - Accent2 2 3 4 3 3" xfId="19413" xr:uid="{00000000-0005-0000-0000-0000A2520000}"/>
    <cellStyle name="40% - Accent2 2 3 4 3 4" xfId="26515" xr:uid="{00000000-0005-0000-0000-0000A3520000}"/>
    <cellStyle name="40% - Accent2 2 3 4 3 5" xfId="33617" xr:uid="{00000000-0005-0000-0000-0000A4520000}"/>
    <cellStyle name="40% - Accent2 2 3 4 3 6" xfId="38742" xr:uid="{00000000-0005-0000-0000-0000A5520000}"/>
    <cellStyle name="40% - Accent2 2 3 4 4" xfId="3786" xr:uid="{00000000-0005-0000-0000-0000A6520000}"/>
    <cellStyle name="40% - Accent2 2 3 4 4 2" xfId="10892" xr:uid="{00000000-0005-0000-0000-0000A7520000}"/>
    <cellStyle name="40% - Accent2 2 3 4 4 3" xfId="17993" xr:uid="{00000000-0005-0000-0000-0000A8520000}"/>
    <cellStyle name="40% - Accent2 2 3 4 4 4" xfId="25095" xr:uid="{00000000-0005-0000-0000-0000A9520000}"/>
    <cellStyle name="40% - Accent2 2 3 4 4 5" xfId="32197" xr:uid="{00000000-0005-0000-0000-0000AA520000}"/>
    <cellStyle name="40% - Accent2 2 3 4 4 6" xfId="38743" xr:uid="{00000000-0005-0000-0000-0000AB520000}"/>
    <cellStyle name="40% - Accent2 2 3 4 5" xfId="8052" xr:uid="{00000000-0005-0000-0000-0000AC520000}"/>
    <cellStyle name="40% - Accent2 2 3 4 6" xfId="15153" xr:uid="{00000000-0005-0000-0000-0000AD520000}"/>
    <cellStyle name="40% - Accent2 2 3 4 7" xfId="22255" xr:uid="{00000000-0005-0000-0000-0000AE520000}"/>
    <cellStyle name="40% - Accent2 2 3 4 8" xfId="29357" xr:uid="{00000000-0005-0000-0000-0000AF520000}"/>
    <cellStyle name="40% - Accent2 2 3 4 9" xfId="38744" xr:uid="{00000000-0005-0000-0000-0000B0520000}"/>
    <cellStyle name="40% - Accent2 2 3 5" xfId="1015" xr:uid="{00000000-0005-0000-0000-0000B1520000}"/>
    <cellStyle name="40% - Accent2 2 3 5 2" xfId="2506" xr:uid="{00000000-0005-0000-0000-0000B2520000}"/>
    <cellStyle name="40% - Accent2 2 3 5 2 2" xfId="6774" xr:uid="{00000000-0005-0000-0000-0000B3520000}"/>
    <cellStyle name="40% - Accent2 2 3 5 2 2 2" xfId="13874" xr:uid="{00000000-0005-0000-0000-0000B4520000}"/>
    <cellStyle name="40% - Accent2 2 3 5 2 2 3" xfId="20975" xr:uid="{00000000-0005-0000-0000-0000B5520000}"/>
    <cellStyle name="40% - Accent2 2 3 5 2 2 4" xfId="28077" xr:uid="{00000000-0005-0000-0000-0000B6520000}"/>
    <cellStyle name="40% - Accent2 2 3 5 2 2 5" xfId="35179" xr:uid="{00000000-0005-0000-0000-0000B7520000}"/>
    <cellStyle name="40% - Accent2 2 3 5 2 3" xfId="9614" xr:uid="{00000000-0005-0000-0000-0000B8520000}"/>
    <cellStyle name="40% - Accent2 2 3 5 2 4" xfId="16715" xr:uid="{00000000-0005-0000-0000-0000B9520000}"/>
    <cellStyle name="40% - Accent2 2 3 5 2 5" xfId="23817" xr:uid="{00000000-0005-0000-0000-0000BA520000}"/>
    <cellStyle name="40% - Accent2 2 3 5 2 6" xfId="30919" xr:uid="{00000000-0005-0000-0000-0000BB520000}"/>
    <cellStyle name="40% - Accent2 2 3 5 2 7" xfId="38745" xr:uid="{00000000-0005-0000-0000-0000BC520000}"/>
    <cellStyle name="40% - Accent2 2 3 5 3" xfId="5353" xr:uid="{00000000-0005-0000-0000-0000BD520000}"/>
    <cellStyle name="40% - Accent2 2 3 5 3 2" xfId="12454" xr:uid="{00000000-0005-0000-0000-0000BE520000}"/>
    <cellStyle name="40% - Accent2 2 3 5 3 3" xfId="19555" xr:uid="{00000000-0005-0000-0000-0000BF520000}"/>
    <cellStyle name="40% - Accent2 2 3 5 3 4" xfId="26657" xr:uid="{00000000-0005-0000-0000-0000C0520000}"/>
    <cellStyle name="40% - Accent2 2 3 5 3 5" xfId="33759" xr:uid="{00000000-0005-0000-0000-0000C1520000}"/>
    <cellStyle name="40% - Accent2 2 3 5 4" xfId="3928" xr:uid="{00000000-0005-0000-0000-0000C2520000}"/>
    <cellStyle name="40% - Accent2 2 3 5 4 2" xfId="11034" xr:uid="{00000000-0005-0000-0000-0000C3520000}"/>
    <cellStyle name="40% - Accent2 2 3 5 4 3" xfId="18135" xr:uid="{00000000-0005-0000-0000-0000C4520000}"/>
    <cellStyle name="40% - Accent2 2 3 5 4 4" xfId="25237" xr:uid="{00000000-0005-0000-0000-0000C5520000}"/>
    <cellStyle name="40% - Accent2 2 3 5 4 5" xfId="32339" xr:uid="{00000000-0005-0000-0000-0000C6520000}"/>
    <cellStyle name="40% - Accent2 2 3 5 5" xfId="8194" xr:uid="{00000000-0005-0000-0000-0000C7520000}"/>
    <cellStyle name="40% - Accent2 2 3 5 6" xfId="15295" xr:uid="{00000000-0005-0000-0000-0000C8520000}"/>
    <cellStyle name="40% - Accent2 2 3 5 7" xfId="22397" xr:uid="{00000000-0005-0000-0000-0000C9520000}"/>
    <cellStyle name="40% - Accent2 2 3 5 8" xfId="29499" xr:uid="{00000000-0005-0000-0000-0000CA520000}"/>
    <cellStyle name="40% - Accent2 2 3 5 9" xfId="38746" xr:uid="{00000000-0005-0000-0000-0000CB520000}"/>
    <cellStyle name="40% - Accent2 2 3 6" xfId="1441" xr:uid="{00000000-0005-0000-0000-0000CC520000}"/>
    <cellStyle name="40% - Accent2 2 3 6 2" xfId="2932" xr:uid="{00000000-0005-0000-0000-0000CD520000}"/>
    <cellStyle name="40% - Accent2 2 3 6 2 2" xfId="7200" xr:uid="{00000000-0005-0000-0000-0000CE520000}"/>
    <cellStyle name="40% - Accent2 2 3 6 2 2 2" xfId="14300" xr:uid="{00000000-0005-0000-0000-0000CF520000}"/>
    <cellStyle name="40% - Accent2 2 3 6 2 2 3" xfId="21401" xr:uid="{00000000-0005-0000-0000-0000D0520000}"/>
    <cellStyle name="40% - Accent2 2 3 6 2 2 4" xfId="28503" xr:uid="{00000000-0005-0000-0000-0000D1520000}"/>
    <cellStyle name="40% - Accent2 2 3 6 2 2 5" xfId="35605" xr:uid="{00000000-0005-0000-0000-0000D2520000}"/>
    <cellStyle name="40% - Accent2 2 3 6 2 3" xfId="10040" xr:uid="{00000000-0005-0000-0000-0000D3520000}"/>
    <cellStyle name="40% - Accent2 2 3 6 2 4" xfId="17141" xr:uid="{00000000-0005-0000-0000-0000D4520000}"/>
    <cellStyle name="40% - Accent2 2 3 6 2 5" xfId="24243" xr:uid="{00000000-0005-0000-0000-0000D5520000}"/>
    <cellStyle name="40% - Accent2 2 3 6 2 6" xfId="31345" xr:uid="{00000000-0005-0000-0000-0000D6520000}"/>
    <cellStyle name="40% - Accent2 2 3 6 2 7" xfId="38747" xr:uid="{00000000-0005-0000-0000-0000D7520000}"/>
    <cellStyle name="40% - Accent2 2 3 6 3" xfId="5779" xr:uid="{00000000-0005-0000-0000-0000D8520000}"/>
    <cellStyle name="40% - Accent2 2 3 6 3 2" xfId="12880" xr:uid="{00000000-0005-0000-0000-0000D9520000}"/>
    <cellStyle name="40% - Accent2 2 3 6 3 3" xfId="19981" xr:uid="{00000000-0005-0000-0000-0000DA520000}"/>
    <cellStyle name="40% - Accent2 2 3 6 3 4" xfId="27083" xr:uid="{00000000-0005-0000-0000-0000DB520000}"/>
    <cellStyle name="40% - Accent2 2 3 6 3 5" xfId="34185" xr:uid="{00000000-0005-0000-0000-0000DC520000}"/>
    <cellStyle name="40% - Accent2 2 3 6 4" xfId="4354" xr:uid="{00000000-0005-0000-0000-0000DD520000}"/>
    <cellStyle name="40% - Accent2 2 3 6 4 2" xfId="11460" xr:uid="{00000000-0005-0000-0000-0000DE520000}"/>
    <cellStyle name="40% - Accent2 2 3 6 4 3" xfId="18561" xr:uid="{00000000-0005-0000-0000-0000DF520000}"/>
    <cellStyle name="40% - Accent2 2 3 6 4 4" xfId="25663" xr:uid="{00000000-0005-0000-0000-0000E0520000}"/>
    <cellStyle name="40% - Accent2 2 3 6 4 5" xfId="32765" xr:uid="{00000000-0005-0000-0000-0000E1520000}"/>
    <cellStyle name="40% - Accent2 2 3 6 5" xfId="8620" xr:uid="{00000000-0005-0000-0000-0000E2520000}"/>
    <cellStyle name="40% - Accent2 2 3 6 6" xfId="15721" xr:uid="{00000000-0005-0000-0000-0000E3520000}"/>
    <cellStyle name="40% - Accent2 2 3 6 7" xfId="22823" xr:uid="{00000000-0005-0000-0000-0000E4520000}"/>
    <cellStyle name="40% - Accent2 2 3 6 8" xfId="29925" xr:uid="{00000000-0005-0000-0000-0000E5520000}"/>
    <cellStyle name="40% - Accent2 2 3 6 9" xfId="38748" xr:uid="{00000000-0005-0000-0000-0000E6520000}"/>
    <cellStyle name="40% - Accent2 2 3 7" xfId="1725" xr:uid="{00000000-0005-0000-0000-0000E7520000}"/>
    <cellStyle name="40% - Accent2 2 3 7 2" xfId="5993" xr:uid="{00000000-0005-0000-0000-0000E8520000}"/>
    <cellStyle name="40% - Accent2 2 3 7 2 2" xfId="13093" xr:uid="{00000000-0005-0000-0000-0000E9520000}"/>
    <cellStyle name="40% - Accent2 2 3 7 2 3" xfId="20194" xr:uid="{00000000-0005-0000-0000-0000EA520000}"/>
    <cellStyle name="40% - Accent2 2 3 7 2 4" xfId="27296" xr:uid="{00000000-0005-0000-0000-0000EB520000}"/>
    <cellStyle name="40% - Accent2 2 3 7 2 5" xfId="34398" xr:uid="{00000000-0005-0000-0000-0000EC520000}"/>
    <cellStyle name="40% - Accent2 2 3 7 3" xfId="8833" xr:uid="{00000000-0005-0000-0000-0000ED520000}"/>
    <cellStyle name="40% - Accent2 2 3 7 4" xfId="15934" xr:uid="{00000000-0005-0000-0000-0000EE520000}"/>
    <cellStyle name="40% - Accent2 2 3 7 5" xfId="23036" xr:uid="{00000000-0005-0000-0000-0000EF520000}"/>
    <cellStyle name="40% - Accent2 2 3 7 6" xfId="30138" xr:uid="{00000000-0005-0000-0000-0000F0520000}"/>
    <cellStyle name="40% - Accent2 2 3 7 7" xfId="38749" xr:uid="{00000000-0005-0000-0000-0000F1520000}"/>
    <cellStyle name="40% - Accent2 2 3 8" xfId="4572" xr:uid="{00000000-0005-0000-0000-0000F2520000}"/>
    <cellStyle name="40% - Accent2 2 3 8 2" xfId="11673" xr:uid="{00000000-0005-0000-0000-0000F3520000}"/>
    <cellStyle name="40% - Accent2 2 3 8 3" xfId="18774" xr:uid="{00000000-0005-0000-0000-0000F4520000}"/>
    <cellStyle name="40% - Accent2 2 3 8 4" xfId="25876" xr:uid="{00000000-0005-0000-0000-0000F5520000}"/>
    <cellStyle name="40% - Accent2 2 3 8 5" xfId="32978" xr:uid="{00000000-0005-0000-0000-0000F6520000}"/>
    <cellStyle name="40% - Accent2 2 3 9" xfId="3147" xr:uid="{00000000-0005-0000-0000-0000F7520000}"/>
    <cellStyle name="40% - Accent2 2 3 9 2" xfId="10253" xr:uid="{00000000-0005-0000-0000-0000F8520000}"/>
    <cellStyle name="40% - Accent2 2 3 9 3" xfId="17354" xr:uid="{00000000-0005-0000-0000-0000F9520000}"/>
    <cellStyle name="40% - Accent2 2 3 9 4" xfId="24456" xr:uid="{00000000-0005-0000-0000-0000FA520000}"/>
    <cellStyle name="40% - Accent2 2 3 9 5" xfId="31558" xr:uid="{00000000-0005-0000-0000-0000FB520000}"/>
    <cellStyle name="40% - Accent2 2 4" xfId="163" xr:uid="{00000000-0005-0000-0000-0000FC520000}"/>
    <cellStyle name="40% - Accent2 2 4 10" xfId="7342" xr:uid="{00000000-0005-0000-0000-0000FD520000}"/>
    <cellStyle name="40% - Accent2 2 4 11" xfId="14443" xr:uid="{00000000-0005-0000-0000-0000FE520000}"/>
    <cellStyle name="40% - Accent2 2 4 12" xfId="21545" xr:uid="{00000000-0005-0000-0000-0000FF520000}"/>
    <cellStyle name="40% - Accent2 2 4 13" xfId="28647" xr:uid="{00000000-0005-0000-0000-000000530000}"/>
    <cellStyle name="40% - Accent2 2 4 14" xfId="35749" xr:uid="{00000000-0005-0000-0000-000001530000}"/>
    <cellStyle name="40% - Accent2 2 4 15" xfId="38750" xr:uid="{00000000-0005-0000-0000-000002530000}"/>
    <cellStyle name="40% - Accent2 2 4 2" xfId="376" xr:uid="{00000000-0005-0000-0000-000003530000}"/>
    <cellStyle name="40% - Accent2 2 4 2 2" xfId="1867" xr:uid="{00000000-0005-0000-0000-000004530000}"/>
    <cellStyle name="40% - Accent2 2 4 2 2 2" xfId="6135" xr:uid="{00000000-0005-0000-0000-000005530000}"/>
    <cellStyle name="40% - Accent2 2 4 2 2 2 2" xfId="13235" xr:uid="{00000000-0005-0000-0000-000006530000}"/>
    <cellStyle name="40% - Accent2 2 4 2 2 2 3" xfId="20336" xr:uid="{00000000-0005-0000-0000-000007530000}"/>
    <cellStyle name="40% - Accent2 2 4 2 2 2 4" xfId="27438" xr:uid="{00000000-0005-0000-0000-000008530000}"/>
    <cellStyle name="40% - Accent2 2 4 2 2 2 5" xfId="34540" xr:uid="{00000000-0005-0000-0000-000009530000}"/>
    <cellStyle name="40% - Accent2 2 4 2 2 2 6" xfId="38751" xr:uid="{00000000-0005-0000-0000-00000A530000}"/>
    <cellStyle name="40% - Accent2 2 4 2 2 3" xfId="8975" xr:uid="{00000000-0005-0000-0000-00000B530000}"/>
    <cellStyle name="40% - Accent2 2 4 2 2 4" xfId="16076" xr:uid="{00000000-0005-0000-0000-00000C530000}"/>
    <cellStyle name="40% - Accent2 2 4 2 2 5" xfId="23178" xr:uid="{00000000-0005-0000-0000-00000D530000}"/>
    <cellStyle name="40% - Accent2 2 4 2 2 6" xfId="30280" xr:uid="{00000000-0005-0000-0000-00000E530000}"/>
    <cellStyle name="40% - Accent2 2 4 2 2 7" xfId="38752" xr:uid="{00000000-0005-0000-0000-00000F530000}"/>
    <cellStyle name="40% - Accent2 2 4 2 3" xfId="4714" xr:uid="{00000000-0005-0000-0000-000010530000}"/>
    <cellStyle name="40% - Accent2 2 4 2 3 2" xfId="11815" xr:uid="{00000000-0005-0000-0000-000011530000}"/>
    <cellStyle name="40% - Accent2 2 4 2 3 2 2" xfId="38753" xr:uid="{00000000-0005-0000-0000-000012530000}"/>
    <cellStyle name="40% - Accent2 2 4 2 3 3" xfId="18916" xr:uid="{00000000-0005-0000-0000-000013530000}"/>
    <cellStyle name="40% - Accent2 2 4 2 3 4" xfId="26018" xr:uid="{00000000-0005-0000-0000-000014530000}"/>
    <cellStyle name="40% - Accent2 2 4 2 3 5" xfId="33120" xr:uid="{00000000-0005-0000-0000-000015530000}"/>
    <cellStyle name="40% - Accent2 2 4 2 3 6" xfId="38754" xr:uid="{00000000-0005-0000-0000-000016530000}"/>
    <cellStyle name="40% - Accent2 2 4 2 4" xfId="3289" xr:uid="{00000000-0005-0000-0000-000017530000}"/>
    <cellStyle name="40% - Accent2 2 4 2 4 2" xfId="10395" xr:uid="{00000000-0005-0000-0000-000018530000}"/>
    <cellStyle name="40% - Accent2 2 4 2 4 3" xfId="17496" xr:uid="{00000000-0005-0000-0000-000019530000}"/>
    <cellStyle name="40% - Accent2 2 4 2 4 4" xfId="24598" xr:uid="{00000000-0005-0000-0000-00001A530000}"/>
    <cellStyle name="40% - Accent2 2 4 2 4 5" xfId="31700" xr:uid="{00000000-0005-0000-0000-00001B530000}"/>
    <cellStyle name="40% - Accent2 2 4 2 4 6" xfId="38755" xr:uid="{00000000-0005-0000-0000-00001C530000}"/>
    <cellStyle name="40% - Accent2 2 4 2 5" xfId="7555" xr:uid="{00000000-0005-0000-0000-00001D530000}"/>
    <cellStyle name="40% - Accent2 2 4 2 6" xfId="14656" xr:uid="{00000000-0005-0000-0000-00001E530000}"/>
    <cellStyle name="40% - Accent2 2 4 2 7" xfId="21758" xr:uid="{00000000-0005-0000-0000-00001F530000}"/>
    <cellStyle name="40% - Accent2 2 4 2 8" xfId="28860" xr:uid="{00000000-0005-0000-0000-000020530000}"/>
    <cellStyle name="40% - Accent2 2 4 2 9" xfId="38756" xr:uid="{00000000-0005-0000-0000-000021530000}"/>
    <cellStyle name="40% - Accent2 2 4 3" xfId="589" xr:uid="{00000000-0005-0000-0000-000022530000}"/>
    <cellStyle name="40% - Accent2 2 4 3 2" xfId="2080" xr:uid="{00000000-0005-0000-0000-000023530000}"/>
    <cellStyle name="40% - Accent2 2 4 3 2 2" xfId="6348" xr:uid="{00000000-0005-0000-0000-000024530000}"/>
    <cellStyle name="40% - Accent2 2 4 3 2 2 2" xfId="13448" xr:uid="{00000000-0005-0000-0000-000025530000}"/>
    <cellStyle name="40% - Accent2 2 4 3 2 2 3" xfId="20549" xr:uid="{00000000-0005-0000-0000-000026530000}"/>
    <cellStyle name="40% - Accent2 2 4 3 2 2 4" xfId="27651" xr:uid="{00000000-0005-0000-0000-000027530000}"/>
    <cellStyle name="40% - Accent2 2 4 3 2 2 5" xfId="34753" xr:uid="{00000000-0005-0000-0000-000028530000}"/>
    <cellStyle name="40% - Accent2 2 4 3 2 2 6" xfId="38757" xr:uid="{00000000-0005-0000-0000-000029530000}"/>
    <cellStyle name="40% - Accent2 2 4 3 2 3" xfId="9188" xr:uid="{00000000-0005-0000-0000-00002A530000}"/>
    <cellStyle name="40% - Accent2 2 4 3 2 4" xfId="16289" xr:uid="{00000000-0005-0000-0000-00002B530000}"/>
    <cellStyle name="40% - Accent2 2 4 3 2 5" xfId="23391" xr:uid="{00000000-0005-0000-0000-00002C530000}"/>
    <cellStyle name="40% - Accent2 2 4 3 2 6" xfId="30493" xr:uid="{00000000-0005-0000-0000-00002D530000}"/>
    <cellStyle name="40% - Accent2 2 4 3 2 7" xfId="38758" xr:uid="{00000000-0005-0000-0000-00002E530000}"/>
    <cellStyle name="40% - Accent2 2 4 3 3" xfId="4927" xr:uid="{00000000-0005-0000-0000-00002F530000}"/>
    <cellStyle name="40% - Accent2 2 4 3 3 2" xfId="12028" xr:uid="{00000000-0005-0000-0000-000030530000}"/>
    <cellStyle name="40% - Accent2 2 4 3 3 2 2" xfId="38759" xr:uid="{00000000-0005-0000-0000-000031530000}"/>
    <cellStyle name="40% - Accent2 2 4 3 3 3" xfId="19129" xr:uid="{00000000-0005-0000-0000-000032530000}"/>
    <cellStyle name="40% - Accent2 2 4 3 3 4" xfId="26231" xr:uid="{00000000-0005-0000-0000-000033530000}"/>
    <cellStyle name="40% - Accent2 2 4 3 3 5" xfId="33333" xr:uid="{00000000-0005-0000-0000-000034530000}"/>
    <cellStyle name="40% - Accent2 2 4 3 3 6" xfId="38760" xr:uid="{00000000-0005-0000-0000-000035530000}"/>
    <cellStyle name="40% - Accent2 2 4 3 4" xfId="3502" xr:uid="{00000000-0005-0000-0000-000036530000}"/>
    <cellStyle name="40% - Accent2 2 4 3 4 2" xfId="10608" xr:uid="{00000000-0005-0000-0000-000037530000}"/>
    <cellStyle name="40% - Accent2 2 4 3 4 3" xfId="17709" xr:uid="{00000000-0005-0000-0000-000038530000}"/>
    <cellStyle name="40% - Accent2 2 4 3 4 4" xfId="24811" xr:uid="{00000000-0005-0000-0000-000039530000}"/>
    <cellStyle name="40% - Accent2 2 4 3 4 5" xfId="31913" xr:uid="{00000000-0005-0000-0000-00003A530000}"/>
    <cellStyle name="40% - Accent2 2 4 3 4 6" xfId="38761" xr:uid="{00000000-0005-0000-0000-00003B530000}"/>
    <cellStyle name="40% - Accent2 2 4 3 5" xfId="7768" xr:uid="{00000000-0005-0000-0000-00003C530000}"/>
    <cellStyle name="40% - Accent2 2 4 3 6" xfId="14869" xr:uid="{00000000-0005-0000-0000-00003D530000}"/>
    <cellStyle name="40% - Accent2 2 4 3 7" xfId="21971" xr:uid="{00000000-0005-0000-0000-00003E530000}"/>
    <cellStyle name="40% - Accent2 2 4 3 8" xfId="29073" xr:uid="{00000000-0005-0000-0000-00003F530000}"/>
    <cellStyle name="40% - Accent2 2 4 3 9" xfId="38762" xr:uid="{00000000-0005-0000-0000-000040530000}"/>
    <cellStyle name="40% - Accent2 2 4 4" xfId="802" xr:uid="{00000000-0005-0000-0000-000041530000}"/>
    <cellStyle name="40% - Accent2 2 4 4 2" xfId="2293" xr:uid="{00000000-0005-0000-0000-000042530000}"/>
    <cellStyle name="40% - Accent2 2 4 4 2 2" xfId="6561" xr:uid="{00000000-0005-0000-0000-000043530000}"/>
    <cellStyle name="40% - Accent2 2 4 4 2 2 2" xfId="13661" xr:uid="{00000000-0005-0000-0000-000044530000}"/>
    <cellStyle name="40% - Accent2 2 4 4 2 2 3" xfId="20762" xr:uid="{00000000-0005-0000-0000-000045530000}"/>
    <cellStyle name="40% - Accent2 2 4 4 2 2 4" xfId="27864" xr:uid="{00000000-0005-0000-0000-000046530000}"/>
    <cellStyle name="40% - Accent2 2 4 4 2 2 5" xfId="34966" xr:uid="{00000000-0005-0000-0000-000047530000}"/>
    <cellStyle name="40% - Accent2 2 4 4 2 2 6" xfId="38763" xr:uid="{00000000-0005-0000-0000-000048530000}"/>
    <cellStyle name="40% - Accent2 2 4 4 2 3" xfId="9401" xr:uid="{00000000-0005-0000-0000-000049530000}"/>
    <cellStyle name="40% - Accent2 2 4 4 2 4" xfId="16502" xr:uid="{00000000-0005-0000-0000-00004A530000}"/>
    <cellStyle name="40% - Accent2 2 4 4 2 5" xfId="23604" xr:uid="{00000000-0005-0000-0000-00004B530000}"/>
    <cellStyle name="40% - Accent2 2 4 4 2 6" xfId="30706" xr:uid="{00000000-0005-0000-0000-00004C530000}"/>
    <cellStyle name="40% - Accent2 2 4 4 2 7" xfId="38764" xr:uid="{00000000-0005-0000-0000-00004D530000}"/>
    <cellStyle name="40% - Accent2 2 4 4 3" xfId="5140" xr:uid="{00000000-0005-0000-0000-00004E530000}"/>
    <cellStyle name="40% - Accent2 2 4 4 3 2" xfId="12241" xr:uid="{00000000-0005-0000-0000-00004F530000}"/>
    <cellStyle name="40% - Accent2 2 4 4 3 2 2" xfId="38765" xr:uid="{00000000-0005-0000-0000-000050530000}"/>
    <cellStyle name="40% - Accent2 2 4 4 3 3" xfId="19342" xr:uid="{00000000-0005-0000-0000-000051530000}"/>
    <cellStyle name="40% - Accent2 2 4 4 3 4" xfId="26444" xr:uid="{00000000-0005-0000-0000-000052530000}"/>
    <cellStyle name="40% - Accent2 2 4 4 3 5" xfId="33546" xr:uid="{00000000-0005-0000-0000-000053530000}"/>
    <cellStyle name="40% - Accent2 2 4 4 3 6" xfId="38766" xr:uid="{00000000-0005-0000-0000-000054530000}"/>
    <cellStyle name="40% - Accent2 2 4 4 4" xfId="3715" xr:uid="{00000000-0005-0000-0000-000055530000}"/>
    <cellStyle name="40% - Accent2 2 4 4 4 2" xfId="10821" xr:uid="{00000000-0005-0000-0000-000056530000}"/>
    <cellStyle name="40% - Accent2 2 4 4 4 3" xfId="17922" xr:uid="{00000000-0005-0000-0000-000057530000}"/>
    <cellStyle name="40% - Accent2 2 4 4 4 4" xfId="25024" xr:uid="{00000000-0005-0000-0000-000058530000}"/>
    <cellStyle name="40% - Accent2 2 4 4 4 5" xfId="32126" xr:uid="{00000000-0005-0000-0000-000059530000}"/>
    <cellStyle name="40% - Accent2 2 4 4 4 6" xfId="38767" xr:uid="{00000000-0005-0000-0000-00005A530000}"/>
    <cellStyle name="40% - Accent2 2 4 4 5" xfId="7981" xr:uid="{00000000-0005-0000-0000-00005B530000}"/>
    <cellStyle name="40% - Accent2 2 4 4 6" xfId="15082" xr:uid="{00000000-0005-0000-0000-00005C530000}"/>
    <cellStyle name="40% - Accent2 2 4 4 7" xfId="22184" xr:uid="{00000000-0005-0000-0000-00005D530000}"/>
    <cellStyle name="40% - Accent2 2 4 4 8" xfId="29286" xr:uid="{00000000-0005-0000-0000-00005E530000}"/>
    <cellStyle name="40% - Accent2 2 4 4 9" xfId="38768" xr:uid="{00000000-0005-0000-0000-00005F530000}"/>
    <cellStyle name="40% - Accent2 2 4 5" xfId="1157" xr:uid="{00000000-0005-0000-0000-000060530000}"/>
    <cellStyle name="40% - Accent2 2 4 5 2" xfId="2648" xr:uid="{00000000-0005-0000-0000-000061530000}"/>
    <cellStyle name="40% - Accent2 2 4 5 2 2" xfId="6916" xr:uid="{00000000-0005-0000-0000-000062530000}"/>
    <cellStyle name="40% - Accent2 2 4 5 2 2 2" xfId="14016" xr:uid="{00000000-0005-0000-0000-000063530000}"/>
    <cellStyle name="40% - Accent2 2 4 5 2 2 3" xfId="21117" xr:uid="{00000000-0005-0000-0000-000064530000}"/>
    <cellStyle name="40% - Accent2 2 4 5 2 2 4" xfId="28219" xr:uid="{00000000-0005-0000-0000-000065530000}"/>
    <cellStyle name="40% - Accent2 2 4 5 2 2 5" xfId="35321" xr:uid="{00000000-0005-0000-0000-000066530000}"/>
    <cellStyle name="40% - Accent2 2 4 5 2 3" xfId="9756" xr:uid="{00000000-0005-0000-0000-000067530000}"/>
    <cellStyle name="40% - Accent2 2 4 5 2 4" xfId="16857" xr:uid="{00000000-0005-0000-0000-000068530000}"/>
    <cellStyle name="40% - Accent2 2 4 5 2 5" xfId="23959" xr:uid="{00000000-0005-0000-0000-000069530000}"/>
    <cellStyle name="40% - Accent2 2 4 5 2 6" xfId="31061" xr:uid="{00000000-0005-0000-0000-00006A530000}"/>
    <cellStyle name="40% - Accent2 2 4 5 2 7" xfId="38769" xr:uid="{00000000-0005-0000-0000-00006B530000}"/>
    <cellStyle name="40% - Accent2 2 4 5 3" xfId="5495" xr:uid="{00000000-0005-0000-0000-00006C530000}"/>
    <cellStyle name="40% - Accent2 2 4 5 3 2" xfId="12596" xr:uid="{00000000-0005-0000-0000-00006D530000}"/>
    <cellStyle name="40% - Accent2 2 4 5 3 3" xfId="19697" xr:uid="{00000000-0005-0000-0000-00006E530000}"/>
    <cellStyle name="40% - Accent2 2 4 5 3 4" xfId="26799" xr:uid="{00000000-0005-0000-0000-00006F530000}"/>
    <cellStyle name="40% - Accent2 2 4 5 3 5" xfId="33901" xr:uid="{00000000-0005-0000-0000-000070530000}"/>
    <cellStyle name="40% - Accent2 2 4 5 4" xfId="4070" xr:uid="{00000000-0005-0000-0000-000071530000}"/>
    <cellStyle name="40% - Accent2 2 4 5 4 2" xfId="11176" xr:uid="{00000000-0005-0000-0000-000072530000}"/>
    <cellStyle name="40% - Accent2 2 4 5 4 3" xfId="18277" xr:uid="{00000000-0005-0000-0000-000073530000}"/>
    <cellStyle name="40% - Accent2 2 4 5 4 4" xfId="25379" xr:uid="{00000000-0005-0000-0000-000074530000}"/>
    <cellStyle name="40% - Accent2 2 4 5 4 5" xfId="32481" xr:uid="{00000000-0005-0000-0000-000075530000}"/>
    <cellStyle name="40% - Accent2 2 4 5 5" xfId="8336" xr:uid="{00000000-0005-0000-0000-000076530000}"/>
    <cellStyle name="40% - Accent2 2 4 5 6" xfId="15437" xr:uid="{00000000-0005-0000-0000-000077530000}"/>
    <cellStyle name="40% - Accent2 2 4 5 7" xfId="22539" xr:uid="{00000000-0005-0000-0000-000078530000}"/>
    <cellStyle name="40% - Accent2 2 4 5 8" xfId="29641" xr:uid="{00000000-0005-0000-0000-000079530000}"/>
    <cellStyle name="40% - Accent2 2 4 5 9" xfId="38770" xr:uid="{00000000-0005-0000-0000-00007A530000}"/>
    <cellStyle name="40% - Accent2 2 4 6" xfId="1370" xr:uid="{00000000-0005-0000-0000-00007B530000}"/>
    <cellStyle name="40% - Accent2 2 4 6 2" xfId="2861" xr:uid="{00000000-0005-0000-0000-00007C530000}"/>
    <cellStyle name="40% - Accent2 2 4 6 2 2" xfId="7129" xr:uid="{00000000-0005-0000-0000-00007D530000}"/>
    <cellStyle name="40% - Accent2 2 4 6 2 2 2" xfId="14229" xr:uid="{00000000-0005-0000-0000-00007E530000}"/>
    <cellStyle name="40% - Accent2 2 4 6 2 2 3" xfId="21330" xr:uid="{00000000-0005-0000-0000-00007F530000}"/>
    <cellStyle name="40% - Accent2 2 4 6 2 2 4" xfId="28432" xr:uid="{00000000-0005-0000-0000-000080530000}"/>
    <cellStyle name="40% - Accent2 2 4 6 2 2 5" xfId="35534" xr:uid="{00000000-0005-0000-0000-000081530000}"/>
    <cellStyle name="40% - Accent2 2 4 6 2 3" xfId="9969" xr:uid="{00000000-0005-0000-0000-000082530000}"/>
    <cellStyle name="40% - Accent2 2 4 6 2 4" xfId="17070" xr:uid="{00000000-0005-0000-0000-000083530000}"/>
    <cellStyle name="40% - Accent2 2 4 6 2 5" xfId="24172" xr:uid="{00000000-0005-0000-0000-000084530000}"/>
    <cellStyle name="40% - Accent2 2 4 6 2 6" xfId="31274" xr:uid="{00000000-0005-0000-0000-000085530000}"/>
    <cellStyle name="40% - Accent2 2 4 6 2 7" xfId="38771" xr:uid="{00000000-0005-0000-0000-000086530000}"/>
    <cellStyle name="40% - Accent2 2 4 6 3" xfId="5708" xr:uid="{00000000-0005-0000-0000-000087530000}"/>
    <cellStyle name="40% - Accent2 2 4 6 3 2" xfId="12809" xr:uid="{00000000-0005-0000-0000-000088530000}"/>
    <cellStyle name="40% - Accent2 2 4 6 3 3" xfId="19910" xr:uid="{00000000-0005-0000-0000-000089530000}"/>
    <cellStyle name="40% - Accent2 2 4 6 3 4" xfId="27012" xr:uid="{00000000-0005-0000-0000-00008A530000}"/>
    <cellStyle name="40% - Accent2 2 4 6 3 5" xfId="34114" xr:uid="{00000000-0005-0000-0000-00008B530000}"/>
    <cellStyle name="40% - Accent2 2 4 6 4" xfId="4283" xr:uid="{00000000-0005-0000-0000-00008C530000}"/>
    <cellStyle name="40% - Accent2 2 4 6 4 2" xfId="11389" xr:uid="{00000000-0005-0000-0000-00008D530000}"/>
    <cellStyle name="40% - Accent2 2 4 6 4 3" xfId="18490" xr:uid="{00000000-0005-0000-0000-00008E530000}"/>
    <cellStyle name="40% - Accent2 2 4 6 4 4" xfId="25592" xr:uid="{00000000-0005-0000-0000-00008F530000}"/>
    <cellStyle name="40% - Accent2 2 4 6 4 5" xfId="32694" xr:uid="{00000000-0005-0000-0000-000090530000}"/>
    <cellStyle name="40% - Accent2 2 4 6 5" xfId="8549" xr:uid="{00000000-0005-0000-0000-000091530000}"/>
    <cellStyle name="40% - Accent2 2 4 6 6" xfId="15650" xr:uid="{00000000-0005-0000-0000-000092530000}"/>
    <cellStyle name="40% - Accent2 2 4 6 7" xfId="22752" xr:uid="{00000000-0005-0000-0000-000093530000}"/>
    <cellStyle name="40% - Accent2 2 4 6 8" xfId="29854" xr:uid="{00000000-0005-0000-0000-000094530000}"/>
    <cellStyle name="40% - Accent2 2 4 6 9" xfId="38772" xr:uid="{00000000-0005-0000-0000-000095530000}"/>
    <cellStyle name="40% - Accent2 2 4 7" xfId="1654" xr:uid="{00000000-0005-0000-0000-000096530000}"/>
    <cellStyle name="40% - Accent2 2 4 7 2" xfId="5922" xr:uid="{00000000-0005-0000-0000-000097530000}"/>
    <cellStyle name="40% - Accent2 2 4 7 2 2" xfId="13022" xr:uid="{00000000-0005-0000-0000-000098530000}"/>
    <cellStyle name="40% - Accent2 2 4 7 2 3" xfId="20123" xr:uid="{00000000-0005-0000-0000-000099530000}"/>
    <cellStyle name="40% - Accent2 2 4 7 2 4" xfId="27225" xr:uid="{00000000-0005-0000-0000-00009A530000}"/>
    <cellStyle name="40% - Accent2 2 4 7 2 5" xfId="34327" xr:uid="{00000000-0005-0000-0000-00009B530000}"/>
    <cellStyle name="40% - Accent2 2 4 7 3" xfId="8762" xr:uid="{00000000-0005-0000-0000-00009C530000}"/>
    <cellStyle name="40% - Accent2 2 4 7 4" xfId="15863" xr:uid="{00000000-0005-0000-0000-00009D530000}"/>
    <cellStyle name="40% - Accent2 2 4 7 5" xfId="22965" xr:uid="{00000000-0005-0000-0000-00009E530000}"/>
    <cellStyle name="40% - Accent2 2 4 7 6" xfId="30067" xr:uid="{00000000-0005-0000-0000-00009F530000}"/>
    <cellStyle name="40% - Accent2 2 4 7 7" xfId="38773" xr:uid="{00000000-0005-0000-0000-0000A0530000}"/>
    <cellStyle name="40% - Accent2 2 4 8" xfId="4501" xr:uid="{00000000-0005-0000-0000-0000A1530000}"/>
    <cellStyle name="40% - Accent2 2 4 8 2" xfId="11602" xr:uid="{00000000-0005-0000-0000-0000A2530000}"/>
    <cellStyle name="40% - Accent2 2 4 8 3" xfId="18703" xr:uid="{00000000-0005-0000-0000-0000A3530000}"/>
    <cellStyle name="40% - Accent2 2 4 8 4" xfId="25805" xr:uid="{00000000-0005-0000-0000-0000A4530000}"/>
    <cellStyle name="40% - Accent2 2 4 8 5" xfId="32907" xr:uid="{00000000-0005-0000-0000-0000A5530000}"/>
    <cellStyle name="40% - Accent2 2 4 9" xfId="3076" xr:uid="{00000000-0005-0000-0000-0000A6530000}"/>
    <cellStyle name="40% - Accent2 2 4 9 2" xfId="10182" xr:uid="{00000000-0005-0000-0000-0000A7530000}"/>
    <cellStyle name="40% - Accent2 2 4 9 3" xfId="17283" xr:uid="{00000000-0005-0000-0000-0000A8530000}"/>
    <cellStyle name="40% - Accent2 2 4 9 4" xfId="24385" xr:uid="{00000000-0005-0000-0000-0000A9530000}"/>
    <cellStyle name="40% - Accent2 2 4 9 5" xfId="31487" xr:uid="{00000000-0005-0000-0000-0000AA530000}"/>
    <cellStyle name="40% - Accent2 2 5" xfId="305" xr:uid="{00000000-0005-0000-0000-0000AB530000}"/>
    <cellStyle name="40% - Accent2 2 5 10" xfId="38774" xr:uid="{00000000-0005-0000-0000-0000AC530000}"/>
    <cellStyle name="40% - Accent2 2 5 2" xfId="1086" xr:uid="{00000000-0005-0000-0000-0000AD530000}"/>
    <cellStyle name="40% - Accent2 2 5 2 2" xfId="2577" xr:uid="{00000000-0005-0000-0000-0000AE530000}"/>
    <cellStyle name="40% - Accent2 2 5 2 2 2" xfId="6845" xr:uid="{00000000-0005-0000-0000-0000AF530000}"/>
    <cellStyle name="40% - Accent2 2 5 2 2 2 2" xfId="13945" xr:uid="{00000000-0005-0000-0000-0000B0530000}"/>
    <cellStyle name="40% - Accent2 2 5 2 2 2 3" xfId="21046" xr:uid="{00000000-0005-0000-0000-0000B1530000}"/>
    <cellStyle name="40% - Accent2 2 5 2 2 2 4" xfId="28148" xr:uid="{00000000-0005-0000-0000-0000B2530000}"/>
    <cellStyle name="40% - Accent2 2 5 2 2 2 5" xfId="35250" xr:uid="{00000000-0005-0000-0000-0000B3530000}"/>
    <cellStyle name="40% - Accent2 2 5 2 2 2 6" xfId="38775" xr:uid="{00000000-0005-0000-0000-0000B4530000}"/>
    <cellStyle name="40% - Accent2 2 5 2 2 3" xfId="9685" xr:uid="{00000000-0005-0000-0000-0000B5530000}"/>
    <cellStyle name="40% - Accent2 2 5 2 2 4" xfId="16786" xr:uid="{00000000-0005-0000-0000-0000B6530000}"/>
    <cellStyle name="40% - Accent2 2 5 2 2 5" xfId="23888" xr:uid="{00000000-0005-0000-0000-0000B7530000}"/>
    <cellStyle name="40% - Accent2 2 5 2 2 6" xfId="30990" xr:uid="{00000000-0005-0000-0000-0000B8530000}"/>
    <cellStyle name="40% - Accent2 2 5 2 2 7" xfId="38776" xr:uid="{00000000-0005-0000-0000-0000B9530000}"/>
    <cellStyle name="40% - Accent2 2 5 2 3" xfId="5424" xr:uid="{00000000-0005-0000-0000-0000BA530000}"/>
    <cellStyle name="40% - Accent2 2 5 2 3 2" xfId="12525" xr:uid="{00000000-0005-0000-0000-0000BB530000}"/>
    <cellStyle name="40% - Accent2 2 5 2 3 2 2" xfId="38777" xr:uid="{00000000-0005-0000-0000-0000BC530000}"/>
    <cellStyle name="40% - Accent2 2 5 2 3 3" xfId="19626" xr:uid="{00000000-0005-0000-0000-0000BD530000}"/>
    <cellStyle name="40% - Accent2 2 5 2 3 4" xfId="26728" xr:uid="{00000000-0005-0000-0000-0000BE530000}"/>
    <cellStyle name="40% - Accent2 2 5 2 3 5" xfId="33830" xr:uid="{00000000-0005-0000-0000-0000BF530000}"/>
    <cellStyle name="40% - Accent2 2 5 2 3 6" xfId="38778" xr:uid="{00000000-0005-0000-0000-0000C0530000}"/>
    <cellStyle name="40% - Accent2 2 5 2 4" xfId="3999" xr:uid="{00000000-0005-0000-0000-0000C1530000}"/>
    <cellStyle name="40% - Accent2 2 5 2 4 2" xfId="11105" xr:uid="{00000000-0005-0000-0000-0000C2530000}"/>
    <cellStyle name="40% - Accent2 2 5 2 4 3" xfId="18206" xr:uid="{00000000-0005-0000-0000-0000C3530000}"/>
    <cellStyle name="40% - Accent2 2 5 2 4 4" xfId="25308" xr:uid="{00000000-0005-0000-0000-0000C4530000}"/>
    <cellStyle name="40% - Accent2 2 5 2 4 5" xfId="32410" xr:uid="{00000000-0005-0000-0000-0000C5530000}"/>
    <cellStyle name="40% - Accent2 2 5 2 4 6" xfId="38779" xr:uid="{00000000-0005-0000-0000-0000C6530000}"/>
    <cellStyle name="40% - Accent2 2 5 2 5" xfId="8265" xr:uid="{00000000-0005-0000-0000-0000C7530000}"/>
    <cellStyle name="40% - Accent2 2 5 2 6" xfId="15366" xr:uid="{00000000-0005-0000-0000-0000C8530000}"/>
    <cellStyle name="40% - Accent2 2 5 2 7" xfId="22468" xr:uid="{00000000-0005-0000-0000-0000C9530000}"/>
    <cellStyle name="40% - Accent2 2 5 2 8" xfId="29570" xr:uid="{00000000-0005-0000-0000-0000CA530000}"/>
    <cellStyle name="40% - Accent2 2 5 2 9" xfId="38780" xr:uid="{00000000-0005-0000-0000-0000CB530000}"/>
    <cellStyle name="40% - Accent2 2 5 3" xfId="1796" xr:uid="{00000000-0005-0000-0000-0000CC530000}"/>
    <cellStyle name="40% - Accent2 2 5 3 2" xfId="6064" xr:uid="{00000000-0005-0000-0000-0000CD530000}"/>
    <cellStyle name="40% - Accent2 2 5 3 2 2" xfId="13164" xr:uid="{00000000-0005-0000-0000-0000CE530000}"/>
    <cellStyle name="40% - Accent2 2 5 3 2 2 2" xfId="38781" xr:uid="{00000000-0005-0000-0000-0000CF530000}"/>
    <cellStyle name="40% - Accent2 2 5 3 2 3" xfId="20265" xr:uid="{00000000-0005-0000-0000-0000D0530000}"/>
    <cellStyle name="40% - Accent2 2 5 3 2 4" xfId="27367" xr:uid="{00000000-0005-0000-0000-0000D1530000}"/>
    <cellStyle name="40% - Accent2 2 5 3 2 5" xfId="34469" xr:uid="{00000000-0005-0000-0000-0000D2530000}"/>
    <cellStyle name="40% - Accent2 2 5 3 2 6" xfId="38782" xr:uid="{00000000-0005-0000-0000-0000D3530000}"/>
    <cellStyle name="40% - Accent2 2 5 3 3" xfId="8904" xr:uid="{00000000-0005-0000-0000-0000D4530000}"/>
    <cellStyle name="40% - Accent2 2 5 3 3 2" xfId="38783" xr:uid="{00000000-0005-0000-0000-0000D5530000}"/>
    <cellStyle name="40% - Accent2 2 5 3 3 3" xfId="38784" xr:uid="{00000000-0005-0000-0000-0000D6530000}"/>
    <cellStyle name="40% - Accent2 2 5 3 4" xfId="16005" xr:uid="{00000000-0005-0000-0000-0000D7530000}"/>
    <cellStyle name="40% - Accent2 2 5 3 4 2" xfId="38785" xr:uid="{00000000-0005-0000-0000-0000D8530000}"/>
    <cellStyle name="40% - Accent2 2 5 3 5" xfId="23107" xr:uid="{00000000-0005-0000-0000-0000D9530000}"/>
    <cellStyle name="40% - Accent2 2 5 3 6" xfId="30209" xr:uid="{00000000-0005-0000-0000-0000DA530000}"/>
    <cellStyle name="40% - Accent2 2 5 3 7" xfId="38786" xr:uid="{00000000-0005-0000-0000-0000DB530000}"/>
    <cellStyle name="40% - Accent2 2 5 4" xfId="4643" xr:uid="{00000000-0005-0000-0000-0000DC530000}"/>
    <cellStyle name="40% - Accent2 2 5 4 2" xfId="11744" xr:uid="{00000000-0005-0000-0000-0000DD530000}"/>
    <cellStyle name="40% - Accent2 2 5 4 2 2" xfId="38787" xr:uid="{00000000-0005-0000-0000-0000DE530000}"/>
    <cellStyle name="40% - Accent2 2 5 4 2 3" xfId="38788" xr:uid="{00000000-0005-0000-0000-0000DF530000}"/>
    <cellStyle name="40% - Accent2 2 5 4 3" xfId="18845" xr:uid="{00000000-0005-0000-0000-0000E0530000}"/>
    <cellStyle name="40% - Accent2 2 5 4 3 2" xfId="38789" xr:uid="{00000000-0005-0000-0000-0000E1530000}"/>
    <cellStyle name="40% - Accent2 2 5 4 3 3" xfId="38790" xr:uid="{00000000-0005-0000-0000-0000E2530000}"/>
    <cellStyle name="40% - Accent2 2 5 4 4" xfId="25947" xr:uid="{00000000-0005-0000-0000-0000E3530000}"/>
    <cellStyle name="40% - Accent2 2 5 4 4 2" xfId="38791" xr:uid="{00000000-0005-0000-0000-0000E4530000}"/>
    <cellStyle name="40% - Accent2 2 5 4 5" xfId="33049" xr:uid="{00000000-0005-0000-0000-0000E5530000}"/>
    <cellStyle name="40% - Accent2 2 5 4 6" xfId="38792" xr:uid="{00000000-0005-0000-0000-0000E6530000}"/>
    <cellStyle name="40% - Accent2 2 5 5" xfId="3218" xr:uid="{00000000-0005-0000-0000-0000E7530000}"/>
    <cellStyle name="40% - Accent2 2 5 5 2" xfId="10324" xr:uid="{00000000-0005-0000-0000-0000E8530000}"/>
    <cellStyle name="40% - Accent2 2 5 5 2 2" xfId="38793" xr:uid="{00000000-0005-0000-0000-0000E9530000}"/>
    <cellStyle name="40% - Accent2 2 5 5 3" xfId="17425" xr:uid="{00000000-0005-0000-0000-0000EA530000}"/>
    <cellStyle name="40% - Accent2 2 5 5 4" xfId="24527" xr:uid="{00000000-0005-0000-0000-0000EB530000}"/>
    <cellStyle name="40% - Accent2 2 5 5 5" xfId="31629" xr:uid="{00000000-0005-0000-0000-0000EC530000}"/>
    <cellStyle name="40% - Accent2 2 5 5 6" xfId="38794" xr:uid="{00000000-0005-0000-0000-0000ED530000}"/>
    <cellStyle name="40% - Accent2 2 5 6" xfId="7484" xr:uid="{00000000-0005-0000-0000-0000EE530000}"/>
    <cellStyle name="40% - Accent2 2 5 6 2" xfId="38795" xr:uid="{00000000-0005-0000-0000-0000EF530000}"/>
    <cellStyle name="40% - Accent2 2 5 6 3" xfId="38796" xr:uid="{00000000-0005-0000-0000-0000F0530000}"/>
    <cellStyle name="40% - Accent2 2 5 7" xfId="14585" xr:uid="{00000000-0005-0000-0000-0000F1530000}"/>
    <cellStyle name="40% - Accent2 2 5 7 2" xfId="38797" xr:uid="{00000000-0005-0000-0000-0000F2530000}"/>
    <cellStyle name="40% - Accent2 2 5 8" xfId="21687" xr:uid="{00000000-0005-0000-0000-0000F3530000}"/>
    <cellStyle name="40% - Accent2 2 5 9" xfId="28789" xr:uid="{00000000-0005-0000-0000-0000F4530000}"/>
    <cellStyle name="40% - Accent2 2 6" xfId="518" xr:uid="{00000000-0005-0000-0000-0000F5530000}"/>
    <cellStyle name="40% - Accent2 2 6 2" xfId="2009" xr:uid="{00000000-0005-0000-0000-0000F6530000}"/>
    <cellStyle name="40% - Accent2 2 6 2 2" xfId="6277" xr:uid="{00000000-0005-0000-0000-0000F7530000}"/>
    <cellStyle name="40% - Accent2 2 6 2 2 2" xfId="13377" xr:uid="{00000000-0005-0000-0000-0000F8530000}"/>
    <cellStyle name="40% - Accent2 2 6 2 2 3" xfId="20478" xr:uid="{00000000-0005-0000-0000-0000F9530000}"/>
    <cellStyle name="40% - Accent2 2 6 2 2 4" xfId="27580" xr:uid="{00000000-0005-0000-0000-0000FA530000}"/>
    <cellStyle name="40% - Accent2 2 6 2 2 5" xfId="34682" xr:uid="{00000000-0005-0000-0000-0000FB530000}"/>
    <cellStyle name="40% - Accent2 2 6 2 2 6" xfId="38798" xr:uid="{00000000-0005-0000-0000-0000FC530000}"/>
    <cellStyle name="40% - Accent2 2 6 2 3" xfId="9117" xr:uid="{00000000-0005-0000-0000-0000FD530000}"/>
    <cellStyle name="40% - Accent2 2 6 2 4" xfId="16218" xr:uid="{00000000-0005-0000-0000-0000FE530000}"/>
    <cellStyle name="40% - Accent2 2 6 2 5" xfId="23320" xr:uid="{00000000-0005-0000-0000-0000FF530000}"/>
    <cellStyle name="40% - Accent2 2 6 2 6" xfId="30422" xr:uid="{00000000-0005-0000-0000-000000540000}"/>
    <cellStyle name="40% - Accent2 2 6 2 7" xfId="38799" xr:uid="{00000000-0005-0000-0000-000001540000}"/>
    <cellStyle name="40% - Accent2 2 6 3" xfId="4856" xr:uid="{00000000-0005-0000-0000-000002540000}"/>
    <cellStyle name="40% - Accent2 2 6 3 2" xfId="11957" xr:uid="{00000000-0005-0000-0000-000003540000}"/>
    <cellStyle name="40% - Accent2 2 6 3 2 2" xfId="38800" xr:uid="{00000000-0005-0000-0000-000004540000}"/>
    <cellStyle name="40% - Accent2 2 6 3 3" xfId="19058" xr:uid="{00000000-0005-0000-0000-000005540000}"/>
    <cellStyle name="40% - Accent2 2 6 3 4" xfId="26160" xr:uid="{00000000-0005-0000-0000-000006540000}"/>
    <cellStyle name="40% - Accent2 2 6 3 5" xfId="33262" xr:uid="{00000000-0005-0000-0000-000007540000}"/>
    <cellStyle name="40% - Accent2 2 6 3 6" xfId="38801" xr:uid="{00000000-0005-0000-0000-000008540000}"/>
    <cellStyle name="40% - Accent2 2 6 4" xfId="3431" xr:uid="{00000000-0005-0000-0000-000009540000}"/>
    <cellStyle name="40% - Accent2 2 6 4 2" xfId="10537" xr:uid="{00000000-0005-0000-0000-00000A540000}"/>
    <cellStyle name="40% - Accent2 2 6 4 3" xfId="17638" xr:uid="{00000000-0005-0000-0000-00000B540000}"/>
    <cellStyle name="40% - Accent2 2 6 4 4" xfId="24740" xr:uid="{00000000-0005-0000-0000-00000C540000}"/>
    <cellStyle name="40% - Accent2 2 6 4 5" xfId="31842" xr:uid="{00000000-0005-0000-0000-00000D540000}"/>
    <cellStyle name="40% - Accent2 2 6 4 6" xfId="38802" xr:uid="{00000000-0005-0000-0000-00000E540000}"/>
    <cellStyle name="40% - Accent2 2 6 5" xfId="7697" xr:uid="{00000000-0005-0000-0000-00000F540000}"/>
    <cellStyle name="40% - Accent2 2 6 6" xfId="14798" xr:uid="{00000000-0005-0000-0000-000010540000}"/>
    <cellStyle name="40% - Accent2 2 6 7" xfId="21900" xr:uid="{00000000-0005-0000-0000-000011540000}"/>
    <cellStyle name="40% - Accent2 2 6 8" xfId="29002" xr:uid="{00000000-0005-0000-0000-000012540000}"/>
    <cellStyle name="40% - Accent2 2 6 9" xfId="38803" xr:uid="{00000000-0005-0000-0000-000013540000}"/>
    <cellStyle name="40% - Accent2 2 7" xfId="731" xr:uid="{00000000-0005-0000-0000-000014540000}"/>
    <cellStyle name="40% - Accent2 2 7 2" xfId="2222" xr:uid="{00000000-0005-0000-0000-000015540000}"/>
    <cellStyle name="40% - Accent2 2 7 2 2" xfId="6490" xr:uid="{00000000-0005-0000-0000-000016540000}"/>
    <cellStyle name="40% - Accent2 2 7 2 2 2" xfId="13590" xr:uid="{00000000-0005-0000-0000-000017540000}"/>
    <cellStyle name="40% - Accent2 2 7 2 2 3" xfId="20691" xr:uid="{00000000-0005-0000-0000-000018540000}"/>
    <cellStyle name="40% - Accent2 2 7 2 2 4" xfId="27793" xr:uid="{00000000-0005-0000-0000-000019540000}"/>
    <cellStyle name="40% - Accent2 2 7 2 2 5" xfId="34895" xr:uid="{00000000-0005-0000-0000-00001A540000}"/>
    <cellStyle name="40% - Accent2 2 7 2 2 6" xfId="38804" xr:uid="{00000000-0005-0000-0000-00001B540000}"/>
    <cellStyle name="40% - Accent2 2 7 2 3" xfId="9330" xr:uid="{00000000-0005-0000-0000-00001C540000}"/>
    <cellStyle name="40% - Accent2 2 7 2 4" xfId="16431" xr:uid="{00000000-0005-0000-0000-00001D540000}"/>
    <cellStyle name="40% - Accent2 2 7 2 5" xfId="23533" xr:uid="{00000000-0005-0000-0000-00001E540000}"/>
    <cellStyle name="40% - Accent2 2 7 2 6" xfId="30635" xr:uid="{00000000-0005-0000-0000-00001F540000}"/>
    <cellStyle name="40% - Accent2 2 7 2 7" xfId="38805" xr:uid="{00000000-0005-0000-0000-000020540000}"/>
    <cellStyle name="40% - Accent2 2 7 3" xfId="5069" xr:uid="{00000000-0005-0000-0000-000021540000}"/>
    <cellStyle name="40% - Accent2 2 7 3 2" xfId="12170" xr:uid="{00000000-0005-0000-0000-000022540000}"/>
    <cellStyle name="40% - Accent2 2 7 3 2 2" xfId="38806" xr:uid="{00000000-0005-0000-0000-000023540000}"/>
    <cellStyle name="40% - Accent2 2 7 3 3" xfId="19271" xr:uid="{00000000-0005-0000-0000-000024540000}"/>
    <cellStyle name="40% - Accent2 2 7 3 4" xfId="26373" xr:uid="{00000000-0005-0000-0000-000025540000}"/>
    <cellStyle name="40% - Accent2 2 7 3 5" xfId="33475" xr:uid="{00000000-0005-0000-0000-000026540000}"/>
    <cellStyle name="40% - Accent2 2 7 3 6" xfId="38807" xr:uid="{00000000-0005-0000-0000-000027540000}"/>
    <cellStyle name="40% - Accent2 2 7 4" xfId="3644" xr:uid="{00000000-0005-0000-0000-000028540000}"/>
    <cellStyle name="40% - Accent2 2 7 4 2" xfId="10750" xr:uid="{00000000-0005-0000-0000-000029540000}"/>
    <cellStyle name="40% - Accent2 2 7 4 3" xfId="17851" xr:uid="{00000000-0005-0000-0000-00002A540000}"/>
    <cellStyle name="40% - Accent2 2 7 4 4" xfId="24953" xr:uid="{00000000-0005-0000-0000-00002B540000}"/>
    <cellStyle name="40% - Accent2 2 7 4 5" xfId="32055" xr:uid="{00000000-0005-0000-0000-00002C540000}"/>
    <cellStyle name="40% - Accent2 2 7 4 6" xfId="38808" xr:uid="{00000000-0005-0000-0000-00002D540000}"/>
    <cellStyle name="40% - Accent2 2 7 5" xfId="7910" xr:uid="{00000000-0005-0000-0000-00002E540000}"/>
    <cellStyle name="40% - Accent2 2 7 6" xfId="15011" xr:uid="{00000000-0005-0000-0000-00002F540000}"/>
    <cellStyle name="40% - Accent2 2 7 7" xfId="22113" xr:uid="{00000000-0005-0000-0000-000030540000}"/>
    <cellStyle name="40% - Accent2 2 7 8" xfId="29215" xr:uid="{00000000-0005-0000-0000-000031540000}"/>
    <cellStyle name="40% - Accent2 2 7 9" xfId="38809" xr:uid="{00000000-0005-0000-0000-000032540000}"/>
    <cellStyle name="40% - Accent2 2 8" xfId="944" xr:uid="{00000000-0005-0000-0000-000033540000}"/>
    <cellStyle name="40% - Accent2 2 8 2" xfId="2435" xr:uid="{00000000-0005-0000-0000-000034540000}"/>
    <cellStyle name="40% - Accent2 2 8 2 2" xfId="6703" xr:uid="{00000000-0005-0000-0000-000035540000}"/>
    <cellStyle name="40% - Accent2 2 8 2 2 2" xfId="13803" xr:uid="{00000000-0005-0000-0000-000036540000}"/>
    <cellStyle name="40% - Accent2 2 8 2 2 3" xfId="20904" xr:uid="{00000000-0005-0000-0000-000037540000}"/>
    <cellStyle name="40% - Accent2 2 8 2 2 4" xfId="28006" xr:uid="{00000000-0005-0000-0000-000038540000}"/>
    <cellStyle name="40% - Accent2 2 8 2 2 5" xfId="35108" xr:uid="{00000000-0005-0000-0000-000039540000}"/>
    <cellStyle name="40% - Accent2 2 8 2 2 6" xfId="38810" xr:uid="{00000000-0005-0000-0000-00003A540000}"/>
    <cellStyle name="40% - Accent2 2 8 2 3" xfId="9543" xr:uid="{00000000-0005-0000-0000-00003B540000}"/>
    <cellStyle name="40% - Accent2 2 8 2 4" xfId="16644" xr:uid="{00000000-0005-0000-0000-00003C540000}"/>
    <cellStyle name="40% - Accent2 2 8 2 5" xfId="23746" xr:uid="{00000000-0005-0000-0000-00003D540000}"/>
    <cellStyle name="40% - Accent2 2 8 2 6" xfId="30848" xr:uid="{00000000-0005-0000-0000-00003E540000}"/>
    <cellStyle name="40% - Accent2 2 8 2 7" xfId="38811" xr:uid="{00000000-0005-0000-0000-00003F540000}"/>
    <cellStyle name="40% - Accent2 2 8 3" xfId="5282" xr:uid="{00000000-0005-0000-0000-000040540000}"/>
    <cellStyle name="40% - Accent2 2 8 3 2" xfId="12383" xr:uid="{00000000-0005-0000-0000-000041540000}"/>
    <cellStyle name="40% - Accent2 2 8 3 2 2" xfId="38812" xr:uid="{00000000-0005-0000-0000-000042540000}"/>
    <cellStyle name="40% - Accent2 2 8 3 3" xfId="19484" xr:uid="{00000000-0005-0000-0000-000043540000}"/>
    <cellStyle name="40% - Accent2 2 8 3 4" xfId="26586" xr:uid="{00000000-0005-0000-0000-000044540000}"/>
    <cellStyle name="40% - Accent2 2 8 3 5" xfId="33688" xr:uid="{00000000-0005-0000-0000-000045540000}"/>
    <cellStyle name="40% - Accent2 2 8 3 6" xfId="38813" xr:uid="{00000000-0005-0000-0000-000046540000}"/>
    <cellStyle name="40% - Accent2 2 8 4" xfId="3857" xr:uid="{00000000-0005-0000-0000-000047540000}"/>
    <cellStyle name="40% - Accent2 2 8 4 2" xfId="10963" xr:uid="{00000000-0005-0000-0000-000048540000}"/>
    <cellStyle name="40% - Accent2 2 8 4 3" xfId="18064" xr:uid="{00000000-0005-0000-0000-000049540000}"/>
    <cellStyle name="40% - Accent2 2 8 4 4" xfId="25166" xr:uid="{00000000-0005-0000-0000-00004A540000}"/>
    <cellStyle name="40% - Accent2 2 8 4 5" xfId="32268" xr:uid="{00000000-0005-0000-0000-00004B540000}"/>
    <cellStyle name="40% - Accent2 2 8 4 6" xfId="38814" xr:uid="{00000000-0005-0000-0000-00004C540000}"/>
    <cellStyle name="40% - Accent2 2 8 5" xfId="8123" xr:uid="{00000000-0005-0000-0000-00004D540000}"/>
    <cellStyle name="40% - Accent2 2 8 6" xfId="15224" xr:uid="{00000000-0005-0000-0000-00004E540000}"/>
    <cellStyle name="40% - Accent2 2 8 7" xfId="22326" xr:uid="{00000000-0005-0000-0000-00004F540000}"/>
    <cellStyle name="40% - Accent2 2 8 8" xfId="29428" xr:uid="{00000000-0005-0000-0000-000050540000}"/>
    <cellStyle name="40% - Accent2 2 8 9" xfId="38815" xr:uid="{00000000-0005-0000-0000-000051540000}"/>
    <cellStyle name="40% - Accent2 2 9" xfId="1299" xr:uid="{00000000-0005-0000-0000-000052540000}"/>
    <cellStyle name="40% - Accent2 2 9 2" xfId="2790" xr:uid="{00000000-0005-0000-0000-000053540000}"/>
    <cellStyle name="40% - Accent2 2 9 2 2" xfId="7058" xr:uid="{00000000-0005-0000-0000-000054540000}"/>
    <cellStyle name="40% - Accent2 2 9 2 2 2" xfId="14158" xr:uid="{00000000-0005-0000-0000-000055540000}"/>
    <cellStyle name="40% - Accent2 2 9 2 2 3" xfId="21259" xr:uid="{00000000-0005-0000-0000-000056540000}"/>
    <cellStyle name="40% - Accent2 2 9 2 2 4" xfId="28361" xr:uid="{00000000-0005-0000-0000-000057540000}"/>
    <cellStyle name="40% - Accent2 2 9 2 2 5" xfId="35463" xr:uid="{00000000-0005-0000-0000-000058540000}"/>
    <cellStyle name="40% - Accent2 2 9 2 3" xfId="9898" xr:uid="{00000000-0005-0000-0000-000059540000}"/>
    <cellStyle name="40% - Accent2 2 9 2 4" xfId="16999" xr:uid="{00000000-0005-0000-0000-00005A540000}"/>
    <cellStyle name="40% - Accent2 2 9 2 5" xfId="24101" xr:uid="{00000000-0005-0000-0000-00005B540000}"/>
    <cellStyle name="40% - Accent2 2 9 2 6" xfId="31203" xr:uid="{00000000-0005-0000-0000-00005C540000}"/>
    <cellStyle name="40% - Accent2 2 9 2 7" xfId="38816" xr:uid="{00000000-0005-0000-0000-00005D540000}"/>
    <cellStyle name="40% - Accent2 2 9 3" xfId="5637" xr:uid="{00000000-0005-0000-0000-00005E540000}"/>
    <cellStyle name="40% - Accent2 2 9 3 2" xfId="12738" xr:uid="{00000000-0005-0000-0000-00005F540000}"/>
    <cellStyle name="40% - Accent2 2 9 3 3" xfId="19839" xr:uid="{00000000-0005-0000-0000-000060540000}"/>
    <cellStyle name="40% - Accent2 2 9 3 4" xfId="26941" xr:uid="{00000000-0005-0000-0000-000061540000}"/>
    <cellStyle name="40% - Accent2 2 9 3 5" xfId="34043" xr:uid="{00000000-0005-0000-0000-000062540000}"/>
    <cellStyle name="40% - Accent2 2 9 4" xfId="4212" xr:uid="{00000000-0005-0000-0000-000063540000}"/>
    <cellStyle name="40% - Accent2 2 9 4 2" xfId="11318" xr:uid="{00000000-0005-0000-0000-000064540000}"/>
    <cellStyle name="40% - Accent2 2 9 4 3" xfId="18419" xr:uid="{00000000-0005-0000-0000-000065540000}"/>
    <cellStyle name="40% - Accent2 2 9 4 4" xfId="25521" xr:uid="{00000000-0005-0000-0000-000066540000}"/>
    <cellStyle name="40% - Accent2 2 9 4 5" xfId="32623" xr:uid="{00000000-0005-0000-0000-000067540000}"/>
    <cellStyle name="40% - Accent2 2 9 5" xfId="8478" xr:uid="{00000000-0005-0000-0000-000068540000}"/>
    <cellStyle name="40% - Accent2 2 9 6" xfId="15579" xr:uid="{00000000-0005-0000-0000-000069540000}"/>
    <cellStyle name="40% - Accent2 2 9 7" xfId="22681" xr:uid="{00000000-0005-0000-0000-00006A540000}"/>
    <cellStyle name="40% - Accent2 2 9 8" xfId="29783" xr:uid="{00000000-0005-0000-0000-00006B540000}"/>
    <cellStyle name="40% - Accent2 2 9 9" xfId="38817" xr:uid="{00000000-0005-0000-0000-00006C540000}"/>
    <cellStyle name="40% - Accent2 20" xfId="38818" xr:uid="{00000000-0005-0000-0000-00006D540000}"/>
    <cellStyle name="40% - Accent2 21" xfId="38819" xr:uid="{00000000-0005-0000-0000-00006E540000}"/>
    <cellStyle name="40% - Accent2 22" xfId="38820" xr:uid="{00000000-0005-0000-0000-00006F540000}"/>
    <cellStyle name="40% - Accent2 23" xfId="38821" xr:uid="{00000000-0005-0000-0000-000070540000}"/>
    <cellStyle name="40% - Accent2 24" xfId="38822" xr:uid="{00000000-0005-0000-0000-000071540000}"/>
    <cellStyle name="40% - Accent2 25" xfId="38823" xr:uid="{00000000-0005-0000-0000-000072540000}"/>
    <cellStyle name="40% - Accent2 3" xfId="100" xr:uid="{00000000-0005-0000-0000-000073540000}"/>
    <cellStyle name="40% - Accent2 3 10" xfId="4444" xr:uid="{00000000-0005-0000-0000-000074540000}"/>
    <cellStyle name="40% - Accent2 3 10 2" xfId="11545" xr:uid="{00000000-0005-0000-0000-000075540000}"/>
    <cellStyle name="40% - Accent2 3 10 3" xfId="18646" xr:uid="{00000000-0005-0000-0000-000076540000}"/>
    <cellStyle name="40% - Accent2 3 10 4" xfId="25748" xr:uid="{00000000-0005-0000-0000-000077540000}"/>
    <cellStyle name="40% - Accent2 3 10 5" xfId="32850" xr:uid="{00000000-0005-0000-0000-000078540000}"/>
    <cellStyle name="40% - Accent2 3 11" xfId="3019" xr:uid="{00000000-0005-0000-0000-000079540000}"/>
    <cellStyle name="40% - Accent2 3 11 2" xfId="10125" xr:uid="{00000000-0005-0000-0000-00007A540000}"/>
    <cellStyle name="40% - Accent2 3 11 3" xfId="17226" xr:uid="{00000000-0005-0000-0000-00007B540000}"/>
    <cellStyle name="40% - Accent2 3 11 4" xfId="24328" xr:uid="{00000000-0005-0000-0000-00007C540000}"/>
    <cellStyle name="40% - Accent2 3 11 5" xfId="31430" xr:uid="{00000000-0005-0000-0000-00007D540000}"/>
    <cellStyle name="40% - Accent2 3 12" xfId="7285" xr:uid="{00000000-0005-0000-0000-00007E540000}"/>
    <cellStyle name="40% - Accent2 3 13" xfId="14386" xr:uid="{00000000-0005-0000-0000-00007F540000}"/>
    <cellStyle name="40% - Accent2 3 14" xfId="21488" xr:uid="{00000000-0005-0000-0000-000080540000}"/>
    <cellStyle name="40% - Accent2 3 15" xfId="28590" xr:uid="{00000000-0005-0000-0000-000081540000}"/>
    <cellStyle name="40% - Accent2 3 16" xfId="35692" xr:uid="{00000000-0005-0000-0000-000082540000}"/>
    <cellStyle name="40% - Accent2 3 17" xfId="38824" xr:uid="{00000000-0005-0000-0000-000083540000}"/>
    <cellStyle name="40% - Accent2 3 18" xfId="38825" xr:uid="{00000000-0005-0000-0000-000084540000}"/>
    <cellStyle name="40% - Accent2 3 2" xfId="248" xr:uid="{00000000-0005-0000-0000-000085540000}"/>
    <cellStyle name="40% - Accent2 3 2 10" xfId="7427" xr:uid="{00000000-0005-0000-0000-000086540000}"/>
    <cellStyle name="40% - Accent2 3 2 11" xfId="14528" xr:uid="{00000000-0005-0000-0000-000087540000}"/>
    <cellStyle name="40% - Accent2 3 2 12" xfId="21630" xr:uid="{00000000-0005-0000-0000-000088540000}"/>
    <cellStyle name="40% - Accent2 3 2 13" xfId="28732" xr:uid="{00000000-0005-0000-0000-000089540000}"/>
    <cellStyle name="40% - Accent2 3 2 14" xfId="35834" xr:uid="{00000000-0005-0000-0000-00008A540000}"/>
    <cellStyle name="40% - Accent2 3 2 15" xfId="38826" xr:uid="{00000000-0005-0000-0000-00008B540000}"/>
    <cellStyle name="40% - Accent2 3 2 2" xfId="461" xr:uid="{00000000-0005-0000-0000-00008C540000}"/>
    <cellStyle name="40% - Accent2 3 2 2 10" xfId="38827" xr:uid="{00000000-0005-0000-0000-00008D540000}"/>
    <cellStyle name="40% - Accent2 3 2 2 2" xfId="1242" xr:uid="{00000000-0005-0000-0000-00008E540000}"/>
    <cellStyle name="40% - Accent2 3 2 2 2 2" xfId="2733" xr:uid="{00000000-0005-0000-0000-00008F540000}"/>
    <cellStyle name="40% - Accent2 3 2 2 2 2 2" xfId="7001" xr:uid="{00000000-0005-0000-0000-000090540000}"/>
    <cellStyle name="40% - Accent2 3 2 2 2 2 2 2" xfId="14101" xr:uid="{00000000-0005-0000-0000-000091540000}"/>
    <cellStyle name="40% - Accent2 3 2 2 2 2 2 3" xfId="21202" xr:uid="{00000000-0005-0000-0000-000092540000}"/>
    <cellStyle name="40% - Accent2 3 2 2 2 2 2 4" xfId="28304" xr:uid="{00000000-0005-0000-0000-000093540000}"/>
    <cellStyle name="40% - Accent2 3 2 2 2 2 2 5" xfId="35406" xr:uid="{00000000-0005-0000-0000-000094540000}"/>
    <cellStyle name="40% - Accent2 3 2 2 2 2 3" xfId="9841" xr:uid="{00000000-0005-0000-0000-000095540000}"/>
    <cellStyle name="40% - Accent2 3 2 2 2 2 4" xfId="16942" xr:uid="{00000000-0005-0000-0000-000096540000}"/>
    <cellStyle name="40% - Accent2 3 2 2 2 2 5" xfId="24044" xr:uid="{00000000-0005-0000-0000-000097540000}"/>
    <cellStyle name="40% - Accent2 3 2 2 2 2 6" xfId="31146" xr:uid="{00000000-0005-0000-0000-000098540000}"/>
    <cellStyle name="40% - Accent2 3 2 2 2 2 7" xfId="38828" xr:uid="{00000000-0005-0000-0000-000099540000}"/>
    <cellStyle name="40% - Accent2 3 2 2 2 3" xfId="5580" xr:uid="{00000000-0005-0000-0000-00009A540000}"/>
    <cellStyle name="40% - Accent2 3 2 2 2 3 2" xfId="12681" xr:uid="{00000000-0005-0000-0000-00009B540000}"/>
    <cellStyle name="40% - Accent2 3 2 2 2 3 3" xfId="19782" xr:uid="{00000000-0005-0000-0000-00009C540000}"/>
    <cellStyle name="40% - Accent2 3 2 2 2 3 4" xfId="26884" xr:uid="{00000000-0005-0000-0000-00009D540000}"/>
    <cellStyle name="40% - Accent2 3 2 2 2 3 5" xfId="33986" xr:uid="{00000000-0005-0000-0000-00009E540000}"/>
    <cellStyle name="40% - Accent2 3 2 2 2 4" xfId="4155" xr:uid="{00000000-0005-0000-0000-00009F540000}"/>
    <cellStyle name="40% - Accent2 3 2 2 2 4 2" xfId="11261" xr:uid="{00000000-0005-0000-0000-0000A0540000}"/>
    <cellStyle name="40% - Accent2 3 2 2 2 4 3" xfId="18362" xr:uid="{00000000-0005-0000-0000-0000A1540000}"/>
    <cellStyle name="40% - Accent2 3 2 2 2 4 4" xfId="25464" xr:uid="{00000000-0005-0000-0000-0000A2540000}"/>
    <cellStyle name="40% - Accent2 3 2 2 2 4 5" xfId="32566" xr:uid="{00000000-0005-0000-0000-0000A3540000}"/>
    <cellStyle name="40% - Accent2 3 2 2 2 5" xfId="8421" xr:uid="{00000000-0005-0000-0000-0000A4540000}"/>
    <cellStyle name="40% - Accent2 3 2 2 2 6" xfId="15522" xr:uid="{00000000-0005-0000-0000-0000A5540000}"/>
    <cellStyle name="40% - Accent2 3 2 2 2 7" xfId="22624" xr:uid="{00000000-0005-0000-0000-0000A6540000}"/>
    <cellStyle name="40% - Accent2 3 2 2 2 8" xfId="29726" xr:uid="{00000000-0005-0000-0000-0000A7540000}"/>
    <cellStyle name="40% - Accent2 3 2 2 2 9" xfId="38829" xr:uid="{00000000-0005-0000-0000-0000A8540000}"/>
    <cellStyle name="40% - Accent2 3 2 2 3" xfId="1952" xr:uid="{00000000-0005-0000-0000-0000A9540000}"/>
    <cellStyle name="40% - Accent2 3 2 2 3 2" xfId="6220" xr:uid="{00000000-0005-0000-0000-0000AA540000}"/>
    <cellStyle name="40% - Accent2 3 2 2 3 2 2" xfId="13320" xr:uid="{00000000-0005-0000-0000-0000AB540000}"/>
    <cellStyle name="40% - Accent2 3 2 2 3 2 3" xfId="20421" xr:uid="{00000000-0005-0000-0000-0000AC540000}"/>
    <cellStyle name="40% - Accent2 3 2 2 3 2 4" xfId="27523" xr:uid="{00000000-0005-0000-0000-0000AD540000}"/>
    <cellStyle name="40% - Accent2 3 2 2 3 2 5" xfId="34625" xr:uid="{00000000-0005-0000-0000-0000AE540000}"/>
    <cellStyle name="40% - Accent2 3 2 2 3 2 6" xfId="38830" xr:uid="{00000000-0005-0000-0000-0000AF540000}"/>
    <cellStyle name="40% - Accent2 3 2 2 3 3" xfId="9060" xr:uid="{00000000-0005-0000-0000-0000B0540000}"/>
    <cellStyle name="40% - Accent2 3 2 2 3 4" xfId="16161" xr:uid="{00000000-0005-0000-0000-0000B1540000}"/>
    <cellStyle name="40% - Accent2 3 2 2 3 5" xfId="23263" xr:uid="{00000000-0005-0000-0000-0000B2540000}"/>
    <cellStyle name="40% - Accent2 3 2 2 3 6" xfId="30365" xr:uid="{00000000-0005-0000-0000-0000B3540000}"/>
    <cellStyle name="40% - Accent2 3 2 2 3 7" xfId="38831" xr:uid="{00000000-0005-0000-0000-0000B4540000}"/>
    <cellStyle name="40% - Accent2 3 2 2 4" xfId="4799" xr:uid="{00000000-0005-0000-0000-0000B5540000}"/>
    <cellStyle name="40% - Accent2 3 2 2 4 2" xfId="11900" xr:uid="{00000000-0005-0000-0000-0000B6540000}"/>
    <cellStyle name="40% - Accent2 3 2 2 4 3" xfId="19001" xr:uid="{00000000-0005-0000-0000-0000B7540000}"/>
    <cellStyle name="40% - Accent2 3 2 2 4 4" xfId="26103" xr:uid="{00000000-0005-0000-0000-0000B8540000}"/>
    <cellStyle name="40% - Accent2 3 2 2 4 5" xfId="33205" xr:uid="{00000000-0005-0000-0000-0000B9540000}"/>
    <cellStyle name="40% - Accent2 3 2 2 4 6" xfId="38832" xr:uid="{00000000-0005-0000-0000-0000BA540000}"/>
    <cellStyle name="40% - Accent2 3 2 2 5" xfId="3374" xr:uid="{00000000-0005-0000-0000-0000BB540000}"/>
    <cellStyle name="40% - Accent2 3 2 2 5 2" xfId="10480" xr:uid="{00000000-0005-0000-0000-0000BC540000}"/>
    <cellStyle name="40% - Accent2 3 2 2 5 3" xfId="17581" xr:uid="{00000000-0005-0000-0000-0000BD540000}"/>
    <cellStyle name="40% - Accent2 3 2 2 5 4" xfId="24683" xr:uid="{00000000-0005-0000-0000-0000BE540000}"/>
    <cellStyle name="40% - Accent2 3 2 2 5 5" xfId="31785" xr:uid="{00000000-0005-0000-0000-0000BF540000}"/>
    <cellStyle name="40% - Accent2 3 2 2 6" xfId="7640" xr:uid="{00000000-0005-0000-0000-0000C0540000}"/>
    <cellStyle name="40% - Accent2 3 2 2 7" xfId="14741" xr:uid="{00000000-0005-0000-0000-0000C1540000}"/>
    <cellStyle name="40% - Accent2 3 2 2 8" xfId="21843" xr:uid="{00000000-0005-0000-0000-0000C2540000}"/>
    <cellStyle name="40% - Accent2 3 2 2 9" xfId="28945" xr:uid="{00000000-0005-0000-0000-0000C3540000}"/>
    <cellStyle name="40% - Accent2 3 2 3" xfId="674" xr:uid="{00000000-0005-0000-0000-0000C4540000}"/>
    <cellStyle name="40% - Accent2 3 2 3 2" xfId="2165" xr:uid="{00000000-0005-0000-0000-0000C5540000}"/>
    <cellStyle name="40% - Accent2 3 2 3 2 2" xfId="6433" xr:uid="{00000000-0005-0000-0000-0000C6540000}"/>
    <cellStyle name="40% - Accent2 3 2 3 2 2 2" xfId="13533" xr:uid="{00000000-0005-0000-0000-0000C7540000}"/>
    <cellStyle name="40% - Accent2 3 2 3 2 2 3" xfId="20634" xr:uid="{00000000-0005-0000-0000-0000C8540000}"/>
    <cellStyle name="40% - Accent2 3 2 3 2 2 4" xfId="27736" xr:uid="{00000000-0005-0000-0000-0000C9540000}"/>
    <cellStyle name="40% - Accent2 3 2 3 2 2 5" xfId="34838" xr:uid="{00000000-0005-0000-0000-0000CA540000}"/>
    <cellStyle name="40% - Accent2 3 2 3 2 2 6" xfId="38833" xr:uid="{00000000-0005-0000-0000-0000CB540000}"/>
    <cellStyle name="40% - Accent2 3 2 3 2 3" xfId="9273" xr:uid="{00000000-0005-0000-0000-0000CC540000}"/>
    <cellStyle name="40% - Accent2 3 2 3 2 4" xfId="16374" xr:uid="{00000000-0005-0000-0000-0000CD540000}"/>
    <cellStyle name="40% - Accent2 3 2 3 2 5" xfId="23476" xr:uid="{00000000-0005-0000-0000-0000CE540000}"/>
    <cellStyle name="40% - Accent2 3 2 3 2 6" xfId="30578" xr:uid="{00000000-0005-0000-0000-0000CF540000}"/>
    <cellStyle name="40% - Accent2 3 2 3 2 7" xfId="38834" xr:uid="{00000000-0005-0000-0000-0000D0540000}"/>
    <cellStyle name="40% - Accent2 3 2 3 3" xfId="5012" xr:uid="{00000000-0005-0000-0000-0000D1540000}"/>
    <cellStyle name="40% - Accent2 3 2 3 3 2" xfId="12113" xr:uid="{00000000-0005-0000-0000-0000D2540000}"/>
    <cellStyle name="40% - Accent2 3 2 3 3 2 2" xfId="38835" xr:uid="{00000000-0005-0000-0000-0000D3540000}"/>
    <cellStyle name="40% - Accent2 3 2 3 3 3" xfId="19214" xr:uid="{00000000-0005-0000-0000-0000D4540000}"/>
    <cellStyle name="40% - Accent2 3 2 3 3 4" xfId="26316" xr:uid="{00000000-0005-0000-0000-0000D5540000}"/>
    <cellStyle name="40% - Accent2 3 2 3 3 5" xfId="33418" xr:uid="{00000000-0005-0000-0000-0000D6540000}"/>
    <cellStyle name="40% - Accent2 3 2 3 3 6" xfId="38836" xr:uid="{00000000-0005-0000-0000-0000D7540000}"/>
    <cellStyle name="40% - Accent2 3 2 3 4" xfId="3587" xr:uid="{00000000-0005-0000-0000-0000D8540000}"/>
    <cellStyle name="40% - Accent2 3 2 3 4 2" xfId="10693" xr:uid="{00000000-0005-0000-0000-0000D9540000}"/>
    <cellStyle name="40% - Accent2 3 2 3 4 3" xfId="17794" xr:uid="{00000000-0005-0000-0000-0000DA540000}"/>
    <cellStyle name="40% - Accent2 3 2 3 4 4" xfId="24896" xr:uid="{00000000-0005-0000-0000-0000DB540000}"/>
    <cellStyle name="40% - Accent2 3 2 3 4 5" xfId="31998" xr:uid="{00000000-0005-0000-0000-0000DC540000}"/>
    <cellStyle name="40% - Accent2 3 2 3 4 6" xfId="38837" xr:uid="{00000000-0005-0000-0000-0000DD540000}"/>
    <cellStyle name="40% - Accent2 3 2 3 5" xfId="7853" xr:uid="{00000000-0005-0000-0000-0000DE540000}"/>
    <cellStyle name="40% - Accent2 3 2 3 6" xfId="14954" xr:uid="{00000000-0005-0000-0000-0000DF540000}"/>
    <cellStyle name="40% - Accent2 3 2 3 7" xfId="22056" xr:uid="{00000000-0005-0000-0000-0000E0540000}"/>
    <cellStyle name="40% - Accent2 3 2 3 8" xfId="29158" xr:uid="{00000000-0005-0000-0000-0000E1540000}"/>
    <cellStyle name="40% - Accent2 3 2 3 9" xfId="38838" xr:uid="{00000000-0005-0000-0000-0000E2540000}"/>
    <cellStyle name="40% - Accent2 3 2 4" xfId="887" xr:uid="{00000000-0005-0000-0000-0000E3540000}"/>
    <cellStyle name="40% - Accent2 3 2 4 2" xfId="2378" xr:uid="{00000000-0005-0000-0000-0000E4540000}"/>
    <cellStyle name="40% - Accent2 3 2 4 2 2" xfId="6646" xr:uid="{00000000-0005-0000-0000-0000E5540000}"/>
    <cellStyle name="40% - Accent2 3 2 4 2 2 2" xfId="13746" xr:uid="{00000000-0005-0000-0000-0000E6540000}"/>
    <cellStyle name="40% - Accent2 3 2 4 2 2 3" xfId="20847" xr:uid="{00000000-0005-0000-0000-0000E7540000}"/>
    <cellStyle name="40% - Accent2 3 2 4 2 2 4" xfId="27949" xr:uid="{00000000-0005-0000-0000-0000E8540000}"/>
    <cellStyle name="40% - Accent2 3 2 4 2 2 5" xfId="35051" xr:uid="{00000000-0005-0000-0000-0000E9540000}"/>
    <cellStyle name="40% - Accent2 3 2 4 2 2 6" xfId="38839" xr:uid="{00000000-0005-0000-0000-0000EA540000}"/>
    <cellStyle name="40% - Accent2 3 2 4 2 3" xfId="9486" xr:uid="{00000000-0005-0000-0000-0000EB540000}"/>
    <cellStyle name="40% - Accent2 3 2 4 2 4" xfId="16587" xr:uid="{00000000-0005-0000-0000-0000EC540000}"/>
    <cellStyle name="40% - Accent2 3 2 4 2 5" xfId="23689" xr:uid="{00000000-0005-0000-0000-0000ED540000}"/>
    <cellStyle name="40% - Accent2 3 2 4 2 6" xfId="30791" xr:uid="{00000000-0005-0000-0000-0000EE540000}"/>
    <cellStyle name="40% - Accent2 3 2 4 2 7" xfId="38840" xr:uid="{00000000-0005-0000-0000-0000EF540000}"/>
    <cellStyle name="40% - Accent2 3 2 4 3" xfId="5225" xr:uid="{00000000-0005-0000-0000-0000F0540000}"/>
    <cellStyle name="40% - Accent2 3 2 4 3 2" xfId="12326" xr:uid="{00000000-0005-0000-0000-0000F1540000}"/>
    <cellStyle name="40% - Accent2 3 2 4 3 2 2" xfId="38841" xr:uid="{00000000-0005-0000-0000-0000F2540000}"/>
    <cellStyle name="40% - Accent2 3 2 4 3 3" xfId="19427" xr:uid="{00000000-0005-0000-0000-0000F3540000}"/>
    <cellStyle name="40% - Accent2 3 2 4 3 4" xfId="26529" xr:uid="{00000000-0005-0000-0000-0000F4540000}"/>
    <cellStyle name="40% - Accent2 3 2 4 3 5" xfId="33631" xr:uid="{00000000-0005-0000-0000-0000F5540000}"/>
    <cellStyle name="40% - Accent2 3 2 4 3 6" xfId="38842" xr:uid="{00000000-0005-0000-0000-0000F6540000}"/>
    <cellStyle name="40% - Accent2 3 2 4 4" xfId="3800" xr:uid="{00000000-0005-0000-0000-0000F7540000}"/>
    <cellStyle name="40% - Accent2 3 2 4 4 2" xfId="10906" xr:uid="{00000000-0005-0000-0000-0000F8540000}"/>
    <cellStyle name="40% - Accent2 3 2 4 4 3" xfId="18007" xr:uid="{00000000-0005-0000-0000-0000F9540000}"/>
    <cellStyle name="40% - Accent2 3 2 4 4 4" xfId="25109" xr:uid="{00000000-0005-0000-0000-0000FA540000}"/>
    <cellStyle name="40% - Accent2 3 2 4 4 5" xfId="32211" xr:uid="{00000000-0005-0000-0000-0000FB540000}"/>
    <cellStyle name="40% - Accent2 3 2 4 4 6" xfId="38843" xr:uid="{00000000-0005-0000-0000-0000FC540000}"/>
    <cellStyle name="40% - Accent2 3 2 4 5" xfId="8066" xr:uid="{00000000-0005-0000-0000-0000FD540000}"/>
    <cellStyle name="40% - Accent2 3 2 4 6" xfId="15167" xr:uid="{00000000-0005-0000-0000-0000FE540000}"/>
    <cellStyle name="40% - Accent2 3 2 4 7" xfId="22269" xr:uid="{00000000-0005-0000-0000-0000FF540000}"/>
    <cellStyle name="40% - Accent2 3 2 4 8" xfId="29371" xr:uid="{00000000-0005-0000-0000-000000550000}"/>
    <cellStyle name="40% - Accent2 3 2 4 9" xfId="38844" xr:uid="{00000000-0005-0000-0000-000001550000}"/>
    <cellStyle name="40% - Accent2 3 2 5" xfId="1029" xr:uid="{00000000-0005-0000-0000-000002550000}"/>
    <cellStyle name="40% - Accent2 3 2 5 2" xfId="2520" xr:uid="{00000000-0005-0000-0000-000003550000}"/>
    <cellStyle name="40% - Accent2 3 2 5 2 2" xfId="6788" xr:uid="{00000000-0005-0000-0000-000004550000}"/>
    <cellStyle name="40% - Accent2 3 2 5 2 2 2" xfId="13888" xr:uid="{00000000-0005-0000-0000-000005550000}"/>
    <cellStyle name="40% - Accent2 3 2 5 2 2 3" xfId="20989" xr:uid="{00000000-0005-0000-0000-000006550000}"/>
    <cellStyle name="40% - Accent2 3 2 5 2 2 4" xfId="28091" xr:uid="{00000000-0005-0000-0000-000007550000}"/>
    <cellStyle name="40% - Accent2 3 2 5 2 2 5" xfId="35193" xr:uid="{00000000-0005-0000-0000-000008550000}"/>
    <cellStyle name="40% - Accent2 3 2 5 2 3" xfId="9628" xr:uid="{00000000-0005-0000-0000-000009550000}"/>
    <cellStyle name="40% - Accent2 3 2 5 2 4" xfId="16729" xr:uid="{00000000-0005-0000-0000-00000A550000}"/>
    <cellStyle name="40% - Accent2 3 2 5 2 5" xfId="23831" xr:uid="{00000000-0005-0000-0000-00000B550000}"/>
    <cellStyle name="40% - Accent2 3 2 5 2 6" xfId="30933" xr:uid="{00000000-0005-0000-0000-00000C550000}"/>
    <cellStyle name="40% - Accent2 3 2 5 2 7" xfId="38845" xr:uid="{00000000-0005-0000-0000-00000D550000}"/>
    <cellStyle name="40% - Accent2 3 2 5 3" xfId="5367" xr:uid="{00000000-0005-0000-0000-00000E550000}"/>
    <cellStyle name="40% - Accent2 3 2 5 3 2" xfId="12468" xr:uid="{00000000-0005-0000-0000-00000F550000}"/>
    <cellStyle name="40% - Accent2 3 2 5 3 3" xfId="19569" xr:uid="{00000000-0005-0000-0000-000010550000}"/>
    <cellStyle name="40% - Accent2 3 2 5 3 4" xfId="26671" xr:uid="{00000000-0005-0000-0000-000011550000}"/>
    <cellStyle name="40% - Accent2 3 2 5 3 5" xfId="33773" xr:uid="{00000000-0005-0000-0000-000012550000}"/>
    <cellStyle name="40% - Accent2 3 2 5 4" xfId="3942" xr:uid="{00000000-0005-0000-0000-000013550000}"/>
    <cellStyle name="40% - Accent2 3 2 5 4 2" xfId="11048" xr:uid="{00000000-0005-0000-0000-000014550000}"/>
    <cellStyle name="40% - Accent2 3 2 5 4 3" xfId="18149" xr:uid="{00000000-0005-0000-0000-000015550000}"/>
    <cellStyle name="40% - Accent2 3 2 5 4 4" xfId="25251" xr:uid="{00000000-0005-0000-0000-000016550000}"/>
    <cellStyle name="40% - Accent2 3 2 5 4 5" xfId="32353" xr:uid="{00000000-0005-0000-0000-000017550000}"/>
    <cellStyle name="40% - Accent2 3 2 5 5" xfId="8208" xr:uid="{00000000-0005-0000-0000-000018550000}"/>
    <cellStyle name="40% - Accent2 3 2 5 6" xfId="15309" xr:uid="{00000000-0005-0000-0000-000019550000}"/>
    <cellStyle name="40% - Accent2 3 2 5 7" xfId="22411" xr:uid="{00000000-0005-0000-0000-00001A550000}"/>
    <cellStyle name="40% - Accent2 3 2 5 8" xfId="29513" xr:uid="{00000000-0005-0000-0000-00001B550000}"/>
    <cellStyle name="40% - Accent2 3 2 5 9" xfId="38846" xr:uid="{00000000-0005-0000-0000-00001C550000}"/>
    <cellStyle name="40% - Accent2 3 2 6" xfId="1455" xr:uid="{00000000-0005-0000-0000-00001D550000}"/>
    <cellStyle name="40% - Accent2 3 2 6 2" xfId="2946" xr:uid="{00000000-0005-0000-0000-00001E550000}"/>
    <cellStyle name="40% - Accent2 3 2 6 2 2" xfId="7214" xr:uid="{00000000-0005-0000-0000-00001F550000}"/>
    <cellStyle name="40% - Accent2 3 2 6 2 2 2" xfId="14314" xr:uid="{00000000-0005-0000-0000-000020550000}"/>
    <cellStyle name="40% - Accent2 3 2 6 2 2 3" xfId="21415" xr:uid="{00000000-0005-0000-0000-000021550000}"/>
    <cellStyle name="40% - Accent2 3 2 6 2 2 4" xfId="28517" xr:uid="{00000000-0005-0000-0000-000022550000}"/>
    <cellStyle name="40% - Accent2 3 2 6 2 2 5" xfId="35619" xr:uid="{00000000-0005-0000-0000-000023550000}"/>
    <cellStyle name="40% - Accent2 3 2 6 2 3" xfId="10054" xr:uid="{00000000-0005-0000-0000-000024550000}"/>
    <cellStyle name="40% - Accent2 3 2 6 2 4" xfId="17155" xr:uid="{00000000-0005-0000-0000-000025550000}"/>
    <cellStyle name="40% - Accent2 3 2 6 2 5" xfId="24257" xr:uid="{00000000-0005-0000-0000-000026550000}"/>
    <cellStyle name="40% - Accent2 3 2 6 2 6" xfId="31359" xr:uid="{00000000-0005-0000-0000-000027550000}"/>
    <cellStyle name="40% - Accent2 3 2 6 2 7" xfId="38847" xr:uid="{00000000-0005-0000-0000-000028550000}"/>
    <cellStyle name="40% - Accent2 3 2 6 3" xfId="5793" xr:uid="{00000000-0005-0000-0000-000029550000}"/>
    <cellStyle name="40% - Accent2 3 2 6 3 2" xfId="12894" xr:uid="{00000000-0005-0000-0000-00002A550000}"/>
    <cellStyle name="40% - Accent2 3 2 6 3 3" xfId="19995" xr:uid="{00000000-0005-0000-0000-00002B550000}"/>
    <cellStyle name="40% - Accent2 3 2 6 3 4" xfId="27097" xr:uid="{00000000-0005-0000-0000-00002C550000}"/>
    <cellStyle name="40% - Accent2 3 2 6 3 5" xfId="34199" xr:uid="{00000000-0005-0000-0000-00002D550000}"/>
    <cellStyle name="40% - Accent2 3 2 6 4" xfId="4368" xr:uid="{00000000-0005-0000-0000-00002E550000}"/>
    <cellStyle name="40% - Accent2 3 2 6 4 2" xfId="11474" xr:uid="{00000000-0005-0000-0000-00002F550000}"/>
    <cellStyle name="40% - Accent2 3 2 6 4 3" xfId="18575" xr:uid="{00000000-0005-0000-0000-000030550000}"/>
    <cellStyle name="40% - Accent2 3 2 6 4 4" xfId="25677" xr:uid="{00000000-0005-0000-0000-000031550000}"/>
    <cellStyle name="40% - Accent2 3 2 6 4 5" xfId="32779" xr:uid="{00000000-0005-0000-0000-000032550000}"/>
    <cellStyle name="40% - Accent2 3 2 6 5" xfId="8634" xr:uid="{00000000-0005-0000-0000-000033550000}"/>
    <cellStyle name="40% - Accent2 3 2 6 6" xfId="15735" xr:uid="{00000000-0005-0000-0000-000034550000}"/>
    <cellStyle name="40% - Accent2 3 2 6 7" xfId="22837" xr:uid="{00000000-0005-0000-0000-000035550000}"/>
    <cellStyle name="40% - Accent2 3 2 6 8" xfId="29939" xr:uid="{00000000-0005-0000-0000-000036550000}"/>
    <cellStyle name="40% - Accent2 3 2 6 9" xfId="38848" xr:uid="{00000000-0005-0000-0000-000037550000}"/>
    <cellStyle name="40% - Accent2 3 2 7" xfId="1739" xr:uid="{00000000-0005-0000-0000-000038550000}"/>
    <cellStyle name="40% - Accent2 3 2 7 2" xfId="6007" xr:uid="{00000000-0005-0000-0000-000039550000}"/>
    <cellStyle name="40% - Accent2 3 2 7 2 2" xfId="13107" xr:uid="{00000000-0005-0000-0000-00003A550000}"/>
    <cellStyle name="40% - Accent2 3 2 7 2 3" xfId="20208" xr:uid="{00000000-0005-0000-0000-00003B550000}"/>
    <cellStyle name="40% - Accent2 3 2 7 2 4" xfId="27310" xr:uid="{00000000-0005-0000-0000-00003C550000}"/>
    <cellStyle name="40% - Accent2 3 2 7 2 5" xfId="34412" xr:uid="{00000000-0005-0000-0000-00003D550000}"/>
    <cellStyle name="40% - Accent2 3 2 7 3" xfId="8847" xr:uid="{00000000-0005-0000-0000-00003E550000}"/>
    <cellStyle name="40% - Accent2 3 2 7 4" xfId="15948" xr:uid="{00000000-0005-0000-0000-00003F550000}"/>
    <cellStyle name="40% - Accent2 3 2 7 5" xfId="23050" xr:uid="{00000000-0005-0000-0000-000040550000}"/>
    <cellStyle name="40% - Accent2 3 2 7 6" xfId="30152" xr:uid="{00000000-0005-0000-0000-000041550000}"/>
    <cellStyle name="40% - Accent2 3 2 7 7" xfId="38849" xr:uid="{00000000-0005-0000-0000-000042550000}"/>
    <cellStyle name="40% - Accent2 3 2 8" xfId="4586" xr:uid="{00000000-0005-0000-0000-000043550000}"/>
    <cellStyle name="40% - Accent2 3 2 8 2" xfId="11687" xr:uid="{00000000-0005-0000-0000-000044550000}"/>
    <cellStyle name="40% - Accent2 3 2 8 3" xfId="18788" xr:uid="{00000000-0005-0000-0000-000045550000}"/>
    <cellStyle name="40% - Accent2 3 2 8 4" xfId="25890" xr:uid="{00000000-0005-0000-0000-000046550000}"/>
    <cellStyle name="40% - Accent2 3 2 8 5" xfId="32992" xr:uid="{00000000-0005-0000-0000-000047550000}"/>
    <cellStyle name="40% - Accent2 3 2 9" xfId="3161" xr:uid="{00000000-0005-0000-0000-000048550000}"/>
    <cellStyle name="40% - Accent2 3 2 9 2" xfId="10267" xr:uid="{00000000-0005-0000-0000-000049550000}"/>
    <cellStyle name="40% - Accent2 3 2 9 3" xfId="17368" xr:uid="{00000000-0005-0000-0000-00004A550000}"/>
    <cellStyle name="40% - Accent2 3 2 9 4" xfId="24470" xr:uid="{00000000-0005-0000-0000-00004B550000}"/>
    <cellStyle name="40% - Accent2 3 2 9 5" xfId="31572" xr:uid="{00000000-0005-0000-0000-00004C550000}"/>
    <cellStyle name="40% - Accent2 3 3" xfId="177" xr:uid="{00000000-0005-0000-0000-00004D550000}"/>
    <cellStyle name="40% - Accent2 3 3 10" xfId="7356" xr:uid="{00000000-0005-0000-0000-00004E550000}"/>
    <cellStyle name="40% - Accent2 3 3 11" xfId="14457" xr:uid="{00000000-0005-0000-0000-00004F550000}"/>
    <cellStyle name="40% - Accent2 3 3 12" xfId="21559" xr:uid="{00000000-0005-0000-0000-000050550000}"/>
    <cellStyle name="40% - Accent2 3 3 13" xfId="28661" xr:uid="{00000000-0005-0000-0000-000051550000}"/>
    <cellStyle name="40% - Accent2 3 3 14" xfId="35763" xr:uid="{00000000-0005-0000-0000-000052550000}"/>
    <cellStyle name="40% - Accent2 3 3 15" xfId="38850" xr:uid="{00000000-0005-0000-0000-000053550000}"/>
    <cellStyle name="40% - Accent2 3 3 2" xfId="390" xr:uid="{00000000-0005-0000-0000-000054550000}"/>
    <cellStyle name="40% - Accent2 3 3 2 2" xfId="1881" xr:uid="{00000000-0005-0000-0000-000055550000}"/>
    <cellStyle name="40% - Accent2 3 3 2 2 2" xfId="6149" xr:uid="{00000000-0005-0000-0000-000056550000}"/>
    <cellStyle name="40% - Accent2 3 3 2 2 2 2" xfId="13249" xr:uid="{00000000-0005-0000-0000-000057550000}"/>
    <cellStyle name="40% - Accent2 3 3 2 2 2 3" xfId="20350" xr:uid="{00000000-0005-0000-0000-000058550000}"/>
    <cellStyle name="40% - Accent2 3 3 2 2 2 4" xfId="27452" xr:uid="{00000000-0005-0000-0000-000059550000}"/>
    <cellStyle name="40% - Accent2 3 3 2 2 2 5" xfId="34554" xr:uid="{00000000-0005-0000-0000-00005A550000}"/>
    <cellStyle name="40% - Accent2 3 3 2 2 2 6" xfId="38851" xr:uid="{00000000-0005-0000-0000-00005B550000}"/>
    <cellStyle name="40% - Accent2 3 3 2 2 3" xfId="8989" xr:uid="{00000000-0005-0000-0000-00005C550000}"/>
    <cellStyle name="40% - Accent2 3 3 2 2 4" xfId="16090" xr:uid="{00000000-0005-0000-0000-00005D550000}"/>
    <cellStyle name="40% - Accent2 3 3 2 2 5" xfId="23192" xr:uid="{00000000-0005-0000-0000-00005E550000}"/>
    <cellStyle name="40% - Accent2 3 3 2 2 6" xfId="30294" xr:uid="{00000000-0005-0000-0000-00005F550000}"/>
    <cellStyle name="40% - Accent2 3 3 2 2 7" xfId="38852" xr:uid="{00000000-0005-0000-0000-000060550000}"/>
    <cellStyle name="40% - Accent2 3 3 2 3" xfId="4728" xr:uid="{00000000-0005-0000-0000-000061550000}"/>
    <cellStyle name="40% - Accent2 3 3 2 3 2" xfId="11829" xr:uid="{00000000-0005-0000-0000-000062550000}"/>
    <cellStyle name="40% - Accent2 3 3 2 3 2 2" xfId="38853" xr:uid="{00000000-0005-0000-0000-000063550000}"/>
    <cellStyle name="40% - Accent2 3 3 2 3 3" xfId="18930" xr:uid="{00000000-0005-0000-0000-000064550000}"/>
    <cellStyle name="40% - Accent2 3 3 2 3 4" xfId="26032" xr:uid="{00000000-0005-0000-0000-000065550000}"/>
    <cellStyle name="40% - Accent2 3 3 2 3 5" xfId="33134" xr:uid="{00000000-0005-0000-0000-000066550000}"/>
    <cellStyle name="40% - Accent2 3 3 2 3 6" xfId="38854" xr:uid="{00000000-0005-0000-0000-000067550000}"/>
    <cellStyle name="40% - Accent2 3 3 2 4" xfId="3303" xr:uid="{00000000-0005-0000-0000-000068550000}"/>
    <cellStyle name="40% - Accent2 3 3 2 4 2" xfId="10409" xr:uid="{00000000-0005-0000-0000-000069550000}"/>
    <cellStyle name="40% - Accent2 3 3 2 4 3" xfId="17510" xr:uid="{00000000-0005-0000-0000-00006A550000}"/>
    <cellStyle name="40% - Accent2 3 3 2 4 4" xfId="24612" xr:uid="{00000000-0005-0000-0000-00006B550000}"/>
    <cellStyle name="40% - Accent2 3 3 2 4 5" xfId="31714" xr:uid="{00000000-0005-0000-0000-00006C550000}"/>
    <cellStyle name="40% - Accent2 3 3 2 4 6" xfId="38855" xr:uid="{00000000-0005-0000-0000-00006D550000}"/>
    <cellStyle name="40% - Accent2 3 3 2 5" xfId="7569" xr:uid="{00000000-0005-0000-0000-00006E550000}"/>
    <cellStyle name="40% - Accent2 3 3 2 6" xfId="14670" xr:uid="{00000000-0005-0000-0000-00006F550000}"/>
    <cellStyle name="40% - Accent2 3 3 2 7" xfId="21772" xr:uid="{00000000-0005-0000-0000-000070550000}"/>
    <cellStyle name="40% - Accent2 3 3 2 8" xfId="28874" xr:uid="{00000000-0005-0000-0000-000071550000}"/>
    <cellStyle name="40% - Accent2 3 3 2 9" xfId="38856" xr:uid="{00000000-0005-0000-0000-000072550000}"/>
    <cellStyle name="40% - Accent2 3 3 3" xfId="603" xr:uid="{00000000-0005-0000-0000-000073550000}"/>
    <cellStyle name="40% - Accent2 3 3 3 2" xfId="2094" xr:uid="{00000000-0005-0000-0000-000074550000}"/>
    <cellStyle name="40% - Accent2 3 3 3 2 2" xfId="6362" xr:uid="{00000000-0005-0000-0000-000075550000}"/>
    <cellStyle name="40% - Accent2 3 3 3 2 2 2" xfId="13462" xr:uid="{00000000-0005-0000-0000-000076550000}"/>
    <cellStyle name="40% - Accent2 3 3 3 2 2 3" xfId="20563" xr:uid="{00000000-0005-0000-0000-000077550000}"/>
    <cellStyle name="40% - Accent2 3 3 3 2 2 4" xfId="27665" xr:uid="{00000000-0005-0000-0000-000078550000}"/>
    <cellStyle name="40% - Accent2 3 3 3 2 2 5" xfId="34767" xr:uid="{00000000-0005-0000-0000-000079550000}"/>
    <cellStyle name="40% - Accent2 3 3 3 2 2 6" xfId="38857" xr:uid="{00000000-0005-0000-0000-00007A550000}"/>
    <cellStyle name="40% - Accent2 3 3 3 2 3" xfId="9202" xr:uid="{00000000-0005-0000-0000-00007B550000}"/>
    <cellStyle name="40% - Accent2 3 3 3 2 4" xfId="16303" xr:uid="{00000000-0005-0000-0000-00007C550000}"/>
    <cellStyle name="40% - Accent2 3 3 3 2 5" xfId="23405" xr:uid="{00000000-0005-0000-0000-00007D550000}"/>
    <cellStyle name="40% - Accent2 3 3 3 2 6" xfId="30507" xr:uid="{00000000-0005-0000-0000-00007E550000}"/>
    <cellStyle name="40% - Accent2 3 3 3 2 7" xfId="38858" xr:uid="{00000000-0005-0000-0000-00007F550000}"/>
    <cellStyle name="40% - Accent2 3 3 3 3" xfId="4941" xr:uid="{00000000-0005-0000-0000-000080550000}"/>
    <cellStyle name="40% - Accent2 3 3 3 3 2" xfId="12042" xr:uid="{00000000-0005-0000-0000-000081550000}"/>
    <cellStyle name="40% - Accent2 3 3 3 3 2 2" xfId="38859" xr:uid="{00000000-0005-0000-0000-000082550000}"/>
    <cellStyle name="40% - Accent2 3 3 3 3 3" xfId="19143" xr:uid="{00000000-0005-0000-0000-000083550000}"/>
    <cellStyle name="40% - Accent2 3 3 3 3 4" xfId="26245" xr:uid="{00000000-0005-0000-0000-000084550000}"/>
    <cellStyle name="40% - Accent2 3 3 3 3 5" xfId="33347" xr:uid="{00000000-0005-0000-0000-000085550000}"/>
    <cellStyle name="40% - Accent2 3 3 3 3 6" xfId="38860" xr:uid="{00000000-0005-0000-0000-000086550000}"/>
    <cellStyle name="40% - Accent2 3 3 3 4" xfId="3516" xr:uid="{00000000-0005-0000-0000-000087550000}"/>
    <cellStyle name="40% - Accent2 3 3 3 4 2" xfId="10622" xr:uid="{00000000-0005-0000-0000-000088550000}"/>
    <cellStyle name="40% - Accent2 3 3 3 4 3" xfId="17723" xr:uid="{00000000-0005-0000-0000-000089550000}"/>
    <cellStyle name="40% - Accent2 3 3 3 4 4" xfId="24825" xr:uid="{00000000-0005-0000-0000-00008A550000}"/>
    <cellStyle name="40% - Accent2 3 3 3 4 5" xfId="31927" xr:uid="{00000000-0005-0000-0000-00008B550000}"/>
    <cellStyle name="40% - Accent2 3 3 3 4 6" xfId="38861" xr:uid="{00000000-0005-0000-0000-00008C550000}"/>
    <cellStyle name="40% - Accent2 3 3 3 5" xfId="7782" xr:uid="{00000000-0005-0000-0000-00008D550000}"/>
    <cellStyle name="40% - Accent2 3 3 3 6" xfId="14883" xr:uid="{00000000-0005-0000-0000-00008E550000}"/>
    <cellStyle name="40% - Accent2 3 3 3 7" xfId="21985" xr:uid="{00000000-0005-0000-0000-00008F550000}"/>
    <cellStyle name="40% - Accent2 3 3 3 8" xfId="29087" xr:uid="{00000000-0005-0000-0000-000090550000}"/>
    <cellStyle name="40% - Accent2 3 3 3 9" xfId="38862" xr:uid="{00000000-0005-0000-0000-000091550000}"/>
    <cellStyle name="40% - Accent2 3 3 4" xfId="816" xr:uid="{00000000-0005-0000-0000-000092550000}"/>
    <cellStyle name="40% - Accent2 3 3 4 2" xfId="2307" xr:uid="{00000000-0005-0000-0000-000093550000}"/>
    <cellStyle name="40% - Accent2 3 3 4 2 2" xfId="6575" xr:uid="{00000000-0005-0000-0000-000094550000}"/>
    <cellStyle name="40% - Accent2 3 3 4 2 2 2" xfId="13675" xr:uid="{00000000-0005-0000-0000-000095550000}"/>
    <cellStyle name="40% - Accent2 3 3 4 2 2 3" xfId="20776" xr:uid="{00000000-0005-0000-0000-000096550000}"/>
    <cellStyle name="40% - Accent2 3 3 4 2 2 4" xfId="27878" xr:uid="{00000000-0005-0000-0000-000097550000}"/>
    <cellStyle name="40% - Accent2 3 3 4 2 2 5" xfId="34980" xr:uid="{00000000-0005-0000-0000-000098550000}"/>
    <cellStyle name="40% - Accent2 3 3 4 2 2 6" xfId="38863" xr:uid="{00000000-0005-0000-0000-000099550000}"/>
    <cellStyle name="40% - Accent2 3 3 4 2 3" xfId="9415" xr:uid="{00000000-0005-0000-0000-00009A550000}"/>
    <cellStyle name="40% - Accent2 3 3 4 2 4" xfId="16516" xr:uid="{00000000-0005-0000-0000-00009B550000}"/>
    <cellStyle name="40% - Accent2 3 3 4 2 5" xfId="23618" xr:uid="{00000000-0005-0000-0000-00009C550000}"/>
    <cellStyle name="40% - Accent2 3 3 4 2 6" xfId="30720" xr:uid="{00000000-0005-0000-0000-00009D550000}"/>
    <cellStyle name="40% - Accent2 3 3 4 2 7" xfId="38864" xr:uid="{00000000-0005-0000-0000-00009E550000}"/>
    <cellStyle name="40% - Accent2 3 3 4 3" xfId="5154" xr:uid="{00000000-0005-0000-0000-00009F550000}"/>
    <cellStyle name="40% - Accent2 3 3 4 3 2" xfId="12255" xr:uid="{00000000-0005-0000-0000-0000A0550000}"/>
    <cellStyle name="40% - Accent2 3 3 4 3 2 2" xfId="38865" xr:uid="{00000000-0005-0000-0000-0000A1550000}"/>
    <cellStyle name="40% - Accent2 3 3 4 3 3" xfId="19356" xr:uid="{00000000-0005-0000-0000-0000A2550000}"/>
    <cellStyle name="40% - Accent2 3 3 4 3 4" xfId="26458" xr:uid="{00000000-0005-0000-0000-0000A3550000}"/>
    <cellStyle name="40% - Accent2 3 3 4 3 5" xfId="33560" xr:uid="{00000000-0005-0000-0000-0000A4550000}"/>
    <cellStyle name="40% - Accent2 3 3 4 3 6" xfId="38866" xr:uid="{00000000-0005-0000-0000-0000A5550000}"/>
    <cellStyle name="40% - Accent2 3 3 4 4" xfId="3729" xr:uid="{00000000-0005-0000-0000-0000A6550000}"/>
    <cellStyle name="40% - Accent2 3 3 4 4 2" xfId="10835" xr:uid="{00000000-0005-0000-0000-0000A7550000}"/>
    <cellStyle name="40% - Accent2 3 3 4 4 3" xfId="17936" xr:uid="{00000000-0005-0000-0000-0000A8550000}"/>
    <cellStyle name="40% - Accent2 3 3 4 4 4" xfId="25038" xr:uid="{00000000-0005-0000-0000-0000A9550000}"/>
    <cellStyle name="40% - Accent2 3 3 4 4 5" xfId="32140" xr:uid="{00000000-0005-0000-0000-0000AA550000}"/>
    <cellStyle name="40% - Accent2 3 3 4 4 6" xfId="38867" xr:uid="{00000000-0005-0000-0000-0000AB550000}"/>
    <cellStyle name="40% - Accent2 3 3 4 5" xfId="7995" xr:uid="{00000000-0005-0000-0000-0000AC550000}"/>
    <cellStyle name="40% - Accent2 3 3 4 6" xfId="15096" xr:uid="{00000000-0005-0000-0000-0000AD550000}"/>
    <cellStyle name="40% - Accent2 3 3 4 7" xfId="22198" xr:uid="{00000000-0005-0000-0000-0000AE550000}"/>
    <cellStyle name="40% - Accent2 3 3 4 8" xfId="29300" xr:uid="{00000000-0005-0000-0000-0000AF550000}"/>
    <cellStyle name="40% - Accent2 3 3 4 9" xfId="38868" xr:uid="{00000000-0005-0000-0000-0000B0550000}"/>
    <cellStyle name="40% - Accent2 3 3 5" xfId="1171" xr:uid="{00000000-0005-0000-0000-0000B1550000}"/>
    <cellStyle name="40% - Accent2 3 3 5 2" xfId="2662" xr:uid="{00000000-0005-0000-0000-0000B2550000}"/>
    <cellStyle name="40% - Accent2 3 3 5 2 2" xfId="6930" xr:uid="{00000000-0005-0000-0000-0000B3550000}"/>
    <cellStyle name="40% - Accent2 3 3 5 2 2 2" xfId="14030" xr:uid="{00000000-0005-0000-0000-0000B4550000}"/>
    <cellStyle name="40% - Accent2 3 3 5 2 2 3" xfId="21131" xr:uid="{00000000-0005-0000-0000-0000B5550000}"/>
    <cellStyle name="40% - Accent2 3 3 5 2 2 4" xfId="28233" xr:uid="{00000000-0005-0000-0000-0000B6550000}"/>
    <cellStyle name="40% - Accent2 3 3 5 2 2 5" xfId="35335" xr:uid="{00000000-0005-0000-0000-0000B7550000}"/>
    <cellStyle name="40% - Accent2 3 3 5 2 3" xfId="9770" xr:uid="{00000000-0005-0000-0000-0000B8550000}"/>
    <cellStyle name="40% - Accent2 3 3 5 2 4" xfId="16871" xr:uid="{00000000-0005-0000-0000-0000B9550000}"/>
    <cellStyle name="40% - Accent2 3 3 5 2 5" xfId="23973" xr:uid="{00000000-0005-0000-0000-0000BA550000}"/>
    <cellStyle name="40% - Accent2 3 3 5 2 6" xfId="31075" xr:uid="{00000000-0005-0000-0000-0000BB550000}"/>
    <cellStyle name="40% - Accent2 3 3 5 2 7" xfId="38869" xr:uid="{00000000-0005-0000-0000-0000BC550000}"/>
    <cellStyle name="40% - Accent2 3 3 5 3" xfId="5509" xr:uid="{00000000-0005-0000-0000-0000BD550000}"/>
    <cellStyle name="40% - Accent2 3 3 5 3 2" xfId="12610" xr:uid="{00000000-0005-0000-0000-0000BE550000}"/>
    <cellStyle name="40% - Accent2 3 3 5 3 3" xfId="19711" xr:uid="{00000000-0005-0000-0000-0000BF550000}"/>
    <cellStyle name="40% - Accent2 3 3 5 3 4" xfId="26813" xr:uid="{00000000-0005-0000-0000-0000C0550000}"/>
    <cellStyle name="40% - Accent2 3 3 5 3 5" xfId="33915" xr:uid="{00000000-0005-0000-0000-0000C1550000}"/>
    <cellStyle name="40% - Accent2 3 3 5 4" xfId="4084" xr:uid="{00000000-0005-0000-0000-0000C2550000}"/>
    <cellStyle name="40% - Accent2 3 3 5 4 2" xfId="11190" xr:uid="{00000000-0005-0000-0000-0000C3550000}"/>
    <cellStyle name="40% - Accent2 3 3 5 4 3" xfId="18291" xr:uid="{00000000-0005-0000-0000-0000C4550000}"/>
    <cellStyle name="40% - Accent2 3 3 5 4 4" xfId="25393" xr:uid="{00000000-0005-0000-0000-0000C5550000}"/>
    <cellStyle name="40% - Accent2 3 3 5 4 5" xfId="32495" xr:uid="{00000000-0005-0000-0000-0000C6550000}"/>
    <cellStyle name="40% - Accent2 3 3 5 5" xfId="8350" xr:uid="{00000000-0005-0000-0000-0000C7550000}"/>
    <cellStyle name="40% - Accent2 3 3 5 6" xfId="15451" xr:uid="{00000000-0005-0000-0000-0000C8550000}"/>
    <cellStyle name="40% - Accent2 3 3 5 7" xfId="22553" xr:uid="{00000000-0005-0000-0000-0000C9550000}"/>
    <cellStyle name="40% - Accent2 3 3 5 8" xfId="29655" xr:uid="{00000000-0005-0000-0000-0000CA550000}"/>
    <cellStyle name="40% - Accent2 3 3 5 9" xfId="38870" xr:uid="{00000000-0005-0000-0000-0000CB550000}"/>
    <cellStyle name="40% - Accent2 3 3 6" xfId="1384" xr:uid="{00000000-0005-0000-0000-0000CC550000}"/>
    <cellStyle name="40% - Accent2 3 3 6 2" xfId="2875" xr:uid="{00000000-0005-0000-0000-0000CD550000}"/>
    <cellStyle name="40% - Accent2 3 3 6 2 2" xfId="7143" xr:uid="{00000000-0005-0000-0000-0000CE550000}"/>
    <cellStyle name="40% - Accent2 3 3 6 2 2 2" xfId="14243" xr:uid="{00000000-0005-0000-0000-0000CF550000}"/>
    <cellStyle name="40% - Accent2 3 3 6 2 2 3" xfId="21344" xr:uid="{00000000-0005-0000-0000-0000D0550000}"/>
    <cellStyle name="40% - Accent2 3 3 6 2 2 4" xfId="28446" xr:uid="{00000000-0005-0000-0000-0000D1550000}"/>
    <cellStyle name="40% - Accent2 3 3 6 2 2 5" xfId="35548" xr:uid="{00000000-0005-0000-0000-0000D2550000}"/>
    <cellStyle name="40% - Accent2 3 3 6 2 3" xfId="9983" xr:uid="{00000000-0005-0000-0000-0000D3550000}"/>
    <cellStyle name="40% - Accent2 3 3 6 2 4" xfId="17084" xr:uid="{00000000-0005-0000-0000-0000D4550000}"/>
    <cellStyle name="40% - Accent2 3 3 6 2 5" xfId="24186" xr:uid="{00000000-0005-0000-0000-0000D5550000}"/>
    <cellStyle name="40% - Accent2 3 3 6 2 6" xfId="31288" xr:uid="{00000000-0005-0000-0000-0000D6550000}"/>
    <cellStyle name="40% - Accent2 3 3 6 2 7" xfId="38871" xr:uid="{00000000-0005-0000-0000-0000D7550000}"/>
    <cellStyle name="40% - Accent2 3 3 6 3" xfId="5722" xr:uid="{00000000-0005-0000-0000-0000D8550000}"/>
    <cellStyle name="40% - Accent2 3 3 6 3 2" xfId="12823" xr:uid="{00000000-0005-0000-0000-0000D9550000}"/>
    <cellStyle name="40% - Accent2 3 3 6 3 3" xfId="19924" xr:uid="{00000000-0005-0000-0000-0000DA550000}"/>
    <cellStyle name="40% - Accent2 3 3 6 3 4" xfId="27026" xr:uid="{00000000-0005-0000-0000-0000DB550000}"/>
    <cellStyle name="40% - Accent2 3 3 6 3 5" xfId="34128" xr:uid="{00000000-0005-0000-0000-0000DC550000}"/>
    <cellStyle name="40% - Accent2 3 3 6 4" xfId="4297" xr:uid="{00000000-0005-0000-0000-0000DD550000}"/>
    <cellStyle name="40% - Accent2 3 3 6 4 2" xfId="11403" xr:uid="{00000000-0005-0000-0000-0000DE550000}"/>
    <cellStyle name="40% - Accent2 3 3 6 4 3" xfId="18504" xr:uid="{00000000-0005-0000-0000-0000DF550000}"/>
    <cellStyle name="40% - Accent2 3 3 6 4 4" xfId="25606" xr:uid="{00000000-0005-0000-0000-0000E0550000}"/>
    <cellStyle name="40% - Accent2 3 3 6 4 5" xfId="32708" xr:uid="{00000000-0005-0000-0000-0000E1550000}"/>
    <cellStyle name="40% - Accent2 3 3 6 5" xfId="8563" xr:uid="{00000000-0005-0000-0000-0000E2550000}"/>
    <cellStyle name="40% - Accent2 3 3 6 6" xfId="15664" xr:uid="{00000000-0005-0000-0000-0000E3550000}"/>
    <cellStyle name="40% - Accent2 3 3 6 7" xfId="22766" xr:uid="{00000000-0005-0000-0000-0000E4550000}"/>
    <cellStyle name="40% - Accent2 3 3 6 8" xfId="29868" xr:uid="{00000000-0005-0000-0000-0000E5550000}"/>
    <cellStyle name="40% - Accent2 3 3 6 9" xfId="38872" xr:uid="{00000000-0005-0000-0000-0000E6550000}"/>
    <cellStyle name="40% - Accent2 3 3 7" xfId="1668" xr:uid="{00000000-0005-0000-0000-0000E7550000}"/>
    <cellStyle name="40% - Accent2 3 3 7 2" xfId="5936" xr:uid="{00000000-0005-0000-0000-0000E8550000}"/>
    <cellStyle name="40% - Accent2 3 3 7 2 2" xfId="13036" xr:uid="{00000000-0005-0000-0000-0000E9550000}"/>
    <cellStyle name="40% - Accent2 3 3 7 2 3" xfId="20137" xr:uid="{00000000-0005-0000-0000-0000EA550000}"/>
    <cellStyle name="40% - Accent2 3 3 7 2 4" xfId="27239" xr:uid="{00000000-0005-0000-0000-0000EB550000}"/>
    <cellStyle name="40% - Accent2 3 3 7 2 5" xfId="34341" xr:uid="{00000000-0005-0000-0000-0000EC550000}"/>
    <cellStyle name="40% - Accent2 3 3 7 3" xfId="8776" xr:uid="{00000000-0005-0000-0000-0000ED550000}"/>
    <cellStyle name="40% - Accent2 3 3 7 4" xfId="15877" xr:uid="{00000000-0005-0000-0000-0000EE550000}"/>
    <cellStyle name="40% - Accent2 3 3 7 5" xfId="22979" xr:uid="{00000000-0005-0000-0000-0000EF550000}"/>
    <cellStyle name="40% - Accent2 3 3 7 6" xfId="30081" xr:uid="{00000000-0005-0000-0000-0000F0550000}"/>
    <cellStyle name="40% - Accent2 3 3 7 7" xfId="38873" xr:uid="{00000000-0005-0000-0000-0000F1550000}"/>
    <cellStyle name="40% - Accent2 3 3 8" xfId="4515" xr:uid="{00000000-0005-0000-0000-0000F2550000}"/>
    <cellStyle name="40% - Accent2 3 3 8 2" xfId="11616" xr:uid="{00000000-0005-0000-0000-0000F3550000}"/>
    <cellStyle name="40% - Accent2 3 3 8 3" xfId="18717" xr:uid="{00000000-0005-0000-0000-0000F4550000}"/>
    <cellStyle name="40% - Accent2 3 3 8 4" xfId="25819" xr:uid="{00000000-0005-0000-0000-0000F5550000}"/>
    <cellStyle name="40% - Accent2 3 3 8 5" xfId="32921" xr:uid="{00000000-0005-0000-0000-0000F6550000}"/>
    <cellStyle name="40% - Accent2 3 3 9" xfId="3090" xr:uid="{00000000-0005-0000-0000-0000F7550000}"/>
    <cellStyle name="40% - Accent2 3 3 9 2" xfId="10196" xr:uid="{00000000-0005-0000-0000-0000F8550000}"/>
    <cellStyle name="40% - Accent2 3 3 9 3" xfId="17297" xr:uid="{00000000-0005-0000-0000-0000F9550000}"/>
    <cellStyle name="40% - Accent2 3 3 9 4" xfId="24399" xr:uid="{00000000-0005-0000-0000-0000FA550000}"/>
    <cellStyle name="40% - Accent2 3 3 9 5" xfId="31501" xr:uid="{00000000-0005-0000-0000-0000FB550000}"/>
    <cellStyle name="40% - Accent2 3 4" xfId="319" xr:uid="{00000000-0005-0000-0000-0000FC550000}"/>
    <cellStyle name="40% - Accent2 3 4 10" xfId="38874" xr:uid="{00000000-0005-0000-0000-0000FD550000}"/>
    <cellStyle name="40% - Accent2 3 4 2" xfId="1100" xr:uid="{00000000-0005-0000-0000-0000FE550000}"/>
    <cellStyle name="40% - Accent2 3 4 2 2" xfId="2591" xr:uid="{00000000-0005-0000-0000-0000FF550000}"/>
    <cellStyle name="40% - Accent2 3 4 2 2 2" xfId="6859" xr:uid="{00000000-0005-0000-0000-000000560000}"/>
    <cellStyle name="40% - Accent2 3 4 2 2 2 2" xfId="13959" xr:uid="{00000000-0005-0000-0000-000001560000}"/>
    <cellStyle name="40% - Accent2 3 4 2 2 2 3" xfId="21060" xr:uid="{00000000-0005-0000-0000-000002560000}"/>
    <cellStyle name="40% - Accent2 3 4 2 2 2 4" xfId="28162" xr:uid="{00000000-0005-0000-0000-000003560000}"/>
    <cellStyle name="40% - Accent2 3 4 2 2 2 5" xfId="35264" xr:uid="{00000000-0005-0000-0000-000004560000}"/>
    <cellStyle name="40% - Accent2 3 4 2 2 3" xfId="9699" xr:uid="{00000000-0005-0000-0000-000005560000}"/>
    <cellStyle name="40% - Accent2 3 4 2 2 4" xfId="16800" xr:uid="{00000000-0005-0000-0000-000006560000}"/>
    <cellStyle name="40% - Accent2 3 4 2 2 5" xfId="23902" xr:uid="{00000000-0005-0000-0000-000007560000}"/>
    <cellStyle name="40% - Accent2 3 4 2 2 6" xfId="31004" xr:uid="{00000000-0005-0000-0000-000008560000}"/>
    <cellStyle name="40% - Accent2 3 4 2 2 7" xfId="38875" xr:uid="{00000000-0005-0000-0000-000009560000}"/>
    <cellStyle name="40% - Accent2 3 4 2 3" xfId="5438" xr:uid="{00000000-0005-0000-0000-00000A560000}"/>
    <cellStyle name="40% - Accent2 3 4 2 3 2" xfId="12539" xr:uid="{00000000-0005-0000-0000-00000B560000}"/>
    <cellStyle name="40% - Accent2 3 4 2 3 3" xfId="19640" xr:uid="{00000000-0005-0000-0000-00000C560000}"/>
    <cellStyle name="40% - Accent2 3 4 2 3 4" xfId="26742" xr:uid="{00000000-0005-0000-0000-00000D560000}"/>
    <cellStyle name="40% - Accent2 3 4 2 3 5" xfId="33844" xr:uid="{00000000-0005-0000-0000-00000E560000}"/>
    <cellStyle name="40% - Accent2 3 4 2 4" xfId="4013" xr:uid="{00000000-0005-0000-0000-00000F560000}"/>
    <cellStyle name="40% - Accent2 3 4 2 4 2" xfId="11119" xr:uid="{00000000-0005-0000-0000-000010560000}"/>
    <cellStyle name="40% - Accent2 3 4 2 4 3" xfId="18220" xr:uid="{00000000-0005-0000-0000-000011560000}"/>
    <cellStyle name="40% - Accent2 3 4 2 4 4" xfId="25322" xr:uid="{00000000-0005-0000-0000-000012560000}"/>
    <cellStyle name="40% - Accent2 3 4 2 4 5" xfId="32424" xr:uid="{00000000-0005-0000-0000-000013560000}"/>
    <cellStyle name="40% - Accent2 3 4 2 5" xfId="8279" xr:uid="{00000000-0005-0000-0000-000014560000}"/>
    <cellStyle name="40% - Accent2 3 4 2 6" xfId="15380" xr:uid="{00000000-0005-0000-0000-000015560000}"/>
    <cellStyle name="40% - Accent2 3 4 2 7" xfId="22482" xr:uid="{00000000-0005-0000-0000-000016560000}"/>
    <cellStyle name="40% - Accent2 3 4 2 8" xfId="29584" xr:uid="{00000000-0005-0000-0000-000017560000}"/>
    <cellStyle name="40% - Accent2 3 4 2 9" xfId="38876" xr:uid="{00000000-0005-0000-0000-000018560000}"/>
    <cellStyle name="40% - Accent2 3 4 3" xfId="1810" xr:uid="{00000000-0005-0000-0000-000019560000}"/>
    <cellStyle name="40% - Accent2 3 4 3 2" xfId="6078" xr:uid="{00000000-0005-0000-0000-00001A560000}"/>
    <cellStyle name="40% - Accent2 3 4 3 2 2" xfId="13178" xr:uid="{00000000-0005-0000-0000-00001B560000}"/>
    <cellStyle name="40% - Accent2 3 4 3 2 3" xfId="20279" xr:uid="{00000000-0005-0000-0000-00001C560000}"/>
    <cellStyle name="40% - Accent2 3 4 3 2 4" xfId="27381" xr:uid="{00000000-0005-0000-0000-00001D560000}"/>
    <cellStyle name="40% - Accent2 3 4 3 2 5" xfId="34483" xr:uid="{00000000-0005-0000-0000-00001E560000}"/>
    <cellStyle name="40% - Accent2 3 4 3 2 6" xfId="38877" xr:uid="{00000000-0005-0000-0000-00001F560000}"/>
    <cellStyle name="40% - Accent2 3 4 3 3" xfId="8918" xr:uid="{00000000-0005-0000-0000-000020560000}"/>
    <cellStyle name="40% - Accent2 3 4 3 4" xfId="16019" xr:uid="{00000000-0005-0000-0000-000021560000}"/>
    <cellStyle name="40% - Accent2 3 4 3 5" xfId="23121" xr:uid="{00000000-0005-0000-0000-000022560000}"/>
    <cellStyle name="40% - Accent2 3 4 3 6" xfId="30223" xr:uid="{00000000-0005-0000-0000-000023560000}"/>
    <cellStyle name="40% - Accent2 3 4 3 7" xfId="38878" xr:uid="{00000000-0005-0000-0000-000024560000}"/>
    <cellStyle name="40% - Accent2 3 4 4" xfId="4657" xr:uid="{00000000-0005-0000-0000-000025560000}"/>
    <cellStyle name="40% - Accent2 3 4 4 2" xfId="11758" xr:uid="{00000000-0005-0000-0000-000026560000}"/>
    <cellStyle name="40% - Accent2 3 4 4 3" xfId="18859" xr:uid="{00000000-0005-0000-0000-000027560000}"/>
    <cellStyle name="40% - Accent2 3 4 4 4" xfId="25961" xr:uid="{00000000-0005-0000-0000-000028560000}"/>
    <cellStyle name="40% - Accent2 3 4 4 5" xfId="33063" xr:uid="{00000000-0005-0000-0000-000029560000}"/>
    <cellStyle name="40% - Accent2 3 4 4 6" xfId="38879" xr:uid="{00000000-0005-0000-0000-00002A560000}"/>
    <cellStyle name="40% - Accent2 3 4 5" xfId="3232" xr:uid="{00000000-0005-0000-0000-00002B560000}"/>
    <cellStyle name="40% - Accent2 3 4 5 2" xfId="10338" xr:uid="{00000000-0005-0000-0000-00002C560000}"/>
    <cellStyle name="40% - Accent2 3 4 5 3" xfId="17439" xr:uid="{00000000-0005-0000-0000-00002D560000}"/>
    <cellStyle name="40% - Accent2 3 4 5 4" xfId="24541" xr:uid="{00000000-0005-0000-0000-00002E560000}"/>
    <cellStyle name="40% - Accent2 3 4 5 5" xfId="31643" xr:uid="{00000000-0005-0000-0000-00002F560000}"/>
    <cellStyle name="40% - Accent2 3 4 6" xfId="7498" xr:uid="{00000000-0005-0000-0000-000030560000}"/>
    <cellStyle name="40% - Accent2 3 4 7" xfId="14599" xr:uid="{00000000-0005-0000-0000-000031560000}"/>
    <cellStyle name="40% - Accent2 3 4 8" xfId="21701" xr:uid="{00000000-0005-0000-0000-000032560000}"/>
    <cellStyle name="40% - Accent2 3 4 9" xfId="28803" xr:uid="{00000000-0005-0000-0000-000033560000}"/>
    <cellStyle name="40% - Accent2 3 5" xfId="532" xr:uid="{00000000-0005-0000-0000-000034560000}"/>
    <cellStyle name="40% - Accent2 3 5 2" xfId="2023" xr:uid="{00000000-0005-0000-0000-000035560000}"/>
    <cellStyle name="40% - Accent2 3 5 2 2" xfId="6291" xr:uid="{00000000-0005-0000-0000-000036560000}"/>
    <cellStyle name="40% - Accent2 3 5 2 2 2" xfId="13391" xr:uid="{00000000-0005-0000-0000-000037560000}"/>
    <cellStyle name="40% - Accent2 3 5 2 2 3" xfId="20492" xr:uid="{00000000-0005-0000-0000-000038560000}"/>
    <cellStyle name="40% - Accent2 3 5 2 2 4" xfId="27594" xr:uid="{00000000-0005-0000-0000-000039560000}"/>
    <cellStyle name="40% - Accent2 3 5 2 2 5" xfId="34696" xr:uid="{00000000-0005-0000-0000-00003A560000}"/>
    <cellStyle name="40% - Accent2 3 5 2 2 6" xfId="38880" xr:uid="{00000000-0005-0000-0000-00003B560000}"/>
    <cellStyle name="40% - Accent2 3 5 2 3" xfId="9131" xr:uid="{00000000-0005-0000-0000-00003C560000}"/>
    <cellStyle name="40% - Accent2 3 5 2 4" xfId="16232" xr:uid="{00000000-0005-0000-0000-00003D560000}"/>
    <cellStyle name="40% - Accent2 3 5 2 5" xfId="23334" xr:uid="{00000000-0005-0000-0000-00003E560000}"/>
    <cellStyle name="40% - Accent2 3 5 2 6" xfId="30436" xr:uid="{00000000-0005-0000-0000-00003F560000}"/>
    <cellStyle name="40% - Accent2 3 5 2 7" xfId="38881" xr:uid="{00000000-0005-0000-0000-000040560000}"/>
    <cellStyle name="40% - Accent2 3 5 3" xfId="4870" xr:uid="{00000000-0005-0000-0000-000041560000}"/>
    <cellStyle name="40% - Accent2 3 5 3 2" xfId="11971" xr:uid="{00000000-0005-0000-0000-000042560000}"/>
    <cellStyle name="40% - Accent2 3 5 3 2 2" xfId="38882" xr:uid="{00000000-0005-0000-0000-000043560000}"/>
    <cellStyle name="40% - Accent2 3 5 3 3" xfId="19072" xr:uid="{00000000-0005-0000-0000-000044560000}"/>
    <cellStyle name="40% - Accent2 3 5 3 4" xfId="26174" xr:uid="{00000000-0005-0000-0000-000045560000}"/>
    <cellStyle name="40% - Accent2 3 5 3 5" xfId="33276" xr:uid="{00000000-0005-0000-0000-000046560000}"/>
    <cellStyle name="40% - Accent2 3 5 3 6" xfId="38883" xr:uid="{00000000-0005-0000-0000-000047560000}"/>
    <cellStyle name="40% - Accent2 3 5 4" xfId="3445" xr:uid="{00000000-0005-0000-0000-000048560000}"/>
    <cellStyle name="40% - Accent2 3 5 4 2" xfId="10551" xr:uid="{00000000-0005-0000-0000-000049560000}"/>
    <cellStyle name="40% - Accent2 3 5 4 3" xfId="17652" xr:uid="{00000000-0005-0000-0000-00004A560000}"/>
    <cellStyle name="40% - Accent2 3 5 4 4" xfId="24754" xr:uid="{00000000-0005-0000-0000-00004B560000}"/>
    <cellStyle name="40% - Accent2 3 5 4 5" xfId="31856" xr:uid="{00000000-0005-0000-0000-00004C560000}"/>
    <cellStyle name="40% - Accent2 3 5 4 6" xfId="38884" xr:uid="{00000000-0005-0000-0000-00004D560000}"/>
    <cellStyle name="40% - Accent2 3 5 5" xfId="7711" xr:uid="{00000000-0005-0000-0000-00004E560000}"/>
    <cellStyle name="40% - Accent2 3 5 6" xfId="14812" xr:uid="{00000000-0005-0000-0000-00004F560000}"/>
    <cellStyle name="40% - Accent2 3 5 7" xfId="21914" xr:uid="{00000000-0005-0000-0000-000050560000}"/>
    <cellStyle name="40% - Accent2 3 5 8" xfId="29016" xr:uid="{00000000-0005-0000-0000-000051560000}"/>
    <cellStyle name="40% - Accent2 3 5 9" xfId="38885" xr:uid="{00000000-0005-0000-0000-000052560000}"/>
    <cellStyle name="40% - Accent2 3 6" xfId="745" xr:uid="{00000000-0005-0000-0000-000053560000}"/>
    <cellStyle name="40% - Accent2 3 6 2" xfId="2236" xr:uid="{00000000-0005-0000-0000-000054560000}"/>
    <cellStyle name="40% - Accent2 3 6 2 2" xfId="6504" xr:uid="{00000000-0005-0000-0000-000055560000}"/>
    <cellStyle name="40% - Accent2 3 6 2 2 2" xfId="13604" xr:uid="{00000000-0005-0000-0000-000056560000}"/>
    <cellStyle name="40% - Accent2 3 6 2 2 3" xfId="20705" xr:uid="{00000000-0005-0000-0000-000057560000}"/>
    <cellStyle name="40% - Accent2 3 6 2 2 4" xfId="27807" xr:uid="{00000000-0005-0000-0000-000058560000}"/>
    <cellStyle name="40% - Accent2 3 6 2 2 5" xfId="34909" xr:uid="{00000000-0005-0000-0000-000059560000}"/>
    <cellStyle name="40% - Accent2 3 6 2 2 6" xfId="38886" xr:uid="{00000000-0005-0000-0000-00005A560000}"/>
    <cellStyle name="40% - Accent2 3 6 2 3" xfId="9344" xr:uid="{00000000-0005-0000-0000-00005B560000}"/>
    <cellStyle name="40% - Accent2 3 6 2 4" xfId="16445" xr:uid="{00000000-0005-0000-0000-00005C560000}"/>
    <cellStyle name="40% - Accent2 3 6 2 5" xfId="23547" xr:uid="{00000000-0005-0000-0000-00005D560000}"/>
    <cellStyle name="40% - Accent2 3 6 2 6" xfId="30649" xr:uid="{00000000-0005-0000-0000-00005E560000}"/>
    <cellStyle name="40% - Accent2 3 6 2 7" xfId="38887" xr:uid="{00000000-0005-0000-0000-00005F560000}"/>
    <cellStyle name="40% - Accent2 3 6 3" xfId="5083" xr:uid="{00000000-0005-0000-0000-000060560000}"/>
    <cellStyle name="40% - Accent2 3 6 3 2" xfId="12184" xr:uid="{00000000-0005-0000-0000-000061560000}"/>
    <cellStyle name="40% - Accent2 3 6 3 2 2" xfId="38888" xr:uid="{00000000-0005-0000-0000-000062560000}"/>
    <cellStyle name="40% - Accent2 3 6 3 3" xfId="19285" xr:uid="{00000000-0005-0000-0000-000063560000}"/>
    <cellStyle name="40% - Accent2 3 6 3 4" xfId="26387" xr:uid="{00000000-0005-0000-0000-000064560000}"/>
    <cellStyle name="40% - Accent2 3 6 3 5" xfId="33489" xr:uid="{00000000-0005-0000-0000-000065560000}"/>
    <cellStyle name="40% - Accent2 3 6 3 6" xfId="38889" xr:uid="{00000000-0005-0000-0000-000066560000}"/>
    <cellStyle name="40% - Accent2 3 6 4" xfId="3658" xr:uid="{00000000-0005-0000-0000-000067560000}"/>
    <cellStyle name="40% - Accent2 3 6 4 2" xfId="10764" xr:uid="{00000000-0005-0000-0000-000068560000}"/>
    <cellStyle name="40% - Accent2 3 6 4 3" xfId="17865" xr:uid="{00000000-0005-0000-0000-000069560000}"/>
    <cellStyle name="40% - Accent2 3 6 4 4" xfId="24967" xr:uid="{00000000-0005-0000-0000-00006A560000}"/>
    <cellStyle name="40% - Accent2 3 6 4 5" xfId="32069" xr:uid="{00000000-0005-0000-0000-00006B560000}"/>
    <cellStyle name="40% - Accent2 3 6 4 6" xfId="38890" xr:uid="{00000000-0005-0000-0000-00006C560000}"/>
    <cellStyle name="40% - Accent2 3 6 5" xfId="7924" xr:uid="{00000000-0005-0000-0000-00006D560000}"/>
    <cellStyle name="40% - Accent2 3 6 6" xfId="15025" xr:uid="{00000000-0005-0000-0000-00006E560000}"/>
    <cellStyle name="40% - Accent2 3 6 7" xfId="22127" xr:uid="{00000000-0005-0000-0000-00006F560000}"/>
    <cellStyle name="40% - Accent2 3 6 8" xfId="29229" xr:uid="{00000000-0005-0000-0000-000070560000}"/>
    <cellStyle name="40% - Accent2 3 6 9" xfId="38891" xr:uid="{00000000-0005-0000-0000-000071560000}"/>
    <cellStyle name="40% - Accent2 3 7" xfId="958" xr:uid="{00000000-0005-0000-0000-000072560000}"/>
    <cellStyle name="40% - Accent2 3 7 2" xfId="2449" xr:uid="{00000000-0005-0000-0000-000073560000}"/>
    <cellStyle name="40% - Accent2 3 7 2 2" xfId="6717" xr:uid="{00000000-0005-0000-0000-000074560000}"/>
    <cellStyle name="40% - Accent2 3 7 2 2 2" xfId="13817" xr:uid="{00000000-0005-0000-0000-000075560000}"/>
    <cellStyle name="40% - Accent2 3 7 2 2 3" xfId="20918" xr:uid="{00000000-0005-0000-0000-000076560000}"/>
    <cellStyle name="40% - Accent2 3 7 2 2 4" xfId="28020" xr:uid="{00000000-0005-0000-0000-000077560000}"/>
    <cellStyle name="40% - Accent2 3 7 2 2 5" xfId="35122" xr:uid="{00000000-0005-0000-0000-000078560000}"/>
    <cellStyle name="40% - Accent2 3 7 2 3" xfId="9557" xr:uid="{00000000-0005-0000-0000-000079560000}"/>
    <cellStyle name="40% - Accent2 3 7 2 4" xfId="16658" xr:uid="{00000000-0005-0000-0000-00007A560000}"/>
    <cellStyle name="40% - Accent2 3 7 2 5" xfId="23760" xr:uid="{00000000-0005-0000-0000-00007B560000}"/>
    <cellStyle name="40% - Accent2 3 7 2 6" xfId="30862" xr:uid="{00000000-0005-0000-0000-00007C560000}"/>
    <cellStyle name="40% - Accent2 3 7 2 7" xfId="38892" xr:uid="{00000000-0005-0000-0000-00007D560000}"/>
    <cellStyle name="40% - Accent2 3 7 3" xfId="5296" xr:uid="{00000000-0005-0000-0000-00007E560000}"/>
    <cellStyle name="40% - Accent2 3 7 3 2" xfId="12397" xr:uid="{00000000-0005-0000-0000-00007F560000}"/>
    <cellStyle name="40% - Accent2 3 7 3 3" xfId="19498" xr:uid="{00000000-0005-0000-0000-000080560000}"/>
    <cellStyle name="40% - Accent2 3 7 3 4" xfId="26600" xr:uid="{00000000-0005-0000-0000-000081560000}"/>
    <cellStyle name="40% - Accent2 3 7 3 5" xfId="33702" xr:uid="{00000000-0005-0000-0000-000082560000}"/>
    <cellStyle name="40% - Accent2 3 7 4" xfId="3871" xr:uid="{00000000-0005-0000-0000-000083560000}"/>
    <cellStyle name="40% - Accent2 3 7 4 2" xfId="10977" xr:uid="{00000000-0005-0000-0000-000084560000}"/>
    <cellStyle name="40% - Accent2 3 7 4 3" xfId="18078" xr:uid="{00000000-0005-0000-0000-000085560000}"/>
    <cellStyle name="40% - Accent2 3 7 4 4" xfId="25180" xr:uid="{00000000-0005-0000-0000-000086560000}"/>
    <cellStyle name="40% - Accent2 3 7 4 5" xfId="32282" xr:uid="{00000000-0005-0000-0000-000087560000}"/>
    <cellStyle name="40% - Accent2 3 7 5" xfId="8137" xr:uid="{00000000-0005-0000-0000-000088560000}"/>
    <cellStyle name="40% - Accent2 3 7 6" xfId="15238" xr:uid="{00000000-0005-0000-0000-000089560000}"/>
    <cellStyle name="40% - Accent2 3 7 7" xfId="22340" xr:uid="{00000000-0005-0000-0000-00008A560000}"/>
    <cellStyle name="40% - Accent2 3 7 8" xfId="29442" xr:uid="{00000000-0005-0000-0000-00008B560000}"/>
    <cellStyle name="40% - Accent2 3 7 9" xfId="38893" xr:uid="{00000000-0005-0000-0000-00008C560000}"/>
    <cellStyle name="40% - Accent2 3 8" xfId="1313" xr:uid="{00000000-0005-0000-0000-00008D560000}"/>
    <cellStyle name="40% - Accent2 3 8 2" xfId="2804" xr:uid="{00000000-0005-0000-0000-00008E560000}"/>
    <cellStyle name="40% - Accent2 3 8 2 2" xfId="7072" xr:uid="{00000000-0005-0000-0000-00008F560000}"/>
    <cellStyle name="40% - Accent2 3 8 2 2 2" xfId="14172" xr:uid="{00000000-0005-0000-0000-000090560000}"/>
    <cellStyle name="40% - Accent2 3 8 2 2 3" xfId="21273" xr:uid="{00000000-0005-0000-0000-000091560000}"/>
    <cellStyle name="40% - Accent2 3 8 2 2 4" xfId="28375" xr:uid="{00000000-0005-0000-0000-000092560000}"/>
    <cellStyle name="40% - Accent2 3 8 2 2 5" xfId="35477" xr:uid="{00000000-0005-0000-0000-000093560000}"/>
    <cellStyle name="40% - Accent2 3 8 2 3" xfId="9912" xr:uid="{00000000-0005-0000-0000-000094560000}"/>
    <cellStyle name="40% - Accent2 3 8 2 4" xfId="17013" xr:uid="{00000000-0005-0000-0000-000095560000}"/>
    <cellStyle name="40% - Accent2 3 8 2 5" xfId="24115" xr:uid="{00000000-0005-0000-0000-000096560000}"/>
    <cellStyle name="40% - Accent2 3 8 2 6" xfId="31217" xr:uid="{00000000-0005-0000-0000-000097560000}"/>
    <cellStyle name="40% - Accent2 3 8 2 7" xfId="38894" xr:uid="{00000000-0005-0000-0000-000098560000}"/>
    <cellStyle name="40% - Accent2 3 8 3" xfId="5651" xr:uid="{00000000-0005-0000-0000-000099560000}"/>
    <cellStyle name="40% - Accent2 3 8 3 2" xfId="12752" xr:uid="{00000000-0005-0000-0000-00009A560000}"/>
    <cellStyle name="40% - Accent2 3 8 3 3" xfId="19853" xr:uid="{00000000-0005-0000-0000-00009B560000}"/>
    <cellStyle name="40% - Accent2 3 8 3 4" xfId="26955" xr:uid="{00000000-0005-0000-0000-00009C560000}"/>
    <cellStyle name="40% - Accent2 3 8 3 5" xfId="34057" xr:uid="{00000000-0005-0000-0000-00009D560000}"/>
    <cellStyle name="40% - Accent2 3 8 4" xfId="4226" xr:uid="{00000000-0005-0000-0000-00009E560000}"/>
    <cellStyle name="40% - Accent2 3 8 4 2" xfId="11332" xr:uid="{00000000-0005-0000-0000-00009F560000}"/>
    <cellStyle name="40% - Accent2 3 8 4 3" xfId="18433" xr:uid="{00000000-0005-0000-0000-0000A0560000}"/>
    <cellStyle name="40% - Accent2 3 8 4 4" xfId="25535" xr:uid="{00000000-0005-0000-0000-0000A1560000}"/>
    <cellStyle name="40% - Accent2 3 8 4 5" xfId="32637" xr:uid="{00000000-0005-0000-0000-0000A2560000}"/>
    <cellStyle name="40% - Accent2 3 8 5" xfId="8492" xr:uid="{00000000-0005-0000-0000-0000A3560000}"/>
    <cellStyle name="40% - Accent2 3 8 6" xfId="15593" xr:uid="{00000000-0005-0000-0000-0000A4560000}"/>
    <cellStyle name="40% - Accent2 3 8 7" xfId="22695" xr:uid="{00000000-0005-0000-0000-0000A5560000}"/>
    <cellStyle name="40% - Accent2 3 8 8" xfId="29797" xr:uid="{00000000-0005-0000-0000-0000A6560000}"/>
    <cellStyle name="40% - Accent2 3 8 9" xfId="38895" xr:uid="{00000000-0005-0000-0000-0000A7560000}"/>
    <cellStyle name="40% - Accent2 3 9" xfId="1595" xr:uid="{00000000-0005-0000-0000-0000A8560000}"/>
    <cellStyle name="40% - Accent2 3 9 2" xfId="5865" xr:uid="{00000000-0005-0000-0000-0000A9560000}"/>
    <cellStyle name="40% - Accent2 3 9 2 2" xfId="12965" xr:uid="{00000000-0005-0000-0000-0000AA560000}"/>
    <cellStyle name="40% - Accent2 3 9 2 3" xfId="20066" xr:uid="{00000000-0005-0000-0000-0000AB560000}"/>
    <cellStyle name="40% - Accent2 3 9 2 4" xfId="27168" xr:uid="{00000000-0005-0000-0000-0000AC560000}"/>
    <cellStyle name="40% - Accent2 3 9 2 5" xfId="34270" xr:uid="{00000000-0005-0000-0000-0000AD560000}"/>
    <cellStyle name="40% - Accent2 3 9 3" xfId="8705" xr:uid="{00000000-0005-0000-0000-0000AE560000}"/>
    <cellStyle name="40% - Accent2 3 9 4" xfId="15806" xr:uid="{00000000-0005-0000-0000-0000AF560000}"/>
    <cellStyle name="40% - Accent2 3 9 5" xfId="22908" xr:uid="{00000000-0005-0000-0000-0000B0560000}"/>
    <cellStyle name="40% - Accent2 3 9 6" xfId="30010" xr:uid="{00000000-0005-0000-0000-0000B1560000}"/>
    <cellStyle name="40% - Accent2 3 9 7" xfId="38896" xr:uid="{00000000-0005-0000-0000-0000B2560000}"/>
    <cellStyle name="40% - Accent2 4" xfId="135" xr:uid="{00000000-0005-0000-0000-0000B3560000}"/>
    <cellStyle name="40% - Accent2 4 10" xfId="4475" xr:uid="{00000000-0005-0000-0000-0000B4560000}"/>
    <cellStyle name="40% - Accent2 4 10 2" xfId="11576" xr:uid="{00000000-0005-0000-0000-0000B5560000}"/>
    <cellStyle name="40% - Accent2 4 10 3" xfId="18677" xr:uid="{00000000-0005-0000-0000-0000B6560000}"/>
    <cellStyle name="40% - Accent2 4 10 4" xfId="25779" xr:uid="{00000000-0005-0000-0000-0000B7560000}"/>
    <cellStyle name="40% - Accent2 4 10 5" xfId="32881" xr:uid="{00000000-0005-0000-0000-0000B8560000}"/>
    <cellStyle name="40% - Accent2 4 11" xfId="3050" xr:uid="{00000000-0005-0000-0000-0000B9560000}"/>
    <cellStyle name="40% - Accent2 4 11 2" xfId="10156" xr:uid="{00000000-0005-0000-0000-0000BA560000}"/>
    <cellStyle name="40% - Accent2 4 11 3" xfId="17257" xr:uid="{00000000-0005-0000-0000-0000BB560000}"/>
    <cellStyle name="40% - Accent2 4 11 4" xfId="24359" xr:uid="{00000000-0005-0000-0000-0000BC560000}"/>
    <cellStyle name="40% - Accent2 4 11 5" xfId="31461" xr:uid="{00000000-0005-0000-0000-0000BD560000}"/>
    <cellStyle name="40% - Accent2 4 12" xfId="7316" xr:uid="{00000000-0005-0000-0000-0000BE560000}"/>
    <cellStyle name="40% - Accent2 4 13" xfId="14417" xr:uid="{00000000-0005-0000-0000-0000BF560000}"/>
    <cellStyle name="40% - Accent2 4 14" xfId="21519" xr:uid="{00000000-0005-0000-0000-0000C0560000}"/>
    <cellStyle name="40% - Accent2 4 15" xfId="28621" xr:uid="{00000000-0005-0000-0000-0000C1560000}"/>
    <cellStyle name="40% - Accent2 4 16" xfId="35723" xr:uid="{00000000-0005-0000-0000-0000C2560000}"/>
    <cellStyle name="40% - Accent2 4 17" xfId="38897" xr:uid="{00000000-0005-0000-0000-0000C3560000}"/>
    <cellStyle name="40% - Accent2 4 18" xfId="38898" xr:uid="{00000000-0005-0000-0000-0000C4560000}"/>
    <cellStyle name="40% - Accent2 4 2" xfId="279" xr:uid="{00000000-0005-0000-0000-0000C5560000}"/>
    <cellStyle name="40% - Accent2 4 2 10" xfId="7458" xr:uid="{00000000-0005-0000-0000-0000C6560000}"/>
    <cellStyle name="40% - Accent2 4 2 11" xfId="14559" xr:uid="{00000000-0005-0000-0000-0000C7560000}"/>
    <cellStyle name="40% - Accent2 4 2 12" xfId="21661" xr:uid="{00000000-0005-0000-0000-0000C8560000}"/>
    <cellStyle name="40% - Accent2 4 2 13" xfId="28763" xr:uid="{00000000-0005-0000-0000-0000C9560000}"/>
    <cellStyle name="40% - Accent2 4 2 14" xfId="35865" xr:uid="{00000000-0005-0000-0000-0000CA560000}"/>
    <cellStyle name="40% - Accent2 4 2 15" xfId="38899" xr:uid="{00000000-0005-0000-0000-0000CB560000}"/>
    <cellStyle name="40% - Accent2 4 2 2" xfId="492" xr:uid="{00000000-0005-0000-0000-0000CC560000}"/>
    <cellStyle name="40% - Accent2 4 2 2 10" xfId="38900" xr:uid="{00000000-0005-0000-0000-0000CD560000}"/>
    <cellStyle name="40% - Accent2 4 2 2 2" xfId="1273" xr:uid="{00000000-0005-0000-0000-0000CE560000}"/>
    <cellStyle name="40% - Accent2 4 2 2 2 2" xfId="2764" xr:uid="{00000000-0005-0000-0000-0000CF560000}"/>
    <cellStyle name="40% - Accent2 4 2 2 2 2 2" xfId="7032" xr:uid="{00000000-0005-0000-0000-0000D0560000}"/>
    <cellStyle name="40% - Accent2 4 2 2 2 2 2 2" xfId="14132" xr:uid="{00000000-0005-0000-0000-0000D1560000}"/>
    <cellStyle name="40% - Accent2 4 2 2 2 2 2 3" xfId="21233" xr:uid="{00000000-0005-0000-0000-0000D2560000}"/>
    <cellStyle name="40% - Accent2 4 2 2 2 2 2 4" xfId="28335" xr:uid="{00000000-0005-0000-0000-0000D3560000}"/>
    <cellStyle name="40% - Accent2 4 2 2 2 2 2 5" xfId="35437" xr:uid="{00000000-0005-0000-0000-0000D4560000}"/>
    <cellStyle name="40% - Accent2 4 2 2 2 2 3" xfId="9872" xr:uid="{00000000-0005-0000-0000-0000D5560000}"/>
    <cellStyle name="40% - Accent2 4 2 2 2 2 4" xfId="16973" xr:uid="{00000000-0005-0000-0000-0000D6560000}"/>
    <cellStyle name="40% - Accent2 4 2 2 2 2 5" xfId="24075" xr:uid="{00000000-0005-0000-0000-0000D7560000}"/>
    <cellStyle name="40% - Accent2 4 2 2 2 2 6" xfId="31177" xr:uid="{00000000-0005-0000-0000-0000D8560000}"/>
    <cellStyle name="40% - Accent2 4 2 2 2 2 7" xfId="38901" xr:uid="{00000000-0005-0000-0000-0000D9560000}"/>
    <cellStyle name="40% - Accent2 4 2 2 2 3" xfId="5611" xr:uid="{00000000-0005-0000-0000-0000DA560000}"/>
    <cellStyle name="40% - Accent2 4 2 2 2 3 2" xfId="12712" xr:uid="{00000000-0005-0000-0000-0000DB560000}"/>
    <cellStyle name="40% - Accent2 4 2 2 2 3 3" xfId="19813" xr:uid="{00000000-0005-0000-0000-0000DC560000}"/>
    <cellStyle name="40% - Accent2 4 2 2 2 3 4" xfId="26915" xr:uid="{00000000-0005-0000-0000-0000DD560000}"/>
    <cellStyle name="40% - Accent2 4 2 2 2 3 5" xfId="34017" xr:uid="{00000000-0005-0000-0000-0000DE560000}"/>
    <cellStyle name="40% - Accent2 4 2 2 2 4" xfId="4186" xr:uid="{00000000-0005-0000-0000-0000DF560000}"/>
    <cellStyle name="40% - Accent2 4 2 2 2 4 2" xfId="11292" xr:uid="{00000000-0005-0000-0000-0000E0560000}"/>
    <cellStyle name="40% - Accent2 4 2 2 2 4 3" xfId="18393" xr:uid="{00000000-0005-0000-0000-0000E1560000}"/>
    <cellStyle name="40% - Accent2 4 2 2 2 4 4" xfId="25495" xr:uid="{00000000-0005-0000-0000-0000E2560000}"/>
    <cellStyle name="40% - Accent2 4 2 2 2 4 5" xfId="32597" xr:uid="{00000000-0005-0000-0000-0000E3560000}"/>
    <cellStyle name="40% - Accent2 4 2 2 2 5" xfId="8452" xr:uid="{00000000-0005-0000-0000-0000E4560000}"/>
    <cellStyle name="40% - Accent2 4 2 2 2 6" xfId="15553" xr:uid="{00000000-0005-0000-0000-0000E5560000}"/>
    <cellStyle name="40% - Accent2 4 2 2 2 7" xfId="22655" xr:uid="{00000000-0005-0000-0000-0000E6560000}"/>
    <cellStyle name="40% - Accent2 4 2 2 2 8" xfId="29757" xr:uid="{00000000-0005-0000-0000-0000E7560000}"/>
    <cellStyle name="40% - Accent2 4 2 2 2 9" xfId="38902" xr:uid="{00000000-0005-0000-0000-0000E8560000}"/>
    <cellStyle name="40% - Accent2 4 2 2 3" xfId="1983" xr:uid="{00000000-0005-0000-0000-0000E9560000}"/>
    <cellStyle name="40% - Accent2 4 2 2 3 2" xfId="6251" xr:uid="{00000000-0005-0000-0000-0000EA560000}"/>
    <cellStyle name="40% - Accent2 4 2 2 3 2 2" xfId="13351" xr:uid="{00000000-0005-0000-0000-0000EB560000}"/>
    <cellStyle name="40% - Accent2 4 2 2 3 2 3" xfId="20452" xr:uid="{00000000-0005-0000-0000-0000EC560000}"/>
    <cellStyle name="40% - Accent2 4 2 2 3 2 4" xfId="27554" xr:uid="{00000000-0005-0000-0000-0000ED560000}"/>
    <cellStyle name="40% - Accent2 4 2 2 3 2 5" xfId="34656" xr:uid="{00000000-0005-0000-0000-0000EE560000}"/>
    <cellStyle name="40% - Accent2 4 2 2 3 2 6" xfId="38903" xr:uid="{00000000-0005-0000-0000-0000EF560000}"/>
    <cellStyle name="40% - Accent2 4 2 2 3 3" xfId="9091" xr:uid="{00000000-0005-0000-0000-0000F0560000}"/>
    <cellStyle name="40% - Accent2 4 2 2 3 4" xfId="16192" xr:uid="{00000000-0005-0000-0000-0000F1560000}"/>
    <cellStyle name="40% - Accent2 4 2 2 3 5" xfId="23294" xr:uid="{00000000-0005-0000-0000-0000F2560000}"/>
    <cellStyle name="40% - Accent2 4 2 2 3 6" xfId="30396" xr:uid="{00000000-0005-0000-0000-0000F3560000}"/>
    <cellStyle name="40% - Accent2 4 2 2 3 7" xfId="38904" xr:uid="{00000000-0005-0000-0000-0000F4560000}"/>
    <cellStyle name="40% - Accent2 4 2 2 4" xfId="4830" xr:uid="{00000000-0005-0000-0000-0000F5560000}"/>
    <cellStyle name="40% - Accent2 4 2 2 4 2" xfId="11931" xr:uid="{00000000-0005-0000-0000-0000F6560000}"/>
    <cellStyle name="40% - Accent2 4 2 2 4 3" xfId="19032" xr:uid="{00000000-0005-0000-0000-0000F7560000}"/>
    <cellStyle name="40% - Accent2 4 2 2 4 4" xfId="26134" xr:uid="{00000000-0005-0000-0000-0000F8560000}"/>
    <cellStyle name="40% - Accent2 4 2 2 4 5" xfId="33236" xr:uid="{00000000-0005-0000-0000-0000F9560000}"/>
    <cellStyle name="40% - Accent2 4 2 2 4 6" xfId="38905" xr:uid="{00000000-0005-0000-0000-0000FA560000}"/>
    <cellStyle name="40% - Accent2 4 2 2 5" xfId="3405" xr:uid="{00000000-0005-0000-0000-0000FB560000}"/>
    <cellStyle name="40% - Accent2 4 2 2 5 2" xfId="10511" xr:uid="{00000000-0005-0000-0000-0000FC560000}"/>
    <cellStyle name="40% - Accent2 4 2 2 5 3" xfId="17612" xr:uid="{00000000-0005-0000-0000-0000FD560000}"/>
    <cellStyle name="40% - Accent2 4 2 2 5 4" xfId="24714" xr:uid="{00000000-0005-0000-0000-0000FE560000}"/>
    <cellStyle name="40% - Accent2 4 2 2 5 5" xfId="31816" xr:uid="{00000000-0005-0000-0000-0000FF560000}"/>
    <cellStyle name="40% - Accent2 4 2 2 6" xfId="7671" xr:uid="{00000000-0005-0000-0000-000000570000}"/>
    <cellStyle name="40% - Accent2 4 2 2 7" xfId="14772" xr:uid="{00000000-0005-0000-0000-000001570000}"/>
    <cellStyle name="40% - Accent2 4 2 2 8" xfId="21874" xr:uid="{00000000-0005-0000-0000-000002570000}"/>
    <cellStyle name="40% - Accent2 4 2 2 9" xfId="28976" xr:uid="{00000000-0005-0000-0000-000003570000}"/>
    <cellStyle name="40% - Accent2 4 2 3" xfId="705" xr:uid="{00000000-0005-0000-0000-000004570000}"/>
    <cellStyle name="40% - Accent2 4 2 3 2" xfId="2196" xr:uid="{00000000-0005-0000-0000-000005570000}"/>
    <cellStyle name="40% - Accent2 4 2 3 2 2" xfId="6464" xr:uid="{00000000-0005-0000-0000-000006570000}"/>
    <cellStyle name="40% - Accent2 4 2 3 2 2 2" xfId="13564" xr:uid="{00000000-0005-0000-0000-000007570000}"/>
    <cellStyle name="40% - Accent2 4 2 3 2 2 3" xfId="20665" xr:uid="{00000000-0005-0000-0000-000008570000}"/>
    <cellStyle name="40% - Accent2 4 2 3 2 2 4" xfId="27767" xr:uid="{00000000-0005-0000-0000-000009570000}"/>
    <cellStyle name="40% - Accent2 4 2 3 2 2 5" xfId="34869" xr:uid="{00000000-0005-0000-0000-00000A570000}"/>
    <cellStyle name="40% - Accent2 4 2 3 2 2 6" xfId="38906" xr:uid="{00000000-0005-0000-0000-00000B570000}"/>
    <cellStyle name="40% - Accent2 4 2 3 2 3" xfId="9304" xr:uid="{00000000-0005-0000-0000-00000C570000}"/>
    <cellStyle name="40% - Accent2 4 2 3 2 4" xfId="16405" xr:uid="{00000000-0005-0000-0000-00000D570000}"/>
    <cellStyle name="40% - Accent2 4 2 3 2 5" xfId="23507" xr:uid="{00000000-0005-0000-0000-00000E570000}"/>
    <cellStyle name="40% - Accent2 4 2 3 2 6" xfId="30609" xr:uid="{00000000-0005-0000-0000-00000F570000}"/>
    <cellStyle name="40% - Accent2 4 2 3 2 7" xfId="38907" xr:uid="{00000000-0005-0000-0000-000010570000}"/>
    <cellStyle name="40% - Accent2 4 2 3 3" xfId="5043" xr:uid="{00000000-0005-0000-0000-000011570000}"/>
    <cellStyle name="40% - Accent2 4 2 3 3 2" xfId="12144" xr:uid="{00000000-0005-0000-0000-000012570000}"/>
    <cellStyle name="40% - Accent2 4 2 3 3 2 2" xfId="38908" xr:uid="{00000000-0005-0000-0000-000013570000}"/>
    <cellStyle name="40% - Accent2 4 2 3 3 3" xfId="19245" xr:uid="{00000000-0005-0000-0000-000014570000}"/>
    <cellStyle name="40% - Accent2 4 2 3 3 4" xfId="26347" xr:uid="{00000000-0005-0000-0000-000015570000}"/>
    <cellStyle name="40% - Accent2 4 2 3 3 5" xfId="33449" xr:uid="{00000000-0005-0000-0000-000016570000}"/>
    <cellStyle name="40% - Accent2 4 2 3 3 6" xfId="38909" xr:uid="{00000000-0005-0000-0000-000017570000}"/>
    <cellStyle name="40% - Accent2 4 2 3 4" xfId="3618" xr:uid="{00000000-0005-0000-0000-000018570000}"/>
    <cellStyle name="40% - Accent2 4 2 3 4 2" xfId="10724" xr:uid="{00000000-0005-0000-0000-000019570000}"/>
    <cellStyle name="40% - Accent2 4 2 3 4 3" xfId="17825" xr:uid="{00000000-0005-0000-0000-00001A570000}"/>
    <cellStyle name="40% - Accent2 4 2 3 4 4" xfId="24927" xr:uid="{00000000-0005-0000-0000-00001B570000}"/>
    <cellStyle name="40% - Accent2 4 2 3 4 5" xfId="32029" xr:uid="{00000000-0005-0000-0000-00001C570000}"/>
    <cellStyle name="40% - Accent2 4 2 3 4 6" xfId="38910" xr:uid="{00000000-0005-0000-0000-00001D570000}"/>
    <cellStyle name="40% - Accent2 4 2 3 5" xfId="7884" xr:uid="{00000000-0005-0000-0000-00001E570000}"/>
    <cellStyle name="40% - Accent2 4 2 3 6" xfId="14985" xr:uid="{00000000-0005-0000-0000-00001F570000}"/>
    <cellStyle name="40% - Accent2 4 2 3 7" xfId="22087" xr:uid="{00000000-0005-0000-0000-000020570000}"/>
    <cellStyle name="40% - Accent2 4 2 3 8" xfId="29189" xr:uid="{00000000-0005-0000-0000-000021570000}"/>
    <cellStyle name="40% - Accent2 4 2 3 9" xfId="38911" xr:uid="{00000000-0005-0000-0000-000022570000}"/>
    <cellStyle name="40% - Accent2 4 2 4" xfId="918" xr:uid="{00000000-0005-0000-0000-000023570000}"/>
    <cellStyle name="40% - Accent2 4 2 4 2" xfId="2409" xr:uid="{00000000-0005-0000-0000-000024570000}"/>
    <cellStyle name="40% - Accent2 4 2 4 2 2" xfId="6677" xr:uid="{00000000-0005-0000-0000-000025570000}"/>
    <cellStyle name="40% - Accent2 4 2 4 2 2 2" xfId="13777" xr:uid="{00000000-0005-0000-0000-000026570000}"/>
    <cellStyle name="40% - Accent2 4 2 4 2 2 3" xfId="20878" xr:uid="{00000000-0005-0000-0000-000027570000}"/>
    <cellStyle name="40% - Accent2 4 2 4 2 2 4" xfId="27980" xr:uid="{00000000-0005-0000-0000-000028570000}"/>
    <cellStyle name="40% - Accent2 4 2 4 2 2 5" xfId="35082" xr:uid="{00000000-0005-0000-0000-000029570000}"/>
    <cellStyle name="40% - Accent2 4 2 4 2 2 6" xfId="38912" xr:uid="{00000000-0005-0000-0000-00002A570000}"/>
    <cellStyle name="40% - Accent2 4 2 4 2 3" xfId="9517" xr:uid="{00000000-0005-0000-0000-00002B570000}"/>
    <cellStyle name="40% - Accent2 4 2 4 2 4" xfId="16618" xr:uid="{00000000-0005-0000-0000-00002C570000}"/>
    <cellStyle name="40% - Accent2 4 2 4 2 5" xfId="23720" xr:uid="{00000000-0005-0000-0000-00002D570000}"/>
    <cellStyle name="40% - Accent2 4 2 4 2 6" xfId="30822" xr:uid="{00000000-0005-0000-0000-00002E570000}"/>
    <cellStyle name="40% - Accent2 4 2 4 2 7" xfId="38913" xr:uid="{00000000-0005-0000-0000-00002F570000}"/>
    <cellStyle name="40% - Accent2 4 2 4 3" xfId="5256" xr:uid="{00000000-0005-0000-0000-000030570000}"/>
    <cellStyle name="40% - Accent2 4 2 4 3 2" xfId="12357" xr:uid="{00000000-0005-0000-0000-000031570000}"/>
    <cellStyle name="40% - Accent2 4 2 4 3 2 2" xfId="38914" xr:uid="{00000000-0005-0000-0000-000032570000}"/>
    <cellStyle name="40% - Accent2 4 2 4 3 3" xfId="19458" xr:uid="{00000000-0005-0000-0000-000033570000}"/>
    <cellStyle name="40% - Accent2 4 2 4 3 4" xfId="26560" xr:uid="{00000000-0005-0000-0000-000034570000}"/>
    <cellStyle name="40% - Accent2 4 2 4 3 5" xfId="33662" xr:uid="{00000000-0005-0000-0000-000035570000}"/>
    <cellStyle name="40% - Accent2 4 2 4 3 6" xfId="38915" xr:uid="{00000000-0005-0000-0000-000036570000}"/>
    <cellStyle name="40% - Accent2 4 2 4 4" xfId="3831" xr:uid="{00000000-0005-0000-0000-000037570000}"/>
    <cellStyle name="40% - Accent2 4 2 4 4 2" xfId="10937" xr:uid="{00000000-0005-0000-0000-000038570000}"/>
    <cellStyle name="40% - Accent2 4 2 4 4 3" xfId="18038" xr:uid="{00000000-0005-0000-0000-000039570000}"/>
    <cellStyle name="40% - Accent2 4 2 4 4 4" xfId="25140" xr:uid="{00000000-0005-0000-0000-00003A570000}"/>
    <cellStyle name="40% - Accent2 4 2 4 4 5" xfId="32242" xr:uid="{00000000-0005-0000-0000-00003B570000}"/>
    <cellStyle name="40% - Accent2 4 2 4 4 6" xfId="38916" xr:uid="{00000000-0005-0000-0000-00003C570000}"/>
    <cellStyle name="40% - Accent2 4 2 4 5" xfId="8097" xr:uid="{00000000-0005-0000-0000-00003D570000}"/>
    <cellStyle name="40% - Accent2 4 2 4 6" xfId="15198" xr:uid="{00000000-0005-0000-0000-00003E570000}"/>
    <cellStyle name="40% - Accent2 4 2 4 7" xfId="22300" xr:uid="{00000000-0005-0000-0000-00003F570000}"/>
    <cellStyle name="40% - Accent2 4 2 4 8" xfId="29402" xr:uid="{00000000-0005-0000-0000-000040570000}"/>
    <cellStyle name="40% - Accent2 4 2 4 9" xfId="38917" xr:uid="{00000000-0005-0000-0000-000041570000}"/>
    <cellStyle name="40% - Accent2 4 2 5" xfId="1060" xr:uid="{00000000-0005-0000-0000-000042570000}"/>
    <cellStyle name="40% - Accent2 4 2 5 2" xfId="2551" xr:uid="{00000000-0005-0000-0000-000043570000}"/>
    <cellStyle name="40% - Accent2 4 2 5 2 2" xfId="6819" xr:uid="{00000000-0005-0000-0000-000044570000}"/>
    <cellStyle name="40% - Accent2 4 2 5 2 2 2" xfId="13919" xr:uid="{00000000-0005-0000-0000-000045570000}"/>
    <cellStyle name="40% - Accent2 4 2 5 2 2 3" xfId="21020" xr:uid="{00000000-0005-0000-0000-000046570000}"/>
    <cellStyle name="40% - Accent2 4 2 5 2 2 4" xfId="28122" xr:uid="{00000000-0005-0000-0000-000047570000}"/>
    <cellStyle name="40% - Accent2 4 2 5 2 2 5" xfId="35224" xr:uid="{00000000-0005-0000-0000-000048570000}"/>
    <cellStyle name="40% - Accent2 4 2 5 2 3" xfId="9659" xr:uid="{00000000-0005-0000-0000-000049570000}"/>
    <cellStyle name="40% - Accent2 4 2 5 2 4" xfId="16760" xr:uid="{00000000-0005-0000-0000-00004A570000}"/>
    <cellStyle name="40% - Accent2 4 2 5 2 5" xfId="23862" xr:uid="{00000000-0005-0000-0000-00004B570000}"/>
    <cellStyle name="40% - Accent2 4 2 5 2 6" xfId="30964" xr:uid="{00000000-0005-0000-0000-00004C570000}"/>
    <cellStyle name="40% - Accent2 4 2 5 2 7" xfId="38918" xr:uid="{00000000-0005-0000-0000-00004D570000}"/>
    <cellStyle name="40% - Accent2 4 2 5 3" xfId="5398" xr:uid="{00000000-0005-0000-0000-00004E570000}"/>
    <cellStyle name="40% - Accent2 4 2 5 3 2" xfId="12499" xr:uid="{00000000-0005-0000-0000-00004F570000}"/>
    <cellStyle name="40% - Accent2 4 2 5 3 3" xfId="19600" xr:uid="{00000000-0005-0000-0000-000050570000}"/>
    <cellStyle name="40% - Accent2 4 2 5 3 4" xfId="26702" xr:uid="{00000000-0005-0000-0000-000051570000}"/>
    <cellStyle name="40% - Accent2 4 2 5 3 5" xfId="33804" xr:uid="{00000000-0005-0000-0000-000052570000}"/>
    <cellStyle name="40% - Accent2 4 2 5 4" xfId="3973" xr:uid="{00000000-0005-0000-0000-000053570000}"/>
    <cellStyle name="40% - Accent2 4 2 5 4 2" xfId="11079" xr:uid="{00000000-0005-0000-0000-000054570000}"/>
    <cellStyle name="40% - Accent2 4 2 5 4 3" xfId="18180" xr:uid="{00000000-0005-0000-0000-000055570000}"/>
    <cellStyle name="40% - Accent2 4 2 5 4 4" xfId="25282" xr:uid="{00000000-0005-0000-0000-000056570000}"/>
    <cellStyle name="40% - Accent2 4 2 5 4 5" xfId="32384" xr:uid="{00000000-0005-0000-0000-000057570000}"/>
    <cellStyle name="40% - Accent2 4 2 5 5" xfId="8239" xr:uid="{00000000-0005-0000-0000-000058570000}"/>
    <cellStyle name="40% - Accent2 4 2 5 6" xfId="15340" xr:uid="{00000000-0005-0000-0000-000059570000}"/>
    <cellStyle name="40% - Accent2 4 2 5 7" xfId="22442" xr:uid="{00000000-0005-0000-0000-00005A570000}"/>
    <cellStyle name="40% - Accent2 4 2 5 8" xfId="29544" xr:uid="{00000000-0005-0000-0000-00005B570000}"/>
    <cellStyle name="40% - Accent2 4 2 5 9" xfId="38919" xr:uid="{00000000-0005-0000-0000-00005C570000}"/>
    <cellStyle name="40% - Accent2 4 2 6" xfId="1486" xr:uid="{00000000-0005-0000-0000-00005D570000}"/>
    <cellStyle name="40% - Accent2 4 2 6 2" xfId="2977" xr:uid="{00000000-0005-0000-0000-00005E570000}"/>
    <cellStyle name="40% - Accent2 4 2 6 2 2" xfId="7245" xr:uid="{00000000-0005-0000-0000-00005F570000}"/>
    <cellStyle name="40% - Accent2 4 2 6 2 2 2" xfId="14345" xr:uid="{00000000-0005-0000-0000-000060570000}"/>
    <cellStyle name="40% - Accent2 4 2 6 2 2 3" xfId="21446" xr:uid="{00000000-0005-0000-0000-000061570000}"/>
    <cellStyle name="40% - Accent2 4 2 6 2 2 4" xfId="28548" xr:uid="{00000000-0005-0000-0000-000062570000}"/>
    <cellStyle name="40% - Accent2 4 2 6 2 2 5" xfId="35650" xr:uid="{00000000-0005-0000-0000-000063570000}"/>
    <cellStyle name="40% - Accent2 4 2 6 2 3" xfId="10085" xr:uid="{00000000-0005-0000-0000-000064570000}"/>
    <cellStyle name="40% - Accent2 4 2 6 2 4" xfId="17186" xr:uid="{00000000-0005-0000-0000-000065570000}"/>
    <cellStyle name="40% - Accent2 4 2 6 2 5" xfId="24288" xr:uid="{00000000-0005-0000-0000-000066570000}"/>
    <cellStyle name="40% - Accent2 4 2 6 2 6" xfId="31390" xr:uid="{00000000-0005-0000-0000-000067570000}"/>
    <cellStyle name="40% - Accent2 4 2 6 2 7" xfId="38920" xr:uid="{00000000-0005-0000-0000-000068570000}"/>
    <cellStyle name="40% - Accent2 4 2 6 3" xfId="5824" xr:uid="{00000000-0005-0000-0000-000069570000}"/>
    <cellStyle name="40% - Accent2 4 2 6 3 2" xfId="12925" xr:uid="{00000000-0005-0000-0000-00006A570000}"/>
    <cellStyle name="40% - Accent2 4 2 6 3 3" xfId="20026" xr:uid="{00000000-0005-0000-0000-00006B570000}"/>
    <cellStyle name="40% - Accent2 4 2 6 3 4" xfId="27128" xr:uid="{00000000-0005-0000-0000-00006C570000}"/>
    <cellStyle name="40% - Accent2 4 2 6 3 5" xfId="34230" xr:uid="{00000000-0005-0000-0000-00006D570000}"/>
    <cellStyle name="40% - Accent2 4 2 6 4" xfId="4399" xr:uid="{00000000-0005-0000-0000-00006E570000}"/>
    <cellStyle name="40% - Accent2 4 2 6 4 2" xfId="11505" xr:uid="{00000000-0005-0000-0000-00006F570000}"/>
    <cellStyle name="40% - Accent2 4 2 6 4 3" xfId="18606" xr:uid="{00000000-0005-0000-0000-000070570000}"/>
    <cellStyle name="40% - Accent2 4 2 6 4 4" xfId="25708" xr:uid="{00000000-0005-0000-0000-000071570000}"/>
    <cellStyle name="40% - Accent2 4 2 6 4 5" xfId="32810" xr:uid="{00000000-0005-0000-0000-000072570000}"/>
    <cellStyle name="40% - Accent2 4 2 6 5" xfId="8665" xr:uid="{00000000-0005-0000-0000-000073570000}"/>
    <cellStyle name="40% - Accent2 4 2 6 6" xfId="15766" xr:uid="{00000000-0005-0000-0000-000074570000}"/>
    <cellStyle name="40% - Accent2 4 2 6 7" xfId="22868" xr:uid="{00000000-0005-0000-0000-000075570000}"/>
    <cellStyle name="40% - Accent2 4 2 6 8" xfId="29970" xr:uid="{00000000-0005-0000-0000-000076570000}"/>
    <cellStyle name="40% - Accent2 4 2 6 9" xfId="38921" xr:uid="{00000000-0005-0000-0000-000077570000}"/>
    <cellStyle name="40% - Accent2 4 2 7" xfId="1770" xr:uid="{00000000-0005-0000-0000-000078570000}"/>
    <cellStyle name="40% - Accent2 4 2 7 2" xfId="6038" xr:uid="{00000000-0005-0000-0000-000079570000}"/>
    <cellStyle name="40% - Accent2 4 2 7 2 2" xfId="13138" xr:uid="{00000000-0005-0000-0000-00007A570000}"/>
    <cellStyle name="40% - Accent2 4 2 7 2 3" xfId="20239" xr:uid="{00000000-0005-0000-0000-00007B570000}"/>
    <cellStyle name="40% - Accent2 4 2 7 2 4" xfId="27341" xr:uid="{00000000-0005-0000-0000-00007C570000}"/>
    <cellStyle name="40% - Accent2 4 2 7 2 5" xfId="34443" xr:uid="{00000000-0005-0000-0000-00007D570000}"/>
    <cellStyle name="40% - Accent2 4 2 7 3" xfId="8878" xr:uid="{00000000-0005-0000-0000-00007E570000}"/>
    <cellStyle name="40% - Accent2 4 2 7 4" xfId="15979" xr:uid="{00000000-0005-0000-0000-00007F570000}"/>
    <cellStyle name="40% - Accent2 4 2 7 5" xfId="23081" xr:uid="{00000000-0005-0000-0000-000080570000}"/>
    <cellStyle name="40% - Accent2 4 2 7 6" xfId="30183" xr:uid="{00000000-0005-0000-0000-000081570000}"/>
    <cellStyle name="40% - Accent2 4 2 7 7" xfId="38922" xr:uid="{00000000-0005-0000-0000-000082570000}"/>
    <cellStyle name="40% - Accent2 4 2 8" xfId="4617" xr:uid="{00000000-0005-0000-0000-000083570000}"/>
    <cellStyle name="40% - Accent2 4 2 8 2" xfId="11718" xr:uid="{00000000-0005-0000-0000-000084570000}"/>
    <cellStyle name="40% - Accent2 4 2 8 3" xfId="18819" xr:uid="{00000000-0005-0000-0000-000085570000}"/>
    <cellStyle name="40% - Accent2 4 2 8 4" xfId="25921" xr:uid="{00000000-0005-0000-0000-000086570000}"/>
    <cellStyle name="40% - Accent2 4 2 8 5" xfId="33023" xr:uid="{00000000-0005-0000-0000-000087570000}"/>
    <cellStyle name="40% - Accent2 4 2 9" xfId="3192" xr:uid="{00000000-0005-0000-0000-000088570000}"/>
    <cellStyle name="40% - Accent2 4 2 9 2" xfId="10298" xr:uid="{00000000-0005-0000-0000-000089570000}"/>
    <cellStyle name="40% - Accent2 4 2 9 3" xfId="17399" xr:uid="{00000000-0005-0000-0000-00008A570000}"/>
    <cellStyle name="40% - Accent2 4 2 9 4" xfId="24501" xr:uid="{00000000-0005-0000-0000-00008B570000}"/>
    <cellStyle name="40% - Accent2 4 2 9 5" xfId="31603" xr:uid="{00000000-0005-0000-0000-00008C570000}"/>
    <cellStyle name="40% - Accent2 4 3" xfId="208" xr:uid="{00000000-0005-0000-0000-00008D570000}"/>
    <cellStyle name="40% - Accent2 4 3 10" xfId="7387" xr:uid="{00000000-0005-0000-0000-00008E570000}"/>
    <cellStyle name="40% - Accent2 4 3 11" xfId="14488" xr:uid="{00000000-0005-0000-0000-00008F570000}"/>
    <cellStyle name="40% - Accent2 4 3 12" xfId="21590" xr:uid="{00000000-0005-0000-0000-000090570000}"/>
    <cellStyle name="40% - Accent2 4 3 13" xfId="28692" xr:uid="{00000000-0005-0000-0000-000091570000}"/>
    <cellStyle name="40% - Accent2 4 3 14" xfId="35794" xr:uid="{00000000-0005-0000-0000-000092570000}"/>
    <cellStyle name="40% - Accent2 4 3 15" xfId="38923" xr:uid="{00000000-0005-0000-0000-000093570000}"/>
    <cellStyle name="40% - Accent2 4 3 2" xfId="421" xr:uid="{00000000-0005-0000-0000-000094570000}"/>
    <cellStyle name="40% - Accent2 4 3 2 2" xfId="1912" xr:uid="{00000000-0005-0000-0000-000095570000}"/>
    <cellStyle name="40% - Accent2 4 3 2 2 2" xfId="6180" xr:uid="{00000000-0005-0000-0000-000096570000}"/>
    <cellStyle name="40% - Accent2 4 3 2 2 2 2" xfId="13280" xr:uid="{00000000-0005-0000-0000-000097570000}"/>
    <cellStyle name="40% - Accent2 4 3 2 2 2 3" xfId="20381" xr:uid="{00000000-0005-0000-0000-000098570000}"/>
    <cellStyle name="40% - Accent2 4 3 2 2 2 4" xfId="27483" xr:uid="{00000000-0005-0000-0000-000099570000}"/>
    <cellStyle name="40% - Accent2 4 3 2 2 2 5" xfId="34585" xr:uid="{00000000-0005-0000-0000-00009A570000}"/>
    <cellStyle name="40% - Accent2 4 3 2 2 2 6" xfId="38924" xr:uid="{00000000-0005-0000-0000-00009B570000}"/>
    <cellStyle name="40% - Accent2 4 3 2 2 3" xfId="9020" xr:uid="{00000000-0005-0000-0000-00009C570000}"/>
    <cellStyle name="40% - Accent2 4 3 2 2 4" xfId="16121" xr:uid="{00000000-0005-0000-0000-00009D570000}"/>
    <cellStyle name="40% - Accent2 4 3 2 2 5" xfId="23223" xr:uid="{00000000-0005-0000-0000-00009E570000}"/>
    <cellStyle name="40% - Accent2 4 3 2 2 6" xfId="30325" xr:uid="{00000000-0005-0000-0000-00009F570000}"/>
    <cellStyle name="40% - Accent2 4 3 2 2 7" xfId="38925" xr:uid="{00000000-0005-0000-0000-0000A0570000}"/>
    <cellStyle name="40% - Accent2 4 3 2 3" xfId="4759" xr:uid="{00000000-0005-0000-0000-0000A1570000}"/>
    <cellStyle name="40% - Accent2 4 3 2 3 2" xfId="11860" xr:uid="{00000000-0005-0000-0000-0000A2570000}"/>
    <cellStyle name="40% - Accent2 4 3 2 3 2 2" xfId="38926" xr:uid="{00000000-0005-0000-0000-0000A3570000}"/>
    <cellStyle name="40% - Accent2 4 3 2 3 3" xfId="18961" xr:uid="{00000000-0005-0000-0000-0000A4570000}"/>
    <cellStyle name="40% - Accent2 4 3 2 3 4" xfId="26063" xr:uid="{00000000-0005-0000-0000-0000A5570000}"/>
    <cellStyle name="40% - Accent2 4 3 2 3 5" xfId="33165" xr:uid="{00000000-0005-0000-0000-0000A6570000}"/>
    <cellStyle name="40% - Accent2 4 3 2 3 6" xfId="38927" xr:uid="{00000000-0005-0000-0000-0000A7570000}"/>
    <cellStyle name="40% - Accent2 4 3 2 4" xfId="3334" xr:uid="{00000000-0005-0000-0000-0000A8570000}"/>
    <cellStyle name="40% - Accent2 4 3 2 4 2" xfId="10440" xr:uid="{00000000-0005-0000-0000-0000A9570000}"/>
    <cellStyle name="40% - Accent2 4 3 2 4 3" xfId="17541" xr:uid="{00000000-0005-0000-0000-0000AA570000}"/>
    <cellStyle name="40% - Accent2 4 3 2 4 4" xfId="24643" xr:uid="{00000000-0005-0000-0000-0000AB570000}"/>
    <cellStyle name="40% - Accent2 4 3 2 4 5" xfId="31745" xr:uid="{00000000-0005-0000-0000-0000AC570000}"/>
    <cellStyle name="40% - Accent2 4 3 2 4 6" xfId="38928" xr:uid="{00000000-0005-0000-0000-0000AD570000}"/>
    <cellStyle name="40% - Accent2 4 3 2 5" xfId="7600" xr:uid="{00000000-0005-0000-0000-0000AE570000}"/>
    <cellStyle name="40% - Accent2 4 3 2 6" xfId="14701" xr:uid="{00000000-0005-0000-0000-0000AF570000}"/>
    <cellStyle name="40% - Accent2 4 3 2 7" xfId="21803" xr:uid="{00000000-0005-0000-0000-0000B0570000}"/>
    <cellStyle name="40% - Accent2 4 3 2 8" xfId="28905" xr:uid="{00000000-0005-0000-0000-0000B1570000}"/>
    <cellStyle name="40% - Accent2 4 3 2 9" xfId="38929" xr:uid="{00000000-0005-0000-0000-0000B2570000}"/>
    <cellStyle name="40% - Accent2 4 3 3" xfId="634" xr:uid="{00000000-0005-0000-0000-0000B3570000}"/>
    <cellStyle name="40% - Accent2 4 3 3 2" xfId="2125" xr:uid="{00000000-0005-0000-0000-0000B4570000}"/>
    <cellStyle name="40% - Accent2 4 3 3 2 2" xfId="6393" xr:uid="{00000000-0005-0000-0000-0000B5570000}"/>
    <cellStyle name="40% - Accent2 4 3 3 2 2 2" xfId="13493" xr:uid="{00000000-0005-0000-0000-0000B6570000}"/>
    <cellStyle name="40% - Accent2 4 3 3 2 2 3" xfId="20594" xr:uid="{00000000-0005-0000-0000-0000B7570000}"/>
    <cellStyle name="40% - Accent2 4 3 3 2 2 4" xfId="27696" xr:uid="{00000000-0005-0000-0000-0000B8570000}"/>
    <cellStyle name="40% - Accent2 4 3 3 2 2 5" xfId="34798" xr:uid="{00000000-0005-0000-0000-0000B9570000}"/>
    <cellStyle name="40% - Accent2 4 3 3 2 2 6" xfId="38930" xr:uid="{00000000-0005-0000-0000-0000BA570000}"/>
    <cellStyle name="40% - Accent2 4 3 3 2 3" xfId="9233" xr:uid="{00000000-0005-0000-0000-0000BB570000}"/>
    <cellStyle name="40% - Accent2 4 3 3 2 4" xfId="16334" xr:uid="{00000000-0005-0000-0000-0000BC570000}"/>
    <cellStyle name="40% - Accent2 4 3 3 2 5" xfId="23436" xr:uid="{00000000-0005-0000-0000-0000BD570000}"/>
    <cellStyle name="40% - Accent2 4 3 3 2 6" xfId="30538" xr:uid="{00000000-0005-0000-0000-0000BE570000}"/>
    <cellStyle name="40% - Accent2 4 3 3 2 7" xfId="38931" xr:uid="{00000000-0005-0000-0000-0000BF570000}"/>
    <cellStyle name="40% - Accent2 4 3 3 3" xfId="4972" xr:uid="{00000000-0005-0000-0000-0000C0570000}"/>
    <cellStyle name="40% - Accent2 4 3 3 3 2" xfId="12073" xr:uid="{00000000-0005-0000-0000-0000C1570000}"/>
    <cellStyle name="40% - Accent2 4 3 3 3 2 2" xfId="38932" xr:uid="{00000000-0005-0000-0000-0000C2570000}"/>
    <cellStyle name="40% - Accent2 4 3 3 3 3" xfId="19174" xr:uid="{00000000-0005-0000-0000-0000C3570000}"/>
    <cellStyle name="40% - Accent2 4 3 3 3 4" xfId="26276" xr:uid="{00000000-0005-0000-0000-0000C4570000}"/>
    <cellStyle name="40% - Accent2 4 3 3 3 5" xfId="33378" xr:uid="{00000000-0005-0000-0000-0000C5570000}"/>
    <cellStyle name="40% - Accent2 4 3 3 3 6" xfId="38933" xr:uid="{00000000-0005-0000-0000-0000C6570000}"/>
    <cellStyle name="40% - Accent2 4 3 3 4" xfId="3547" xr:uid="{00000000-0005-0000-0000-0000C7570000}"/>
    <cellStyle name="40% - Accent2 4 3 3 4 2" xfId="10653" xr:uid="{00000000-0005-0000-0000-0000C8570000}"/>
    <cellStyle name="40% - Accent2 4 3 3 4 3" xfId="17754" xr:uid="{00000000-0005-0000-0000-0000C9570000}"/>
    <cellStyle name="40% - Accent2 4 3 3 4 4" xfId="24856" xr:uid="{00000000-0005-0000-0000-0000CA570000}"/>
    <cellStyle name="40% - Accent2 4 3 3 4 5" xfId="31958" xr:uid="{00000000-0005-0000-0000-0000CB570000}"/>
    <cellStyle name="40% - Accent2 4 3 3 4 6" xfId="38934" xr:uid="{00000000-0005-0000-0000-0000CC570000}"/>
    <cellStyle name="40% - Accent2 4 3 3 5" xfId="7813" xr:uid="{00000000-0005-0000-0000-0000CD570000}"/>
    <cellStyle name="40% - Accent2 4 3 3 6" xfId="14914" xr:uid="{00000000-0005-0000-0000-0000CE570000}"/>
    <cellStyle name="40% - Accent2 4 3 3 7" xfId="22016" xr:uid="{00000000-0005-0000-0000-0000CF570000}"/>
    <cellStyle name="40% - Accent2 4 3 3 8" xfId="29118" xr:uid="{00000000-0005-0000-0000-0000D0570000}"/>
    <cellStyle name="40% - Accent2 4 3 3 9" xfId="38935" xr:uid="{00000000-0005-0000-0000-0000D1570000}"/>
    <cellStyle name="40% - Accent2 4 3 4" xfId="847" xr:uid="{00000000-0005-0000-0000-0000D2570000}"/>
    <cellStyle name="40% - Accent2 4 3 4 2" xfId="2338" xr:uid="{00000000-0005-0000-0000-0000D3570000}"/>
    <cellStyle name="40% - Accent2 4 3 4 2 2" xfId="6606" xr:uid="{00000000-0005-0000-0000-0000D4570000}"/>
    <cellStyle name="40% - Accent2 4 3 4 2 2 2" xfId="13706" xr:uid="{00000000-0005-0000-0000-0000D5570000}"/>
    <cellStyle name="40% - Accent2 4 3 4 2 2 3" xfId="20807" xr:uid="{00000000-0005-0000-0000-0000D6570000}"/>
    <cellStyle name="40% - Accent2 4 3 4 2 2 4" xfId="27909" xr:uid="{00000000-0005-0000-0000-0000D7570000}"/>
    <cellStyle name="40% - Accent2 4 3 4 2 2 5" xfId="35011" xr:uid="{00000000-0005-0000-0000-0000D8570000}"/>
    <cellStyle name="40% - Accent2 4 3 4 2 2 6" xfId="38936" xr:uid="{00000000-0005-0000-0000-0000D9570000}"/>
    <cellStyle name="40% - Accent2 4 3 4 2 3" xfId="9446" xr:uid="{00000000-0005-0000-0000-0000DA570000}"/>
    <cellStyle name="40% - Accent2 4 3 4 2 4" xfId="16547" xr:uid="{00000000-0005-0000-0000-0000DB570000}"/>
    <cellStyle name="40% - Accent2 4 3 4 2 5" xfId="23649" xr:uid="{00000000-0005-0000-0000-0000DC570000}"/>
    <cellStyle name="40% - Accent2 4 3 4 2 6" xfId="30751" xr:uid="{00000000-0005-0000-0000-0000DD570000}"/>
    <cellStyle name="40% - Accent2 4 3 4 2 7" xfId="38937" xr:uid="{00000000-0005-0000-0000-0000DE570000}"/>
    <cellStyle name="40% - Accent2 4 3 4 3" xfId="5185" xr:uid="{00000000-0005-0000-0000-0000DF570000}"/>
    <cellStyle name="40% - Accent2 4 3 4 3 2" xfId="12286" xr:uid="{00000000-0005-0000-0000-0000E0570000}"/>
    <cellStyle name="40% - Accent2 4 3 4 3 2 2" xfId="38938" xr:uid="{00000000-0005-0000-0000-0000E1570000}"/>
    <cellStyle name="40% - Accent2 4 3 4 3 3" xfId="19387" xr:uid="{00000000-0005-0000-0000-0000E2570000}"/>
    <cellStyle name="40% - Accent2 4 3 4 3 4" xfId="26489" xr:uid="{00000000-0005-0000-0000-0000E3570000}"/>
    <cellStyle name="40% - Accent2 4 3 4 3 5" xfId="33591" xr:uid="{00000000-0005-0000-0000-0000E4570000}"/>
    <cellStyle name="40% - Accent2 4 3 4 3 6" xfId="38939" xr:uid="{00000000-0005-0000-0000-0000E5570000}"/>
    <cellStyle name="40% - Accent2 4 3 4 4" xfId="3760" xr:uid="{00000000-0005-0000-0000-0000E6570000}"/>
    <cellStyle name="40% - Accent2 4 3 4 4 2" xfId="10866" xr:uid="{00000000-0005-0000-0000-0000E7570000}"/>
    <cellStyle name="40% - Accent2 4 3 4 4 3" xfId="17967" xr:uid="{00000000-0005-0000-0000-0000E8570000}"/>
    <cellStyle name="40% - Accent2 4 3 4 4 4" xfId="25069" xr:uid="{00000000-0005-0000-0000-0000E9570000}"/>
    <cellStyle name="40% - Accent2 4 3 4 4 5" xfId="32171" xr:uid="{00000000-0005-0000-0000-0000EA570000}"/>
    <cellStyle name="40% - Accent2 4 3 4 4 6" xfId="38940" xr:uid="{00000000-0005-0000-0000-0000EB570000}"/>
    <cellStyle name="40% - Accent2 4 3 4 5" xfId="8026" xr:uid="{00000000-0005-0000-0000-0000EC570000}"/>
    <cellStyle name="40% - Accent2 4 3 4 6" xfId="15127" xr:uid="{00000000-0005-0000-0000-0000ED570000}"/>
    <cellStyle name="40% - Accent2 4 3 4 7" xfId="22229" xr:uid="{00000000-0005-0000-0000-0000EE570000}"/>
    <cellStyle name="40% - Accent2 4 3 4 8" xfId="29331" xr:uid="{00000000-0005-0000-0000-0000EF570000}"/>
    <cellStyle name="40% - Accent2 4 3 4 9" xfId="38941" xr:uid="{00000000-0005-0000-0000-0000F0570000}"/>
    <cellStyle name="40% - Accent2 4 3 5" xfId="1202" xr:uid="{00000000-0005-0000-0000-0000F1570000}"/>
    <cellStyle name="40% - Accent2 4 3 5 2" xfId="2693" xr:uid="{00000000-0005-0000-0000-0000F2570000}"/>
    <cellStyle name="40% - Accent2 4 3 5 2 2" xfId="6961" xr:uid="{00000000-0005-0000-0000-0000F3570000}"/>
    <cellStyle name="40% - Accent2 4 3 5 2 2 2" xfId="14061" xr:uid="{00000000-0005-0000-0000-0000F4570000}"/>
    <cellStyle name="40% - Accent2 4 3 5 2 2 3" xfId="21162" xr:uid="{00000000-0005-0000-0000-0000F5570000}"/>
    <cellStyle name="40% - Accent2 4 3 5 2 2 4" xfId="28264" xr:uid="{00000000-0005-0000-0000-0000F6570000}"/>
    <cellStyle name="40% - Accent2 4 3 5 2 2 5" xfId="35366" xr:uid="{00000000-0005-0000-0000-0000F7570000}"/>
    <cellStyle name="40% - Accent2 4 3 5 2 3" xfId="9801" xr:uid="{00000000-0005-0000-0000-0000F8570000}"/>
    <cellStyle name="40% - Accent2 4 3 5 2 4" xfId="16902" xr:uid="{00000000-0005-0000-0000-0000F9570000}"/>
    <cellStyle name="40% - Accent2 4 3 5 2 5" xfId="24004" xr:uid="{00000000-0005-0000-0000-0000FA570000}"/>
    <cellStyle name="40% - Accent2 4 3 5 2 6" xfId="31106" xr:uid="{00000000-0005-0000-0000-0000FB570000}"/>
    <cellStyle name="40% - Accent2 4 3 5 2 7" xfId="38942" xr:uid="{00000000-0005-0000-0000-0000FC570000}"/>
    <cellStyle name="40% - Accent2 4 3 5 3" xfId="5540" xr:uid="{00000000-0005-0000-0000-0000FD570000}"/>
    <cellStyle name="40% - Accent2 4 3 5 3 2" xfId="12641" xr:uid="{00000000-0005-0000-0000-0000FE570000}"/>
    <cellStyle name="40% - Accent2 4 3 5 3 3" xfId="19742" xr:uid="{00000000-0005-0000-0000-0000FF570000}"/>
    <cellStyle name="40% - Accent2 4 3 5 3 4" xfId="26844" xr:uid="{00000000-0005-0000-0000-000000580000}"/>
    <cellStyle name="40% - Accent2 4 3 5 3 5" xfId="33946" xr:uid="{00000000-0005-0000-0000-000001580000}"/>
    <cellStyle name="40% - Accent2 4 3 5 4" xfId="4115" xr:uid="{00000000-0005-0000-0000-000002580000}"/>
    <cellStyle name="40% - Accent2 4 3 5 4 2" xfId="11221" xr:uid="{00000000-0005-0000-0000-000003580000}"/>
    <cellStyle name="40% - Accent2 4 3 5 4 3" xfId="18322" xr:uid="{00000000-0005-0000-0000-000004580000}"/>
    <cellStyle name="40% - Accent2 4 3 5 4 4" xfId="25424" xr:uid="{00000000-0005-0000-0000-000005580000}"/>
    <cellStyle name="40% - Accent2 4 3 5 4 5" xfId="32526" xr:uid="{00000000-0005-0000-0000-000006580000}"/>
    <cellStyle name="40% - Accent2 4 3 5 5" xfId="8381" xr:uid="{00000000-0005-0000-0000-000007580000}"/>
    <cellStyle name="40% - Accent2 4 3 5 6" xfId="15482" xr:uid="{00000000-0005-0000-0000-000008580000}"/>
    <cellStyle name="40% - Accent2 4 3 5 7" xfId="22584" xr:uid="{00000000-0005-0000-0000-000009580000}"/>
    <cellStyle name="40% - Accent2 4 3 5 8" xfId="29686" xr:uid="{00000000-0005-0000-0000-00000A580000}"/>
    <cellStyle name="40% - Accent2 4 3 5 9" xfId="38943" xr:uid="{00000000-0005-0000-0000-00000B580000}"/>
    <cellStyle name="40% - Accent2 4 3 6" xfId="1415" xr:uid="{00000000-0005-0000-0000-00000C580000}"/>
    <cellStyle name="40% - Accent2 4 3 6 2" xfId="2906" xr:uid="{00000000-0005-0000-0000-00000D580000}"/>
    <cellStyle name="40% - Accent2 4 3 6 2 2" xfId="7174" xr:uid="{00000000-0005-0000-0000-00000E580000}"/>
    <cellStyle name="40% - Accent2 4 3 6 2 2 2" xfId="14274" xr:uid="{00000000-0005-0000-0000-00000F580000}"/>
    <cellStyle name="40% - Accent2 4 3 6 2 2 3" xfId="21375" xr:uid="{00000000-0005-0000-0000-000010580000}"/>
    <cellStyle name="40% - Accent2 4 3 6 2 2 4" xfId="28477" xr:uid="{00000000-0005-0000-0000-000011580000}"/>
    <cellStyle name="40% - Accent2 4 3 6 2 2 5" xfId="35579" xr:uid="{00000000-0005-0000-0000-000012580000}"/>
    <cellStyle name="40% - Accent2 4 3 6 2 3" xfId="10014" xr:uid="{00000000-0005-0000-0000-000013580000}"/>
    <cellStyle name="40% - Accent2 4 3 6 2 4" xfId="17115" xr:uid="{00000000-0005-0000-0000-000014580000}"/>
    <cellStyle name="40% - Accent2 4 3 6 2 5" xfId="24217" xr:uid="{00000000-0005-0000-0000-000015580000}"/>
    <cellStyle name="40% - Accent2 4 3 6 2 6" xfId="31319" xr:uid="{00000000-0005-0000-0000-000016580000}"/>
    <cellStyle name="40% - Accent2 4 3 6 2 7" xfId="38944" xr:uid="{00000000-0005-0000-0000-000017580000}"/>
    <cellStyle name="40% - Accent2 4 3 6 3" xfId="5753" xr:uid="{00000000-0005-0000-0000-000018580000}"/>
    <cellStyle name="40% - Accent2 4 3 6 3 2" xfId="12854" xr:uid="{00000000-0005-0000-0000-000019580000}"/>
    <cellStyle name="40% - Accent2 4 3 6 3 3" xfId="19955" xr:uid="{00000000-0005-0000-0000-00001A580000}"/>
    <cellStyle name="40% - Accent2 4 3 6 3 4" xfId="27057" xr:uid="{00000000-0005-0000-0000-00001B580000}"/>
    <cellStyle name="40% - Accent2 4 3 6 3 5" xfId="34159" xr:uid="{00000000-0005-0000-0000-00001C580000}"/>
    <cellStyle name="40% - Accent2 4 3 6 4" xfId="4328" xr:uid="{00000000-0005-0000-0000-00001D580000}"/>
    <cellStyle name="40% - Accent2 4 3 6 4 2" xfId="11434" xr:uid="{00000000-0005-0000-0000-00001E580000}"/>
    <cellStyle name="40% - Accent2 4 3 6 4 3" xfId="18535" xr:uid="{00000000-0005-0000-0000-00001F580000}"/>
    <cellStyle name="40% - Accent2 4 3 6 4 4" xfId="25637" xr:uid="{00000000-0005-0000-0000-000020580000}"/>
    <cellStyle name="40% - Accent2 4 3 6 4 5" xfId="32739" xr:uid="{00000000-0005-0000-0000-000021580000}"/>
    <cellStyle name="40% - Accent2 4 3 6 5" xfId="8594" xr:uid="{00000000-0005-0000-0000-000022580000}"/>
    <cellStyle name="40% - Accent2 4 3 6 6" xfId="15695" xr:uid="{00000000-0005-0000-0000-000023580000}"/>
    <cellStyle name="40% - Accent2 4 3 6 7" xfId="22797" xr:uid="{00000000-0005-0000-0000-000024580000}"/>
    <cellStyle name="40% - Accent2 4 3 6 8" xfId="29899" xr:uid="{00000000-0005-0000-0000-000025580000}"/>
    <cellStyle name="40% - Accent2 4 3 6 9" xfId="38945" xr:uid="{00000000-0005-0000-0000-000026580000}"/>
    <cellStyle name="40% - Accent2 4 3 7" xfId="1699" xr:uid="{00000000-0005-0000-0000-000027580000}"/>
    <cellStyle name="40% - Accent2 4 3 7 2" xfId="5967" xr:uid="{00000000-0005-0000-0000-000028580000}"/>
    <cellStyle name="40% - Accent2 4 3 7 2 2" xfId="13067" xr:uid="{00000000-0005-0000-0000-000029580000}"/>
    <cellStyle name="40% - Accent2 4 3 7 2 3" xfId="20168" xr:uid="{00000000-0005-0000-0000-00002A580000}"/>
    <cellStyle name="40% - Accent2 4 3 7 2 4" xfId="27270" xr:uid="{00000000-0005-0000-0000-00002B580000}"/>
    <cellStyle name="40% - Accent2 4 3 7 2 5" xfId="34372" xr:uid="{00000000-0005-0000-0000-00002C580000}"/>
    <cellStyle name="40% - Accent2 4 3 7 3" xfId="8807" xr:uid="{00000000-0005-0000-0000-00002D580000}"/>
    <cellStyle name="40% - Accent2 4 3 7 4" xfId="15908" xr:uid="{00000000-0005-0000-0000-00002E580000}"/>
    <cellStyle name="40% - Accent2 4 3 7 5" xfId="23010" xr:uid="{00000000-0005-0000-0000-00002F580000}"/>
    <cellStyle name="40% - Accent2 4 3 7 6" xfId="30112" xr:uid="{00000000-0005-0000-0000-000030580000}"/>
    <cellStyle name="40% - Accent2 4 3 7 7" xfId="38946" xr:uid="{00000000-0005-0000-0000-000031580000}"/>
    <cellStyle name="40% - Accent2 4 3 8" xfId="4546" xr:uid="{00000000-0005-0000-0000-000032580000}"/>
    <cellStyle name="40% - Accent2 4 3 8 2" xfId="11647" xr:uid="{00000000-0005-0000-0000-000033580000}"/>
    <cellStyle name="40% - Accent2 4 3 8 3" xfId="18748" xr:uid="{00000000-0005-0000-0000-000034580000}"/>
    <cellStyle name="40% - Accent2 4 3 8 4" xfId="25850" xr:uid="{00000000-0005-0000-0000-000035580000}"/>
    <cellStyle name="40% - Accent2 4 3 8 5" xfId="32952" xr:uid="{00000000-0005-0000-0000-000036580000}"/>
    <cellStyle name="40% - Accent2 4 3 9" xfId="3121" xr:uid="{00000000-0005-0000-0000-000037580000}"/>
    <cellStyle name="40% - Accent2 4 3 9 2" xfId="10227" xr:uid="{00000000-0005-0000-0000-000038580000}"/>
    <cellStyle name="40% - Accent2 4 3 9 3" xfId="17328" xr:uid="{00000000-0005-0000-0000-000039580000}"/>
    <cellStyle name="40% - Accent2 4 3 9 4" xfId="24430" xr:uid="{00000000-0005-0000-0000-00003A580000}"/>
    <cellStyle name="40% - Accent2 4 3 9 5" xfId="31532" xr:uid="{00000000-0005-0000-0000-00003B580000}"/>
    <cellStyle name="40% - Accent2 4 4" xfId="350" xr:uid="{00000000-0005-0000-0000-00003C580000}"/>
    <cellStyle name="40% - Accent2 4 4 10" xfId="38947" xr:uid="{00000000-0005-0000-0000-00003D580000}"/>
    <cellStyle name="40% - Accent2 4 4 2" xfId="1131" xr:uid="{00000000-0005-0000-0000-00003E580000}"/>
    <cellStyle name="40% - Accent2 4 4 2 2" xfId="2622" xr:uid="{00000000-0005-0000-0000-00003F580000}"/>
    <cellStyle name="40% - Accent2 4 4 2 2 2" xfId="6890" xr:uid="{00000000-0005-0000-0000-000040580000}"/>
    <cellStyle name="40% - Accent2 4 4 2 2 2 2" xfId="13990" xr:uid="{00000000-0005-0000-0000-000041580000}"/>
    <cellStyle name="40% - Accent2 4 4 2 2 2 3" xfId="21091" xr:uid="{00000000-0005-0000-0000-000042580000}"/>
    <cellStyle name="40% - Accent2 4 4 2 2 2 4" xfId="28193" xr:uid="{00000000-0005-0000-0000-000043580000}"/>
    <cellStyle name="40% - Accent2 4 4 2 2 2 5" xfId="35295" xr:uid="{00000000-0005-0000-0000-000044580000}"/>
    <cellStyle name="40% - Accent2 4 4 2 2 3" xfId="9730" xr:uid="{00000000-0005-0000-0000-000045580000}"/>
    <cellStyle name="40% - Accent2 4 4 2 2 4" xfId="16831" xr:uid="{00000000-0005-0000-0000-000046580000}"/>
    <cellStyle name="40% - Accent2 4 4 2 2 5" xfId="23933" xr:uid="{00000000-0005-0000-0000-000047580000}"/>
    <cellStyle name="40% - Accent2 4 4 2 2 6" xfId="31035" xr:uid="{00000000-0005-0000-0000-000048580000}"/>
    <cellStyle name="40% - Accent2 4 4 2 2 7" xfId="38948" xr:uid="{00000000-0005-0000-0000-000049580000}"/>
    <cellStyle name="40% - Accent2 4 4 2 3" xfId="5469" xr:uid="{00000000-0005-0000-0000-00004A580000}"/>
    <cellStyle name="40% - Accent2 4 4 2 3 2" xfId="12570" xr:uid="{00000000-0005-0000-0000-00004B580000}"/>
    <cellStyle name="40% - Accent2 4 4 2 3 3" xfId="19671" xr:uid="{00000000-0005-0000-0000-00004C580000}"/>
    <cellStyle name="40% - Accent2 4 4 2 3 4" xfId="26773" xr:uid="{00000000-0005-0000-0000-00004D580000}"/>
    <cellStyle name="40% - Accent2 4 4 2 3 5" xfId="33875" xr:uid="{00000000-0005-0000-0000-00004E580000}"/>
    <cellStyle name="40% - Accent2 4 4 2 4" xfId="4044" xr:uid="{00000000-0005-0000-0000-00004F580000}"/>
    <cellStyle name="40% - Accent2 4 4 2 4 2" xfId="11150" xr:uid="{00000000-0005-0000-0000-000050580000}"/>
    <cellStyle name="40% - Accent2 4 4 2 4 3" xfId="18251" xr:uid="{00000000-0005-0000-0000-000051580000}"/>
    <cellStyle name="40% - Accent2 4 4 2 4 4" xfId="25353" xr:uid="{00000000-0005-0000-0000-000052580000}"/>
    <cellStyle name="40% - Accent2 4 4 2 4 5" xfId="32455" xr:uid="{00000000-0005-0000-0000-000053580000}"/>
    <cellStyle name="40% - Accent2 4 4 2 5" xfId="8310" xr:uid="{00000000-0005-0000-0000-000054580000}"/>
    <cellStyle name="40% - Accent2 4 4 2 6" xfId="15411" xr:uid="{00000000-0005-0000-0000-000055580000}"/>
    <cellStyle name="40% - Accent2 4 4 2 7" xfId="22513" xr:uid="{00000000-0005-0000-0000-000056580000}"/>
    <cellStyle name="40% - Accent2 4 4 2 8" xfId="29615" xr:uid="{00000000-0005-0000-0000-000057580000}"/>
    <cellStyle name="40% - Accent2 4 4 2 9" xfId="38949" xr:uid="{00000000-0005-0000-0000-000058580000}"/>
    <cellStyle name="40% - Accent2 4 4 3" xfId="1841" xr:uid="{00000000-0005-0000-0000-000059580000}"/>
    <cellStyle name="40% - Accent2 4 4 3 2" xfId="6109" xr:uid="{00000000-0005-0000-0000-00005A580000}"/>
    <cellStyle name="40% - Accent2 4 4 3 2 2" xfId="13209" xr:uid="{00000000-0005-0000-0000-00005B580000}"/>
    <cellStyle name="40% - Accent2 4 4 3 2 3" xfId="20310" xr:uid="{00000000-0005-0000-0000-00005C580000}"/>
    <cellStyle name="40% - Accent2 4 4 3 2 4" xfId="27412" xr:uid="{00000000-0005-0000-0000-00005D580000}"/>
    <cellStyle name="40% - Accent2 4 4 3 2 5" xfId="34514" xr:uid="{00000000-0005-0000-0000-00005E580000}"/>
    <cellStyle name="40% - Accent2 4 4 3 2 6" xfId="38950" xr:uid="{00000000-0005-0000-0000-00005F580000}"/>
    <cellStyle name="40% - Accent2 4 4 3 3" xfId="8949" xr:uid="{00000000-0005-0000-0000-000060580000}"/>
    <cellStyle name="40% - Accent2 4 4 3 4" xfId="16050" xr:uid="{00000000-0005-0000-0000-000061580000}"/>
    <cellStyle name="40% - Accent2 4 4 3 5" xfId="23152" xr:uid="{00000000-0005-0000-0000-000062580000}"/>
    <cellStyle name="40% - Accent2 4 4 3 6" xfId="30254" xr:uid="{00000000-0005-0000-0000-000063580000}"/>
    <cellStyle name="40% - Accent2 4 4 3 7" xfId="38951" xr:uid="{00000000-0005-0000-0000-000064580000}"/>
    <cellStyle name="40% - Accent2 4 4 4" xfId="4688" xr:uid="{00000000-0005-0000-0000-000065580000}"/>
    <cellStyle name="40% - Accent2 4 4 4 2" xfId="11789" xr:uid="{00000000-0005-0000-0000-000066580000}"/>
    <cellStyle name="40% - Accent2 4 4 4 3" xfId="18890" xr:uid="{00000000-0005-0000-0000-000067580000}"/>
    <cellStyle name="40% - Accent2 4 4 4 4" xfId="25992" xr:uid="{00000000-0005-0000-0000-000068580000}"/>
    <cellStyle name="40% - Accent2 4 4 4 5" xfId="33094" xr:uid="{00000000-0005-0000-0000-000069580000}"/>
    <cellStyle name="40% - Accent2 4 4 4 6" xfId="38952" xr:uid="{00000000-0005-0000-0000-00006A580000}"/>
    <cellStyle name="40% - Accent2 4 4 5" xfId="3263" xr:uid="{00000000-0005-0000-0000-00006B580000}"/>
    <cellStyle name="40% - Accent2 4 4 5 2" xfId="10369" xr:uid="{00000000-0005-0000-0000-00006C580000}"/>
    <cellStyle name="40% - Accent2 4 4 5 3" xfId="17470" xr:uid="{00000000-0005-0000-0000-00006D580000}"/>
    <cellStyle name="40% - Accent2 4 4 5 4" xfId="24572" xr:uid="{00000000-0005-0000-0000-00006E580000}"/>
    <cellStyle name="40% - Accent2 4 4 5 5" xfId="31674" xr:uid="{00000000-0005-0000-0000-00006F580000}"/>
    <cellStyle name="40% - Accent2 4 4 6" xfId="7529" xr:uid="{00000000-0005-0000-0000-000070580000}"/>
    <cellStyle name="40% - Accent2 4 4 7" xfId="14630" xr:uid="{00000000-0005-0000-0000-000071580000}"/>
    <cellStyle name="40% - Accent2 4 4 8" xfId="21732" xr:uid="{00000000-0005-0000-0000-000072580000}"/>
    <cellStyle name="40% - Accent2 4 4 9" xfId="28834" xr:uid="{00000000-0005-0000-0000-000073580000}"/>
    <cellStyle name="40% - Accent2 4 5" xfId="563" xr:uid="{00000000-0005-0000-0000-000074580000}"/>
    <cellStyle name="40% - Accent2 4 5 2" xfId="2054" xr:uid="{00000000-0005-0000-0000-000075580000}"/>
    <cellStyle name="40% - Accent2 4 5 2 2" xfId="6322" xr:uid="{00000000-0005-0000-0000-000076580000}"/>
    <cellStyle name="40% - Accent2 4 5 2 2 2" xfId="13422" xr:uid="{00000000-0005-0000-0000-000077580000}"/>
    <cellStyle name="40% - Accent2 4 5 2 2 3" xfId="20523" xr:uid="{00000000-0005-0000-0000-000078580000}"/>
    <cellStyle name="40% - Accent2 4 5 2 2 4" xfId="27625" xr:uid="{00000000-0005-0000-0000-000079580000}"/>
    <cellStyle name="40% - Accent2 4 5 2 2 5" xfId="34727" xr:uid="{00000000-0005-0000-0000-00007A580000}"/>
    <cellStyle name="40% - Accent2 4 5 2 2 6" xfId="38953" xr:uid="{00000000-0005-0000-0000-00007B580000}"/>
    <cellStyle name="40% - Accent2 4 5 2 3" xfId="9162" xr:uid="{00000000-0005-0000-0000-00007C580000}"/>
    <cellStyle name="40% - Accent2 4 5 2 4" xfId="16263" xr:uid="{00000000-0005-0000-0000-00007D580000}"/>
    <cellStyle name="40% - Accent2 4 5 2 5" xfId="23365" xr:uid="{00000000-0005-0000-0000-00007E580000}"/>
    <cellStyle name="40% - Accent2 4 5 2 6" xfId="30467" xr:uid="{00000000-0005-0000-0000-00007F580000}"/>
    <cellStyle name="40% - Accent2 4 5 2 7" xfId="38954" xr:uid="{00000000-0005-0000-0000-000080580000}"/>
    <cellStyle name="40% - Accent2 4 5 3" xfId="4901" xr:uid="{00000000-0005-0000-0000-000081580000}"/>
    <cellStyle name="40% - Accent2 4 5 3 2" xfId="12002" xr:uid="{00000000-0005-0000-0000-000082580000}"/>
    <cellStyle name="40% - Accent2 4 5 3 2 2" xfId="38955" xr:uid="{00000000-0005-0000-0000-000083580000}"/>
    <cellStyle name="40% - Accent2 4 5 3 3" xfId="19103" xr:uid="{00000000-0005-0000-0000-000084580000}"/>
    <cellStyle name="40% - Accent2 4 5 3 4" xfId="26205" xr:uid="{00000000-0005-0000-0000-000085580000}"/>
    <cellStyle name="40% - Accent2 4 5 3 5" xfId="33307" xr:uid="{00000000-0005-0000-0000-000086580000}"/>
    <cellStyle name="40% - Accent2 4 5 3 6" xfId="38956" xr:uid="{00000000-0005-0000-0000-000087580000}"/>
    <cellStyle name="40% - Accent2 4 5 4" xfId="3476" xr:uid="{00000000-0005-0000-0000-000088580000}"/>
    <cellStyle name="40% - Accent2 4 5 4 2" xfId="10582" xr:uid="{00000000-0005-0000-0000-000089580000}"/>
    <cellStyle name="40% - Accent2 4 5 4 3" xfId="17683" xr:uid="{00000000-0005-0000-0000-00008A580000}"/>
    <cellStyle name="40% - Accent2 4 5 4 4" xfId="24785" xr:uid="{00000000-0005-0000-0000-00008B580000}"/>
    <cellStyle name="40% - Accent2 4 5 4 5" xfId="31887" xr:uid="{00000000-0005-0000-0000-00008C580000}"/>
    <cellStyle name="40% - Accent2 4 5 4 6" xfId="38957" xr:uid="{00000000-0005-0000-0000-00008D580000}"/>
    <cellStyle name="40% - Accent2 4 5 5" xfId="7742" xr:uid="{00000000-0005-0000-0000-00008E580000}"/>
    <cellStyle name="40% - Accent2 4 5 6" xfId="14843" xr:uid="{00000000-0005-0000-0000-00008F580000}"/>
    <cellStyle name="40% - Accent2 4 5 7" xfId="21945" xr:uid="{00000000-0005-0000-0000-000090580000}"/>
    <cellStyle name="40% - Accent2 4 5 8" xfId="29047" xr:uid="{00000000-0005-0000-0000-000091580000}"/>
    <cellStyle name="40% - Accent2 4 5 9" xfId="38958" xr:uid="{00000000-0005-0000-0000-000092580000}"/>
    <cellStyle name="40% - Accent2 4 6" xfId="776" xr:uid="{00000000-0005-0000-0000-000093580000}"/>
    <cellStyle name="40% - Accent2 4 6 2" xfId="2267" xr:uid="{00000000-0005-0000-0000-000094580000}"/>
    <cellStyle name="40% - Accent2 4 6 2 2" xfId="6535" xr:uid="{00000000-0005-0000-0000-000095580000}"/>
    <cellStyle name="40% - Accent2 4 6 2 2 2" xfId="13635" xr:uid="{00000000-0005-0000-0000-000096580000}"/>
    <cellStyle name="40% - Accent2 4 6 2 2 3" xfId="20736" xr:uid="{00000000-0005-0000-0000-000097580000}"/>
    <cellStyle name="40% - Accent2 4 6 2 2 4" xfId="27838" xr:uid="{00000000-0005-0000-0000-000098580000}"/>
    <cellStyle name="40% - Accent2 4 6 2 2 5" xfId="34940" xr:uid="{00000000-0005-0000-0000-000099580000}"/>
    <cellStyle name="40% - Accent2 4 6 2 2 6" xfId="38959" xr:uid="{00000000-0005-0000-0000-00009A580000}"/>
    <cellStyle name="40% - Accent2 4 6 2 3" xfId="9375" xr:uid="{00000000-0005-0000-0000-00009B580000}"/>
    <cellStyle name="40% - Accent2 4 6 2 4" xfId="16476" xr:uid="{00000000-0005-0000-0000-00009C580000}"/>
    <cellStyle name="40% - Accent2 4 6 2 5" xfId="23578" xr:uid="{00000000-0005-0000-0000-00009D580000}"/>
    <cellStyle name="40% - Accent2 4 6 2 6" xfId="30680" xr:uid="{00000000-0005-0000-0000-00009E580000}"/>
    <cellStyle name="40% - Accent2 4 6 2 7" xfId="38960" xr:uid="{00000000-0005-0000-0000-00009F580000}"/>
    <cellStyle name="40% - Accent2 4 6 3" xfId="5114" xr:uid="{00000000-0005-0000-0000-0000A0580000}"/>
    <cellStyle name="40% - Accent2 4 6 3 2" xfId="12215" xr:uid="{00000000-0005-0000-0000-0000A1580000}"/>
    <cellStyle name="40% - Accent2 4 6 3 2 2" xfId="38961" xr:uid="{00000000-0005-0000-0000-0000A2580000}"/>
    <cellStyle name="40% - Accent2 4 6 3 3" xfId="19316" xr:uid="{00000000-0005-0000-0000-0000A3580000}"/>
    <cellStyle name="40% - Accent2 4 6 3 4" xfId="26418" xr:uid="{00000000-0005-0000-0000-0000A4580000}"/>
    <cellStyle name="40% - Accent2 4 6 3 5" xfId="33520" xr:uid="{00000000-0005-0000-0000-0000A5580000}"/>
    <cellStyle name="40% - Accent2 4 6 3 6" xfId="38962" xr:uid="{00000000-0005-0000-0000-0000A6580000}"/>
    <cellStyle name="40% - Accent2 4 6 4" xfId="3689" xr:uid="{00000000-0005-0000-0000-0000A7580000}"/>
    <cellStyle name="40% - Accent2 4 6 4 2" xfId="10795" xr:uid="{00000000-0005-0000-0000-0000A8580000}"/>
    <cellStyle name="40% - Accent2 4 6 4 3" xfId="17896" xr:uid="{00000000-0005-0000-0000-0000A9580000}"/>
    <cellStyle name="40% - Accent2 4 6 4 4" xfId="24998" xr:uid="{00000000-0005-0000-0000-0000AA580000}"/>
    <cellStyle name="40% - Accent2 4 6 4 5" xfId="32100" xr:uid="{00000000-0005-0000-0000-0000AB580000}"/>
    <cellStyle name="40% - Accent2 4 6 4 6" xfId="38963" xr:uid="{00000000-0005-0000-0000-0000AC580000}"/>
    <cellStyle name="40% - Accent2 4 6 5" xfId="7955" xr:uid="{00000000-0005-0000-0000-0000AD580000}"/>
    <cellStyle name="40% - Accent2 4 6 6" xfId="15056" xr:uid="{00000000-0005-0000-0000-0000AE580000}"/>
    <cellStyle name="40% - Accent2 4 6 7" xfId="22158" xr:uid="{00000000-0005-0000-0000-0000AF580000}"/>
    <cellStyle name="40% - Accent2 4 6 8" xfId="29260" xr:uid="{00000000-0005-0000-0000-0000B0580000}"/>
    <cellStyle name="40% - Accent2 4 6 9" xfId="38964" xr:uid="{00000000-0005-0000-0000-0000B1580000}"/>
    <cellStyle name="40% - Accent2 4 7" xfId="989" xr:uid="{00000000-0005-0000-0000-0000B2580000}"/>
    <cellStyle name="40% - Accent2 4 7 2" xfId="2480" xr:uid="{00000000-0005-0000-0000-0000B3580000}"/>
    <cellStyle name="40% - Accent2 4 7 2 2" xfId="6748" xr:uid="{00000000-0005-0000-0000-0000B4580000}"/>
    <cellStyle name="40% - Accent2 4 7 2 2 2" xfId="13848" xr:uid="{00000000-0005-0000-0000-0000B5580000}"/>
    <cellStyle name="40% - Accent2 4 7 2 2 3" xfId="20949" xr:uid="{00000000-0005-0000-0000-0000B6580000}"/>
    <cellStyle name="40% - Accent2 4 7 2 2 4" xfId="28051" xr:uid="{00000000-0005-0000-0000-0000B7580000}"/>
    <cellStyle name="40% - Accent2 4 7 2 2 5" xfId="35153" xr:uid="{00000000-0005-0000-0000-0000B8580000}"/>
    <cellStyle name="40% - Accent2 4 7 2 3" xfId="9588" xr:uid="{00000000-0005-0000-0000-0000B9580000}"/>
    <cellStyle name="40% - Accent2 4 7 2 4" xfId="16689" xr:uid="{00000000-0005-0000-0000-0000BA580000}"/>
    <cellStyle name="40% - Accent2 4 7 2 5" xfId="23791" xr:uid="{00000000-0005-0000-0000-0000BB580000}"/>
    <cellStyle name="40% - Accent2 4 7 2 6" xfId="30893" xr:uid="{00000000-0005-0000-0000-0000BC580000}"/>
    <cellStyle name="40% - Accent2 4 7 2 7" xfId="38965" xr:uid="{00000000-0005-0000-0000-0000BD580000}"/>
    <cellStyle name="40% - Accent2 4 7 3" xfId="5327" xr:uid="{00000000-0005-0000-0000-0000BE580000}"/>
    <cellStyle name="40% - Accent2 4 7 3 2" xfId="12428" xr:uid="{00000000-0005-0000-0000-0000BF580000}"/>
    <cellStyle name="40% - Accent2 4 7 3 3" xfId="19529" xr:uid="{00000000-0005-0000-0000-0000C0580000}"/>
    <cellStyle name="40% - Accent2 4 7 3 4" xfId="26631" xr:uid="{00000000-0005-0000-0000-0000C1580000}"/>
    <cellStyle name="40% - Accent2 4 7 3 5" xfId="33733" xr:uid="{00000000-0005-0000-0000-0000C2580000}"/>
    <cellStyle name="40% - Accent2 4 7 4" xfId="3902" xr:uid="{00000000-0005-0000-0000-0000C3580000}"/>
    <cellStyle name="40% - Accent2 4 7 4 2" xfId="11008" xr:uid="{00000000-0005-0000-0000-0000C4580000}"/>
    <cellStyle name="40% - Accent2 4 7 4 3" xfId="18109" xr:uid="{00000000-0005-0000-0000-0000C5580000}"/>
    <cellStyle name="40% - Accent2 4 7 4 4" xfId="25211" xr:uid="{00000000-0005-0000-0000-0000C6580000}"/>
    <cellStyle name="40% - Accent2 4 7 4 5" xfId="32313" xr:uid="{00000000-0005-0000-0000-0000C7580000}"/>
    <cellStyle name="40% - Accent2 4 7 5" xfId="8168" xr:uid="{00000000-0005-0000-0000-0000C8580000}"/>
    <cellStyle name="40% - Accent2 4 7 6" xfId="15269" xr:uid="{00000000-0005-0000-0000-0000C9580000}"/>
    <cellStyle name="40% - Accent2 4 7 7" xfId="22371" xr:uid="{00000000-0005-0000-0000-0000CA580000}"/>
    <cellStyle name="40% - Accent2 4 7 8" xfId="29473" xr:uid="{00000000-0005-0000-0000-0000CB580000}"/>
    <cellStyle name="40% - Accent2 4 7 9" xfId="38966" xr:uid="{00000000-0005-0000-0000-0000CC580000}"/>
    <cellStyle name="40% - Accent2 4 8" xfId="1344" xr:uid="{00000000-0005-0000-0000-0000CD580000}"/>
    <cellStyle name="40% - Accent2 4 8 2" xfId="2835" xr:uid="{00000000-0005-0000-0000-0000CE580000}"/>
    <cellStyle name="40% - Accent2 4 8 2 2" xfId="7103" xr:uid="{00000000-0005-0000-0000-0000CF580000}"/>
    <cellStyle name="40% - Accent2 4 8 2 2 2" xfId="14203" xr:uid="{00000000-0005-0000-0000-0000D0580000}"/>
    <cellStyle name="40% - Accent2 4 8 2 2 3" xfId="21304" xr:uid="{00000000-0005-0000-0000-0000D1580000}"/>
    <cellStyle name="40% - Accent2 4 8 2 2 4" xfId="28406" xr:uid="{00000000-0005-0000-0000-0000D2580000}"/>
    <cellStyle name="40% - Accent2 4 8 2 2 5" xfId="35508" xr:uid="{00000000-0005-0000-0000-0000D3580000}"/>
    <cellStyle name="40% - Accent2 4 8 2 3" xfId="9943" xr:uid="{00000000-0005-0000-0000-0000D4580000}"/>
    <cellStyle name="40% - Accent2 4 8 2 4" xfId="17044" xr:uid="{00000000-0005-0000-0000-0000D5580000}"/>
    <cellStyle name="40% - Accent2 4 8 2 5" xfId="24146" xr:uid="{00000000-0005-0000-0000-0000D6580000}"/>
    <cellStyle name="40% - Accent2 4 8 2 6" xfId="31248" xr:uid="{00000000-0005-0000-0000-0000D7580000}"/>
    <cellStyle name="40% - Accent2 4 8 2 7" xfId="38967" xr:uid="{00000000-0005-0000-0000-0000D8580000}"/>
    <cellStyle name="40% - Accent2 4 8 3" xfId="5682" xr:uid="{00000000-0005-0000-0000-0000D9580000}"/>
    <cellStyle name="40% - Accent2 4 8 3 2" xfId="12783" xr:uid="{00000000-0005-0000-0000-0000DA580000}"/>
    <cellStyle name="40% - Accent2 4 8 3 3" xfId="19884" xr:uid="{00000000-0005-0000-0000-0000DB580000}"/>
    <cellStyle name="40% - Accent2 4 8 3 4" xfId="26986" xr:uid="{00000000-0005-0000-0000-0000DC580000}"/>
    <cellStyle name="40% - Accent2 4 8 3 5" xfId="34088" xr:uid="{00000000-0005-0000-0000-0000DD580000}"/>
    <cellStyle name="40% - Accent2 4 8 4" xfId="4257" xr:uid="{00000000-0005-0000-0000-0000DE580000}"/>
    <cellStyle name="40% - Accent2 4 8 4 2" xfId="11363" xr:uid="{00000000-0005-0000-0000-0000DF580000}"/>
    <cellStyle name="40% - Accent2 4 8 4 3" xfId="18464" xr:uid="{00000000-0005-0000-0000-0000E0580000}"/>
    <cellStyle name="40% - Accent2 4 8 4 4" xfId="25566" xr:uid="{00000000-0005-0000-0000-0000E1580000}"/>
    <cellStyle name="40% - Accent2 4 8 4 5" xfId="32668" xr:uid="{00000000-0005-0000-0000-0000E2580000}"/>
    <cellStyle name="40% - Accent2 4 8 5" xfId="8523" xr:uid="{00000000-0005-0000-0000-0000E3580000}"/>
    <cellStyle name="40% - Accent2 4 8 6" xfId="15624" xr:uid="{00000000-0005-0000-0000-0000E4580000}"/>
    <cellStyle name="40% - Accent2 4 8 7" xfId="22726" xr:uid="{00000000-0005-0000-0000-0000E5580000}"/>
    <cellStyle name="40% - Accent2 4 8 8" xfId="29828" xr:uid="{00000000-0005-0000-0000-0000E6580000}"/>
    <cellStyle name="40% - Accent2 4 8 9" xfId="38968" xr:uid="{00000000-0005-0000-0000-0000E7580000}"/>
    <cellStyle name="40% - Accent2 4 9" xfId="1628" xr:uid="{00000000-0005-0000-0000-0000E8580000}"/>
    <cellStyle name="40% - Accent2 4 9 2" xfId="5896" xr:uid="{00000000-0005-0000-0000-0000E9580000}"/>
    <cellStyle name="40% - Accent2 4 9 2 2" xfId="12996" xr:uid="{00000000-0005-0000-0000-0000EA580000}"/>
    <cellStyle name="40% - Accent2 4 9 2 3" xfId="20097" xr:uid="{00000000-0005-0000-0000-0000EB580000}"/>
    <cellStyle name="40% - Accent2 4 9 2 4" xfId="27199" xr:uid="{00000000-0005-0000-0000-0000EC580000}"/>
    <cellStyle name="40% - Accent2 4 9 2 5" xfId="34301" xr:uid="{00000000-0005-0000-0000-0000ED580000}"/>
    <cellStyle name="40% - Accent2 4 9 3" xfId="8736" xr:uid="{00000000-0005-0000-0000-0000EE580000}"/>
    <cellStyle name="40% - Accent2 4 9 4" xfId="15837" xr:uid="{00000000-0005-0000-0000-0000EF580000}"/>
    <cellStyle name="40% - Accent2 4 9 5" xfId="22939" xr:uid="{00000000-0005-0000-0000-0000F0580000}"/>
    <cellStyle name="40% - Accent2 4 9 6" xfId="30041" xr:uid="{00000000-0005-0000-0000-0000F1580000}"/>
    <cellStyle name="40% - Accent2 4 9 7" xfId="38969" xr:uid="{00000000-0005-0000-0000-0000F2580000}"/>
    <cellStyle name="40% - Accent2 5" xfId="220" xr:uid="{00000000-0005-0000-0000-0000F3580000}"/>
    <cellStyle name="40% - Accent2 5 10" xfId="7399" xr:uid="{00000000-0005-0000-0000-0000F4580000}"/>
    <cellStyle name="40% - Accent2 5 11" xfId="14500" xr:uid="{00000000-0005-0000-0000-0000F5580000}"/>
    <cellStyle name="40% - Accent2 5 12" xfId="21602" xr:uid="{00000000-0005-0000-0000-0000F6580000}"/>
    <cellStyle name="40% - Accent2 5 13" xfId="28704" xr:uid="{00000000-0005-0000-0000-0000F7580000}"/>
    <cellStyle name="40% - Accent2 5 14" xfId="35806" xr:uid="{00000000-0005-0000-0000-0000F8580000}"/>
    <cellStyle name="40% - Accent2 5 15" xfId="38970" xr:uid="{00000000-0005-0000-0000-0000F9580000}"/>
    <cellStyle name="40% - Accent2 5 2" xfId="433" xr:uid="{00000000-0005-0000-0000-0000FA580000}"/>
    <cellStyle name="40% - Accent2 5 2 10" xfId="38971" xr:uid="{00000000-0005-0000-0000-0000FB580000}"/>
    <cellStyle name="40% - Accent2 5 2 2" xfId="1214" xr:uid="{00000000-0005-0000-0000-0000FC580000}"/>
    <cellStyle name="40% - Accent2 5 2 2 2" xfId="2705" xr:uid="{00000000-0005-0000-0000-0000FD580000}"/>
    <cellStyle name="40% - Accent2 5 2 2 2 2" xfId="6973" xr:uid="{00000000-0005-0000-0000-0000FE580000}"/>
    <cellStyle name="40% - Accent2 5 2 2 2 2 2" xfId="14073" xr:uid="{00000000-0005-0000-0000-0000FF580000}"/>
    <cellStyle name="40% - Accent2 5 2 2 2 2 3" xfId="21174" xr:uid="{00000000-0005-0000-0000-000000590000}"/>
    <cellStyle name="40% - Accent2 5 2 2 2 2 4" xfId="28276" xr:uid="{00000000-0005-0000-0000-000001590000}"/>
    <cellStyle name="40% - Accent2 5 2 2 2 2 5" xfId="35378" xr:uid="{00000000-0005-0000-0000-000002590000}"/>
    <cellStyle name="40% - Accent2 5 2 2 2 3" xfId="9813" xr:uid="{00000000-0005-0000-0000-000003590000}"/>
    <cellStyle name="40% - Accent2 5 2 2 2 4" xfId="16914" xr:uid="{00000000-0005-0000-0000-000004590000}"/>
    <cellStyle name="40% - Accent2 5 2 2 2 5" xfId="24016" xr:uid="{00000000-0005-0000-0000-000005590000}"/>
    <cellStyle name="40% - Accent2 5 2 2 2 6" xfId="31118" xr:uid="{00000000-0005-0000-0000-000006590000}"/>
    <cellStyle name="40% - Accent2 5 2 2 2 7" xfId="38972" xr:uid="{00000000-0005-0000-0000-000007590000}"/>
    <cellStyle name="40% - Accent2 5 2 2 3" xfId="5552" xr:uid="{00000000-0005-0000-0000-000008590000}"/>
    <cellStyle name="40% - Accent2 5 2 2 3 2" xfId="12653" xr:uid="{00000000-0005-0000-0000-000009590000}"/>
    <cellStyle name="40% - Accent2 5 2 2 3 3" xfId="19754" xr:uid="{00000000-0005-0000-0000-00000A590000}"/>
    <cellStyle name="40% - Accent2 5 2 2 3 4" xfId="26856" xr:uid="{00000000-0005-0000-0000-00000B590000}"/>
    <cellStyle name="40% - Accent2 5 2 2 3 5" xfId="33958" xr:uid="{00000000-0005-0000-0000-00000C590000}"/>
    <cellStyle name="40% - Accent2 5 2 2 4" xfId="4127" xr:uid="{00000000-0005-0000-0000-00000D590000}"/>
    <cellStyle name="40% - Accent2 5 2 2 4 2" xfId="11233" xr:uid="{00000000-0005-0000-0000-00000E590000}"/>
    <cellStyle name="40% - Accent2 5 2 2 4 3" xfId="18334" xr:uid="{00000000-0005-0000-0000-00000F590000}"/>
    <cellStyle name="40% - Accent2 5 2 2 4 4" xfId="25436" xr:uid="{00000000-0005-0000-0000-000010590000}"/>
    <cellStyle name="40% - Accent2 5 2 2 4 5" xfId="32538" xr:uid="{00000000-0005-0000-0000-000011590000}"/>
    <cellStyle name="40% - Accent2 5 2 2 5" xfId="8393" xr:uid="{00000000-0005-0000-0000-000012590000}"/>
    <cellStyle name="40% - Accent2 5 2 2 6" xfId="15494" xr:uid="{00000000-0005-0000-0000-000013590000}"/>
    <cellStyle name="40% - Accent2 5 2 2 7" xfId="22596" xr:uid="{00000000-0005-0000-0000-000014590000}"/>
    <cellStyle name="40% - Accent2 5 2 2 8" xfId="29698" xr:uid="{00000000-0005-0000-0000-000015590000}"/>
    <cellStyle name="40% - Accent2 5 2 2 9" xfId="38973" xr:uid="{00000000-0005-0000-0000-000016590000}"/>
    <cellStyle name="40% - Accent2 5 2 3" xfId="1924" xr:uid="{00000000-0005-0000-0000-000017590000}"/>
    <cellStyle name="40% - Accent2 5 2 3 2" xfId="6192" xr:uid="{00000000-0005-0000-0000-000018590000}"/>
    <cellStyle name="40% - Accent2 5 2 3 2 2" xfId="13292" xr:uid="{00000000-0005-0000-0000-000019590000}"/>
    <cellStyle name="40% - Accent2 5 2 3 2 3" xfId="20393" xr:uid="{00000000-0005-0000-0000-00001A590000}"/>
    <cellStyle name="40% - Accent2 5 2 3 2 4" xfId="27495" xr:uid="{00000000-0005-0000-0000-00001B590000}"/>
    <cellStyle name="40% - Accent2 5 2 3 2 5" xfId="34597" xr:uid="{00000000-0005-0000-0000-00001C590000}"/>
    <cellStyle name="40% - Accent2 5 2 3 2 6" xfId="38974" xr:uid="{00000000-0005-0000-0000-00001D590000}"/>
    <cellStyle name="40% - Accent2 5 2 3 3" xfId="9032" xr:uid="{00000000-0005-0000-0000-00001E590000}"/>
    <cellStyle name="40% - Accent2 5 2 3 4" xfId="16133" xr:uid="{00000000-0005-0000-0000-00001F590000}"/>
    <cellStyle name="40% - Accent2 5 2 3 5" xfId="23235" xr:uid="{00000000-0005-0000-0000-000020590000}"/>
    <cellStyle name="40% - Accent2 5 2 3 6" xfId="30337" xr:uid="{00000000-0005-0000-0000-000021590000}"/>
    <cellStyle name="40% - Accent2 5 2 3 7" xfId="38975" xr:uid="{00000000-0005-0000-0000-000022590000}"/>
    <cellStyle name="40% - Accent2 5 2 4" xfId="4771" xr:uid="{00000000-0005-0000-0000-000023590000}"/>
    <cellStyle name="40% - Accent2 5 2 4 2" xfId="11872" xr:uid="{00000000-0005-0000-0000-000024590000}"/>
    <cellStyle name="40% - Accent2 5 2 4 3" xfId="18973" xr:uid="{00000000-0005-0000-0000-000025590000}"/>
    <cellStyle name="40% - Accent2 5 2 4 4" xfId="26075" xr:uid="{00000000-0005-0000-0000-000026590000}"/>
    <cellStyle name="40% - Accent2 5 2 4 5" xfId="33177" xr:uid="{00000000-0005-0000-0000-000027590000}"/>
    <cellStyle name="40% - Accent2 5 2 4 6" xfId="38976" xr:uid="{00000000-0005-0000-0000-000028590000}"/>
    <cellStyle name="40% - Accent2 5 2 5" xfId="3346" xr:uid="{00000000-0005-0000-0000-000029590000}"/>
    <cellStyle name="40% - Accent2 5 2 5 2" xfId="10452" xr:uid="{00000000-0005-0000-0000-00002A590000}"/>
    <cellStyle name="40% - Accent2 5 2 5 3" xfId="17553" xr:uid="{00000000-0005-0000-0000-00002B590000}"/>
    <cellStyle name="40% - Accent2 5 2 5 4" xfId="24655" xr:uid="{00000000-0005-0000-0000-00002C590000}"/>
    <cellStyle name="40% - Accent2 5 2 5 5" xfId="31757" xr:uid="{00000000-0005-0000-0000-00002D590000}"/>
    <cellStyle name="40% - Accent2 5 2 6" xfId="7612" xr:uid="{00000000-0005-0000-0000-00002E590000}"/>
    <cellStyle name="40% - Accent2 5 2 7" xfId="14713" xr:uid="{00000000-0005-0000-0000-00002F590000}"/>
    <cellStyle name="40% - Accent2 5 2 8" xfId="21815" xr:uid="{00000000-0005-0000-0000-000030590000}"/>
    <cellStyle name="40% - Accent2 5 2 9" xfId="28917" xr:uid="{00000000-0005-0000-0000-000031590000}"/>
    <cellStyle name="40% - Accent2 5 3" xfId="646" xr:uid="{00000000-0005-0000-0000-000032590000}"/>
    <cellStyle name="40% - Accent2 5 3 2" xfId="2137" xr:uid="{00000000-0005-0000-0000-000033590000}"/>
    <cellStyle name="40% - Accent2 5 3 2 2" xfId="6405" xr:uid="{00000000-0005-0000-0000-000034590000}"/>
    <cellStyle name="40% - Accent2 5 3 2 2 2" xfId="13505" xr:uid="{00000000-0005-0000-0000-000035590000}"/>
    <cellStyle name="40% - Accent2 5 3 2 2 3" xfId="20606" xr:uid="{00000000-0005-0000-0000-000036590000}"/>
    <cellStyle name="40% - Accent2 5 3 2 2 4" xfId="27708" xr:uid="{00000000-0005-0000-0000-000037590000}"/>
    <cellStyle name="40% - Accent2 5 3 2 2 5" xfId="34810" xr:uid="{00000000-0005-0000-0000-000038590000}"/>
    <cellStyle name="40% - Accent2 5 3 2 2 6" xfId="38977" xr:uid="{00000000-0005-0000-0000-000039590000}"/>
    <cellStyle name="40% - Accent2 5 3 2 3" xfId="9245" xr:uid="{00000000-0005-0000-0000-00003A590000}"/>
    <cellStyle name="40% - Accent2 5 3 2 4" xfId="16346" xr:uid="{00000000-0005-0000-0000-00003B590000}"/>
    <cellStyle name="40% - Accent2 5 3 2 5" xfId="23448" xr:uid="{00000000-0005-0000-0000-00003C590000}"/>
    <cellStyle name="40% - Accent2 5 3 2 6" xfId="30550" xr:uid="{00000000-0005-0000-0000-00003D590000}"/>
    <cellStyle name="40% - Accent2 5 3 2 7" xfId="38978" xr:uid="{00000000-0005-0000-0000-00003E590000}"/>
    <cellStyle name="40% - Accent2 5 3 3" xfId="4984" xr:uid="{00000000-0005-0000-0000-00003F590000}"/>
    <cellStyle name="40% - Accent2 5 3 3 2" xfId="12085" xr:uid="{00000000-0005-0000-0000-000040590000}"/>
    <cellStyle name="40% - Accent2 5 3 3 2 2" xfId="38979" xr:uid="{00000000-0005-0000-0000-000041590000}"/>
    <cellStyle name="40% - Accent2 5 3 3 3" xfId="19186" xr:uid="{00000000-0005-0000-0000-000042590000}"/>
    <cellStyle name="40% - Accent2 5 3 3 4" xfId="26288" xr:uid="{00000000-0005-0000-0000-000043590000}"/>
    <cellStyle name="40% - Accent2 5 3 3 5" xfId="33390" xr:uid="{00000000-0005-0000-0000-000044590000}"/>
    <cellStyle name="40% - Accent2 5 3 3 6" xfId="38980" xr:uid="{00000000-0005-0000-0000-000045590000}"/>
    <cellStyle name="40% - Accent2 5 3 4" xfId="3559" xr:uid="{00000000-0005-0000-0000-000046590000}"/>
    <cellStyle name="40% - Accent2 5 3 4 2" xfId="10665" xr:uid="{00000000-0005-0000-0000-000047590000}"/>
    <cellStyle name="40% - Accent2 5 3 4 3" xfId="17766" xr:uid="{00000000-0005-0000-0000-000048590000}"/>
    <cellStyle name="40% - Accent2 5 3 4 4" xfId="24868" xr:uid="{00000000-0005-0000-0000-000049590000}"/>
    <cellStyle name="40% - Accent2 5 3 4 5" xfId="31970" xr:uid="{00000000-0005-0000-0000-00004A590000}"/>
    <cellStyle name="40% - Accent2 5 3 4 6" xfId="38981" xr:uid="{00000000-0005-0000-0000-00004B590000}"/>
    <cellStyle name="40% - Accent2 5 3 5" xfId="7825" xr:uid="{00000000-0005-0000-0000-00004C590000}"/>
    <cellStyle name="40% - Accent2 5 3 6" xfId="14926" xr:uid="{00000000-0005-0000-0000-00004D590000}"/>
    <cellStyle name="40% - Accent2 5 3 7" xfId="22028" xr:uid="{00000000-0005-0000-0000-00004E590000}"/>
    <cellStyle name="40% - Accent2 5 3 8" xfId="29130" xr:uid="{00000000-0005-0000-0000-00004F590000}"/>
    <cellStyle name="40% - Accent2 5 3 9" xfId="38982" xr:uid="{00000000-0005-0000-0000-000050590000}"/>
    <cellStyle name="40% - Accent2 5 4" xfId="859" xr:uid="{00000000-0005-0000-0000-000051590000}"/>
    <cellStyle name="40% - Accent2 5 4 2" xfId="2350" xr:uid="{00000000-0005-0000-0000-000052590000}"/>
    <cellStyle name="40% - Accent2 5 4 2 2" xfId="6618" xr:uid="{00000000-0005-0000-0000-000053590000}"/>
    <cellStyle name="40% - Accent2 5 4 2 2 2" xfId="13718" xr:uid="{00000000-0005-0000-0000-000054590000}"/>
    <cellStyle name="40% - Accent2 5 4 2 2 3" xfId="20819" xr:uid="{00000000-0005-0000-0000-000055590000}"/>
    <cellStyle name="40% - Accent2 5 4 2 2 4" xfId="27921" xr:uid="{00000000-0005-0000-0000-000056590000}"/>
    <cellStyle name="40% - Accent2 5 4 2 2 5" xfId="35023" xr:uid="{00000000-0005-0000-0000-000057590000}"/>
    <cellStyle name="40% - Accent2 5 4 2 2 6" xfId="38983" xr:uid="{00000000-0005-0000-0000-000058590000}"/>
    <cellStyle name="40% - Accent2 5 4 2 3" xfId="9458" xr:uid="{00000000-0005-0000-0000-000059590000}"/>
    <cellStyle name="40% - Accent2 5 4 2 4" xfId="16559" xr:uid="{00000000-0005-0000-0000-00005A590000}"/>
    <cellStyle name="40% - Accent2 5 4 2 5" xfId="23661" xr:uid="{00000000-0005-0000-0000-00005B590000}"/>
    <cellStyle name="40% - Accent2 5 4 2 6" xfId="30763" xr:uid="{00000000-0005-0000-0000-00005C590000}"/>
    <cellStyle name="40% - Accent2 5 4 2 7" xfId="38984" xr:uid="{00000000-0005-0000-0000-00005D590000}"/>
    <cellStyle name="40% - Accent2 5 4 3" xfId="5197" xr:uid="{00000000-0005-0000-0000-00005E590000}"/>
    <cellStyle name="40% - Accent2 5 4 3 2" xfId="12298" xr:uid="{00000000-0005-0000-0000-00005F590000}"/>
    <cellStyle name="40% - Accent2 5 4 3 2 2" xfId="38985" xr:uid="{00000000-0005-0000-0000-000060590000}"/>
    <cellStyle name="40% - Accent2 5 4 3 3" xfId="19399" xr:uid="{00000000-0005-0000-0000-000061590000}"/>
    <cellStyle name="40% - Accent2 5 4 3 4" xfId="26501" xr:uid="{00000000-0005-0000-0000-000062590000}"/>
    <cellStyle name="40% - Accent2 5 4 3 5" xfId="33603" xr:uid="{00000000-0005-0000-0000-000063590000}"/>
    <cellStyle name="40% - Accent2 5 4 3 6" xfId="38986" xr:uid="{00000000-0005-0000-0000-000064590000}"/>
    <cellStyle name="40% - Accent2 5 4 4" xfId="3772" xr:uid="{00000000-0005-0000-0000-000065590000}"/>
    <cellStyle name="40% - Accent2 5 4 4 2" xfId="10878" xr:uid="{00000000-0005-0000-0000-000066590000}"/>
    <cellStyle name="40% - Accent2 5 4 4 3" xfId="17979" xr:uid="{00000000-0005-0000-0000-000067590000}"/>
    <cellStyle name="40% - Accent2 5 4 4 4" xfId="25081" xr:uid="{00000000-0005-0000-0000-000068590000}"/>
    <cellStyle name="40% - Accent2 5 4 4 5" xfId="32183" xr:uid="{00000000-0005-0000-0000-000069590000}"/>
    <cellStyle name="40% - Accent2 5 4 4 6" xfId="38987" xr:uid="{00000000-0005-0000-0000-00006A590000}"/>
    <cellStyle name="40% - Accent2 5 4 5" xfId="8038" xr:uid="{00000000-0005-0000-0000-00006B590000}"/>
    <cellStyle name="40% - Accent2 5 4 6" xfId="15139" xr:uid="{00000000-0005-0000-0000-00006C590000}"/>
    <cellStyle name="40% - Accent2 5 4 7" xfId="22241" xr:uid="{00000000-0005-0000-0000-00006D590000}"/>
    <cellStyle name="40% - Accent2 5 4 8" xfId="29343" xr:uid="{00000000-0005-0000-0000-00006E590000}"/>
    <cellStyle name="40% - Accent2 5 4 9" xfId="38988" xr:uid="{00000000-0005-0000-0000-00006F590000}"/>
    <cellStyle name="40% - Accent2 5 5" xfId="1001" xr:uid="{00000000-0005-0000-0000-000070590000}"/>
    <cellStyle name="40% - Accent2 5 5 2" xfId="2492" xr:uid="{00000000-0005-0000-0000-000071590000}"/>
    <cellStyle name="40% - Accent2 5 5 2 2" xfId="6760" xr:uid="{00000000-0005-0000-0000-000072590000}"/>
    <cellStyle name="40% - Accent2 5 5 2 2 2" xfId="13860" xr:uid="{00000000-0005-0000-0000-000073590000}"/>
    <cellStyle name="40% - Accent2 5 5 2 2 3" xfId="20961" xr:uid="{00000000-0005-0000-0000-000074590000}"/>
    <cellStyle name="40% - Accent2 5 5 2 2 4" xfId="28063" xr:uid="{00000000-0005-0000-0000-000075590000}"/>
    <cellStyle name="40% - Accent2 5 5 2 2 5" xfId="35165" xr:uid="{00000000-0005-0000-0000-000076590000}"/>
    <cellStyle name="40% - Accent2 5 5 2 3" xfId="9600" xr:uid="{00000000-0005-0000-0000-000077590000}"/>
    <cellStyle name="40% - Accent2 5 5 2 4" xfId="16701" xr:uid="{00000000-0005-0000-0000-000078590000}"/>
    <cellStyle name="40% - Accent2 5 5 2 5" xfId="23803" xr:uid="{00000000-0005-0000-0000-000079590000}"/>
    <cellStyle name="40% - Accent2 5 5 2 6" xfId="30905" xr:uid="{00000000-0005-0000-0000-00007A590000}"/>
    <cellStyle name="40% - Accent2 5 5 2 7" xfId="38989" xr:uid="{00000000-0005-0000-0000-00007B590000}"/>
    <cellStyle name="40% - Accent2 5 5 3" xfId="5339" xr:uid="{00000000-0005-0000-0000-00007C590000}"/>
    <cellStyle name="40% - Accent2 5 5 3 2" xfId="12440" xr:uid="{00000000-0005-0000-0000-00007D590000}"/>
    <cellStyle name="40% - Accent2 5 5 3 3" xfId="19541" xr:uid="{00000000-0005-0000-0000-00007E590000}"/>
    <cellStyle name="40% - Accent2 5 5 3 4" xfId="26643" xr:uid="{00000000-0005-0000-0000-00007F590000}"/>
    <cellStyle name="40% - Accent2 5 5 3 5" xfId="33745" xr:uid="{00000000-0005-0000-0000-000080590000}"/>
    <cellStyle name="40% - Accent2 5 5 4" xfId="3914" xr:uid="{00000000-0005-0000-0000-000081590000}"/>
    <cellStyle name="40% - Accent2 5 5 4 2" xfId="11020" xr:uid="{00000000-0005-0000-0000-000082590000}"/>
    <cellStyle name="40% - Accent2 5 5 4 3" xfId="18121" xr:uid="{00000000-0005-0000-0000-000083590000}"/>
    <cellStyle name="40% - Accent2 5 5 4 4" xfId="25223" xr:uid="{00000000-0005-0000-0000-000084590000}"/>
    <cellStyle name="40% - Accent2 5 5 4 5" xfId="32325" xr:uid="{00000000-0005-0000-0000-000085590000}"/>
    <cellStyle name="40% - Accent2 5 5 5" xfId="8180" xr:uid="{00000000-0005-0000-0000-000086590000}"/>
    <cellStyle name="40% - Accent2 5 5 6" xfId="15281" xr:uid="{00000000-0005-0000-0000-000087590000}"/>
    <cellStyle name="40% - Accent2 5 5 7" xfId="22383" xr:uid="{00000000-0005-0000-0000-000088590000}"/>
    <cellStyle name="40% - Accent2 5 5 8" xfId="29485" xr:uid="{00000000-0005-0000-0000-000089590000}"/>
    <cellStyle name="40% - Accent2 5 5 9" xfId="38990" xr:uid="{00000000-0005-0000-0000-00008A590000}"/>
    <cellStyle name="40% - Accent2 5 6" xfId="1427" xr:uid="{00000000-0005-0000-0000-00008B590000}"/>
    <cellStyle name="40% - Accent2 5 6 2" xfId="2918" xr:uid="{00000000-0005-0000-0000-00008C590000}"/>
    <cellStyle name="40% - Accent2 5 6 2 2" xfId="7186" xr:uid="{00000000-0005-0000-0000-00008D590000}"/>
    <cellStyle name="40% - Accent2 5 6 2 2 2" xfId="14286" xr:uid="{00000000-0005-0000-0000-00008E590000}"/>
    <cellStyle name="40% - Accent2 5 6 2 2 3" xfId="21387" xr:uid="{00000000-0005-0000-0000-00008F590000}"/>
    <cellStyle name="40% - Accent2 5 6 2 2 4" xfId="28489" xr:uid="{00000000-0005-0000-0000-000090590000}"/>
    <cellStyle name="40% - Accent2 5 6 2 2 5" xfId="35591" xr:uid="{00000000-0005-0000-0000-000091590000}"/>
    <cellStyle name="40% - Accent2 5 6 2 3" xfId="10026" xr:uid="{00000000-0005-0000-0000-000092590000}"/>
    <cellStyle name="40% - Accent2 5 6 2 4" xfId="17127" xr:uid="{00000000-0005-0000-0000-000093590000}"/>
    <cellStyle name="40% - Accent2 5 6 2 5" xfId="24229" xr:uid="{00000000-0005-0000-0000-000094590000}"/>
    <cellStyle name="40% - Accent2 5 6 2 6" xfId="31331" xr:uid="{00000000-0005-0000-0000-000095590000}"/>
    <cellStyle name="40% - Accent2 5 6 2 7" xfId="38991" xr:uid="{00000000-0005-0000-0000-000096590000}"/>
    <cellStyle name="40% - Accent2 5 6 3" xfId="5765" xr:uid="{00000000-0005-0000-0000-000097590000}"/>
    <cellStyle name="40% - Accent2 5 6 3 2" xfId="12866" xr:uid="{00000000-0005-0000-0000-000098590000}"/>
    <cellStyle name="40% - Accent2 5 6 3 3" xfId="19967" xr:uid="{00000000-0005-0000-0000-000099590000}"/>
    <cellStyle name="40% - Accent2 5 6 3 4" xfId="27069" xr:uid="{00000000-0005-0000-0000-00009A590000}"/>
    <cellStyle name="40% - Accent2 5 6 3 5" xfId="34171" xr:uid="{00000000-0005-0000-0000-00009B590000}"/>
    <cellStyle name="40% - Accent2 5 6 4" xfId="4340" xr:uid="{00000000-0005-0000-0000-00009C590000}"/>
    <cellStyle name="40% - Accent2 5 6 4 2" xfId="11446" xr:uid="{00000000-0005-0000-0000-00009D590000}"/>
    <cellStyle name="40% - Accent2 5 6 4 3" xfId="18547" xr:uid="{00000000-0005-0000-0000-00009E590000}"/>
    <cellStyle name="40% - Accent2 5 6 4 4" xfId="25649" xr:uid="{00000000-0005-0000-0000-00009F590000}"/>
    <cellStyle name="40% - Accent2 5 6 4 5" xfId="32751" xr:uid="{00000000-0005-0000-0000-0000A0590000}"/>
    <cellStyle name="40% - Accent2 5 6 5" xfId="8606" xr:uid="{00000000-0005-0000-0000-0000A1590000}"/>
    <cellStyle name="40% - Accent2 5 6 6" xfId="15707" xr:uid="{00000000-0005-0000-0000-0000A2590000}"/>
    <cellStyle name="40% - Accent2 5 6 7" xfId="22809" xr:uid="{00000000-0005-0000-0000-0000A3590000}"/>
    <cellStyle name="40% - Accent2 5 6 8" xfId="29911" xr:uid="{00000000-0005-0000-0000-0000A4590000}"/>
    <cellStyle name="40% - Accent2 5 6 9" xfId="38992" xr:uid="{00000000-0005-0000-0000-0000A5590000}"/>
    <cellStyle name="40% - Accent2 5 7" xfId="1711" xr:uid="{00000000-0005-0000-0000-0000A6590000}"/>
    <cellStyle name="40% - Accent2 5 7 2" xfId="5979" xr:uid="{00000000-0005-0000-0000-0000A7590000}"/>
    <cellStyle name="40% - Accent2 5 7 2 2" xfId="13079" xr:uid="{00000000-0005-0000-0000-0000A8590000}"/>
    <cellStyle name="40% - Accent2 5 7 2 3" xfId="20180" xr:uid="{00000000-0005-0000-0000-0000A9590000}"/>
    <cellStyle name="40% - Accent2 5 7 2 4" xfId="27282" xr:uid="{00000000-0005-0000-0000-0000AA590000}"/>
    <cellStyle name="40% - Accent2 5 7 2 5" xfId="34384" xr:uid="{00000000-0005-0000-0000-0000AB590000}"/>
    <cellStyle name="40% - Accent2 5 7 3" xfId="8819" xr:uid="{00000000-0005-0000-0000-0000AC590000}"/>
    <cellStyle name="40% - Accent2 5 7 4" xfId="15920" xr:uid="{00000000-0005-0000-0000-0000AD590000}"/>
    <cellStyle name="40% - Accent2 5 7 5" xfId="23022" xr:uid="{00000000-0005-0000-0000-0000AE590000}"/>
    <cellStyle name="40% - Accent2 5 7 6" xfId="30124" xr:uid="{00000000-0005-0000-0000-0000AF590000}"/>
    <cellStyle name="40% - Accent2 5 7 7" xfId="38993" xr:uid="{00000000-0005-0000-0000-0000B0590000}"/>
    <cellStyle name="40% - Accent2 5 8" xfId="4558" xr:uid="{00000000-0005-0000-0000-0000B1590000}"/>
    <cellStyle name="40% - Accent2 5 8 2" xfId="11659" xr:uid="{00000000-0005-0000-0000-0000B2590000}"/>
    <cellStyle name="40% - Accent2 5 8 3" xfId="18760" xr:uid="{00000000-0005-0000-0000-0000B3590000}"/>
    <cellStyle name="40% - Accent2 5 8 4" xfId="25862" xr:uid="{00000000-0005-0000-0000-0000B4590000}"/>
    <cellStyle name="40% - Accent2 5 8 5" xfId="32964" xr:uid="{00000000-0005-0000-0000-0000B5590000}"/>
    <cellStyle name="40% - Accent2 5 9" xfId="3133" xr:uid="{00000000-0005-0000-0000-0000B6590000}"/>
    <cellStyle name="40% - Accent2 5 9 2" xfId="10239" xr:uid="{00000000-0005-0000-0000-0000B7590000}"/>
    <cellStyle name="40% - Accent2 5 9 3" xfId="17340" xr:uid="{00000000-0005-0000-0000-0000B8590000}"/>
    <cellStyle name="40% - Accent2 5 9 4" xfId="24442" xr:uid="{00000000-0005-0000-0000-0000B9590000}"/>
    <cellStyle name="40% - Accent2 5 9 5" xfId="31544" xr:uid="{00000000-0005-0000-0000-0000BA590000}"/>
    <cellStyle name="40% - Accent2 6" xfId="148" xr:uid="{00000000-0005-0000-0000-0000BB590000}"/>
    <cellStyle name="40% - Accent2 6 10" xfId="7328" xr:uid="{00000000-0005-0000-0000-0000BC590000}"/>
    <cellStyle name="40% - Accent2 6 11" xfId="14429" xr:uid="{00000000-0005-0000-0000-0000BD590000}"/>
    <cellStyle name="40% - Accent2 6 12" xfId="21531" xr:uid="{00000000-0005-0000-0000-0000BE590000}"/>
    <cellStyle name="40% - Accent2 6 13" xfId="28633" xr:uid="{00000000-0005-0000-0000-0000BF590000}"/>
    <cellStyle name="40% - Accent2 6 14" xfId="35735" xr:uid="{00000000-0005-0000-0000-0000C0590000}"/>
    <cellStyle name="40% - Accent2 6 15" xfId="38994" xr:uid="{00000000-0005-0000-0000-0000C1590000}"/>
    <cellStyle name="40% - Accent2 6 2" xfId="362" xr:uid="{00000000-0005-0000-0000-0000C2590000}"/>
    <cellStyle name="40% - Accent2 6 2 2" xfId="1853" xr:uid="{00000000-0005-0000-0000-0000C3590000}"/>
    <cellStyle name="40% - Accent2 6 2 2 2" xfId="6121" xr:uid="{00000000-0005-0000-0000-0000C4590000}"/>
    <cellStyle name="40% - Accent2 6 2 2 2 2" xfId="13221" xr:uid="{00000000-0005-0000-0000-0000C5590000}"/>
    <cellStyle name="40% - Accent2 6 2 2 2 3" xfId="20322" xr:uid="{00000000-0005-0000-0000-0000C6590000}"/>
    <cellStyle name="40% - Accent2 6 2 2 2 4" xfId="27424" xr:uid="{00000000-0005-0000-0000-0000C7590000}"/>
    <cellStyle name="40% - Accent2 6 2 2 2 5" xfId="34526" xr:uid="{00000000-0005-0000-0000-0000C8590000}"/>
    <cellStyle name="40% - Accent2 6 2 2 2 6" xfId="38995" xr:uid="{00000000-0005-0000-0000-0000C9590000}"/>
    <cellStyle name="40% - Accent2 6 2 2 3" xfId="8961" xr:uid="{00000000-0005-0000-0000-0000CA590000}"/>
    <cellStyle name="40% - Accent2 6 2 2 4" xfId="16062" xr:uid="{00000000-0005-0000-0000-0000CB590000}"/>
    <cellStyle name="40% - Accent2 6 2 2 5" xfId="23164" xr:uid="{00000000-0005-0000-0000-0000CC590000}"/>
    <cellStyle name="40% - Accent2 6 2 2 6" xfId="30266" xr:uid="{00000000-0005-0000-0000-0000CD590000}"/>
    <cellStyle name="40% - Accent2 6 2 2 7" xfId="38996" xr:uid="{00000000-0005-0000-0000-0000CE590000}"/>
    <cellStyle name="40% - Accent2 6 2 3" xfId="4700" xr:uid="{00000000-0005-0000-0000-0000CF590000}"/>
    <cellStyle name="40% - Accent2 6 2 3 2" xfId="11801" xr:uid="{00000000-0005-0000-0000-0000D0590000}"/>
    <cellStyle name="40% - Accent2 6 2 3 2 2" xfId="38997" xr:uid="{00000000-0005-0000-0000-0000D1590000}"/>
    <cellStyle name="40% - Accent2 6 2 3 3" xfId="18902" xr:uid="{00000000-0005-0000-0000-0000D2590000}"/>
    <cellStyle name="40% - Accent2 6 2 3 4" xfId="26004" xr:uid="{00000000-0005-0000-0000-0000D3590000}"/>
    <cellStyle name="40% - Accent2 6 2 3 5" xfId="33106" xr:uid="{00000000-0005-0000-0000-0000D4590000}"/>
    <cellStyle name="40% - Accent2 6 2 3 6" xfId="38998" xr:uid="{00000000-0005-0000-0000-0000D5590000}"/>
    <cellStyle name="40% - Accent2 6 2 4" xfId="3275" xr:uid="{00000000-0005-0000-0000-0000D6590000}"/>
    <cellStyle name="40% - Accent2 6 2 4 2" xfId="10381" xr:uid="{00000000-0005-0000-0000-0000D7590000}"/>
    <cellStyle name="40% - Accent2 6 2 4 3" xfId="17482" xr:uid="{00000000-0005-0000-0000-0000D8590000}"/>
    <cellStyle name="40% - Accent2 6 2 4 4" xfId="24584" xr:uid="{00000000-0005-0000-0000-0000D9590000}"/>
    <cellStyle name="40% - Accent2 6 2 4 5" xfId="31686" xr:uid="{00000000-0005-0000-0000-0000DA590000}"/>
    <cellStyle name="40% - Accent2 6 2 4 6" xfId="38999" xr:uid="{00000000-0005-0000-0000-0000DB590000}"/>
    <cellStyle name="40% - Accent2 6 2 5" xfId="7541" xr:uid="{00000000-0005-0000-0000-0000DC590000}"/>
    <cellStyle name="40% - Accent2 6 2 6" xfId="14642" xr:uid="{00000000-0005-0000-0000-0000DD590000}"/>
    <cellStyle name="40% - Accent2 6 2 7" xfId="21744" xr:uid="{00000000-0005-0000-0000-0000DE590000}"/>
    <cellStyle name="40% - Accent2 6 2 8" xfId="28846" xr:uid="{00000000-0005-0000-0000-0000DF590000}"/>
    <cellStyle name="40% - Accent2 6 2 9" xfId="39000" xr:uid="{00000000-0005-0000-0000-0000E0590000}"/>
    <cellStyle name="40% - Accent2 6 3" xfId="575" xr:uid="{00000000-0005-0000-0000-0000E1590000}"/>
    <cellStyle name="40% - Accent2 6 3 2" xfId="2066" xr:uid="{00000000-0005-0000-0000-0000E2590000}"/>
    <cellStyle name="40% - Accent2 6 3 2 2" xfId="6334" xr:uid="{00000000-0005-0000-0000-0000E3590000}"/>
    <cellStyle name="40% - Accent2 6 3 2 2 2" xfId="13434" xr:uid="{00000000-0005-0000-0000-0000E4590000}"/>
    <cellStyle name="40% - Accent2 6 3 2 2 3" xfId="20535" xr:uid="{00000000-0005-0000-0000-0000E5590000}"/>
    <cellStyle name="40% - Accent2 6 3 2 2 4" xfId="27637" xr:uid="{00000000-0005-0000-0000-0000E6590000}"/>
    <cellStyle name="40% - Accent2 6 3 2 2 5" xfId="34739" xr:uid="{00000000-0005-0000-0000-0000E7590000}"/>
    <cellStyle name="40% - Accent2 6 3 2 2 6" xfId="39001" xr:uid="{00000000-0005-0000-0000-0000E8590000}"/>
    <cellStyle name="40% - Accent2 6 3 2 3" xfId="9174" xr:uid="{00000000-0005-0000-0000-0000E9590000}"/>
    <cellStyle name="40% - Accent2 6 3 2 4" xfId="16275" xr:uid="{00000000-0005-0000-0000-0000EA590000}"/>
    <cellStyle name="40% - Accent2 6 3 2 5" xfId="23377" xr:uid="{00000000-0005-0000-0000-0000EB590000}"/>
    <cellStyle name="40% - Accent2 6 3 2 6" xfId="30479" xr:uid="{00000000-0005-0000-0000-0000EC590000}"/>
    <cellStyle name="40% - Accent2 6 3 2 7" xfId="39002" xr:uid="{00000000-0005-0000-0000-0000ED590000}"/>
    <cellStyle name="40% - Accent2 6 3 3" xfId="4913" xr:uid="{00000000-0005-0000-0000-0000EE590000}"/>
    <cellStyle name="40% - Accent2 6 3 3 2" xfId="12014" xr:uid="{00000000-0005-0000-0000-0000EF590000}"/>
    <cellStyle name="40% - Accent2 6 3 3 2 2" xfId="39003" xr:uid="{00000000-0005-0000-0000-0000F0590000}"/>
    <cellStyle name="40% - Accent2 6 3 3 3" xfId="19115" xr:uid="{00000000-0005-0000-0000-0000F1590000}"/>
    <cellStyle name="40% - Accent2 6 3 3 4" xfId="26217" xr:uid="{00000000-0005-0000-0000-0000F2590000}"/>
    <cellStyle name="40% - Accent2 6 3 3 5" xfId="33319" xr:uid="{00000000-0005-0000-0000-0000F3590000}"/>
    <cellStyle name="40% - Accent2 6 3 3 6" xfId="39004" xr:uid="{00000000-0005-0000-0000-0000F4590000}"/>
    <cellStyle name="40% - Accent2 6 3 4" xfId="3488" xr:uid="{00000000-0005-0000-0000-0000F5590000}"/>
    <cellStyle name="40% - Accent2 6 3 4 2" xfId="10594" xr:uid="{00000000-0005-0000-0000-0000F6590000}"/>
    <cellStyle name="40% - Accent2 6 3 4 3" xfId="17695" xr:uid="{00000000-0005-0000-0000-0000F7590000}"/>
    <cellStyle name="40% - Accent2 6 3 4 4" xfId="24797" xr:uid="{00000000-0005-0000-0000-0000F8590000}"/>
    <cellStyle name="40% - Accent2 6 3 4 5" xfId="31899" xr:uid="{00000000-0005-0000-0000-0000F9590000}"/>
    <cellStyle name="40% - Accent2 6 3 4 6" xfId="39005" xr:uid="{00000000-0005-0000-0000-0000FA590000}"/>
    <cellStyle name="40% - Accent2 6 3 5" xfId="7754" xr:uid="{00000000-0005-0000-0000-0000FB590000}"/>
    <cellStyle name="40% - Accent2 6 3 6" xfId="14855" xr:uid="{00000000-0005-0000-0000-0000FC590000}"/>
    <cellStyle name="40% - Accent2 6 3 7" xfId="21957" xr:uid="{00000000-0005-0000-0000-0000FD590000}"/>
    <cellStyle name="40% - Accent2 6 3 8" xfId="29059" xr:uid="{00000000-0005-0000-0000-0000FE590000}"/>
    <cellStyle name="40% - Accent2 6 3 9" xfId="39006" xr:uid="{00000000-0005-0000-0000-0000FF590000}"/>
    <cellStyle name="40% - Accent2 6 4" xfId="788" xr:uid="{00000000-0005-0000-0000-0000005A0000}"/>
    <cellStyle name="40% - Accent2 6 4 2" xfId="2279" xr:uid="{00000000-0005-0000-0000-0000015A0000}"/>
    <cellStyle name="40% - Accent2 6 4 2 2" xfId="6547" xr:uid="{00000000-0005-0000-0000-0000025A0000}"/>
    <cellStyle name="40% - Accent2 6 4 2 2 2" xfId="13647" xr:uid="{00000000-0005-0000-0000-0000035A0000}"/>
    <cellStyle name="40% - Accent2 6 4 2 2 3" xfId="20748" xr:uid="{00000000-0005-0000-0000-0000045A0000}"/>
    <cellStyle name="40% - Accent2 6 4 2 2 4" xfId="27850" xr:uid="{00000000-0005-0000-0000-0000055A0000}"/>
    <cellStyle name="40% - Accent2 6 4 2 2 5" xfId="34952" xr:uid="{00000000-0005-0000-0000-0000065A0000}"/>
    <cellStyle name="40% - Accent2 6 4 2 2 6" xfId="39007" xr:uid="{00000000-0005-0000-0000-0000075A0000}"/>
    <cellStyle name="40% - Accent2 6 4 2 3" xfId="9387" xr:uid="{00000000-0005-0000-0000-0000085A0000}"/>
    <cellStyle name="40% - Accent2 6 4 2 4" xfId="16488" xr:uid="{00000000-0005-0000-0000-0000095A0000}"/>
    <cellStyle name="40% - Accent2 6 4 2 5" xfId="23590" xr:uid="{00000000-0005-0000-0000-00000A5A0000}"/>
    <cellStyle name="40% - Accent2 6 4 2 6" xfId="30692" xr:uid="{00000000-0005-0000-0000-00000B5A0000}"/>
    <cellStyle name="40% - Accent2 6 4 2 7" xfId="39008" xr:uid="{00000000-0005-0000-0000-00000C5A0000}"/>
    <cellStyle name="40% - Accent2 6 4 3" xfId="5126" xr:uid="{00000000-0005-0000-0000-00000D5A0000}"/>
    <cellStyle name="40% - Accent2 6 4 3 2" xfId="12227" xr:uid="{00000000-0005-0000-0000-00000E5A0000}"/>
    <cellStyle name="40% - Accent2 6 4 3 2 2" xfId="39009" xr:uid="{00000000-0005-0000-0000-00000F5A0000}"/>
    <cellStyle name="40% - Accent2 6 4 3 3" xfId="19328" xr:uid="{00000000-0005-0000-0000-0000105A0000}"/>
    <cellStyle name="40% - Accent2 6 4 3 4" xfId="26430" xr:uid="{00000000-0005-0000-0000-0000115A0000}"/>
    <cellStyle name="40% - Accent2 6 4 3 5" xfId="33532" xr:uid="{00000000-0005-0000-0000-0000125A0000}"/>
    <cellStyle name="40% - Accent2 6 4 3 6" xfId="39010" xr:uid="{00000000-0005-0000-0000-0000135A0000}"/>
    <cellStyle name="40% - Accent2 6 4 4" xfId="3701" xr:uid="{00000000-0005-0000-0000-0000145A0000}"/>
    <cellStyle name="40% - Accent2 6 4 4 2" xfId="10807" xr:uid="{00000000-0005-0000-0000-0000155A0000}"/>
    <cellStyle name="40% - Accent2 6 4 4 3" xfId="17908" xr:uid="{00000000-0005-0000-0000-0000165A0000}"/>
    <cellStyle name="40% - Accent2 6 4 4 4" xfId="25010" xr:uid="{00000000-0005-0000-0000-0000175A0000}"/>
    <cellStyle name="40% - Accent2 6 4 4 5" xfId="32112" xr:uid="{00000000-0005-0000-0000-0000185A0000}"/>
    <cellStyle name="40% - Accent2 6 4 4 6" xfId="39011" xr:uid="{00000000-0005-0000-0000-0000195A0000}"/>
    <cellStyle name="40% - Accent2 6 4 5" xfId="7967" xr:uid="{00000000-0005-0000-0000-00001A5A0000}"/>
    <cellStyle name="40% - Accent2 6 4 6" xfId="15068" xr:uid="{00000000-0005-0000-0000-00001B5A0000}"/>
    <cellStyle name="40% - Accent2 6 4 7" xfId="22170" xr:uid="{00000000-0005-0000-0000-00001C5A0000}"/>
    <cellStyle name="40% - Accent2 6 4 8" xfId="29272" xr:uid="{00000000-0005-0000-0000-00001D5A0000}"/>
    <cellStyle name="40% - Accent2 6 4 9" xfId="39012" xr:uid="{00000000-0005-0000-0000-00001E5A0000}"/>
    <cellStyle name="40% - Accent2 6 5" xfId="1143" xr:uid="{00000000-0005-0000-0000-00001F5A0000}"/>
    <cellStyle name="40% - Accent2 6 5 2" xfId="2634" xr:uid="{00000000-0005-0000-0000-0000205A0000}"/>
    <cellStyle name="40% - Accent2 6 5 2 2" xfId="6902" xr:uid="{00000000-0005-0000-0000-0000215A0000}"/>
    <cellStyle name="40% - Accent2 6 5 2 2 2" xfId="14002" xr:uid="{00000000-0005-0000-0000-0000225A0000}"/>
    <cellStyle name="40% - Accent2 6 5 2 2 3" xfId="21103" xr:uid="{00000000-0005-0000-0000-0000235A0000}"/>
    <cellStyle name="40% - Accent2 6 5 2 2 4" xfId="28205" xr:uid="{00000000-0005-0000-0000-0000245A0000}"/>
    <cellStyle name="40% - Accent2 6 5 2 2 5" xfId="35307" xr:uid="{00000000-0005-0000-0000-0000255A0000}"/>
    <cellStyle name="40% - Accent2 6 5 2 3" xfId="9742" xr:uid="{00000000-0005-0000-0000-0000265A0000}"/>
    <cellStyle name="40% - Accent2 6 5 2 4" xfId="16843" xr:uid="{00000000-0005-0000-0000-0000275A0000}"/>
    <cellStyle name="40% - Accent2 6 5 2 5" xfId="23945" xr:uid="{00000000-0005-0000-0000-0000285A0000}"/>
    <cellStyle name="40% - Accent2 6 5 2 6" xfId="31047" xr:uid="{00000000-0005-0000-0000-0000295A0000}"/>
    <cellStyle name="40% - Accent2 6 5 2 7" xfId="39013" xr:uid="{00000000-0005-0000-0000-00002A5A0000}"/>
    <cellStyle name="40% - Accent2 6 5 3" xfId="5481" xr:uid="{00000000-0005-0000-0000-00002B5A0000}"/>
    <cellStyle name="40% - Accent2 6 5 3 2" xfId="12582" xr:uid="{00000000-0005-0000-0000-00002C5A0000}"/>
    <cellStyle name="40% - Accent2 6 5 3 3" xfId="19683" xr:uid="{00000000-0005-0000-0000-00002D5A0000}"/>
    <cellStyle name="40% - Accent2 6 5 3 4" xfId="26785" xr:uid="{00000000-0005-0000-0000-00002E5A0000}"/>
    <cellStyle name="40% - Accent2 6 5 3 5" xfId="33887" xr:uid="{00000000-0005-0000-0000-00002F5A0000}"/>
    <cellStyle name="40% - Accent2 6 5 4" xfId="4056" xr:uid="{00000000-0005-0000-0000-0000305A0000}"/>
    <cellStyle name="40% - Accent2 6 5 4 2" xfId="11162" xr:uid="{00000000-0005-0000-0000-0000315A0000}"/>
    <cellStyle name="40% - Accent2 6 5 4 3" xfId="18263" xr:uid="{00000000-0005-0000-0000-0000325A0000}"/>
    <cellStyle name="40% - Accent2 6 5 4 4" xfId="25365" xr:uid="{00000000-0005-0000-0000-0000335A0000}"/>
    <cellStyle name="40% - Accent2 6 5 4 5" xfId="32467" xr:uid="{00000000-0005-0000-0000-0000345A0000}"/>
    <cellStyle name="40% - Accent2 6 5 5" xfId="8322" xr:uid="{00000000-0005-0000-0000-0000355A0000}"/>
    <cellStyle name="40% - Accent2 6 5 6" xfId="15423" xr:uid="{00000000-0005-0000-0000-0000365A0000}"/>
    <cellStyle name="40% - Accent2 6 5 7" xfId="22525" xr:uid="{00000000-0005-0000-0000-0000375A0000}"/>
    <cellStyle name="40% - Accent2 6 5 8" xfId="29627" xr:uid="{00000000-0005-0000-0000-0000385A0000}"/>
    <cellStyle name="40% - Accent2 6 5 9" xfId="39014" xr:uid="{00000000-0005-0000-0000-0000395A0000}"/>
    <cellStyle name="40% - Accent2 6 6" xfId="1356" xr:uid="{00000000-0005-0000-0000-00003A5A0000}"/>
    <cellStyle name="40% - Accent2 6 6 2" xfId="2847" xr:uid="{00000000-0005-0000-0000-00003B5A0000}"/>
    <cellStyle name="40% - Accent2 6 6 2 2" xfId="7115" xr:uid="{00000000-0005-0000-0000-00003C5A0000}"/>
    <cellStyle name="40% - Accent2 6 6 2 2 2" xfId="14215" xr:uid="{00000000-0005-0000-0000-00003D5A0000}"/>
    <cellStyle name="40% - Accent2 6 6 2 2 3" xfId="21316" xr:uid="{00000000-0005-0000-0000-00003E5A0000}"/>
    <cellStyle name="40% - Accent2 6 6 2 2 4" xfId="28418" xr:uid="{00000000-0005-0000-0000-00003F5A0000}"/>
    <cellStyle name="40% - Accent2 6 6 2 2 5" xfId="35520" xr:uid="{00000000-0005-0000-0000-0000405A0000}"/>
    <cellStyle name="40% - Accent2 6 6 2 3" xfId="9955" xr:uid="{00000000-0005-0000-0000-0000415A0000}"/>
    <cellStyle name="40% - Accent2 6 6 2 4" xfId="17056" xr:uid="{00000000-0005-0000-0000-0000425A0000}"/>
    <cellStyle name="40% - Accent2 6 6 2 5" xfId="24158" xr:uid="{00000000-0005-0000-0000-0000435A0000}"/>
    <cellStyle name="40% - Accent2 6 6 2 6" xfId="31260" xr:uid="{00000000-0005-0000-0000-0000445A0000}"/>
    <cellStyle name="40% - Accent2 6 6 2 7" xfId="39015" xr:uid="{00000000-0005-0000-0000-0000455A0000}"/>
    <cellStyle name="40% - Accent2 6 6 3" xfId="5694" xr:uid="{00000000-0005-0000-0000-0000465A0000}"/>
    <cellStyle name="40% - Accent2 6 6 3 2" xfId="12795" xr:uid="{00000000-0005-0000-0000-0000475A0000}"/>
    <cellStyle name="40% - Accent2 6 6 3 3" xfId="19896" xr:uid="{00000000-0005-0000-0000-0000485A0000}"/>
    <cellStyle name="40% - Accent2 6 6 3 4" xfId="26998" xr:uid="{00000000-0005-0000-0000-0000495A0000}"/>
    <cellStyle name="40% - Accent2 6 6 3 5" xfId="34100" xr:uid="{00000000-0005-0000-0000-00004A5A0000}"/>
    <cellStyle name="40% - Accent2 6 6 4" xfId="4269" xr:uid="{00000000-0005-0000-0000-00004B5A0000}"/>
    <cellStyle name="40% - Accent2 6 6 4 2" xfId="11375" xr:uid="{00000000-0005-0000-0000-00004C5A0000}"/>
    <cellStyle name="40% - Accent2 6 6 4 3" xfId="18476" xr:uid="{00000000-0005-0000-0000-00004D5A0000}"/>
    <cellStyle name="40% - Accent2 6 6 4 4" xfId="25578" xr:uid="{00000000-0005-0000-0000-00004E5A0000}"/>
    <cellStyle name="40% - Accent2 6 6 4 5" xfId="32680" xr:uid="{00000000-0005-0000-0000-00004F5A0000}"/>
    <cellStyle name="40% - Accent2 6 6 5" xfId="8535" xr:uid="{00000000-0005-0000-0000-0000505A0000}"/>
    <cellStyle name="40% - Accent2 6 6 6" xfId="15636" xr:uid="{00000000-0005-0000-0000-0000515A0000}"/>
    <cellStyle name="40% - Accent2 6 6 7" xfId="22738" xr:uid="{00000000-0005-0000-0000-0000525A0000}"/>
    <cellStyle name="40% - Accent2 6 6 8" xfId="29840" xr:uid="{00000000-0005-0000-0000-0000535A0000}"/>
    <cellStyle name="40% - Accent2 6 6 9" xfId="39016" xr:uid="{00000000-0005-0000-0000-0000545A0000}"/>
    <cellStyle name="40% - Accent2 6 7" xfId="1640" xr:uid="{00000000-0005-0000-0000-0000555A0000}"/>
    <cellStyle name="40% - Accent2 6 7 2" xfId="5908" xr:uid="{00000000-0005-0000-0000-0000565A0000}"/>
    <cellStyle name="40% - Accent2 6 7 2 2" xfId="13008" xr:uid="{00000000-0005-0000-0000-0000575A0000}"/>
    <cellStyle name="40% - Accent2 6 7 2 3" xfId="20109" xr:uid="{00000000-0005-0000-0000-0000585A0000}"/>
    <cellStyle name="40% - Accent2 6 7 2 4" xfId="27211" xr:uid="{00000000-0005-0000-0000-0000595A0000}"/>
    <cellStyle name="40% - Accent2 6 7 2 5" xfId="34313" xr:uid="{00000000-0005-0000-0000-00005A5A0000}"/>
    <cellStyle name="40% - Accent2 6 7 3" xfId="8748" xr:uid="{00000000-0005-0000-0000-00005B5A0000}"/>
    <cellStyle name="40% - Accent2 6 7 4" xfId="15849" xr:uid="{00000000-0005-0000-0000-00005C5A0000}"/>
    <cellStyle name="40% - Accent2 6 7 5" xfId="22951" xr:uid="{00000000-0005-0000-0000-00005D5A0000}"/>
    <cellStyle name="40% - Accent2 6 7 6" xfId="30053" xr:uid="{00000000-0005-0000-0000-00005E5A0000}"/>
    <cellStyle name="40% - Accent2 6 7 7" xfId="39017" xr:uid="{00000000-0005-0000-0000-00005F5A0000}"/>
    <cellStyle name="40% - Accent2 6 8" xfId="4487" xr:uid="{00000000-0005-0000-0000-0000605A0000}"/>
    <cellStyle name="40% - Accent2 6 8 2" xfId="11588" xr:uid="{00000000-0005-0000-0000-0000615A0000}"/>
    <cellStyle name="40% - Accent2 6 8 3" xfId="18689" xr:uid="{00000000-0005-0000-0000-0000625A0000}"/>
    <cellStyle name="40% - Accent2 6 8 4" xfId="25791" xr:uid="{00000000-0005-0000-0000-0000635A0000}"/>
    <cellStyle name="40% - Accent2 6 8 5" xfId="32893" xr:uid="{00000000-0005-0000-0000-0000645A0000}"/>
    <cellStyle name="40% - Accent2 6 9" xfId="3062" xr:uid="{00000000-0005-0000-0000-0000655A0000}"/>
    <cellStyle name="40% - Accent2 6 9 2" xfId="10168" xr:uid="{00000000-0005-0000-0000-0000665A0000}"/>
    <cellStyle name="40% - Accent2 6 9 3" xfId="17269" xr:uid="{00000000-0005-0000-0000-0000675A0000}"/>
    <cellStyle name="40% - Accent2 6 9 4" xfId="24371" xr:uid="{00000000-0005-0000-0000-0000685A0000}"/>
    <cellStyle name="40% - Accent2 6 9 5" xfId="31473" xr:uid="{00000000-0005-0000-0000-0000695A0000}"/>
    <cellStyle name="40% - Accent2 7" xfId="291" xr:uid="{00000000-0005-0000-0000-00006A5A0000}"/>
    <cellStyle name="40% - Accent2 7 10" xfId="39018" xr:uid="{00000000-0005-0000-0000-00006B5A0000}"/>
    <cellStyle name="40% - Accent2 7 2" xfId="1072" xr:uid="{00000000-0005-0000-0000-00006C5A0000}"/>
    <cellStyle name="40% - Accent2 7 2 2" xfId="2563" xr:uid="{00000000-0005-0000-0000-00006D5A0000}"/>
    <cellStyle name="40% - Accent2 7 2 2 2" xfId="6831" xr:uid="{00000000-0005-0000-0000-00006E5A0000}"/>
    <cellStyle name="40% - Accent2 7 2 2 2 2" xfId="13931" xr:uid="{00000000-0005-0000-0000-00006F5A0000}"/>
    <cellStyle name="40% - Accent2 7 2 2 2 3" xfId="21032" xr:uid="{00000000-0005-0000-0000-0000705A0000}"/>
    <cellStyle name="40% - Accent2 7 2 2 2 4" xfId="28134" xr:uid="{00000000-0005-0000-0000-0000715A0000}"/>
    <cellStyle name="40% - Accent2 7 2 2 2 5" xfId="35236" xr:uid="{00000000-0005-0000-0000-0000725A0000}"/>
    <cellStyle name="40% - Accent2 7 2 2 3" xfId="9671" xr:uid="{00000000-0005-0000-0000-0000735A0000}"/>
    <cellStyle name="40% - Accent2 7 2 2 4" xfId="16772" xr:uid="{00000000-0005-0000-0000-0000745A0000}"/>
    <cellStyle name="40% - Accent2 7 2 2 5" xfId="23874" xr:uid="{00000000-0005-0000-0000-0000755A0000}"/>
    <cellStyle name="40% - Accent2 7 2 2 6" xfId="30976" xr:uid="{00000000-0005-0000-0000-0000765A0000}"/>
    <cellStyle name="40% - Accent2 7 2 2 7" xfId="39019" xr:uid="{00000000-0005-0000-0000-0000775A0000}"/>
    <cellStyle name="40% - Accent2 7 2 3" xfId="5410" xr:uid="{00000000-0005-0000-0000-0000785A0000}"/>
    <cellStyle name="40% - Accent2 7 2 3 2" xfId="12511" xr:uid="{00000000-0005-0000-0000-0000795A0000}"/>
    <cellStyle name="40% - Accent2 7 2 3 3" xfId="19612" xr:uid="{00000000-0005-0000-0000-00007A5A0000}"/>
    <cellStyle name="40% - Accent2 7 2 3 4" xfId="26714" xr:uid="{00000000-0005-0000-0000-00007B5A0000}"/>
    <cellStyle name="40% - Accent2 7 2 3 5" xfId="33816" xr:uid="{00000000-0005-0000-0000-00007C5A0000}"/>
    <cellStyle name="40% - Accent2 7 2 4" xfId="3985" xr:uid="{00000000-0005-0000-0000-00007D5A0000}"/>
    <cellStyle name="40% - Accent2 7 2 4 2" xfId="11091" xr:uid="{00000000-0005-0000-0000-00007E5A0000}"/>
    <cellStyle name="40% - Accent2 7 2 4 3" xfId="18192" xr:uid="{00000000-0005-0000-0000-00007F5A0000}"/>
    <cellStyle name="40% - Accent2 7 2 4 4" xfId="25294" xr:uid="{00000000-0005-0000-0000-0000805A0000}"/>
    <cellStyle name="40% - Accent2 7 2 4 5" xfId="32396" xr:uid="{00000000-0005-0000-0000-0000815A0000}"/>
    <cellStyle name="40% - Accent2 7 2 5" xfId="8251" xr:uid="{00000000-0005-0000-0000-0000825A0000}"/>
    <cellStyle name="40% - Accent2 7 2 6" xfId="15352" xr:uid="{00000000-0005-0000-0000-0000835A0000}"/>
    <cellStyle name="40% - Accent2 7 2 7" xfId="22454" xr:uid="{00000000-0005-0000-0000-0000845A0000}"/>
    <cellStyle name="40% - Accent2 7 2 8" xfId="29556" xr:uid="{00000000-0005-0000-0000-0000855A0000}"/>
    <cellStyle name="40% - Accent2 7 2 9" xfId="39020" xr:uid="{00000000-0005-0000-0000-0000865A0000}"/>
    <cellStyle name="40% - Accent2 7 3" xfId="1782" xr:uid="{00000000-0005-0000-0000-0000875A0000}"/>
    <cellStyle name="40% - Accent2 7 3 2" xfId="6050" xr:uid="{00000000-0005-0000-0000-0000885A0000}"/>
    <cellStyle name="40% - Accent2 7 3 2 2" xfId="13150" xr:uid="{00000000-0005-0000-0000-0000895A0000}"/>
    <cellStyle name="40% - Accent2 7 3 2 3" xfId="20251" xr:uid="{00000000-0005-0000-0000-00008A5A0000}"/>
    <cellStyle name="40% - Accent2 7 3 2 4" xfId="27353" xr:uid="{00000000-0005-0000-0000-00008B5A0000}"/>
    <cellStyle name="40% - Accent2 7 3 2 5" xfId="34455" xr:uid="{00000000-0005-0000-0000-00008C5A0000}"/>
    <cellStyle name="40% - Accent2 7 3 2 6" xfId="39021" xr:uid="{00000000-0005-0000-0000-00008D5A0000}"/>
    <cellStyle name="40% - Accent2 7 3 3" xfId="8890" xr:uid="{00000000-0005-0000-0000-00008E5A0000}"/>
    <cellStyle name="40% - Accent2 7 3 4" xfId="15991" xr:uid="{00000000-0005-0000-0000-00008F5A0000}"/>
    <cellStyle name="40% - Accent2 7 3 5" xfId="23093" xr:uid="{00000000-0005-0000-0000-0000905A0000}"/>
    <cellStyle name="40% - Accent2 7 3 6" xfId="30195" xr:uid="{00000000-0005-0000-0000-0000915A0000}"/>
    <cellStyle name="40% - Accent2 7 3 7" xfId="39022" xr:uid="{00000000-0005-0000-0000-0000925A0000}"/>
    <cellStyle name="40% - Accent2 7 4" xfId="4629" xr:uid="{00000000-0005-0000-0000-0000935A0000}"/>
    <cellStyle name="40% - Accent2 7 4 2" xfId="11730" xr:uid="{00000000-0005-0000-0000-0000945A0000}"/>
    <cellStyle name="40% - Accent2 7 4 3" xfId="18831" xr:uid="{00000000-0005-0000-0000-0000955A0000}"/>
    <cellStyle name="40% - Accent2 7 4 4" xfId="25933" xr:uid="{00000000-0005-0000-0000-0000965A0000}"/>
    <cellStyle name="40% - Accent2 7 4 5" xfId="33035" xr:uid="{00000000-0005-0000-0000-0000975A0000}"/>
    <cellStyle name="40% - Accent2 7 4 6" xfId="39023" xr:uid="{00000000-0005-0000-0000-0000985A0000}"/>
    <cellStyle name="40% - Accent2 7 5" xfId="3204" xr:uid="{00000000-0005-0000-0000-0000995A0000}"/>
    <cellStyle name="40% - Accent2 7 5 2" xfId="10310" xr:uid="{00000000-0005-0000-0000-00009A5A0000}"/>
    <cellStyle name="40% - Accent2 7 5 3" xfId="17411" xr:uid="{00000000-0005-0000-0000-00009B5A0000}"/>
    <cellStyle name="40% - Accent2 7 5 4" xfId="24513" xr:uid="{00000000-0005-0000-0000-00009C5A0000}"/>
    <cellStyle name="40% - Accent2 7 5 5" xfId="31615" xr:uid="{00000000-0005-0000-0000-00009D5A0000}"/>
    <cellStyle name="40% - Accent2 7 6" xfId="7470" xr:uid="{00000000-0005-0000-0000-00009E5A0000}"/>
    <cellStyle name="40% - Accent2 7 7" xfId="14571" xr:uid="{00000000-0005-0000-0000-00009F5A0000}"/>
    <cellStyle name="40% - Accent2 7 8" xfId="21673" xr:uid="{00000000-0005-0000-0000-0000A05A0000}"/>
    <cellStyle name="40% - Accent2 7 9" xfId="28775" xr:uid="{00000000-0005-0000-0000-0000A15A0000}"/>
    <cellStyle name="40% - Accent2 8" xfId="504" xr:uid="{00000000-0005-0000-0000-0000A25A0000}"/>
    <cellStyle name="40% - Accent2 8 2" xfId="1995" xr:uid="{00000000-0005-0000-0000-0000A35A0000}"/>
    <cellStyle name="40% - Accent2 8 2 2" xfId="6263" xr:uid="{00000000-0005-0000-0000-0000A45A0000}"/>
    <cellStyle name="40% - Accent2 8 2 2 2" xfId="13363" xr:uid="{00000000-0005-0000-0000-0000A55A0000}"/>
    <cellStyle name="40% - Accent2 8 2 2 3" xfId="20464" xr:uid="{00000000-0005-0000-0000-0000A65A0000}"/>
    <cellStyle name="40% - Accent2 8 2 2 4" xfId="27566" xr:uid="{00000000-0005-0000-0000-0000A75A0000}"/>
    <cellStyle name="40% - Accent2 8 2 2 5" xfId="34668" xr:uid="{00000000-0005-0000-0000-0000A85A0000}"/>
    <cellStyle name="40% - Accent2 8 2 2 6" xfId="39024" xr:uid="{00000000-0005-0000-0000-0000A95A0000}"/>
    <cellStyle name="40% - Accent2 8 2 3" xfId="9103" xr:uid="{00000000-0005-0000-0000-0000AA5A0000}"/>
    <cellStyle name="40% - Accent2 8 2 4" xfId="16204" xr:uid="{00000000-0005-0000-0000-0000AB5A0000}"/>
    <cellStyle name="40% - Accent2 8 2 5" xfId="23306" xr:uid="{00000000-0005-0000-0000-0000AC5A0000}"/>
    <cellStyle name="40% - Accent2 8 2 6" xfId="30408" xr:uid="{00000000-0005-0000-0000-0000AD5A0000}"/>
    <cellStyle name="40% - Accent2 8 2 7" xfId="39025" xr:uid="{00000000-0005-0000-0000-0000AE5A0000}"/>
    <cellStyle name="40% - Accent2 8 3" xfId="4842" xr:uid="{00000000-0005-0000-0000-0000AF5A0000}"/>
    <cellStyle name="40% - Accent2 8 3 2" xfId="11943" xr:uid="{00000000-0005-0000-0000-0000B05A0000}"/>
    <cellStyle name="40% - Accent2 8 3 2 2" xfId="39026" xr:uid="{00000000-0005-0000-0000-0000B15A0000}"/>
    <cellStyle name="40% - Accent2 8 3 3" xfId="19044" xr:uid="{00000000-0005-0000-0000-0000B25A0000}"/>
    <cellStyle name="40% - Accent2 8 3 4" xfId="26146" xr:uid="{00000000-0005-0000-0000-0000B35A0000}"/>
    <cellStyle name="40% - Accent2 8 3 5" xfId="33248" xr:uid="{00000000-0005-0000-0000-0000B45A0000}"/>
    <cellStyle name="40% - Accent2 8 3 6" xfId="39027" xr:uid="{00000000-0005-0000-0000-0000B55A0000}"/>
    <cellStyle name="40% - Accent2 8 4" xfId="3417" xr:uid="{00000000-0005-0000-0000-0000B65A0000}"/>
    <cellStyle name="40% - Accent2 8 4 2" xfId="10523" xr:uid="{00000000-0005-0000-0000-0000B75A0000}"/>
    <cellStyle name="40% - Accent2 8 4 3" xfId="17624" xr:uid="{00000000-0005-0000-0000-0000B85A0000}"/>
    <cellStyle name="40% - Accent2 8 4 4" xfId="24726" xr:uid="{00000000-0005-0000-0000-0000B95A0000}"/>
    <cellStyle name="40% - Accent2 8 4 5" xfId="31828" xr:uid="{00000000-0005-0000-0000-0000BA5A0000}"/>
    <cellStyle name="40% - Accent2 8 4 6" xfId="39028" xr:uid="{00000000-0005-0000-0000-0000BB5A0000}"/>
    <cellStyle name="40% - Accent2 8 5" xfId="7683" xr:uid="{00000000-0005-0000-0000-0000BC5A0000}"/>
    <cellStyle name="40% - Accent2 8 6" xfId="14784" xr:uid="{00000000-0005-0000-0000-0000BD5A0000}"/>
    <cellStyle name="40% - Accent2 8 7" xfId="21886" xr:uid="{00000000-0005-0000-0000-0000BE5A0000}"/>
    <cellStyle name="40% - Accent2 8 8" xfId="28988" xr:uid="{00000000-0005-0000-0000-0000BF5A0000}"/>
    <cellStyle name="40% - Accent2 8 9" xfId="39029" xr:uid="{00000000-0005-0000-0000-0000C05A0000}"/>
    <cellStyle name="40% - Accent2 9" xfId="717" xr:uid="{00000000-0005-0000-0000-0000C15A0000}"/>
    <cellStyle name="40% - Accent2 9 2" xfId="2208" xr:uid="{00000000-0005-0000-0000-0000C25A0000}"/>
    <cellStyle name="40% - Accent2 9 2 2" xfId="6476" xr:uid="{00000000-0005-0000-0000-0000C35A0000}"/>
    <cellStyle name="40% - Accent2 9 2 2 2" xfId="13576" xr:uid="{00000000-0005-0000-0000-0000C45A0000}"/>
    <cellStyle name="40% - Accent2 9 2 2 3" xfId="20677" xr:uid="{00000000-0005-0000-0000-0000C55A0000}"/>
    <cellStyle name="40% - Accent2 9 2 2 4" xfId="27779" xr:uid="{00000000-0005-0000-0000-0000C65A0000}"/>
    <cellStyle name="40% - Accent2 9 2 2 5" xfId="34881" xr:uid="{00000000-0005-0000-0000-0000C75A0000}"/>
    <cellStyle name="40% - Accent2 9 2 2 6" xfId="39030" xr:uid="{00000000-0005-0000-0000-0000C85A0000}"/>
    <cellStyle name="40% - Accent2 9 2 3" xfId="9316" xr:uid="{00000000-0005-0000-0000-0000C95A0000}"/>
    <cellStyle name="40% - Accent2 9 2 4" xfId="16417" xr:uid="{00000000-0005-0000-0000-0000CA5A0000}"/>
    <cellStyle name="40% - Accent2 9 2 5" xfId="23519" xr:uid="{00000000-0005-0000-0000-0000CB5A0000}"/>
    <cellStyle name="40% - Accent2 9 2 6" xfId="30621" xr:uid="{00000000-0005-0000-0000-0000CC5A0000}"/>
    <cellStyle name="40% - Accent2 9 2 7" xfId="39031" xr:uid="{00000000-0005-0000-0000-0000CD5A0000}"/>
    <cellStyle name="40% - Accent2 9 3" xfId="5055" xr:uid="{00000000-0005-0000-0000-0000CE5A0000}"/>
    <cellStyle name="40% - Accent2 9 3 2" xfId="12156" xr:uid="{00000000-0005-0000-0000-0000CF5A0000}"/>
    <cellStyle name="40% - Accent2 9 3 2 2" xfId="39032" xr:uid="{00000000-0005-0000-0000-0000D05A0000}"/>
    <cellStyle name="40% - Accent2 9 3 3" xfId="19257" xr:uid="{00000000-0005-0000-0000-0000D15A0000}"/>
    <cellStyle name="40% - Accent2 9 3 4" xfId="26359" xr:uid="{00000000-0005-0000-0000-0000D25A0000}"/>
    <cellStyle name="40% - Accent2 9 3 5" xfId="33461" xr:uid="{00000000-0005-0000-0000-0000D35A0000}"/>
    <cellStyle name="40% - Accent2 9 3 6" xfId="39033" xr:uid="{00000000-0005-0000-0000-0000D45A0000}"/>
    <cellStyle name="40% - Accent2 9 4" xfId="3630" xr:uid="{00000000-0005-0000-0000-0000D55A0000}"/>
    <cellStyle name="40% - Accent2 9 4 2" xfId="10736" xr:uid="{00000000-0005-0000-0000-0000D65A0000}"/>
    <cellStyle name="40% - Accent2 9 4 3" xfId="17837" xr:uid="{00000000-0005-0000-0000-0000D75A0000}"/>
    <cellStyle name="40% - Accent2 9 4 4" xfId="24939" xr:uid="{00000000-0005-0000-0000-0000D85A0000}"/>
    <cellStyle name="40% - Accent2 9 4 5" xfId="32041" xr:uid="{00000000-0005-0000-0000-0000D95A0000}"/>
    <cellStyle name="40% - Accent2 9 4 6" xfId="39034" xr:uid="{00000000-0005-0000-0000-0000DA5A0000}"/>
    <cellStyle name="40% - Accent2 9 5" xfId="7896" xr:uid="{00000000-0005-0000-0000-0000DB5A0000}"/>
    <cellStyle name="40% - Accent2 9 6" xfId="14997" xr:uid="{00000000-0005-0000-0000-0000DC5A0000}"/>
    <cellStyle name="40% - Accent2 9 7" xfId="22099" xr:uid="{00000000-0005-0000-0000-0000DD5A0000}"/>
    <cellStyle name="40% - Accent2 9 8" xfId="29201" xr:uid="{00000000-0005-0000-0000-0000DE5A0000}"/>
    <cellStyle name="40% - Accent2 9 9" xfId="39035" xr:uid="{00000000-0005-0000-0000-0000DF5A0000}"/>
    <cellStyle name="40% - Accent3" xfId="51" builtinId="39" customBuiltin="1"/>
    <cellStyle name="40% - Accent3 10" xfId="932" xr:uid="{00000000-0005-0000-0000-0000E15A0000}"/>
    <cellStyle name="40% - Accent3 10 2" xfId="2423" xr:uid="{00000000-0005-0000-0000-0000E25A0000}"/>
    <cellStyle name="40% - Accent3 10 2 2" xfId="6691" xr:uid="{00000000-0005-0000-0000-0000E35A0000}"/>
    <cellStyle name="40% - Accent3 10 2 2 2" xfId="13791" xr:uid="{00000000-0005-0000-0000-0000E45A0000}"/>
    <cellStyle name="40% - Accent3 10 2 2 3" xfId="20892" xr:uid="{00000000-0005-0000-0000-0000E55A0000}"/>
    <cellStyle name="40% - Accent3 10 2 2 4" xfId="27994" xr:uid="{00000000-0005-0000-0000-0000E65A0000}"/>
    <cellStyle name="40% - Accent3 10 2 2 5" xfId="35096" xr:uid="{00000000-0005-0000-0000-0000E75A0000}"/>
    <cellStyle name="40% - Accent3 10 2 3" xfId="9531" xr:uid="{00000000-0005-0000-0000-0000E85A0000}"/>
    <cellStyle name="40% - Accent3 10 2 4" xfId="16632" xr:uid="{00000000-0005-0000-0000-0000E95A0000}"/>
    <cellStyle name="40% - Accent3 10 2 5" xfId="23734" xr:uid="{00000000-0005-0000-0000-0000EA5A0000}"/>
    <cellStyle name="40% - Accent3 10 2 6" xfId="30836" xr:uid="{00000000-0005-0000-0000-0000EB5A0000}"/>
    <cellStyle name="40% - Accent3 10 2 7" xfId="39036" xr:uid="{00000000-0005-0000-0000-0000EC5A0000}"/>
    <cellStyle name="40% - Accent3 10 3" xfId="5270" xr:uid="{00000000-0005-0000-0000-0000ED5A0000}"/>
    <cellStyle name="40% - Accent3 10 3 2" xfId="12371" xr:uid="{00000000-0005-0000-0000-0000EE5A0000}"/>
    <cellStyle name="40% - Accent3 10 3 3" xfId="19472" xr:uid="{00000000-0005-0000-0000-0000EF5A0000}"/>
    <cellStyle name="40% - Accent3 10 3 4" xfId="26574" xr:uid="{00000000-0005-0000-0000-0000F05A0000}"/>
    <cellStyle name="40% - Accent3 10 3 5" xfId="33676" xr:uid="{00000000-0005-0000-0000-0000F15A0000}"/>
    <cellStyle name="40% - Accent3 10 4" xfId="3845" xr:uid="{00000000-0005-0000-0000-0000F25A0000}"/>
    <cellStyle name="40% - Accent3 10 4 2" xfId="10951" xr:uid="{00000000-0005-0000-0000-0000F35A0000}"/>
    <cellStyle name="40% - Accent3 10 4 3" xfId="18052" xr:uid="{00000000-0005-0000-0000-0000F45A0000}"/>
    <cellStyle name="40% - Accent3 10 4 4" xfId="25154" xr:uid="{00000000-0005-0000-0000-0000F55A0000}"/>
    <cellStyle name="40% - Accent3 10 4 5" xfId="32256" xr:uid="{00000000-0005-0000-0000-0000F65A0000}"/>
    <cellStyle name="40% - Accent3 10 5" xfId="8111" xr:uid="{00000000-0005-0000-0000-0000F75A0000}"/>
    <cellStyle name="40% - Accent3 10 6" xfId="15212" xr:uid="{00000000-0005-0000-0000-0000F85A0000}"/>
    <cellStyle name="40% - Accent3 10 7" xfId="22314" xr:uid="{00000000-0005-0000-0000-0000F95A0000}"/>
    <cellStyle name="40% - Accent3 10 8" xfId="29416" xr:uid="{00000000-0005-0000-0000-0000FA5A0000}"/>
    <cellStyle name="40% - Accent3 10 9" xfId="39037" xr:uid="{00000000-0005-0000-0000-0000FB5A0000}"/>
    <cellStyle name="40% - Accent3 11" xfId="1287" xr:uid="{00000000-0005-0000-0000-0000FC5A0000}"/>
    <cellStyle name="40% - Accent3 11 2" xfId="2778" xr:uid="{00000000-0005-0000-0000-0000FD5A0000}"/>
    <cellStyle name="40% - Accent3 11 2 2" xfId="7046" xr:uid="{00000000-0005-0000-0000-0000FE5A0000}"/>
    <cellStyle name="40% - Accent3 11 2 2 2" xfId="14146" xr:uid="{00000000-0005-0000-0000-0000FF5A0000}"/>
    <cellStyle name="40% - Accent3 11 2 2 3" xfId="21247" xr:uid="{00000000-0005-0000-0000-0000005B0000}"/>
    <cellStyle name="40% - Accent3 11 2 2 4" xfId="28349" xr:uid="{00000000-0005-0000-0000-0000015B0000}"/>
    <cellStyle name="40% - Accent3 11 2 2 5" xfId="35451" xr:uid="{00000000-0005-0000-0000-0000025B0000}"/>
    <cellStyle name="40% - Accent3 11 2 3" xfId="9886" xr:uid="{00000000-0005-0000-0000-0000035B0000}"/>
    <cellStyle name="40% - Accent3 11 2 4" xfId="16987" xr:uid="{00000000-0005-0000-0000-0000045B0000}"/>
    <cellStyle name="40% - Accent3 11 2 5" xfId="24089" xr:uid="{00000000-0005-0000-0000-0000055B0000}"/>
    <cellStyle name="40% - Accent3 11 2 6" xfId="31191" xr:uid="{00000000-0005-0000-0000-0000065B0000}"/>
    <cellStyle name="40% - Accent3 11 2 7" xfId="39038" xr:uid="{00000000-0005-0000-0000-0000075B0000}"/>
    <cellStyle name="40% - Accent3 11 3" xfId="5625" xr:uid="{00000000-0005-0000-0000-0000085B0000}"/>
    <cellStyle name="40% - Accent3 11 3 2" xfId="12726" xr:uid="{00000000-0005-0000-0000-0000095B0000}"/>
    <cellStyle name="40% - Accent3 11 3 3" xfId="19827" xr:uid="{00000000-0005-0000-0000-00000A5B0000}"/>
    <cellStyle name="40% - Accent3 11 3 4" xfId="26929" xr:uid="{00000000-0005-0000-0000-00000B5B0000}"/>
    <cellStyle name="40% - Accent3 11 3 5" xfId="34031" xr:uid="{00000000-0005-0000-0000-00000C5B0000}"/>
    <cellStyle name="40% - Accent3 11 4" xfId="4200" xr:uid="{00000000-0005-0000-0000-00000D5B0000}"/>
    <cellStyle name="40% - Accent3 11 4 2" xfId="11306" xr:uid="{00000000-0005-0000-0000-00000E5B0000}"/>
    <cellStyle name="40% - Accent3 11 4 3" xfId="18407" xr:uid="{00000000-0005-0000-0000-00000F5B0000}"/>
    <cellStyle name="40% - Accent3 11 4 4" xfId="25509" xr:uid="{00000000-0005-0000-0000-0000105B0000}"/>
    <cellStyle name="40% - Accent3 11 4 5" xfId="32611" xr:uid="{00000000-0005-0000-0000-0000115B0000}"/>
    <cellStyle name="40% - Accent3 11 5" xfId="8466" xr:uid="{00000000-0005-0000-0000-0000125B0000}"/>
    <cellStyle name="40% - Accent3 11 6" xfId="15567" xr:uid="{00000000-0005-0000-0000-0000135B0000}"/>
    <cellStyle name="40% - Accent3 11 7" xfId="22669" xr:uid="{00000000-0005-0000-0000-0000145B0000}"/>
    <cellStyle name="40% - Accent3 11 8" xfId="29771" xr:uid="{00000000-0005-0000-0000-0000155B0000}"/>
    <cellStyle name="40% - Accent3 11 9" xfId="39039" xr:uid="{00000000-0005-0000-0000-0000165B0000}"/>
    <cellStyle name="40% - Accent3 12" xfId="1555" xr:uid="{00000000-0005-0000-0000-0000175B0000}"/>
    <cellStyle name="40% - Accent3 12 2" xfId="5838" xr:uid="{00000000-0005-0000-0000-0000185B0000}"/>
    <cellStyle name="40% - Accent3 12 2 2" xfId="12939" xr:uid="{00000000-0005-0000-0000-0000195B0000}"/>
    <cellStyle name="40% - Accent3 12 2 3" xfId="20040" xr:uid="{00000000-0005-0000-0000-00001A5B0000}"/>
    <cellStyle name="40% - Accent3 12 2 4" xfId="27142" xr:uid="{00000000-0005-0000-0000-00001B5B0000}"/>
    <cellStyle name="40% - Accent3 12 2 5" xfId="34244" xr:uid="{00000000-0005-0000-0000-00001C5B0000}"/>
    <cellStyle name="40% - Accent3 12 3" xfId="8679" xr:uid="{00000000-0005-0000-0000-00001D5B0000}"/>
    <cellStyle name="40% - Accent3 12 4" xfId="15780" xr:uid="{00000000-0005-0000-0000-00001E5B0000}"/>
    <cellStyle name="40% - Accent3 12 5" xfId="22882" xr:uid="{00000000-0005-0000-0000-00001F5B0000}"/>
    <cellStyle name="40% - Accent3 12 6" xfId="29984" xr:uid="{00000000-0005-0000-0000-0000205B0000}"/>
    <cellStyle name="40% - Accent3 12 7" xfId="39040" xr:uid="{00000000-0005-0000-0000-0000215B0000}"/>
    <cellStyle name="40% - Accent3 13" xfId="4418" xr:uid="{00000000-0005-0000-0000-0000225B0000}"/>
    <cellStyle name="40% - Accent3 13 2" xfId="11519" xr:uid="{00000000-0005-0000-0000-0000235B0000}"/>
    <cellStyle name="40% - Accent3 13 3" xfId="18620" xr:uid="{00000000-0005-0000-0000-0000245B0000}"/>
    <cellStyle name="40% - Accent3 13 4" xfId="25722" xr:uid="{00000000-0005-0000-0000-0000255B0000}"/>
    <cellStyle name="40% - Accent3 13 5" xfId="32824" xr:uid="{00000000-0005-0000-0000-0000265B0000}"/>
    <cellStyle name="40% - Accent3 14" xfId="2993" xr:uid="{00000000-0005-0000-0000-0000275B0000}"/>
    <cellStyle name="40% - Accent3 14 2" xfId="10099" xr:uid="{00000000-0005-0000-0000-0000285B0000}"/>
    <cellStyle name="40% - Accent3 14 3" xfId="17200" xr:uid="{00000000-0005-0000-0000-0000295B0000}"/>
    <cellStyle name="40% - Accent3 14 4" xfId="24302" xr:uid="{00000000-0005-0000-0000-00002A5B0000}"/>
    <cellStyle name="40% - Accent3 14 5" xfId="31404" xr:uid="{00000000-0005-0000-0000-00002B5B0000}"/>
    <cellStyle name="40% - Accent3 15" xfId="7259" xr:uid="{00000000-0005-0000-0000-00002C5B0000}"/>
    <cellStyle name="40% - Accent3 16" xfId="14360" xr:uid="{00000000-0005-0000-0000-00002D5B0000}"/>
    <cellStyle name="40% - Accent3 17" xfId="21462" xr:uid="{00000000-0005-0000-0000-00002E5B0000}"/>
    <cellStyle name="40% - Accent3 18" xfId="28564" xr:uid="{00000000-0005-0000-0000-00002F5B0000}"/>
    <cellStyle name="40% - Accent3 19" xfId="35666" xr:uid="{00000000-0005-0000-0000-0000305B0000}"/>
    <cellStyle name="40% - Accent3 2" xfId="78" xr:uid="{00000000-0005-0000-0000-0000315B0000}"/>
    <cellStyle name="40% - Accent3 2 10" xfId="1579" xr:uid="{00000000-0005-0000-0000-0000325B0000}"/>
    <cellStyle name="40% - Accent3 2 10 2" xfId="5853" xr:uid="{00000000-0005-0000-0000-0000335B0000}"/>
    <cellStyle name="40% - Accent3 2 10 2 2" xfId="12953" xr:uid="{00000000-0005-0000-0000-0000345B0000}"/>
    <cellStyle name="40% - Accent3 2 10 2 3" xfId="20054" xr:uid="{00000000-0005-0000-0000-0000355B0000}"/>
    <cellStyle name="40% - Accent3 2 10 2 4" xfId="27156" xr:uid="{00000000-0005-0000-0000-0000365B0000}"/>
    <cellStyle name="40% - Accent3 2 10 2 5" xfId="34258" xr:uid="{00000000-0005-0000-0000-0000375B0000}"/>
    <cellStyle name="40% - Accent3 2 10 2 6" xfId="39041" xr:uid="{00000000-0005-0000-0000-0000385B0000}"/>
    <cellStyle name="40% - Accent3 2 10 3" xfId="8693" xr:uid="{00000000-0005-0000-0000-0000395B0000}"/>
    <cellStyle name="40% - Accent3 2 10 4" xfId="15794" xr:uid="{00000000-0005-0000-0000-00003A5B0000}"/>
    <cellStyle name="40% - Accent3 2 10 5" xfId="22896" xr:uid="{00000000-0005-0000-0000-00003B5B0000}"/>
    <cellStyle name="40% - Accent3 2 10 6" xfId="29998" xr:uid="{00000000-0005-0000-0000-00003C5B0000}"/>
    <cellStyle name="40% - Accent3 2 10 7" xfId="39042" xr:uid="{00000000-0005-0000-0000-00003D5B0000}"/>
    <cellStyle name="40% - Accent3 2 11" xfId="4432" xr:uid="{00000000-0005-0000-0000-00003E5B0000}"/>
    <cellStyle name="40% - Accent3 2 11 2" xfId="11533" xr:uid="{00000000-0005-0000-0000-00003F5B0000}"/>
    <cellStyle name="40% - Accent3 2 11 3" xfId="18634" xr:uid="{00000000-0005-0000-0000-0000405B0000}"/>
    <cellStyle name="40% - Accent3 2 11 4" xfId="25736" xr:uid="{00000000-0005-0000-0000-0000415B0000}"/>
    <cellStyle name="40% - Accent3 2 11 5" xfId="32838" xr:uid="{00000000-0005-0000-0000-0000425B0000}"/>
    <cellStyle name="40% - Accent3 2 11 6" xfId="39043" xr:uid="{00000000-0005-0000-0000-0000435B0000}"/>
    <cellStyle name="40% - Accent3 2 12" xfId="3007" xr:uid="{00000000-0005-0000-0000-0000445B0000}"/>
    <cellStyle name="40% - Accent3 2 12 2" xfId="10113" xr:uid="{00000000-0005-0000-0000-0000455B0000}"/>
    <cellStyle name="40% - Accent3 2 12 3" xfId="17214" xr:uid="{00000000-0005-0000-0000-0000465B0000}"/>
    <cellStyle name="40% - Accent3 2 12 4" xfId="24316" xr:uid="{00000000-0005-0000-0000-0000475B0000}"/>
    <cellStyle name="40% - Accent3 2 12 5" xfId="31418" xr:uid="{00000000-0005-0000-0000-0000485B0000}"/>
    <cellStyle name="40% - Accent3 2 13" xfId="7273" xr:uid="{00000000-0005-0000-0000-0000495B0000}"/>
    <cellStyle name="40% - Accent3 2 14" xfId="14374" xr:uid="{00000000-0005-0000-0000-00004A5B0000}"/>
    <cellStyle name="40% - Accent3 2 15" xfId="21476" xr:uid="{00000000-0005-0000-0000-00004B5B0000}"/>
    <cellStyle name="40% - Accent3 2 16" xfId="28578" xr:uid="{00000000-0005-0000-0000-00004C5B0000}"/>
    <cellStyle name="40% - Accent3 2 17" xfId="35680" xr:uid="{00000000-0005-0000-0000-00004D5B0000}"/>
    <cellStyle name="40% - Accent3 2 18" xfId="39044" xr:uid="{00000000-0005-0000-0000-00004E5B0000}"/>
    <cellStyle name="40% - Accent3 2 19" xfId="39045" xr:uid="{00000000-0005-0000-0000-00004F5B0000}"/>
    <cellStyle name="40% - Accent3 2 2" xfId="123" xr:uid="{00000000-0005-0000-0000-0000505B0000}"/>
    <cellStyle name="40% - Accent3 2 2 10" xfId="4463" xr:uid="{00000000-0005-0000-0000-0000515B0000}"/>
    <cellStyle name="40% - Accent3 2 2 10 2" xfId="11564" xr:uid="{00000000-0005-0000-0000-0000525B0000}"/>
    <cellStyle name="40% - Accent3 2 2 10 3" xfId="18665" xr:uid="{00000000-0005-0000-0000-0000535B0000}"/>
    <cellStyle name="40% - Accent3 2 2 10 4" xfId="25767" xr:uid="{00000000-0005-0000-0000-0000545B0000}"/>
    <cellStyle name="40% - Accent3 2 2 10 5" xfId="32869" xr:uid="{00000000-0005-0000-0000-0000555B0000}"/>
    <cellStyle name="40% - Accent3 2 2 11" xfId="3038" xr:uid="{00000000-0005-0000-0000-0000565B0000}"/>
    <cellStyle name="40% - Accent3 2 2 11 2" xfId="10144" xr:uid="{00000000-0005-0000-0000-0000575B0000}"/>
    <cellStyle name="40% - Accent3 2 2 11 3" xfId="17245" xr:uid="{00000000-0005-0000-0000-0000585B0000}"/>
    <cellStyle name="40% - Accent3 2 2 11 4" xfId="24347" xr:uid="{00000000-0005-0000-0000-0000595B0000}"/>
    <cellStyle name="40% - Accent3 2 2 11 5" xfId="31449" xr:uid="{00000000-0005-0000-0000-00005A5B0000}"/>
    <cellStyle name="40% - Accent3 2 2 12" xfId="7304" xr:uid="{00000000-0005-0000-0000-00005B5B0000}"/>
    <cellStyle name="40% - Accent3 2 2 13" xfId="14405" xr:uid="{00000000-0005-0000-0000-00005C5B0000}"/>
    <cellStyle name="40% - Accent3 2 2 14" xfId="21507" xr:uid="{00000000-0005-0000-0000-00005D5B0000}"/>
    <cellStyle name="40% - Accent3 2 2 15" xfId="28609" xr:uid="{00000000-0005-0000-0000-00005E5B0000}"/>
    <cellStyle name="40% - Accent3 2 2 16" xfId="35711" xr:uid="{00000000-0005-0000-0000-00005F5B0000}"/>
    <cellStyle name="40% - Accent3 2 2 17" xfId="39046" xr:uid="{00000000-0005-0000-0000-0000605B0000}"/>
    <cellStyle name="40% - Accent3 2 2 18" xfId="39047" xr:uid="{00000000-0005-0000-0000-0000615B0000}"/>
    <cellStyle name="40% - Accent3 2 2 2" xfId="267" xr:uid="{00000000-0005-0000-0000-0000625B0000}"/>
    <cellStyle name="40% - Accent3 2 2 2 10" xfId="7446" xr:uid="{00000000-0005-0000-0000-0000635B0000}"/>
    <cellStyle name="40% - Accent3 2 2 2 11" xfId="14547" xr:uid="{00000000-0005-0000-0000-0000645B0000}"/>
    <cellStyle name="40% - Accent3 2 2 2 12" xfId="21649" xr:uid="{00000000-0005-0000-0000-0000655B0000}"/>
    <cellStyle name="40% - Accent3 2 2 2 13" xfId="28751" xr:uid="{00000000-0005-0000-0000-0000665B0000}"/>
    <cellStyle name="40% - Accent3 2 2 2 14" xfId="35853" xr:uid="{00000000-0005-0000-0000-0000675B0000}"/>
    <cellStyle name="40% - Accent3 2 2 2 15" xfId="39048" xr:uid="{00000000-0005-0000-0000-0000685B0000}"/>
    <cellStyle name="40% - Accent3 2 2 2 2" xfId="480" xr:uid="{00000000-0005-0000-0000-0000695B0000}"/>
    <cellStyle name="40% - Accent3 2 2 2 2 10" xfId="39049" xr:uid="{00000000-0005-0000-0000-00006A5B0000}"/>
    <cellStyle name="40% - Accent3 2 2 2 2 2" xfId="1261" xr:uid="{00000000-0005-0000-0000-00006B5B0000}"/>
    <cellStyle name="40% - Accent3 2 2 2 2 2 2" xfId="2752" xr:uid="{00000000-0005-0000-0000-00006C5B0000}"/>
    <cellStyle name="40% - Accent3 2 2 2 2 2 2 2" xfId="7020" xr:uid="{00000000-0005-0000-0000-00006D5B0000}"/>
    <cellStyle name="40% - Accent3 2 2 2 2 2 2 2 2" xfId="14120" xr:uid="{00000000-0005-0000-0000-00006E5B0000}"/>
    <cellStyle name="40% - Accent3 2 2 2 2 2 2 2 3" xfId="21221" xr:uid="{00000000-0005-0000-0000-00006F5B0000}"/>
    <cellStyle name="40% - Accent3 2 2 2 2 2 2 2 4" xfId="28323" xr:uid="{00000000-0005-0000-0000-0000705B0000}"/>
    <cellStyle name="40% - Accent3 2 2 2 2 2 2 2 5" xfId="35425" xr:uid="{00000000-0005-0000-0000-0000715B0000}"/>
    <cellStyle name="40% - Accent3 2 2 2 2 2 2 3" xfId="9860" xr:uid="{00000000-0005-0000-0000-0000725B0000}"/>
    <cellStyle name="40% - Accent3 2 2 2 2 2 2 4" xfId="16961" xr:uid="{00000000-0005-0000-0000-0000735B0000}"/>
    <cellStyle name="40% - Accent3 2 2 2 2 2 2 5" xfId="24063" xr:uid="{00000000-0005-0000-0000-0000745B0000}"/>
    <cellStyle name="40% - Accent3 2 2 2 2 2 2 6" xfId="31165" xr:uid="{00000000-0005-0000-0000-0000755B0000}"/>
    <cellStyle name="40% - Accent3 2 2 2 2 2 2 7" xfId="39050" xr:uid="{00000000-0005-0000-0000-0000765B0000}"/>
    <cellStyle name="40% - Accent3 2 2 2 2 2 3" xfId="5599" xr:uid="{00000000-0005-0000-0000-0000775B0000}"/>
    <cellStyle name="40% - Accent3 2 2 2 2 2 3 2" xfId="12700" xr:uid="{00000000-0005-0000-0000-0000785B0000}"/>
    <cellStyle name="40% - Accent3 2 2 2 2 2 3 3" xfId="19801" xr:uid="{00000000-0005-0000-0000-0000795B0000}"/>
    <cellStyle name="40% - Accent3 2 2 2 2 2 3 4" xfId="26903" xr:uid="{00000000-0005-0000-0000-00007A5B0000}"/>
    <cellStyle name="40% - Accent3 2 2 2 2 2 3 5" xfId="34005" xr:uid="{00000000-0005-0000-0000-00007B5B0000}"/>
    <cellStyle name="40% - Accent3 2 2 2 2 2 4" xfId="4174" xr:uid="{00000000-0005-0000-0000-00007C5B0000}"/>
    <cellStyle name="40% - Accent3 2 2 2 2 2 4 2" xfId="11280" xr:uid="{00000000-0005-0000-0000-00007D5B0000}"/>
    <cellStyle name="40% - Accent3 2 2 2 2 2 4 3" xfId="18381" xr:uid="{00000000-0005-0000-0000-00007E5B0000}"/>
    <cellStyle name="40% - Accent3 2 2 2 2 2 4 4" xfId="25483" xr:uid="{00000000-0005-0000-0000-00007F5B0000}"/>
    <cellStyle name="40% - Accent3 2 2 2 2 2 4 5" xfId="32585" xr:uid="{00000000-0005-0000-0000-0000805B0000}"/>
    <cellStyle name="40% - Accent3 2 2 2 2 2 5" xfId="8440" xr:uid="{00000000-0005-0000-0000-0000815B0000}"/>
    <cellStyle name="40% - Accent3 2 2 2 2 2 6" xfId="15541" xr:uid="{00000000-0005-0000-0000-0000825B0000}"/>
    <cellStyle name="40% - Accent3 2 2 2 2 2 7" xfId="22643" xr:uid="{00000000-0005-0000-0000-0000835B0000}"/>
    <cellStyle name="40% - Accent3 2 2 2 2 2 8" xfId="29745" xr:uid="{00000000-0005-0000-0000-0000845B0000}"/>
    <cellStyle name="40% - Accent3 2 2 2 2 2 9" xfId="39051" xr:uid="{00000000-0005-0000-0000-0000855B0000}"/>
    <cellStyle name="40% - Accent3 2 2 2 2 3" xfId="1971" xr:uid="{00000000-0005-0000-0000-0000865B0000}"/>
    <cellStyle name="40% - Accent3 2 2 2 2 3 2" xfId="6239" xr:uid="{00000000-0005-0000-0000-0000875B0000}"/>
    <cellStyle name="40% - Accent3 2 2 2 2 3 2 2" xfId="13339" xr:uid="{00000000-0005-0000-0000-0000885B0000}"/>
    <cellStyle name="40% - Accent3 2 2 2 2 3 2 3" xfId="20440" xr:uid="{00000000-0005-0000-0000-0000895B0000}"/>
    <cellStyle name="40% - Accent3 2 2 2 2 3 2 4" xfId="27542" xr:uid="{00000000-0005-0000-0000-00008A5B0000}"/>
    <cellStyle name="40% - Accent3 2 2 2 2 3 2 5" xfId="34644" xr:uid="{00000000-0005-0000-0000-00008B5B0000}"/>
    <cellStyle name="40% - Accent3 2 2 2 2 3 2 6" xfId="39052" xr:uid="{00000000-0005-0000-0000-00008C5B0000}"/>
    <cellStyle name="40% - Accent3 2 2 2 2 3 3" xfId="9079" xr:uid="{00000000-0005-0000-0000-00008D5B0000}"/>
    <cellStyle name="40% - Accent3 2 2 2 2 3 4" xfId="16180" xr:uid="{00000000-0005-0000-0000-00008E5B0000}"/>
    <cellStyle name="40% - Accent3 2 2 2 2 3 5" xfId="23282" xr:uid="{00000000-0005-0000-0000-00008F5B0000}"/>
    <cellStyle name="40% - Accent3 2 2 2 2 3 6" xfId="30384" xr:uid="{00000000-0005-0000-0000-0000905B0000}"/>
    <cellStyle name="40% - Accent3 2 2 2 2 3 7" xfId="39053" xr:uid="{00000000-0005-0000-0000-0000915B0000}"/>
    <cellStyle name="40% - Accent3 2 2 2 2 4" xfId="4818" xr:uid="{00000000-0005-0000-0000-0000925B0000}"/>
    <cellStyle name="40% - Accent3 2 2 2 2 4 2" xfId="11919" xr:uid="{00000000-0005-0000-0000-0000935B0000}"/>
    <cellStyle name="40% - Accent3 2 2 2 2 4 3" xfId="19020" xr:uid="{00000000-0005-0000-0000-0000945B0000}"/>
    <cellStyle name="40% - Accent3 2 2 2 2 4 4" xfId="26122" xr:uid="{00000000-0005-0000-0000-0000955B0000}"/>
    <cellStyle name="40% - Accent3 2 2 2 2 4 5" xfId="33224" xr:uid="{00000000-0005-0000-0000-0000965B0000}"/>
    <cellStyle name="40% - Accent3 2 2 2 2 4 6" xfId="39054" xr:uid="{00000000-0005-0000-0000-0000975B0000}"/>
    <cellStyle name="40% - Accent3 2 2 2 2 5" xfId="3393" xr:uid="{00000000-0005-0000-0000-0000985B0000}"/>
    <cellStyle name="40% - Accent3 2 2 2 2 5 2" xfId="10499" xr:uid="{00000000-0005-0000-0000-0000995B0000}"/>
    <cellStyle name="40% - Accent3 2 2 2 2 5 3" xfId="17600" xr:uid="{00000000-0005-0000-0000-00009A5B0000}"/>
    <cellStyle name="40% - Accent3 2 2 2 2 5 4" xfId="24702" xr:uid="{00000000-0005-0000-0000-00009B5B0000}"/>
    <cellStyle name="40% - Accent3 2 2 2 2 5 5" xfId="31804" xr:uid="{00000000-0005-0000-0000-00009C5B0000}"/>
    <cellStyle name="40% - Accent3 2 2 2 2 6" xfId="7659" xr:uid="{00000000-0005-0000-0000-00009D5B0000}"/>
    <cellStyle name="40% - Accent3 2 2 2 2 7" xfId="14760" xr:uid="{00000000-0005-0000-0000-00009E5B0000}"/>
    <cellStyle name="40% - Accent3 2 2 2 2 8" xfId="21862" xr:uid="{00000000-0005-0000-0000-00009F5B0000}"/>
    <cellStyle name="40% - Accent3 2 2 2 2 9" xfId="28964" xr:uid="{00000000-0005-0000-0000-0000A05B0000}"/>
    <cellStyle name="40% - Accent3 2 2 2 3" xfId="693" xr:uid="{00000000-0005-0000-0000-0000A15B0000}"/>
    <cellStyle name="40% - Accent3 2 2 2 3 2" xfId="2184" xr:uid="{00000000-0005-0000-0000-0000A25B0000}"/>
    <cellStyle name="40% - Accent3 2 2 2 3 2 2" xfId="6452" xr:uid="{00000000-0005-0000-0000-0000A35B0000}"/>
    <cellStyle name="40% - Accent3 2 2 2 3 2 2 2" xfId="13552" xr:uid="{00000000-0005-0000-0000-0000A45B0000}"/>
    <cellStyle name="40% - Accent3 2 2 2 3 2 2 3" xfId="20653" xr:uid="{00000000-0005-0000-0000-0000A55B0000}"/>
    <cellStyle name="40% - Accent3 2 2 2 3 2 2 4" xfId="27755" xr:uid="{00000000-0005-0000-0000-0000A65B0000}"/>
    <cellStyle name="40% - Accent3 2 2 2 3 2 2 5" xfId="34857" xr:uid="{00000000-0005-0000-0000-0000A75B0000}"/>
    <cellStyle name="40% - Accent3 2 2 2 3 2 2 6" xfId="39055" xr:uid="{00000000-0005-0000-0000-0000A85B0000}"/>
    <cellStyle name="40% - Accent3 2 2 2 3 2 3" xfId="9292" xr:uid="{00000000-0005-0000-0000-0000A95B0000}"/>
    <cellStyle name="40% - Accent3 2 2 2 3 2 4" xfId="16393" xr:uid="{00000000-0005-0000-0000-0000AA5B0000}"/>
    <cellStyle name="40% - Accent3 2 2 2 3 2 5" xfId="23495" xr:uid="{00000000-0005-0000-0000-0000AB5B0000}"/>
    <cellStyle name="40% - Accent3 2 2 2 3 2 6" xfId="30597" xr:uid="{00000000-0005-0000-0000-0000AC5B0000}"/>
    <cellStyle name="40% - Accent3 2 2 2 3 2 7" xfId="39056" xr:uid="{00000000-0005-0000-0000-0000AD5B0000}"/>
    <cellStyle name="40% - Accent3 2 2 2 3 3" xfId="5031" xr:uid="{00000000-0005-0000-0000-0000AE5B0000}"/>
    <cellStyle name="40% - Accent3 2 2 2 3 3 2" xfId="12132" xr:uid="{00000000-0005-0000-0000-0000AF5B0000}"/>
    <cellStyle name="40% - Accent3 2 2 2 3 3 2 2" xfId="39057" xr:uid="{00000000-0005-0000-0000-0000B05B0000}"/>
    <cellStyle name="40% - Accent3 2 2 2 3 3 3" xfId="19233" xr:uid="{00000000-0005-0000-0000-0000B15B0000}"/>
    <cellStyle name="40% - Accent3 2 2 2 3 3 4" xfId="26335" xr:uid="{00000000-0005-0000-0000-0000B25B0000}"/>
    <cellStyle name="40% - Accent3 2 2 2 3 3 5" xfId="33437" xr:uid="{00000000-0005-0000-0000-0000B35B0000}"/>
    <cellStyle name="40% - Accent3 2 2 2 3 3 6" xfId="39058" xr:uid="{00000000-0005-0000-0000-0000B45B0000}"/>
    <cellStyle name="40% - Accent3 2 2 2 3 4" xfId="3606" xr:uid="{00000000-0005-0000-0000-0000B55B0000}"/>
    <cellStyle name="40% - Accent3 2 2 2 3 4 2" xfId="10712" xr:uid="{00000000-0005-0000-0000-0000B65B0000}"/>
    <cellStyle name="40% - Accent3 2 2 2 3 4 3" xfId="17813" xr:uid="{00000000-0005-0000-0000-0000B75B0000}"/>
    <cellStyle name="40% - Accent3 2 2 2 3 4 4" xfId="24915" xr:uid="{00000000-0005-0000-0000-0000B85B0000}"/>
    <cellStyle name="40% - Accent3 2 2 2 3 4 5" xfId="32017" xr:uid="{00000000-0005-0000-0000-0000B95B0000}"/>
    <cellStyle name="40% - Accent3 2 2 2 3 4 6" xfId="39059" xr:uid="{00000000-0005-0000-0000-0000BA5B0000}"/>
    <cellStyle name="40% - Accent3 2 2 2 3 5" xfId="7872" xr:uid="{00000000-0005-0000-0000-0000BB5B0000}"/>
    <cellStyle name="40% - Accent3 2 2 2 3 6" xfId="14973" xr:uid="{00000000-0005-0000-0000-0000BC5B0000}"/>
    <cellStyle name="40% - Accent3 2 2 2 3 7" xfId="22075" xr:uid="{00000000-0005-0000-0000-0000BD5B0000}"/>
    <cellStyle name="40% - Accent3 2 2 2 3 8" xfId="29177" xr:uid="{00000000-0005-0000-0000-0000BE5B0000}"/>
    <cellStyle name="40% - Accent3 2 2 2 3 9" xfId="39060" xr:uid="{00000000-0005-0000-0000-0000BF5B0000}"/>
    <cellStyle name="40% - Accent3 2 2 2 4" xfId="906" xr:uid="{00000000-0005-0000-0000-0000C05B0000}"/>
    <cellStyle name="40% - Accent3 2 2 2 4 2" xfId="2397" xr:uid="{00000000-0005-0000-0000-0000C15B0000}"/>
    <cellStyle name="40% - Accent3 2 2 2 4 2 2" xfId="6665" xr:uid="{00000000-0005-0000-0000-0000C25B0000}"/>
    <cellStyle name="40% - Accent3 2 2 2 4 2 2 2" xfId="13765" xr:uid="{00000000-0005-0000-0000-0000C35B0000}"/>
    <cellStyle name="40% - Accent3 2 2 2 4 2 2 3" xfId="20866" xr:uid="{00000000-0005-0000-0000-0000C45B0000}"/>
    <cellStyle name="40% - Accent3 2 2 2 4 2 2 4" xfId="27968" xr:uid="{00000000-0005-0000-0000-0000C55B0000}"/>
    <cellStyle name="40% - Accent3 2 2 2 4 2 2 5" xfId="35070" xr:uid="{00000000-0005-0000-0000-0000C65B0000}"/>
    <cellStyle name="40% - Accent3 2 2 2 4 2 2 6" xfId="39061" xr:uid="{00000000-0005-0000-0000-0000C75B0000}"/>
    <cellStyle name="40% - Accent3 2 2 2 4 2 3" xfId="9505" xr:uid="{00000000-0005-0000-0000-0000C85B0000}"/>
    <cellStyle name="40% - Accent3 2 2 2 4 2 4" xfId="16606" xr:uid="{00000000-0005-0000-0000-0000C95B0000}"/>
    <cellStyle name="40% - Accent3 2 2 2 4 2 5" xfId="23708" xr:uid="{00000000-0005-0000-0000-0000CA5B0000}"/>
    <cellStyle name="40% - Accent3 2 2 2 4 2 6" xfId="30810" xr:uid="{00000000-0005-0000-0000-0000CB5B0000}"/>
    <cellStyle name="40% - Accent3 2 2 2 4 2 7" xfId="39062" xr:uid="{00000000-0005-0000-0000-0000CC5B0000}"/>
    <cellStyle name="40% - Accent3 2 2 2 4 3" xfId="5244" xr:uid="{00000000-0005-0000-0000-0000CD5B0000}"/>
    <cellStyle name="40% - Accent3 2 2 2 4 3 2" xfId="12345" xr:uid="{00000000-0005-0000-0000-0000CE5B0000}"/>
    <cellStyle name="40% - Accent3 2 2 2 4 3 2 2" xfId="39063" xr:uid="{00000000-0005-0000-0000-0000CF5B0000}"/>
    <cellStyle name="40% - Accent3 2 2 2 4 3 3" xfId="19446" xr:uid="{00000000-0005-0000-0000-0000D05B0000}"/>
    <cellStyle name="40% - Accent3 2 2 2 4 3 4" xfId="26548" xr:uid="{00000000-0005-0000-0000-0000D15B0000}"/>
    <cellStyle name="40% - Accent3 2 2 2 4 3 5" xfId="33650" xr:uid="{00000000-0005-0000-0000-0000D25B0000}"/>
    <cellStyle name="40% - Accent3 2 2 2 4 3 6" xfId="39064" xr:uid="{00000000-0005-0000-0000-0000D35B0000}"/>
    <cellStyle name="40% - Accent3 2 2 2 4 4" xfId="3819" xr:uid="{00000000-0005-0000-0000-0000D45B0000}"/>
    <cellStyle name="40% - Accent3 2 2 2 4 4 2" xfId="10925" xr:uid="{00000000-0005-0000-0000-0000D55B0000}"/>
    <cellStyle name="40% - Accent3 2 2 2 4 4 3" xfId="18026" xr:uid="{00000000-0005-0000-0000-0000D65B0000}"/>
    <cellStyle name="40% - Accent3 2 2 2 4 4 4" xfId="25128" xr:uid="{00000000-0005-0000-0000-0000D75B0000}"/>
    <cellStyle name="40% - Accent3 2 2 2 4 4 5" xfId="32230" xr:uid="{00000000-0005-0000-0000-0000D85B0000}"/>
    <cellStyle name="40% - Accent3 2 2 2 4 4 6" xfId="39065" xr:uid="{00000000-0005-0000-0000-0000D95B0000}"/>
    <cellStyle name="40% - Accent3 2 2 2 4 5" xfId="8085" xr:uid="{00000000-0005-0000-0000-0000DA5B0000}"/>
    <cellStyle name="40% - Accent3 2 2 2 4 6" xfId="15186" xr:uid="{00000000-0005-0000-0000-0000DB5B0000}"/>
    <cellStyle name="40% - Accent3 2 2 2 4 7" xfId="22288" xr:uid="{00000000-0005-0000-0000-0000DC5B0000}"/>
    <cellStyle name="40% - Accent3 2 2 2 4 8" xfId="29390" xr:uid="{00000000-0005-0000-0000-0000DD5B0000}"/>
    <cellStyle name="40% - Accent3 2 2 2 4 9" xfId="39066" xr:uid="{00000000-0005-0000-0000-0000DE5B0000}"/>
    <cellStyle name="40% - Accent3 2 2 2 5" xfId="1048" xr:uid="{00000000-0005-0000-0000-0000DF5B0000}"/>
    <cellStyle name="40% - Accent3 2 2 2 5 2" xfId="2539" xr:uid="{00000000-0005-0000-0000-0000E05B0000}"/>
    <cellStyle name="40% - Accent3 2 2 2 5 2 2" xfId="6807" xr:uid="{00000000-0005-0000-0000-0000E15B0000}"/>
    <cellStyle name="40% - Accent3 2 2 2 5 2 2 2" xfId="13907" xr:uid="{00000000-0005-0000-0000-0000E25B0000}"/>
    <cellStyle name="40% - Accent3 2 2 2 5 2 2 3" xfId="21008" xr:uid="{00000000-0005-0000-0000-0000E35B0000}"/>
    <cellStyle name="40% - Accent3 2 2 2 5 2 2 4" xfId="28110" xr:uid="{00000000-0005-0000-0000-0000E45B0000}"/>
    <cellStyle name="40% - Accent3 2 2 2 5 2 2 5" xfId="35212" xr:uid="{00000000-0005-0000-0000-0000E55B0000}"/>
    <cellStyle name="40% - Accent3 2 2 2 5 2 3" xfId="9647" xr:uid="{00000000-0005-0000-0000-0000E65B0000}"/>
    <cellStyle name="40% - Accent3 2 2 2 5 2 4" xfId="16748" xr:uid="{00000000-0005-0000-0000-0000E75B0000}"/>
    <cellStyle name="40% - Accent3 2 2 2 5 2 5" xfId="23850" xr:uid="{00000000-0005-0000-0000-0000E85B0000}"/>
    <cellStyle name="40% - Accent3 2 2 2 5 2 6" xfId="30952" xr:uid="{00000000-0005-0000-0000-0000E95B0000}"/>
    <cellStyle name="40% - Accent3 2 2 2 5 2 7" xfId="39067" xr:uid="{00000000-0005-0000-0000-0000EA5B0000}"/>
    <cellStyle name="40% - Accent3 2 2 2 5 3" xfId="5386" xr:uid="{00000000-0005-0000-0000-0000EB5B0000}"/>
    <cellStyle name="40% - Accent3 2 2 2 5 3 2" xfId="12487" xr:uid="{00000000-0005-0000-0000-0000EC5B0000}"/>
    <cellStyle name="40% - Accent3 2 2 2 5 3 3" xfId="19588" xr:uid="{00000000-0005-0000-0000-0000ED5B0000}"/>
    <cellStyle name="40% - Accent3 2 2 2 5 3 4" xfId="26690" xr:uid="{00000000-0005-0000-0000-0000EE5B0000}"/>
    <cellStyle name="40% - Accent3 2 2 2 5 3 5" xfId="33792" xr:uid="{00000000-0005-0000-0000-0000EF5B0000}"/>
    <cellStyle name="40% - Accent3 2 2 2 5 4" xfId="3961" xr:uid="{00000000-0005-0000-0000-0000F05B0000}"/>
    <cellStyle name="40% - Accent3 2 2 2 5 4 2" xfId="11067" xr:uid="{00000000-0005-0000-0000-0000F15B0000}"/>
    <cellStyle name="40% - Accent3 2 2 2 5 4 3" xfId="18168" xr:uid="{00000000-0005-0000-0000-0000F25B0000}"/>
    <cellStyle name="40% - Accent3 2 2 2 5 4 4" xfId="25270" xr:uid="{00000000-0005-0000-0000-0000F35B0000}"/>
    <cellStyle name="40% - Accent3 2 2 2 5 4 5" xfId="32372" xr:uid="{00000000-0005-0000-0000-0000F45B0000}"/>
    <cellStyle name="40% - Accent3 2 2 2 5 5" xfId="8227" xr:uid="{00000000-0005-0000-0000-0000F55B0000}"/>
    <cellStyle name="40% - Accent3 2 2 2 5 6" xfId="15328" xr:uid="{00000000-0005-0000-0000-0000F65B0000}"/>
    <cellStyle name="40% - Accent3 2 2 2 5 7" xfId="22430" xr:uid="{00000000-0005-0000-0000-0000F75B0000}"/>
    <cellStyle name="40% - Accent3 2 2 2 5 8" xfId="29532" xr:uid="{00000000-0005-0000-0000-0000F85B0000}"/>
    <cellStyle name="40% - Accent3 2 2 2 5 9" xfId="39068" xr:uid="{00000000-0005-0000-0000-0000F95B0000}"/>
    <cellStyle name="40% - Accent3 2 2 2 6" xfId="1474" xr:uid="{00000000-0005-0000-0000-0000FA5B0000}"/>
    <cellStyle name="40% - Accent3 2 2 2 6 2" xfId="2965" xr:uid="{00000000-0005-0000-0000-0000FB5B0000}"/>
    <cellStyle name="40% - Accent3 2 2 2 6 2 2" xfId="7233" xr:uid="{00000000-0005-0000-0000-0000FC5B0000}"/>
    <cellStyle name="40% - Accent3 2 2 2 6 2 2 2" xfId="14333" xr:uid="{00000000-0005-0000-0000-0000FD5B0000}"/>
    <cellStyle name="40% - Accent3 2 2 2 6 2 2 3" xfId="21434" xr:uid="{00000000-0005-0000-0000-0000FE5B0000}"/>
    <cellStyle name="40% - Accent3 2 2 2 6 2 2 4" xfId="28536" xr:uid="{00000000-0005-0000-0000-0000FF5B0000}"/>
    <cellStyle name="40% - Accent3 2 2 2 6 2 2 5" xfId="35638" xr:uid="{00000000-0005-0000-0000-0000005C0000}"/>
    <cellStyle name="40% - Accent3 2 2 2 6 2 3" xfId="10073" xr:uid="{00000000-0005-0000-0000-0000015C0000}"/>
    <cellStyle name="40% - Accent3 2 2 2 6 2 4" xfId="17174" xr:uid="{00000000-0005-0000-0000-0000025C0000}"/>
    <cellStyle name="40% - Accent3 2 2 2 6 2 5" xfId="24276" xr:uid="{00000000-0005-0000-0000-0000035C0000}"/>
    <cellStyle name="40% - Accent3 2 2 2 6 2 6" xfId="31378" xr:uid="{00000000-0005-0000-0000-0000045C0000}"/>
    <cellStyle name="40% - Accent3 2 2 2 6 2 7" xfId="39069" xr:uid="{00000000-0005-0000-0000-0000055C0000}"/>
    <cellStyle name="40% - Accent3 2 2 2 6 3" xfId="5812" xr:uid="{00000000-0005-0000-0000-0000065C0000}"/>
    <cellStyle name="40% - Accent3 2 2 2 6 3 2" xfId="12913" xr:uid="{00000000-0005-0000-0000-0000075C0000}"/>
    <cellStyle name="40% - Accent3 2 2 2 6 3 3" xfId="20014" xr:uid="{00000000-0005-0000-0000-0000085C0000}"/>
    <cellStyle name="40% - Accent3 2 2 2 6 3 4" xfId="27116" xr:uid="{00000000-0005-0000-0000-0000095C0000}"/>
    <cellStyle name="40% - Accent3 2 2 2 6 3 5" xfId="34218" xr:uid="{00000000-0005-0000-0000-00000A5C0000}"/>
    <cellStyle name="40% - Accent3 2 2 2 6 4" xfId="4387" xr:uid="{00000000-0005-0000-0000-00000B5C0000}"/>
    <cellStyle name="40% - Accent3 2 2 2 6 4 2" xfId="11493" xr:uid="{00000000-0005-0000-0000-00000C5C0000}"/>
    <cellStyle name="40% - Accent3 2 2 2 6 4 3" xfId="18594" xr:uid="{00000000-0005-0000-0000-00000D5C0000}"/>
    <cellStyle name="40% - Accent3 2 2 2 6 4 4" xfId="25696" xr:uid="{00000000-0005-0000-0000-00000E5C0000}"/>
    <cellStyle name="40% - Accent3 2 2 2 6 4 5" xfId="32798" xr:uid="{00000000-0005-0000-0000-00000F5C0000}"/>
    <cellStyle name="40% - Accent3 2 2 2 6 5" xfId="8653" xr:uid="{00000000-0005-0000-0000-0000105C0000}"/>
    <cellStyle name="40% - Accent3 2 2 2 6 6" xfId="15754" xr:uid="{00000000-0005-0000-0000-0000115C0000}"/>
    <cellStyle name="40% - Accent3 2 2 2 6 7" xfId="22856" xr:uid="{00000000-0005-0000-0000-0000125C0000}"/>
    <cellStyle name="40% - Accent3 2 2 2 6 8" xfId="29958" xr:uid="{00000000-0005-0000-0000-0000135C0000}"/>
    <cellStyle name="40% - Accent3 2 2 2 6 9" xfId="39070" xr:uid="{00000000-0005-0000-0000-0000145C0000}"/>
    <cellStyle name="40% - Accent3 2 2 2 7" xfId="1758" xr:uid="{00000000-0005-0000-0000-0000155C0000}"/>
    <cellStyle name="40% - Accent3 2 2 2 7 2" xfId="6026" xr:uid="{00000000-0005-0000-0000-0000165C0000}"/>
    <cellStyle name="40% - Accent3 2 2 2 7 2 2" xfId="13126" xr:uid="{00000000-0005-0000-0000-0000175C0000}"/>
    <cellStyle name="40% - Accent3 2 2 2 7 2 3" xfId="20227" xr:uid="{00000000-0005-0000-0000-0000185C0000}"/>
    <cellStyle name="40% - Accent3 2 2 2 7 2 4" xfId="27329" xr:uid="{00000000-0005-0000-0000-0000195C0000}"/>
    <cellStyle name="40% - Accent3 2 2 2 7 2 5" xfId="34431" xr:uid="{00000000-0005-0000-0000-00001A5C0000}"/>
    <cellStyle name="40% - Accent3 2 2 2 7 3" xfId="8866" xr:uid="{00000000-0005-0000-0000-00001B5C0000}"/>
    <cellStyle name="40% - Accent3 2 2 2 7 4" xfId="15967" xr:uid="{00000000-0005-0000-0000-00001C5C0000}"/>
    <cellStyle name="40% - Accent3 2 2 2 7 5" xfId="23069" xr:uid="{00000000-0005-0000-0000-00001D5C0000}"/>
    <cellStyle name="40% - Accent3 2 2 2 7 6" xfId="30171" xr:uid="{00000000-0005-0000-0000-00001E5C0000}"/>
    <cellStyle name="40% - Accent3 2 2 2 7 7" xfId="39071" xr:uid="{00000000-0005-0000-0000-00001F5C0000}"/>
    <cellStyle name="40% - Accent3 2 2 2 8" xfId="4605" xr:uid="{00000000-0005-0000-0000-0000205C0000}"/>
    <cellStyle name="40% - Accent3 2 2 2 8 2" xfId="11706" xr:uid="{00000000-0005-0000-0000-0000215C0000}"/>
    <cellStyle name="40% - Accent3 2 2 2 8 3" xfId="18807" xr:uid="{00000000-0005-0000-0000-0000225C0000}"/>
    <cellStyle name="40% - Accent3 2 2 2 8 4" xfId="25909" xr:uid="{00000000-0005-0000-0000-0000235C0000}"/>
    <cellStyle name="40% - Accent3 2 2 2 8 5" xfId="33011" xr:uid="{00000000-0005-0000-0000-0000245C0000}"/>
    <cellStyle name="40% - Accent3 2 2 2 9" xfId="3180" xr:uid="{00000000-0005-0000-0000-0000255C0000}"/>
    <cellStyle name="40% - Accent3 2 2 2 9 2" xfId="10286" xr:uid="{00000000-0005-0000-0000-0000265C0000}"/>
    <cellStyle name="40% - Accent3 2 2 2 9 3" xfId="17387" xr:uid="{00000000-0005-0000-0000-0000275C0000}"/>
    <cellStyle name="40% - Accent3 2 2 2 9 4" xfId="24489" xr:uid="{00000000-0005-0000-0000-0000285C0000}"/>
    <cellStyle name="40% - Accent3 2 2 2 9 5" xfId="31591" xr:uid="{00000000-0005-0000-0000-0000295C0000}"/>
    <cellStyle name="40% - Accent3 2 2 3" xfId="196" xr:uid="{00000000-0005-0000-0000-00002A5C0000}"/>
    <cellStyle name="40% - Accent3 2 2 3 10" xfId="7375" xr:uid="{00000000-0005-0000-0000-00002B5C0000}"/>
    <cellStyle name="40% - Accent3 2 2 3 11" xfId="14476" xr:uid="{00000000-0005-0000-0000-00002C5C0000}"/>
    <cellStyle name="40% - Accent3 2 2 3 12" xfId="21578" xr:uid="{00000000-0005-0000-0000-00002D5C0000}"/>
    <cellStyle name="40% - Accent3 2 2 3 13" xfId="28680" xr:uid="{00000000-0005-0000-0000-00002E5C0000}"/>
    <cellStyle name="40% - Accent3 2 2 3 14" xfId="35782" xr:uid="{00000000-0005-0000-0000-00002F5C0000}"/>
    <cellStyle name="40% - Accent3 2 2 3 15" xfId="39072" xr:uid="{00000000-0005-0000-0000-0000305C0000}"/>
    <cellStyle name="40% - Accent3 2 2 3 2" xfId="409" xr:uid="{00000000-0005-0000-0000-0000315C0000}"/>
    <cellStyle name="40% - Accent3 2 2 3 2 2" xfId="1900" xr:uid="{00000000-0005-0000-0000-0000325C0000}"/>
    <cellStyle name="40% - Accent3 2 2 3 2 2 2" xfId="6168" xr:uid="{00000000-0005-0000-0000-0000335C0000}"/>
    <cellStyle name="40% - Accent3 2 2 3 2 2 2 2" xfId="13268" xr:uid="{00000000-0005-0000-0000-0000345C0000}"/>
    <cellStyle name="40% - Accent3 2 2 3 2 2 2 3" xfId="20369" xr:uid="{00000000-0005-0000-0000-0000355C0000}"/>
    <cellStyle name="40% - Accent3 2 2 3 2 2 2 4" xfId="27471" xr:uid="{00000000-0005-0000-0000-0000365C0000}"/>
    <cellStyle name="40% - Accent3 2 2 3 2 2 2 5" xfId="34573" xr:uid="{00000000-0005-0000-0000-0000375C0000}"/>
    <cellStyle name="40% - Accent3 2 2 3 2 2 2 6" xfId="39073" xr:uid="{00000000-0005-0000-0000-0000385C0000}"/>
    <cellStyle name="40% - Accent3 2 2 3 2 2 3" xfId="9008" xr:uid="{00000000-0005-0000-0000-0000395C0000}"/>
    <cellStyle name="40% - Accent3 2 2 3 2 2 4" xfId="16109" xr:uid="{00000000-0005-0000-0000-00003A5C0000}"/>
    <cellStyle name="40% - Accent3 2 2 3 2 2 5" xfId="23211" xr:uid="{00000000-0005-0000-0000-00003B5C0000}"/>
    <cellStyle name="40% - Accent3 2 2 3 2 2 6" xfId="30313" xr:uid="{00000000-0005-0000-0000-00003C5C0000}"/>
    <cellStyle name="40% - Accent3 2 2 3 2 2 7" xfId="39074" xr:uid="{00000000-0005-0000-0000-00003D5C0000}"/>
    <cellStyle name="40% - Accent3 2 2 3 2 3" xfId="4747" xr:uid="{00000000-0005-0000-0000-00003E5C0000}"/>
    <cellStyle name="40% - Accent3 2 2 3 2 3 2" xfId="11848" xr:uid="{00000000-0005-0000-0000-00003F5C0000}"/>
    <cellStyle name="40% - Accent3 2 2 3 2 3 2 2" xfId="39075" xr:uid="{00000000-0005-0000-0000-0000405C0000}"/>
    <cellStyle name="40% - Accent3 2 2 3 2 3 3" xfId="18949" xr:uid="{00000000-0005-0000-0000-0000415C0000}"/>
    <cellStyle name="40% - Accent3 2 2 3 2 3 4" xfId="26051" xr:uid="{00000000-0005-0000-0000-0000425C0000}"/>
    <cellStyle name="40% - Accent3 2 2 3 2 3 5" xfId="33153" xr:uid="{00000000-0005-0000-0000-0000435C0000}"/>
    <cellStyle name="40% - Accent3 2 2 3 2 3 6" xfId="39076" xr:uid="{00000000-0005-0000-0000-0000445C0000}"/>
    <cellStyle name="40% - Accent3 2 2 3 2 4" xfId="3322" xr:uid="{00000000-0005-0000-0000-0000455C0000}"/>
    <cellStyle name="40% - Accent3 2 2 3 2 4 2" xfId="10428" xr:uid="{00000000-0005-0000-0000-0000465C0000}"/>
    <cellStyle name="40% - Accent3 2 2 3 2 4 3" xfId="17529" xr:uid="{00000000-0005-0000-0000-0000475C0000}"/>
    <cellStyle name="40% - Accent3 2 2 3 2 4 4" xfId="24631" xr:uid="{00000000-0005-0000-0000-0000485C0000}"/>
    <cellStyle name="40% - Accent3 2 2 3 2 4 5" xfId="31733" xr:uid="{00000000-0005-0000-0000-0000495C0000}"/>
    <cellStyle name="40% - Accent3 2 2 3 2 4 6" xfId="39077" xr:uid="{00000000-0005-0000-0000-00004A5C0000}"/>
    <cellStyle name="40% - Accent3 2 2 3 2 5" xfId="7588" xr:uid="{00000000-0005-0000-0000-00004B5C0000}"/>
    <cellStyle name="40% - Accent3 2 2 3 2 6" xfId="14689" xr:uid="{00000000-0005-0000-0000-00004C5C0000}"/>
    <cellStyle name="40% - Accent3 2 2 3 2 7" xfId="21791" xr:uid="{00000000-0005-0000-0000-00004D5C0000}"/>
    <cellStyle name="40% - Accent3 2 2 3 2 8" xfId="28893" xr:uid="{00000000-0005-0000-0000-00004E5C0000}"/>
    <cellStyle name="40% - Accent3 2 2 3 2 9" xfId="39078" xr:uid="{00000000-0005-0000-0000-00004F5C0000}"/>
    <cellStyle name="40% - Accent3 2 2 3 3" xfId="622" xr:uid="{00000000-0005-0000-0000-0000505C0000}"/>
    <cellStyle name="40% - Accent3 2 2 3 3 2" xfId="2113" xr:uid="{00000000-0005-0000-0000-0000515C0000}"/>
    <cellStyle name="40% - Accent3 2 2 3 3 2 2" xfId="6381" xr:uid="{00000000-0005-0000-0000-0000525C0000}"/>
    <cellStyle name="40% - Accent3 2 2 3 3 2 2 2" xfId="13481" xr:uid="{00000000-0005-0000-0000-0000535C0000}"/>
    <cellStyle name="40% - Accent3 2 2 3 3 2 2 3" xfId="20582" xr:uid="{00000000-0005-0000-0000-0000545C0000}"/>
    <cellStyle name="40% - Accent3 2 2 3 3 2 2 4" xfId="27684" xr:uid="{00000000-0005-0000-0000-0000555C0000}"/>
    <cellStyle name="40% - Accent3 2 2 3 3 2 2 5" xfId="34786" xr:uid="{00000000-0005-0000-0000-0000565C0000}"/>
    <cellStyle name="40% - Accent3 2 2 3 3 2 2 6" xfId="39079" xr:uid="{00000000-0005-0000-0000-0000575C0000}"/>
    <cellStyle name="40% - Accent3 2 2 3 3 2 3" xfId="9221" xr:uid="{00000000-0005-0000-0000-0000585C0000}"/>
    <cellStyle name="40% - Accent3 2 2 3 3 2 4" xfId="16322" xr:uid="{00000000-0005-0000-0000-0000595C0000}"/>
    <cellStyle name="40% - Accent3 2 2 3 3 2 5" xfId="23424" xr:uid="{00000000-0005-0000-0000-00005A5C0000}"/>
    <cellStyle name="40% - Accent3 2 2 3 3 2 6" xfId="30526" xr:uid="{00000000-0005-0000-0000-00005B5C0000}"/>
    <cellStyle name="40% - Accent3 2 2 3 3 2 7" xfId="39080" xr:uid="{00000000-0005-0000-0000-00005C5C0000}"/>
    <cellStyle name="40% - Accent3 2 2 3 3 3" xfId="4960" xr:uid="{00000000-0005-0000-0000-00005D5C0000}"/>
    <cellStyle name="40% - Accent3 2 2 3 3 3 2" xfId="12061" xr:uid="{00000000-0005-0000-0000-00005E5C0000}"/>
    <cellStyle name="40% - Accent3 2 2 3 3 3 2 2" xfId="39081" xr:uid="{00000000-0005-0000-0000-00005F5C0000}"/>
    <cellStyle name="40% - Accent3 2 2 3 3 3 3" xfId="19162" xr:uid="{00000000-0005-0000-0000-0000605C0000}"/>
    <cellStyle name="40% - Accent3 2 2 3 3 3 4" xfId="26264" xr:uid="{00000000-0005-0000-0000-0000615C0000}"/>
    <cellStyle name="40% - Accent3 2 2 3 3 3 5" xfId="33366" xr:uid="{00000000-0005-0000-0000-0000625C0000}"/>
    <cellStyle name="40% - Accent3 2 2 3 3 3 6" xfId="39082" xr:uid="{00000000-0005-0000-0000-0000635C0000}"/>
    <cellStyle name="40% - Accent3 2 2 3 3 4" xfId="3535" xr:uid="{00000000-0005-0000-0000-0000645C0000}"/>
    <cellStyle name="40% - Accent3 2 2 3 3 4 2" xfId="10641" xr:uid="{00000000-0005-0000-0000-0000655C0000}"/>
    <cellStyle name="40% - Accent3 2 2 3 3 4 3" xfId="17742" xr:uid="{00000000-0005-0000-0000-0000665C0000}"/>
    <cellStyle name="40% - Accent3 2 2 3 3 4 4" xfId="24844" xr:uid="{00000000-0005-0000-0000-0000675C0000}"/>
    <cellStyle name="40% - Accent3 2 2 3 3 4 5" xfId="31946" xr:uid="{00000000-0005-0000-0000-0000685C0000}"/>
    <cellStyle name="40% - Accent3 2 2 3 3 4 6" xfId="39083" xr:uid="{00000000-0005-0000-0000-0000695C0000}"/>
    <cellStyle name="40% - Accent3 2 2 3 3 5" xfId="7801" xr:uid="{00000000-0005-0000-0000-00006A5C0000}"/>
    <cellStyle name="40% - Accent3 2 2 3 3 6" xfId="14902" xr:uid="{00000000-0005-0000-0000-00006B5C0000}"/>
    <cellStyle name="40% - Accent3 2 2 3 3 7" xfId="22004" xr:uid="{00000000-0005-0000-0000-00006C5C0000}"/>
    <cellStyle name="40% - Accent3 2 2 3 3 8" xfId="29106" xr:uid="{00000000-0005-0000-0000-00006D5C0000}"/>
    <cellStyle name="40% - Accent3 2 2 3 3 9" xfId="39084" xr:uid="{00000000-0005-0000-0000-00006E5C0000}"/>
    <cellStyle name="40% - Accent3 2 2 3 4" xfId="835" xr:uid="{00000000-0005-0000-0000-00006F5C0000}"/>
    <cellStyle name="40% - Accent3 2 2 3 4 2" xfId="2326" xr:uid="{00000000-0005-0000-0000-0000705C0000}"/>
    <cellStyle name="40% - Accent3 2 2 3 4 2 2" xfId="6594" xr:uid="{00000000-0005-0000-0000-0000715C0000}"/>
    <cellStyle name="40% - Accent3 2 2 3 4 2 2 2" xfId="13694" xr:uid="{00000000-0005-0000-0000-0000725C0000}"/>
    <cellStyle name="40% - Accent3 2 2 3 4 2 2 3" xfId="20795" xr:uid="{00000000-0005-0000-0000-0000735C0000}"/>
    <cellStyle name="40% - Accent3 2 2 3 4 2 2 4" xfId="27897" xr:uid="{00000000-0005-0000-0000-0000745C0000}"/>
    <cellStyle name="40% - Accent3 2 2 3 4 2 2 5" xfId="34999" xr:uid="{00000000-0005-0000-0000-0000755C0000}"/>
    <cellStyle name="40% - Accent3 2 2 3 4 2 2 6" xfId="39085" xr:uid="{00000000-0005-0000-0000-0000765C0000}"/>
    <cellStyle name="40% - Accent3 2 2 3 4 2 3" xfId="9434" xr:uid="{00000000-0005-0000-0000-0000775C0000}"/>
    <cellStyle name="40% - Accent3 2 2 3 4 2 4" xfId="16535" xr:uid="{00000000-0005-0000-0000-0000785C0000}"/>
    <cellStyle name="40% - Accent3 2 2 3 4 2 5" xfId="23637" xr:uid="{00000000-0005-0000-0000-0000795C0000}"/>
    <cellStyle name="40% - Accent3 2 2 3 4 2 6" xfId="30739" xr:uid="{00000000-0005-0000-0000-00007A5C0000}"/>
    <cellStyle name="40% - Accent3 2 2 3 4 2 7" xfId="39086" xr:uid="{00000000-0005-0000-0000-00007B5C0000}"/>
    <cellStyle name="40% - Accent3 2 2 3 4 3" xfId="5173" xr:uid="{00000000-0005-0000-0000-00007C5C0000}"/>
    <cellStyle name="40% - Accent3 2 2 3 4 3 2" xfId="12274" xr:uid="{00000000-0005-0000-0000-00007D5C0000}"/>
    <cellStyle name="40% - Accent3 2 2 3 4 3 2 2" xfId="39087" xr:uid="{00000000-0005-0000-0000-00007E5C0000}"/>
    <cellStyle name="40% - Accent3 2 2 3 4 3 3" xfId="19375" xr:uid="{00000000-0005-0000-0000-00007F5C0000}"/>
    <cellStyle name="40% - Accent3 2 2 3 4 3 4" xfId="26477" xr:uid="{00000000-0005-0000-0000-0000805C0000}"/>
    <cellStyle name="40% - Accent3 2 2 3 4 3 5" xfId="33579" xr:uid="{00000000-0005-0000-0000-0000815C0000}"/>
    <cellStyle name="40% - Accent3 2 2 3 4 3 6" xfId="39088" xr:uid="{00000000-0005-0000-0000-0000825C0000}"/>
    <cellStyle name="40% - Accent3 2 2 3 4 4" xfId="3748" xr:uid="{00000000-0005-0000-0000-0000835C0000}"/>
    <cellStyle name="40% - Accent3 2 2 3 4 4 2" xfId="10854" xr:uid="{00000000-0005-0000-0000-0000845C0000}"/>
    <cellStyle name="40% - Accent3 2 2 3 4 4 3" xfId="17955" xr:uid="{00000000-0005-0000-0000-0000855C0000}"/>
    <cellStyle name="40% - Accent3 2 2 3 4 4 4" xfId="25057" xr:uid="{00000000-0005-0000-0000-0000865C0000}"/>
    <cellStyle name="40% - Accent3 2 2 3 4 4 5" xfId="32159" xr:uid="{00000000-0005-0000-0000-0000875C0000}"/>
    <cellStyle name="40% - Accent3 2 2 3 4 4 6" xfId="39089" xr:uid="{00000000-0005-0000-0000-0000885C0000}"/>
    <cellStyle name="40% - Accent3 2 2 3 4 5" xfId="8014" xr:uid="{00000000-0005-0000-0000-0000895C0000}"/>
    <cellStyle name="40% - Accent3 2 2 3 4 6" xfId="15115" xr:uid="{00000000-0005-0000-0000-00008A5C0000}"/>
    <cellStyle name="40% - Accent3 2 2 3 4 7" xfId="22217" xr:uid="{00000000-0005-0000-0000-00008B5C0000}"/>
    <cellStyle name="40% - Accent3 2 2 3 4 8" xfId="29319" xr:uid="{00000000-0005-0000-0000-00008C5C0000}"/>
    <cellStyle name="40% - Accent3 2 2 3 4 9" xfId="39090" xr:uid="{00000000-0005-0000-0000-00008D5C0000}"/>
    <cellStyle name="40% - Accent3 2 2 3 5" xfId="1190" xr:uid="{00000000-0005-0000-0000-00008E5C0000}"/>
    <cellStyle name="40% - Accent3 2 2 3 5 2" xfId="2681" xr:uid="{00000000-0005-0000-0000-00008F5C0000}"/>
    <cellStyle name="40% - Accent3 2 2 3 5 2 2" xfId="6949" xr:uid="{00000000-0005-0000-0000-0000905C0000}"/>
    <cellStyle name="40% - Accent3 2 2 3 5 2 2 2" xfId="14049" xr:uid="{00000000-0005-0000-0000-0000915C0000}"/>
    <cellStyle name="40% - Accent3 2 2 3 5 2 2 3" xfId="21150" xr:uid="{00000000-0005-0000-0000-0000925C0000}"/>
    <cellStyle name="40% - Accent3 2 2 3 5 2 2 4" xfId="28252" xr:uid="{00000000-0005-0000-0000-0000935C0000}"/>
    <cellStyle name="40% - Accent3 2 2 3 5 2 2 5" xfId="35354" xr:uid="{00000000-0005-0000-0000-0000945C0000}"/>
    <cellStyle name="40% - Accent3 2 2 3 5 2 3" xfId="9789" xr:uid="{00000000-0005-0000-0000-0000955C0000}"/>
    <cellStyle name="40% - Accent3 2 2 3 5 2 4" xfId="16890" xr:uid="{00000000-0005-0000-0000-0000965C0000}"/>
    <cellStyle name="40% - Accent3 2 2 3 5 2 5" xfId="23992" xr:uid="{00000000-0005-0000-0000-0000975C0000}"/>
    <cellStyle name="40% - Accent3 2 2 3 5 2 6" xfId="31094" xr:uid="{00000000-0005-0000-0000-0000985C0000}"/>
    <cellStyle name="40% - Accent3 2 2 3 5 2 7" xfId="39091" xr:uid="{00000000-0005-0000-0000-0000995C0000}"/>
    <cellStyle name="40% - Accent3 2 2 3 5 3" xfId="5528" xr:uid="{00000000-0005-0000-0000-00009A5C0000}"/>
    <cellStyle name="40% - Accent3 2 2 3 5 3 2" xfId="12629" xr:uid="{00000000-0005-0000-0000-00009B5C0000}"/>
    <cellStyle name="40% - Accent3 2 2 3 5 3 3" xfId="19730" xr:uid="{00000000-0005-0000-0000-00009C5C0000}"/>
    <cellStyle name="40% - Accent3 2 2 3 5 3 4" xfId="26832" xr:uid="{00000000-0005-0000-0000-00009D5C0000}"/>
    <cellStyle name="40% - Accent3 2 2 3 5 3 5" xfId="33934" xr:uid="{00000000-0005-0000-0000-00009E5C0000}"/>
    <cellStyle name="40% - Accent3 2 2 3 5 4" xfId="4103" xr:uid="{00000000-0005-0000-0000-00009F5C0000}"/>
    <cellStyle name="40% - Accent3 2 2 3 5 4 2" xfId="11209" xr:uid="{00000000-0005-0000-0000-0000A05C0000}"/>
    <cellStyle name="40% - Accent3 2 2 3 5 4 3" xfId="18310" xr:uid="{00000000-0005-0000-0000-0000A15C0000}"/>
    <cellStyle name="40% - Accent3 2 2 3 5 4 4" xfId="25412" xr:uid="{00000000-0005-0000-0000-0000A25C0000}"/>
    <cellStyle name="40% - Accent3 2 2 3 5 4 5" xfId="32514" xr:uid="{00000000-0005-0000-0000-0000A35C0000}"/>
    <cellStyle name="40% - Accent3 2 2 3 5 5" xfId="8369" xr:uid="{00000000-0005-0000-0000-0000A45C0000}"/>
    <cellStyle name="40% - Accent3 2 2 3 5 6" xfId="15470" xr:uid="{00000000-0005-0000-0000-0000A55C0000}"/>
    <cellStyle name="40% - Accent3 2 2 3 5 7" xfId="22572" xr:uid="{00000000-0005-0000-0000-0000A65C0000}"/>
    <cellStyle name="40% - Accent3 2 2 3 5 8" xfId="29674" xr:uid="{00000000-0005-0000-0000-0000A75C0000}"/>
    <cellStyle name="40% - Accent3 2 2 3 5 9" xfId="39092" xr:uid="{00000000-0005-0000-0000-0000A85C0000}"/>
    <cellStyle name="40% - Accent3 2 2 3 6" xfId="1403" xr:uid="{00000000-0005-0000-0000-0000A95C0000}"/>
    <cellStyle name="40% - Accent3 2 2 3 6 2" xfId="2894" xr:uid="{00000000-0005-0000-0000-0000AA5C0000}"/>
    <cellStyle name="40% - Accent3 2 2 3 6 2 2" xfId="7162" xr:uid="{00000000-0005-0000-0000-0000AB5C0000}"/>
    <cellStyle name="40% - Accent3 2 2 3 6 2 2 2" xfId="14262" xr:uid="{00000000-0005-0000-0000-0000AC5C0000}"/>
    <cellStyle name="40% - Accent3 2 2 3 6 2 2 3" xfId="21363" xr:uid="{00000000-0005-0000-0000-0000AD5C0000}"/>
    <cellStyle name="40% - Accent3 2 2 3 6 2 2 4" xfId="28465" xr:uid="{00000000-0005-0000-0000-0000AE5C0000}"/>
    <cellStyle name="40% - Accent3 2 2 3 6 2 2 5" xfId="35567" xr:uid="{00000000-0005-0000-0000-0000AF5C0000}"/>
    <cellStyle name="40% - Accent3 2 2 3 6 2 3" xfId="10002" xr:uid="{00000000-0005-0000-0000-0000B05C0000}"/>
    <cellStyle name="40% - Accent3 2 2 3 6 2 4" xfId="17103" xr:uid="{00000000-0005-0000-0000-0000B15C0000}"/>
    <cellStyle name="40% - Accent3 2 2 3 6 2 5" xfId="24205" xr:uid="{00000000-0005-0000-0000-0000B25C0000}"/>
    <cellStyle name="40% - Accent3 2 2 3 6 2 6" xfId="31307" xr:uid="{00000000-0005-0000-0000-0000B35C0000}"/>
    <cellStyle name="40% - Accent3 2 2 3 6 2 7" xfId="39093" xr:uid="{00000000-0005-0000-0000-0000B45C0000}"/>
    <cellStyle name="40% - Accent3 2 2 3 6 3" xfId="5741" xr:uid="{00000000-0005-0000-0000-0000B55C0000}"/>
    <cellStyle name="40% - Accent3 2 2 3 6 3 2" xfId="12842" xr:uid="{00000000-0005-0000-0000-0000B65C0000}"/>
    <cellStyle name="40% - Accent3 2 2 3 6 3 3" xfId="19943" xr:uid="{00000000-0005-0000-0000-0000B75C0000}"/>
    <cellStyle name="40% - Accent3 2 2 3 6 3 4" xfId="27045" xr:uid="{00000000-0005-0000-0000-0000B85C0000}"/>
    <cellStyle name="40% - Accent3 2 2 3 6 3 5" xfId="34147" xr:uid="{00000000-0005-0000-0000-0000B95C0000}"/>
    <cellStyle name="40% - Accent3 2 2 3 6 4" xfId="4316" xr:uid="{00000000-0005-0000-0000-0000BA5C0000}"/>
    <cellStyle name="40% - Accent3 2 2 3 6 4 2" xfId="11422" xr:uid="{00000000-0005-0000-0000-0000BB5C0000}"/>
    <cellStyle name="40% - Accent3 2 2 3 6 4 3" xfId="18523" xr:uid="{00000000-0005-0000-0000-0000BC5C0000}"/>
    <cellStyle name="40% - Accent3 2 2 3 6 4 4" xfId="25625" xr:uid="{00000000-0005-0000-0000-0000BD5C0000}"/>
    <cellStyle name="40% - Accent3 2 2 3 6 4 5" xfId="32727" xr:uid="{00000000-0005-0000-0000-0000BE5C0000}"/>
    <cellStyle name="40% - Accent3 2 2 3 6 5" xfId="8582" xr:uid="{00000000-0005-0000-0000-0000BF5C0000}"/>
    <cellStyle name="40% - Accent3 2 2 3 6 6" xfId="15683" xr:uid="{00000000-0005-0000-0000-0000C05C0000}"/>
    <cellStyle name="40% - Accent3 2 2 3 6 7" xfId="22785" xr:uid="{00000000-0005-0000-0000-0000C15C0000}"/>
    <cellStyle name="40% - Accent3 2 2 3 6 8" xfId="29887" xr:uid="{00000000-0005-0000-0000-0000C25C0000}"/>
    <cellStyle name="40% - Accent3 2 2 3 6 9" xfId="39094" xr:uid="{00000000-0005-0000-0000-0000C35C0000}"/>
    <cellStyle name="40% - Accent3 2 2 3 7" xfId="1687" xr:uid="{00000000-0005-0000-0000-0000C45C0000}"/>
    <cellStyle name="40% - Accent3 2 2 3 7 2" xfId="5955" xr:uid="{00000000-0005-0000-0000-0000C55C0000}"/>
    <cellStyle name="40% - Accent3 2 2 3 7 2 2" xfId="13055" xr:uid="{00000000-0005-0000-0000-0000C65C0000}"/>
    <cellStyle name="40% - Accent3 2 2 3 7 2 3" xfId="20156" xr:uid="{00000000-0005-0000-0000-0000C75C0000}"/>
    <cellStyle name="40% - Accent3 2 2 3 7 2 4" xfId="27258" xr:uid="{00000000-0005-0000-0000-0000C85C0000}"/>
    <cellStyle name="40% - Accent3 2 2 3 7 2 5" xfId="34360" xr:uid="{00000000-0005-0000-0000-0000C95C0000}"/>
    <cellStyle name="40% - Accent3 2 2 3 7 3" xfId="8795" xr:uid="{00000000-0005-0000-0000-0000CA5C0000}"/>
    <cellStyle name="40% - Accent3 2 2 3 7 4" xfId="15896" xr:uid="{00000000-0005-0000-0000-0000CB5C0000}"/>
    <cellStyle name="40% - Accent3 2 2 3 7 5" xfId="22998" xr:uid="{00000000-0005-0000-0000-0000CC5C0000}"/>
    <cellStyle name="40% - Accent3 2 2 3 7 6" xfId="30100" xr:uid="{00000000-0005-0000-0000-0000CD5C0000}"/>
    <cellStyle name="40% - Accent3 2 2 3 7 7" xfId="39095" xr:uid="{00000000-0005-0000-0000-0000CE5C0000}"/>
    <cellStyle name="40% - Accent3 2 2 3 8" xfId="4534" xr:uid="{00000000-0005-0000-0000-0000CF5C0000}"/>
    <cellStyle name="40% - Accent3 2 2 3 8 2" xfId="11635" xr:uid="{00000000-0005-0000-0000-0000D05C0000}"/>
    <cellStyle name="40% - Accent3 2 2 3 8 3" xfId="18736" xr:uid="{00000000-0005-0000-0000-0000D15C0000}"/>
    <cellStyle name="40% - Accent3 2 2 3 8 4" xfId="25838" xr:uid="{00000000-0005-0000-0000-0000D25C0000}"/>
    <cellStyle name="40% - Accent3 2 2 3 8 5" xfId="32940" xr:uid="{00000000-0005-0000-0000-0000D35C0000}"/>
    <cellStyle name="40% - Accent3 2 2 3 9" xfId="3109" xr:uid="{00000000-0005-0000-0000-0000D45C0000}"/>
    <cellStyle name="40% - Accent3 2 2 3 9 2" xfId="10215" xr:uid="{00000000-0005-0000-0000-0000D55C0000}"/>
    <cellStyle name="40% - Accent3 2 2 3 9 3" xfId="17316" xr:uid="{00000000-0005-0000-0000-0000D65C0000}"/>
    <cellStyle name="40% - Accent3 2 2 3 9 4" xfId="24418" xr:uid="{00000000-0005-0000-0000-0000D75C0000}"/>
    <cellStyle name="40% - Accent3 2 2 3 9 5" xfId="31520" xr:uid="{00000000-0005-0000-0000-0000D85C0000}"/>
    <cellStyle name="40% - Accent3 2 2 4" xfId="338" xr:uid="{00000000-0005-0000-0000-0000D95C0000}"/>
    <cellStyle name="40% - Accent3 2 2 4 10" xfId="39096" xr:uid="{00000000-0005-0000-0000-0000DA5C0000}"/>
    <cellStyle name="40% - Accent3 2 2 4 2" xfId="1119" xr:uid="{00000000-0005-0000-0000-0000DB5C0000}"/>
    <cellStyle name="40% - Accent3 2 2 4 2 2" xfId="2610" xr:uid="{00000000-0005-0000-0000-0000DC5C0000}"/>
    <cellStyle name="40% - Accent3 2 2 4 2 2 2" xfId="6878" xr:uid="{00000000-0005-0000-0000-0000DD5C0000}"/>
    <cellStyle name="40% - Accent3 2 2 4 2 2 2 2" xfId="13978" xr:uid="{00000000-0005-0000-0000-0000DE5C0000}"/>
    <cellStyle name="40% - Accent3 2 2 4 2 2 2 3" xfId="21079" xr:uid="{00000000-0005-0000-0000-0000DF5C0000}"/>
    <cellStyle name="40% - Accent3 2 2 4 2 2 2 4" xfId="28181" xr:uid="{00000000-0005-0000-0000-0000E05C0000}"/>
    <cellStyle name="40% - Accent3 2 2 4 2 2 2 5" xfId="35283" xr:uid="{00000000-0005-0000-0000-0000E15C0000}"/>
    <cellStyle name="40% - Accent3 2 2 4 2 2 3" xfId="9718" xr:uid="{00000000-0005-0000-0000-0000E25C0000}"/>
    <cellStyle name="40% - Accent3 2 2 4 2 2 4" xfId="16819" xr:uid="{00000000-0005-0000-0000-0000E35C0000}"/>
    <cellStyle name="40% - Accent3 2 2 4 2 2 5" xfId="23921" xr:uid="{00000000-0005-0000-0000-0000E45C0000}"/>
    <cellStyle name="40% - Accent3 2 2 4 2 2 6" xfId="31023" xr:uid="{00000000-0005-0000-0000-0000E55C0000}"/>
    <cellStyle name="40% - Accent3 2 2 4 2 2 7" xfId="39097" xr:uid="{00000000-0005-0000-0000-0000E65C0000}"/>
    <cellStyle name="40% - Accent3 2 2 4 2 3" xfId="5457" xr:uid="{00000000-0005-0000-0000-0000E75C0000}"/>
    <cellStyle name="40% - Accent3 2 2 4 2 3 2" xfId="12558" xr:uid="{00000000-0005-0000-0000-0000E85C0000}"/>
    <cellStyle name="40% - Accent3 2 2 4 2 3 3" xfId="19659" xr:uid="{00000000-0005-0000-0000-0000E95C0000}"/>
    <cellStyle name="40% - Accent3 2 2 4 2 3 4" xfId="26761" xr:uid="{00000000-0005-0000-0000-0000EA5C0000}"/>
    <cellStyle name="40% - Accent3 2 2 4 2 3 5" xfId="33863" xr:uid="{00000000-0005-0000-0000-0000EB5C0000}"/>
    <cellStyle name="40% - Accent3 2 2 4 2 4" xfId="4032" xr:uid="{00000000-0005-0000-0000-0000EC5C0000}"/>
    <cellStyle name="40% - Accent3 2 2 4 2 4 2" xfId="11138" xr:uid="{00000000-0005-0000-0000-0000ED5C0000}"/>
    <cellStyle name="40% - Accent3 2 2 4 2 4 3" xfId="18239" xr:uid="{00000000-0005-0000-0000-0000EE5C0000}"/>
    <cellStyle name="40% - Accent3 2 2 4 2 4 4" xfId="25341" xr:uid="{00000000-0005-0000-0000-0000EF5C0000}"/>
    <cellStyle name="40% - Accent3 2 2 4 2 4 5" xfId="32443" xr:uid="{00000000-0005-0000-0000-0000F05C0000}"/>
    <cellStyle name="40% - Accent3 2 2 4 2 5" xfId="8298" xr:uid="{00000000-0005-0000-0000-0000F15C0000}"/>
    <cellStyle name="40% - Accent3 2 2 4 2 6" xfId="15399" xr:uid="{00000000-0005-0000-0000-0000F25C0000}"/>
    <cellStyle name="40% - Accent3 2 2 4 2 7" xfId="22501" xr:uid="{00000000-0005-0000-0000-0000F35C0000}"/>
    <cellStyle name="40% - Accent3 2 2 4 2 8" xfId="29603" xr:uid="{00000000-0005-0000-0000-0000F45C0000}"/>
    <cellStyle name="40% - Accent3 2 2 4 2 9" xfId="39098" xr:uid="{00000000-0005-0000-0000-0000F55C0000}"/>
    <cellStyle name="40% - Accent3 2 2 4 3" xfId="1829" xr:uid="{00000000-0005-0000-0000-0000F65C0000}"/>
    <cellStyle name="40% - Accent3 2 2 4 3 2" xfId="6097" xr:uid="{00000000-0005-0000-0000-0000F75C0000}"/>
    <cellStyle name="40% - Accent3 2 2 4 3 2 2" xfId="13197" xr:uid="{00000000-0005-0000-0000-0000F85C0000}"/>
    <cellStyle name="40% - Accent3 2 2 4 3 2 3" xfId="20298" xr:uid="{00000000-0005-0000-0000-0000F95C0000}"/>
    <cellStyle name="40% - Accent3 2 2 4 3 2 4" xfId="27400" xr:uid="{00000000-0005-0000-0000-0000FA5C0000}"/>
    <cellStyle name="40% - Accent3 2 2 4 3 2 5" xfId="34502" xr:uid="{00000000-0005-0000-0000-0000FB5C0000}"/>
    <cellStyle name="40% - Accent3 2 2 4 3 2 6" xfId="39099" xr:uid="{00000000-0005-0000-0000-0000FC5C0000}"/>
    <cellStyle name="40% - Accent3 2 2 4 3 3" xfId="8937" xr:uid="{00000000-0005-0000-0000-0000FD5C0000}"/>
    <cellStyle name="40% - Accent3 2 2 4 3 4" xfId="16038" xr:uid="{00000000-0005-0000-0000-0000FE5C0000}"/>
    <cellStyle name="40% - Accent3 2 2 4 3 5" xfId="23140" xr:uid="{00000000-0005-0000-0000-0000FF5C0000}"/>
    <cellStyle name="40% - Accent3 2 2 4 3 6" xfId="30242" xr:uid="{00000000-0005-0000-0000-0000005D0000}"/>
    <cellStyle name="40% - Accent3 2 2 4 3 7" xfId="39100" xr:uid="{00000000-0005-0000-0000-0000015D0000}"/>
    <cellStyle name="40% - Accent3 2 2 4 4" xfId="4676" xr:uid="{00000000-0005-0000-0000-0000025D0000}"/>
    <cellStyle name="40% - Accent3 2 2 4 4 2" xfId="11777" xr:uid="{00000000-0005-0000-0000-0000035D0000}"/>
    <cellStyle name="40% - Accent3 2 2 4 4 3" xfId="18878" xr:uid="{00000000-0005-0000-0000-0000045D0000}"/>
    <cellStyle name="40% - Accent3 2 2 4 4 4" xfId="25980" xr:uid="{00000000-0005-0000-0000-0000055D0000}"/>
    <cellStyle name="40% - Accent3 2 2 4 4 5" xfId="33082" xr:uid="{00000000-0005-0000-0000-0000065D0000}"/>
    <cellStyle name="40% - Accent3 2 2 4 4 6" xfId="39101" xr:uid="{00000000-0005-0000-0000-0000075D0000}"/>
    <cellStyle name="40% - Accent3 2 2 4 5" xfId="3251" xr:uid="{00000000-0005-0000-0000-0000085D0000}"/>
    <cellStyle name="40% - Accent3 2 2 4 5 2" xfId="10357" xr:uid="{00000000-0005-0000-0000-0000095D0000}"/>
    <cellStyle name="40% - Accent3 2 2 4 5 3" xfId="17458" xr:uid="{00000000-0005-0000-0000-00000A5D0000}"/>
    <cellStyle name="40% - Accent3 2 2 4 5 4" xfId="24560" xr:uid="{00000000-0005-0000-0000-00000B5D0000}"/>
    <cellStyle name="40% - Accent3 2 2 4 5 5" xfId="31662" xr:uid="{00000000-0005-0000-0000-00000C5D0000}"/>
    <cellStyle name="40% - Accent3 2 2 4 6" xfId="7517" xr:uid="{00000000-0005-0000-0000-00000D5D0000}"/>
    <cellStyle name="40% - Accent3 2 2 4 7" xfId="14618" xr:uid="{00000000-0005-0000-0000-00000E5D0000}"/>
    <cellStyle name="40% - Accent3 2 2 4 8" xfId="21720" xr:uid="{00000000-0005-0000-0000-00000F5D0000}"/>
    <cellStyle name="40% - Accent3 2 2 4 9" xfId="28822" xr:uid="{00000000-0005-0000-0000-0000105D0000}"/>
    <cellStyle name="40% - Accent3 2 2 5" xfId="551" xr:uid="{00000000-0005-0000-0000-0000115D0000}"/>
    <cellStyle name="40% - Accent3 2 2 5 2" xfId="2042" xr:uid="{00000000-0005-0000-0000-0000125D0000}"/>
    <cellStyle name="40% - Accent3 2 2 5 2 2" xfId="6310" xr:uid="{00000000-0005-0000-0000-0000135D0000}"/>
    <cellStyle name="40% - Accent3 2 2 5 2 2 2" xfId="13410" xr:uid="{00000000-0005-0000-0000-0000145D0000}"/>
    <cellStyle name="40% - Accent3 2 2 5 2 2 3" xfId="20511" xr:uid="{00000000-0005-0000-0000-0000155D0000}"/>
    <cellStyle name="40% - Accent3 2 2 5 2 2 4" xfId="27613" xr:uid="{00000000-0005-0000-0000-0000165D0000}"/>
    <cellStyle name="40% - Accent3 2 2 5 2 2 5" xfId="34715" xr:uid="{00000000-0005-0000-0000-0000175D0000}"/>
    <cellStyle name="40% - Accent3 2 2 5 2 2 6" xfId="39102" xr:uid="{00000000-0005-0000-0000-0000185D0000}"/>
    <cellStyle name="40% - Accent3 2 2 5 2 3" xfId="9150" xr:uid="{00000000-0005-0000-0000-0000195D0000}"/>
    <cellStyle name="40% - Accent3 2 2 5 2 4" xfId="16251" xr:uid="{00000000-0005-0000-0000-00001A5D0000}"/>
    <cellStyle name="40% - Accent3 2 2 5 2 5" xfId="23353" xr:uid="{00000000-0005-0000-0000-00001B5D0000}"/>
    <cellStyle name="40% - Accent3 2 2 5 2 6" xfId="30455" xr:uid="{00000000-0005-0000-0000-00001C5D0000}"/>
    <cellStyle name="40% - Accent3 2 2 5 2 7" xfId="39103" xr:uid="{00000000-0005-0000-0000-00001D5D0000}"/>
    <cellStyle name="40% - Accent3 2 2 5 3" xfId="4889" xr:uid="{00000000-0005-0000-0000-00001E5D0000}"/>
    <cellStyle name="40% - Accent3 2 2 5 3 2" xfId="11990" xr:uid="{00000000-0005-0000-0000-00001F5D0000}"/>
    <cellStyle name="40% - Accent3 2 2 5 3 2 2" xfId="39104" xr:uid="{00000000-0005-0000-0000-0000205D0000}"/>
    <cellStyle name="40% - Accent3 2 2 5 3 3" xfId="19091" xr:uid="{00000000-0005-0000-0000-0000215D0000}"/>
    <cellStyle name="40% - Accent3 2 2 5 3 4" xfId="26193" xr:uid="{00000000-0005-0000-0000-0000225D0000}"/>
    <cellStyle name="40% - Accent3 2 2 5 3 5" xfId="33295" xr:uid="{00000000-0005-0000-0000-0000235D0000}"/>
    <cellStyle name="40% - Accent3 2 2 5 3 6" xfId="39105" xr:uid="{00000000-0005-0000-0000-0000245D0000}"/>
    <cellStyle name="40% - Accent3 2 2 5 4" xfId="3464" xr:uid="{00000000-0005-0000-0000-0000255D0000}"/>
    <cellStyle name="40% - Accent3 2 2 5 4 2" xfId="10570" xr:uid="{00000000-0005-0000-0000-0000265D0000}"/>
    <cellStyle name="40% - Accent3 2 2 5 4 3" xfId="17671" xr:uid="{00000000-0005-0000-0000-0000275D0000}"/>
    <cellStyle name="40% - Accent3 2 2 5 4 4" xfId="24773" xr:uid="{00000000-0005-0000-0000-0000285D0000}"/>
    <cellStyle name="40% - Accent3 2 2 5 4 5" xfId="31875" xr:uid="{00000000-0005-0000-0000-0000295D0000}"/>
    <cellStyle name="40% - Accent3 2 2 5 4 6" xfId="39106" xr:uid="{00000000-0005-0000-0000-00002A5D0000}"/>
    <cellStyle name="40% - Accent3 2 2 5 5" xfId="7730" xr:uid="{00000000-0005-0000-0000-00002B5D0000}"/>
    <cellStyle name="40% - Accent3 2 2 5 6" xfId="14831" xr:uid="{00000000-0005-0000-0000-00002C5D0000}"/>
    <cellStyle name="40% - Accent3 2 2 5 7" xfId="21933" xr:uid="{00000000-0005-0000-0000-00002D5D0000}"/>
    <cellStyle name="40% - Accent3 2 2 5 8" xfId="29035" xr:uid="{00000000-0005-0000-0000-00002E5D0000}"/>
    <cellStyle name="40% - Accent3 2 2 5 9" xfId="39107" xr:uid="{00000000-0005-0000-0000-00002F5D0000}"/>
    <cellStyle name="40% - Accent3 2 2 6" xfId="764" xr:uid="{00000000-0005-0000-0000-0000305D0000}"/>
    <cellStyle name="40% - Accent3 2 2 6 2" xfId="2255" xr:uid="{00000000-0005-0000-0000-0000315D0000}"/>
    <cellStyle name="40% - Accent3 2 2 6 2 2" xfId="6523" xr:uid="{00000000-0005-0000-0000-0000325D0000}"/>
    <cellStyle name="40% - Accent3 2 2 6 2 2 2" xfId="13623" xr:uid="{00000000-0005-0000-0000-0000335D0000}"/>
    <cellStyle name="40% - Accent3 2 2 6 2 2 3" xfId="20724" xr:uid="{00000000-0005-0000-0000-0000345D0000}"/>
    <cellStyle name="40% - Accent3 2 2 6 2 2 4" xfId="27826" xr:uid="{00000000-0005-0000-0000-0000355D0000}"/>
    <cellStyle name="40% - Accent3 2 2 6 2 2 5" xfId="34928" xr:uid="{00000000-0005-0000-0000-0000365D0000}"/>
    <cellStyle name="40% - Accent3 2 2 6 2 2 6" xfId="39108" xr:uid="{00000000-0005-0000-0000-0000375D0000}"/>
    <cellStyle name="40% - Accent3 2 2 6 2 3" xfId="9363" xr:uid="{00000000-0005-0000-0000-0000385D0000}"/>
    <cellStyle name="40% - Accent3 2 2 6 2 4" xfId="16464" xr:uid="{00000000-0005-0000-0000-0000395D0000}"/>
    <cellStyle name="40% - Accent3 2 2 6 2 5" xfId="23566" xr:uid="{00000000-0005-0000-0000-00003A5D0000}"/>
    <cellStyle name="40% - Accent3 2 2 6 2 6" xfId="30668" xr:uid="{00000000-0005-0000-0000-00003B5D0000}"/>
    <cellStyle name="40% - Accent3 2 2 6 2 7" xfId="39109" xr:uid="{00000000-0005-0000-0000-00003C5D0000}"/>
    <cellStyle name="40% - Accent3 2 2 6 3" xfId="5102" xr:uid="{00000000-0005-0000-0000-00003D5D0000}"/>
    <cellStyle name="40% - Accent3 2 2 6 3 2" xfId="12203" xr:uid="{00000000-0005-0000-0000-00003E5D0000}"/>
    <cellStyle name="40% - Accent3 2 2 6 3 2 2" xfId="39110" xr:uid="{00000000-0005-0000-0000-00003F5D0000}"/>
    <cellStyle name="40% - Accent3 2 2 6 3 3" xfId="19304" xr:uid="{00000000-0005-0000-0000-0000405D0000}"/>
    <cellStyle name="40% - Accent3 2 2 6 3 4" xfId="26406" xr:uid="{00000000-0005-0000-0000-0000415D0000}"/>
    <cellStyle name="40% - Accent3 2 2 6 3 5" xfId="33508" xr:uid="{00000000-0005-0000-0000-0000425D0000}"/>
    <cellStyle name="40% - Accent3 2 2 6 3 6" xfId="39111" xr:uid="{00000000-0005-0000-0000-0000435D0000}"/>
    <cellStyle name="40% - Accent3 2 2 6 4" xfId="3677" xr:uid="{00000000-0005-0000-0000-0000445D0000}"/>
    <cellStyle name="40% - Accent3 2 2 6 4 2" xfId="10783" xr:uid="{00000000-0005-0000-0000-0000455D0000}"/>
    <cellStyle name="40% - Accent3 2 2 6 4 3" xfId="17884" xr:uid="{00000000-0005-0000-0000-0000465D0000}"/>
    <cellStyle name="40% - Accent3 2 2 6 4 4" xfId="24986" xr:uid="{00000000-0005-0000-0000-0000475D0000}"/>
    <cellStyle name="40% - Accent3 2 2 6 4 5" xfId="32088" xr:uid="{00000000-0005-0000-0000-0000485D0000}"/>
    <cellStyle name="40% - Accent3 2 2 6 4 6" xfId="39112" xr:uid="{00000000-0005-0000-0000-0000495D0000}"/>
    <cellStyle name="40% - Accent3 2 2 6 5" xfId="7943" xr:uid="{00000000-0005-0000-0000-00004A5D0000}"/>
    <cellStyle name="40% - Accent3 2 2 6 6" xfId="15044" xr:uid="{00000000-0005-0000-0000-00004B5D0000}"/>
    <cellStyle name="40% - Accent3 2 2 6 7" xfId="22146" xr:uid="{00000000-0005-0000-0000-00004C5D0000}"/>
    <cellStyle name="40% - Accent3 2 2 6 8" xfId="29248" xr:uid="{00000000-0005-0000-0000-00004D5D0000}"/>
    <cellStyle name="40% - Accent3 2 2 6 9" xfId="39113" xr:uid="{00000000-0005-0000-0000-00004E5D0000}"/>
    <cellStyle name="40% - Accent3 2 2 7" xfId="977" xr:uid="{00000000-0005-0000-0000-00004F5D0000}"/>
    <cellStyle name="40% - Accent3 2 2 7 2" xfId="2468" xr:uid="{00000000-0005-0000-0000-0000505D0000}"/>
    <cellStyle name="40% - Accent3 2 2 7 2 2" xfId="6736" xr:uid="{00000000-0005-0000-0000-0000515D0000}"/>
    <cellStyle name="40% - Accent3 2 2 7 2 2 2" xfId="13836" xr:uid="{00000000-0005-0000-0000-0000525D0000}"/>
    <cellStyle name="40% - Accent3 2 2 7 2 2 3" xfId="20937" xr:uid="{00000000-0005-0000-0000-0000535D0000}"/>
    <cellStyle name="40% - Accent3 2 2 7 2 2 4" xfId="28039" xr:uid="{00000000-0005-0000-0000-0000545D0000}"/>
    <cellStyle name="40% - Accent3 2 2 7 2 2 5" xfId="35141" xr:uid="{00000000-0005-0000-0000-0000555D0000}"/>
    <cellStyle name="40% - Accent3 2 2 7 2 3" xfId="9576" xr:uid="{00000000-0005-0000-0000-0000565D0000}"/>
    <cellStyle name="40% - Accent3 2 2 7 2 4" xfId="16677" xr:uid="{00000000-0005-0000-0000-0000575D0000}"/>
    <cellStyle name="40% - Accent3 2 2 7 2 5" xfId="23779" xr:uid="{00000000-0005-0000-0000-0000585D0000}"/>
    <cellStyle name="40% - Accent3 2 2 7 2 6" xfId="30881" xr:uid="{00000000-0005-0000-0000-0000595D0000}"/>
    <cellStyle name="40% - Accent3 2 2 7 2 7" xfId="39114" xr:uid="{00000000-0005-0000-0000-00005A5D0000}"/>
    <cellStyle name="40% - Accent3 2 2 7 3" xfId="5315" xr:uid="{00000000-0005-0000-0000-00005B5D0000}"/>
    <cellStyle name="40% - Accent3 2 2 7 3 2" xfId="12416" xr:uid="{00000000-0005-0000-0000-00005C5D0000}"/>
    <cellStyle name="40% - Accent3 2 2 7 3 3" xfId="19517" xr:uid="{00000000-0005-0000-0000-00005D5D0000}"/>
    <cellStyle name="40% - Accent3 2 2 7 3 4" xfId="26619" xr:uid="{00000000-0005-0000-0000-00005E5D0000}"/>
    <cellStyle name="40% - Accent3 2 2 7 3 5" xfId="33721" xr:uid="{00000000-0005-0000-0000-00005F5D0000}"/>
    <cellStyle name="40% - Accent3 2 2 7 4" xfId="3890" xr:uid="{00000000-0005-0000-0000-0000605D0000}"/>
    <cellStyle name="40% - Accent3 2 2 7 4 2" xfId="10996" xr:uid="{00000000-0005-0000-0000-0000615D0000}"/>
    <cellStyle name="40% - Accent3 2 2 7 4 3" xfId="18097" xr:uid="{00000000-0005-0000-0000-0000625D0000}"/>
    <cellStyle name="40% - Accent3 2 2 7 4 4" xfId="25199" xr:uid="{00000000-0005-0000-0000-0000635D0000}"/>
    <cellStyle name="40% - Accent3 2 2 7 4 5" xfId="32301" xr:uid="{00000000-0005-0000-0000-0000645D0000}"/>
    <cellStyle name="40% - Accent3 2 2 7 5" xfId="8156" xr:uid="{00000000-0005-0000-0000-0000655D0000}"/>
    <cellStyle name="40% - Accent3 2 2 7 6" xfId="15257" xr:uid="{00000000-0005-0000-0000-0000665D0000}"/>
    <cellStyle name="40% - Accent3 2 2 7 7" xfId="22359" xr:uid="{00000000-0005-0000-0000-0000675D0000}"/>
    <cellStyle name="40% - Accent3 2 2 7 8" xfId="29461" xr:uid="{00000000-0005-0000-0000-0000685D0000}"/>
    <cellStyle name="40% - Accent3 2 2 7 9" xfId="39115" xr:uid="{00000000-0005-0000-0000-0000695D0000}"/>
    <cellStyle name="40% - Accent3 2 2 8" xfId="1332" xr:uid="{00000000-0005-0000-0000-00006A5D0000}"/>
    <cellStyle name="40% - Accent3 2 2 8 2" xfId="2823" xr:uid="{00000000-0005-0000-0000-00006B5D0000}"/>
    <cellStyle name="40% - Accent3 2 2 8 2 2" xfId="7091" xr:uid="{00000000-0005-0000-0000-00006C5D0000}"/>
    <cellStyle name="40% - Accent3 2 2 8 2 2 2" xfId="14191" xr:uid="{00000000-0005-0000-0000-00006D5D0000}"/>
    <cellStyle name="40% - Accent3 2 2 8 2 2 3" xfId="21292" xr:uid="{00000000-0005-0000-0000-00006E5D0000}"/>
    <cellStyle name="40% - Accent3 2 2 8 2 2 4" xfId="28394" xr:uid="{00000000-0005-0000-0000-00006F5D0000}"/>
    <cellStyle name="40% - Accent3 2 2 8 2 2 5" xfId="35496" xr:uid="{00000000-0005-0000-0000-0000705D0000}"/>
    <cellStyle name="40% - Accent3 2 2 8 2 3" xfId="9931" xr:uid="{00000000-0005-0000-0000-0000715D0000}"/>
    <cellStyle name="40% - Accent3 2 2 8 2 4" xfId="17032" xr:uid="{00000000-0005-0000-0000-0000725D0000}"/>
    <cellStyle name="40% - Accent3 2 2 8 2 5" xfId="24134" xr:uid="{00000000-0005-0000-0000-0000735D0000}"/>
    <cellStyle name="40% - Accent3 2 2 8 2 6" xfId="31236" xr:uid="{00000000-0005-0000-0000-0000745D0000}"/>
    <cellStyle name="40% - Accent3 2 2 8 2 7" xfId="39116" xr:uid="{00000000-0005-0000-0000-0000755D0000}"/>
    <cellStyle name="40% - Accent3 2 2 8 3" xfId="5670" xr:uid="{00000000-0005-0000-0000-0000765D0000}"/>
    <cellStyle name="40% - Accent3 2 2 8 3 2" xfId="12771" xr:uid="{00000000-0005-0000-0000-0000775D0000}"/>
    <cellStyle name="40% - Accent3 2 2 8 3 3" xfId="19872" xr:uid="{00000000-0005-0000-0000-0000785D0000}"/>
    <cellStyle name="40% - Accent3 2 2 8 3 4" xfId="26974" xr:uid="{00000000-0005-0000-0000-0000795D0000}"/>
    <cellStyle name="40% - Accent3 2 2 8 3 5" xfId="34076" xr:uid="{00000000-0005-0000-0000-00007A5D0000}"/>
    <cellStyle name="40% - Accent3 2 2 8 4" xfId="4245" xr:uid="{00000000-0005-0000-0000-00007B5D0000}"/>
    <cellStyle name="40% - Accent3 2 2 8 4 2" xfId="11351" xr:uid="{00000000-0005-0000-0000-00007C5D0000}"/>
    <cellStyle name="40% - Accent3 2 2 8 4 3" xfId="18452" xr:uid="{00000000-0005-0000-0000-00007D5D0000}"/>
    <cellStyle name="40% - Accent3 2 2 8 4 4" xfId="25554" xr:uid="{00000000-0005-0000-0000-00007E5D0000}"/>
    <cellStyle name="40% - Accent3 2 2 8 4 5" xfId="32656" xr:uid="{00000000-0005-0000-0000-00007F5D0000}"/>
    <cellStyle name="40% - Accent3 2 2 8 5" xfId="8511" xr:uid="{00000000-0005-0000-0000-0000805D0000}"/>
    <cellStyle name="40% - Accent3 2 2 8 6" xfId="15612" xr:uid="{00000000-0005-0000-0000-0000815D0000}"/>
    <cellStyle name="40% - Accent3 2 2 8 7" xfId="22714" xr:uid="{00000000-0005-0000-0000-0000825D0000}"/>
    <cellStyle name="40% - Accent3 2 2 8 8" xfId="29816" xr:uid="{00000000-0005-0000-0000-0000835D0000}"/>
    <cellStyle name="40% - Accent3 2 2 8 9" xfId="39117" xr:uid="{00000000-0005-0000-0000-0000845D0000}"/>
    <cellStyle name="40% - Accent3 2 2 9" xfId="1616" xr:uid="{00000000-0005-0000-0000-0000855D0000}"/>
    <cellStyle name="40% - Accent3 2 2 9 2" xfId="5884" xr:uid="{00000000-0005-0000-0000-0000865D0000}"/>
    <cellStyle name="40% - Accent3 2 2 9 2 2" xfId="12984" xr:uid="{00000000-0005-0000-0000-0000875D0000}"/>
    <cellStyle name="40% - Accent3 2 2 9 2 3" xfId="20085" xr:uid="{00000000-0005-0000-0000-0000885D0000}"/>
    <cellStyle name="40% - Accent3 2 2 9 2 4" xfId="27187" xr:uid="{00000000-0005-0000-0000-0000895D0000}"/>
    <cellStyle name="40% - Accent3 2 2 9 2 5" xfId="34289" xr:uid="{00000000-0005-0000-0000-00008A5D0000}"/>
    <cellStyle name="40% - Accent3 2 2 9 3" xfId="8724" xr:uid="{00000000-0005-0000-0000-00008B5D0000}"/>
    <cellStyle name="40% - Accent3 2 2 9 4" xfId="15825" xr:uid="{00000000-0005-0000-0000-00008C5D0000}"/>
    <cellStyle name="40% - Accent3 2 2 9 5" xfId="22927" xr:uid="{00000000-0005-0000-0000-00008D5D0000}"/>
    <cellStyle name="40% - Accent3 2 2 9 6" xfId="30029" xr:uid="{00000000-0005-0000-0000-00008E5D0000}"/>
    <cellStyle name="40% - Accent3 2 2 9 7" xfId="39118" xr:uid="{00000000-0005-0000-0000-00008F5D0000}"/>
    <cellStyle name="40% - Accent3 2 3" xfId="236" xr:uid="{00000000-0005-0000-0000-0000905D0000}"/>
    <cellStyle name="40% - Accent3 2 3 10" xfId="7415" xr:uid="{00000000-0005-0000-0000-0000915D0000}"/>
    <cellStyle name="40% - Accent3 2 3 11" xfId="14516" xr:uid="{00000000-0005-0000-0000-0000925D0000}"/>
    <cellStyle name="40% - Accent3 2 3 12" xfId="21618" xr:uid="{00000000-0005-0000-0000-0000935D0000}"/>
    <cellStyle name="40% - Accent3 2 3 13" xfId="28720" xr:uid="{00000000-0005-0000-0000-0000945D0000}"/>
    <cellStyle name="40% - Accent3 2 3 14" xfId="35822" xr:uid="{00000000-0005-0000-0000-0000955D0000}"/>
    <cellStyle name="40% - Accent3 2 3 15" xfId="39119" xr:uid="{00000000-0005-0000-0000-0000965D0000}"/>
    <cellStyle name="40% - Accent3 2 3 2" xfId="449" xr:uid="{00000000-0005-0000-0000-0000975D0000}"/>
    <cellStyle name="40% - Accent3 2 3 2 10" xfId="39120" xr:uid="{00000000-0005-0000-0000-0000985D0000}"/>
    <cellStyle name="40% - Accent3 2 3 2 2" xfId="1230" xr:uid="{00000000-0005-0000-0000-0000995D0000}"/>
    <cellStyle name="40% - Accent3 2 3 2 2 2" xfId="2721" xr:uid="{00000000-0005-0000-0000-00009A5D0000}"/>
    <cellStyle name="40% - Accent3 2 3 2 2 2 2" xfId="6989" xr:uid="{00000000-0005-0000-0000-00009B5D0000}"/>
    <cellStyle name="40% - Accent3 2 3 2 2 2 2 2" xfId="14089" xr:uid="{00000000-0005-0000-0000-00009C5D0000}"/>
    <cellStyle name="40% - Accent3 2 3 2 2 2 2 3" xfId="21190" xr:uid="{00000000-0005-0000-0000-00009D5D0000}"/>
    <cellStyle name="40% - Accent3 2 3 2 2 2 2 4" xfId="28292" xr:uid="{00000000-0005-0000-0000-00009E5D0000}"/>
    <cellStyle name="40% - Accent3 2 3 2 2 2 2 5" xfId="35394" xr:uid="{00000000-0005-0000-0000-00009F5D0000}"/>
    <cellStyle name="40% - Accent3 2 3 2 2 2 3" xfId="9829" xr:uid="{00000000-0005-0000-0000-0000A05D0000}"/>
    <cellStyle name="40% - Accent3 2 3 2 2 2 4" xfId="16930" xr:uid="{00000000-0005-0000-0000-0000A15D0000}"/>
    <cellStyle name="40% - Accent3 2 3 2 2 2 5" xfId="24032" xr:uid="{00000000-0005-0000-0000-0000A25D0000}"/>
    <cellStyle name="40% - Accent3 2 3 2 2 2 6" xfId="31134" xr:uid="{00000000-0005-0000-0000-0000A35D0000}"/>
    <cellStyle name="40% - Accent3 2 3 2 2 2 7" xfId="39121" xr:uid="{00000000-0005-0000-0000-0000A45D0000}"/>
    <cellStyle name="40% - Accent3 2 3 2 2 3" xfId="5568" xr:uid="{00000000-0005-0000-0000-0000A55D0000}"/>
    <cellStyle name="40% - Accent3 2 3 2 2 3 2" xfId="12669" xr:uid="{00000000-0005-0000-0000-0000A65D0000}"/>
    <cellStyle name="40% - Accent3 2 3 2 2 3 3" xfId="19770" xr:uid="{00000000-0005-0000-0000-0000A75D0000}"/>
    <cellStyle name="40% - Accent3 2 3 2 2 3 4" xfId="26872" xr:uid="{00000000-0005-0000-0000-0000A85D0000}"/>
    <cellStyle name="40% - Accent3 2 3 2 2 3 5" xfId="33974" xr:uid="{00000000-0005-0000-0000-0000A95D0000}"/>
    <cellStyle name="40% - Accent3 2 3 2 2 4" xfId="4143" xr:uid="{00000000-0005-0000-0000-0000AA5D0000}"/>
    <cellStyle name="40% - Accent3 2 3 2 2 4 2" xfId="11249" xr:uid="{00000000-0005-0000-0000-0000AB5D0000}"/>
    <cellStyle name="40% - Accent3 2 3 2 2 4 3" xfId="18350" xr:uid="{00000000-0005-0000-0000-0000AC5D0000}"/>
    <cellStyle name="40% - Accent3 2 3 2 2 4 4" xfId="25452" xr:uid="{00000000-0005-0000-0000-0000AD5D0000}"/>
    <cellStyle name="40% - Accent3 2 3 2 2 4 5" xfId="32554" xr:uid="{00000000-0005-0000-0000-0000AE5D0000}"/>
    <cellStyle name="40% - Accent3 2 3 2 2 5" xfId="8409" xr:uid="{00000000-0005-0000-0000-0000AF5D0000}"/>
    <cellStyle name="40% - Accent3 2 3 2 2 6" xfId="15510" xr:uid="{00000000-0005-0000-0000-0000B05D0000}"/>
    <cellStyle name="40% - Accent3 2 3 2 2 7" xfId="22612" xr:uid="{00000000-0005-0000-0000-0000B15D0000}"/>
    <cellStyle name="40% - Accent3 2 3 2 2 8" xfId="29714" xr:uid="{00000000-0005-0000-0000-0000B25D0000}"/>
    <cellStyle name="40% - Accent3 2 3 2 2 9" xfId="39122" xr:uid="{00000000-0005-0000-0000-0000B35D0000}"/>
    <cellStyle name="40% - Accent3 2 3 2 3" xfId="1940" xr:uid="{00000000-0005-0000-0000-0000B45D0000}"/>
    <cellStyle name="40% - Accent3 2 3 2 3 2" xfId="6208" xr:uid="{00000000-0005-0000-0000-0000B55D0000}"/>
    <cellStyle name="40% - Accent3 2 3 2 3 2 2" xfId="13308" xr:uid="{00000000-0005-0000-0000-0000B65D0000}"/>
    <cellStyle name="40% - Accent3 2 3 2 3 2 3" xfId="20409" xr:uid="{00000000-0005-0000-0000-0000B75D0000}"/>
    <cellStyle name="40% - Accent3 2 3 2 3 2 4" xfId="27511" xr:uid="{00000000-0005-0000-0000-0000B85D0000}"/>
    <cellStyle name="40% - Accent3 2 3 2 3 2 5" xfId="34613" xr:uid="{00000000-0005-0000-0000-0000B95D0000}"/>
    <cellStyle name="40% - Accent3 2 3 2 3 2 6" xfId="39123" xr:uid="{00000000-0005-0000-0000-0000BA5D0000}"/>
    <cellStyle name="40% - Accent3 2 3 2 3 3" xfId="9048" xr:uid="{00000000-0005-0000-0000-0000BB5D0000}"/>
    <cellStyle name="40% - Accent3 2 3 2 3 4" xfId="16149" xr:uid="{00000000-0005-0000-0000-0000BC5D0000}"/>
    <cellStyle name="40% - Accent3 2 3 2 3 5" xfId="23251" xr:uid="{00000000-0005-0000-0000-0000BD5D0000}"/>
    <cellStyle name="40% - Accent3 2 3 2 3 6" xfId="30353" xr:uid="{00000000-0005-0000-0000-0000BE5D0000}"/>
    <cellStyle name="40% - Accent3 2 3 2 3 7" xfId="39124" xr:uid="{00000000-0005-0000-0000-0000BF5D0000}"/>
    <cellStyle name="40% - Accent3 2 3 2 4" xfId="4787" xr:uid="{00000000-0005-0000-0000-0000C05D0000}"/>
    <cellStyle name="40% - Accent3 2 3 2 4 2" xfId="11888" xr:uid="{00000000-0005-0000-0000-0000C15D0000}"/>
    <cellStyle name="40% - Accent3 2 3 2 4 3" xfId="18989" xr:uid="{00000000-0005-0000-0000-0000C25D0000}"/>
    <cellStyle name="40% - Accent3 2 3 2 4 4" xfId="26091" xr:uid="{00000000-0005-0000-0000-0000C35D0000}"/>
    <cellStyle name="40% - Accent3 2 3 2 4 5" xfId="33193" xr:uid="{00000000-0005-0000-0000-0000C45D0000}"/>
    <cellStyle name="40% - Accent3 2 3 2 4 6" xfId="39125" xr:uid="{00000000-0005-0000-0000-0000C55D0000}"/>
    <cellStyle name="40% - Accent3 2 3 2 5" xfId="3362" xr:uid="{00000000-0005-0000-0000-0000C65D0000}"/>
    <cellStyle name="40% - Accent3 2 3 2 5 2" xfId="10468" xr:uid="{00000000-0005-0000-0000-0000C75D0000}"/>
    <cellStyle name="40% - Accent3 2 3 2 5 3" xfId="17569" xr:uid="{00000000-0005-0000-0000-0000C85D0000}"/>
    <cellStyle name="40% - Accent3 2 3 2 5 4" xfId="24671" xr:uid="{00000000-0005-0000-0000-0000C95D0000}"/>
    <cellStyle name="40% - Accent3 2 3 2 5 5" xfId="31773" xr:uid="{00000000-0005-0000-0000-0000CA5D0000}"/>
    <cellStyle name="40% - Accent3 2 3 2 6" xfId="7628" xr:uid="{00000000-0005-0000-0000-0000CB5D0000}"/>
    <cellStyle name="40% - Accent3 2 3 2 7" xfId="14729" xr:uid="{00000000-0005-0000-0000-0000CC5D0000}"/>
    <cellStyle name="40% - Accent3 2 3 2 8" xfId="21831" xr:uid="{00000000-0005-0000-0000-0000CD5D0000}"/>
    <cellStyle name="40% - Accent3 2 3 2 9" xfId="28933" xr:uid="{00000000-0005-0000-0000-0000CE5D0000}"/>
    <cellStyle name="40% - Accent3 2 3 3" xfId="662" xr:uid="{00000000-0005-0000-0000-0000CF5D0000}"/>
    <cellStyle name="40% - Accent3 2 3 3 2" xfId="2153" xr:uid="{00000000-0005-0000-0000-0000D05D0000}"/>
    <cellStyle name="40% - Accent3 2 3 3 2 2" xfId="6421" xr:uid="{00000000-0005-0000-0000-0000D15D0000}"/>
    <cellStyle name="40% - Accent3 2 3 3 2 2 2" xfId="13521" xr:uid="{00000000-0005-0000-0000-0000D25D0000}"/>
    <cellStyle name="40% - Accent3 2 3 3 2 2 3" xfId="20622" xr:uid="{00000000-0005-0000-0000-0000D35D0000}"/>
    <cellStyle name="40% - Accent3 2 3 3 2 2 4" xfId="27724" xr:uid="{00000000-0005-0000-0000-0000D45D0000}"/>
    <cellStyle name="40% - Accent3 2 3 3 2 2 5" xfId="34826" xr:uid="{00000000-0005-0000-0000-0000D55D0000}"/>
    <cellStyle name="40% - Accent3 2 3 3 2 2 6" xfId="39126" xr:uid="{00000000-0005-0000-0000-0000D65D0000}"/>
    <cellStyle name="40% - Accent3 2 3 3 2 3" xfId="9261" xr:uid="{00000000-0005-0000-0000-0000D75D0000}"/>
    <cellStyle name="40% - Accent3 2 3 3 2 4" xfId="16362" xr:uid="{00000000-0005-0000-0000-0000D85D0000}"/>
    <cellStyle name="40% - Accent3 2 3 3 2 5" xfId="23464" xr:uid="{00000000-0005-0000-0000-0000D95D0000}"/>
    <cellStyle name="40% - Accent3 2 3 3 2 6" xfId="30566" xr:uid="{00000000-0005-0000-0000-0000DA5D0000}"/>
    <cellStyle name="40% - Accent3 2 3 3 2 7" xfId="39127" xr:uid="{00000000-0005-0000-0000-0000DB5D0000}"/>
    <cellStyle name="40% - Accent3 2 3 3 3" xfId="5000" xr:uid="{00000000-0005-0000-0000-0000DC5D0000}"/>
    <cellStyle name="40% - Accent3 2 3 3 3 2" xfId="12101" xr:uid="{00000000-0005-0000-0000-0000DD5D0000}"/>
    <cellStyle name="40% - Accent3 2 3 3 3 2 2" xfId="39128" xr:uid="{00000000-0005-0000-0000-0000DE5D0000}"/>
    <cellStyle name="40% - Accent3 2 3 3 3 3" xfId="19202" xr:uid="{00000000-0005-0000-0000-0000DF5D0000}"/>
    <cellStyle name="40% - Accent3 2 3 3 3 4" xfId="26304" xr:uid="{00000000-0005-0000-0000-0000E05D0000}"/>
    <cellStyle name="40% - Accent3 2 3 3 3 5" xfId="33406" xr:uid="{00000000-0005-0000-0000-0000E15D0000}"/>
    <cellStyle name="40% - Accent3 2 3 3 3 6" xfId="39129" xr:uid="{00000000-0005-0000-0000-0000E25D0000}"/>
    <cellStyle name="40% - Accent3 2 3 3 4" xfId="3575" xr:uid="{00000000-0005-0000-0000-0000E35D0000}"/>
    <cellStyle name="40% - Accent3 2 3 3 4 2" xfId="10681" xr:uid="{00000000-0005-0000-0000-0000E45D0000}"/>
    <cellStyle name="40% - Accent3 2 3 3 4 3" xfId="17782" xr:uid="{00000000-0005-0000-0000-0000E55D0000}"/>
    <cellStyle name="40% - Accent3 2 3 3 4 4" xfId="24884" xr:uid="{00000000-0005-0000-0000-0000E65D0000}"/>
    <cellStyle name="40% - Accent3 2 3 3 4 5" xfId="31986" xr:uid="{00000000-0005-0000-0000-0000E75D0000}"/>
    <cellStyle name="40% - Accent3 2 3 3 4 6" xfId="39130" xr:uid="{00000000-0005-0000-0000-0000E85D0000}"/>
    <cellStyle name="40% - Accent3 2 3 3 5" xfId="7841" xr:uid="{00000000-0005-0000-0000-0000E95D0000}"/>
    <cellStyle name="40% - Accent3 2 3 3 6" xfId="14942" xr:uid="{00000000-0005-0000-0000-0000EA5D0000}"/>
    <cellStyle name="40% - Accent3 2 3 3 7" xfId="22044" xr:uid="{00000000-0005-0000-0000-0000EB5D0000}"/>
    <cellStyle name="40% - Accent3 2 3 3 8" xfId="29146" xr:uid="{00000000-0005-0000-0000-0000EC5D0000}"/>
    <cellStyle name="40% - Accent3 2 3 3 9" xfId="39131" xr:uid="{00000000-0005-0000-0000-0000ED5D0000}"/>
    <cellStyle name="40% - Accent3 2 3 4" xfId="875" xr:uid="{00000000-0005-0000-0000-0000EE5D0000}"/>
    <cellStyle name="40% - Accent3 2 3 4 2" xfId="2366" xr:uid="{00000000-0005-0000-0000-0000EF5D0000}"/>
    <cellStyle name="40% - Accent3 2 3 4 2 2" xfId="6634" xr:uid="{00000000-0005-0000-0000-0000F05D0000}"/>
    <cellStyle name="40% - Accent3 2 3 4 2 2 2" xfId="13734" xr:uid="{00000000-0005-0000-0000-0000F15D0000}"/>
    <cellStyle name="40% - Accent3 2 3 4 2 2 3" xfId="20835" xr:uid="{00000000-0005-0000-0000-0000F25D0000}"/>
    <cellStyle name="40% - Accent3 2 3 4 2 2 4" xfId="27937" xr:uid="{00000000-0005-0000-0000-0000F35D0000}"/>
    <cellStyle name="40% - Accent3 2 3 4 2 2 5" xfId="35039" xr:uid="{00000000-0005-0000-0000-0000F45D0000}"/>
    <cellStyle name="40% - Accent3 2 3 4 2 2 6" xfId="39132" xr:uid="{00000000-0005-0000-0000-0000F55D0000}"/>
    <cellStyle name="40% - Accent3 2 3 4 2 3" xfId="9474" xr:uid="{00000000-0005-0000-0000-0000F65D0000}"/>
    <cellStyle name="40% - Accent3 2 3 4 2 4" xfId="16575" xr:uid="{00000000-0005-0000-0000-0000F75D0000}"/>
    <cellStyle name="40% - Accent3 2 3 4 2 5" xfId="23677" xr:uid="{00000000-0005-0000-0000-0000F85D0000}"/>
    <cellStyle name="40% - Accent3 2 3 4 2 6" xfId="30779" xr:uid="{00000000-0005-0000-0000-0000F95D0000}"/>
    <cellStyle name="40% - Accent3 2 3 4 2 7" xfId="39133" xr:uid="{00000000-0005-0000-0000-0000FA5D0000}"/>
    <cellStyle name="40% - Accent3 2 3 4 3" xfId="5213" xr:uid="{00000000-0005-0000-0000-0000FB5D0000}"/>
    <cellStyle name="40% - Accent3 2 3 4 3 2" xfId="12314" xr:uid="{00000000-0005-0000-0000-0000FC5D0000}"/>
    <cellStyle name="40% - Accent3 2 3 4 3 2 2" xfId="39134" xr:uid="{00000000-0005-0000-0000-0000FD5D0000}"/>
    <cellStyle name="40% - Accent3 2 3 4 3 3" xfId="19415" xr:uid="{00000000-0005-0000-0000-0000FE5D0000}"/>
    <cellStyle name="40% - Accent3 2 3 4 3 4" xfId="26517" xr:uid="{00000000-0005-0000-0000-0000FF5D0000}"/>
    <cellStyle name="40% - Accent3 2 3 4 3 5" xfId="33619" xr:uid="{00000000-0005-0000-0000-0000005E0000}"/>
    <cellStyle name="40% - Accent3 2 3 4 3 6" xfId="39135" xr:uid="{00000000-0005-0000-0000-0000015E0000}"/>
    <cellStyle name="40% - Accent3 2 3 4 4" xfId="3788" xr:uid="{00000000-0005-0000-0000-0000025E0000}"/>
    <cellStyle name="40% - Accent3 2 3 4 4 2" xfId="10894" xr:uid="{00000000-0005-0000-0000-0000035E0000}"/>
    <cellStyle name="40% - Accent3 2 3 4 4 3" xfId="17995" xr:uid="{00000000-0005-0000-0000-0000045E0000}"/>
    <cellStyle name="40% - Accent3 2 3 4 4 4" xfId="25097" xr:uid="{00000000-0005-0000-0000-0000055E0000}"/>
    <cellStyle name="40% - Accent3 2 3 4 4 5" xfId="32199" xr:uid="{00000000-0005-0000-0000-0000065E0000}"/>
    <cellStyle name="40% - Accent3 2 3 4 4 6" xfId="39136" xr:uid="{00000000-0005-0000-0000-0000075E0000}"/>
    <cellStyle name="40% - Accent3 2 3 4 5" xfId="8054" xr:uid="{00000000-0005-0000-0000-0000085E0000}"/>
    <cellStyle name="40% - Accent3 2 3 4 6" xfId="15155" xr:uid="{00000000-0005-0000-0000-0000095E0000}"/>
    <cellStyle name="40% - Accent3 2 3 4 7" xfId="22257" xr:uid="{00000000-0005-0000-0000-00000A5E0000}"/>
    <cellStyle name="40% - Accent3 2 3 4 8" xfId="29359" xr:uid="{00000000-0005-0000-0000-00000B5E0000}"/>
    <cellStyle name="40% - Accent3 2 3 4 9" xfId="39137" xr:uid="{00000000-0005-0000-0000-00000C5E0000}"/>
    <cellStyle name="40% - Accent3 2 3 5" xfId="1017" xr:uid="{00000000-0005-0000-0000-00000D5E0000}"/>
    <cellStyle name="40% - Accent3 2 3 5 2" xfId="2508" xr:uid="{00000000-0005-0000-0000-00000E5E0000}"/>
    <cellStyle name="40% - Accent3 2 3 5 2 2" xfId="6776" xr:uid="{00000000-0005-0000-0000-00000F5E0000}"/>
    <cellStyle name="40% - Accent3 2 3 5 2 2 2" xfId="13876" xr:uid="{00000000-0005-0000-0000-0000105E0000}"/>
    <cellStyle name="40% - Accent3 2 3 5 2 2 3" xfId="20977" xr:uid="{00000000-0005-0000-0000-0000115E0000}"/>
    <cellStyle name="40% - Accent3 2 3 5 2 2 4" xfId="28079" xr:uid="{00000000-0005-0000-0000-0000125E0000}"/>
    <cellStyle name="40% - Accent3 2 3 5 2 2 5" xfId="35181" xr:uid="{00000000-0005-0000-0000-0000135E0000}"/>
    <cellStyle name="40% - Accent3 2 3 5 2 3" xfId="9616" xr:uid="{00000000-0005-0000-0000-0000145E0000}"/>
    <cellStyle name="40% - Accent3 2 3 5 2 4" xfId="16717" xr:uid="{00000000-0005-0000-0000-0000155E0000}"/>
    <cellStyle name="40% - Accent3 2 3 5 2 5" xfId="23819" xr:uid="{00000000-0005-0000-0000-0000165E0000}"/>
    <cellStyle name="40% - Accent3 2 3 5 2 6" xfId="30921" xr:uid="{00000000-0005-0000-0000-0000175E0000}"/>
    <cellStyle name="40% - Accent3 2 3 5 2 7" xfId="39138" xr:uid="{00000000-0005-0000-0000-0000185E0000}"/>
    <cellStyle name="40% - Accent3 2 3 5 3" xfId="5355" xr:uid="{00000000-0005-0000-0000-0000195E0000}"/>
    <cellStyle name="40% - Accent3 2 3 5 3 2" xfId="12456" xr:uid="{00000000-0005-0000-0000-00001A5E0000}"/>
    <cellStyle name="40% - Accent3 2 3 5 3 3" xfId="19557" xr:uid="{00000000-0005-0000-0000-00001B5E0000}"/>
    <cellStyle name="40% - Accent3 2 3 5 3 4" xfId="26659" xr:uid="{00000000-0005-0000-0000-00001C5E0000}"/>
    <cellStyle name="40% - Accent3 2 3 5 3 5" xfId="33761" xr:uid="{00000000-0005-0000-0000-00001D5E0000}"/>
    <cellStyle name="40% - Accent3 2 3 5 4" xfId="3930" xr:uid="{00000000-0005-0000-0000-00001E5E0000}"/>
    <cellStyle name="40% - Accent3 2 3 5 4 2" xfId="11036" xr:uid="{00000000-0005-0000-0000-00001F5E0000}"/>
    <cellStyle name="40% - Accent3 2 3 5 4 3" xfId="18137" xr:uid="{00000000-0005-0000-0000-0000205E0000}"/>
    <cellStyle name="40% - Accent3 2 3 5 4 4" xfId="25239" xr:uid="{00000000-0005-0000-0000-0000215E0000}"/>
    <cellStyle name="40% - Accent3 2 3 5 4 5" xfId="32341" xr:uid="{00000000-0005-0000-0000-0000225E0000}"/>
    <cellStyle name="40% - Accent3 2 3 5 5" xfId="8196" xr:uid="{00000000-0005-0000-0000-0000235E0000}"/>
    <cellStyle name="40% - Accent3 2 3 5 6" xfId="15297" xr:uid="{00000000-0005-0000-0000-0000245E0000}"/>
    <cellStyle name="40% - Accent3 2 3 5 7" xfId="22399" xr:uid="{00000000-0005-0000-0000-0000255E0000}"/>
    <cellStyle name="40% - Accent3 2 3 5 8" xfId="29501" xr:uid="{00000000-0005-0000-0000-0000265E0000}"/>
    <cellStyle name="40% - Accent3 2 3 5 9" xfId="39139" xr:uid="{00000000-0005-0000-0000-0000275E0000}"/>
    <cellStyle name="40% - Accent3 2 3 6" xfId="1443" xr:uid="{00000000-0005-0000-0000-0000285E0000}"/>
    <cellStyle name="40% - Accent3 2 3 6 2" xfId="2934" xr:uid="{00000000-0005-0000-0000-0000295E0000}"/>
    <cellStyle name="40% - Accent3 2 3 6 2 2" xfId="7202" xr:uid="{00000000-0005-0000-0000-00002A5E0000}"/>
    <cellStyle name="40% - Accent3 2 3 6 2 2 2" xfId="14302" xr:uid="{00000000-0005-0000-0000-00002B5E0000}"/>
    <cellStyle name="40% - Accent3 2 3 6 2 2 3" xfId="21403" xr:uid="{00000000-0005-0000-0000-00002C5E0000}"/>
    <cellStyle name="40% - Accent3 2 3 6 2 2 4" xfId="28505" xr:uid="{00000000-0005-0000-0000-00002D5E0000}"/>
    <cellStyle name="40% - Accent3 2 3 6 2 2 5" xfId="35607" xr:uid="{00000000-0005-0000-0000-00002E5E0000}"/>
    <cellStyle name="40% - Accent3 2 3 6 2 3" xfId="10042" xr:uid="{00000000-0005-0000-0000-00002F5E0000}"/>
    <cellStyle name="40% - Accent3 2 3 6 2 4" xfId="17143" xr:uid="{00000000-0005-0000-0000-0000305E0000}"/>
    <cellStyle name="40% - Accent3 2 3 6 2 5" xfId="24245" xr:uid="{00000000-0005-0000-0000-0000315E0000}"/>
    <cellStyle name="40% - Accent3 2 3 6 2 6" xfId="31347" xr:uid="{00000000-0005-0000-0000-0000325E0000}"/>
    <cellStyle name="40% - Accent3 2 3 6 2 7" xfId="39140" xr:uid="{00000000-0005-0000-0000-0000335E0000}"/>
    <cellStyle name="40% - Accent3 2 3 6 3" xfId="5781" xr:uid="{00000000-0005-0000-0000-0000345E0000}"/>
    <cellStyle name="40% - Accent3 2 3 6 3 2" xfId="12882" xr:uid="{00000000-0005-0000-0000-0000355E0000}"/>
    <cellStyle name="40% - Accent3 2 3 6 3 3" xfId="19983" xr:uid="{00000000-0005-0000-0000-0000365E0000}"/>
    <cellStyle name="40% - Accent3 2 3 6 3 4" xfId="27085" xr:uid="{00000000-0005-0000-0000-0000375E0000}"/>
    <cellStyle name="40% - Accent3 2 3 6 3 5" xfId="34187" xr:uid="{00000000-0005-0000-0000-0000385E0000}"/>
    <cellStyle name="40% - Accent3 2 3 6 4" xfId="4356" xr:uid="{00000000-0005-0000-0000-0000395E0000}"/>
    <cellStyle name="40% - Accent3 2 3 6 4 2" xfId="11462" xr:uid="{00000000-0005-0000-0000-00003A5E0000}"/>
    <cellStyle name="40% - Accent3 2 3 6 4 3" xfId="18563" xr:uid="{00000000-0005-0000-0000-00003B5E0000}"/>
    <cellStyle name="40% - Accent3 2 3 6 4 4" xfId="25665" xr:uid="{00000000-0005-0000-0000-00003C5E0000}"/>
    <cellStyle name="40% - Accent3 2 3 6 4 5" xfId="32767" xr:uid="{00000000-0005-0000-0000-00003D5E0000}"/>
    <cellStyle name="40% - Accent3 2 3 6 5" xfId="8622" xr:uid="{00000000-0005-0000-0000-00003E5E0000}"/>
    <cellStyle name="40% - Accent3 2 3 6 6" xfId="15723" xr:uid="{00000000-0005-0000-0000-00003F5E0000}"/>
    <cellStyle name="40% - Accent3 2 3 6 7" xfId="22825" xr:uid="{00000000-0005-0000-0000-0000405E0000}"/>
    <cellStyle name="40% - Accent3 2 3 6 8" xfId="29927" xr:uid="{00000000-0005-0000-0000-0000415E0000}"/>
    <cellStyle name="40% - Accent3 2 3 6 9" xfId="39141" xr:uid="{00000000-0005-0000-0000-0000425E0000}"/>
    <cellStyle name="40% - Accent3 2 3 7" xfId="1727" xr:uid="{00000000-0005-0000-0000-0000435E0000}"/>
    <cellStyle name="40% - Accent3 2 3 7 2" xfId="5995" xr:uid="{00000000-0005-0000-0000-0000445E0000}"/>
    <cellStyle name="40% - Accent3 2 3 7 2 2" xfId="13095" xr:uid="{00000000-0005-0000-0000-0000455E0000}"/>
    <cellStyle name="40% - Accent3 2 3 7 2 3" xfId="20196" xr:uid="{00000000-0005-0000-0000-0000465E0000}"/>
    <cellStyle name="40% - Accent3 2 3 7 2 4" xfId="27298" xr:uid="{00000000-0005-0000-0000-0000475E0000}"/>
    <cellStyle name="40% - Accent3 2 3 7 2 5" xfId="34400" xr:uid="{00000000-0005-0000-0000-0000485E0000}"/>
    <cellStyle name="40% - Accent3 2 3 7 3" xfId="8835" xr:uid="{00000000-0005-0000-0000-0000495E0000}"/>
    <cellStyle name="40% - Accent3 2 3 7 4" xfId="15936" xr:uid="{00000000-0005-0000-0000-00004A5E0000}"/>
    <cellStyle name="40% - Accent3 2 3 7 5" xfId="23038" xr:uid="{00000000-0005-0000-0000-00004B5E0000}"/>
    <cellStyle name="40% - Accent3 2 3 7 6" xfId="30140" xr:uid="{00000000-0005-0000-0000-00004C5E0000}"/>
    <cellStyle name="40% - Accent3 2 3 7 7" xfId="39142" xr:uid="{00000000-0005-0000-0000-00004D5E0000}"/>
    <cellStyle name="40% - Accent3 2 3 8" xfId="4574" xr:uid="{00000000-0005-0000-0000-00004E5E0000}"/>
    <cellStyle name="40% - Accent3 2 3 8 2" xfId="11675" xr:uid="{00000000-0005-0000-0000-00004F5E0000}"/>
    <cellStyle name="40% - Accent3 2 3 8 3" xfId="18776" xr:uid="{00000000-0005-0000-0000-0000505E0000}"/>
    <cellStyle name="40% - Accent3 2 3 8 4" xfId="25878" xr:uid="{00000000-0005-0000-0000-0000515E0000}"/>
    <cellStyle name="40% - Accent3 2 3 8 5" xfId="32980" xr:uid="{00000000-0005-0000-0000-0000525E0000}"/>
    <cellStyle name="40% - Accent3 2 3 9" xfId="3149" xr:uid="{00000000-0005-0000-0000-0000535E0000}"/>
    <cellStyle name="40% - Accent3 2 3 9 2" xfId="10255" xr:uid="{00000000-0005-0000-0000-0000545E0000}"/>
    <cellStyle name="40% - Accent3 2 3 9 3" xfId="17356" xr:uid="{00000000-0005-0000-0000-0000555E0000}"/>
    <cellStyle name="40% - Accent3 2 3 9 4" xfId="24458" xr:uid="{00000000-0005-0000-0000-0000565E0000}"/>
    <cellStyle name="40% - Accent3 2 3 9 5" xfId="31560" xr:uid="{00000000-0005-0000-0000-0000575E0000}"/>
    <cellStyle name="40% - Accent3 2 4" xfId="165" xr:uid="{00000000-0005-0000-0000-0000585E0000}"/>
    <cellStyle name="40% - Accent3 2 4 10" xfId="7344" xr:uid="{00000000-0005-0000-0000-0000595E0000}"/>
    <cellStyle name="40% - Accent3 2 4 11" xfId="14445" xr:uid="{00000000-0005-0000-0000-00005A5E0000}"/>
    <cellStyle name="40% - Accent3 2 4 12" xfId="21547" xr:uid="{00000000-0005-0000-0000-00005B5E0000}"/>
    <cellStyle name="40% - Accent3 2 4 13" xfId="28649" xr:uid="{00000000-0005-0000-0000-00005C5E0000}"/>
    <cellStyle name="40% - Accent3 2 4 14" xfId="35751" xr:uid="{00000000-0005-0000-0000-00005D5E0000}"/>
    <cellStyle name="40% - Accent3 2 4 15" xfId="39143" xr:uid="{00000000-0005-0000-0000-00005E5E0000}"/>
    <cellStyle name="40% - Accent3 2 4 2" xfId="378" xr:uid="{00000000-0005-0000-0000-00005F5E0000}"/>
    <cellStyle name="40% - Accent3 2 4 2 2" xfId="1869" xr:uid="{00000000-0005-0000-0000-0000605E0000}"/>
    <cellStyle name="40% - Accent3 2 4 2 2 2" xfId="6137" xr:uid="{00000000-0005-0000-0000-0000615E0000}"/>
    <cellStyle name="40% - Accent3 2 4 2 2 2 2" xfId="13237" xr:uid="{00000000-0005-0000-0000-0000625E0000}"/>
    <cellStyle name="40% - Accent3 2 4 2 2 2 3" xfId="20338" xr:uid="{00000000-0005-0000-0000-0000635E0000}"/>
    <cellStyle name="40% - Accent3 2 4 2 2 2 4" xfId="27440" xr:uid="{00000000-0005-0000-0000-0000645E0000}"/>
    <cellStyle name="40% - Accent3 2 4 2 2 2 5" xfId="34542" xr:uid="{00000000-0005-0000-0000-0000655E0000}"/>
    <cellStyle name="40% - Accent3 2 4 2 2 2 6" xfId="39144" xr:uid="{00000000-0005-0000-0000-0000665E0000}"/>
    <cellStyle name="40% - Accent3 2 4 2 2 3" xfId="8977" xr:uid="{00000000-0005-0000-0000-0000675E0000}"/>
    <cellStyle name="40% - Accent3 2 4 2 2 4" xfId="16078" xr:uid="{00000000-0005-0000-0000-0000685E0000}"/>
    <cellStyle name="40% - Accent3 2 4 2 2 5" xfId="23180" xr:uid="{00000000-0005-0000-0000-0000695E0000}"/>
    <cellStyle name="40% - Accent3 2 4 2 2 6" xfId="30282" xr:uid="{00000000-0005-0000-0000-00006A5E0000}"/>
    <cellStyle name="40% - Accent3 2 4 2 2 7" xfId="39145" xr:uid="{00000000-0005-0000-0000-00006B5E0000}"/>
    <cellStyle name="40% - Accent3 2 4 2 3" xfId="4716" xr:uid="{00000000-0005-0000-0000-00006C5E0000}"/>
    <cellStyle name="40% - Accent3 2 4 2 3 2" xfId="11817" xr:uid="{00000000-0005-0000-0000-00006D5E0000}"/>
    <cellStyle name="40% - Accent3 2 4 2 3 2 2" xfId="39146" xr:uid="{00000000-0005-0000-0000-00006E5E0000}"/>
    <cellStyle name="40% - Accent3 2 4 2 3 3" xfId="18918" xr:uid="{00000000-0005-0000-0000-00006F5E0000}"/>
    <cellStyle name="40% - Accent3 2 4 2 3 4" xfId="26020" xr:uid="{00000000-0005-0000-0000-0000705E0000}"/>
    <cellStyle name="40% - Accent3 2 4 2 3 5" xfId="33122" xr:uid="{00000000-0005-0000-0000-0000715E0000}"/>
    <cellStyle name="40% - Accent3 2 4 2 3 6" xfId="39147" xr:uid="{00000000-0005-0000-0000-0000725E0000}"/>
    <cellStyle name="40% - Accent3 2 4 2 4" xfId="3291" xr:uid="{00000000-0005-0000-0000-0000735E0000}"/>
    <cellStyle name="40% - Accent3 2 4 2 4 2" xfId="10397" xr:uid="{00000000-0005-0000-0000-0000745E0000}"/>
    <cellStyle name="40% - Accent3 2 4 2 4 3" xfId="17498" xr:uid="{00000000-0005-0000-0000-0000755E0000}"/>
    <cellStyle name="40% - Accent3 2 4 2 4 4" xfId="24600" xr:uid="{00000000-0005-0000-0000-0000765E0000}"/>
    <cellStyle name="40% - Accent3 2 4 2 4 5" xfId="31702" xr:uid="{00000000-0005-0000-0000-0000775E0000}"/>
    <cellStyle name="40% - Accent3 2 4 2 4 6" xfId="39148" xr:uid="{00000000-0005-0000-0000-0000785E0000}"/>
    <cellStyle name="40% - Accent3 2 4 2 5" xfId="7557" xr:uid="{00000000-0005-0000-0000-0000795E0000}"/>
    <cellStyle name="40% - Accent3 2 4 2 6" xfId="14658" xr:uid="{00000000-0005-0000-0000-00007A5E0000}"/>
    <cellStyle name="40% - Accent3 2 4 2 7" xfId="21760" xr:uid="{00000000-0005-0000-0000-00007B5E0000}"/>
    <cellStyle name="40% - Accent3 2 4 2 8" xfId="28862" xr:uid="{00000000-0005-0000-0000-00007C5E0000}"/>
    <cellStyle name="40% - Accent3 2 4 2 9" xfId="39149" xr:uid="{00000000-0005-0000-0000-00007D5E0000}"/>
    <cellStyle name="40% - Accent3 2 4 3" xfId="591" xr:uid="{00000000-0005-0000-0000-00007E5E0000}"/>
    <cellStyle name="40% - Accent3 2 4 3 2" xfId="2082" xr:uid="{00000000-0005-0000-0000-00007F5E0000}"/>
    <cellStyle name="40% - Accent3 2 4 3 2 2" xfId="6350" xr:uid="{00000000-0005-0000-0000-0000805E0000}"/>
    <cellStyle name="40% - Accent3 2 4 3 2 2 2" xfId="13450" xr:uid="{00000000-0005-0000-0000-0000815E0000}"/>
    <cellStyle name="40% - Accent3 2 4 3 2 2 3" xfId="20551" xr:uid="{00000000-0005-0000-0000-0000825E0000}"/>
    <cellStyle name="40% - Accent3 2 4 3 2 2 4" xfId="27653" xr:uid="{00000000-0005-0000-0000-0000835E0000}"/>
    <cellStyle name="40% - Accent3 2 4 3 2 2 5" xfId="34755" xr:uid="{00000000-0005-0000-0000-0000845E0000}"/>
    <cellStyle name="40% - Accent3 2 4 3 2 2 6" xfId="39150" xr:uid="{00000000-0005-0000-0000-0000855E0000}"/>
    <cellStyle name="40% - Accent3 2 4 3 2 3" xfId="9190" xr:uid="{00000000-0005-0000-0000-0000865E0000}"/>
    <cellStyle name="40% - Accent3 2 4 3 2 4" xfId="16291" xr:uid="{00000000-0005-0000-0000-0000875E0000}"/>
    <cellStyle name="40% - Accent3 2 4 3 2 5" xfId="23393" xr:uid="{00000000-0005-0000-0000-0000885E0000}"/>
    <cellStyle name="40% - Accent3 2 4 3 2 6" xfId="30495" xr:uid="{00000000-0005-0000-0000-0000895E0000}"/>
    <cellStyle name="40% - Accent3 2 4 3 2 7" xfId="39151" xr:uid="{00000000-0005-0000-0000-00008A5E0000}"/>
    <cellStyle name="40% - Accent3 2 4 3 3" xfId="4929" xr:uid="{00000000-0005-0000-0000-00008B5E0000}"/>
    <cellStyle name="40% - Accent3 2 4 3 3 2" xfId="12030" xr:uid="{00000000-0005-0000-0000-00008C5E0000}"/>
    <cellStyle name="40% - Accent3 2 4 3 3 2 2" xfId="39152" xr:uid="{00000000-0005-0000-0000-00008D5E0000}"/>
    <cellStyle name="40% - Accent3 2 4 3 3 3" xfId="19131" xr:uid="{00000000-0005-0000-0000-00008E5E0000}"/>
    <cellStyle name="40% - Accent3 2 4 3 3 4" xfId="26233" xr:uid="{00000000-0005-0000-0000-00008F5E0000}"/>
    <cellStyle name="40% - Accent3 2 4 3 3 5" xfId="33335" xr:uid="{00000000-0005-0000-0000-0000905E0000}"/>
    <cellStyle name="40% - Accent3 2 4 3 3 6" xfId="39153" xr:uid="{00000000-0005-0000-0000-0000915E0000}"/>
    <cellStyle name="40% - Accent3 2 4 3 4" xfId="3504" xr:uid="{00000000-0005-0000-0000-0000925E0000}"/>
    <cellStyle name="40% - Accent3 2 4 3 4 2" xfId="10610" xr:uid="{00000000-0005-0000-0000-0000935E0000}"/>
    <cellStyle name="40% - Accent3 2 4 3 4 3" xfId="17711" xr:uid="{00000000-0005-0000-0000-0000945E0000}"/>
    <cellStyle name="40% - Accent3 2 4 3 4 4" xfId="24813" xr:uid="{00000000-0005-0000-0000-0000955E0000}"/>
    <cellStyle name="40% - Accent3 2 4 3 4 5" xfId="31915" xr:uid="{00000000-0005-0000-0000-0000965E0000}"/>
    <cellStyle name="40% - Accent3 2 4 3 4 6" xfId="39154" xr:uid="{00000000-0005-0000-0000-0000975E0000}"/>
    <cellStyle name="40% - Accent3 2 4 3 5" xfId="7770" xr:uid="{00000000-0005-0000-0000-0000985E0000}"/>
    <cellStyle name="40% - Accent3 2 4 3 6" xfId="14871" xr:uid="{00000000-0005-0000-0000-0000995E0000}"/>
    <cellStyle name="40% - Accent3 2 4 3 7" xfId="21973" xr:uid="{00000000-0005-0000-0000-00009A5E0000}"/>
    <cellStyle name="40% - Accent3 2 4 3 8" xfId="29075" xr:uid="{00000000-0005-0000-0000-00009B5E0000}"/>
    <cellStyle name="40% - Accent3 2 4 3 9" xfId="39155" xr:uid="{00000000-0005-0000-0000-00009C5E0000}"/>
    <cellStyle name="40% - Accent3 2 4 4" xfId="804" xr:uid="{00000000-0005-0000-0000-00009D5E0000}"/>
    <cellStyle name="40% - Accent3 2 4 4 2" xfId="2295" xr:uid="{00000000-0005-0000-0000-00009E5E0000}"/>
    <cellStyle name="40% - Accent3 2 4 4 2 2" xfId="6563" xr:uid="{00000000-0005-0000-0000-00009F5E0000}"/>
    <cellStyle name="40% - Accent3 2 4 4 2 2 2" xfId="13663" xr:uid="{00000000-0005-0000-0000-0000A05E0000}"/>
    <cellStyle name="40% - Accent3 2 4 4 2 2 3" xfId="20764" xr:uid="{00000000-0005-0000-0000-0000A15E0000}"/>
    <cellStyle name="40% - Accent3 2 4 4 2 2 4" xfId="27866" xr:uid="{00000000-0005-0000-0000-0000A25E0000}"/>
    <cellStyle name="40% - Accent3 2 4 4 2 2 5" xfId="34968" xr:uid="{00000000-0005-0000-0000-0000A35E0000}"/>
    <cellStyle name="40% - Accent3 2 4 4 2 2 6" xfId="39156" xr:uid="{00000000-0005-0000-0000-0000A45E0000}"/>
    <cellStyle name="40% - Accent3 2 4 4 2 3" xfId="9403" xr:uid="{00000000-0005-0000-0000-0000A55E0000}"/>
    <cellStyle name="40% - Accent3 2 4 4 2 4" xfId="16504" xr:uid="{00000000-0005-0000-0000-0000A65E0000}"/>
    <cellStyle name="40% - Accent3 2 4 4 2 5" xfId="23606" xr:uid="{00000000-0005-0000-0000-0000A75E0000}"/>
    <cellStyle name="40% - Accent3 2 4 4 2 6" xfId="30708" xr:uid="{00000000-0005-0000-0000-0000A85E0000}"/>
    <cellStyle name="40% - Accent3 2 4 4 2 7" xfId="39157" xr:uid="{00000000-0005-0000-0000-0000A95E0000}"/>
    <cellStyle name="40% - Accent3 2 4 4 3" xfId="5142" xr:uid="{00000000-0005-0000-0000-0000AA5E0000}"/>
    <cellStyle name="40% - Accent3 2 4 4 3 2" xfId="12243" xr:uid="{00000000-0005-0000-0000-0000AB5E0000}"/>
    <cellStyle name="40% - Accent3 2 4 4 3 2 2" xfId="39158" xr:uid="{00000000-0005-0000-0000-0000AC5E0000}"/>
    <cellStyle name="40% - Accent3 2 4 4 3 3" xfId="19344" xr:uid="{00000000-0005-0000-0000-0000AD5E0000}"/>
    <cellStyle name="40% - Accent3 2 4 4 3 4" xfId="26446" xr:uid="{00000000-0005-0000-0000-0000AE5E0000}"/>
    <cellStyle name="40% - Accent3 2 4 4 3 5" xfId="33548" xr:uid="{00000000-0005-0000-0000-0000AF5E0000}"/>
    <cellStyle name="40% - Accent3 2 4 4 3 6" xfId="39159" xr:uid="{00000000-0005-0000-0000-0000B05E0000}"/>
    <cellStyle name="40% - Accent3 2 4 4 4" xfId="3717" xr:uid="{00000000-0005-0000-0000-0000B15E0000}"/>
    <cellStyle name="40% - Accent3 2 4 4 4 2" xfId="10823" xr:uid="{00000000-0005-0000-0000-0000B25E0000}"/>
    <cellStyle name="40% - Accent3 2 4 4 4 3" xfId="17924" xr:uid="{00000000-0005-0000-0000-0000B35E0000}"/>
    <cellStyle name="40% - Accent3 2 4 4 4 4" xfId="25026" xr:uid="{00000000-0005-0000-0000-0000B45E0000}"/>
    <cellStyle name="40% - Accent3 2 4 4 4 5" xfId="32128" xr:uid="{00000000-0005-0000-0000-0000B55E0000}"/>
    <cellStyle name="40% - Accent3 2 4 4 4 6" xfId="39160" xr:uid="{00000000-0005-0000-0000-0000B65E0000}"/>
    <cellStyle name="40% - Accent3 2 4 4 5" xfId="7983" xr:uid="{00000000-0005-0000-0000-0000B75E0000}"/>
    <cellStyle name="40% - Accent3 2 4 4 6" xfId="15084" xr:uid="{00000000-0005-0000-0000-0000B85E0000}"/>
    <cellStyle name="40% - Accent3 2 4 4 7" xfId="22186" xr:uid="{00000000-0005-0000-0000-0000B95E0000}"/>
    <cellStyle name="40% - Accent3 2 4 4 8" xfId="29288" xr:uid="{00000000-0005-0000-0000-0000BA5E0000}"/>
    <cellStyle name="40% - Accent3 2 4 4 9" xfId="39161" xr:uid="{00000000-0005-0000-0000-0000BB5E0000}"/>
    <cellStyle name="40% - Accent3 2 4 5" xfId="1159" xr:uid="{00000000-0005-0000-0000-0000BC5E0000}"/>
    <cellStyle name="40% - Accent3 2 4 5 2" xfId="2650" xr:uid="{00000000-0005-0000-0000-0000BD5E0000}"/>
    <cellStyle name="40% - Accent3 2 4 5 2 2" xfId="6918" xr:uid="{00000000-0005-0000-0000-0000BE5E0000}"/>
    <cellStyle name="40% - Accent3 2 4 5 2 2 2" xfId="14018" xr:uid="{00000000-0005-0000-0000-0000BF5E0000}"/>
    <cellStyle name="40% - Accent3 2 4 5 2 2 3" xfId="21119" xr:uid="{00000000-0005-0000-0000-0000C05E0000}"/>
    <cellStyle name="40% - Accent3 2 4 5 2 2 4" xfId="28221" xr:uid="{00000000-0005-0000-0000-0000C15E0000}"/>
    <cellStyle name="40% - Accent3 2 4 5 2 2 5" xfId="35323" xr:uid="{00000000-0005-0000-0000-0000C25E0000}"/>
    <cellStyle name="40% - Accent3 2 4 5 2 3" xfId="9758" xr:uid="{00000000-0005-0000-0000-0000C35E0000}"/>
    <cellStyle name="40% - Accent3 2 4 5 2 4" xfId="16859" xr:uid="{00000000-0005-0000-0000-0000C45E0000}"/>
    <cellStyle name="40% - Accent3 2 4 5 2 5" xfId="23961" xr:uid="{00000000-0005-0000-0000-0000C55E0000}"/>
    <cellStyle name="40% - Accent3 2 4 5 2 6" xfId="31063" xr:uid="{00000000-0005-0000-0000-0000C65E0000}"/>
    <cellStyle name="40% - Accent3 2 4 5 2 7" xfId="39162" xr:uid="{00000000-0005-0000-0000-0000C75E0000}"/>
    <cellStyle name="40% - Accent3 2 4 5 3" xfId="5497" xr:uid="{00000000-0005-0000-0000-0000C85E0000}"/>
    <cellStyle name="40% - Accent3 2 4 5 3 2" xfId="12598" xr:uid="{00000000-0005-0000-0000-0000C95E0000}"/>
    <cellStyle name="40% - Accent3 2 4 5 3 3" xfId="19699" xr:uid="{00000000-0005-0000-0000-0000CA5E0000}"/>
    <cellStyle name="40% - Accent3 2 4 5 3 4" xfId="26801" xr:uid="{00000000-0005-0000-0000-0000CB5E0000}"/>
    <cellStyle name="40% - Accent3 2 4 5 3 5" xfId="33903" xr:uid="{00000000-0005-0000-0000-0000CC5E0000}"/>
    <cellStyle name="40% - Accent3 2 4 5 4" xfId="4072" xr:uid="{00000000-0005-0000-0000-0000CD5E0000}"/>
    <cellStyle name="40% - Accent3 2 4 5 4 2" xfId="11178" xr:uid="{00000000-0005-0000-0000-0000CE5E0000}"/>
    <cellStyle name="40% - Accent3 2 4 5 4 3" xfId="18279" xr:uid="{00000000-0005-0000-0000-0000CF5E0000}"/>
    <cellStyle name="40% - Accent3 2 4 5 4 4" xfId="25381" xr:uid="{00000000-0005-0000-0000-0000D05E0000}"/>
    <cellStyle name="40% - Accent3 2 4 5 4 5" xfId="32483" xr:uid="{00000000-0005-0000-0000-0000D15E0000}"/>
    <cellStyle name="40% - Accent3 2 4 5 5" xfId="8338" xr:uid="{00000000-0005-0000-0000-0000D25E0000}"/>
    <cellStyle name="40% - Accent3 2 4 5 6" xfId="15439" xr:uid="{00000000-0005-0000-0000-0000D35E0000}"/>
    <cellStyle name="40% - Accent3 2 4 5 7" xfId="22541" xr:uid="{00000000-0005-0000-0000-0000D45E0000}"/>
    <cellStyle name="40% - Accent3 2 4 5 8" xfId="29643" xr:uid="{00000000-0005-0000-0000-0000D55E0000}"/>
    <cellStyle name="40% - Accent3 2 4 5 9" xfId="39163" xr:uid="{00000000-0005-0000-0000-0000D65E0000}"/>
    <cellStyle name="40% - Accent3 2 4 6" xfId="1372" xr:uid="{00000000-0005-0000-0000-0000D75E0000}"/>
    <cellStyle name="40% - Accent3 2 4 6 2" xfId="2863" xr:uid="{00000000-0005-0000-0000-0000D85E0000}"/>
    <cellStyle name="40% - Accent3 2 4 6 2 2" xfId="7131" xr:uid="{00000000-0005-0000-0000-0000D95E0000}"/>
    <cellStyle name="40% - Accent3 2 4 6 2 2 2" xfId="14231" xr:uid="{00000000-0005-0000-0000-0000DA5E0000}"/>
    <cellStyle name="40% - Accent3 2 4 6 2 2 3" xfId="21332" xr:uid="{00000000-0005-0000-0000-0000DB5E0000}"/>
    <cellStyle name="40% - Accent3 2 4 6 2 2 4" xfId="28434" xr:uid="{00000000-0005-0000-0000-0000DC5E0000}"/>
    <cellStyle name="40% - Accent3 2 4 6 2 2 5" xfId="35536" xr:uid="{00000000-0005-0000-0000-0000DD5E0000}"/>
    <cellStyle name="40% - Accent3 2 4 6 2 3" xfId="9971" xr:uid="{00000000-0005-0000-0000-0000DE5E0000}"/>
    <cellStyle name="40% - Accent3 2 4 6 2 4" xfId="17072" xr:uid="{00000000-0005-0000-0000-0000DF5E0000}"/>
    <cellStyle name="40% - Accent3 2 4 6 2 5" xfId="24174" xr:uid="{00000000-0005-0000-0000-0000E05E0000}"/>
    <cellStyle name="40% - Accent3 2 4 6 2 6" xfId="31276" xr:uid="{00000000-0005-0000-0000-0000E15E0000}"/>
    <cellStyle name="40% - Accent3 2 4 6 2 7" xfId="39164" xr:uid="{00000000-0005-0000-0000-0000E25E0000}"/>
    <cellStyle name="40% - Accent3 2 4 6 3" xfId="5710" xr:uid="{00000000-0005-0000-0000-0000E35E0000}"/>
    <cellStyle name="40% - Accent3 2 4 6 3 2" xfId="12811" xr:uid="{00000000-0005-0000-0000-0000E45E0000}"/>
    <cellStyle name="40% - Accent3 2 4 6 3 3" xfId="19912" xr:uid="{00000000-0005-0000-0000-0000E55E0000}"/>
    <cellStyle name="40% - Accent3 2 4 6 3 4" xfId="27014" xr:uid="{00000000-0005-0000-0000-0000E65E0000}"/>
    <cellStyle name="40% - Accent3 2 4 6 3 5" xfId="34116" xr:uid="{00000000-0005-0000-0000-0000E75E0000}"/>
    <cellStyle name="40% - Accent3 2 4 6 4" xfId="4285" xr:uid="{00000000-0005-0000-0000-0000E85E0000}"/>
    <cellStyle name="40% - Accent3 2 4 6 4 2" xfId="11391" xr:uid="{00000000-0005-0000-0000-0000E95E0000}"/>
    <cellStyle name="40% - Accent3 2 4 6 4 3" xfId="18492" xr:uid="{00000000-0005-0000-0000-0000EA5E0000}"/>
    <cellStyle name="40% - Accent3 2 4 6 4 4" xfId="25594" xr:uid="{00000000-0005-0000-0000-0000EB5E0000}"/>
    <cellStyle name="40% - Accent3 2 4 6 4 5" xfId="32696" xr:uid="{00000000-0005-0000-0000-0000EC5E0000}"/>
    <cellStyle name="40% - Accent3 2 4 6 5" xfId="8551" xr:uid="{00000000-0005-0000-0000-0000ED5E0000}"/>
    <cellStyle name="40% - Accent3 2 4 6 6" xfId="15652" xr:uid="{00000000-0005-0000-0000-0000EE5E0000}"/>
    <cellStyle name="40% - Accent3 2 4 6 7" xfId="22754" xr:uid="{00000000-0005-0000-0000-0000EF5E0000}"/>
    <cellStyle name="40% - Accent3 2 4 6 8" xfId="29856" xr:uid="{00000000-0005-0000-0000-0000F05E0000}"/>
    <cellStyle name="40% - Accent3 2 4 6 9" xfId="39165" xr:uid="{00000000-0005-0000-0000-0000F15E0000}"/>
    <cellStyle name="40% - Accent3 2 4 7" xfId="1656" xr:uid="{00000000-0005-0000-0000-0000F25E0000}"/>
    <cellStyle name="40% - Accent3 2 4 7 2" xfId="5924" xr:uid="{00000000-0005-0000-0000-0000F35E0000}"/>
    <cellStyle name="40% - Accent3 2 4 7 2 2" xfId="13024" xr:uid="{00000000-0005-0000-0000-0000F45E0000}"/>
    <cellStyle name="40% - Accent3 2 4 7 2 3" xfId="20125" xr:uid="{00000000-0005-0000-0000-0000F55E0000}"/>
    <cellStyle name="40% - Accent3 2 4 7 2 4" xfId="27227" xr:uid="{00000000-0005-0000-0000-0000F65E0000}"/>
    <cellStyle name="40% - Accent3 2 4 7 2 5" xfId="34329" xr:uid="{00000000-0005-0000-0000-0000F75E0000}"/>
    <cellStyle name="40% - Accent3 2 4 7 3" xfId="8764" xr:uid="{00000000-0005-0000-0000-0000F85E0000}"/>
    <cellStyle name="40% - Accent3 2 4 7 4" xfId="15865" xr:uid="{00000000-0005-0000-0000-0000F95E0000}"/>
    <cellStyle name="40% - Accent3 2 4 7 5" xfId="22967" xr:uid="{00000000-0005-0000-0000-0000FA5E0000}"/>
    <cellStyle name="40% - Accent3 2 4 7 6" xfId="30069" xr:uid="{00000000-0005-0000-0000-0000FB5E0000}"/>
    <cellStyle name="40% - Accent3 2 4 7 7" xfId="39166" xr:uid="{00000000-0005-0000-0000-0000FC5E0000}"/>
    <cellStyle name="40% - Accent3 2 4 8" xfId="4503" xr:uid="{00000000-0005-0000-0000-0000FD5E0000}"/>
    <cellStyle name="40% - Accent3 2 4 8 2" xfId="11604" xr:uid="{00000000-0005-0000-0000-0000FE5E0000}"/>
    <cellStyle name="40% - Accent3 2 4 8 3" xfId="18705" xr:uid="{00000000-0005-0000-0000-0000FF5E0000}"/>
    <cellStyle name="40% - Accent3 2 4 8 4" xfId="25807" xr:uid="{00000000-0005-0000-0000-0000005F0000}"/>
    <cellStyle name="40% - Accent3 2 4 8 5" xfId="32909" xr:uid="{00000000-0005-0000-0000-0000015F0000}"/>
    <cellStyle name="40% - Accent3 2 4 9" xfId="3078" xr:uid="{00000000-0005-0000-0000-0000025F0000}"/>
    <cellStyle name="40% - Accent3 2 4 9 2" xfId="10184" xr:uid="{00000000-0005-0000-0000-0000035F0000}"/>
    <cellStyle name="40% - Accent3 2 4 9 3" xfId="17285" xr:uid="{00000000-0005-0000-0000-0000045F0000}"/>
    <cellStyle name="40% - Accent3 2 4 9 4" xfId="24387" xr:uid="{00000000-0005-0000-0000-0000055F0000}"/>
    <cellStyle name="40% - Accent3 2 4 9 5" xfId="31489" xr:uid="{00000000-0005-0000-0000-0000065F0000}"/>
    <cellStyle name="40% - Accent3 2 5" xfId="307" xr:uid="{00000000-0005-0000-0000-0000075F0000}"/>
    <cellStyle name="40% - Accent3 2 5 10" xfId="39167" xr:uid="{00000000-0005-0000-0000-0000085F0000}"/>
    <cellStyle name="40% - Accent3 2 5 2" xfId="1088" xr:uid="{00000000-0005-0000-0000-0000095F0000}"/>
    <cellStyle name="40% - Accent3 2 5 2 2" xfId="2579" xr:uid="{00000000-0005-0000-0000-00000A5F0000}"/>
    <cellStyle name="40% - Accent3 2 5 2 2 2" xfId="6847" xr:uid="{00000000-0005-0000-0000-00000B5F0000}"/>
    <cellStyle name="40% - Accent3 2 5 2 2 2 2" xfId="13947" xr:uid="{00000000-0005-0000-0000-00000C5F0000}"/>
    <cellStyle name="40% - Accent3 2 5 2 2 2 3" xfId="21048" xr:uid="{00000000-0005-0000-0000-00000D5F0000}"/>
    <cellStyle name="40% - Accent3 2 5 2 2 2 4" xfId="28150" xr:uid="{00000000-0005-0000-0000-00000E5F0000}"/>
    <cellStyle name="40% - Accent3 2 5 2 2 2 5" xfId="35252" xr:uid="{00000000-0005-0000-0000-00000F5F0000}"/>
    <cellStyle name="40% - Accent3 2 5 2 2 2 6" xfId="39168" xr:uid="{00000000-0005-0000-0000-0000105F0000}"/>
    <cellStyle name="40% - Accent3 2 5 2 2 3" xfId="9687" xr:uid="{00000000-0005-0000-0000-0000115F0000}"/>
    <cellStyle name="40% - Accent3 2 5 2 2 4" xfId="16788" xr:uid="{00000000-0005-0000-0000-0000125F0000}"/>
    <cellStyle name="40% - Accent3 2 5 2 2 5" xfId="23890" xr:uid="{00000000-0005-0000-0000-0000135F0000}"/>
    <cellStyle name="40% - Accent3 2 5 2 2 6" xfId="30992" xr:uid="{00000000-0005-0000-0000-0000145F0000}"/>
    <cellStyle name="40% - Accent3 2 5 2 2 7" xfId="39169" xr:uid="{00000000-0005-0000-0000-0000155F0000}"/>
    <cellStyle name="40% - Accent3 2 5 2 3" xfId="5426" xr:uid="{00000000-0005-0000-0000-0000165F0000}"/>
    <cellStyle name="40% - Accent3 2 5 2 3 2" xfId="12527" xr:uid="{00000000-0005-0000-0000-0000175F0000}"/>
    <cellStyle name="40% - Accent3 2 5 2 3 2 2" xfId="39170" xr:uid="{00000000-0005-0000-0000-0000185F0000}"/>
    <cellStyle name="40% - Accent3 2 5 2 3 3" xfId="19628" xr:uid="{00000000-0005-0000-0000-0000195F0000}"/>
    <cellStyle name="40% - Accent3 2 5 2 3 4" xfId="26730" xr:uid="{00000000-0005-0000-0000-00001A5F0000}"/>
    <cellStyle name="40% - Accent3 2 5 2 3 5" xfId="33832" xr:uid="{00000000-0005-0000-0000-00001B5F0000}"/>
    <cellStyle name="40% - Accent3 2 5 2 3 6" xfId="39171" xr:uid="{00000000-0005-0000-0000-00001C5F0000}"/>
    <cellStyle name="40% - Accent3 2 5 2 4" xfId="4001" xr:uid="{00000000-0005-0000-0000-00001D5F0000}"/>
    <cellStyle name="40% - Accent3 2 5 2 4 2" xfId="11107" xr:uid="{00000000-0005-0000-0000-00001E5F0000}"/>
    <cellStyle name="40% - Accent3 2 5 2 4 3" xfId="18208" xr:uid="{00000000-0005-0000-0000-00001F5F0000}"/>
    <cellStyle name="40% - Accent3 2 5 2 4 4" xfId="25310" xr:uid="{00000000-0005-0000-0000-0000205F0000}"/>
    <cellStyle name="40% - Accent3 2 5 2 4 5" xfId="32412" xr:uid="{00000000-0005-0000-0000-0000215F0000}"/>
    <cellStyle name="40% - Accent3 2 5 2 4 6" xfId="39172" xr:uid="{00000000-0005-0000-0000-0000225F0000}"/>
    <cellStyle name="40% - Accent3 2 5 2 5" xfId="8267" xr:uid="{00000000-0005-0000-0000-0000235F0000}"/>
    <cellStyle name="40% - Accent3 2 5 2 6" xfId="15368" xr:uid="{00000000-0005-0000-0000-0000245F0000}"/>
    <cellStyle name="40% - Accent3 2 5 2 7" xfId="22470" xr:uid="{00000000-0005-0000-0000-0000255F0000}"/>
    <cellStyle name="40% - Accent3 2 5 2 8" xfId="29572" xr:uid="{00000000-0005-0000-0000-0000265F0000}"/>
    <cellStyle name="40% - Accent3 2 5 2 9" xfId="39173" xr:uid="{00000000-0005-0000-0000-0000275F0000}"/>
    <cellStyle name="40% - Accent3 2 5 3" xfId="1798" xr:uid="{00000000-0005-0000-0000-0000285F0000}"/>
    <cellStyle name="40% - Accent3 2 5 3 2" xfId="6066" xr:uid="{00000000-0005-0000-0000-0000295F0000}"/>
    <cellStyle name="40% - Accent3 2 5 3 2 2" xfId="13166" xr:uid="{00000000-0005-0000-0000-00002A5F0000}"/>
    <cellStyle name="40% - Accent3 2 5 3 2 2 2" xfId="39174" xr:uid="{00000000-0005-0000-0000-00002B5F0000}"/>
    <cellStyle name="40% - Accent3 2 5 3 2 3" xfId="20267" xr:uid="{00000000-0005-0000-0000-00002C5F0000}"/>
    <cellStyle name="40% - Accent3 2 5 3 2 4" xfId="27369" xr:uid="{00000000-0005-0000-0000-00002D5F0000}"/>
    <cellStyle name="40% - Accent3 2 5 3 2 5" xfId="34471" xr:uid="{00000000-0005-0000-0000-00002E5F0000}"/>
    <cellStyle name="40% - Accent3 2 5 3 2 6" xfId="39175" xr:uid="{00000000-0005-0000-0000-00002F5F0000}"/>
    <cellStyle name="40% - Accent3 2 5 3 3" xfId="8906" xr:uid="{00000000-0005-0000-0000-0000305F0000}"/>
    <cellStyle name="40% - Accent3 2 5 3 3 2" xfId="39176" xr:uid="{00000000-0005-0000-0000-0000315F0000}"/>
    <cellStyle name="40% - Accent3 2 5 3 3 3" xfId="39177" xr:uid="{00000000-0005-0000-0000-0000325F0000}"/>
    <cellStyle name="40% - Accent3 2 5 3 4" xfId="16007" xr:uid="{00000000-0005-0000-0000-0000335F0000}"/>
    <cellStyle name="40% - Accent3 2 5 3 4 2" xfId="39178" xr:uid="{00000000-0005-0000-0000-0000345F0000}"/>
    <cellStyle name="40% - Accent3 2 5 3 5" xfId="23109" xr:uid="{00000000-0005-0000-0000-0000355F0000}"/>
    <cellStyle name="40% - Accent3 2 5 3 6" xfId="30211" xr:uid="{00000000-0005-0000-0000-0000365F0000}"/>
    <cellStyle name="40% - Accent3 2 5 3 7" xfId="39179" xr:uid="{00000000-0005-0000-0000-0000375F0000}"/>
    <cellStyle name="40% - Accent3 2 5 4" xfId="4645" xr:uid="{00000000-0005-0000-0000-0000385F0000}"/>
    <cellStyle name="40% - Accent3 2 5 4 2" xfId="11746" xr:uid="{00000000-0005-0000-0000-0000395F0000}"/>
    <cellStyle name="40% - Accent3 2 5 4 2 2" xfId="39180" xr:uid="{00000000-0005-0000-0000-00003A5F0000}"/>
    <cellStyle name="40% - Accent3 2 5 4 2 3" xfId="39181" xr:uid="{00000000-0005-0000-0000-00003B5F0000}"/>
    <cellStyle name="40% - Accent3 2 5 4 3" xfId="18847" xr:uid="{00000000-0005-0000-0000-00003C5F0000}"/>
    <cellStyle name="40% - Accent3 2 5 4 3 2" xfId="39182" xr:uid="{00000000-0005-0000-0000-00003D5F0000}"/>
    <cellStyle name="40% - Accent3 2 5 4 3 3" xfId="39183" xr:uid="{00000000-0005-0000-0000-00003E5F0000}"/>
    <cellStyle name="40% - Accent3 2 5 4 4" xfId="25949" xr:uid="{00000000-0005-0000-0000-00003F5F0000}"/>
    <cellStyle name="40% - Accent3 2 5 4 4 2" xfId="39184" xr:uid="{00000000-0005-0000-0000-0000405F0000}"/>
    <cellStyle name="40% - Accent3 2 5 4 5" xfId="33051" xr:uid="{00000000-0005-0000-0000-0000415F0000}"/>
    <cellStyle name="40% - Accent3 2 5 4 6" xfId="39185" xr:uid="{00000000-0005-0000-0000-0000425F0000}"/>
    <cellStyle name="40% - Accent3 2 5 5" xfId="3220" xr:uid="{00000000-0005-0000-0000-0000435F0000}"/>
    <cellStyle name="40% - Accent3 2 5 5 2" xfId="10326" xr:uid="{00000000-0005-0000-0000-0000445F0000}"/>
    <cellStyle name="40% - Accent3 2 5 5 2 2" xfId="39186" xr:uid="{00000000-0005-0000-0000-0000455F0000}"/>
    <cellStyle name="40% - Accent3 2 5 5 3" xfId="17427" xr:uid="{00000000-0005-0000-0000-0000465F0000}"/>
    <cellStyle name="40% - Accent3 2 5 5 4" xfId="24529" xr:uid="{00000000-0005-0000-0000-0000475F0000}"/>
    <cellStyle name="40% - Accent3 2 5 5 5" xfId="31631" xr:uid="{00000000-0005-0000-0000-0000485F0000}"/>
    <cellStyle name="40% - Accent3 2 5 5 6" xfId="39187" xr:uid="{00000000-0005-0000-0000-0000495F0000}"/>
    <cellStyle name="40% - Accent3 2 5 6" xfId="7486" xr:uid="{00000000-0005-0000-0000-00004A5F0000}"/>
    <cellStyle name="40% - Accent3 2 5 6 2" xfId="39188" xr:uid="{00000000-0005-0000-0000-00004B5F0000}"/>
    <cellStyle name="40% - Accent3 2 5 6 3" xfId="39189" xr:uid="{00000000-0005-0000-0000-00004C5F0000}"/>
    <cellStyle name="40% - Accent3 2 5 7" xfId="14587" xr:uid="{00000000-0005-0000-0000-00004D5F0000}"/>
    <cellStyle name="40% - Accent3 2 5 7 2" xfId="39190" xr:uid="{00000000-0005-0000-0000-00004E5F0000}"/>
    <cellStyle name="40% - Accent3 2 5 8" xfId="21689" xr:uid="{00000000-0005-0000-0000-00004F5F0000}"/>
    <cellStyle name="40% - Accent3 2 5 9" xfId="28791" xr:uid="{00000000-0005-0000-0000-0000505F0000}"/>
    <cellStyle name="40% - Accent3 2 6" xfId="520" xr:uid="{00000000-0005-0000-0000-0000515F0000}"/>
    <cellStyle name="40% - Accent3 2 6 2" xfId="2011" xr:uid="{00000000-0005-0000-0000-0000525F0000}"/>
    <cellStyle name="40% - Accent3 2 6 2 2" xfId="6279" xr:uid="{00000000-0005-0000-0000-0000535F0000}"/>
    <cellStyle name="40% - Accent3 2 6 2 2 2" xfId="13379" xr:uid="{00000000-0005-0000-0000-0000545F0000}"/>
    <cellStyle name="40% - Accent3 2 6 2 2 3" xfId="20480" xr:uid="{00000000-0005-0000-0000-0000555F0000}"/>
    <cellStyle name="40% - Accent3 2 6 2 2 4" xfId="27582" xr:uid="{00000000-0005-0000-0000-0000565F0000}"/>
    <cellStyle name="40% - Accent3 2 6 2 2 5" xfId="34684" xr:uid="{00000000-0005-0000-0000-0000575F0000}"/>
    <cellStyle name="40% - Accent3 2 6 2 2 6" xfId="39191" xr:uid="{00000000-0005-0000-0000-0000585F0000}"/>
    <cellStyle name="40% - Accent3 2 6 2 3" xfId="9119" xr:uid="{00000000-0005-0000-0000-0000595F0000}"/>
    <cellStyle name="40% - Accent3 2 6 2 4" xfId="16220" xr:uid="{00000000-0005-0000-0000-00005A5F0000}"/>
    <cellStyle name="40% - Accent3 2 6 2 5" xfId="23322" xr:uid="{00000000-0005-0000-0000-00005B5F0000}"/>
    <cellStyle name="40% - Accent3 2 6 2 6" xfId="30424" xr:uid="{00000000-0005-0000-0000-00005C5F0000}"/>
    <cellStyle name="40% - Accent3 2 6 2 7" xfId="39192" xr:uid="{00000000-0005-0000-0000-00005D5F0000}"/>
    <cellStyle name="40% - Accent3 2 6 3" xfId="4858" xr:uid="{00000000-0005-0000-0000-00005E5F0000}"/>
    <cellStyle name="40% - Accent3 2 6 3 2" xfId="11959" xr:uid="{00000000-0005-0000-0000-00005F5F0000}"/>
    <cellStyle name="40% - Accent3 2 6 3 2 2" xfId="39193" xr:uid="{00000000-0005-0000-0000-0000605F0000}"/>
    <cellStyle name="40% - Accent3 2 6 3 3" xfId="19060" xr:uid="{00000000-0005-0000-0000-0000615F0000}"/>
    <cellStyle name="40% - Accent3 2 6 3 4" xfId="26162" xr:uid="{00000000-0005-0000-0000-0000625F0000}"/>
    <cellStyle name="40% - Accent3 2 6 3 5" xfId="33264" xr:uid="{00000000-0005-0000-0000-0000635F0000}"/>
    <cellStyle name="40% - Accent3 2 6 3 6" xfId="39194" xr:uid="{00000000-0005-0000-0000-0000645F0000}"/>
    <cellStyle name="40% - Accent3 2 6 4" xfId="3433" xr:uid="{00000000-0005-0000-0000-0000655F0000}"/>
    <cellStyle name="40% - Accent3 2 6 4 2" xfId="10539" xr:uid="{00000000-0005-0000-0000-0000665F0000}"/>
    <cellStyle name="40% - Accent3 2 6 4 3" xfId="17640" xr:uid="{00000000-0005-0000-0000-0000675F0000}"/>
    <cellStyle name="40% - Accent3 2 6 4 4" xfId="24742" xr:uid="{00000000-0005-0000-0000-0000685F0000}"/>
    <cellStyle name="40% - Accent3 2 6 4 5" xfId="31844" xr:uid="{00000000-0005-0000-0000-0000695F0000}"/>
    <cellStyle name="40% - Accent3 2 6 4 6" xfId="39195" xr:uid="{00000000-0005-0000-0000-00006A5F0000}"/>
    <cellStyle name="40% - Accent3 2 6 5" xfId="7699" xr:uid="{00000000-0005-0000-0000-00006B5F0000}"/>
    <cellStyle name="40% - Accent3 2 6 6" xfId="14800" xr:uid="{00000000-0005-0000-0000-00006C5F0000}"/>
    <cellStyle name="40% - Accent3 2 6 7" xfId="21902" xr:uid="{00000000-0005-0000-0000-00006D5F0000}"/>
    <cellStyle name="40% - Accent3 2 6 8" xfId="29004" xr:uid="{00000000-0005-0000-0000-00006E5F0000}"/>
    <cellStyle name="40% - Accent3 2 6 9" xfId="39196" xr:uid="{00000000-0005-0000-0000-00006F5F0000}"/>
    <cellStyle name="40% - Accent3 2 7" xfId="733" xr:uid="{00000000-0005-0000-0000-0000705F0000}"/>
    <cellStyle name="40% - Accent3 2 7 2" xfId="2224" xr:uid="{00000000-0005-0000-0000-0000715F0000}"/>
    <cellStyle name="40% - Accent3 2 7 2 2" xfId="6492" xr:uid="{00000000-0005-0000-0000-0000725F0000}"/>
    <cellStyle name="40% - Accent3 2 7 2 2 2" xfId="13592" xr:uid="{00000000-0005-0000-0000-0000735F0000}"/>
    <cellStyle name="40% - Accent3 2 7 2 2 3" xfId="20693" xr:uid="{00000000-0005-0000-0000-0000745F0000}"/>
    <cellStyle name="40% - Accent3 2 7 2 2 4" xfId="27795" xr:uid="{00000000-0005-0000-0000-0000755F0000}"/>
    <cellStyle name="40% - Accent3 2 7 2 2 5" xfId="34897" xr:uid="{00000000-0005-0000-0000-0000765F0000}"/>
    <cellStyle name="40% - Accent3 2 7 2 2 6" xfId="39197" xr:uid="{00000000-0005-0000-0000-0000775F0000}"/>
    <cellStyle name="40% - Accent3 2 7 2 3" xfId="9332" xr:uid="{00000000-0005-0000-0000-0000785F0000}"/>
    <cellStyle name="40% - Accent3 2 7 2 4" xfId="16433" xr:uid="{00000000-0005-0000-0000-0000795F0000}"/>
    <cellStyle name="40% - Accent3 2 7 2 5" xfId="23535" xr:uid="{00000000-0005-0000-0000-00007A5F0000}"/>
    <cellStyle name="40% - Accent3 2 7 2 6" xfId="30637" xr:uid="{00000000-0005-0000-0000-00007B5F0000}"/>
    <cellStyle name="40% - Accent3 2 7 2 7" xfId="39198" xr:uid="{00000000-0005-0000-0000-00007C5F0000}"/>
    <cellStyle name="40% - Accent3 2 7 3" xfId="5071" xr:uid="{00000000-0005-0000-0000-00007D5F0000}"/>
    <cellStyle name="40% - Accent3 2 7 3 2" xfId="12172" xr:uid="{00000000-0005-0000-0000-00007E5F0000}"/>
    <cellStyle name="40% - Accent3 2 7 3 2 2" xfId="39199" xr:uid="{00000000-0005-0000-0000-00007F5F0000}"/>
    <cellStyle name="40% - Accent3 2 7 3 3" xfId="19273" xr:uid="{00000000-0005-0000-0000-0000805F0000}"/>
    <cellStyle name="40% - Accent3 2 7 3 4" xfId="26375" xr:uid="{00000000-0005-0000-0000-0000815F0000}"/>
    <cellStyle name="40% - Accent3 2 7 3 5" xfId="33477" xr:uid="{00000000-0005-0000-0000-0000825F0000}"/>
    <cellStyle name="40% - Accent3 2 7 3 6" xfId="39200" xr:uid="{00000000-0005-0000-0000-0000835F0000}"/>
    <cellStyle name="40% - Accent3 2 7 4" xfId="3646" xr:uid="{00000000-0005-0000-0000-0000845F0000}"/>
    <cellStyle name="40% - Accent3 2 7 4 2" xfId="10752" xr:uid="{00000000-0005-0000-0000-0000855F0000}"/>
    <cellStyle name="40% - Accent3 2 7 4 3" xfId="17853" xr:uid="{00000000-0005-0000-0000-0000865F0000}"/>
    <cellStyle name="40% - Accent3 2 7 4 4" xfId="24955" xr:uid="{00000000-0005-0000-0000-0000875F0000}"/>
    <cellStyle name="40% - Accent3 2 7 4 5" xfId="32057" xr:uid="{00000000-0005-0000-0000-0000885F0000}"/>
    <cellStyle name="40% - Accent3 2 7 4 6" xfId="39201" xr:uid="{00000000-0005-0000-0000-0000895F0000}"/>
    <cellStyle name="40% - Accent3 2 7 5" xfId="7912" xr:uid="{00000000-0005-0000-0000-00008A5F0000}"/>
    <cellStyle name="40% - Accent3 2 7 6" xfId="15013" xr:uid="{00000000-0005-0000-0000-00008B5F0000}"/>
    <cellStyle name="40% - Accent3 2 7 7" xfId="22115" xr:uid="{00000000-0005-0000-0000-00008C5F0000}"/>
    <cellStyle name="40% - Accent3 2 7 8" xfId="29217" xr:uid="{00000000-0005-0000-0000-00008D5F0000}"/>
    <cellStyle name="40% - Accent3 2 7 9" xfId="39202" xr:uid="{00000000-0005-0000-0000-00008E5F0000}"/>
    <cellStyle name="40% - Accent3 2 8" xfId="946" xr:uid="{00000000-0005-0000-0000-00008F5F0000}"/>
    <cellStyle name="40% - Accent3 2 8 2" xfId="2437" xr:uid="{00000000-0005-0000-0000-0000905F0000}"/>
    <cellStyle name="40% - Accent3 2 8 2 2" xfId="6705" xr:uid="{00000000-0005-0000-0000-0000915F0000}"/>
    <cellStyle name="40% - Accent3 2 8 2 2 2" xfId="13805" xr:uid="{00000000-0005-0000-0000-0000925F0000}"/>
    <cellStyle name="40% - Accent3 2 8 2 2 3" xfId="20906" xr:uid="{00000000-0005-0000-0000-0000935F0000}"/>
    <cellStyle name="40% - Accent3 2 8 2 2 4" xfId="28008" xr:uid="{00000000-0005-0000-0000-0000945F0000}"/>
    <cellStyle name="40% - Accent3 2 8 2 2 5" xfId="35110" xr:uid="{00000000-0005-0000-0000-0000955F0000}"/>
    <cellStyle name="40% - Accent3 2 8 2 2 6" xfId="39203" xr:uid="{00000000-0005-0000-0000-0000965F0000}"/>
    <cellStyle name="40% - Accent3 2 8 2 3" xfId="9545" xr:uid="{00000000-0005-0000-0000-0000975F0000}"/>
    <cellStyle name="40% - Accent3 2 8 2 4" xfId="16646" xr:uid="{00000000-0005-0000-0000-0000985F0000}"/>
    <cellStyle name="40% - Accent3 2 8 2 5" xfId="23748" xr:uid="{00000000-0005-0000-0000-0000995F0000}"/>
    <cellStyle name="40% - Accent3 2 8 2 6" xfId="30850" xr:uid="{00000000-0005-0000-0000-00009A5F0000}"/>
    <cellStyle name="40% - Accent3 2 8 2 7" xfId="39204" xr:uid="{00000000-0005-0000-0000-00009B5F0000}"/>
    <cellStyle name="40% - Accent3 2 8 3" xfId="5284" xr:uid="{00000000-0005-0000-0000-00009C5F0000}"/>
    <cellStyle name="40% - Accent3 2 8 3 2" xfId="12385" xr:uid="{00000000-0005-0000-0000-00009D5F0000}"/>
    <cellStyle name="40% - Accent3 2 8 3 2 2" xfId="39205" xr:uid="{00000000-0005-0000-0000-00009E5F0000}"/>
    <cellStyle name="40% - Accent3 2 8 3 3" xfId="19486" xr:uid="{00000000-0005-0000-0000-00009F5F0000}"/>
    <cellStyle name="40% - Accent3 2 8 3 4" xfId="26588" xr:uid="{00000000-0005-0000-0000-0000A05F0000}"/>
    <cellStyle name="40% - Accent3 2 8 3 5" xfId="33690" xr:uid="{00000000-0005-0000-0000-0000A15F0000}"/>
    <cellStyle name="40% - Accent3 2 8 3 6" xfId="39206" xr:uid="{00000000-0005-0000-0000-0000A25F0000}"/>
    <cellStyle name="40% - Accent3 2 8 4" xfId="3859" xr:uid="{00000000-0005-0000-0000-0000A35F0000}"/>
    <cellStyle name="40% - Accent3 2 8 4 2" xfId="10965" xr:uid="{00000000-0005-0000-0000-0000A45F0000}"/>
    <cellStyle name="40% - Accent3 2 8 4 3" xfId="18066" xr:uid="{00000000-0005-0000-0000-0000A55F0000}"/>
    <cellStyle name="40% - Accent3 2 8 4 4" xfId="25168" xr:uid="{00000000-0005-0000-0000-0000A65F0000}"/>
    <cellStyle name="40% - Accent3 2 8 4 5" xfId="32270" xr:uid="{00000000-0005-0000-0000-0000A75F0000}"/>
    <cellStyle name="40% - Accent3 2 8 4 6" xfId="39207" xr:uid="{00000000-0005-0000-0000-0000A85F0000}"/>
    <cellStyle name="40% - Accent3 2 8 5" xfId="8125" xr:uid="{00000000-0005-0000-0000-0000A95F0000}"/>
    <cellStyle name="40% - Accent3 2 8 6" xfId="15226" xr:uid="{00000000-0005-0000-0000-0000AA5F0000}"/>
    <cellStyle name="40% - Accent3 2 8 7" xfId="22328" xr:uid="{00000000-0005-0000-0000-0000AB5F0000}"/>
    <cellStyle name="40% - Accent3 2 8 8" xfId="29430" xr:uid="{00000000-0005-0000-0000-0000AC5F0000}"/>
    <cellStyle name="40% - Accent3 2 8 9" xfId="39208" xr:uid="{00000000-0005-0000-0000-0000AD5F0000}"/>
    <cellStyle name="40% - Accent3 2 9" xfId="1301" xr:uid="{00000000-0005-0000-0000-0000AE5F0000}"/>
    <cellStyle name="40% - Accent3 2 9 2" xfId="2792" xr:uid="{00000000-0005-0000-0000-0000AF5F0000}"/>
    <cellStyle name="40% - Accent3 2 9 2 2" xfId="7060" xr:uid="{00000000-0005-0000-0000-0000B05F0000}"/>
    <cellStyle name="40% - Accent3 2 9 2 2 2" xfId="14160" xr:uid="{00000000-0005-0000-0000-0000B15F0000}"/>
    <cellStyle name="40% - Accent3 2 9 2 2 3" xfId="21261" xr:uid="{00000000-0005-0000-0000-0000B25F0000}"/>
    <cellStyle name="40% - Accent3 2 9 2 2 4" xfId="28363" xr:uid="{00000000-0005-0000-0000-0000B35F0000}"/>
    <cellStyle name="40% - Accent3 2 9 2 2 5" xfId="35465" xr:uid="{00000000-0005-0000-0000-0000B45F0000}"/>
    <cellStyle name="40% - Accent3 2 9 2 3" xfId="9900" xr:uid="{00000000-0005-0000-0000-0000B55F0000}"/>
    <cellStyle name="40% - Accent3 2 9 2 4" xfId="17001" xr:uid="{00000000-0005-0000-0000-0000B65F0000}"/>
    <cellStyle name="40% - Accent3 2 9 2 5" xfId="24103" xr:uid="{00000000-0005-0000-0000-0000B75F0000}"/>
    <cellStyle name="40% - Accent3 2 9 2 6" xfId="31205" xr:uid="{00000000-0005-0000-0000-0000B85F0000}"/>
    <cellStyle name="40% - Accent3 2 9 2 7" xfId="39209" xr:uid="{00000000-0005-0000-0000-0000B95F0000}"/>
    <cellStyle name="40% - Accent3 2 9 3" xfId="5639" xr:uid="{00000000-0005-0000-0000-0000BA5F0000}"/>
    <cellStyle name="40% - Accent3 2 9 3 2" xfId="12740" xr:uid="{00000000-0005-0000-0000-0000BB5F0000}"/>
    <cellStyle name="40% - Accent3 2 9 3 3" xfId="19841" xr:uid="{00000000-0005-0000-0000-0000BC5F0000}"/>
    <cellStyle name="40% - Accent3 2 9 3 4" xfId="26943" xr:uid="{00000000-0005-0000-0000-0000BD5F0000}"/>
    <cellStyle name="40% - Accent3 2 9 3 5" xfId="34045" xr:uid="{00000000-0005-0000-0000-0000BE5F0000}"/>
    <cellStyle name="40% - Accent3 2 9 4" xfId="4214" xr:uid="{00000000-0005-0000-0000-0000BF5F0000}"/>
    <cellStyle name="40% - Accent3 2 9 4 2" xfId="11320" xr:uid="{00000000-0005-0000-0000-0000C05F0000}"/>
    <cellStyle name="40% - Accent3 2 9 4 3" xfId="18421" xr:uid="{00000000-0005-0000-0000-0000C15F0000}"/>
    <cellStyle name="40% - Accent3 2 9 4 4" xfId="25523" xr:uid="{00000000-0005-0000-0000-0000C25F0000}"/>
    <cellStyle name="40% - Accent3 2 9 4 5" xfId="32625" xr:uid="{00000000-0005-0000-0000-0000C35F0000}"/>
    <cellStyle name="40% - Accent3 2 9 5" xfId="8480" xr:uid="{00000000-0005-0000-0000-0000C45F0000}"/>
    <cellStyle name="40% - Accent3 2 9 6" xfId="15581" xr:uid="{00000000-0005-0000-0000-0000C55F0000}"/>
    <cellStyle name="40% - Accent3 2 9 7" xfId="22683" xr:uid="{00000000-0005-0000-0000-0000C65F0000}"/>
    <cellStyle name="40% - Accent3 2 9 8" xfId="29785" xr:uid="{00000000-0005-0000-0000-0000C75F0000}"/>
    <cellStyle name="40% - Accent3 2 9 9" xfId="39210" xr:uid="{00000000-0005-0000-0000-0000C85F0000}"/>
    <cellStyle name="40% - Accent3 20" xfId="39211" xr:uid="{00000000-0005-0000-0000-0000C95F0000}"/>
    <cellStyle name="40% - Accent3 21" xfId="39212" xr:uid="{00000000-0005-0000-0000-0000CA5F0000}"/>
    <cellStyle name="40% - Accent3 22" xfId="39213" xr:uid="{00000000-0005-0000-0000-0000CB5F0000}"/>
    <cellStyle name="40% - Accent3 23" xfId="39214" xr:uid="{00000000-0005-0000-0000-0000CC5F0000}"/>
    <cellStyle name="40% - Accent3 24" xfId="39215" xr:uid="{00000000-0005-0000-0000-0000CD5F0000}"/>
    <cellStyle name="40% - Accent3 25" xfId="39216" xr:uid="{00000000-0005-0000-0000-0000CE5F0000}"/>
    <cellStyle name="40% - Accent3 3" xfId="102" xr:uid="{00000000-0005-0000-0000-0000CF5F0000}"/>
    <cellStyle name="40% - Accent3 3 10" xfId="4446" xr:uid="{00000000-0005-0000-0000-0000D05F0000}"/>
    <cellStyle name="40% - Accent3 3 10 2" xfId="11547" xr:uid="{00000000-0005-0000-0000-0000D15F0000}"/>
    <cellStyle name="40% - Accent3 3 10 3" xfId="18648" xr:uid="{00000000-0005-0000-0000-0000D25F0000}"/>
    <cellStyle name="40% - Accent3 3 10 4" xfId="25750" xr:uid="{00000000-0005-0000-0000-0000D35F0000}"/>
    <cellStyle name="40% - Accent3 3 10 5" xfId="32852" xr:uid="{00000000-0005-0000-0000-0000D45F0000}"/>
    <cellStyle name="40% - Accent3 3 11" xfId="3021" xr:uid="{00000000-0005-0000-0000-0000D55F0000}"/>
    <cellStyle name="40% - Accent3 3 11 2" xfId="10127" xr:uid="{00000000-0005-0000-0000-0000D65F0000}"/>
    <cellStyle name="40% - Accent3 3 11 3" xfId="17228" xr:uid="{00000000-0005-0000-0000-0000D75F0000}"/>
    <cellStyle name="40% - Accent3 3 11 4" xfId="24330" xr:uid="{00000000-0005-0000-0000-0000D85F0000}"/>
    <cellStyle name="40% - Accent3 3 11 5" xfId="31432" xr:uid="{00000000-0005-0000-0000-0000D95F0000}"/>
    <cellStyle name="40% - Accent3 3 12" xfId="7287" xr:uid="{00000000-0005-0000-0000-0000DA5F0000}"/>
    <cellStyle name="40% - Accent3 3 13" xfId="14388" xr:uid="{00000000-0005-0000-0000-0000DB5F0000}"/>
    <cellStyle name="40% - Accent3 3 14" xfId="21490" xr:uid="{00000000-0005-0000-0000-0000DC5F0000}"/>
    <cellStyle name="40% - Accent3 3 15" xfId="28592" xr:uid="{00000000-0005-0000-0000-0000DD5F0000}"/>
    <cellStyle name="40% - Accent3 3 16" xfId="35694" xr:uid="{00000000-0005-0000-0000-0000DE5F0000}"/>
    <cellStyle name="40% - Accent3 3 17" xfId="39217" xr:uid="{00000000-0005-0000-0000-0000DF5F0000}"/>
    <cellStyle name="40% - Accent3 3 18" xfId="39218" xr:uid="{00000000-0005-0000-0000-0000E05F0000}"/>
    <cellStyle name="40% - Accent3 3 2" xfId="250" xr:uid="{00000000-0005-0000-0000-0000E15F0000}"/>
    <cellStyle name="40% - Accent3 3 2 10" xfId="7429" xr:uid="{00000000-0005-0000-0000-0000E25F0000}"/>
    <cellStyle name="40% - Accent3 3 2 11" xfId="14530" xr:uid="{00000000-0005-0000-0000-0000E35F0000}"/>
    <cellStyle name="40% - Accent3 3 2 12" xfId="21632" xr:uid="{00000000-0005-0000-0000-0000E45F0000}"/>
    <cellStyle name="40% - Accent3 3 2 13" xfId="28734" xr:uid="{00000000-0005-0000-0000-0000E55F0000}"/>
    <cellStyle name="40% - Accent3 3 2 14" xfId="35836" xr:uid="{00000000-0005-0000-0000-0000E65F0000}"/>
    <cellStyle name="40% - Accent3 3 2 15" xfId="39219" xr:uid="{00000000-0005-0000-0000-0000E75F0000}"/>
    <cellStyle name="40% - Accent3 3 2 2" xfId="463" xr:uid="{00000000-0005-0000-0000-0000E85F0000}"/>
    <cellStyle name="40% - Accent3 3 2 2 10" xfId="39220" xr:uid="{00000000-0005-0000-0000-0000E95F0000}"/>
    <cellStyle name="40% - Accent3 3 2 2 2" xfId="1244" xr:uid="{00000000-0005-0000-0000-0000EA5F0000}"/>
    <cellStyle name="40% - Accent3 3 2 2 2 2" xfId="2735" xr:uid="{00000000-0005-0000-0000-0000EB5F0000}"/>
    <cellStyle name="40% - Accent3 3 2 2 2 2 2" xfId="7003" xr:uid="{00000000-0005-0000-0000-0000EC5F0000}"/>
    <cellStyle name="40% - Accent3 3 2 2 2 2 2 2" xfId="14103" xr:uid="{00000000-0005-0000-0000-0000ED5F0000}"/>
    <cellStyle name="40% - Accent3 3 2 2 2 2 2 3" xfId="21204" xr:uid="{00000000-0005-0000-0000-0000EE5F0000}"/>
    <cellStyle name="40% - Accent3 3 2 2 2 2 2 4" xfId="28306" xr:uid="{00000000-0005-0000-0000-0000EF5F0000}"/>
    <cellStyle name="40% - Accent3 3 2 2 2 2 2 5" xfId="35408" xr:uid="{00000000-0005-0000-0000-0000F05F0000}"/>
    <cellStyle name="40% - Accent3 3 2 2 2 2 3" xfId="9843" xr:uid="{00000000-0005-0000-0000-0000F15F0000}"/>
    <cellStyle name="40% - Accent3 3 2 2 2 2 4" xfId="16944" xr:uid="{00000000-0005-0000-0000-0000F25F0000}"/>
    <cellStyle name="40% - Accent3 3 2 2 2 2 5" xfId="24046" xr:uid="{00000000-0005-0000-0000-0000F35F0000}"/>
    <cellStyle name="40% - Accent3 3 2 2 2 2 6" xfId="31148" xr:uid="{00000000-0005-0000-0000-0000F45F0000}"/>
    <cellStyle name="40% - Accent3 3 2 2 2 2 7" xfId="39221" xr:uid="{00000000-0005-0000-0000-0000F55F0000}"/>
    <cellStyle name="40% - Accent3 3 2 2 2 3" xfId="5582" xr:uid="{00000000-0005-0000-0000-0000F65F0000}"/>
    <cellStyle name="40% - Accent3 3 2 2 2 3 2" xfId="12683" xr:uid="{00000000-0005-0000-0000-0000F75F0000}"/>
    <cellStyle name="40% - Accent3 3 2 2 2 3 3" xfId="19784" xr:uid="{00000000-0005-0000-0000-0000F85F0000}"/>
    <cellStyle name="40% - Accent3 3 2 2 2 3 4" xfId="26886" xr:uid="{00000000-0005-0000-0000-0000F95F0000}"/>
    <cellStyle name="40% - Accent3 3 2 2 2 3 5" xfId="33988" xr:uid="{00000000-0005-0000-0000-0000FA5F0000}"/>
    <cellStyle name="40% - Accent3 3 2 2 2 4" xfId="4157" xr:uid="{00000000-0005-0000-0000-0000FB5F0000}"/>
    <cellStyle name="40% - Accent3 3 2 2 2 4 2" xfId="11263" xr:uid="{00000000-0005-0000-0000-0000FC5F0000}"/>
    <cellStyle name="40% - Accent3 3 2 2 2 4 3" xfId="18364" xr:uid="{00000000-0005-0000-0000-0000FD5F0000}"/>
    <cellStyle name="40% - Accent3 3 2 2 2 4 4" xfId="25466" xr:uid="{00000000-0005-0000-0000-0000FE5F0000}"/>
    <cellStyle name="40% - Accent3 3 2 2 2 4 5" xfId="32568" xr:uid="{00000000-0005-0000-0000-0000FF5F0000}"/>
    <cellStyle name="40% - Accent3 3 2 2 2 5" xfId="8423" xr:uid="{00000000-0005-0000-0000-000000600000}"/>
    <cellStyle name="40% - Accent3 3 2 2 2 6" xfId="15524" xr:uid="{00000000-0005-0000-0000-000001600000}"/>
    <cellStyle name="40% - Accent3 3 2 2 2 7" xfId="22626" xr:uid="{00000000-0005-0000-0000-000002600000}"/>
    <cellStyle name="40% - Accent3 3 2 2 2 8" xfId="29728" xr:uid="{00000000-0005-0000-0000-000003600000}"/>
    <cellStyle name="40% - Accent3 3 2 2 2 9" xfId="39222" xr:uid="{00000000-0005-0000-0000-000004600000}"/>
    <cellStyle name="40% - Accent3 3 2 2 3" xfId="1954" xr:uid="{00000000-0005-0000-0000-000005600000}"/>
    <cellStyle name="40% - Accent3 3 2 2 3 2" xfId="6222" xr:uid="{00000000-0005-0000-0000-000006600000}"/>
    <cellStyle name="40% - Accent3 3 2 2 3 2 2" xfId="13322" xr:uid="{00000000-0005-0000-0000-000007600000}"/>
    <cellStyle name="40% - Accent3 3 2 2 3 2 3" xfId="20423" xr:uid="{00000000-0005-0000-0000-000008600000}"/>
    <cellStyle name="40% - Accent3 3 2 2 3 2 4" xfId="27525" xr:uid="{00000000-0005-0000-0000-000009600000}"/>
    <cellStyle name="40% - Accent3 3 2 2 3 2 5" xfId="34627" xr:uid="{00000000-0005-0000-0000-00000A600000}"/>
    <cellStyle name="40% - Accent3 3 2 2 3 2 6" xfId="39223" xr:uid="{00000000-0005-0000-0000-00000B600000}"/>
    <cellStyle name="40% - Accent3 3 2 2 3 3" xfId="9062" xr:uid="{00000000-0005-0000-0000-00000C600000}"/>
    <cellStyle name="40% - Accent3 3 2 2 3 4" xfId="16163" xr:uid="{00000000-0005-0000-0000-00000D600000}"/>
    <cellStyle name="40% - Accent3 3 2 2 3 5" xfId="23265" xr:uid="{00000000-0005-0000-0000-00000E600000}"/>
    <cellStyle name="40% - Accent3 3 2 2 3 6" xfId="30367" xr:uid="{00000000-0005-0000-0000-00000F600000}"/>
    <cellStyle name="40% - Accent3 3 2 2 3 7" xfId="39224" xr:uid="{00000000-0005-0000-0000-000010600000}"/>
    <cellStyle name="40% - Accent3 3 2 2 4" xfId="4801" xr:uid="{00000000-0005-0000-0000-000011600000}"/>
    <cellStyle name="40% - Accent3 3 2 2 4 2" xfId="11902" xr:uid="{00000000-0005-0000-0000-000012600000}"/>
    <cellStyle name="40% - Accent3 3 2 2 4 3" xfId="19003" xr:uid="{00000000-0005-0000-0000-000013600000}"/>
    <cellStyle name="40% - Accent3 3 2 2 4 4" xfId="26105" xr:uid="{00000000-0005-0000-0000-000014600000}"/>
    <cellStyle name="40% - Accent3 3 2 2 4 5" xfId="33207" xr:uid="{00000000-0005-0000-0000-000015600000}"/>
    <cellStyle name="40% - Accent3 3 2 2 4 6" xfId="39225" xr:uid="{00000000-0005-0000-0000-000016600000}"/>
    <cellStyle name="40% - Accent3 3 2 2 5" xfId="3376" xr:uid="{00000000-0005-0000-0000-000017600000}"/>
    <cellStyle name="40% - Accent3 3 2 2 5 2" xfId="10482" xr:uid="{00000000-0005-0000-0000-000018600000}"/>
    <cellStyle name="40% - Accent3 3 2 2 5 3" xfId="17583" xr:uid="{00000000-0005-0000-0000-000019600000}"/>
    <cellStyle name="40% - Accent3 3 2 2 5 4" xfId="24685" xr:uid="{00000000-0005-0000-0000-00001A600000}"/>
    <cellStyle name="40% - Accent3 3 2 2 5 5" xfId="31787" xr:uid="{00000000-0005-0000-0000-00001B600000}"/>
    <cellStyle name="40% - Accent3 3 2 2 6" xfId="7642" xr:uid="{00000000-0005-0000-0000-00001C600000}"/>
    <cellStyle name="40% - Accent3 3 2 2 7" xfId="14743" xr:uid="{00000000-0005-0000-0000-00001D600000}"/>
    <cellStyle name="40% - Accent3 3 2 2 8" xfId="21845" xr:uid="{00000000-0005-0000-0000-00001E600000}"/>
    <cellStyle name="40% - Accent3 3 2 2 9" xfId="28947" xr:uid="{00000000-0005-0000-0000-00001F600000}"/>
    <cellStyle name="40% - Accent3 3 2 3" xfId="676" xr:uid="{00000000-0005-0000-0000-000020600000}"/>
    <cellStyle name="40% - Accent3 3 2 3 2" xfId="2167" xr:uid="{00000000-0005-0000-0000-000021600000}"/>
    <cellStyle name="40% - Accent3 3 2 3 2 2" xfId="6435" xr:uid="{00000000-0005-0000-0000-000022600000}"/>
    <cellStyle name="40% - Accent3 3 2 3 2 2 2" xfId="13535" xr:uid="{00000000-0005-0000-0000-000023600000}"/>
    <cellStyle name="40% - Accent3 3 2 3 2 2 3" xfId="20636" xr:uid="{00000000-0005-0000-0000-000024600000}"/>
    <cellStyle name="40% - Accent3 3 2 3 2 2 4" xfId="27738" xr:uid="{00000000-0005-0000-0000-000025600000}"/>
    <cellStyle name="40% - Accent3 3 2 3 2 2 5" xfId="34840" xr:uid="{00000000-0005-0000-0000-000026600000}"/>
    <cellStyle name="40% - Accent3 3 2 3 2 2 6" xfId="39226" xr:uid="{00000000-0005-0000-0000-000027600000}"/>
    <cellStyle name="40% - Accent3 3 2 3 2 3" xfId="9275" xr:uid="{00000000-0005-0000-0000-000028600000}"/>
    <cellStyle name="40% - Accent3 3 2 3 2 4" xfId="16376" xr:uid="{00000000-0005-0000-0000-000029600000}"/>
    <cellStyle name="40% - Accent3 3 2 3 2 5" xfId="23478" xr:uid="{00000000-0005-0000-0000-00002A600000}"/>
    <cellStyle name="40% - Accent3 3 2 3 2 6" xfId="30580" xr:uid="{00000000-0005-0000-0000-00002B600000}"/>
    <cellStyle name="40% - Accent3 3 2 3 2 7" xfId="39227" xr:uid="{00000000-0005-0000-0000-00002C600000}"/>
    <cellStyle name="40% - Accent3 3 2 3 3" xfId="5014" xr:uid="{00000000-0005-0000-0000-00002D600000}"/>
    <cellStyle name="40% - Accent3 3 2 3 3 2" xfId="12115" xr:uid="{00000000-0005-0000-0000-00002E600000}"/>
    <cellStyle name="40% - Accent3 3 2 3 3 2 2" xfId="39228" xr:uid="{00000000-0005-0000-0000-00002F600000}"/>
    <cellStyle name="40% - Accent3 3 2 3 3 3" xfId="19216" xr:uid="{00000000-0005-0000-0000-000030600000}"/>
    <cellStyle name="40% - Accent3 3 2 3 3 4" xfId="26318" xr:uid="{00000000-0005-0000-0000-000031600000}"/>
    <cellStyle name="40% - Accent3 3 2 3 3 5" xfId="33420" xr:uid="{00000000-0005-0000-0000-000032600000}"/>
    <cellStyle name="40% - Accent3 3 2 3 3 6" xfId="39229" xr:uid="{00000000-0005-0000-0000-000033600000}"/>
    <cellStyle name="40% - Accent3 3 2 3 4" xfId="3589" xr:uid="{00000000-0005-0000-0000-000034600000}"/>
    <cellStyle name="40% - Accent3 3 2 3 4 2" xfId="10695" xr:uid="{00000000-0005-0000-0000-000035600000}"/>
    <cellStyle name="40% - Accent3 3 2 3 4 3" xfId="17796" xr:uid="{00000000-0005-0000-0000-000036600000}"/>
    <cellStyle name="40% - Accent3 3 2 3 4 4" xfId="24898" xr:uid="{00000000-0005-0000-0000-000037600000}"/>
    <cellStyle name="40% - Accent3 3 2 3 4 5" xfId="32000" xr:uid="{00000000-0005-0000-0000-000038600000}"/>
    <cellStyle name="40% - Accent3 3 2 3 4 6" xfId="39230" xr:uid="{00000000-0005-0000-0000-000039600000}"/>
    <cellStyle name="40% - Accent3 3 2 3 5" xfId="7855" xr:uid="{00000000-0005-0000-0000-00003A600000}"/>
    <cellStyle name="40% - Accent3 3 2 3 6" xfId="14956" xr:uid="{00000000-0005-0000-0000-00003B600000}"/>
    <cellStyle name="40% - Accent3 3 2 3 7" xfId="22058" xr:uid="{00000000-0005-0000-0000-00003C600000}"/>
    <cellStyle name="40% - Accent3 3 2 3 8" xfId="29160" xr:uid="{00000000-0005-0000-0000-00003D600000}"/>
    <cellStyle name="40% - Accent3 3 2 3 9" xfId="39231" xr:uid="{00000000-0005-0000-0000-00003E600000}"/>
    <cellStyle name="40% - Accent3 3 2 4" xfId="889" xr:uid="{00000000-0005-0000-0000-00003F600000}"/>
    <cellStyle name="40% - Accent3 3 2 4 2" xfId="2380" xr:uid="{00000000-0005-0000-0000-000040600000}"/>
    <cellStyle name="40% - Accent3 3 2 4 2 2" xfId="6648" xr:uid="{00000000-0005-0000-0000-000041600000}"/>
    <cellStyle name="40% - Accent3 3 2 4 2 2 2" xfId="13748" xr:uid="{00000000-0005-0000-0000-000042600000}"/>
    <cellStyle name="40% - Accent3 3 2 4 2 2 3" xfId="20849" xr:uid="{00000000-0005-0000-0000-000043600000}"/>
    <cellStyle name="40% - Accent3 3 2 4 2 2 4" xfId="27951" xr:uid="{00000000-0005-0000-0000-000044600000}"/>
    <cellStyle name="40% - Accent3 3 2 4 2 2 5" xfId="35053" xr:uid="{00000000-0005-0000-0000-000045600000}"/>
    <cellStyle name="40% - Accent3 3 2 4 2 2 6" xfId="39232" xr:uid="{00000000-0005-0000-0000-000046600000}"/>
    <cellStyle name="40% - Accent3 3 2 4 2 3" xfId="9488" xr:uid="{00000000-0005-0000-0000-000047600000}"/>
    <cellStyle name="40% - Accent3 3 2 4 2 4" xfId="16589" xr:uid="{00000000-0005-0000-0000-000048600000}"/>
    <cellStyle name="40% - Accent3 3 2 4 2 5" xfId="23691" xr:uid="{00000000-0005-0000-0000-000049600000}"/>
    <cellStyle name="40% - Accent3 3 2 4 2 6" xfId="30793" xr:uid="{00000000-0005-0000-0000-00004A600000}"/>
    <cellStyle name="40% - Accent3 3 2 4 2 7" xfId="39233" xr:uid="{00000000-0005-0000-0000-00004B600000}"/>
    <cellStyle name="40% - Accent3 3 2 4 3" xfId="5227" xr:uid="{00000000-0005-0000-0000-00004C600000}"/>
    <cellStyle name="40% - Accent3 3 2 4 3 2" xfId="12328" xr:uid="{00000000-0005-0000-0000-00004D600000}"/>
    <cellStyle name="40% - Accent3 3 2 4 3 2 2" xfId="39234" xr:uid="{00000000-0005-0000-0000-00004E600000}"/>
    <cellStyle name="40% - Accent3 3 2 4 3 3" xfId="19429" xr:uid="{00000000-0005-0000-0000-00004F600000}"/>
    <cellStyle name="40% - Accent3 3 2 4 3 4" xfId="26531" xr:uid="{00000000-0005-0000-0000-000050600000}"/>
    <cellStyle name="40% - Accent3 3 2 4 3 5" xfId="33633" xr:uid="{00000000-0005-0000-0000-000051600000}"/>
    <cellStyle name="40% - Accent3 3 2 4 3 6" xfId="39235" xr:uid="{00000000-0005-0000-0000-000052600000}"/>
    <cellStyle name="40% - Accent3 3 2 4 4" xfId="3802" xr:uid="{00000000-0005-0000-0000-000053600000}"/>
    <cellStyle name="40% - Accent3 3 2 4 4 2" xfId="10908" xr:uid="{00000000-0005-0000-0000-000054600000}"/>
    <cellStyle name="40% - Accent3 3 2 4 4 3" xfId="18009" xr:uid="{00000000-0005-0000-0000-000055600000}"/>
    <cellStyle name="40% - Accent3 3 2 4 4 4" xfId="25111" xr:uid="{00000000-0005-0000-0000-000056600000}"/>
    <cellStyle name="40% - Accent3 3 2 4 4 5" xfId="32213" xr:uid="{00000000-0005-0000-0000-000057600000}"/>
    <cellStyle name="40% - Accent3 3 2 4 4 6" xfId="39236" xr:uid="{00000000-0005-0000-0000-000058600000}"/>
    <cellStyle name="40% - Accent3 3 2 4 5" xfId="8068" xr:uid="{00000000-0005-0000-0000-000059600000}"/>
    <cellStyle name="40% - Accent3 3 2 4 6" xfId="15169" xr:uid="{00000000-0005-0000-0000-00005A600000}"/>
    <cellStyle name="40% - Accent3 3 2 4 7" xfId="22271" xr:uid="{00000000-0005-0000-0000-00005B600000}"/>
    <cellStyle name="40% - Accent3 3 2 4 8" xfId="29373" xr:uid="{00000000-0005-0000-0000-00005C600000}"/>
    <cellStyle name="40% - Accent3 3 2 4 9" xfId="39237" xr:uid="{00000000-0005-0000-0000-00005D600000}"/>
    <cellStyle name="40% - Accent3 3 2 5" xfId="1031" xr:uid="{00000000-0005-0000-0000-00005E600000}"/>
    <cellStyle name="40% - Accent3 3 2 5 2" xfId="2522" xr:uid="{00000000-0005-0000-0000-00005F600000}"/>
    <cellStyle name="40% - Accent3 3 2 5 2 2" xfId="6790" xr:uid="{00000000-0005-0000-0000-000060600000}"/>
    <cellStyle name="40% - Accent3 3 2 5 2 2 2" xfId="13890" xr:uid="{00000000-0005-0000-0000-000061600000}"/>
    <cellStyle name="40% - Accent3 3 2 5 2 2 3" xfId="20991" xr:uid="{00000000-0005-0000-0000-000062600000}"/>
    <cellStyle name="40% - Accent3 3 2 5 2 2 4" xfId="28093" xr:uid="{00000000-0005-0000-0000-000063600000}"/>
    <cellStyle name="40% - Accent3 3 2 5 2 2 5" xfId="35195" xr:uid="{00000000-0005-0000-0000-000064600000}"/>
    <cellStyle name="40% - Accent3 3 2 5 2 3" xfId="9630" xr:uid="{00000000-0005-0000-0000-000065600000}"/>
    <cellStyle name="40% - Accent3 3 2 5 2 4" xfId="16731" xr:uid="{00000000-0005-0000-0000-000066600000}"/>
    <cellStyle name="40% - Accent3 3 2 5 2 5" xfId="23833" xr:uid="{00000000-0005-0000-0000-000067600000}"/>
    <cellStyle name="40% - Accent3 3 2 5 2 6" xfId="30935" xr:uid="{00000000-0005-0000-0000-000068600000}"/>
    <cellStyle name="40% - Accent3 3 2 5 2 7" xfId="39238" xr:uid="{00000000-0005-0000-0000-000069600000}"/>
    <cellStyle name="40% - Accent3 3 2 5 3" xfId="5369" xr:uid="{00000000-0005-0000-0000-00006A600000}"/>
    <cellStyle name="40% - Accent3 3 2 5 3 2" xfId="12470" xr:uid="{00000000-0005-0000-0000-00006B600000}"/>
    <cellStyle name="40% - Accent3 3 2 5 3 3" xfId="19571" xr:uid="{00000000-0005-0000-0000-00006C600000}"/>
    <cellStyle name="40% - Accent3 3 2 5 3 4" xfId="26673" xr:uid="{00000000-0005-0000-0000-00006D600000}"/>
    <cellStyle name="40% - Accent3 3 2 5 3 5" xfId="33775" xr:uid="{00000000-0005-0000-0000-00006E600000}"/>
    <cellStyle name="40% - Accent3 3 2 5 4" xfId="3944" xr:uid="{00000000-0005-0000-0000-00006F600000}"/>
    <cellStyle name="40% - Accent3 3 2 5 4 2" xfId="11050" xr:uid="{00000000-0005-0000-0000-000070600000}"/>
    <cellStyle name="40% - Accent3 3 2 5 4 3" xfId="18151" xr:uid="{00000000-0005-0000-0000-000071600000}"/>
    <cellStyle name="40% - Accent3 3 2 5 4 4" xfId="25253" xr:uid="{00000000-0005-0000-0000-000072600000}"/>
    <cellStyle name="40% - Accent3 3 2 5 4 5" xfId="32355" xr:uid="{00000000-0005-0000-0000-000073600000}"/>
    <cellStyle name="40% - Accent3 3 2 5 5" xfId="8210" xr:uid="{00000000-0005-0000-0000-000074600000}"/>
    <cellStyle name="40% - Accent3 3 2 5 6" xfId="15311" xr:uid="{00000000-0005-0000-0000-000075600000}"/>
    <cellStyle name="40% - Accent3 3 2 5 7" xfId="22413" xr:uid="{00000000-0005-0000-0000-000076600000}"/>
    <cellStyle name="40% - Accent3 3 2 5 8" xfId="29515" xr:uid="{00000000-0005-0000-0000-000077600000}"/>
    <cellStyle name="40% - Accent3 3 2 5 9" xfId="39239" xr:uid="{00000000-0005-0000-0000-000078600000}"/>
    <cellStyle name="40% - Accent3 3 2 6" xfId="1457" xr:uid="{00000000-0005-0000-0000-000079600000}"/>
    <cellStyle name="40% - Accent3 3 2 6 2" xfId="2948" xr:uid="{00000000-0005-0000-0000-00007A600000}"/>
    <cellStyle name="40% - Accent3 3 2 6 2 2" xfId="7216" xr:uid="{00000000-0005-0000-0000-00007B600000}"/>
    <cellStyle name="40% - Accent3 3 2 6 2 2 2" xfId="14316" xr:uid="{00000000-0005-0000-0000-00007C600000}"/>
    <cellStyle name="40% - Accent3 3 2 6 2 2 3" xfId="21417" xr:uid="{00000000-0005-0000-0000-00007D600000}"/>
    <cellStyle name="40% - Accent3 3 2 6 2 2 4" xfId="28519" xr:uid="{00000000-0005-0000-0000-00007E600000}"/>
    <cellStyle name="40% - Accent3 3 2 6 2 2 5" xfId="35621" xr:uid="{00000000-0005-0000-0000-00007F600000}"/>
    <cellStyle name="40% - Accent3 3 2 6 2 3" xfId="10056" xr:uid="{00000000-0005-0000-0000-000080600000}"/>
    <cellStyle name="40% - Accent3 3 2 6 2 4" xfId="17157" xr:uid="{00000000-0005-0000-0000-000081600000}"/>
    <cellStyle name="40% - Accent3 3 2 6 2 5" xfId="24259" xr:uid="{00000000-0005-0000-0000-000082600000}"/>
    <cellStyle name="40% - Accent3 3 2 6 2 6" xfId="31361" xr:uid="{00000000-0005-0000-0000-000083600000}"/>
    <cellStyle name="40% - Accent3 3 2 6 2 7" xfId="39240" xr:uid="{00000000-0005-0000-0000-000084600000}"/>
    <cellStyle name="40% - Accent3 3 2 6 3" xfId="5795" xr:uid="{00000000-0005-0000-0000-000085600000}"/>
    <cellStyle name="40% - Accent3 3 2 6 3 2" xfId="12896" xr:uid="{00000000-0005-0000-0000-000086600000}"/>
    <cellStyle name="40% - Accent3 3 2 6 3 3" xfId="19997" xr:uid="{00000000-0005-0000-0000-000087600000}"/>
    <cellStyle name="40% - Accent3 3 2 6 3 4" xfId="27099" xr:uid="{00000000-0005-0000-0000-000088600000}"/>
    <cellStyle name="40% - Accent3 3 2 6 3 5" xfId="34201" xr:uid="{00000000-0005-0000-0000-000089600000}"/>
    <cellStyle name="40% - Accent3 3 2 6 4" xfId="4370" xr:uid="{00000000-0005-0000-0000-00008A600000}"/>
    <cellStyle name="40% - Accent3 3 2 6 4 2" xfId="11476" xr:uid="{00000000-0005-0000-0000-00008B600000}"/>
    <cellStyle name="40% - Accent3 3 2 6 4 3" xfId="18577" xr:uid="{00000000-0005-0000-0000-00008C600000}"/>
    <cellStyle name="40% - Accent3 3 2 6 4 4" xfId="25679" xr:uid="{00000000-0005-0000-0000-00008D600000}"/>
    <cellStyle name="40% - Accent3 3 2 6 4 5" xfId="32781" xr:uid="{00000000-0005-0000-0000-00008E600000}"/>
    <cellStyle name="40% - Accent3 3 2 6 5" xfId="8636" xr:uid="{00000000-0005-0000-0000-00008F600000}"/>
    <cellStyle name="40% - Accent3 3 2 6 6" xfId="15737" xr:uid="{00000000-0005-0000-0000-000090600000}"/>
    <cellStyle name="40% - Accent3 3 2 6 7" xfId="22839" xr:uid="{00000000-0005-0000-0000-000091600000}"/>
    <cellStyle name="40% - Accent3 3 2 6 8" xfId="29941" xr:uid="{00000000-0005-0000-0000-000092600000}"/>
    <cellStyle name="40% - Accent3 3 2 6 9" xfId="39241" xr:uid="{00000000-0005-0000-0000-000093600000}"/>
    <cellStyle name="40% - Accent3 3 2 7" xfId="1741" xr:uid="{00000000-0005-0000-0000-000094600000}"/>
    <cellStyle name="40% - Accent3 3 2 7 2" xfId="6009" xr:uid="{00000000-0005-0000-0000-000095600000}"/>
    <cellStyle name="40% - Accent3 3 2 7 2 2" xfId="13109" xr:uid="{00000000-0005-0000-0000-000096600000}"/>
    <cellStyle name="40% - Accent3 3 2 7 2 3" xfId="20210" xr:uid="{00000000-0005-0000-0000-000097600000}"/>
    <cellStyle name="40% - Accent3 3 2 7 2 4" xfId="27312" xr:uid="{00000000-0005-0000-0000-000098600000}"/>
    <cellStyle name="40% - Accent3 3 2 7 2 5" xfId="34414" xr:uid="{00000000-0005-0000-0000-000099600000}"/>
    <cellStyle name="40% - Accent3 3 2 7 3" xfId="8849" xr:uid="{00000000-0005-0000-0000-00009A600000}"/>
    <cellStyle name="40% - Accent3 3 2 7 4" xfId="15950" xr:uid="{00000000-0005-0000-0000-00009B600000}"/>
    <cellStyle name="40% - Accent3 3 2 7 5" xfId="23052" xr:uid="{00000000-0005-0000-0000-00009C600000}"/>
    <cellStyle name="40% - Accent3 3 2 7 6" xfId="30154" xr:uid="{00000000-0005-0000-0000-00009D600000}"/>
    <cellStyle name="40% - Accent3 3 2 7 7" xfId="39242" xr:uid="{00000000-0005-0000-0000-00009E600000}"/>
    <cellStyle name="40% - Accent3 3 2 8" xfId="4588" xr:uid="{00000000-0005-0000-0000-00009F600000}"/>
    <cellStyle name="40% - Accent3 3 2 8 2" xfId="11689" xr:uid="{00000000-0005-0000-0000-0000A0600000}"/>
    <cellStyle name="40% - Accent3 3 2 8 3" xfId="18790" xr:uid="{00000000-0005-0000-0000-0000A1600000}"/>
    <cellStyle name="40% - Accent3 3 2 8 4" xfId="25892" xr:uid="{00000000-0005-0000-0000-0000A2600000}"/>
    <cellStyle name="40% - Accent3 3 2 8 5" xfId="32994" xr:uid="{00000000-0005-0000-0000-0000A3600000}"/>
    <cellStyle name="40% - Accent3 3 2 9" xfId="3163" xr:uid="{00000000-0005-0000-0000-0000A4600000}"/>
    <cellStyle name="40% - Accent3 3 2 9 2" xfId="10269" xr:uid="{00000000-0005-0000-0000-0000A5600000}"/>
    <cellStyle name="40% - Accent3 3 2 9 3" xfId="17370" xr:uid="{00000000-0005-0000-0000-0000A6600000}"/>
    <cellStyle name="40% - Accent3 3 2 9 4" xfId="24472" xr:uid="{00000000-0005-0000-0000-0000A7600000}"/>
    <cellStyle name="40% - Accent3 3 2 9 5" xfId="31574" xr:uid="{00000000-0005-0000-0000-0000A8600000}"/>
    <cellStyle name="40% - Accent3 3 3" xfId="179" xr:uid="{00000000-0005-0000-0000-0000A9600000}"/>
    <cellStyle name="40% - Accent3 3 3 10" xfId="7358" xr:uid="{00000000-0005-0000-0000-0000AA600000}"/>
    <cellStyle name="40% - Accent3 3 3 11" xfId="14459" xr:uid="{00000000-0005-0000-0000-0000AB600000}"/>
    <cellStyle name="40% - Accent3 3 3 12" xfId="21561" xr:uid="{00000000-0005-0000-0000-0000AC600000}"/>
    <cellStyle name="40% - Accent3 3 3 13" xfId="28663" xr:uid="{00000000-0005-0000-0000-0000AD600000}"/>
    <cellStyle name="40% - Accent3 3 3 14" xfId="35765" xr:uid="{00000000-0005-0000-0000-0000AE600000}"/>
    <cellStyle name="40% - Accent3 3 3 15" xfId="39243" xr:uid="{00000000-0005-0000-0000-0000AF600000}"/>
    <cellStyle name="40% - Accent3 3 3 2" xfId="392" xr:uid="{00000000-0005-0000-0000-0000B0600000}"/>
    <cellStyle name="40% - Accent3 3 3 2 2" xfId="1883" xr:uid="{00000000-0005-0000-0000-0000B1600000}"/>
    <cellStyle name="40% - Accent3 3 3 2 2 2" xfId="6151" xr:uid="{00000000-0005-0000-0000-0000B2600000}"/>
    <cellStyle name="40% - Accent3 3 3 2 2 2 2" xfId="13251" xr:uid="{00000000-0005-0000-0000-0000B3600000}"/>
    <cellStyle name="40% - Accent3 3 3 2 2 2 3" xfId="20352" xr:uid="{00000000-0005-0000-0000-0000B4600000}"/>
    <cellStyle name="40% - Accent3 3 3 2 2 2 4" xfId="27454" xr:uid="{00000000-0005-0000-0000-0000B5600000}"/>
    <cellStyle name="40% - Accent3 3 3 2 2 2 5" xfId="34556" xr:uid="{00000000-0005-0000-0000-0000B6600000}"/>
    <cellStyle name="40% - Accent3 3 3 2 2 2 6" xfId="39244" xr:uid="{00000000-0005-0000-0000-0000B7600000}"/>
    <cellStyle name="40% - Accent3 3 3 2 2 3" xfId="8991" xr:uid="{00000000-0005-0000-0000-0000B8600000}"/>
    <cellStyle name="40% - Accent3 3 3 2 2 4" xfId="16092" xr:uid="{00000000-0005-0000-0000-0000B9600000}"/>
    <cellStyle name="40% - Accent3 3 3 2 2 5" xfId="23194" xr:uid="{00000000-0005-0000-0000-0000BA600000}"/>
    <cellStyle name="40% - Accent3 3 3 2 2 6" xfId="30296" xr:uid="{00000000-0005-0000-0000-0000BB600000}"/>
    <cellStyle name="40% - Accent3 3 3 2 2 7" xfId="39245" xr:uid="{00000000-0005-0000-0000-0000BC600000}"/>
    <cellStyle name="40% - Accent3 3 3 2 3" xfId="4730" xr:uid="{00000000-0005-0000-0000-0000BD600000}"/>
    <cellStyle name="40% - Accent3 3 3 2 3 2" xfId="11831" xr:uid="{00000000-0005-0000-0000-0000BE600000}"/>
    <cellStyle name="40% - Accent3 3 3 2 3 2 2" xfId="39246" xr:uid="{00000000-0005-0000-0000-0000BF600000}"/>
    <cellStyle name="40% - Accent3 3 3 2 3 3" xfId="18932" xr:uid="{00000000-0005-0000-0000-0000C0600000}"/>
    <cellStyle name="40% - Accent3 3 3 2 3 4" xfId="26034" xr:uid="{00000000-0005-0000-0000-0000C1600000}"/>
    <cellStyle name="40% - Accent3 3 3 2 3 5" xfId="33136" xr:uid="{00000000-0005-0000-0000-0000C2600000}"/>
    <cellStyle name="40% - Accent3 3 3 2 3 6" xfId="39247" xr:uid="{00000000-0005-0000-0000-0000C3600000}"/>
    <cellStyle name="40% - Accent3 3 3 2 4" xfId="3305" xr:uid="{00000000-0005-0000-0000-0000C4600000}"/>
    <cellStyle name="40% - Accent3 3 3 2 4 2" xfId="10411" xr:uid="{00000000-0005-0000-0000-0000C5600000}"/>
    <cellStyle name="40% - Accent3 3 3 2 4 3" xfId="17512" xr:uid="{00000000-0005-0000-0000-0000C6600000}"/>
    <cellStyle name="40% - Accent3 3 3 2 4 4" xfId="24614" xr:uid="{00000000-0005-0000-0000-0000C7600000}"/>
    <cellStyle name="40% - Accent3 3 3 2 4 5" xfId="31716" xr:uid="{00000000-0005-0000-0000-0000C8600000}"/>
    <cellStyle name="40% - Accent3 3 3 2 4 6" xfId="39248" xr:uid="{00000000-0005-0000-0000-0000C9600000}"/>
    <cellStyle name="40% - Accent3 3 3 2 5" xfId="7571" xr:uid="{00000000-0005-0000-0000-0000CA600000}"/>
    <cellStyle name="40% - Accent3 3 3 2 6" xfId="14672" xr:uid="{00000000-0005-0000-0000-0000CB600000}"/>
    <cellStyle name="40% - Accent3 3 3 2 7" xfId="21774" xr:uid="{00000000-0005-0000-0000-0000CC600000}"/>
    <cellStyle name="40% - Accent3 3 3 2 8" xfId="28876" xr:uid="{00000000-0005-0000-0000-0000CD600000}"/>
    <cellStyle name="40% - Accent3 3 3 2 9" xfId="39249" xr:uid="{00000000-0005-0000-0000-0000CE600000}"/>
    <cellStyle name="40% - Accent3 3 3 3" xfId="605" xr:uid="{00000000-0005-0000-0000-0000CF600000}"/>
    <cellStyle name="40% - Accent3 3 3 3 2" xfId="2096" xr:uid="{00000000-0005-0000-0000-0000D0600000}"/>
    <cellStyle name="40% - Accent3 3 3 3 2 2" xfId="6364" xr:uid="{00000000-0005-0000-0000-0000D1600000}"/>
    <cellStyle name="40% - Accent3 3 3 3 2 2 2" xfId="13464" xr:uid="{00000000-0005-0000-0000-0000D2600000}"/>
    <cellStyle name="40% - Accent3 3 3 3 2 2 3" xfId="20565" xr:uid="{00000000-0005-0000-0000-0000D3600000}"/>
    <cellStyle name="40% - Accent3 3 3 3 2 2 4" xfId="27667" xr:uid="{00000000-0005-0000-0000-0000D4600000}"/>
    <cellStyle name="40% - Accent3 3 3 3 2 2 5" xfId="34769" xr:uid="{00000000-0005-0000-0000-0000D5600000}"/>
    <cellStyle name="40% - Accent3 3 3 3 2 2 6" xfId="39250" xr:uid="{00000000-0005-0000-0000-0000D6600000}"/>
    <cellStyle name="40% - Accent3 3 3 3 2 3" xfId="9204" xr:uid="{00000000-0005-0000-0000-0000D7600000}"/>
    <cellStyle name="40% - Accent3 3 3 3 2 4" xfId="16305" xr:uid="{00000000-0005-0000-0000-0000D8600000}"/>
    <cellStyle name="40% - Accent3 3 3 3 2 5" xfId="23407" xr:uid="{00000000-0005-0000-0000-0000D9600000}"/>
    <cellStyle name="40% - Accent3 3 3 3 2 6" xfId="30509" xr:uid="{00000000-0005-0000-0000-0000DA600000}"/>
    <cellStyle name="40% - Accent3 3 3 3 2 7" xfId="39251" xr:uid="{00000000-0005-0000-0000-0000DB600000}"/>
    <cellStyle name="40% - Accent3 3 3 3 3" xfId="4943" xr:uid="{00000000-0005-0000-0000-0000DC600000}"/>
    <cellStyle name="40% - Accent3 3 3 3 3 2" xfId="12044" xr:uid="{00000000-0005-0000-0000-0000DD600000}"/>
    <cellStyle name="40% - Accent3 3 3 3 3 2 2" xfId="39252" xr:uid="{00000000-0005-0000-0000-0000DE600000}"/>
    <cellStyle name="40% - Accent3 3 3 3 3 3" xfId="19145" xr:uid="{00000000-0005-0000-0000-0000DF600000}"/>
    <cellStyle name="40% - Accent3 3 3 3 3 4" xfId="26247" xr:uid="{00000000-0005-0000-0000-0000E0600000}"/>
    <cellStyle name="40% - Accent3 3 3 3 3 5" xfId="33349" xr:uid="{00000000-0005-0000-0000-0000E1600000}"/>
    <cellStyle name="40% - Accent3 3 3 3 3 6" xfId="39253" xr:uid="{00000000-0005-0000-0000-0000E2600000}"/>
    <cellStyle name="40% - Accent3 3 3 3 4" xfId="3518" xr:uid="{00000000-0005-0000-0000-0000E3600000}"/>
    <cellStyle name="40% - Accent3 3 3 3 4 2" xfId="10624" xr:uid="{00000000-0005-0000-0000-0000E4600000}"/>
    <cellStyle name="40% - Accent3 3 3 3 4 3" xfId="17725" xr:uid="{00000000-0005-0000-0000-0000E5600000}"/>
    <cellStyle name="40% - Accent3 3 3 3 4 4" xfId="24827" xr:uid="{00000000-0005-0000-0000-0000E6600000}"/>
    <cellStyle name="40% - Accent3 3 3 3 4 5" xfId="31929" xr:uid="{00000000-0005-0000-0000-0000E7600000}"/>
    <cellStyle name="40% - Accent3 3 3 3 4 6" xfId="39254" xr:uid="{00000000-0005-0000-0000-0000E8600000}"/>
    <cellStyle name="40% - Accent3 3 3 3 5" xfId="7784" xr:uid="{00000000-0005-0000-0000-0000E9600000}"/>
    <cellStyle name="40% - Accent3 3 3 3 6" xfId="14885" xr:uid="{00000000-0005-0000-0000-0000EA600000}"/>
    <cellStyle name="40% - Accent3 3 3 3 7" xfId="21987" xr:uid="{00000000-0005-0000-0000-0000EB600000}"/>
    <cellStyle name="40% - Accent3 3 3 3 8" xfId="29089" xr:uid="{00000000-0005-0000-0000-0000EC600000}"/>
    <cellStyle name="40% - Accent3 3 3 3 9" xfId="39255" xr:uid="{00000000-0005-0000-0000-0000ED600000}"/>
    <cellStyle name="40% - Accent3 3 3 4" xfId="818" xr:uid="{00000000-0005-0000-0000-0000EE600000}"/>
    <cellStyle name="40% - Accent3 3 3 4 2" xfId="2309" xr:uid="{00000000-0005-0000-0000-0000EF600000}"/>
    <cellStyle name="40% - Accent3 3 3 4 2 2" xfId="6577" xr:uid="{00000000-0005-0000-0000-0000F0600000}"/>
    <cellStyle name="40% - Accent3 3 3 4 2 2 2" xfId="13677" xr:uid="{00000000-0005-0000-0000-0000F1600000}"/>
    <cellStyle name="40% - Accent3 3 3 4 2 2 3" xfId="20778" xr:uid="{00000000-0005-0000-0000-0000F2600000}"/>
    <cellStyle name="40% - Accent3 3 3 4 2 2 4" xfId="27880" xr:uid="{00000000-0005-0000-0000-0000F3600000}"/>
    <cellStyle name="40% - Accent3 3 3 4 2 2 5" xfId="34982" xr:uid="{00000000-0005-0000-0000-0000F4600000}"/>
    <cellStyle name="40% - Accent3 3 3 4 2 2 6" xfId="39256" xr:uid="{00000000-0005-0000-0000-0000F5600000}"/>
    <cellStyle name="40% - Accent3 3 3 4 2 3" xfId="9417" xr:uid="{00000000-0005-0000-0000-0000F6600000}"/>
    <cellStyle name="40% - Accent3 3 3 4 2 4" xfId="16518" xr:uid="{00000000-0005-0000-0000-0000F7600000}"/>
    <cellStyle name="40% - Accent3 3 3 4 2 5" xfId="23620" xr:uid="{00000000-0005-0000-0000-0000F8600000}"/>
    <cellStyle name="40% - Accent3 3 3 4 2 6" xfId="30722" xr:uid="{00000000-0005-0000-0000-0000F9600000}"/>
    <cellStyle name="40% - Accent3 3 3 4 2 7" xfId="39257" xr:uid="{00000000-0005-0000-0000-0000FA600000}"/>
    <cellStyle name="40% - Accent3 3 3 4 3" xfId="5156" xr:uid="{00000000-0005-0000-0000-0000FB600000}"/>
    <cellStyle name="40% - Accent3 3 3 4 3 2" xfId="12257" xr:uid="{00000000-0005-0000-0000-0000FC600000}"/>
    <cellStyle name="40% - Accent3 3 3 4 3 2 2" xfId="39258" xr:uid="{00000000-0005-0000-0000-0000FD600000}"/>
    <cellStyle name="40% - Accent3 3 3 4 3 3" xfId="19358" xr:uid="{00000000-0005-0000-0000-0000FE600000}"/>
    <cellStyle name="40% - Accent3 3 3 4 3 4" xfId="26460" xr:uid="{00000000-0005-0000-0000-0000FF600000}"/>
    <cellStyle name="40% - Accent3 3 3 4 3 5" xfId="33562" xr:uid="{00000000-0005-0000-0000-000000610000}"/>
    <cellStyle name="40% - Accent3 3 3 4 3 6" xfId="39259" xr:uid="{00000000-0005-0000-0000-000001610000}"/>
    <cellStyle name="40% - Accent3 3 3 4 4" xfId="3731" xr:uid="{00000000-0005-0000-0000-000002610000}"/>
    <cellStyle name="40% - Accent3 3 3 4 4 2" xfId="10837" xr:uid="{00000000-0005-0000-0000-000003610000}"/>
    <cellStyle name="40% - Accent3 3 3 4 4 3" xfId="17938" xr:uid="{00000000-0005-0000-0000-000004610000}"/>
    <cellStyle name="40% - Accent3 3 3 4 4 4" xfId="25040" xr:uid="{00000000-0005-0000-0000-000005610000}"/>
    <cellStyle name="40% - Accent3 3 3 4 4 5" xfId="32142" xr:uid="{00000000-0005-0000-0000-000006610000}"/>
    <cellStyle name="40% - Accent3 3 3 4 4 6" xfId="39260" xr:uid="{00000000-0005-0000-0000-000007610000}"/>
    <cellStyle name="40% - Accent3 3 3 4 5" xfId="7997" xr:uid="{00000000-0005-0000-0000-000008610000}"/>
    <cellStyle name="40% - Accent3 3 3 4 6" xfId="15098" xr:uid="{00000000-0005-0000-0000-000009610000}"/>
    <cellStyle name="40% - Accent3 3 3 4 7" xfId="22200" xr:uid="{00000000-0005-0000-0000-00000A610000}"/>
    <cellStyle name="40% - Accent3 3 3 4 8" xfId="29302" xr:uid="{00000000-0005-0000-0000-00000B610000}"/>
    <cellStyle name="40% - Accent3 3 3 4 9" xfId="39261" xr:uid="{00000000-0005-0000-0000-00000C610000}"/>
    <cellStyle name="40% - Accent3 3 3 5" xfId="1173" xr:uid="{00000000-0005-0000-0000-00000D610000}"/>
    <cellStyle name="40% - Accent3 3 3 5 2" xfId="2664" xr:uid="{00000000-0005-0000-0000-00000E610000}"/>
    <cellStyle name="40% - Accent3 3 3 5 2 2" xfId="6932" xr:uid="{00000000-0005-0000-0000-00000F610000}"/>
    <cellStyle name="40% - Accent3 3 3 5 2 2 2" xfId="14032" xr:uid="{00000000-0005-0000-0000-000010610000}"/>
    <cellStyle name="40% - Accent3 3 3 5 2 2 3" xfId="21133" xr:uid="{00000000-0005-0000-0000-000011610000}"/>
    <cellStyle name="40% - Accent3 3 3 5 2 2 4" xfId="28235" xr:uid="{00000000-0005-0000-0000-000012610000}"/>
    <cellStyle name="40% - Accent3 3 3 5 2 2 5" xfId="35337" xr:uid="{00000000-0005-0000-0000-000013610000}"/>
    <cellStyle name="40% - Accent3 3 3 5 2 3" xfId="9772" xr:uid="{00000000-0005-0000-0000-000014610000}"/>
    <cellStyle name="40% - Accent3 3 3 5 2 4" xfId="16873" xr:uid="{00000000-0005-0000-0000-000015610000}"/>
    <cellStyle name="40% - Accent3 3 3 5 2 5" xfId="23975" xr:uid="{00000000-0005-0000-0000-000016610000}"/>
    <cellStyle name="40% - Accent3 3 3 5 2 6" xfId="31077" xr:uid="{00000000-0005-0000-0000-000017610000}"/>
    <cellStyle name="40% - Accent3 3 3 5 2 7" xfId="39262" xr:uid="{00000000-0005-0000-0000-000018610000}"/>
    <cellStyle name="40% - Accent3 3 3 5 3" xfId="5511" xr:uid="{00000000-0005-0000-0000-000019610000}"/>
    <cellStyle name="40% - Accent3 3 3 5 3 2" xfId="12612" xr:uid="{00000000-0005-0000-0000-00001A610000}"/>
    <cellStyle name="40% - Accent3 3 3 5 3 3" xfId="19713" xr:uid="{00000000-0005-0000-0000-00001B610000}"/>
    <cellStyle name="40% - Accent3 3 3 5 3 4" xfId="26815" xr:uid="{00000000-0005-0000-0000-00001C610000}"/>
    <cellStyle name="40% - Accent3 3 3 5 3 5" xfId="33917" xr:uid="{00000000-0005-0000-0000-00001D610000}"/>
    <cellStyle name="40% - Accent3 3 3 5 4" xfId="4086" xr:uid="{00000000-0005-0000-0000-00001E610000}"/>
    <cellStyle name="40% - Accent3 3 3 5 4 2" xfId="11192" xr:uid="{00000000-0005-0000-0000-00001F610000}"/>
    <cellStyle name="40% - Accent3 3 3 5 4 3" xfId="18293" xr:uid="{00000000-0005-0000-0000-000020610000}"/>
    <cellStyle name="40% - Accent3 3 3 5 4 4" xfId="25395" xr:uid="{00000000-0005-0000-0000-000021610000}"/>
    <cellStyle name="40% - Accent3 3 3 5 4 5" xfId="32497" xr:uid="{00000000-0005-0000-0000-000022610000}"/>
    <cellStyle name="40% - Accent3 3 3 5 5" xfId="8352" xr:uid="{00000000-0005-0000-0000-000023610000}"/>
    <cellStyle name="40% - Accent3 3 3 5 6" xfId="15453" xr:uid="{00000000-0005-0000-0000-000024610000}"/>
    <cellStyle name="40% - Accent3 3 3 5 7" xfId="22555" xr:uid="{00000000-0005-0000-0000-000025610000}"/>
    <cellStyle name="40% - Accent3 3 3 5 8" xfId="29657" xr:uid="{00000000-0005-0000-0000-000026610000}"/>
    <cellStyle name="40% - Accent3 3 3 5 9" xfId="39263" xr:uid="{00000000-0005-0000-0000-000027610000}"/>
    <cellStyle name="40% - Accent3 3 3 6" xfId="1386" xr:uid="{00000000-0005-0000-0000-000028610000}"/>
    <cellStyle name="40% - Accent3 3 3 6 2" xfId="2877" xr:uid="{00000000-0005-0000-0000-000029610000}"/>
    <cellStyle name="40% - Accent3 3 3 6 2 2" xfId="7145" xr:uid="{00000000-0005-0000-0000-00002A610000}"/>
    <cellStyle name="40% - Accent3 3 3 6 2 2 2" xfId="14245" xr:uid="{00000000-0005-0000-0000-00002B610000}"/>
    <cellStyle name="40% - Accent3 3 3 6 2 2 3" xfId="21346" xr:uid="{00000000-0005-0000-0000-00002C610000}"/>
    <cellStyle name="40% - Accent3 3 3 6 2 2 4" xfId="28448" xr:uid="{00000000-0005-0000-0000-00002D610000}"/>
    <cellStyle name="40% - Accent3 3 3 6 2 2 5" xfId="35550" xr:uid="{00000000-0005-0000-0000-00002E610000}"/>
    <cellStyle name="40% - Accent3 3 3 6 2 3" xfId="9985" xr:uid="{00000000-0005-0000-0000-00002F610000}"/>
    <cellStyle name="40% - Accent3 3 3 6 2 4" xfId="17086" xr:uid="{00000000-0005-0000-0000-000030610000}"/>
    <cellStyle name="40% - Accent3 3 3 6 2 5" xfId="24188" xr:uid="{00000000-0005-0000-0000-000031610000}"/>
    <cellStyle name="40% - Accent3 3 3 6 2 6" xfId="31290" xr:uid="{00000000-0005-0000-0000-000032610000}"/>
    <cellStyle name="40% - Accent3 3 3 6 2 7" xfId="39264" xr:uid="{00000000-0005-0000-0000-000033610000}"/>
    <cellStyle name="40% - Accent3 3 3 6 3" xfId="5724" xr:uid="{00000000-0005-0000-0000-000034610000}"/>
    <cellStyle name="40% - Accent3 3 3 6 3 2" xfId="12825" xr:uid="{00000000-0005-0000-0000-000035610000}"/>
    <cellStyle name="40% - Accent3 3 3 6 3 3" xfId="19926" xr:uid="{00000000-0005-0000-0000-000036610000}"/>
    <cellStyle name="40% - Accent3 3 3 6 3 4" xfId="27028" xr:uid="{00000000-0005-0000-0000-000037610000}"/>
    <cellStyle name="40% - Accent3 3 3 6 3 5" xfId="34130" xr:uid="{00000000-0005-0000-0000-000038610000}"/>
    <cellStyle name="40% - Accent3 3 3 6 4" xfId="4299" xr:uid="{00000000-0005-0000-0000-000039610000}"/>
    <cellStyle name="40% - Accent3 3 3 6 4 2" xfId="11405" xr:uid="{00000000-0005-0000-0000-00003A610000}"/>
    <cellStyle name="40% - Accent3 3 3 6 4 3" xfId="18506" xr:uid="{00000000-0005-0000-0000-00003B610000}"/>
    <cellStyle name="40% - Accent3 3 3 6 4 4" xfId="25608" xr:uid="{00000000-0005-0000-0000-00003C610000}"/>
    <cellStyle name="40% - Accent3 3 3 6 4 5" xfId="32710" xr:uid="{00000000-0005-0000-0000-00003D610000}"/>
    <cellStyle name="40% - Accent3 3 3 6 5" xfId="8565" xr:uid="{00000000-0005-0000-0000-00003E610000}"/>
    <cellStyle name="40% - Accent3 3 3 6 6" xfId="15666" xr:uid="{00000000-0005-0000-0000-00003F610000}"/>
    <cellStyle name="40% - Accent3 3 3 6 7" xfId="22768" xr:uid="{00000000-0005-0000-0000-000040610000}"/>
    <cellStyle name="40% - Accent3 3 3 6 8" xfId="29870" xr:uid="{00000000-0005-0000-0000-000041610000}"/>
    <cellStyle name="40% - Accent3 3 3 6 9" xfId="39265" xr:uid="{00000000-0005-0000-0000-000042610000}"/>
    <cellStyle name="40% - Accent3 3 3 7" xfId="1670" xr:uid="{00000000-0005-0000-0000-000043610000}"/>
    <cellStyle name="40% - Accent3 3 3 7 2" xfId="5938" xr:uid="{00000000-0005-0000-0000-000044610000}"/>
    <cellStyle name="40% - Accent3 3 3 7 2 2" xfId="13038" xr:uid="{00000000-0005-0000-0000-000045610000}"/>
    <cellStyle name="40% - Accent3 3 3 7 2 3" xfId="20139" xr:uid="{00000000-0005-0000-0000-000046610000}"/>
    <cellStyle name="40% - Accent3 3 3 7 2 4" xfId="27241" xr:uid="{00000000-0005-0000-0000-000047610000}"/>
    <cellStyle name="40% - Accent3 3 3 7 2 5" xfId="34343" xr:uid="{00000000-0005-0000-0000-000048610000}"/>
    <cellStyle name="40% - Accent3 3 3 7 3" xfId="8778" xr:uid="{00000000-0005-0000-0000-000049610000}"/>
    <cellStyle name="40% - Accent3 3 3 7 4" xfId="15879" xr:uid="{00000000-0005-0000-0000-00004A610000}"/>
    <cellStyle name="40% - Accent3 3 3 7 5" xfId="22981" xr:uid="{00000000-0005-0000-0000-00004B610000}"/>
    <cellStyle name="40% - Accent3 3 3 7 6" xfId="30083" xr:uid="{00000000-0005-0000-0000-00004C610000}"/>
    <cellStyle name="40% - Accent3 3 3 7 7" xfId="39266" xr:uid="{00000000-0005-0000-0000-00004D610000}"/>
    <cellStyle name="40% - Accent3 3 3 8" xfId="4517" xr:uid="{00000000-0005-0000-0000-00004E610000}"/>
    <cellStyle name="40% - Accent3 3 3 8 2" xfId="11618" xr:uid="{00000000-0005-0000-0000-00004F610000}"/>
    <cellStyle name="40% - Accent3 3 3 8 3" xfId="18719" xr:uid="{00000000-0005-0000-0000-000050610000}"/>
    <cellStyle name="40% - Accent3 3 3 8 4" xfId="25821" xr:uid="{00000000-0005-0000-0000-000051610000}"/>
    <cellStyle name="40% - Accent3 3 3 8 5" xfId="32923" xr:uid="{00000000-0005-0000-0000-000052610000}"/>
    <cellStyle name="40% - Accent3 3 3 9" xfId="3092" xr:uid="{00000000-0005-0000-0000-000053610000}"/>
    <cellStyle name="40% - Accent3 3 3 9 2" xfId="10198" xr:uid="{00000000-0005-0000-0000-000054610000}"/>
    <cellStyle name="40% - Accent3 3 3 9 3" xfId="17299" xr:uid="{00000000-0005-0000-0000-000055610000}"/>
    <cellStyle name="40% - Accent3 3 3 9 4" xfId="24401" xr:uid="{00000000-0005-0000-0000-000056610000}"/>
    <cellStyle name="40% - Accent3 3 3 9 5" xfId="31503" xr:uid="{00000000-0005-0000-0000-000057610000}"/>
    <cellStyle name="40% - Accent3 3 4" xfId="321" xr:uid="{00000000-0005-0000-0000-000058610000}"/>
    <cellStyle name="40% - Accent3 3 4 10" xfId="39267" xr:uid="{00000000-0005-0000-0000-000059610000}"/>
    <cellStyle name="40% - Accent3 3 4 2" xfId="1102" xr:uid="{00000000-0005-0000-0000-00005A610000}"/>
    <cellStyle name="40% - Accent3 3 4 2 2" xfId="2593" xr:uid="{00000000-0005-0000-0000-00005B610000}"/>
    <cellStyle name="40% - Accent3 3 4 2 2 2" xfId="6861" xr:uid="{00000000-0005-0000-0000-00005C610000}"/>
    <cellStyle name="40% - Accent3 3 4 2 2 2 2" xfId="13961" xr:uid="{00000000-0005-0000-0000-00005D610000}"/>
    <cellStyle name="40% - Accent3 3 4 2 2 2 3" xfId="21062" xr:uid="{00000000-0005-0000-0000-00005E610000}"/>
    <cellStyle name="40% - Accent3 3 4 2 2 2 4" xfId="28164" xr:uid="{00000000-0005-0000-0000-00005F610000}"/>
    <cellStyle name="40% - Accent3 3 4 2 2 2 5" xfId="35266" xr:uid="{00000000-0005-0000-0000-000060610000}"/>
    <cellStyle name="40% - Accent3 3 4 2 2 3" xfId="9701" xr:uid="{00000000-0005-0000-0000-000061610000}"/>
    <cellStyle name="40% - Accent3 3 4 2 2 4" xfId="16802" xr:uid="{00000000-0005-0000-0000-000062610000}"/>
    <cellStyle name="40% - Accent3 3 4 2 2 5" xfId="23904" xr:uid="{00000000-0005-0000-0000-000063610000}"/>
    <cellStyle name="40% - Accent3 3 4 2 2 6" xfId="31006" xr:uid="{00000000-0005-0000-0000-000064610000}"/>
    <cellStyle name="40% - Accent3 3 4 2 2 7" xfId="39268" xr:uid="{00000000-0005-0000-0000-000065610000}"/>
    <cellStyle name="40% - Accent3 3 4 2 3" xfId="5440" xr:uid="{00000000-0005-0000-0000-000066610000}"/>
    <cellStyle name="40% - Accent3 3 4 2 3 2" xfId="12541" xr:uid="{00000000-0005-0000-0000-000067610000}"/>
    <cellStyle name="40% - Accent3 3 4 2 3 3" xfId="19642" xr:uid="{00000000-0005-0000-0000-000068610000}"/>
    <cellStyle name="40% - Accent3 3 4 2 3 4" xfId="26744" xr:uid="{00000000-0005-0000-0000-000069610000}"/>
    <cellStyle name="40% - Accent3 3 4 2 3 5" xfId="33846" xr:uid="{00000000-0005-0000-0000-00006A610000}"/>
    <cellStyle name="40% - Accent3 3 4 2 4" xfId="4015" xr:uid="{00000000-0005-0000-0000-00006B610000}"/>
    <cellStyle name="40% - Accent3 3 4 2 4 2" xfId="11121" xr:uid="{00000000-0005-0000-0000-00006C610000}"/>
    <cellStyle name="40% - Accent3 3 4 2 4 3" xfId="18222" xr:uid="{00000000-0005-0000-0000-00006D610000}"/>
    <cellStyle name="40% - Accent3 3 4 2 4 4" xfId="25324" xr:uid="{00000000-0005-0000-0000-00006E610000}"/>
    <cellStyle name="40% - Accent3 3 4 2 4 5" xfId="32426" xr:uid="{00000000-0005-0000-0000-00006F610000}"/>
    <cellStyle name="40% - Accent3 3 4 2 5" xfId="8281" xr:uid="{00000000-0005-0000-0000-000070610000}"/>
    <cellStyle name="40% - Accent3 3 4 2 6" xfId="15382" xr:uid="{00000000-0005-0000-0000-000071610000}"/>
    <cellStyle name="40% - Accent3 3 4 2 7" xfId="22484" xr:uid="{00000000-0005-0000-0000-000072610000}"/>
    <cellStyle name="40% - Accent3 3 4 2 8" xfId="29586" xr:uid="{00000000-0005-0000-0000-000073610000}"/>
    <cellStyle name="40% - Accent3 3 4 2 9" xfId="39269" xr:uid="{00000000-0005-0000-0000-000074610000}"/>
    <cellStyle name="40% - Accent3 3 4 3" xfId="1812" xr:uid="{00000000-0005-0000-0000-000075610000}"/>
    <cellStyle name="40% - Accent3 3 4 3 2" xfId="6080" xr:uid="{00000000-0005-0000-0000-000076610000}"/>
    <cellStyle name="40% - Accent3 3 4 3 2 2" xfId="13180" xr:uid="{00000000-0005-0000-0000-000077610000}"/>
    <cellStyle name="40% - Accent3 3 4 3 2 3" xfId="20281" xr:uid="{00000000-0005-0000-0000-000078610000}"/>
    <cellStyle name="40% - Accent3 3 4 3 2 4" xfId="27383" xr:uid="{00000000-0005-0000-0000-000079610000}"/>
    <cellStyle name="40% - Accent3 3 4 3 2 5" xfId="34485" xr:uid="{00000000-0005-0000-0000-00007A610000}"/>
    <cellStyle name="40% - Accent3 3 4 3 2 6" xfId="39270" xr:uid="{00000000-0005-0000-0000-00007B610000}"/>
    <cellStyle name="40% - Accent3 3 4 3 3" xfId="8920" xr:uid="{00000000-0005-0000-0000-00007C610000}"/>
    <cellStyle name="40% - Accent3 3 4 3 4" xfId="16021" xr:uid="{00000000-0005-0000-0000-00007D610000}"/>
    <cellStyle name="40% - Accent3 3 4 3 5" xfId="23123" xr:uid="{00000000-0005-0000-0000-00007E610000}"/>
    <cellStyle name="40% - Accent3 3 4 3 6" xfId="30225" xr:uid="{00000000-0005-0000-0000-00007F610000}"/>
    <cellStyle name="40% - Accent3 3 4 3 7" xfId="39271" xr:uid="{00000000-0005-0000-0000-000080610000}"/>
    <cellStyle name="40% - Accent3 3 4 4" xfId="4659" xr:uid="{00000000-0005-0000-0000-000081610000}"/>
    <cellStyle name="40% - Accent3 3 4 4 2" xfId="11760" xr:uid="{00000000-0005-0000-0000-000082610000}"/>
    <cellStyle name="40% - Accent3 3 4 4 3" xfId="18861" xr:uid="{00000000-0005-0000-0000-000083610000}"/>
    <cellStyle name="40% - Accent3 3 4 4 4" xfId="25963" xr:uid="{00000000-0005-0000-0000-000084610000}"/>
    <cellStyle name="40% - Accent3 3 4 4 5" xfId="33065" xr:uid="{00000000-0005-0000-0000-000085610000}"/>
    <cellStyle name="40% - Accent3 3 4 4 6" xfId="39272" xr:uid="{00000000-0005-0000-0000-000086610000}"/>
    <cellStyle name="40% - Accent3 3 4 5" xfId="3234" xr:uid="{00000000-0005-0000-0000-000087610000}"/>
    <cellStyle name="40% - Accent3 3 4 5 2" xfId="10340" xr:uid="{00000000-0005-0000-0000-000088610000}"/>
    <cellStyle name="40% - Accent3 3 4 5 3" xfId="17441" xr:uid="{00000000-0005-0000-0000-000089610000}"/>
    <cellStyle name="40% - Accent3 3 4 5 4" xfId="24543" xr:uid="{00000000-0005-0000-0000-00008A610000}"/>
    <cellStyle name="40% - Accent3 3 4 5 5" xfId="31645" xr:uid="{00000000-0005-0000-0000-00008B610000}"/>
    <cellStyle name="40% - Accent3 3 4 6" xfId="7500" xr:uid="{00000000-0005-0000-0000-00008C610000}"/>
    <cellStyle name="40% - Accent3 3 4 7" xfId="14601" xr:uid="{00000000-0005-0000-0000-00008D610000}"/>
    <cellStyle name="40% - Accent3 3 4 8" xfId="21703" xr:uid="{00000000-0005-0000-0000-00008E610000}"/>
    <cellStyle name="40% - Accent3 3 4 9" xfId="28805" xr:uid="{00000000-0005-0000-0000-00008F610000}"/>
    <cellStyle name="40% - Accent3 3 5" xfId="534" xr:uid="{00000000-0005-0000-0000-000090610000}"/>
    <cellStyle name="40% - Accent3 3 5 2" xfId="2025" xr:uid="{00000000-0005-0000-0000-000091610000}"/>
    <cellStyle name="40% - Accent3 3 5 2 2" xfId="6293" xr:uid="{00000000-0005-0000-0000-000092610000}"/>
    <cellStyle name="40% - Accent3 3 5 2 2 2" xfId="13393" xr:uid="{00000000-0005-0000-0000-000093610000}"/>
    <cellStyle name="40% - Accent3 3 5 2 2 3" xfId="20494" xr:uid="{00000000-0005-0000-0000-000094610000}"/>
    <cellStyle name="40% - Accent3 3 5 2 2 4" xfId="27596" xr:uid="{00000000-0005-0000-0000-000095610000}"/>
    <cellStyle name="40% - Accent3 3 5 2 2 5" xfId="34698" xr:uid="{00000000-0005-0000-0000-000096610000}"/>
    <cellStyle name="40% - Accent3 3 5 2 2 6" xfId="39273" xr:uid="{00000000-0005-0000-0000-000097610000}"/>
    <cellStyle name="40% - Accent3 3 5 2 3" xfId="9133" xr:uid="{00000000-0005-0000-0000-000098610000}"/>
    <cellStyle name="40% - Accent3 3 5 2 4" xfId="16234" xr:uid="{00000000-0005-0000-0000-000099610000}"/>
    <cellStyle name="40% - Accent3 3 5 2 5" xfId="23336" xr:uid="{00000000-0005-0000-0000-00009A610000}"/>
    <cellStyle name="40% - Accent3 3 5 2 6" xfId="30438" xr:uid="{00000000-0005-0000-0000-00009B610000}"/>
    <cellStyle name="40% - Accent3 3 5 2 7" xfId="39274" xr:uid="{00000000-0005-0000-0000-00009C610000}"/>
    <cellStyle name="40% - Accent3 3 5 3" xfId="4872" xr:uid="{00000000-0005-0000-0000-00009D610000}"/>
    <cellStyle name="40% - Accent3 3 5 3 2" xfId="11973" xr:uid="{00000000-0005-0000-0000-00009E610000}"/>
    <cellStyle name="40% - Accent3 3 5 3 2 2" xfId="39275" xr:uid="{00000000-0005-0000-0000-00009F610000}"/>
    <cellStyle name="40% - Accent3 3 5 3 3" xfId="19074" xr:uid="{00000000-0005-0000-0000-0000A0610000}"/>
    <cellStyle name="40% - Accent3 3 5 3 4" xfId="26176" xr:uid="{00000000-0005-0000-0000-0000A1610000}"/>
    <cellStyle name="40% - Accent3 3 5 3 5" xfId="33278" xr:uid="{00000000-0005-0000-0000-0000A2610000}"/>
    <cellStyle name="40% - Accent3 3 5 3 6" xfId="39276" xr:uid="{00000000-0005-0000-0000-0000A3610000}"/>
    <cellStyle name="40% - Accent3 3 5 4" xfId="3447" xr:uid="{00000000-0005-0000-0000-0000A4610000}"/>
    <cellStyle name="40% - Accent3 3 5 4 2" xfId="10553" xr:uid="{00000000-0005-0000-0000-0000A5610000}"/>
    <cellStyle name="40% - Accent3 3 5 4 3" xfId="17654" xr:uid="{00000000-0005-0000-0000-0000A6610000}"/>
    <cellStyle name="40% - Accent3 3 5 4 4" xfId="24756" xr:uid="{00000000-0005-0000-0000-0000A7610000}"/>
    <cellStyle name="40% - Accent3 3 5 4 5" xfId="31858" xr:uid="{00000000-0005-0000-0000-0000A8610000}"/>
    <cellStyle name="40% - Accent3 3 5 4 6" xfId="39277" xr:uid="{00000000-0005-0000-0000-0000A9610000}"/>
    <cellStyle name="40% - Accent3 3 5 5" xfId="7713" xr:uid="{00000000-0005-0000-0000-0000AA610000}"/>
    <cellStyle name="40% - Accent3 3 5 6" xfId="14814" xr:uid="{00000000-0005-0000-0000-0000AB610000}"/>
    <cellStyle name="40% - Accent3 3 5 7" xfId="21916" xr:uid="{00000000-0005-0000-0000-0000AC610000}"/>
    <cellStyle name="40% - Accent3 3 5 8" xfId="29018" xr:uid="{00000000-0005-0000-0000-0000AD610000}"/>
    <cellStyle name="40% - Accent3 3 5 9" xfId="39278" xr:uid="{00000000-0005-0000-0000-0000AE610000}"/>
    <cellStyle name="40% - Accent3 3 6" xfId="747" xr:uid="{00000000-0005-0000-0000-0000AF610000}"/>
    <cellStyle name="40% - Accent3 3 6 2" xfId="2238" xr:uid="{00000000-0005-0000-0000-0000B0610000}"/>
    <cellStyle name="40% - Accent3 3 6 2 2" xfId="6506" xr:uid="{00000000-0005-0000-0000-0000B1610000}"/>
    <cellStyle name="40% - Accent3 3 6 2 2 2" xfId="13606" xr:uid="{00000000-0005-0000-0000-0000B2610000}"/>
    <cellStyle name="40% - Accent3 3 6 2 2 3" xfId="20707" xr:uid="{00000000-0005-0000-0000-0000B3610000}"/>
    <cellStyle name="40% - Accent3 3 6 2 2 4" xfId="27809" xr:uid="{00000000-0005-0000-0000-0000B4610000}"/>
    <cellStyle name="40% - Accent3 3 6 2 2 5" xfId="34911" xr:uid="{00000000-0005-0000-0000-0000B5610000}"/>
    <cellStyle name="40% - Accent3 3 6 2 2 6" xfId="39279" xr:uid="{00000000-0005-0000-0000-0000B6610000}"/>
    <cellStyle name="40% - Accent3 3 6 2 3" xfId="9346" xr:uid="{00000000-0005-0000-0000-0000B7610000}"/>
    <cellStyle name="40% - Accent3 3 6 2 4" xfId="16447" xr:uid="{00000000-0005-0000-0000-0000B8610000}"/>
    <cellStyle name="40% - Accent3 3 6 2 5" xfId="23549" xr:uid="{00000000-0005-0000-0000-0000B9610000}"/>
    <cellStyle name="40% - Accent3 3 6 2 6" xfId="30651" xr:uid="{00000000-0005-0000-0000-0000BA610000}"/>
    <cellStyle name="40% - Accent3 3 6 2 7" xfId="39280" xr:uid="{00000000-0005-0000-0000-0000BB610000}"/>
    <cellStyle name="40% - Accent3 3 6 3" xfId="5085" xr:uid="{00000000-0005-0000-0000-0000BC610000}"/>
    <cellStyle name="40% - Accent3 3 6 3 2" xfId="12186" xr:uid="{00000000-0005-0000-0000-0000BD610000}"/>
    <cellStyle name="40% - Accent3 3 6 3 2 2" xfId="39281" xr:uid="{00000000-0005-0000-0000-0000BE610000}"/>
    <cellStyle name="40% - Accent3 3 6 3 3" xfId="19287" xr:uid="{00000000-0005-0000-0000-0000BF610000}"/>
    <cellStyle name="40% - Accent3 3 6 3 4" xfId="26389" xr:uid="{00000000-0005-0000-0000-0000C0610000}"/>
    <cellStyle name="40% - Accent3 3 6 3 5" xfId="33491" xr:uid="{00000000-0005-0000-0000-0000C1610000}"/>
    <cellStyle name="40% - Accent3 3 6 3 6" xfId="39282" xr:uid="{00000000-0005-0000-0000-0000C2610000}"/>
    <cellStyle name="40% - Accent3 3 6 4" xfId="3660" xr:uid="{00000000-0005-0000-0000-0000C3610000}"/>
    <cellStyle name="40% - Accent3 3 6 4 2" xfId="10766" xr:uid="{00000000-0005-0000-0000-0000C4610000}"/>
    <cellStyle name="40% - Accent3 3 6 4 3" xfId="17867" xr:uid="{00000000-0005-0000-0000-0000C5610000}"/>
    <cellStyle name="40% - Accent3 3 6 4 4" xfId="24969" xr:uid="{00000000-0005-0000-0000-0000C6610000}"/>
    <cellStyle name="40% - Accent3 3 6 4 5" xfId="32071" xr:uid="{00000000-0005-0000-0000-0000C7610000}"/>
    <cellStyle name="40% - Accent3 3 6 4 6" xfId="39283" xr:uid="{00000000-0005-0000-0000-0000C8610000}"/>
    <cellStyle name="40% - Accent3 3 6 5" xfId="7926" xr:uid="{00000000-0005-0000-0000-0000C9610000}"/>
    <cellStyle name="40% - Accent3 3 6 6" xfId="15027" xr:uid="{00000000-0005-0000-0000-0000CA610000}"/>
    <cellStyle name="40% - Accent3 3 6 7" xfId="22129" xr:uid="{00000000-0005-0000-0000-0000CB610000}"/>
    <cellStyle name="40% - Accent3 3 6 8" xfId="29231" xr:uid="{00000000-0005-0000-0000-0000CC610000}"/>
    <cellStyle name="40% - Accent3 3 6 9" xfId="39284" xr:uid="{00000000-0005-0000-0000-0000CD610000}"/>
    <cellStyle name="40% - Accent3 3 7" xfId="960" xr:uid="{00000000-0005-0000-0000-0000CE610000}"/>
    <cellStyle name="40% - Accent3 3 7 2" xfId="2451" xr:uid="{00000000-0005-0000-0000-0000CF610000}"/>
    <cellStyle name="40% - Accent3 3 7 2 2" xfId="6719" xr:uid="{00000000-0005-0000-0000-0000D0610000}"/>
    <cellStyle name="40% - Accent3 3 7 2 2 2" xfId="13819" xr:uid="{00000000-0005-0000-0000-0000D1610000}"/>
    <cellStyle name="40% - Accent3 3 7 2 2 3" xfId="20920" xr:uid="{00000000-0005-0000-0000-0000D2610000}"/>
    <cellStyle name="40% - Accent3 3 7 2 2 4" xfId="28022" xr:uid="{00000000-0005-0000-0000-0000D3610000}"/>
    <cellStyle name="40% - Accent3 3 7 2 2 5" xfId="35124" xr:uid="{00000000-0005-0000-0000-0000D4610000}"/>
    <cellStyle name="40% - Accent3 3 7 2 3" xfId="9559" xr:uid="{00000000-0005-0000-0000-0000D5610000}"/>
    <cellStyle name="40% - Accent3 3 7 2 4" xfId="16660" xr:uid="{00000000-0005-0000-0000-0000D6610000}"/>
    <cellStyle name="40% - Accent3 3 7 2 5" xfId="23762" xr:uid="{00000000-0005-0000-0000-0000D7610000}"/>
    <cellStyle name="40% - Accent3 3 7 2 6" xfId="30864" xr:uid="{00000000-0005-0000-0000-0000D8610000}"/>
    <cellStyle name="40% - Accent3 3 7 2 7" xfId="39285" xr:uid="{00000000-0005-0000-0000-0000D9610000}"/>
    <cellStyle name="40% - Accent3 3 7 3" xfId="5298" xr:uid="{00000000-0005-0000-0000-0000DA610000}"/>
    <cellStyle name="40% - Accent3 3 7 3 2" xfId="12399" xr:uid="{00000000-0005-0000-0000-0000DB610000}"/>
    <cellStyle name="40% - Accent3 3 7 3 3" xfId="19500" xr:uid="{00000000-0005-0000-0000-0000DC610000}"/>
    <cellStyle name="40% - Accent3 3 7 3 4" xfId="26602" xr:uid="{00000000-0005-0000-0000-0000DD610000}"/>
    <cellStyle name="40% - Accent3 3 7 3 5" xfId="33704" xr:uid="{00000000-0005-0000-0000-0000DE610000}"/>
    <cellStyle name="40% - Accent3 3 7 4" xfId="3873" xr:uid="{00000000-0005-0000-0000-0000DF610000}"/>
    <cellStyle name="40% - Accent3 3 7 4 2" xfId="10979" xr:uid="{00000000-0005-0000-0000-0000E0610000}"/>
    <cellStyle name="40% - Accent3 3 7 4 3" xfId="18080" xr:uid="{00000000-0005-0000-0000-0000E1610000}"/>
    <cellStyle name="40% - Accent3 3 7 4 4" xfId="25182" xr:uid="{00000000-0005-0000-0000-0000E2610000}"/>
    <cellStyle name="40% - Accent3 3 7 4 5" xfId="32284" xr:uid="{00000000-0005-0000-0000-0000E3610000}"/>
    <cellStyle name="40% - Accent3 3 7 5" xfId="8139" xr:uid="{00000000-0005-0000-0000-0000E4610000}"/>
    <cellStyle name="40% - Accent3 3 7 6" xfId="15240" xr:uid="{00000000-0005-0000-0000-0000E5610000}"/>
    <cellStyle name="40% - Accent3 3 7 7" xfId="22342" xr:uid="{00000000-0005-0000-0000-0000E6610000}"/>
    <cellStyle name="40% - Accent3 3 7 8" xfId="29444" xr:uid="{00000000-0005-0000-0000-0000E7610000}"/>
    <cellStyle name="40% - Accent3 3 7 9" xfId="39286" xr:uid="{00000000-0005-0000-0000-0000E8610000}"/>
    <cellStyle name="40% - Accent3 3 8" xfId="1315" xr:uid="{00000000-0005-0000-0000-0000E9610000}"/>
    <cellStyle name="40% - Accent3 3 8 2" xfId="2806" xr:uid="{00000000-0005-0000-0000-0000EA610000}"/>
    <cellStyle name="40% - Accent3 3 8 2 2" xfId="7074" xr:uid="{00000000-0005-0000-0000-0000EB610000}"/>
    <cellStyle name="40% - Accent3 3 8 2 2 2" xfId="14174" xr:uid="{00000000-0005-0000-0000-0000EC610000}"/>
    <cellStyle name="40% - Accent3 3 8 2 2 3" xfId="21275" xr:uid="{00000000-0005-0000-0000-0000ED610000}"/>
    <cellStyle name="40% - Accent3 3 8 2 2 4" xfId="28377" xr:uid="{00000000-0005-0000-0000-0000EE610000}"/>
    <cellStyle name="40% - Accent3 3 8 2 2 5" xfId="35479" xr:uid="{00000000-0005-0000-0000-0000EF610000}"/>
    <cellStyle name="40% - Accent3 3 8 2 3" xfId="9914" xr:uid="{00000000-0005-0000-0000-0000F0610000}"/>
    <cellStyle name="40% - Accent3 3 8 2 4" xfId="17015" xr:uid="{00000000-0005-0000-0000-0000F1610000}"/>
    <cellStyle name="40% - Accent3 3 8 2 5" xfId="24117" xr:uid="{00000000-0005-0000-0000-0000F2610000}"/>
    <cellStyle name="40% - Accent3 3 8 2 6" xfId="31219" xr:uid="{00000000-0005-0000-0000-0000F3610000}"/>
    <cellStyle name="40% - Accent3 3 8 2 7" xfId="39287" xr:uid="{00000000-0005-0000-0000-0000F4610000}"/>
    <cellStyle name="40% - Accent3 3 8 3" xfId="5653" xr:uid="{00000000-0005-0000-0000-0000F5610000}"/>
    <cellStyle name="40% - Accent3 3 8 3 2" xfId="12754" xr:uid="{00000000-0005-0000-0000-0000F6610000}"/>
    <cellStyle name="40% - Accent3 3 8 3 3" xfId="19855" xr:uid="{00000000-0005-0000-0000-0000F7610000}"/>
    <cellStyle name="40% - Accent3 3 8 3 4" xfId="26957" xr:uid="{00000000-0005-0000-0000-0000F8610000}"/>
    <cellStyle name="40% - Accent3 3 8 3 5" xfId="34059" xr:uid="{00000000-0005-0000-0000-0000F9610000}"/>
    <cellStyle name="40% - Accent3 3 8 4" xfId="4228" xr:uid="{00000000-0005-0000-0000-0000FA610000}"/>
    <cellStyle name="40% - Accent3 3 8 4 2" xfId="11334" xr:uid="{00000000-0005-0000-0000-0000FB610000}"/>
    <cellStyle name="40% - Accent3 3 8 4 3" xfId="18435" xr:uid="{00000000-0005-0000-0000-0000FC610000}"/>
    <cellStyle name="40% - Accent3 3 8 4 4" xfId="25537" xr:uid="{00000000-0005-0000-0000-0000FD610000}"/>
    <cellStyle name="40% - Accent3 3 8 4 5" xfId="32639" xr:uid="{00000000-0005-0000-0000-0000FE610000}"/>
    <cellStyle name="40% - Accent3 3 8 5" xfId="8494" xr:uid="{00000000-0005-0000-0000-0000FF610000}"/>
    <cellStyle name="40% - Accent3 3 8 6" xfId="15595" xr:uid="{00000000-0005-0000-0000-000000620000}"/>
    <cellStyle name="40% - Accent3 3 8 7" xfId="22697" xr:uid="{00000000-0005-0000-0000-000001620000}"/>
    <cellStyle name="40% - Accent3 3 8 8" xfId="29799" xr:uid="{00000000-0005-0000-0000-000002620000}"/>
    <cellStyle name="40% - Accent3 3 8 9" xfId="39288" xr:uid="{00000000-0005-0000-0000-000003620000}"/>
    <cellStyle name="40% - Accent3 3 9" xfId="1597" xr:uid="{00000000-0005-0000-0000-000004620000}"/>
    <cellStyle name="40% - Accent3 3 9 2" xfId="5867" xr:uid="{00000000-0005-0000-0000-000005620000}"/>
    <cellStyle name="40% - Accent3 3 9 2 2" xfId="12967" xr:uid="{00000000-0005-0000-0000-000006620000}"/>
    <cellStyle name="40% - Accent3 3 9 2 3" xfId="20068" xr:uid="{00000000-0005-0000-0000-000007620000}"/>
    <cellStyle name="40% - Accent3 3 9 2 4" xfId="27170" xr:uid="{00000000-0005-0000-0000-000008620000}"/>
    <cellStyle name="40% - Accent3 3 9 2 5" xfId="34272" xr:uid="{00000000-0005-0000-0000-000009620000}"/>
    <cellStyle name="40% - Accent3 3 9 3" xfId="8707" xr:uid="{00000000-0005-0000-0000-00000A620000}"/>
    <cellStyle name="40% - Accent3 3 9 4" xfId="15808" xr:uid="{00000000-0005-0000-0000-00000B620000}"/>
    <cellStyle name="40% - Accent3 3 9 5" xfId="22910" xr:uid="{00000000-0005-0000-0000-00000C620000}"/>
    <cellStyle name="40% - Accent3 3 9 6" xfId="30012" xr:uid="{00000000-0005-0000-0000-00000D620000}"/>
    <cellStyle name="40% - Accent3 3 9 7" xfId="39289" xr:uid="{00000000-0005-0000-0000-00000E620000}"/>
    <cellStyle name="40% - Accent3 4" xfId="137" xr:uid="{00000000-0005-0000-0000-00000F620000}"/>
    <cellStyle name="40% - Accent3 4 10" xfId="4477" xr:uid="{00000000-0005-0000-0000-000010620000}"/>
    <cellStyle name="40% - Accent3 4 10 2" xfId="11578" xr:uid="{00000000-0005-0000-0000-000011620000}"/>
    <cellStyle name="40% - Accent3 4 10 3" xfId="18679" xr:uid="{00000000-0005-0000-0000-000012620000}"/>
    <cellStyle name="40% - Accent3 4 10 4" xfId="25781" xr:uid="{00000000-0005-0000-0000-000013620000}"/>
    <cellStyle name="40% - Accent3 4 10 5" xfId="32883" xr:uid="{00000000-0005-0000-0000-000014620000}"/>
    <cellStyle name="40% - Accent3 4 11" xfId="3052" xr:uid="{00000000-0005-0000-0000-000015620000}"/>
    <cellStyle name="40% - Accent3 4 11 2" xfId="10158" xr:uid="{00000000-0005-0000-0000-000016620000}"/>
    <cellStyle name="40% - Accent3 4 11 3" xfId="17259" xr:uid="{00000000-0005-0000-0000-000017620000}"/>
    <cellStyle name="40% - Accent3 4 11 4" xfId="24361" xr:uid="{00000000-0005-0000-0000-000018620000}"/>
    <cellStyle name="40% - Accent3 4 11 5" xfId="31463" xr:uid="{00000000-0005-0000-0000-000019620000}"/>
    <cellStyle name="40% - Accent3 4 12" xfId="7318" xr:uid="{00000000-0005-0000-0000-00001A620000}"/>
    <cellStyle name="40% - Accent3 4 13" xfId="14419" xr:uid="{00000000-0005-0000-0000-00001B620000}"/>
    <cellStyle name="40% - Accent3 4 14" xfId="21521" xr:uid="{00000000-0005-0000-0000-00001C620000}"/>
    <cellStyle name="40% - Accent3 4 15" xfId="28623" xr:uid="{00000000-0005-0000-0000-00001D620000}"/>
    <cellStyle name="40% - Accent3 4 16" xfId="35725" xr:uid="{00000000-0005-0000-0000-00001E620000}"/>
    <cellStyle name="40% - Accent3 4 17" xfId="39290" xr:uid="{00000000-0005-0000-0000-00001F620000}"/>
    <cellStyle name="40% - Accent3 4 18" xfId="39291" xr:uid="{00000000-0005-0000-0000-000020620000}"/>
    <cellStyle name="40% - Accent3 4 2" xfId="281" xr:uid="{00000000-0005-0000-0000-000021620000}"/>
    <cellStyle name="40% - Accent3 4 2 10" xfId="7460" xr:uid="{00000000-0005-0000-0000-000022620000}"/>
    <cellStyle name="40% - Accent3 4 2 11" xfId="14561" xr:uid="{00000000-0005-0000-0000-000023620000}"/>
    <cellStyle name="40% - Accent3 4 2 12" xfId="21663" xr:uid="{00000000-0005-0000-0000-000024620000}"/>
    <cellStyle name="40% - Accent3 4 2 13" xfId="28765" xr:uid="{00000000-0005-0000-0000-000025620000}"/>
    <cellStyle name="40% - Accent3 4 2 14" xfId="35867" xr:uid="{00000000-0005-0000-0000-000026620000}"/>
    <cellStyle name="40% - Accent3 4 2 15" xfId="39292" xr:uid="{00000000-0005-0000-0000-000027620000}"/>
    <cellStyle name="40% - Accent3 4 2 2" xfId="494" xr:uid="{00000000-0005-0000-0000-000028620000}"/>
    <cellStyle name="40% - Accent3 4 2 2 10" xfId="39293" xr:uid="{00000000-0005-0000-0000-000029620000}"/>
    <cellStyle name="40% - Accent3 4 2 2 2" xfId="1275" xr:uid="{00000000-0005-0000-0000-00002A620000}"/>
    <cellStyle name="40% - Accent3 4 2 2 2 2" xfId="2766" xr:uid="{00000000-0005-0000-0000-00002B620000}"/>
    <cellStyle name="40% - Accent3 4 2 2 2 2 2" xfId="7034" xr:uid="{00000000-0005-0000-0000-00002C620000}"/>
    <cellStyle name="40% - Accent3 4 2 2 2 2 2 2" xfId="14134" xr:uid="{00000000-0005-0000-0000-00002D620000}"/>
    <cellStyle name="40% - Accent3 4 2 2 2 2 2 3" xfId="21235" xr:uid="{00000000-0005-0000-0000-00002E620000}"/>
    <cellStyle name="40% - Accent3 4 2 2 2 2 2 4" xfId="28337" xr:uid="{00000000-0005-0000-0000-00002F620000}"/>
    <cellStyle name="40% - Accent3 4 2 2 2 2 2 5" xfId="35439" xr:uid="{00000000-0005-0000-0000-000030620000}"/>
    <cellStyle name="40% - Accent3 4 2 2 2 2 3" xfId="9874" xr:uid="{00000000-0005-0000-0000-000031620000}"/>
    <cellStyle name="40% - Accent3 4 2 2 2 2 4" xfId="16975" xr:uid="{00000000-0005-0000-0000-000032620000}"/>
    <cellStyle name="40% - Accent3 4 2 2 2 2 5" xfId="24077" xr:uid="{00000000-0005-0000-0000-000033620000}"/>
    <cellStyle name="40% - Accent3 4 2 2 2 2 6" xfId="31179" xr:uid="{00000000-0005-0000-0000-000034620000}"/>
    <cellStyle name="40% - Accent3 4 2 2 2 2 7" xfId="39294" xr:uid="{00000000-0005-0000-0000-000035620000}"/>
    <cellStyle name="40% - Accent3 4 2 2 2 3" xfId="5613" xr:uid="{00000000-0005-0000-0000-000036620000}"/>
    <cellStyle name="40% - Accent3 4 2 2 2 3 2" xfId="12714" xr:uid="{00000000-0005-0000-0000-000037620000}"/>
    <cellStyle name="40% - Accent3 4 2 2 2 3 3" xfId="19815" xr:uid="{00000000-0005-0000-0000-000038620000}"/>
    <cellStyle name="40% - Accent3 4 2 2 2 3 4" xfId="26917" xr:uid="{00000000-0005-0000-0000-000039620000}"/>
    <cellStyle name="40% - Accent3 4 2 2 2 3 5" xfId="34019" xr:uid="{00000000-0005-0000-0000-00003A620000}"/>
    <cellStyle name="40% - Accent3 4 2 2 2 4" xfId="4188" xr:uid="{00000000-0005-0000-0000-00003B620000}"/>
    <cellStyle name="40% - Accent3 4 2 2 2 4 2" xfId="11294" xr:uid="{00000000-0005-0000-0000-00003C620000}"/>
    <cellStyle name="40% - Accent3 4 2 2 2 4 3" xfId="18395" xr:uid="{00000000-0005-0000-0000-00003D620000}"/>
    <cellStyle name="40% - Accent3 4 2 2 2 4 4" xfId="25497" xr:uid="{00000000-0005-0000-0000-00003E620000}"/>
    <cellStyle name="40% - Accent3 4 2 2 2 4 5" xfId="32599" xr:uid="{00000000-0005-0000-0000-00003F620000}"/>
    <cellStyle name="40% - Accent3 4 2 2 2 5" xfId="8454" xr:uid="{00000000-0005-0000-0000-000040620000}"/>
    <cellStyle name="40% - Accent3 4 2 2 2 6" xfId="15555" xr:uid="{00000000-0005-0000-0000-000041620000}"/>
    <cellStyle name="40% - Accent3 4 2 2 2 7" xfId="22657" xr:uid="{00000000-0005-0000-0000-000042620000}"/>
    <cellStyle name="40% - Accent3 4 2 2 2 8" xfId="29759" xr:uid="{00000000-0005-0000-0000-000043620000}"/>
    <cellStyle name="40% - Accent3 4 2 2 2 9" xfId="39295" xr:uid="{00000000-0005-0000-0000-000044620000}"/>
    <cellStyle name="40% - Accent3 4 2 2 3" xfId="1985" xr:uid="{00000000-0005-0000-0000-000045620000}"/>
    <cellStyle name="40% - Accent3 4 2 2 3 2" xfId="6253" xr:uid="{00000000-0005-0000-0000-000046620000}"/>
    <cellStyle name="40% - Accent3 4 2 2 3 2 2" xfId="13353" xr:uid="{00000000-0005-0000-0000-000047620000}"/>
    <cellStyle name="40% - Accent3 4 2 2 3 2 3" xfId="20454" xr:uid="{00000000-0005-0000-0000-000048620000}"/>
    <cellStyle name="40% - Accent3 4 2 2 3 2 4" xfId="27556" xr:uid="{00000000-0005-0000-0000-000049620000}"/>
    <cellStyle name="40% - Accent3 4 2 2 3 2 5" xfId="34658" xr:uid="{00000000-0005-0000-0000-00004A620000}"/>
    <cellStyle name="40% - Accent3 4 2 2 3 2 6" xfId="39296" xr:uid="{00000000-0005-0000-0000-00004B620000}"/>
    <cellStyle name="40% - Accent3 4 2 2 3 3" xfId="9093" xr:uid="{00000000-0005-0000-0000-00004C620000}"/>
    <cellStyle name="40% - Accent3 4 2 2 3 4" xfId="16194" xr:uid="{00000000-0005-0000-0000-00004D620000}"/>
    <cellStyle name="40% - Accent3 4 2 2 3 5" xfId="23296" xr:uid="{00000000-0005-0000-0000-00004E620000}"/>
    <cellStyle name="40% - Accent3 4 2 2 3 6" xfId="30398" xr:uid="{00000000-0005-0000-0000-00004F620000}"/>
    <cellStyle name="40% - Accent3 4 2 2 3 7" xfId="39297" xr:uid="{00000000-0005-0000-0000-000050620000}"/>
    <cellStyle name="40% - Accent3 4 2 2 4" xfId="4832" xr:uid="{00000000-0005-0000-0000-000051620000}"/>
    <cellStyle name="40% - Accent3 4 2 2 4 2" xfId="11933" xr:uid="{00000000-0005-0000-0000-000052620000}"/>
    <cellStyle name="40% - Accent3 4 2 2 4 3" xfId="19034" xr:uid="{00000000-0005-0000-0000-000053620000}"/>
    <cellStyle name="40% - Accent3 4 2 2 4 4" xfId="26136" xr:uid="{00000000-0005-0000-0000-000054620000}"/>
    <cellStyle name="40% - Accent3 4 2 2 4 5" xfId="33238" xr:uid="{00000000-0005-0000-0000-000055620000}"/>
    <cellStyle name="40% - Accent3 4 2 2 4 6" xfId="39298" xr:uid="{00000000-0005-0000-0000-000056620000}"/>
    <cellStyle name="40% - Accent3 4 2 2 5" xfId="3407" xr:uid="{00000000-0005-0000-0000-000057620000}"/>
    <cellStyle name="40% - Accent3 4 2 2 5 2" xfId="10513" xr:uid="{00000000-0005-0000-0000-000058620000}"/>
    <cellStyle name="40% - Accent3 4 2 2 5 3" xfId="17614" xr:uid="{00000000-0005-0000-0000-000059620000}"/>
    <cellStyle name="40% - Accent3 4 2 2 5 4" xfId="24716" xr:uid="{00000000-0005-0000-0000-00005A620000}"/>
    <cellStyle name="40% - Accent3 4 2 2 5 5" xfId="31818" xr:uid="{00000000-0005-0000-0000-00005B620000}"/>
    <cellStyle name="40% - Accent3 4 2 2 6" xfId="7673" xr:uid="{00000000-0005-0000-0000-00005C620000}"/>
    <cellStyle name="40% - Accent3 4 2 2 7" xfId="14774" xr:uid="{00000000-0005-0000-0000-00005D620000}"/>
    <cellStyle name="40% - Accent3 4 2 2 8" xfId="21876" xr:uid="{00000000-0005-0000-0000-00005E620000}"/>
    <cellStyle name="40% - Accent3 4 2 2 9" xfId="28978" xr:uid="{00000000-0005-0000-0000-00005F620000}"/>
    <cellStyle name="40% - Accent3 4 2 3" xfId="707" xr:uid="{00000000-0005-0000-0000-000060620000}"/>
    <cellStyle name="40% - Accent3 4 2 3 2" xfId="2198" xr:uid="{00000000-0005-0000-0000-000061620000}"/>
    <cellStyle name="40% - Accent3 4 2 3 2 2" xfId="6466" xr:uid="{00000000-0005-0000-0000-000062620000}"/>
    <cellStyle name="40% - Accent3 4 2 3 2 2 2" xfId="13566" xr:uid="{00000000-0005-0000-0000-000063620000}"/>
    <cellStyle name="40% - Accent3 4 2 3 2 2 3" xfId="20667" xr:uid="{00000000-0005-0000-0000-000064620000}"/>
    <cellStyle name="40% - Accent3 4 2 3 2 2 4" xfId="27769" xr:uid="{00000000-0005-0000-0000-000065620000}"/>
    <cellStyle name="40% - Accent3 4 2 3 2 2 5" xfId="34871" xr:uid="{00000000-0005-0000-0000-000066620000}"/>
    <cellStyle name="40% - Accent3 4 2 3 2 2 6" xfId="39299" xr:uid="{00000000-0005-0000-0000-000067620000}"/>
    <cellStyle name="40% - Accent3 4 2 3 2 3" xfId="9306" xr:uid="{00000000-0005-0000-0000-000068620000}"/>
    <cellStyle name="40% - Accent3 4 2 3 2 4" xfId="16407" xr:uid="{00000000-0005-0000-0000-000069620000}"/>
    <cellStyle name="40% - Accent3 4 2 3 2 5" xfId="23509" xr:uid="{00000000-0005-0000-0000-00006A620000}"/>
    <cellStyle name="40% - Accent3 4 2 3 2 6" xfId="30611" xr:uid="{00000000-0005-0000-0000-00006B620000}"/>
    <cellStyle name="40% - Accent3 4 2 3 2 7" xfId="39300" xr:uid="{00000000-0005-0000-0000-00006C620000}"/>
    <cellStyle name="40% - Accent3 4 2 3 3" xfId="5045" xr:uid="{00000000-0005-0000-0000-00006D620000}"/>
    <cellStyle name="40% - Accent3 4 2 3 3 2" xfId="12146" xr:uid="{00000000-0005-0000-0000-00006E620000}"/>
    <cellStyle name="40% - Accent3 4 2 3 3 2 2" xfId="39301" xr:uid="{00000000-0005-0000-0000-00006F620000}"/>
    <cellStyle name="40% - Accent3 4 2 3 3 3" xfId="19247" xr:uid="{00000000-0005-0000-0000-000070620000}"/>
    <cellStyle name="40% - Accent3 4 2 3 3 4" xfId="26349" xr:uid="{00000000-0005-0000-0000-000071620000}"/>
    <cellStyle name="40% - Accent3 4 2 3 3 5" xfId="33451" xr:uid="{00000000-0005-0000-0000-000072620000}"/>
    <cellStyle name="40% - Accent3 4 2 3 3 6" xfId="39302" xr:uid="{00000000-0005-0000-0000-000073620000}"/>
    <cellStyle name="40% - Accent3 4 2 3 4" xfId="3620" xr:uid="{00000000-0005-0000-0000-000074620000}"/>
    <cellStyle name="40% - Accent3 4 2 3 4 2" xfId="10726" xr:uid="{00000000-0005-0000-0000-000075620000}"/>
    <cellStyle name="40% - Accent3 4 2 3 4 3" xfId="17827" xr:uid="{00000000-0005-0000-0000-000076620000}"/>
    <cellStyle name="40% - Accent3 4 2 3 4 4" xfId="24929" xr:uid="{00000000-0005-0000-0000-000077620000}"/>
    <cellStyle name="40% - Accent3 4 2 3 4 5" xfId="32031" xr:uid="{00000000-0005-0000-0000-000078620000}"/>
    <cellStyle name="40% - Accent3 4 2 3 4 6" xfId="39303" xr:uid="{00000000-0005-0000-0000-000079620000}"/>
    <cellStyle name="40% - Accent3 4 2 3 5" xfId="7886" xr:uid="{00000000-0005-0000-0000-00007A620000}"/>
    <cellStyle name="40% - Accent3 4 2 3 6" xfId="14987" xr:uid="{00000000-0005-0000-0000-00007B620000}"/>
    <cellStyle name="40% - Accent3 4 2 3 7" xfId="22089" xr:uid="{00000000-0005-0000-0000-00007C620000}"/>
    <cellStyle name="40% - Accent3 4 2 3 8" xfId="29191" xr:uid="{00000000-0005-0000-0000-00007D620000}"/>
    <cellStyle name="40% - Accent3 4 2 3 9" xfId="39304" xr:uid="{00000000-0005-0000-0000-00007E620000}"/>
    <cellStyle name="40% - Accent3 4 2 4" xfId="920" xr:uid="{00000000-0005-0000-0000-00007F620000}"/>
    <cellStyle name="40% - Accent3 4 2 4 2" xfId="2411" xr:uid="{00000000-0005-0000-0000-000080620000}"/>
    <cellStyle name="40% - Accent3 4 2 4 2 2" xfId="6679" xr:uid="{00000000-0005-0000-0000-000081620000}"/>
    <cellStyle name="40% - Accent3 4 2 4 2 2 2" xfId="13779" xr:uid="{00000000-0005-0000-0000-000082620000}"/>
    <cellStyle name="40% - Accent3 4 2 4 2 2 3" xfId="20880" xr:uid="{00000000-0005-0000-0000-000083620000}"/>
    <cellStyle name="40% - Accent3 4 2 4 2 2 4" xfId="27982" xr:uid="{00000000-0005-0000-0000-000084620000}"/>
    <cellStyle name="40% - Accent3 4 2 4 2 2 5" xfId="35084" xr:uid="{00000000-0005-0000-0000-000085620000}"/>
    <cellStyle name="40% - Accent3 4 2 4 2 2 6" xfId="39305" xr:uid="{00000000-0005-0000-0000-000086620000}"/>
    <cellStyle name="40% - Accent3 4 2 4 2 3" xfId="9519" xr:uid="{00000000-0005-0000-0000-000087620000}"/>
    <cellStyle name="40% - Accent3 4 2 4 2 4" xfId="16620" xr:uid="{00000000-0005-0000-0000-000088620000}"/>
    <cellStyle name="40% - Accent3 4 2 4 2 5" xfId="23722" xr:uid="{00000000-0005-0000-0000-000089620000}"/>
    <cellStyle name="40% - Accent3 4 2 4 2 6" xfId="30824" xr:uid="{00000000-0005-0000-0000-00008A620000}"/>
    <cellStyle name="40% - Accent3 4 2 4 2 7" xfId="39306" xr:uid="{00000000-0005-0000-0000-00008B620000}"/>
    <cellStyle name="40% - Accent3 4 2 4 3" xfId="5258" xr:uid="{00000000-0005-0000-0000-00008C620000}"/>
    <cellStyle name="40% - Accent3 4 2 4 3 2" xfId="12359" xr:uid="{00000000-0005-0000-0000-00008D620000}"/>
    <cellStyle name="40% - Accent3 4 2 4 3 2 2" xfId="39307" xr:uid="{00000000-0005-0000-0000-00008E620000}"/>
    <cellStyle name="40% - Accent3 4 2 4 3 3" xfId="19460" xr:uid="{00000000-0005-0000-0000-00008F620000}"/>
    <cellStyle name="40% - Accent3 4 2 4 3 4" xfId="26562" xr:uid="{00000000-0005-0000-0000-000090620000}"/>
    <cellStyle name="40% - Accent3 4 2 4 3 5" xfId="33664" xr:uid="{00000000-0005-0000-0000-000091620000}"/>
    <cellStyle name="40% - Accent3 4 2 4 3 6" xfId="39308" xr:uid="{00000000-0005-0000-0000-000092620000}"/>
    <cellStyle name="40% - Accent3 4 2 4 4" xfId="3833" xr:uid="{00000000-0005-0000-0000-000093620000}"/>
    <cellStyle name="40% - Accent3 4 2 4 4 2" xfId="10939" xr:uid="{00000000-0005-0000-0000-000094620000}"/>
    <cellStyle name="40% - Accent3 4 2 4 4 3" xfId="18040" xr:uid="{00000000-0005-0000-0000-000095620000}"/>
    <cellStyle name="40% - Accent3 4 2 4 4 4" xfId="25142" xr:uid="{00000000-0005-0000-0000-000096620000}"/>
    <cellStyle name="40% - Accent3 4 2 4 4 5" xfId="32244" xr:uid="{00000000-0005-0000-0000-000097620000}"/>
    <cellStyle name="40% - Accent3 4 2 4 4 6" xfId="39309" xr:uid="{00000000-0005-0000-0000-000098620000}"/>
    <cellStyle name="40% - Accent3 4 2 4 5" xfId="8099" xr:uid="{00000000-0005-0000-0000-000099620000}"/>
    <cellStyle name="40% - Accent3 4 2 4 6" xfId="15200" xr:uid="{00000000-0005-0000-0000-00009A620000}"/>
    <cellStyle name="40% - Accent3 4 2 4 7" xfId="22302" xr:uid="{00000000-0005-0000-0000-00009B620000}"/>
    <cellStyle name="40% - Accent3 4 2 4 8" xfId="29404" xr:uid="{00000000-0005-0000-0000-00009C620000}"/>
    <cellStyle name="40% - Accent3 4 2 4 9" xfId="39310" xr:uid="{00000000-0005-0000-0000-00009D620000}"/>
    <cellStyle name="40% - Accent3 4 2 5" xfId="1062" xr:uid="{00000000-0005-0000-0000-00009E620000}"/>
    <cellStyle name="40% - Accent3 4 2 5 2" xfId="2553" xr:uid="{00000000-0005-0000-0000-00009F620000}"/>
    <cellStyle name="40% - Accent3 4 2 5 2 2" xfId="6821" xr:uid="{00000000-0005-0000-0000-0000A0620000}"/>
    <cellStyle name="40% - Accent3 4 2 5 2 2 2" xfId="13921" xr:uid="{00000000-0005-0000-0000-0000A1620000}"/>
    <cellStyle name="40% - Accent3 4 2 5 2 2 3" xfId="21022" xr:uid="{00000000-0005-0000-0000-0000A2620000}"/>
    <cellStyle name="40% - Accent3 4 2 5 2 2 4" xfId="28124" xr:uid="{00000000-0005-0000-0000-0000A3620000}"/>
    <cellStyle name="40% - Accent3 4 2 5 2 2 5" xfId="35226" xr:uid="{00000000-0005-0000-0000-0000A4620000}"/>
    <cellStyle name="40% - Accent3 4 2 5 2 3" xfId="9661" xr:uid="{00000000-0005-0000-0000-0000A5620000}"/>
    <cellStyle name="40% - Accent3 4 2 5 2 4" xfId="16762" xr:uid="{00000000-0005-0000-0000-0000A6620000}"/>
    <cellStyle name="40% - Accent3 4 2 5 2 5" xfId="23864" xr:uid="{00000000-0005-0000-0000-0000A7620000}"/>
    <cellStyle name="40% - Accent3 4 2 5 2 6" xfId="30966" xr:uid="{00000000-0005-0000-0000-0000A8620000}"/>
    <cellStyle name="40% - Accent3 4 2 5 2 7" xfId="39311" xr:uid="{00000000-0005-0000-0000-0000A9620000}"/>
    <cellStyle name="40% - Accent3 4 2 5 3" xfId="5400" xr:uid="{00000000-0005-0000-0000-0000AA620000}"/>
    <cellStyle name="40% - Accent3 4 2 5 3 2" xfId="12501" xr:uid="{00000000-0005-0000-0000-0000AB620000}"/>
    <cellStyle name="40% - Accent3 4 2 5 3 3" xfId="19602" xr:uid="{00000000-0005-0000-0000-0000AC620000}"/>
    <cellStyle name="40% - Accent3 4 2 5 3 4" xfId="26704" xr:uid="{00000000-0005-0000-0000-0000AD620000}"/>
    <cellStyle name="40% - Accent3 4 2 5 3 5" xfId="33806" xr:uid="{00000000-0005-0000-0000-0000AE620000}"/>
    <cellStyle name="40% - Accent3 4 2 5 4" xfId="3975" xr:uid="{00000000-0005-0000-0000-0000AF620000}"/>
    <cellStyle name="40% - Accent3 4 2 5 4 2" xfId="11081" xr:uid="{00000000-0005-0000-0000-0000B0620000}"/>
    <cellStyle name="40% - Accent3 4 2 5 4 3" xfId="18182" xr:uid="{00000000-0005-0000-0000-0000B1620000}"/>
    <cellStyle name="40% - Accent3 4 2 5 4 4" xfId="25284" xr:uid="{00000000-0005-0000-0000-0000B2620000}"/>
    <cellStyle name="40% - Accent3 4 2 5 4 5" xfId="32386" xr:uid="{00000000-0005-0000-0000-0000B3620000}"/>
    <cellStyle name="40% - Accent3 4 2 5 5" xfId="8241" xr:uid="{00000000-0005-0000-0000-0000B4620000}"/>
    <cellStyle name="40% - Accent3 4 2 5 6" xfId="15342" xr:uid="{00000000-0005-0000-0000-0000B5620000}"/>
    <cellStyle name="40% - Accent3 4 2 5 7" xfId="22444" xr:uid="{00000000-0005-0000-0000-0000B6620000}"/>
    <cellStyle name="40% - Accent3 4 2 5 8" xfId="29546" xr:uid="{00000000-0005-0000-0000-0000B7620000}"/>
    <cellStyle name="40% - Accent3 4 2 5 9" xfId="39312" xr:uid="{00000000-0005-0000-0000-0000B8620000}"/>
    <cellStyle name="40% - Accent3 4 2 6" xfId="1488" xr:uid="{00000000-0005-0000-0000-0000B9620000}"/>
    <cellStyle name="40% - Accent3 4 2 6 2" xfId="2979" xr:uid="{00000000-0005-0000-0000-0000BA620000}"/>
    <cellStyle name="40% - Accent3 4 2 6 2 2" xfId="7247" xr:uid="{00000000-0005-0000-0000-0000BB620000}"/>
    <cellStyle name="40% - Accent3 4 2 6 2 2 2" xfId="14347" xr:uid="{00000000-0005-0000-0000-0000BC620000}"/>
    <cellStyle name="40% - Accent3 4 2 6 2 2 3" xfId="21448" xr:uid="{00000000-0005-0000-0000-0000BD620000}"/>
    <cellStyle name="40% - Accent3 4 2 6 2 2 4" xfId="28550" xr:uid="{00000000-0005-0000-0000-0000BE620000}"/>
    <cellStyle name="40% - Accent3 4 2 6 2 2 5" xfId="35652" xr:uid="{00000000-0005-0000-0000-0000BF620000}"/>
    <cellStyle name="40% - Accent3 4 2 6 2 3" xfId="10087" xr:uid="{00000000-0005-0000-0000-0000C0620000}"/>
    <cellStyle name="40% - Accent3 4 2 6 2 4" xfId="17188" xr:uid="{00000000-0005-0000-0000-0000C1620000}"/>
    <cellStyle name="40% - Accent3 4 2 6 2 5" xfId="24290" xr:uid="{00000000-0005-0000-0000-0000C2620000}"/>
    <cellStyle name="40% - Accent3 4 2 6 2 6" xfId="31392" xr:uid="{00000000-0005-0000-0000-0000C3620000}"/>
    <cellStyle name="40% - Accent3 4 2 6 2 7" xfId="39313" xr:uid="{00000000-0005-0000-0000-0000C4620000}"/>
    <cellStyle name="40% - Accent3 4 2 6 3" xfId="5826" xr:uid="{00000000-0005-0000-0000-0000C5620000}"/>
    <cellStyle name="40% - Accent3 4 2 6 3 2" xfId="12927" xr:uid="{00000000-0005-0000-0000-0000C6620000}"/>
    <cellStyle name="40% - Accent3 4 2 6 3 3" xfId="20028" xr:uid="{00000000-0005-0000-0000-0000C7620000}"/>
    <cellStyle name="40% - Accent3 4 2 6 3 4" xfId="27130" xr:uid="{00000000-0005-0000-0000-0000C8620000}"/>
    <cellStyle name="40% - Accent3 4 2 6 3 5" xfId="34232" xr:uid="{00000000-0005-0000-0000-0000C9620000}"/>
    <cellStyle name="40% - Accent3 4 2 6 4" xfId="4401" xr:uid="{00000000-0005-0000-0000-0000CA620000}"/>
    <cellStyle name="40% - Accent3 4 2 6 4 2" xfId="11507" xr:uid="{00000000-0005-0000-0000-0000CB620000}"/>
    <cellStyle name="40% - Accent3 4 2 6 4 3" xfId="18608" xr:uid="{00000000-0005-0000-0000-0000CC620000}"/>
    <cellStyle name="40% - Accent3 4 2 6 4 4" xfId="25710" xr:uid="{00000000-0005-0000-0000-0000CD620000}"/>
    <cellStyle name="40% - Accent3 4 2 6 4 5" xfId="32812" xr:uid="{00000000-0005-0000-0000-0000CE620000}"/>
    <cellStyle name="40% - Accent3 4 2 6 5" xfId="8667" xr:uid="{00000000-0005-0000-0000-0000CF620000}"/>
    <cellStyle name="40% - Accent3 4 2 6 6" xfId="15768" xr:uid="{00000000-0005-0000-0000-0000D0620000}"/>
    <cellStyle name="40% - Accent3 4 2 6 7" xfId="22870" xr:uid="{00000000-0005-0000-0000-0000D1620000}"/>
    <cellStyle name="40% - Accent3 4 2 6 8" xfId="29972" xr:uid="{00000000-0005-0000-0000-0000D2620000}"/>
    <cellStyle name="40% - Accent3 4 2 6 9" xfId="39314" xr:uid="{00000000-0005-0000-0000-0000D3620000}"/>
    <cellStyle name="40% - Accent3 4 2 7" xfId="1772" xr:uid="{00000000-0005-0000-0000-0000D4620000}"/>
    <cellStyle name="40% - Accent3 4 2 7 2" xfId="6040" xr:uid="{00000000-0005-0000-0000-0000D5620000}"/>
    <cellStyle name="40% - Accent3 4 2 7 2 2" xfId="13140" xr:uid="{00000000-0005-0000-0000-0000D6620000}"/>
    <cellStyle name="40% - Accent3 4 2 7 2 3" xfId="20241" xr:uid="{00000000-0005-0000-0000-0000D7620000}"/>
    <cellStyle name="40% - Accent3 4 2 7 2 4" xfId="27343" xr:uid="{00000000-0005-0000-0000-0000D8620000}"/>
    <cellStyle name="40% - Accent3 4 2 7 2 5" xfId="34445" xr:uid="{00000000-0005-0000-0000-0000D9620000}"/>
    <cellStyle name="40% - Accent3 4 2 7 3" xfId="8880" xr:uid="{00000000-0005-0000-0000-0000DA620000}"/>
    <cellStyle name="40% - Accent3 4 2 7 4" xfId="15981" xr:uid="{00000000-0005-0000-0000-0000DB620000}"/>
    <cellStyle name="40% - Accent3 4 2 7 5" xfId="23083" xr:uid="{00000000-0005-0000-0000-0000DC620000}"/>
    <cellStyle name="40% - Accent3 4 2 7 6" xfId="30185" xr:uid="{00000000-0005-0000-0000-0000DD620000}"/>
    <cellStyle name="40% - Accent3 4 2 7 7" xfId="39315" xr:uid="{00000000-0005-0000-0000-0000DE620000}"/>
    <cellStyle name="40% - Accent3 4 2 8" xfId="4619" xr:uid="{00000000-0005-0000-0000-0000DF620000}"/>
    <cellStyle name="40% - Accent3 4 2 8 2" xfId="11720" xr:uid="{00000000-0005-0000-0000-0000E0620000}"/>
    <cellStyle name="40% - Accent3 4 2 8 3" xfId="18821" xr:uid="{00000000-0005-0000-0000-0000E1620000}"/>
    <cellStyle name="40% - Accent3 4 2 8 4" xfId="25923" xr:uid="{00000000-0005-0000-0000-0000E2620000}"/>
    <cellStyle name="40% - Accent3 4 2 8 5" xfId="33025" xr:uid="{00000000-0005-0000-0000-0000E3620000}"/>
    <cellStyle name="40% - Accent3 4 2 9" xfId="3194" xr:uid="{00000000-0005-0000-0000-0000E4620000}"/>
    <cellStyle name="40% - Accent3 4 2 9 2" xfId="10300" xr:uid="{00000000-0005-0000-0000-0000E5620000}"/>
    <cellStyle name="40% - Accent3 4 2 9 3" xfId="17401" xr:uid="{00000000-0005-0000-0000-0000E6620000}"/>
    <cellStyle name="40% - Accent3 4 2 9 4" xfId="24503" xr:uid="{00000000-0005-0000-0000-0000E7620000}"/>
    <cellStyle name="40% - Accent3 4 2 9 5" xfId="31605" xr:uid="{00000000-0005-0000-0000-0000E8620000}"/>
    <cellStyle name="40% - Accent3 4 3" xfId="210" xr:uid="{00000000-0005-0000-0000-0000E9620000}"/>
    <cellStyle name="40% - Accent3 4 3 10" xfId="7389" xr:uid="{00000000-0005-0000-0000-0000EA620000}"/>
    <cellStyle name="40% - Accent3 4 3 11" xfId="14490" xr:uid="{00000000-0005-0000-0000-0000EB620000}"/>
    <cellStyle name="40% - Accent3 4 3 12" xfId="21592" xr:uid="{00000000-0005-0000-0000-0000EC620000}"/>
    <cellStyle name="40% - Accent3 4 3 13" xfId="28694" xr:uid="{00000000-0005-0000-0000-0000ED620000}"/>
    <cellStyle name="40% - Accent3 4 3 14" xfId="35796" xr:uid="{00000000-0005-0000-0000-0000EE620000}"/>
    <cellStyle name="40% - Accent3 4 3 15" xfId="39316" xr:uid="{00000000-0005-0000-0000-0000EF620000}"/>
    <cellStyle name="40% - Accent3 4 3 2" xfId="423" xr:uid="{00000000-0005-0000-0000-0000F0620000}"/>
    <cellStyle name="40% - Accent3 4 3 2 2" xfId="1914" xr:uid="{00000000-0005-0000-0000-0000F1620000}"/>
    <cellStyle name="40% - Accent3 4 3 2 2 2" xfId="6182" xr:uid="{00000000-0005-0000-0000-0000F2620000}"/>
    <cellStyle name="40% - Accent3 4 3 2 2 2 2" xfId="13282" xr:uid="{00000000-0005-0000-0000-0000F3620000}"/>
    <cellStyle name="40% - Accent3 4 3 2 2 2 3" xfId="20383" xr:uid="{00000000-0005-0000-0000-0000F4620000}"/>
    <cellStyle name="40% - Accent3 4 3 2 2 2 4" xfId="27485" xr:uid="{00000000-0005-0000-0000-0000F5620000}"/>
    <cellStyle name="40% - Accent3 4 3 2 2 2 5" xfId="34587" xr:uid="{00000000-0005-0000-0000-0000F6620000}"/>
    <cellStyle name="40% - Accent3 4 3 2 2 2 6" xfId="39317" xr:uid="{00000000-0005-0000-0000-0000F7620000}"/>
    <cellStyle name="40% - Accent3 4 3 2 2 3" xfId="9022" xr:uid="{00000000-0005-0000-0000-0000F8620000}"/>
    <cellStyle name="40% - Accent3 4 3 2 2 4" xfId="16123" xr:uid="{00000000-0005-0000-0000-0000F9620000}"/>
    <cellStyle name="40% - Accent3 4 3 2 2 5" xfId="23225" xr:uid="{00000000-0005-0000-0000-0000FA620000}"/>
    <cellStyle name="40% - Accent3 4 3 2 2 6" xfId="30327" xr:uid="{00000000-0005-0000-0000-0000FB620000}"/>
    <cellStyle name="40% - Accent3 4 3 2 2 7" xfId="39318" xr:uid="{00000000-0005-0000-0000-0000FC620000}"/>
    <cellStyle name="40% - Accent3 4 3 2 3" xfId="4761" xr:uid="{00000000-0005-0000-0000-0000FD620000}"/>
    <cellStyle name="40% - Accent3 4 3 2 3 2" xfId="11862" xr:uid="{00000000-0005-0000-0000-0000FE620000}"/>
    <cellStyle name="40% - Accent3 4 3 2 3 2 2" xfId="39319" xr:uid="{00000000-0005-0000-0000-0000FF620000}"/>
    <cellStyle name="40% - Accent3 4 3 2 3 3" xfId="18963" xr:uid="{00000000-0005-0000-0000-000000630000}"/>
    <cellStyle name="40% - Accent3 4 3 2 3 4" xfId="26065" xr:uid="{00000000-0005-0000-0000-000001630000}"/>
    <cellStyle name="40% - Accent3 4 3 2 3 5" xfId="33167" xr:uid="{00000000-0005-0000-0000-000002630000}"/>
    <cellStyle name="40% - Accent3 4 3 2 3 6" xfId="39320" xr:uid="{00000000-0005-0000-0000-000003630000}"/>
    <cellStyle name="40% - Accent3 4 3 2 4" xfId="3336" xr:uid="{00000000-0005-0000-0000-000004630000}"/>
    <cellStyle name="40% - Accent3 4 3 2 4 2" xfId="10442" xr:uid="{00000000-0005-0000-0000-000005630000}"/>
    <cellStyle name="40% - Accent3 4 3 2 4 3" xfId="17543" xr:uid="{00000000-0005-0000-0000-000006630000}"/>
    <cellStyle name="40% - Accent3 4 3 2 4 4" xfId="24645" xr:uid="{00000000-0005-0000-0000-000007630000}"/>
    <cellStyle name="40% - Accent3 4 3 2 4 5" xfId="31747" xr:uid="{00000000-0005-0000-0000-000008630000}"/>
    <cellStyle name="40% - Accent3 4 3 2 4 6" xfId="39321" xr:uid="{00000000-0005-0000-0000-000009630000}"/>
    <cellStyle name="40% - Accent3 4 3 2 5" xfId="7602" xr:uid="{00000000-0005-0000-0000-00000A630000}"/>
    <cellStyle name="40% - Accent3 4 3 2 6" xfId="14703" xr:uid="{00000000-0005-0000-0000-00000B630000}"/>
    <cellStyle name="40% - Accent3 4 3 2 7" xfId="21805" xr:uid="{00000000-0005-0000-0000-00000C630000}"/>
    <cellStyle name="40% - Accent3 4 3 2 8" xfId="28907" xr:uid="{00000000-0005-0000-0000-00000D630000}"/>
    <cellStyle name="40% - Accent3 4 3 2 9" xfId="39322" xr:uid="{00000000-0005-0000-0000-00000E630000}"/>
    <cellStyle name="40% - Accent3 4 3 3" xfId="636" xr:uid="{00000000-0005-0000-0000-00000F630000}"/>
    <cellStyle name="40% - Accent3 4 3 3 2" xfId="2127" xr:uid="{00000000-0005-0000-0000-000010630000}"/>
    <cellStyle name="40% - Accent3 4 3 3 2 2" xfId="6395" xr:uid="{00000000-0005-0000-0000-000011630000}"/>
    <cellStyle name="40% - Accent3 4 3 3 2 2 2" xfId="13495" xr:uid="{00000000-0005-0000-0000-000012630000}"/>
    <cellStyle name="40% - Accent3 4 3 3 2 2 3" xfId="20596" xr:uid="{00000000-0005-0000-0000-000013630000}"/>
    <cellStyle name="40% - Accent3 4 3 3 2 2 4" xfId="27698" xr:uid="{00000000-0005-0000-0000-000014630000}"/>
    <cellStyle name="40% - Accent3 4 3 3 2 2 5" xfId="34800" xr:uid="{00000000-0005-0000-0000-000015630000}"/>
    <cellStyle name="40% - Accent3 4 3 3 2 2 6" xfId="39323" xr:uid="{00000000-0005-0000-0000-000016630000}"/>
    <cellStyle name="40% - Accent3 4 3 3 2 3" xfId="9235" xr:uid="{00000000-0005-0000-0000-000017630000}"/>
    <cellStyle name="40% - Accent3 4 3 3 2 4" xfId="16336" xr:uid="{00000000-0005-0000-0000-000018630000}"/>
    <cellStyle name="40% - Accent3 4 3 3 2 5" xfId="23438" xr:uid="{00000000-0005-0000-0000-000019630000}"/>
    <cellStyle name="40% - Accent3 4 3 3 2 6" xfId="30540" xr:uid="{00000000-0005-0000-0000-00001A630000}"/>
    <cellStyle name="40% - Accent3 4 3 3 2 7" xfId="39324" xr:uid="{00000000-0005-0000-0000-00001B630000}"/>
    <cellStyle name="40% - Accent3 4 3 3 3" xfId="4974" xr:uid="{00000000-0005-0000-0000-00001C630000}"/>
    <cellStyle name="40% - Accent3 4 3 3 3 2" xfId="12075" xr:uid="{00000000-0005-0000-0000-00001D630000}"/>
    <cellStyle name="40% - Accent3 4 3 3 3 2 2" xfId="39325" xr:uid="{00000000-0005-0000-0000-00001E630000}"/>
    <cellStyle name="40% - Accent3 4 3 3 3 3" xfId="19176" xr:uid="{00000000-0005-0000-0000-00001F630000}"/>
    <cellStyle name="40% - Accent3 4 3 3 3 4" xfId="26278" xr:uid="{00000000-0005-0000-0000-000020630000}"/>
    <cellStyle name="40% - Accent3 4 3 3 3 5" xfId="33380" xr:uid="{00000000-0005-0000-0000-000021630000}"/>
    <cellStyle name="40% - Accent3 4 3 3 3 6" xfId="39326" xr:uid="{00000000-0005-0000-0000-000022630000}"/>
    <cellStyle name="40% - Accent3 4 3 3 4" xfId="3549" xr:uid="{00000000-0005-0000-0000-000023630000}"/>
    <cellStyle name="40% - Accent3 4 3 3 4 2" xfId="10655" xr:uid="{00000000-0005-0000-0000-000024630000}"/>
    <cellStyle name="40% - Accent3 4 3 3 4 3" xfId="17756" xr:uid="{00000000-0005-0000-0000-000025630000}"/>
    <cellStyle name="40% - Accent3 4 3 3 4 4" xfId="24858" xr:uid="{00000000-0005-0000-0000-000026630000}"/>
    <cellStyle name="40% - Accent3 4 3 3 4 5" xfId="31960" xr:uid="{00000000-0005-0000-0000-000027630000}"/>
    <cellStyle name="40% - Accent3 4 3 3 4 6" xfId="39327" xr:uid="{00000000-0005-0000-0000-000028630000}"/>
    <cellStyle name="40% - Accent3 4 3 3 5" xfId="7815" xr:uid="{00000000-0005-0000-0000-000029630000}"/>
    <cellStyle name="40% - Accent3 4 3 3 6" xfId="14916" xr:uid="{00000000-0005-0000-0000-00002A630000}"/>
    <cellStyle name="40% - Accent3 4 3 3 7" xfId="22018" xr:uid="{00000000-0005-0000-0000-00002B630000}"/>
    <cellStyle name="40% - Accent3 4 3 3 8" xfId="29120" xr:uid="{00000000-0005-0000-0000-00002C630000}"/>
    <cellStyle name="40% - Accent3 4 3 3 9" xfId="39328" xr:uid="{00000000-0005-0000-0000-00002D630000}"/>
    <cellStyle name="40% - Accent3 4 3 4" xfId="849" xr:uid="{00000000-0005-0000-0000-00002E630000}"/>
    <cellStyle name="40% - Accent3 4 3 4 2" xfId="2340" xr:uid="{00000000-0005-0000-0000-00002F630000}"/>
    <cellStyle name="40% - Accent3 4 3 4 2 2" xfId="6608" xr:uid="{00000000-0005-0000-0000-000030630000}"/>
    <cellStyle name="40% - Accent3 4 3 4 2 2 2" xfId="13708" xr:uid="{00000000-0005-0000-0000-000031630000}"/>
    <cellStyle name="40% - Accent3 4 3 4 2 2 3" xfId="20809" xr:uid="{00000000-0005-0000-0000-000032630000}"/>
    <cellStyle name="40% - Accent3 4 3 4 2 2 4" xfId="27911" xr:uid="{00000000-0005-0000-0000-000033630000}"/>
    <cellStyle name="40% - Accent3 4 3 4 2 2 5" xfId="35013" xr:uid="{00000000-0005-0000-0000-000034630000}"/>
    <cellStyle name="40% - Accent3 4 3 4 2 2 6" xfId="39329" xr:uid="{00000000-0005-0000-0000-000035630000}"/>
    <cellStyle name="40% - Accent3 4 3 4 2 3" xfId="9448" xr:uid="{00000000-0005-0000-0000-000036630000}"/>
    <cellStyle name="40% - Accent3 4 3 4 2 4" xfId="16549" xr:uid="{00000000-0005-0000-0000-000037630000}"/>
    <cellStyle name="40% - Accent3 4 3 4 2 5" xfId="23651" xr:uid="{00000000-0005-0000-0000-000038630000}"/>
    <cellStyle name="40% - Accent3 4 3 4 2 6" xfId="30753" xr:uid="{00000000-0005-0000-0000-000039630000}"/>
    <cellStyle name="40% - Accent3 4 3 4 2 7" xfId="39330" xr:uid="{00000000-0005-0000-0000-00003A630000}"/>
    <cellStyle name="40% - Accent3 4 3 4 3" xfId="5187" xr:uid="{00000000-0005-0000-0000-00003B630000}"/>
    <cellStyle name="40% - Accent3 4 3 4 3 2" xfId="12288" xr:uid="{00000000-0005-0000-0000-00003C630000}"/>
    <cellStyle name="40% - Accent3 4 3 4 3 2 2" xfId="39331" xr:uid="{00000000-0005-0000-0000-00003D630000}"/>
    <cellStyle name="40% - Accent3 4 3 4 3 3" xfId="19389" xr:uid="{00000000-0005-0000-0000-00003E630000}"/>
    <cellStyle name="40% - Accent3 4 3 4 3 4" xfId="26491" xr:uid="{00000000-0005-0000-0000-00003F630000}"/>
    <cellStyle name="40% - Accent3 4 3 4 3 5" xfId="33593" xr:uid="{00000000-0005-0000-0000-000040630000}"/>
    <cellStyle name="40% - Accent3 4 3 4 3 6" xfId="39332" xr:uid="{00000000-0005-0000-0000-000041630000}"/>
    <cellStyle name="40% - Accent3 4 3 4 4" xfId="3762" xr:uid="{00000000-0005-0000-0000-000042630000}"/>
    <cellStyle name="40% - Accent3 4 3 4 4 2" xfId="10868" xr:uid="{00000000-0005-0000-0000-000043630000}"/>
    <cellStyle name="40% - Accent3 4 3 4 4 3" xfId="17969" xr:uid="{00000000-0005-0000-0000-000044630000}"/>
    <cellStyle name="40% - Accent3 4 3 4 4 4" xfId="25071" xr:uid="{00000000-0005-0000-0000-000045630000}"/>
    <cellStyle name="40% - Accent3 4 3 4 4 5" xfId="32173" xr:uid="{00000000-0005-0000-0000-000046630000}"/>
    <cellStyle name="40% - Accent3 4 3 4 4 6" xfId="39333" xr:uid="{00000000-0005-0000-0000-000047630000}"/>
    <cellStyle name="40% - Accent3 4 3 4 5" xfId="8028" xr:uid="{00000000-0005-0000-0000-000048630000}"/>
    <cellStyle name="40% - Accent3 4 3 4 6" xfId="15129" xr:uid="{00000000-0005-0000-0000-000049630000}"/>
    <cellStyle name="40% - Accent3 4 3 4 7" xfId="22231" xr:uid="{00000000-0005-0000-0000-00004A630000}"/>
    <cellStyle name="40% - Accent3 4 3 4 8" xfId="29333" xr:uid="{00000000-0005-0000-0000-00004B630000}"/>
    <cellStyle name="40% - Accent3 4 3 4 9" xfId="39334" xr:uid="{00000000-0005-0000-0000-00004C630000}"/>
    <cellStyle name="40% - Accent3 4 3 5" xfId="1204" xr:uid="{00000000-0005-0000-0000-00004D630000}"/>
    <cellStyle name="40% - Accent3 4 3 5 2" xfId="2695" xr:uid="{00000000-0005-0000-0000-00004E630000}"/>
    <cellStyle name="40% - Accent3 4 3 5 2 2" xfId="6963" xr:uid="{00000000-0005-0000-0000-00004F630000}"/>
    <cellStyle name="40% - Accent3 4 3 5 2 2 2" xfId="14063" xr:uid="{00000000-0005-0000-0000-000050630000}"/>
    <cellStyle name="40% - Accent3 4 3 5 2 2 3" xfId="21164" xr:uid="{00000000-0005-0000-0000-000051630000}"/>
    <cellStyle name="40% - Accent3 4 3 5 2 2 4" xfId="28266" xr:uid="{00000000-0005-0000-0000-000052630000}"/>
    <cellStyle name="40% - Accent3 4 3 5 2 2 5" xfId="35368" xr:uid="{00000000-0005-0000-0000-000053630000}"/>
    <cellStyle name="40% - Accent3 4 3 5 2 3" xfId="9803" xr:uid="{00000000-0005-0000-0000-000054630000}"/>
    <cellStyle name="40% - Accent3 4 3 5 2 4" xfId="16904" xr:uid="{00000000-0005-0000-0000-000055630000}"/>
    <cellStyle name="40% - Accent3 4 3 5 2 5" xfId="24006" xr:uid="{00000000-0005-0000-0000-000056630000}"/>
    <cellStyle name="40% - Accent3 4 3 5 2 6" xfId="31108" xr:uid="{00000000-0005-0000-0000-000057630000}"/>
    <cellStyle name="40% - Accent3 4 3 5 2 7" xfId="39335" xr:uid="{00000000-0005-0000-0000-000058630000}"/>
    <cellStyle name="40% - Accent3 4 3 5 3" xfId="5542" xr:uid="{00000000-0005-0000-0000-000059630000}"/>
    <cellStyle name="40% - Accent3 4 3 5 3 2" xfId="12643" xr:uid="{00000000-0005-0000-0000-00005A630000}"/>
    <cellStyle name="40% - Accent3 4 3 5 3 3" xfId="19744" xr:uid="{00000000-0005-0000-0000-00005B630000}"/>
    <cellStyle name="40% - Accent3 4 3 5 3 4" xfId="26846" xr:uid="{00000000-0005-0000-0000-00005C630000}"/>
    <cellStyle name="40% - Accent3 4 3 5 3 5" xfId="33948" xr:uid="{00000000-0005-0000-0000-00005D630000}"/>
    <cellStyle name="40% - Accent3 4 3 5 4" xfId="4117" xr:uid="{00000000-0005-0000-0000-00005E630000}"/>
    <cellStyle name="40% - Accent3 4 3 5 4 2" xfId="11223" xr:uid="{00000000-0005-0000-0000-00005F630000}"/>
    <cellStyle name="40% - Accent3 4 3 5 4 3" xfId="18324" xr:uid="{00000000-0005-0000-0000-000060630000}"/>
    <cellStyle name="40% - Accent3 4 3 5 4 4" xfId="25426" xr:uid="{00000000-0005-0000-0000-000061630000}"/>
    <cellStyle name="40% - Accent3 4 3 5 4 5" xfId="32528" xr:uid="{00000000-0005-0000-0000-000062630000}"/>
    <cellStyle name="40% - Accent3 4 3 5 5" xfId="8383" xr:uid="{00000000-0005-0000-0000-000063630000}"/>
    <cellStyle name="40% - Accent3 4 3 5 6" xfId="15484" xr:uid="{00000000-0005-0000-0000-000064630000}"/>
    <cellStyle name="40% - Accent3 4 3 5 7" xfId="22586" xr:uid="{00000000-0005-0000-0000-000065630000}"/>
    <cellStyle name="40% - Accent3 4 3 5 8" xfId="29688" xr:uid="{00000000-0005-0000-0000-000066630000}"/>
    <cellStyle name="40% - Accent3 4 3 5 9" xfId="39336" xr:uid="{00000000-0005-0000-0000-000067630000}"/>
    <cellStyle name="40% - Accent3 4 3 6" xfId="1417" xr:uid="{00000000-0005-0000-0000-000068630000}"/>
    <cellStyle name="40% - Accent3 4 3 6 2" xfId="2908" xr:uid="{00000000-0005-0000-0000-000069630000}"/>
    <cellStyle name="40% - Accent3 4 3 6 2 2" xfId="7176" xr:uid="{00000000-0005-0000-0000-00006A630000}"/>
    <cellStyle name="40% - Accent3 4 3 6 2 2 2" xfId="14276" xr:uid="{00000000-0005-0000-0000-00006B630000}"/>
    <cellStyle name="40% - Accent3 4 3 6 2 2 3" xfId="21377" xr:uid="{00000000-0005-0000-0000-00006C630000}"/>
    <cellStyle name="40% - Accent3 4 3 6 2 2 4" xfId="28479" xr:uid="{00000000-0005-0000-0000-00006D630000}"/>
    <cellStyle name="40% - Accent3 4 3 6 2 2 5" xfId="35581" xr:uid="{00000000-0005-0000-0000-00006E630000}"/>
    <cellStyle name="40% - Accent3 4 3 6 2 3" xfId="10016" xr:uid="{00000000-0005-0000-0000-00006F630000}"/>
    <cellStyle name="40% - Accent3 4 3 6 2 4" xfId="17117" xr:uid="{00000000-0005-0000-0000-000070630000}"/>
    <cellStyle name="40% - Accent3 4 3 6 2 5" xfId="24219" xr:uid="{00000000-0005-0000-0000-000071630000}"/>
    <cellStyle name="40% - Accent3 4 3 6 2 6" xfId="31321" xr:uid="{00000000-0005-0000-0000-000072630000}"/>
    <cellStyle name="40% - Accent3 4 3 6 2 7" xfId="39337" xr:uid="{00000000-0005-0000-0000-000073630000}"/>
    <cellStyle name="40% - Accent3 4 3 6 3" xfId="5755" xr:uid="{00000000-0005-0000-0000-000074630000}"/>
    <cellStyle name="40% - Accent3 4 3 6 3 2" xfId="12856" xr:uid="{00000000-0005-0000-0000-000075630000}"/>
    <cellStyle name="40% - Accent3 4 3 6 3 3" xfId="19957" xr:uid="{00000000-0005-0000-0000-000076630000}"/>
    <cellStyle name="40% - Accent3 4 3 6 3 4" xfId="27059" xr:uid="{00000000-0005-0000-0000-000077630000}"/>
    <cellStyle name="40% - Accent3 4 3 6 3 5" xfId="34161" xr:uid="{00000000-0005-0000-0000-000078630000}"/>
    <cellStyle name="40% - Accent3 4 3 6 4" xfId="4330" xr:uid="{00000000-0005-0000-0000-000079630000}"/>
    <cellStyle name="40% - Accent3 4 3 6 4 2" xfId="11436" xr:uid="{00000000-0005-0000-0000-00007A630000}"/>
    <cellStyle name="40% - Accent3 4 3 6 4 3" xfId="18537" xr:uid="{00000000-0005-0000-0000-00007B630000}"/>
    <cellStyle name="40% - Accent3 4 3 6 4 4" xfId="25639" xr:uid="{00000000-0005-0000-0000-00007C630000}"/>
    <cellStyle name="40% - Accent3 4 3 6 4 5" xfId="32741" xr:uid="{00000000-0005-0000-0000-00007D630000}"/>
    <cellStyle name="40% - Accent3 4 3 6 5" xfId="8596" xr:uid="{00000000-0005-0000-0000-00007E630000}"/>
    <cellStyle name="40% - Accent3 4 3 6 6" xfId="15697" xr:uid="{00000000-0005-0000-0000-00007F630000}"/>
    <cellStyle name="40% - Accent3 4 3 6 7" xfId="22799" xr:uid="{00000000-0005-0000-0000-000080630000}"/>
    <cellStyle name="40% - Accent3 4 3 6 8" xfId="29901" xr:uid="{00000000-0005-0000-0000-000081630000}"/>
    <cellStyle name="40% - Accent3 4 3 6 9" xfId="39338" xr:uid="{00000000-0005-0000-0000-000082630000}"/>
    <cellStyle name="40% - Accent3 4 3 7" xfId="1701" xr:uid="{00000000-0005-0000-0000-000083630000}"/>
    <cellStyle name="40% - Accent3 4 3 7 2" xfId="5969" xr:uid="{00000000-0005-0000-0000-000084630000}"/>
    <cellStyle name="40% - Accent3 4 3 7 2 2" xfId="13069" xr:uid="{00000000-0005-0000-0000-000085630000}"/>
    <cellStyle name="40% - Accent3 4 3 7 2 3" xfId="20170" xr:uid="{00000000-0005-0000-0000-000086630000}"/>
    <cellStyle name="40% - Accent3 4 3 7 2 4" xfId="27272" xr:uid="{00000000-0005-0000-0000-000087630000}"/>
    <cellStyle name="40% - Accent3 4 3 7 2 5" xfId="34374" xr:uid="{00000000-0005-0000-0000-000088630000}"/>
    <cellStyle name="40% - Accent3 4 3 7 3" xfId="8809" xr:uid="{00000000-0005-0000-0000-000089630000}"/>
    <cellStyle name="40% - Accent3 4 3 7 4" xfId="15910" xr:uid="{00000000-0005-0000-0000-00008A630000}"/>
    <cellStyle name="40% - Accent3 4 3 7 5" xfId="23012" xr:uid="{00000000-0005-0000-0000-00008B630000}"/>
    <cellStyle name="40% - Accent3 4 3 7 6" xfId="30114" xr:uid="{00000000-0005-0000-0000-00008C630000}"/>
    <cellStyle name="40% - Accent3 4 3 7 7" xfId="39339" xr:uid="{00000000-0005-0000-0000-00008D630000}"/>
    <cellStyle name="40% - Accent3 4 3 8" xfId="4548" xr:uid="{00000000-0005-0000-0000-00008E630000}"/>
    <cellStyle name="40% - Accent3 4 3 8 2" xfId="11649" xr:uid="{00000000-0005-0000-0000-00008F630000}"/>
    <cellStyle name="40% - Accent3 4 3 8 3" xfId="18750" xr:uid="{00000000-0005-0000-0000-000090630000}"/>
    <cellStyle name="40% - Accent3 4 3 8 4" xfId="25852" xr:uid="{00000000-0005-0000-0000-000091630000}"/>
    <cellStyle name="40% - Accent3 4 3 8 5" xfId="32954" xr:uid="{00000000-0005-0000-0000-000092630000}"/>
    <cellStyle name="40% - Accent3 4 3 9" xfId="3123" xr:uid="{00000000-0005-0000-0000-000093630000}"/>
    <cellStyle name="40% - Accent3 4 3 9 2" xfId="10229" xr:uid="{00000000-0005-0000-0000-000094630000}"/>
    <cellStyle name="40% - Accent3 4 3 9 3" xfId="17330" xr:uid="{00000000-0005-0000-0000-000095630000}"/>
    <cellStyle name="40% - Accent3 4 3 9 4" xfId="24432" xr:uid="{00000000-0005-0000-0000-000096630000}"/>
    <cellStyle name="40% - Accent3 4 3 9 5" xfId="31534" xr:uid="{00000000-0005-0000-0000-000097630000}"/>
    <cellStyle name="40% - Accent3 4 4" xfId="352" xr:uid="{00000000-0005-0000-0000-000098630000}"/>
    <cellStyle name="40% - Accent3 4 4 10" xfId="39340" xr:uid="{00000000-0005-0000-0000-000099630000}"/>
    <cellStyle name="40% - Accent3 4 4 2" xfId="1133" xr:uid="{00000000-0005-0000-0000-00009A630000}"/>
    <cellStyle name="40% - Accent3 4 4 2 2" xfId="2624" xr:uid="{00000000-0005-0000-0000-00009B630000}"/>
    <cellStyle name="40% - Accent3 4 4 2 2 2" xfId="6892" xr:uid="{00000000-0005-0000-0000-00009C630000}"/>
    <cellStyle name="40% - Accent3 4 4 2 2 2 2" xfId="13992" xr:uid="{00000000-0005-0000-0000-00009D630000}"/>
    <cellStyle name="40% - Accent3 4 4 2 2 2 3" xfId="21093" xr:uid="{00000000-0005-0000-0000-00009E630000}"/>
    <cellStyle name="40% - Accent3 4 4 2 2 2 4" xfId="28195" xr:uid="{00000000-0005-0000-0000-00009F630000}"/>
    <cellStyle name="40% - Accent3 4 4 2 2 2 5" xfId="35297" xr:uid="{00000000-0005-0000-0000-0000A0630000}"/>
    <cellStyle name="40% - Accent3 4 4 2 2 3" xfId="9732" xr:uid="{00000000-0005-0000-0000-0000A1630000}"/>
    <cellStyle name="40% - Accent3 4 4 2 2 4" xfId="16833" xr:uid="{00000000-0005-0000-0000-0000A2630000}"/>
    <cellStyle name="40% - Accent3 4 4 2 2 5" xfId="23935" xr:uid="{00000000-0005-0000-0000-0000A3630000}"/>
    <cellStyle name="40% - Accent3 4 4 2 2 6" xfId="31037" xr:uid="{00000000-0005-0000-0000-0000A4630000}"/>
    <cellStyle name="40% - Accent3 4 4 2 2 7" xfId="39341" xr:uid="{00000000-0005-0000-0000-0000A5630000}"/>
    <cellStyle name="40% - Accent3 4 4 2 3" xfId="5471" xr:uid="{00000000-0005-0000-0000-0000A6630000}"/>
    <cellStyle name="40% - Accent3 4 4 2 3 2" xfId="12572" xr:uid="{00000000-0005-0000-0000-0000A7630000}"/>
    <cellStyle name="40% - Accent3 4 4 2 3 3" xfId="19673" xr:uid="{00000000-0005-0000-0000-0000A8630000}"/>
    <cellStyle name="40% - Accent3 4 4 2 3 4" xfId="26775" xr:uid="{00000000-0005-0000-0000-0000A9630000}"/>
    <cellStyle name="40% - Accent3 4 4 2 3 5" xfId="33877" xr:uid="{00000000-0005-0000-0000-0000AA630000}"/>
    <cellStyle name="40% - Accent3 4 4 2 4" xfId="4046" xr:uid="{00000000-0005-0000-0000-0000AB630000}"/>
    <cellStyle name="40% - Accent3 4 4 2 4 2" xfId="11152" xr:uid="{00000000-0005-0000-0000-0000AC630000}"/>
    <cellStyle name="40% - Accent3 4 4 2 4 3" xfId="18253" xr:uid="{00000000-0005-0000-0000-0000AD630000}"/>
    <cellStyle name="40% - Accent3 4 4 2 4 4" xfId="25355" xr:uid="{00000000-0005-0000-0000-0000AE630000}"/>
    <cellStyle name="40% - Accent3 4 4 2 4 5" xfId="32457" xr:uid="{00000000-0005-0000-0000-0000AF630000}"/>
    <cellStyle name="40% - Accent3 4 4 2 5" xfId="8312" xr:uid="{00000000-0005-0000-0000-0000B0630000}"/>
    <cellStyle name="40% - Accent3 4 4 2 6" xfId="15413" xr:uid="{00000000-0005-0000-0000-0000B1630000}"/>
    <cellStyle name="40% - Accent3 4 4 2 7" xfId="22515" xr:uid="{00000000-0005-0000-0000-0000B2630000}"/>
    <cellStyle name="40% - Accent3 4 4 2 8" xfId="29617" xr:uid="{00000000-0005-0000-0000-0000B3630000}"/>
    <cellStyle name="40% - Accent3 4 4 2 9" xfId="39342" xr:uid="{00000000-0005-0000-0000-0000B4630000}"/>
    <cellStyle name="40% - Accent3 4 4 3" xfId="1843" xr:uid="{00000000-0005-0000-0000-0000B5630000}"/>
    <cellStyle name="40% - Accent3 4 4 3 2" xfId="6111" xr:uid="{00000000-0005-0000-0000-0000B6630000}"/>
    <cellStyle name="40% - Accent3 4 4 3 2 2" xfId="13211" xr:uid="{00000000-0005-0000-0000-0000B7630000}"/>
    <cellStyle name="40% - Accent3 4 4 3 2 3" xfId="20312" xr:uid="{00000000-0005-0000-0000-0000B8630000}"/>
    <cellStyle name="40% - Accent3 4 4 3 2 4" xfId="27414" xr:uid="{00000000-0005-0000-0000-0000B9630000}"/>
    <cellStyle name="40% - Accent3 4 4 3 2 5" xfId="34516" xr:uid="{00000000-0005-0000-0000-0000BA630000}"/>
    <cellStyle name="40% - Accent3 4 4 3 2 6" xfId="39343" xr:uid="{00000000-0005-0000-0000-0000BB630000}"/>
    <cellStyle name="40% - Accent3 4 4 3 3" xfId="8951" xr:uid="{00000000-0005-0000-0000-0000BC630000}"/>
    <cellStyle name="40% - Accent3 4 4 3 4" xfId="16052" xr:uid="{00000000-0005-0000-0000-0000BD630000}"/>
    <cellStyle name="40% - Accent3 4 4 3 5" xfId="23154" xr:uid="{00000000-0005-0000-0000-0000BE630000}"/>
    <cellStyle name="40% - Accent3 4 4 3 6" xfId="30256" xr:uid="{00000000-0005-0000-0000-0000BF630000}"/>
    <cellStyle name="40% - Accent3 4 4 3 7" xfId="39344" xr:uid="{00000000-0005-0000-0000-0000C0630000}"/>
    <cellStyle name="40% - Accent3 4 4 4" xfId="4690" xr:uid="{00000000-0005-0000-0000-0000C1630000}"/>
    <cellStyle name="40% - Accent3 4 4 4 2" xfId="11791" xr:uid="{00000000-0005-0000-0000-0000C2630000}"/>
    <cellStyle name="40% - Accent3 4 4 4 3" xfId="18892" xr:uid="{00000000-0005-0000-0000-0000C3630000}"/>
    <cellStyle name="40% - Accent3 4 4 4 4" xfId="25994" xr:uid="{00000000-0005-0000-0000-0000C4630000}"/>
    <cellStyle name="40% - Accent3 4 4 4 5" xfId="33096" xr:uid="{00000000-0005-0000-0000-0000C5630000}"/>
    <cellStyle name="40% - Accent3 4 4 4 6" xfId="39345" xr:uid="{00000000-0005-0000-0000-0000C6630000}"/>
    <cellStyle name="40% - Accent3 4 4 5" xfId="3265" xr:uid="{00000000-0005-0000-0000-0000C7630000}"/>
    <cellStyle name="40% - Accent3 4 4 5 2" xfId="10371" xr:uid="{00000000-0005-0000-0000-0000C8630000}"/>
    <cellStyle name="40% - Accent3 4 4 5 3" xfId="17472" xr:uid="{00000000-0005-0000-0000-0000C9630000}"/>
    <cellStyle name="40% - Accent3 4 4 5 4" xfId="24574" xr:uid="{00000000-0005-0000-0000-0000CA630000}"/>
    <cellStyle name="40% - Accent3 4 4 5 5" xfId="31676" xr:uid="{00000000-0005-0000-0000-0000CB630000}"/>
    <cellStyle name="40% - Accent3 4 4 6" xfId="7531" xr:uid="{00000000-0005-0000-0000-0000CC630000}"/>
    <cellStyle name="40% - Accent3 4 4 7" xfId="14632" xr:uid="{00000000-0005-0000-0000-0000CD630000}"/>
    <cellStyle name="40% - Accent3 4 4 8" xfId="21734" xr:uid="{00000000-0005-0000-0000-0000CE630000}"/>
    <cellStyle name="40% - Accent3 4 4 9" xfId="28836" xr:uid="{00000000-0005-0000-0000-0000CF630000}"/>
    <cellStyle name="40% - Accent3 4 5" xfId="565" xr:uid="{00000000-0005-0000-0000-0000D0630000}"/>
    <cellStyle name="40% - Accent3 4 5 2" xfId="2056" xr:uid="{00000000-0005-0000-0000-0000D1630000}"/>
    <cellStyle name="40% - Accent3 4 5 2 2" xfId="6324" xr:uid="{00000000-0005-0000-0000-0000D2630000}"/>
    <cellStyle name="40% - Accent3 4 5 2 2 2" xfId="13424" xr:uid="{00000000-0005-0000-0000-0000D3630000}"/>
    <cellStyle name="40% - Accent3 4 5 2 2 3" xfId="20525" xr:uid="{00000000-0005-0000-0000-0000D4630000}"/>
    <cellStyle name="40% - Accent3 4 5 2 2 4" xfId="27627" xr:uid="{00000000-0005-0000-0000-0000D5630000}"/>
    <cellStyle name="40% - Accent3 4 5 2 2 5" xfId="34729" xr:uid="{00000000-0005-0000-0000-0000D6630000}"/>
    <cellStyle name="40% - Accent3 4 5 2 2 6" xfId="39346" xr:uid="{00000000-0005-0000-0000-0000D7630000}"/>
    <cellStyle name="40% - Accent3 4 5 2 3" xfId="9164" xr:uid="{00000000-0005-0000-0000-0000D8630000}"/>
    <cellStyle name="40% - Accent3 4 5 2 4" xfId="16265" xr:uid="{00000000-0005-0000-0000-0000D9630000}"/>
    <cellStyle name="40% - Accent3 4 5 2 5" xfId="23367" xr:uid="{00000000-0005-0000-0000-0000DA630000}"/>
    <cellStyle name="40% - Accent3 4 5 2 6" xfId="30469" xr:uid="{00000000-0005-0000-0000-0000DB630000}"/>
    <cellStyle name="40% - Accent3 4 5 2 7" xfId="39347" xr:uid="{00000000-0005-0000-0000-0000DC630000}"/>
    <cellStyle name="40% - Accent3 4 5 3" xfId="4903" xr:uid="{00000000-0005-0000-0000-0000DD630000}"/>
    <cellStyle name="40% - Accent3 4 5 3 2" xfId="12004" xr:uid="{00000000-0005-0000-0000-0000DE630000}"/>
    <cellStyle name="40% - Accent3 4 5 3 2 2" xfId="39348" xr:uid="{00000000-0005-0000-0000-0000DF630000}"/>
    <cellStyle name="40% - Accent3 4 5 3 3" xfId="19105" xr:uid="{00000000-0005-0000-0000-0000E0630000}"/>
    <cellStyle name="40% - Accent3 4 5 3 4" xfId="26207" xr:uid="{00000000-0005-0000-0000-0000E1630000}"/>
    <cellStyle name="40% - Accent3 4 5 3 5" xfId="33309" xr:uid="{00000000-0005-0000-0000-0000E2630000}"/>
    <cellStyle name="40% - Accent3 4 5 3 6" xfId="39349" xr:uid="{00000000-0005-0000-0000-0000E3630000}"/>
    <cellStyle name="40% - Accent3 4 5 4" xfId="3478" xr:uid="{00000000-0005-0000-0000-0000E4630000}"/>
    <cellStyle name="40% - Accent3 4 5 4 2" xfId="10584" xr:uid="{00000000-0005-0000-0000-0000E5630000}"/>
    <cellStyle name="40% - Accent3 4 5 4 3" xfId="17685" xr:uid="{00000000-0005-0000-0000-0000E6630000}"/>
    <cellStyle name="40% - Accent3 4 5 4 4" xfId="24787" xr:uid="{00000000-0005-0000-0000-0000E7630000}"/>
    <cellStyle name="40% - Accent3 4 5 4 5" xfId="31889" xr:uid="{00000000-0005-0000-0000-0000E8630000}"/>
    <cellStyle name="40% - Accent3 4 5 4 6" xfId="39350" xr:uid="{00000000-0005-0000-0000-0000E9630000}"/>
    <cellStyle name="40% - Accent3 4 5 5" xfId="7744" xr:uid="{00000000-0005-0000-0000-0000EA630000}"/>
    <cellStyle name="40% - Accent3 4 5 6" xfId="14845" xr:uid="{00000000-0005-0000-0000-0000EB630000}"/>
    <cellStyle name="40% - Accent3 4 5 7" xfId="21947" xr:uid="{00000000-0005-0000-0000-0000EC630000}"/>
    <cellStyle name="40% - Accent3 4 5 8" xfId="29049" xr:uid="{00000000-0005-0000-0000-0000ED630000}"/>
    <cellStyle name="40% - Accent3 4 5 9" xfId="39351" xr:uid="{00000000-0005-0000-0000-0000EE630000}"/>
    <cellStyle name="40% - Accent3 4 6" xfId="778" xr:uid="{00000000-0005-0000-0000-0000EF630000}"/>
    <cellStyle name="40% - Accent3 4 6 2" xfId="2269" xr:uid="{00000000-0005-0000-0000-0000F0630000}"/>
    <cellStyle name="40% - Accent3 4 6 2 2" xfId="6537" xr:uid="{00000000-0005-0000-0000-0000F1630000}"/>
    <cellStyle name="40% - Accent3 4 6 2 2 2" xfId="13637" xr:uid="{00000000-0005-0000-0000-0000F2630000}"/>
    <cellStyle name="40% - Accent3 4 6 2 2 3" xfId="20738" xr:uid="{00000000-0005-0000-0000-0000F3630000}"/>
    <cellStyle name="40% - Accent3 4 6 2 2 4" xfId="27840" xr:uid="{00000000-0005-0000-0000-0000F4630000}"/>
    <cellStyle name="40% - Accent3 4 6 2 2 5" xfId="34942" xr:uid="{00000000-0005-0000-0000-0000F5630000}"/>
    <cellStyle name="40% - Accent3 4 6 2 2 6" xfId="39352" xr:uid="{00000000-0005-0000-0000-0000F6630000}"/>
    <cellStyle name="40% - Accent3 4 6 2 3" xfId="9377" xr:uid="{00000000-0005-0000-0000-0000F7630000}"/>
    <cellStyle name="40% - Accent3 4 6 2 4" xfId="16478" xr:uid="{00000000-0005-0000-0000-0000F8630000}"/>
    <cellStyle name="40% - Accent3 4 6 2 5" xfId="23580" xr:uid="{00000000-0005-0000-0000-0000F9630000}"/>
    <cellStyle name="40% - Accent3 4 6 2 6" xfId="30682" xr:uid="{00000000-0005-0000-0000-0000FA630000}"/>
    <cellStyle name="40% - Accent3 4 6 2 7" xfId="39353" xr:uid="{00000000-0005-0000-0000-0000FB630000}"/>
    <cellStyle name="40% - Accent3 4 6 3" xfId="5116" xr:uid="{00000000-0005-0000-0000-0000FC630000}"/>
    <cellStyle name="40% - Accent3 4 6 3 2" xfId="12217" xr:uid="{00000000-0005-0000-0000-0000FD630000}"/>
    <cellStyle name="40% - Accent3 4 6 3 2 2" xfId="39354" xr:uid="{00000000-0005-0000-0000-0000FE630000}"/>
    <cellStyle name="40% - Accent3 4 6 3 3" xfId="19318" xr:uid="{00000000-0005-0000-0000-0000FF630000}"/>
    <cellStyle name="40% - Accent3 4 6 3 4" xfId="26420" xr:uid="{00000000-0005-0000-0000-000000640000}"/>
    <cellStyle name="40% - Accent3 4 6 3 5" xfId="33522" xr:uid="{00000000-0005-0000-0000-000001640000}"/>
    <cellStyle name="40% - Accent3 4 6 3 6" xfId="39355" xr:uid="{00000000-0005-0000-0000-000002640000}"/>
    <cellStyle name="40% - Accent3 4 6 4" xfId="3691" xr:uid="{00000000-0005-0000-0000-000003640000}"/>
    <cellStyle name="40% - Accent3 4 6 4 2" xfId="10797" xr:uid="{00000000-0005-0000-0000-000004640000}"/>
    <cellStyle name="40% - Accent3 4 6 4 3" xfId="17898" xr:uid="{00000000-0005-0000-0000-000005640000}"/>
    <cellStyle name="40% - Accent3 4 6 4 4" xfId="25000" xr:uid="{00000000-0005-0000-0000-000006640000}"/>
    <cellStyle name="40% - Accent3 4 6 4 5" xfId="32102" xr:uid="{00000000-0005-0000-0000-000007640000}"/>
    <cellStyle name="40% - Accent3 4 6 4 6" xfId="39356" xr:uid="{00000000-0005-0000-0000-000008640000}"/>
    <cellStyle name="40% - Accent3 4 6 5" xfId="7957" xr:uid="{00000000-0005-0000-0000-000009640000}"/>
    <cellStyle name="40% - Accent3 4 6 6" xfId="15058" xr:uid="{00000000-0005-0000-0000-00000A640000}"/>
    <cellStyle name="40% - Accent3 4 6 7" xfId="22160" xr:uid="{00000000-0005-0000-0000-00000B640000}"/>
    <cellStyle name="40% - Accent3 4 6 8" xfId="29262" xr:uid="{00000000-0005-0000-0000-00000C640000}"/>
    <cellStyle name="40% - Accent3 4 6 9" xfId="39357" xr:uid="{00000000-0005-0000-0000-00000D640000}"/>
    <cellStyle name="40% - Accent3 4 7" xfId="991" xr:uid="{00000000-0005-0000-0000-00000E640000}"/>
    <cellStyle name="40% - Accent3 4 7 2" xfId="2482" xr:uid="{00000000-0005-0000-0000-00000F640000}"/>
    <cellStyle name="40% - Accent3 4 7 2 2" xfId="6750" xr:uid="{00000000-0005-0000-0000-000010640000}"/>
    <cellStyle name="40% - Accent3 4 7 2 2 2" xfId="13850" xr:uid="{00000000-0005-0000-0000-000011640000}"/>
    <cellStyle name="40% - Accent3 4 7 2 2 3" xfId="20951" xr:uid="{00000000-0005-0000-0000-000012640000}"/>
    <cellStyle name="40% - Accent3 4 7 2 2 4" xfId="28053" xr:uid="{00000000-0005-0000-0000-000013640000}"/>
    <cellStyle name="40% - Accent3 4 7 2 2 5" xfId="35155" xr:uid="{00000000-0005-0000-0000-000014640000}"/>
    <cellStyle name="40% - Accent3 4 7 2 3" xfId="9590" xr:uid="{00000000-0005-0000-0000-000015640000}"/>
    <cellStyle name="40% - Accent3 4 7 2 4" xfId="16691" xr:uid="{00000000-0005-0000-0000-000016640000}"/>
    <cellStyle name="40% - Accent3 4 7 2 5" xfId="23793" xr:uid="{00000000-0005-0000-0000-000017640000}"/>
    <cellStyle name="40% - Accent3 4 7 2 6" xfId="30895" xr:uid="{00000000-0005-0000-0000-000018640000}"/>
    <cellStyle name="40% - Accent3 4 7 2 7" xfId="39358" xr:uid="{00000000-0005-0000-0000-000019640000}"/>
    <cellStyle name="40% - Accent3 4 7 3" xfId="5329" xr:uid="{00000000-0005-0000-0000-00001A640000}"/>
    <cellStyle name="40% - Accent3 4 7 3 2" xfId="12430" xr:uid="{00000000-0005-0000-0000-00001B640000}"/>
    <cellStyle name="40% - Accent3 4 7 3 3" xfId="19531" xr:uid="{00000000-0005-0000-0000-00001C640000}"/>
    <cellStyle name="40% - Accent3 4 7 3 4" xfId="26633" xr:uid="{00000000-0005-0000-0000-00001D640000}"/>
    <cellStyle name="40% - Accent3 4 7 3 5" xfId="33735" xr:uid="{00000000-0005-0000-0000-00001E640000}"/>
    <cellStyle name="40% - Accent3 4 7 4" xfId="3904" xr:uid="{00000000-0005-0000-0000-00001F640000}"/>
    <cellStyle name="40% - Accent3 4 7 4 2" xfId="11010" xr:uid="{00000000-0005-0000-0000-000020640000}"/>
    <cellStyle name="40% - Accent3 4 7 4 3" xfId="18111" xr:uid="{00000000-0005-0000-0000-000021640000}"/>
    <cellStyle name="40% - Accent3 4 7 4 4" xfId="25213" xr:uid="{00000000-0005-0000-0000-000022640000}"/>
    <cellStyle name="40% - Accent3 4 7 4 5" xfId="32315" xr:uid="{00000000-0005-0000-0000-000023640000}"/>
    <cellStyle name="40% - Accent3 4 7 5" xfId="8170" xr:uid="{00000000-0005-0000-0000-000024640000}"/>
    <cellStyle name="40% - Accent3 4 7 6" xfId="15271" xr:uid="{00000000-0005-0000-0000-000025640000}"/>
    <cellStyle name="40% - Accent3 4 7 7" xfId="22373" xr:uid="{00000000-0005-0000-0000-000026640000}"/>
    <cellStyle name="40% - Accent3 4 7 8" xfId="29475" xr:uid="{00000000-0005-0000-0000-000027640000}"/>
    <cellStyle name="40% - Accent3 4 7 9" xfId="39359" xr:uid="{00000000-0005-0000-0000-000028640000}"/>
    <cellStyle name="40% - Accent3 4 8" xfId="1346" xr:uid="{00000000-0005-0000-0000-000029640000}"/>
    <cellStyle name="40% - Accent3 4 8 2" xfId="2837" xr:uid="{00000000-0005-0000-0000-00002A640000}"/>
    <cellStyle name="40% - Accent3 4 8 2 2" xfId="7105" xr:uid="{00000000-0005-0000-0000-00002B640000}"/>
    <cellStyle name="40% - Accent3 4 8 2 2 2" xfId="14205" xr:uid="{00000000-0005-0000-0000-00002C640000}"/>
    <cellStyle name="40% - Accent3 4 8 2 2 3" xfId="21306" xr:uid="{00000000-0005-0000-0000-00002D640000}"/>
    <cellStyle name="40% - Accent3 4 8 2 2 4" xfId="28408" xr:uid="{00000000-0005-0000-0000-00002E640000}"/>
    <cellStyle name="40% - Accent3 4 8 2 2 5" xfId="35510" xr:uid="{00000000-0005-0000-0000-00002F640000}"/>
    <cellStyle name="40% - Accent3 4 8 2 3" xfId="9945" xr:uid="{00000000-0005-0000-0000-000030640000}"/>
    <cellStyle name="40% - Accent3 4 8 2 4" xfId="17046" xr:uid="{00000000-0005-0000-0000-000031640000}"/>
    <cellStyle name="40% - Accent3 4 8 2 5" xfId="24148" xr:uid="{00000000-0005-0000-0000-000032640000}"/>
    <cellStyle name="40% - Accent3 4 8 2 6" xfId="31250" xr:uid="{00000000-0005-0000-0000-000033640000}"/>
    <cellStyle name="40% - Accent3 4 8 2 7" xfId="39360" xr:uid="{00000000-0005-0000-0000-000034640000}"/>
    <cellStyle name="40% - Accent3 4 8 3" xfId="5684" xr:uid="{00000000-0005-0000-0000-000035640000}"/>
    <cellStyle name="40% - Accent3 4 8 3 2" xfId="12785" xr:uid="{00000000-0005-0000-0000-000036640000}"/>
    <cellStyle name="40% - Accent3 4 8 3 3" xfId="19886" xr:uid="{00000000-0005-0000-0000-000037640000}"/>
    <cellStyle name="40% - Accent3 4 8 3 4" xfId="26988" xr:uid="{00000000-0005-0000-0000-000038640000}"/>
    <cellStyle name="40% - Accent3 4 8 3 5" xfId="34090" xr:uid="{00000000-0005-0000-0000-000039640000}"/>
    <cellStyle name="40% - Accent3 4 8 4" xfId="4259" xr:uid="{00000000-0005-0000-0000-00003A640000}"/>
    <cellStyle name="40% - Accent3 4 8 4 2" xfId="11365" xr:uid="{00000000-0005-0000-0000-00003B640000}"/>
    <cellStyle name="40% - Accent3 4 8 4 3" xfId="18466" xr:uid="{00000000-0005-0000-0000-00003C640000}"/>
    <cellStyle name="40% - Accent3 4 8 4 4" xfId="25568" xr:uid="{00000000-0005-0000-0000-00003D640000}"/>
    <cellStyle name="40% - Accent3 4 8 4 5" xfId="32670" xr:uid="{00000000-0005-0000-0000-00003E640000}"/>
    <cellStyle name="40% - Accent3 4 8 5" xfId="8525" xr:uid="{00000000-0005-0000-0000-00003F640000}"/>
    <cellStyle name="40% - Accent3 4 8 6" xfId="15626" xr:uid="{00000000-0005-0000-0000-000040640000}"/>
    <cellStyle name="40% - Accent3 4 8 7" xfId="22728" xr:uid="{00000000-0005-0000-0000-000041640000}"/>
    <cellStyle name="40% - Accent3 4 8 8" xfId="29830" xr:uid="{00000000-0005-0000-0000-000042640000}"/>
    <cellStyle name="40% - Accent3 4 8 9" xfId="39361" xr:uid="{00000000-0005-0000-0000-000043640000}"/>
    <cellStyle name="40% - Accent3 4 9" xfId="1630" xr:uid="{00000000-0005-0000-0000-000044640000}"/>
    <cellStyle name="40% - Accent3 4 9 2" xfId="5898" xr:uid="{00000000-0005-0000-0000-000045640000}"/>
    <cellStyle name="40% - Accent3 4 9 2 2" xfId="12998" xr:uid="{00000000-0005-0000-0000-000046640000}"/>
    <cellStyle name="40% - Accent3 4 9 2 3" xfId="20099" xr:uid="{00000000-0005-0000-0000-000047640000}"/>
    <cellStyle name="40% - Accent3 4 9 2 4" xfId="27201" xr:uid="{00000000-0005-0000-0000-000048640000}"/>
    <cellStyle name="40% - Accent3 4 9 2 5" xfId="34303" xr:uid="{00000000-0005-0000-0000-000049640000}"/>
    <cellStyle name="40% - Accent3 4 9 3" xfId="8738" xr:uid="{00000000-0005-0000-0000-00004A640000}"/>
    <cellStyle name="40% - Accent3 4 9 4" xfId="15839" xr:uid="{00000000-0005-0000-0000-00004B640000}"/>
    <cellStyle name="40% - Accent3 4 9 5" xfId="22941" xr:uid="{00000000-0005-0000-0000-00004C640000}"/>
    <cellStyle name="40% - Accent3 4 9 6" xfId="30043" xr:uid="{00000000-0005-0000-0000-00004D640000}"/>
    <cellStyle name="40% - Accent3 4 9 7" xfId="39362" xr:uid="{00000000-0005-0000-0000-00004E640000}"/>
    <cellStyle name="40% - Accent3 5" xfId="222" xr:uid="{00000000-0005-0000-0000-00004F640000}"/>
    <cellStyle name="40% - Accent3 5 10" xfId="7401" xr:uid="{00000000-0005-0000-0000-000050640000}"/>
    <cellStyle name="40% - Accent3 5 11" xfId="14502" xr:uid="{00000000-0005-0000-0000-000051640000}"/>
    <cellStyle name="40% - Accent3 5 12" xfId="21604" xr:uid="{00000000-0005-0000-0000-000052640000}"/>
    <cellStyle name="40% - Accent3 5 13" xfId="28706" xr:uid="{00000000-0005-0000-0000-000053640000}"/>
    <cellStyle name="40% - Accent3 5 14" xfId="35808" xr:uid="{00000000-0005-0000-0000-000054640000}"/>
    <cellStyle name="40% - Accent3 5 15" xfId="39363" xr:uid="{00000000-0005-0000-0000-000055640000}"/>
    <cellStyle name="40% - Accent3 5 2" xfId="435" xr:uid="{00000000-0005-0000-0000-000056640000}"/>
    <cellStyle name="40% - Accent3 5 2 10" xfId="39364" xr:uid="{00000000-0005-0000-0000-000057640000}"/>
    <cellStyle name="40% - Accent3 5 2 2" xfId="1216" xr:uid="{00000000-0005-0000-0000-000058640000}"/>
    <cellStyle name="40% - Accent3 5 2 2 2" xfId="2707" xr:uid="{00000000-0005-0000-0000-000059640000}"/>
    <cellStyle name="40% - Accent3 5 2 2 2 2" xfId="6975" xr:uid="{00000000-0005-0000-0000-00005A640000}"/>
    <cellStyle name="40% - Accent3 5 2 2 2 2 2" xfId="14075" xr:uid="{00000000-0005-0000-0000-00005B640000}"/>
    <cellStyle name="40% - Accent3 5 2 2 2 2 3" xfId="21176" xr:uid="{00000000-0005-0000-0000-00005C640000}"/>
    <cellStyle name="40% - Accent3 5 2 2 2 2 4" xfId="28278" xr:uid="{00000000-0005-0000-0000-00005D640000}"/>
    <cellStyle name="40% - Accent3 5 2 2 2 2 5" xfId="35380" xr:uid="{00000000-0005-0000-0000-00005E640000}"/>
    <cellStyle name="40% - Accent3 5 2 2 2 3" xfId="9815" xr:uid="{00000000-0005-0000-0000-00005F640000}"/>
    <cellStyle name="40% - Accent3 5 2 2 2 4" xfId="16916" xr:uid="{00000000-0005-0000-0000-000060640000}"/>
    <cellStyle name="40% - Accent3 5 2 2 2 5" xfId="24018" xr:uid="{00000000-0005-0000-0000-000061640000}"/>
    <cellStyle name="40% - Accent3 5 2 2 2 6" xfId="31120" xr:uid="{00000000-0005-0000-0000-000062640000}"/>
    <cellStyle name="40% - Accent3 5 2 2 2 7" xfId="39365" xr:uid="{00000000-0005-0000-0000-000063640000}"/>
    <cellStyle name="40% - Accent3 5 2 2 3" xfId="5554" xr:uid="{00000000-0005-0000-0000-000064640000}"/>
    <cellStyle name="40% - Accent3 5 2 2 3 2" xfId="12655" xr:uid="{00000000-0005-0000-0000-000065640000}"/>
    <cellStyle name="40% - Accent3 5 2 2 3 3" xfId="19756" xr:uid="{00000000-0005-0000-0000-000066640000}"/>
    <cellStyle name="40% - Accent3 5 2 2 3 4" xfId="26858" xr:uid="{00000000-0005-0000-0000-000067640000}"/>
    <cellStyle name="40% - Accent3 5 2 2 3 5" xfId="33960" xr:uid="{00000000-0005-0000-0000-000068640000}"/>
    <cellStyle name="40% - Accent3 5 2 2 4" xfId="4129" xr:uid="{00000000-0005-0000-0000-000069640000}"/>
    <cellStyle name="40% - Accent3 5 2 2 4 2" xfId="11235" xr:uid="{00000000-0005-0000-0000-00006A640000}"/>
    <cellStyle name="40% - Accent3 5 2 2 4 3" xfId="18336" xr:uid="{00000000-0005-0000-0000-00006B640000}"/>
    <cellStyle name="40% - Accent3 5 2 2 4 4" xfId="25438" xr:uid="{00000000-0005-0000-0000-00006C640000}"/>
    <cellStyle name="40% - Accent3 5 2 2 4 5" xfId="32540" xr:uid="{00000000-0005-0000-0000-00006D640000}"/>
    <cellStyle name="40% - Accent3 5 2 2 5" xfId="8395" xr:uid="{00000000-0005-0000-0000-00006E640000}"/>
    <cellStyle name="40% - Accent3 5 2 2 6" xfId="15496" xr:uid="{00000000-0005-0000-0000-00006F640000}"/>
    <cellStyle name="40% - Accent3 5 2 2 7" xfId="22598" xr:uid="{00000000-0005-0000-0000-000070640000}"/>
    <cellStyle name="40% - Accent3 5 2 2 8" xfId="29700" xr:uid="{00000000-0005-0000-0000-000071640000}"/>
    <cellStyle name="40% - Accent3 5 2 2 9" xfId="39366" xr:uid="{00000000-0005-0000-0000-000072640000}"/>
    <cellStyle name="40% - Accent3 5 2 3" xfId="1926" xr:uid="{00000000-0005-0000-0000-000073640000}"/>
    <cellStyle name="40% - Accent3 5 2 3 2" xfId="6194" xr:uid="{00000000-0005-0000-0000-000074640000}"/>
    <cellStyle name="40% - Accent3 5 2 3 2 2" xfId="13294" xr:uid="{00000000-0005-0000-0000-000075640000}"/>
    <cellStyle name="40% - Accent3 5 2 3 2 3" xfId="20395" xr:uid="{00000000-0005-0000-0000-000076640000}"/>
    <cellStyle name="40% - Accent3 5 2 3 2 4" xfId="27497" xr:uid="{00000000-0005-0000-0000-000077640000}"/>
    <cellStyle name="40% - Accent3 5 2 3 2 5" xfId="34599" xr:uid="{00000000-0005-0000-0000-000078640000}"/>
    <cellStyle name="40% - Accent3 5 2 3 2 6" xfId="39367" xr:uid="{00000000-0005-0000-0000-000079640000}"/>
    <cellStyle name="40% - Accent3 5 2 3 3" xfId="9034" xr:uid="{00000000-0005-0000-0000-00007A640000}"/>
    <cellStyle name="40% - Accent3 5 2 3 4" xfId="16135" xr:uid="{00000000-0005-0000-0000-00007B640000}"/>
    <cellStyle name="40% - Accent3 5 2 3 5" xfId="23237" xr:uid="{00000000-0005-0000-0000-00007C640000}"/>
    <cellStyle name="40% - Accent3 5 2 3 6" xfId="30339" xr:uid="{00000000-0005-0000-0000-00007D640000}"/>
    <cellStyle name="40% - Accent3 5 2 3 7" xfId="39368" xr:uid="{00000000-0005-0000-0000-00007E640000}"/>
    <cellStyle name="40% - Accent3 5 2 4" xfId="4773" xr:uid="{00000000-0005-0000-0000-00007F640000}"/>
    <cellStyle name="40% - Accent3 5 2 4 2" xfId="11874" xr:uid="{00000000-0005-0000-0000-000080640000}"/>
    <cellStyle name="40% - Accent3 5 2 4 3" xfId="18975" xr:uid="{00000000-0005-0000-0000-000081640000}"/>
    <cellStyle name="40% - Accent3 5 2 4 4" xfId="26077" xr:uid="{00000000-0005-0000-0000-000082640000}"/>
    <cellStyle name="40% - Accent3 5 2 4 5" xfId="33179" xr:uid="{00000000-0005-0000-0000-000083640000}"/>
    <cellStyle name="40% - Accent3 5 2 4 6" xfId="39369" xr:uid="{00000000-0005-0000-0000-000084640000}"/>
    <cellStyle name="40% - Accent3 5 2 5" xfId="3348" xr:uid="{00000000-0005-0000-0000-000085640000}"/>
    <cellStyle name="40% - Accent3 5 2 5 2" xfId="10454" xr:uid="{00000000-0005-0000-0000-000086640000}"/>
    <cellStyle name="40% - Accent3 5 2 5 3" xfId="17555" xr:uid="{00000000-0005-0000-0000-000087640000}"/>
    <cellStyle name="40% - Accent3 5 2 5 4" xfId="24657" xr:uid="{00000000-0005-0000-0000-000088640000}"/>
    <cellStyle name="40% - Accent3 5 2 5 5" xfId="31759" xr:uid="{00000000-0005-0000-0000-000089640000}"/>
    <cellStyle name="40% - Accent3 5 2 6" xfId="7614" xr:uid="{00000000-0005-0000-0000-00008A640000}"/>
    <cellStyle name="40% - Accent3 5 2 7" xfId="14715" xr:uid="{00000000-0005-0000-0000-00008B640000}"/>
    <cellStyle name="40% - Accent3 5 2 8" xfId="21817" xr:uid="{00000000-0005-0000-0000-00008C640000}"/>
    <cellStyle name="40% - Accent3 5 2 9" xfId="28919" xr:uid="{00000000-0005-0000-0000-00008D640000}"/>
    <cellStyle name="40% - Accent3 5 3" xfId="648" xr:uid="{00000000-0005-0000-0000-00008E640000}"/>
    <cellStyle name="40% - Accent3 5 3 2" xfId="2139" xr:uid="{00000000-0005-0000-0000-00008F640000}"/>
    <cellStyle name="40% - Accent3 5 3 2 2" xfId="6407" xr:uid="{00000000-0005-0000-0000-000090640000}"/>
    <cellStyle name="40% - Accent3 5 3 2 2 2" xfId="13507" xr:uid="{00000000-0005-0000-0000-000091640000}"/>
    <cellStyle name="40% - Accent3 5 3 2 2 3" xfId="20608" xr:uid="{00000000-0005-0000-0000-000092640000}"/>
    <cellStyle name="40% - Accent3 5 3 2 2 4" xfId="27710" xr:uid="{00000000-0005-0000-0000-000093640000}"/>
    <cellStyle name="40% - Accent3 5 3 2 2 5" xfId="34812" xr:uid="{00000000-0005-0000-0000-000094640000}"/>
    <cellStyle name="40% - Accent3 5 3 2 2 6" xfId="39370" xr:uid="{00000000-0005-0000-0000-000095640000}"/>
    <cellStyle name="40% - Accent3 5 3 2 3" xfId="9247" xr:uid="{00000000-0005-0000-0000-000096640000}"/>
    <cellStyle name="40% - Accent3 5 3 2 4" xfId="16348" xr:uid="{00000000-0005-0000-0000-000097640000}"/>
    <cellStyle name="40% - Accent3 5 3 2 5" xfId="23450" xr:uid="{00000000-0005-0000-0000-000098640000}"/>
    <cellStyle name="40% - Accent3 5 3 2 6" xfId="30552" xr:uid="{00000000-0005-0000-0000-000099640000}"/>
    <cellStyle name="40% - Accent3 5 3 2 7" xfId="39371" xr:uid="{00000000-0005-0000-0000-00009A640000}"/>
    <cellStyle name="40% - Accent3 5 3 3" xfId="4986" xr:uid="{00000000-0005-0000-0000-00009B640000}"/>
    <cellStyle name="40% - Accent3 5 3 3 2" xfId="12087" xr:uid="{00000000-0005-0000-0000-00009C640000}"/>
    <cellStyle name="40% - Accent3 5 3 3 2 2" xfId="39372" xr:uid="{00000000-0005-0000-0000-00009D640000}"/>
    <cellStyle name="40% - Accent3 5 3 3 3" xfId="19188" xr:uid="{00000000-0005-0000-0000-00009E640000}"/>
    <cellStyle name="40% - Accent3 5 3 3 4" xfId="26290" xr:uid="{00000000-0005-0000-0000-00009F640000}"/>
    <cellStyle name="40% - Accent3 5 3 3 5" xfId="33392" xr:uid="{00000000-0005-0000-0000-0000A0640000}"/>
    <cellStyle name="40% - Accent3 5 3 3 6" xfId="39373" xr:uid="{00000000-0005-0000-0000-0000A1640000}"/>
    <cellStyle name="40% - Accent3 5 3 4" xfId="3561" xr:uid="{00000000-0005-0000-0000-0000A2640000}"/>
    <cellStyle name="40% - Accent3 5 3 4 2" xfId="10667" xr:uid="{00000000-0005-0000-0000-0000A3640000}"/>
    <cellStyle name="40% - Accent3 5 3 4 3" xfId="17768" xr:uid="{00000000-0005-0000-0000-0000A4640000}"/>
    <cellStyle name="40% - Accent3 5 3 4 4" xfId="24870" xr:uid="{00000000-0005-0000-0000-0000A5640000}"/>
    <cellStyle name="40% - Accent3 5 3 4 5" xfId="31972" xr:uid="{00000000-0005-0000-0000-0000A6640000}"/>
    <cellStyle name="40% - Accent3 5 3 4 6" xfId="39374" xr:uid="{00000000-0005-0000-0000-0000A7640000}"/>
    <cellStyle name="40% - Accent3 5 3 5" xfId="7827" xr:uid="{00000000-0005-0000-0000-0000A8640000}"/>
    <cellStyle name="40% - Accent3 5 3 6" xfId="14928" xr:uid="{00000000-0005-0000-0000-0000A9640000}"/>
    <cellStyle name="40% - Accent3 5 3 7" xfId="22030" xr:uid="{00000000-0005-0000-0000-0000AA640000}"/>
    <cellStyle name="40% - Accent3 5 3 8" xfId="29132" xr:uid="{00000000-0005-0000-0000-0000AB640000}"/>
    <cellStyle name="40% - Accent3 5 3 9" xfId="39375" xr:uid="{00000000-0005-0000-0000-0000AC640000}"/>
    <cellStyle name="40% - Accent3 5 4" xfId="861" xr:uid="{00000000-0005-0000-0000-0000AD640000}"/>
    <cellStyle name="40% - Accent3 5 4 2" xfId="2352" xr:uid="{00000000-0005-0000-0000-0000AE640000}"/>
    <cellStyle name="40% - Accent3 5 4 2 2" xfId="6620" xr:uid="{00000000-0005-0000-0000-0000AF640000}"/>
    <cellStyle name="40% - Accent3 5 4 2 2 2" xfId="13720" xr:uid="{00000000-0005-0000-0000-0000B0640000}"/>
    <cellStyle name="40% - Accent3 5 4 2 2 3" xfId="20821" xr:uid="{00000000-0005-0000-0000-0000B1640000}"/>
    <cellStyle name="40% - Accent3 5 4 2 2 4" xfId="27923" xr:uid="{00000000-0005-0000-0000-0000B2640000}"/>
    <cellStyle name="40% - Accent3 5 4 2 2 5" xfId="35025" xr:uid="{00000000-0005-0000-0000-0000B3640000}"/>
    <cellStyle name="40% - Accent3 5 4 2 2 6" xfId="39376" xr:uid="{00000000-0005-0000-0000-0000B4640000}"/>
    <cellStyle name="40% - Accent3 5 4 2 3" xfId="9460" xr:uid="{00000000-0005-0000-0000-0000B5640000}"/>
    <cellStyle name="40% - Accent3 5 4 2 4" xfId="16561" xr:uid="{00000000-0005-0000-0000-0000B6640000}"/>
    <cellStyle name="40% - Accent3 5 4 2 5" xfId="23663" xr:uid="{00000000-0005-0000-0000-0000B7640000}"/>
    <cellStyle name="40% - Accent3 5 4 2 6" xfId="30765" xr:uid="{00000000-0005-0000-0000-0000B8640000}"/>
    <cellStyle name="40% - Accent3 5 4 2 7" xfId="39377" xr:uid="{00000000-0005-0000-0000-0000B9640000}"/>
    <cellStyle name="40% - Accent3 5 4 3" xfId="5199" xr:uid="{00000000-0005-0000-0000-0000BA640000}"/>
    <cellStyle name="40% - Accent3 5 4 3 2" xfId="12300" xr:uid="{00000000-0005-0000-0000-0000BB640000}"/>
    <cellStyle name="40% - Accent3 5 4 3 2 2" xfId="39378" xr:uid="{00000000-0005-0000-0000-0000BC640000}"/>
    <cellStyle name="40% - Accent3 5 4 3 3" xfId="19401" xr:uid="{00000000-0005-0000-0000-0000BD640000}"/>
    <cellStyle name="40% - Accent3 5 4 3 4" xfId="26503" xr:uid="{00000000-0005-0000-0000-0000BE640000}"/>
    <cellStyle name="40% - Accent3 5 4 3 5" xfId="33605" xr:uid="{00000000-0005-0000-0000-0000BF640000}"/>
    <cellStyle name="40% - Accent3 5 4 3 6" xfId="39379" xr:uid="{00000000-0005-0000-0000-0000C0640000}"/>
    <cellStyle name="40% - Accent3 5 4 4" xfId="3774" xr:uid="{00000000-0005-0000-0000-0000C1640000}"/>
    <cellStyle name="40% - Accent3 5 4 4 2" xfId="10880" xr:uid="{00000000-0005-0000-0000-0000C2640000}"/>
    <cellStyle name="40% - Accent3 5 4 4 3" xfId="17981" xr:uid="{00000000-0005-0000-0000-0000C3640000}"/>
    <cellStyle name="40% - Accent3 5 4 4 4" xfId="25083" xr:uid="{00000000-0005-0000-0000-0000C4640000}"/>
    <cellStyle name="40% - Accent3 5 4 4 5" xfId="32185" xr:uid="{00000000-0005-0000-0000-0000C5640000}"/>
    <cellStyle name="40% - Accent3 5 4 4 6" xfId="39380" xr:uid="{00000000-0005-0000-0000-0000C6640000}"/>
    <cellStyle name="40% - Accent3 5 4 5" xfId="8040" xr:uid="{00000000-0005-0000-0000-0000C7640000}"/>
    <cellStyle name="40% - Accent3 5 4 6" xfId="15141" xr:uid="{00000000-0005-0000-0000-0000C8640000}"/>
    <cellStyle name="40% - Accent3 5 4 7" xfId="22243" xr:uid="{00000000-0005-0000-0000-0000C9640000}"/>
    <cellStyle name="40% - Accent3 5 4 8" xfId="29345" xr:uid="{00000000-0005-0000-0000-0000CA640000}"/>
    <cellStyle name="40% - Accent3 5 4 9" xfId="39381" xr:uid="{00000000-0005-0000-0000-0000CB640000}"/>
    <cellStyle name="40% - Accent3 5 5" xfId="1003" xr:uid="{00000000-0005-0000-0000-0000CC640000}"/>
    <cellStyle name="40% - Accent3 5 5 2" xfId="2494" xr:uid="{00000000-0005-0000-0000-0000CD640000}"/>
    <cellStyle name="40% - Accent3 5 5 2 2" xfId="6762" xr:uid="{00000000-0005-0000-0000-0000CE640000}"/>
    <cellStyle name="40% - Accent3 5 5 2 2 2" xfId="13862" xr:uid="{00000000-0005-0000-0000-0000CF640000}"/>
    <cellStyle name="40% - Accent3 5 5 2 2 3" xfId="20963" xr:uid="{00000000-0005-0000-0000-0000D0640000}"/>
    <cellStyle name="40% - Accent3 5 5 2 2 4" xfId="28065" xr:uid="{00000000-0005-0000-0000-0000D1640000}"/>
    <cellStyle name="40% - Accent3 5 5 2 2 5" xfId="35167" xr:uid="{00000000-0005-0000-0000-0000D2640000}"/>
    <cellStyle name="40% - Accent3 5 5 2 3" xfId="9602" xr:uid="{00000000-0005-0000-0000-0000D3640000}"/>
    <cellStyle name="40% - Accent3 5 5 2 4" xfId="16703" xr:uid="{00000000-0005-0000-0000-0000D4640000}"/>
    <cellStyle name="40% - Accent3 5 5 2 5" xfId="23805" xr:uid="{00000000-0005-0000-0000-0000D5640000}"/>
    <cellStyle name="40% - Accent3 5 5 2 6" xfId="30907" xr:uid="{00000000-0005-0000-0000-0000D6640000}"/>
    <cellStyle name="40% - Accent3 5 5 2 7" xfId="39382" xr:uid="{00000000-0005-0000-0000-0000D7640000}"/>
    <cellStyle name="40% - Accent3 5 5 3" xfId="5341" xr:uid="{00000000-0005-0000-0000-0000D8640000}"/>
    <cellStyle name="40% - Accent3 5 5 3 2" xfId="12442" xr:uid="{00000000-0005-0000-0000-0000D9640000}"/>
    <cellStyle name="40% - Accent3 5 5 3 3" xfId="19543" xr:uid="{00000000-0005-0000-0000-0000DA640000}"/>
    <cellStyle name="40% - Accent3 5 5 3 4" xfId="26645" xr:uid="{00000000-0005-0000-0000-0000DB640000}"/>
    <cellStyle name="40% - Accent3 5 5 3 5" xfId="33747" xr:uid="{00000000-0005-0000-0000-0000DC640000}"/>
    <cellStyle name="40% - Accent3 5 5 4" xfId="3916" xr:uid="{00000000-0005-0000-0000-0000DD640000}"/>
    <cellStyle name="40% - Accent3 5 5 4 2" xfId="11022" xr:uid="{00000000-0005-0000-0000-0000DE640000}"/>
    <cellStyle name="40% - Accent3 5 5 4 3" xfId="18123" xr:uid="{00000000-0005-0000-0000-0000DF640000}"/>
    <cellStyle name="40% - Accent3 5 5 4 4" xfId="25225" xr:uid="{00000000-0005-0000-0000-0000E0640000}"/>
    <cellStyle name="40% - Accent3 5 5 4 5" xfId="32327" xr:uid="{00000000-0005-0000-0000-0000E1640000}"/>
    <cellStyle name="40% - Accent3 5 5 5" xfId="8182" xr:uid="{00000000-0005-0000-0000-0000E2640000}"/>
    <cellStyle name="40% - Accent3 5 5 6" xfId="15283" xr:uid="{00000000-0005-0000-0000-0000E3640000}"/>
    <cellStyle name="40% - Accent3 5 5 7" xfId="22385" xr:uid="{00000000-0005-0000-0000-0000E4640000}"/>
    <cellStyle name="40% - Accent3 5 5 8" xfId="29487" xr:uid="{00000000-0005-0000-0000-0000E5640000}"/>
    <cellStyle name="40% - Accent3 5 5 9" xfId="39383" xr:uid="{00000000-0005-0000-0000-0000E6640000}"/>
    <cellStyle name="40% - Accent3 5 6" xfId="1429" xr:uid="{00000000-0005-0000-0000-0000E7640000}"/>
    <cellStyle name="40% - Accent3 5 6 2" xfId="2920" xr:uid="{00000000-0005-0000-0000-0000E8640000}"/>
    <cellStyle name="40% - Accent3 5 6 2 2" xfId="7188" xr:uid="{00000000-0005-0000-0000-0000E9640000}"/>
    <cellStyle name="40% - Accent3 5 6 2 2 2" xfId="14288" xr:uid="{00000000-0005-0000-0000-0000EA640000}"/>
    <cellStyle name="40% - Accent3 5 6 2 2 3" xfId="21389" xr:uid="{00000000-0005-0000-0000-0000EB640000}"/>
    <cellStyle name="40% - Accent3 5 6 2 2 4" xfId="28491" xr:uid="{00000000-0005-0000-0000-0000EC640000}"/>
    <cellStyle name="40% - Accent3 5 6 2 2 5" xfId="35593" xr:uid="{00000000-0005-0000-0000-0000ED640000}"/>
    <cellStyle name="40% - Accent3 5 6 2 3" xfId="10028" xr:uid="{00000000-0005-0000-0000-0000EE640000}"/>
    <cellStyle name="40% - Accent3 5 6 2 4" xfId="17129" xr:uid="{00000000-0005-0000-0000-0000EF640000}"/>
    <cellStyle name="40% - Accent3 5 6 2 5" xfId="24231" xr:uid="{00000000-0005-0000-0000-0000F0640000}"/>
    <cellStyle name="40% - Accent3 5 6 2 6" xfId="31333" xr:uid="{00000000-0005-0000-0000-0000F1640000}"/>
    <cellStyle name="40% - Accent3 5 6 2 7" xfId="39384" xr:uid="{00000000-0005-0000-0000-0000F2640000}"/>
    <cellStyle name="40% - Accent3 5 6 3" xfId="5767" xr:uid="{00000000-0005-0000-0000-0000F3640000}"/>
    <cellStyle name="40% - Accent3 5 6 3 2" xfId="12868" xr:uid="{00000000-0005-0000-0000-0000F4640000}"/>
    <cellStyle name="40% - Accent3 5 6 3 3" xfId="19969" xr:uid="{00000000-0005-0000-0000-0000F5640000}"/>
    <cellStyle name="40% - Accent3 5 6 3 4" xfId="27071" xr:uid="{00000000-0005-0000-0000-0000F6640000}"/>
    <cellStyle name="40% - Accent3 5 6 3 5" xfId="34173" xr:uid="{00000000-0005-0000-0000-0000F7640000}"/>
    <cellStyle name="40% - Accent3 5 6 4" xfId="4342" xr:uid="{00000000-0005-0000-0000-0000F8640000}"/>
    <cellStyle name="40% - Accent3 5 6 4 2" xfId="11448" xr:uid="{00000000-0005-0000-0000-0000F9640000}"/>
    <cellStyle name="40% - Accent3 5 6 4 3" xfId="18549" xr:uid="{00000000-0005-0000-0000-0000FA640000}"/>
    <cellStyle name="40% - Accent3 5 6 4 4" xfId="25651" xr:uid="{00000000-0005-0000-0000-0000FB640000}"/>
    <cellStyle name="40% - Accent3 5 6 4 5" xfId="32753" xr:uid="{00000000-0005-0000-0000-0000FC640000}"/>
    <cellStyle name="40% - Accent3 5 6 5" xfId="8608" xr:uid="{00000000-0005-0000-0000-0000FD640000}"/>
    <cellStyle name="40% - Accent3 5 6 6" xfId="15709" xr:uid="{00000000-0005-0000-0000-0000FE640000}"/>
    <cellStyle name="40% - Accent3 5 6 7" xfId="22811" xr:uid="{00000000-0005-0000-0000-0000FF640000}"/>
    <cellStyle name="40% - Accent3 5 6 8" xfId="29913" xr:uid="{00000000-0005-0000-0000-000000650000}"/>
    <cellStyle name="40% - Accent3 5 6 9" xfId="39385" xr:uid="{00000000-0005-0000-0000-000001650000}"/>
    <cellStyle name="40% - Accent3 5 7" xfId="1713" xr:uid="{00000000-0005-0000-0000-000002650000}"/>
    <cellStyle name="40% - Accent3 5 7 2" xfId="5981" xr:uid="{00000000-0005-0000-0000-000003650000}"/>
    <cellStyle name="40% - Accent3 5 7 2 2" xfId="13081" xr:uid="{00000000-0005-0000-0000-000004650000}"/>
    <cellStyle name="40% - Accent3 5 7 2 3" xfId="20182" xr:uid="{00000000-0005-0000-0000-000005650000}"/>
    <cellStyle name="40% - Accent3 5 7 2 4" xfId="27284" xr:uid="{00000000-0005-0000-0000-000006650000}"/>
    <cellStyle name="40% - Accent3 5 7 2 5" xfId="34386" xr:uid="{00000000-0005-0000-0000-000007650000}"/>
    <cellStyle name="40% - Accent3 5 7 3" xfId="8821" xr:uid="{00000000-0005-0000-0000-000008650000}"/>
    <cellStyle name="40% - Accent3 5 7 4" xfId="15922" xr:uid="{00000000-0005-0000-0000-000009650000}"/>
    <cellStyle name="40% - Accent3 5 7 5" xfId="23024" xr:uid="{00000000-0005-0000-0000-00000A650000}"/>
    <cellStyle name="40% - Accent3 5 7 6" xfId="30126" xr:uid="{00000000-0005-0000-0000-00000B650000}"/>
    <cellStyle name="40% - Accent3 5 7 7" xfId="39386" xr:uid="{00000000-0005-0000-0000-00000C650000}"/>
    <cellStyle name="40% - Accent3 5 8" xfId="4560" xr:uid="{00000000-0005-0000-0000-00000D650000}"/>
    <cellStyle name="40% - Accent3 5 8 2" xfId="11661" xr:uid="{00000000-0005-0000-0000-00000E650000}"/>
    <cellStyle name="40% - Accent3 5 8 3" xfId="18762" xr:uid="{00000000-0005-0000-0000-00000F650000}"/>
    <cellStyle name="40% - Accent3 5 8 4" xfId="25864" xr:uid="{00000000-0005-0000-0000-000010650000}"/>
    <cellStyle name="40% - Accent3 5 8 5" xfId="32966" xr:uid="{00000000-0005-0000-0000-000011650000}"/>
    <cellStyle name="40% - Accent3 5 9" xfId="3135" xr:uid="{00000000-0005-0000-0000-000012650000}"/>
    <cellStyle name="40% - Accent3 5 9 2" xfId="10241" xr:uid="{00000000-0005-0000-0000-000013650000}"/>
    <cellStyle name="40% - Accent3 5 9 3" xfId="17342" xr:uid="{00000000-0005-0000-0000-000014650000}"/>
    <cellStyle name="40% - Accent3 5 9 4" xfId="24444" xr:uid="{00000000-0005-0000-0000-000015650000}"/>
    <cellStyle name="40% - Accent3 5 9 5" xfId="31546" xr:uid="{00000000-0005-0000-0000-000016650000}"/>
    <cellStyle name="40% - Accent3 6" xfId="150" xr:uid="{00000000-0005-0000-0000-000017650000}"/>
    <cellStyle name="40% - Accent3 6 10" xfId="7330" xr:uid="{00000000-0005-0000-0000-000018650000}"/>
    <cellStyle name="40% - Accent3 6 11" xfId="14431" xr:uid="{00000000-0005-0000-0000-000019650000}"/>
    <cellStyle name="40% - Accent3 6 12" xfId="21533" xr:uid="{00000000-0005-0000-0000-00001A650000}"/>
    <cellStyle name="40% - Accent3 6 13" xfId="28635" xr:uid="{00000000-0005-0000-0000-00001B650000}"/>
    <cellStyle name="40% - Accent3 6 14" xfId="35737" xr:uid="{00000000-0005-0000-0000-00001C650000}"/>
    <cellStyle name="40% - Accent3 6 15" xfId="39387" xr:uid="{00000000-0005-0000-0000-00001D650000}"/>
    <cellStyle name="40% - Accent3 6 2" xfId="364" xr:uid="{00000000-0005-0000-0000-00001E650000}"/>
    <cellStyle name="40% - Accent3 6 2 2" xfId="1855" xr:uid="{00000000-0005-0000-0000-00001F650000}"/>
    <cellStyle name="40% - Accent3 6 2 2 2" xfId="6123" xr:uid="{00000000-0005-0000-0000-000020650000}"/>
    <cellStyle name="40% - Accent3 6 2 2 2 2" xfId="13223" xr:uid="{00000000-0005-0000-0000-000021650000}"/>
    <cellStyle name="40% - Accent3 6 2 2 2 3" xfId="20324" xr:uid="{00000000-0005-0000-0000-000022650000}"/>
    <cellStyle name="40% - Accent3 6 2 2 2 4" xfId="27426" xr:uid="{00000000-0005-0000-0000-000023650000}"/>
    <cellStyle name="40% - Accent3 6 2 2 2 5" xfId="34528" xr:uid="{00000000-0005-0000-0000-000024650000}"/>
    <cellStyle name="40% - Accent3 6 2 2 2 6" xfId="39388" xr:uid="{00000000-0005-0000-0000-000025650000}"/>
    <cellStyle name="40% - Accent3 6 2 2 3" xfId="8963" xr:uid="{00000000-0005-0000-0000-000026650000}"/>
    <cellStyle name="40% - Accent3 6 2 2 4" xfId="16064" xr:uid="{00000000-0005-0000-0000-000027650000}"/>
    <cellStyle name="40% - Accent3 6 2 2 5" xfId="23166" xr:uid="{00000000-0005-0000-0000-000028650000}"/>
    <cellStyle name="40% - Accent3 6 2 2 6" xfId="30268" xr:uid="{00000000-0005-0000-0000-000029650000}"/>
    <cellStyle name="40% - Accent3 6 2 2 7" xfId="39389" xr:uid="{00000000-0005-0000-0000-00002A650000}"/>
    <cellStyle name="40% - Accent3 6 2 3" xfId="4702" xr:uid="{00000000-0005-0000-0000-00002B650000}"/>
    <cellStyle name="40% - Accent3 6 2 3 2" xfId="11803" xr:uid="{00000000-0005-0000-0000-00002C650000}"/>
    <cellStyle name="40% - Accent3 6 2 3 2 2" xfId="39390" xr:uid="{00000000-0005-0000-0000-00002D650000}"/>
    <cellStyle name="40% - Accent3 6 2 3 3" xfId="18904" xr:uid="{00000000-0005-0000-0000-00002E650000}"/>
    <cellStyle name="40% - Accent3 6 2 3 4" xfId="26006" xr:uid="{00000000-0005-0000-0000-00002F650000}"/>
    <cellStyle name="40% - Accent3 6 2 3 5" xfId="33108" xr:uid="{00000000-0005-0000-0000-000030650000}"/>
    <cellStyle name="40% - Accent3 6 2 3 6" xfId="39391" xr:uid="{00000000-0005-0000-0000-000031650000}"/>
    <cellStyle name="40% - Accent3 6 2 4" xfId="3277" xr:uid="{00000000-0005-0000-0000-000032650000}"/>
    <cellStyle name="40% - Accent3 6 2 4 2" xfId="10383" xr:uid="{00000000-0005-0000-0000-000033650000}"/>
    <cellStyle name="40% - Accent3 6 2 4 3" xfId="17484" xr:uid="{00000000-0005-0000-0000-000034650000}"/>
    <cellStyle name="40% - Accent3 6 2 4 4" xfId="24586" xr:uid="{00000000-0005-0000-0000-000035650000}"/>
    <cellStyle name="40% - Accent3 6 2 4 5" xfId="31688" xr:uid="{00000000-0005-0000-0000-000036650000}"/>
    <cellStyle name="40% - Accent3 6 2 4 6" xfId="39392" xr:uid="{00000000-0005-0000-0000-000037650000}"/>
    <cellStyle name="40% - Accent3 6 2 5" xfId="7543" xr:uid="{00000000-0005-0000-0000-000038650000}"/>
    <cellStyle name="40% - Accent3 6 2 6" xfId="14644" xr:uid="{00000000-0005-0000-0000-000039650000}"/>
    <cellStyle name="40% - Accent3 6 2 7" xfId="21746" xr:uid="{00000000-0005-0000-0000-00003A650000}"/>
    <cellStyle name="40% - Accent3 6 2 8" xfId="28848" xr:uid="{00000000-0005-0000-0000-00003B650000}"/>
    <cellStyle name="40% - Accent3 6 2 9" xfId="39393" xr:uid="{00000000-0005-0000-0000-00003C650000}"/>
    <cellStyle name="40% - Accent3 6 3" xfId="577" xr:uid="{00000000-0005-0000-0000-00003D650000}"/>
    <cellStyle name="40% - Accent3 6 3 2" xfId="2068" xr:uid="{00000000-0005-0000-0000-00003E650000}"/>
    <cellStyle name="40% - Accent3 6 3 2 2" xfId="6336" xr:uid="{00000000-0005-0000-0000-00003F650000}"/>
    <cellStyle name="40% - Accent3 6 3 2 2 2" xfId="13436" xr:uid="{00000000-0005-0000-0000-000040650000}"/>
    <cellStyle name="40% - Accent3 6 3 2 2 3" xfId="20537" xr:uid="{00000000-0005-0000-0000-000041650000}"/>
    <cellStyle name="40% - Accent3 6 3 2 2 4" xfId="27639" xr:uid="{00000000-0005-0000-0000-000042650000}"/>
    <cellStyle name="40% - Accent3 6 3 2 2 5" xfId="34741" xr:uid="{00000000-0005-0000-0000-000043650000}"/>
    <cellStyle name="40% - Accent3 6 3 2 2 6" xfId="39394" xr:uid="{00000000-0005-0000-0000-000044650000}"/>
    <cellStyle name="40% - Accent3 6 3 2 3" xfId="9176" xr:uid="{00000000-0005-0000-0000-000045650000}"/>
    <cellStyle name="40% - Accent3 6 3 2 4" xfId="16277" xr:uid="{00000000-0005-0000-0000-000046650000}"/>
    <cellStyle name="40% - Accent3 6 3 2 5" xfId="23379" xr:uid="{00000000-0005-0000-0000-000047650000}"/>
    <cellStyle name="40% - Accent3 6 3 2 6" xfId="30481" xr:uid="{00000000-0005-0000-0000-000048650000}"/>
    <cellStyle name="40% - Accent3 6 3 2 7" xfId="39395" xr:uid="{00000000-0005-0000-0000-000049650000}"/>
    <cellStyle name="40% - Accent3 6 3 3" xfId="4915" xr:uid="{00000000-0005-0000-0000-00004A650000}"/>
    <cellStyle name="40% - Accent3 6 3 3 2" xfId="12016" xr:uid="{00000000-0005-0000-0000-00004B650000}"/>
    <cellStyle name="40% - Accent3 6 3 3 2 2" xfId="39396" xr:uid="{00000000-0005-0000-0000-00004C650000}"/>
    <cellStyle name="40% - Accent3 6 3 3 3" xfId="19117" xr:uid="{00000000-0005-0000-0000-00004D650000}"/>
    <cellStyle name="40% - Accent3 6 3 3 4" xfId="26219" xr:uid="{00000000-0005-0000-0000-00004E650000}"/>
    <cellStyle name="40% - Accent3 6 3 3 5" xfId="33321" xr:uid="{00000000-0005-0000-0000-00004F650000}"/>
    <cellStyle name="40% - Accent3 6 3 3 6" xfId="39397" xr:uid="{00000000-0005-0000-0000-000050650000}"/>
    <cellStyle name="40% - Accent3 6 3 4" xfId="3490" xr:uid="{00000000-0005-0000-0000-000051650000}"/>
    <cellStyle name="40% - Accent3 6 3 4 2" xfId="10596" xr:uid="{00000000-0005-0000-0000-000052650000}"/>
    <cellStyle name="40% - Accent3 6 3 4 3" xfId="17697" xr:uid="{00000000-0005-0000-0000-000053650000}"/>
    <cellStyle name="40% - Accent3 6 3 4 4" xfId="24799" xr:uid="{00000000-0005-0000-0000-000054650000}"/>
    <cellStyle name="40% - Accent3 6 3 4 5" xfId="31901" xr:uid="{00000000-0005-0000-0000-000055650000}"/>
    <cellStyle name="40% - Accent3 6 3 4 6" xfId="39398" xr:uid="{00000000-0005-0000-0000-000056650000}"/>
    <cellStyle name="40% - Accent3 6 3 5" xfId="7756" xr:uid="{00000000-0005-0000-0000-000057650000}"/>
    <cellStyle name="40% - Accent3 6 3 6" xfId="14857" xr:uid="{00000000-0005-0000-0000-000058650000}"/>
    <cellStyle name="40% - Accent3 6 3 7" xfId="21959" xr:uid="{00000000-0005-0000-0000-000059650000}"/>
    <cellStyle name="40% - Accent3 6 3 8" xfId="29061" xr:uid="{00000000-0005-0000-0000-00005A650000}"/>
    <cellStyle name="40% - Accent3 6 3 9" xfId="39399" xr:uid="{00000000-0005-0000-0000-00005B650000}"/>
    <cellStyle name="40% - Accent3 6 4" xfId="790" xr:uid="{00000000-0005-0000-0000-00005C650000}"/>
    <cellStyle name="40% - Accent3 6 4 2" xfId="2281" xr:uid="{00000000-0005-0000-0000-00005D650000}"/>
    <cellStyle name="40% - Accent3 6 4 2 2" xfId="6549" xr:uid="{00000000-0005-0000-0000-00005E650000}"/>
    <cellStyle name="40% - Accent3 6 4 2 2 2" xfId="13649" xr:uid="{00000000-0005-0000-0000-00005F650000}"/>
    <cellStyle name="40% - Accent3 6 4 2 2 3" xfId="20750" xr:uid="{00000000-0005-0000-0000-000060650000}"/>
    <cellStyle name="40% - Accent3 6 4 2 2 4" xfId="27852" xr:uid="{00000000-0005-0000-0000-000061650000}"/>
    <cellStyle name="40% - Accent3 6 4 2 2 5" xfId="34954" xr:uid="{00000000-0005-0000-0000-000062650000}"/>
    <cellStyle name="40% - Accent3 6 4 2 2 6" xfId="39400" xr:uid="{00000000-0005-0000-0000-000063650000}"/>
    <cellStyle name="40% - Accent3 6 4 2 3" xfId="9389" xr:uid="{00000000-0005-0000-0000-000064650000}"/>
    <cellStyle name="40% - Accent3 6 4 2 4" xfId="16490" xr:uid="{00000000-0005-0000-0000-000065650000}"/>
    <cellStyle name="40% - Accent3 6 4 2 5" xfId="23592" xr:uid="{00000000-0005-0000-0000-000066650000}"/>
    <cellStyle name="40% - Accent3 6 4 2 6" xfId="30694" xr:uid="{00000000-0005-0000-0000-000067650000}"/>
    <cellStyle name="40% - Accent3 6 4 2 7" xfId="39401" xr:uid="{00000000-0005-0000-0000-000068650000}"/>
    <cellStyle name="40% - Accent3 6 4 3" xfId="5128" xr:uid="{00000000-0005-0000-0000-000069650000}"/>
    <cellStyle name="40% - Accent3 6 4 3 2" xfId="12229" xr:uid="{00000000-0005-0000-0000-00006A650000}"/>
    <cellStyle name="40% - Accent3 6 4 3 2 2" xfId="39402" xr:uid="{00000000-0005-0000-0000-00006B650000}"/>
    <cellStyle name="40% - Accent3 6 4 3 3" xfId="19330" xr:uid="{00000000-0005-0000-0000-00006C650000}"/>
    <cellStyle name="40% - Accent3 6 4 3 4" xfId="26432" xr:uid="{00000000-0005-0000-0000-00006D650000}"/>
    <cellStyle name="40% - Accent3 6 4 3 5" xfId="33534" xr:uid="{00000000-0005-0000-0000-00006E650000}"/>
    <cellStyle name="40% - Accent3 6 4 3 6" xfId="39403" xr:uid="{00000000-0005-0000-0000-00006F650000}"/>
    <cellStyle name="40% - Accent3 6 4 4" xfId="3703" xr:uid="{00000000-0005-0000-0000-000070650000}"/>
    <cellStyle name="40% - Accent3 6 4 4 2" xfId="10809" xr:uid="{00000000-0005-0000-0000-000071650000}"/>
    <cellStyle name="40% - Accent3 6 4 4 3" xfId="17910" xr:uid="{00000000-0005-0000-0000-000072650000}"/>
    <cellStyle name="40% - Accent3 6 4 4 4" xfId="25012" xr:uid="{00000000-0005-0000-0000-000073650000}"/>
    <cellStyle name="40% - Accent3 6 4 4 5" xfId="32114" xr:uid="{00000000-0005-0000-0000-000074650000}"/>
    <cellStyle name="40% - Accent3 6 4 4 6" xfId="39404" xr:uid="{00000000-0005-0000-0000-000075650000}"/>
    <cellStyle name="40% - Accent3 6 4 5" xfId="7969" xr:uid="{00000000-0005-0000-0000-000076650000}"/>
    <cellStyle name="40% - Accent3 6 4 6" xfId="15070" xr:uid="{00000000-0005-0000-0000-000077650000}"/>
    <cellStyle name="40% - Accent3 6 4 7" xfId="22172" xr:uid="{00000000-0005-0000-0000-000078650000}"/>
    <cellStyle name="40% - Accent3 6 4 8" xfId="29274" xr:uid="{00000000-0005-0000-0000-000079650000}"/>
    <cellStyle name="40% - Accent3 6 4 9" xfId="39405" xr:uid="{00000000-0005-0000-0000-00007A650000}"/>
    <cellStyle name="40% - Accent3 6 5" xfId="1145" xr:uid="{00000000-0005-0000-0000-00007B650000}"/>
    <cellStyle name="40% - Accent3 6 5 2" xfId="2636" xr:uid="{00000000-0005-0000-0000-00007C650000}"/>
    <cellStyle name="40% - Accent3 6 5 2 2" xfId="6904" xr:uid="{00000000-0005-0000-0000-00007D650000}"/>
    <cellStyle name="40% - Accent3 6 5 2 2 2" xfId="14004" xr:uid="{00000000-0005-0000-0000-00007E650000}"/>
    <cellStyle name="40% - Accent3 6 5 2 2 3" xfId="21105" xr:uid="{00000000-0005-0000-0000-00007F650000}"/>
    <cellStyle name="40% - Accent3 6 5 2 2 4" xfId="28207" xr:uid="{00000000-0005-0000-0000-000080650000}"/>
    <cellStyle name="40% - Accent3 6 5 2 2 5" xfId="35309" xr:uid="{00000000-0005-0000-0000-000081650000}"/>
    <cellStyle name="40% - Accent3 6 5 2 3" xfId="9744" xr:uid="{00000000-0005-0000-0000-000082650000}"/>
    <cellStyle name="40% - Accent3 6 5 2 4" xfId="16845" xr:uid="{00000000-0005-0000-0000-000083650000}"/>
    <cellStyle name="40% - Accent3 6 5 2 5" xfId="23947" xr:uid="{00000000-0005-0000-0000-000084650000}"/>
    <cellStyle name="40% - Accent3 6 5 2 6" xfId="31049" xr:uid="{00000000-0005-0000-0000-000085650000}"/>
    <cellStyle name="40% - Accent3 6 5 2 7" xfId="39406" xr:uid="{00000000-0005-0000-0000-000086650000}"/>
    <cellStyle name="40% - Accent3 6 5 3" xfId="5483" xr:uid="{00000000-0005-0000-0000-000087650000}"/>
    <cellStyle name="40% - Accent3 6 5 3 2" xfId="12584" xr:uid="{00000000-0005-0000-0000-000088650000}"/>
    <cellStyle name="40% - Accent3 6 5 3 3" xfId="19685" xr:uid="{00000000-0005-0000-0000-000089650000}"/>
    <cellStyle name="40% - Accent3 6 5 3 4" xfId="26787" xr:uid="{00000000-0005-0000-0000-00008A650000}"/>
    <cellStyle name="40% - Accent3 6 5 3 5" xfId="33889" xr:uid="{00000000-0005-0000-0000-00008B650000}"/>
    <cellStyle name="40% - Accent3 6 5 4" xfId="4058" xr:uid="{00000000-0005-0000-0000-00008C650000}"/>
    <cellStyle name="40% - Accent3 6 5 4 2" xfId="11164" xr:uid="{00000000-0005-0000-0000-00008D650000}"/>
    <cellStyle name="40% - Accent3 6 5 4 3" xfId="18265" xr:uid="{00000000-0005-0000-0000-00008E650000}"/>
    <cellStyle name="40% - Accent3 6 5 4 4" xfId="25367" xr:uid="{00000000-0005-0000-0000-00008F650000}"/>
    <cellStyle name="40% - Accent3 6 5 4 5" xfId="32469" xr:uid="{00000000-0005-0000-0000-000090650000}"/>
    <cellStyle name="40% - Accent3 6 5 5" xfId="8324" xr:uid="{00000000-0005-0000-0000-000091650000}"/>
    <cellStyle name="40% - Accent3 6 5 6" xfId="15425" xr:uid="{00000000-0005-0000-0000-000092650000}"/>
    <cellStyle name="40% - Accent3 6 5 7" xfId="22527" xr:uid="{00000000-0005-0000-0000-000093650000}"/>
    <cellStyle name="40% - Accent3 6 5 8" xfId="29629" xr:uid="{00000000-0005-0000-0000-000094650000}"/>
    <cellStyle name="40% - Accent3 6 5 9" xfId="39407" xr:uid="{00000000-0005-0000-0000-000095650000}"/>
    <cellStyle name="40% - Accent3 6 6" xfId="1358" xr:uid="{00000000-0005-0000-0000-000096650000}"/>
    <cellStyle name="40% - Accent3 6 6 2" xfId="2849" xr:uid="{00000000-0005-0000-0000-000097650000}"/>
    <cellStyle name="40% - Accent3 6 6 2 2" xfId="7117" xr:uid="{00000000-0005-0000-0000-000098650000}"/>
    <cellStyle name="40% - Accent3 6 6 2 2 2" xfId="14217" xr:uid="{00000000-0005-0000-0000-000099650000}"/>
    <cellStyle name="40% - Accent3 6 6 2 2 3" xfId="21318" xr:uid="{00000000-0005-0000-0000-00009A650000}"/>
    <cellStyle name="40% - Accent3 6 6 2 2 4" xfId="28420" xr:uid="{00000000-0005-0000-0000-00009B650000}"/>
    <cellStyle name="40% - Accent3 6 6 2 2 5" xfId="35522" xr:uid="{00000000-0005-0000-0000-00009C650000}"/>
    <cellStyle name="40% - Accent3 6 6 2 3" xfId="9957" xr:uid="{00000000-0005-0000-0000-00009D650000}"/>
    <cellStyle name="40% - Accent3 6 6 2 4" xfId="17058" xr:uid="{00000000-0005-0000-0000-00009E650000}"/>
    <cellStyle name="40% - Accent3 6 6 2 5" xfId="24160" xr:uid="{00000000-0005-0000-0000-00009F650000}"/>
    <cellStyle name="40% - Accent3 6 6 2 6" xfId="31262" xr:uid="{00000000-0005-0000-0000-0000A0650000}"/>
    <cellStyle name="40% - Accent3 6 6 2 7" xfId="39408" xr:uid="{00000000-0005-0000-0000-0000A1650000}"/>
    <cellStyle name="40% - Accent3 6 6 3" xfId="5696" xr:uid="{00000000-0005-0000-0000-0000A2650000}"/>
    <cellStyle name="40% - Accent3 6 6 3 2" xfId="12797" xr:uid="{00000000-0005-0000-0000-0000A3650000}"/>
    <cellStyle name="40% - Accent3 6 6 3 3" xfId="19898" xr:uid="{00000000-0005-0000-0000-0000A4650000}"/>
    <cellStyle name="40% - Accent3 6 6 3 4" xfId="27000" xr:uid="{00000000-0005-0000-0000-0000A5650000}"/>
    <cellStyle name="40% - Accent3 6 6 3 5" xfId="34102" xr:uid="{00000000-0005-0000-0000-0000A6650000}"/>
    <cellStyle name="40% - Accent3 6 6 4" xfId="4271" xr:uid="{00000000-0005-0000-0000-0000A7650000}"/>
    <cellStyle name="40% - Accent3 6 6 4 2" xfId="11377" xr:uid="{00000000-0005-0000-0000-0000A8650000}"/>
    <cellStyle name="40% - Accent3 6 6 4 3" xfId="18478" xr:uid="{00000000-0005-0000-0000-0000A9650000}"/>
    <cellStyle name="40% - Accent3 6 6 4 4" xfId="25580" xr:uid="{00000000-0005-0000-0000-0000AA650000}"/>
    <cellStyle name="40% - Accent3 6 6 4 5" xfId="32682" xr:uid="{00000000-0005-0000-0000-0000AB650000}"/>
    <cellStyle name="40% - Accent3 6 6 5" xfId="8537" xr:uid="{00000000-0005-0000-0000-0000AC650000}"/>
    <cellStyle name="40% - Accent3 6 6 6" xfId="15638" xr:uid="{00000000-0005-0000-0000-0000AD650000}"/>
    <cellStyle name="40% - Accent3 6 6 7" xfId="22740" xr:uid="{00000000-0005-0000-0000-0000AE650000}"/>
    <cellStyle name="40% - Accent3 6 6 8" xfId="29842" xr:uid="{00000000-0005-0000-0000-0000AF650000}"/>
    <cellStyle name="40% - Accent3 6 6 9" xfId="39409" xr:uid="{00000000-0005-0000-0000-0000B0650000}"/>
    <cellStyle name="40% - Accent3 6 7" xfId="1642" xr:uid="{00000000-0005-0000-0000-0000B1650000}"/>
    <cellStyle name="40% - Accent3 6 7 2" xfId="5910" xr:uid="{00000000-0005-0000-0000-0000B2650000}"/>
    <cellStyle name="40% - Accent3 6 7 2 2" xfId="13010" xr:uid="{00000000-0005-0000-0000-0000B3650000}"/>
    <cellStyle name="40% - Accent3 6 7 2 3" xfId="20111" xr:uid="{00000000-0005-0000-0000-0000B4650000}"/>
    <cellStyle name="40% - Accent3 6 7 2 4" xfId="27213" xr:uid="{00000000-0005-0000-0000-0000B5650000}"/>
    <cellStyle name="40% - Accent3 6 7 2 5" xfId="34315" xr:uid="{00000000-0005-0000-0000-0000B6650000}"/>
    <cellStyle name="40% - Accent3 6 7 3" xfId="8750" xr:uid="{00000000-0005-0000-0000-0000B7650000}"/>
    <cellStyle name="40% - Accent3 6 7 4" xfId="15851" xr:uid="{00000000-0005-0000-0000-0000B8650000}"/>
    <cellStyle name="40% - Accent3 6 7 5" xfId="22953" xr:uid="{00000000-0005-0000-0000-0000B9650000}"/>
    <cellStyle name="40% - Accent3 6 7 6" xfId="30055" xr:uid="{00000000-0005-0000-0000-0000BA650000}"/>
    <cellStyle name="40% - Accent3 6 7 7" xfId="39410" xr:uid="{00000000-0005-0000-0000-0000BB650000}"/>
    <cellStyle name="40% - Accent3 6 8" xfId="4489" xr:uid="{00000000-0005-0000-0000-0000BC650000}"/>
    <cellStyle name="40% - Accent3 6 8 2" xfId="11590" xr:uid="{00000000-0005-0000-0000-0000BD650000}"/>
    <cellStyle name="40% - Accent3 6 8 3" xfId="18691" xr:uid="{00000000-0005-0000-0000-0000BE650000}"/>
    <cellStyle name="40% - Accent3 6 8 4" xfId="25793" xr:uid="{00000000-0005-0000-0000-0000BF650000}"/>
    <cellStyle name="40% - Accent3 6 8 5" xfId="32895" xr:uid="{00000000-0005-0000-0000-0000C0650000}"/>
    <cellStyle name="40% - Accent3 6 9" xfId="3064" xr:uid="{00000000-0005-0000-0000-0000C1650000}"/>
    <cellStyle name="40% - Accent3 6 9 2" xfId="10170" xr:uid="{00000000-0005-0000-0000-0000C2650000}"/>
    <cellStyle name="40% - Accent3 6 9 3" xfId="17271" xr:uid="{00000000-0005-0000-0000-0000C3650000}"/>
    <cellStyle name="40% - Accent3 6 9 4" xfId="24373" xr:uid="{00000000-0005-0000-0000-0000C4650000}"/>
    <cellStyle name="40% - Accent3 6 9 5" xfId="31475" xr:uid="{00000000-0005-0000-0000-0000C5650000}"/>
    <cellStyle name="40% - Accent3 7" xfId="293" xr:uid="{00000000-0005-0000-0000-0000C6650000}"/>
    <cellStyle name="40% - Accent3 7 10" xfId="39411" xr:uid="{00000000-0005-0000-0000-0000C7650000}"/>
    <cellStyle name="40% - Accent3 7 2" xfId="1074" xr:uid="{00000000-0005-0000-0000-0000C8650000}"/>
    <cellStyle name="40% - Accent3 7 2 2" xfId="2565" xr:uid="{00000000-0005-0000-0000-0000C9650000}"/>
    <cellStyle name="40% - Accent3 7 2 2 2" xfId="6833" xr:uid="{00000000-0005-0000-0000-0000CA650000}"/>
    <cellStyle name="40% - Accent3 7 2 2 2 2" xfId="13933" xr:uid="{00000000-0005-0000-0000-0000CB650000}"/>
    <cellStyle name="40% - Accent3 7 2 2 2 3" xfId="21034" xr:uid="{00000000-0005-0000-0000-0000CC650000}"/>
    <cellStyle name="40% - Accent3 7 2 2 2 4" xfId="28136" xr:uid="{00000000-0005-0000-0000-0000CD650000}"/>
    <cellStyle name="40% - Accent3 7 2 2 2 5" xfId="35238" xr:uid="{00000000-0005-0000-0000-0000CE650000}"/>
    <cellStyle name="40% - Accent3 7 2 2 3" xfId="9673" xr:uid="{00000000-0005-0000-0000-0000CF650000}"/>
    <cellStyle name="40% - Accent3 7 2 2 4" xfId="16774" xr:uid="{00000000-0005-0000-0000-0000D0650000}"/>
    <cellStyle name="40% - Accent3 7 2 2 5" xfId="23876" xr:uid="{00000000-0005-0000-0000-0000D1650000}"/>
    <cellStyle name="40% - Accent3 7 2 2 6" xfId="30978" xr:uid="{00000000-0005-0000-0000-0000D2650000}"/>
    <cellStyle name="40% - Accent3 7 2 2 7" xfId="39412" xr:uid="{00000000-0005-0000-0000-0000D3650000}"/>
    <cellStyle name="40% - Accent3 7 2 3" xfId="5412" xr:uid="{00000000-0005-0000-0000-0000D4650000}"/>
    <cellStyle name="40% - Accent3 7 2 3 2" xfId="12513" xr:uid="{00000000-0005-0000-0000-0000D5650000}"/>
    <cellStyle name="40% - Accent3 7 2 3 3" xfId="19614" xr:uid="{00000000-0005-0000-0000-0000D6650000}"/>
    <cellStyle name="40% - Accent3 7 2 3 4" xfId="26716" xr:uid="{00000000-0005-0000-0000-0000D7650000}"/>
    <cellStyle name="40% - Accent3 7 2 3 5" xfId="33818" xr:uid="{00000000-0005-0000-0000-0000D8650000}"/>
    <cellStyle name="40% - Accent3 7 2 4" xfId="3987" xr:uid="{00000000-0005-0000-0000-0000D9650000}"/>
    <cellStyle name="40% - Accent3 7 2 4 2" xfId="11093" xr:uid="{00000000-0005-0000-0000-0000DA650000}"/>
    <cellStyle name="40% - Accent3 7 2 4 3" xfId="18194" xr:uid="{00000000-0005-0000-0000-0000DB650000}"/>
    <cellStyle name="40% - Accent3 7 2 4 4" xfId="25296" xr:uid="{00000000-0005-0000-0000-0000DC650000}"/>
    <cellStyle name="40% - Accent3 7 2 4 5" xfId="32398" xr:uid="{00000000-0005-0000-0000-0000DD650000}"/>
    <cellStyle name="40% - Accent3 7 2 5" xfId="8253" xr:uid="{00000000-0005-0000-0000-0000DE650000}"/>
    <cellStyle name="40% - Accent3 7 2 6" xfId="15354" xr:uid="{00000000-0005-0000-0000-0000DF650000}"/>
    <cellStyle name="40% - Accent3 7 2 7" xfId="22456" xr:uid="{00000000-0005-0000-0000-0000E0650000}"/>
    <cellStyle name="40% - Accent3 7 2 8" xfId="29558" xr:uid="{00000000-0005-0000-0000-0000E1650000}"/>
    <cellStyle name="40% - Accent3 7 2 9" xfId="39413" xr:uid="{00000000-0005-0000-0000-0000E2650000}"/>
    <cellStyle name="40% - Accent3 7 3" xfId="1784" xr:uid="{00000000-0005-0000-0000-0000E3650000}"/>
    <cellStyle name="40% - Accent3 7 3 2" xfId="6052" xr:uid="{00000000-0005-0000-0000-0000E4650000}"/>
    <cellStyle name="40% - Accent3 7 3 2 2" xfId="13152" xr:uid="{00000000-0005-0000-0000-0000E5650000}"/>
    <cellStyle name="40% - Accent3 7 3 2 3" xfId="20253" xr:uid="{00000000-0005-0000-0000-0000E6650000}"/>
    <cellStyle name="40% - Accent3 7 3 2 4" xfId="27355" xr:uid="{00000000-0005-0000-0000-0000E7650000}"/>
    <cellStyle name="40% - Accent3 7 3 2 5" xfId="34457" xr:uid="{00000000-0005-0000-0000-0000E8650000}"/>
    <cellStyle name="40% - Accent3 7 3 2 6" xfId="39414" xr:uid="{00000000-0005-0000-0000-0000E9650000}"/>
    <cellStyle name="40% - Accent3 7 3 3" xfId="8892" xr:uid="{00000000-0005-0000-0000-0000EA650000}"/>
    <cellStyle name="40% - Accent3 7 3 4" xfId="15993" xr:uid="{00000000-0005-0000-0000-0000EB650000}"/>
    <cellStyle name="40% - Accent3 7 3 5" xfId="23095" xr:uid="{00000000-0005-0000-0000-0000EC650000}"/>
    <cellStyle name="40% - Accent3 7 3 6" xfId="30197" xr:uid="{00000000-0005-0000-0000-0000ED650000}"/>
    <cellStyle name="40% - Accent3 7 3 7" xfId="39415" xr:uid="{00000000-0005-0000-0000-0000EE650000}"/>
    <cellStyle name="40% - Accent3 7 4" xfId="4631" xr:uid="{00000000-0005-0000-0000-0000EF650000}"/>
    <cellStyle name="40% - Accent3 7 4 2" xfId="11732" xr:uid="{00000000-0005-0000-0000-0000F0650000}"/>
    <cellStyle name="40% - Accent3 7 4 3" xfId="18833" xr:uid="{00000000-0005-0000-0000-0000F1650000}"/>
    <cellStyle name="40% - Accent3 7 4 4" xfId="25935" xr:uid="{00000000-0005-0000-0000-0000F2650000}"/>
    <cellStyle name="40% - Accent3 7 4 5" xfId="33037" xr:uid="{00000000-0005-0000-0000-0000F3650000}"/>
    <cellStyle name="40% - Accent3 7 4 6" xfId="39416" xr:uid="{00000000-0005-0000-0000-0000F4650000}"/>
    <cellStyle name="40% - Accent3 7 5" xfId="3206" xr:uid="{00000000-0005-0000-0000-0000F5650000}"/>
    <cellStyle name="40% - Accent3 7 5 2" xfId="10312" xr:uid="{00000000-0005-0000-0000-0000F6650000}"/>
    <cellStyle name="40% - Accent3 7 5 3" xfId="17413" xr:uid="{00000000-0005-0000-0000-0000F7650000}"/>
    <cellStyle name="40% - Accent3 7 5 4" xfId="24515" xr:uid="{00000000-0005-0000-0000-0000F8650000}"/>
    <cellStyle name="40% - Accent3 7 5 5" xfId="31617" xr:uid="{00000000-0005-0000-0000-0000F9650000}"/>
    <cellStyle name="40% - Accent3 7 6" xfId="7472" xr:uid="{00000000-0005-0000-0000-0000FA650000}"/>
    <cellStyle name="40% - Accent3 7 7" xfId="14573" xr:uid="{00000000-0005-0000-0000-0000FB650000}"/>
    <cellStyle name="40% - Accent3 7 8" xfId="21675" xr:uid="{00000000-0005-0000-0000-0000FC650000}"/>
    <cellStyle name="40% - Accent3 7 9" xfId="28777" xr:uid="{00000000-0005-0000-0000-0000FD650000}"/>
    <cellStyle name="40% - Accent3 8" xfId="506" xr:uid="{00000000-0005-0000-0000-0000FE650000}"/>
    <cellStyle name="40% - Accent3 8 2" xfId="1997" xr:uid="{00000000-0005-0000-0000-0000FF650000}"/>
    <cellStyle name="40% - Accent3 8 2 2" xfId="6265" xr:uid="{00000000-0005-0000-0000-000000660000}"/>
    <cellStyle name="40% - Accent3 8 2 2 2" xfId="13365" xr:uid="{00000000-0005-0000-0000-000001660000}"/>
    <cellStyle name="40% - Accent3 8 2 2 3" xfId="20466" xr:uid="{00000000-0005-0000-0000-000002660000}"/>
    <cellStyle name="40% - Accent3 8 2 2 4" xfId="27568" xr:uid="{00000000-0005-0000-0000-000003660000}"/>
    <cellStyle name="40% - Accent3 8 2 2 5" xfId="34670" xr:uid="{00000000-0005-0000-0000-000004660000}"/>
    <cellStyle name="40% - Accent3 8 2 2 6" xfId="39417" xr:uid="{00000000-0005-0000-0000-000005660000}"/>
    <cellStyle name="40% - Accent3 8 2 3" xfId="9105" xr:uid="{00000000-0005-0000-0000-000006660000}"/>
    <cellStyle name="40% - Accent3 8 2 4" xfId="16206" xr:uid="{00000000-0005-0000-0000-000007660000}"/>
    <cellStyle name="40% - Accent3 8 2 5" xfId="23308" xr:uid="{00000000-0005-0000-0000-000008660000}"/>
    <cellStyle name="40% - Accent3 8 2 6" xfId="30410" xr:uid="{00000000-0005-0000-0000-000009660000}"/>
    <cellStyle name="40% - Accent3 8 2 7" xfId="39418" xr:uid="{00000000-0005-0000-0000-00000A660000}"/>
    <cellStyle name="40% - Accent3 8 3" xfId="4844" xr:uid="{00000000-0005-0000-0000-00000B660000}"/>
    <cellStyle name="40% - Accent3 8 3 2" xfId="11945" xr:uid="{00000000-0005-0000-0000-00000C660000}"/>
    <cellStyle name="40% - Accent3 8 3 2 2" xfId="39419" xr:uid="{00000000-0005-0000-0000-00000D660000}"/>
    <cellStyle name="40% - Accent3 8 3 3" xfId="19046" xr:uid="{00000000-0005-0000-0000-00000E660000}"/>
    <cellStyle name="40% - Accent3 8 3 4" xfId="26148" xr:uid="{00000000-0005-0000-0000-00000F660000}"/>
    <cellStyle name="40% - Accent3 8 3 5" xfId="33250" xr:uid="{00000000-0005-0000-0000-000010660000}"/>
    <cellStyle name="40% - Accent3 8 3 6" xfId="39420" xr:uid="{00000000-0005-0000-0000-000011660000}"/>
    <cellStyle name="40% - Accent3 8 4" xfId="3419" xr:uid="{00000000-0005-0000-0000-000012660000}"/>
    <cellStyle name="40% - Accent3 8 4 2" xfId="10525" xr:uid="{00000000-0005-0000-0000-000013660000}"/>
    <cellStyle name="40% - Accent3 8 4 3" xfId="17626" xr:uid="{00000000-0005-0000-0000-000014660000}"/>
    <cellStyle name="40% - Accent3 8 4 4" xfId="24728" xr:uid="{00000000-0005-0000-0000-000015660000}"/>
    <cellStyle name="40% - Accent3 8 4 5" xfId="31830" xr:uid="{00000000-0005-0000-0000-000016660000}"/>
    <cellStyle name="40% - Accent3 8 4 6" xfId="39421" xr:uid="{00000000-0005-0000-0000-000017660000}"/>
    <cellStyle name="40% - Accent3 8 5" xfId="7685" xr:uid="{00000000-0005-0000-0000-000018660000}"/>
    <cellStyle name="40% - Accent3 8 6" xfId="14786" xr:uid="{00000000-0005-0000-0000-000019660000}"/>
    <cellStyle name="40% - Accent3 8 7" xfId="21888" xr:uid="{00000000-0005-0000-0000-00001A660000}"/>
    <cellStyle name="40% - Accent3 8 8" xfId="28990" xr:uid="{00000000-0005-0000-0000-00001B660000}"/>
    <cellStyle name="40% - Accent3 8 9" xfId="39422" xr:uid="{00000000-0005-0000-0000-00001C660000}"/>
    <cellStyle name="40% - Accent3 9" xfId="719" xr:uid="{00000000-0005-0000-0000-00001D660000}"/>
    <cellStyle name="40% - Accent3 9 2" xfId="2210" xr:uid="{00000000-0005-0000-0000-00001E660000}"/>
    <cellStyle name="40% - Accent3 9 2 2" xfId="6478" xr:uid="{00000000-0005-0000-0000-00001F660000}"/>
    <cellStyle name="40% - Accent3 9 2 2 2" xfId="13578" xr:uid="{00000000-0005-0000-0000-000020660000}"/>
    <cellStyle name="40% - Accent3 9 2 2 3" xfId="20679" xr:uid="{00000000-0005-0000-0000-000021660000}"/>
    <cellStyle name="40% - Accent3 9 2 2 4" xfId="27781" xr:uid="{00000000-0005-0000-0000-000022660000}"/>
    <cellStyle name="40% - Accent3 9 2 2 5" xfId="34883" xr:uid="{00000000-0005-0000-0000-000023660000}"/>
    <cellStyle name="40% - Accent3 9 2 2 6" xfId="39423" xr:uid="{00000000-0005-0000-0000-000024660000}"/>
    <cellStyle name="40% - Accent3 9 2 3" xfId="9318" xr:uid="{00000000-0005-0000-0000-000025660000}"/>
    <cellStyle name="40% - Accent3 9 2 4" xfId="16419" xr:uid="{00000000-0005-0000-0000-000026660000}"/>
    <cellStyle name="40% - Accent3 9 2 5" xfId="23521" xr:uid="{00000000-0005-0000-0000-000027660000}"/>
    <cellStyle name="40% - Accent3 9 2 6" xfId="30623" xr:uid="{00000000-0005-0000-0000-000028660000}"/>
    <cellStyle name="40% - Accent3 9 2 7" xfId="39424" xr:uid="{00000000-0005-0000-0000-000029660000}"/>
    <cellStyle name="40% - Accent3 9 3" xfId="5057" xr:uid="{00000000-0005-0000-0000-00002A660000}"/>
    <cellStyle name="40% - Accent3 9 3 2" xfId="12158" xr:uid="{00000000-0005-0000-0000-00002B660000}"/>
    <cellStyle name="40% - Accent3 9 3 2 2" xfId="39425" xr:uid="{00000000-0005-0000-0000-00002C660000}"/>
    <cellStyle name="40% - Accent3 9 3 3" xfId="19259" xr:uid="{00000000-0005-0000-0000-00002D660000}"/>
    <cellStyle name="40% - Accent3 9 3 4" xfId="26361" xr:uid="{00000000-0005-0000-0000-00002E660000}"/>
    <cellStyle name="40% - Accent3 9 3 5" xfId="33463" xr:uid="{00000000-0005-0000-0000-00002F660000}"/>
    <cellStyle name="40% - Accent3 9 3 6" xfId="39426" xr:uid="{00000000-0005-0000-0000-000030660000}"/>
    <cellStyle name="40% - Accent3 9 4" xfId="3632" xr:uid="{00000000-0005-0000-0000-000031660000}"/>
    <cellStyle name="40% - Accent3 9 4 2" xfId="10738" xr:uid="{00000000-0005-0000-0000-000032660000}"/>
    <cellStyle name="40% - Accent3 9 4 3" xfId="17839" xr:uid="{00000000-0005-0000-0000-000033660000}"/>
    <cellStyle name="40% - Accent3 9 4 4" xfId="24941" xr:uid="{00000000-0005-0000-0000-000034660000}"/>
    <cellStyle name="40% - Accent3 9 4 5" xfId="32043" xr:uid="{00000000-0005-0000-0000-000035660000}"/>
    <cellStyle name="40% - Accent3 9 4 6" xfId="39427" xr:uid="{00000000-0005-0000-0000-000036660000}"/>
    <cellStyle name="40% - Accent3 9 5" xfId="7898" xr:uid="{00000000-0005-0000-0000-000037660000}"/>
    <cellStyle name="40% - Accent3 9 6" xfId="14999" xr:uid="{00000000-0005-0000-0000-000038660000}"/>
    <cellStyle name="40% - Accent3 9 7" xfId="22101" xr:uid="{00000000-0005-0000-0000-000039660000}"/>
    <cellStyle name="40% - Accent3 9 8" xfId="29203" xr:uid="{00000000-0005-0000-0000-00003A660000}"/>
    <cellStyle name="40% - Accent3 9 9" xfId="39428" xr:uid="{00000000-0005-0000-0000-00003B660000}"/>
    <cellStyle name="40% - Accent4" xfId="55" builtinId="43" customBuiltin="1"/>
    <cellStyle name="40% - Accent4 10" xfId="934" xr:uid="{00000000-0005-0000-0000-00003D660000}"/>
    <cellStyle name="40% - Accent4 10 2" xfId="2425" xr:uid="{00000000-0005-0000-0000-00003E660000}"/>
    <cellStyle name="40% - Accent4 10 2 2" xfId="6693" xr:uid="{00000000-0005-0000-0000-00003F660000}"/>
    <cellStyle name="40% - Accent4 10 2 2 2" xfId="13793" xr:uid="{00000000-0005-0000-0000-000040660000}"/>
    <cellStyle name="40% - Accent4 10 2 2 3" xfId="20894" xr:uid="{00000000-0005-0000-0000-000041660000}"/>
    <cellStyle name="40% - Accent4 10 2 2 4" xfId="27996" xr:uid="{00000000-0005-0000-0000-000042660000}"/>
    <cellStyle name="40% - Accent4 10 2 2 5" xfId="35098" xr:uid="{00000000-0005-0000-0000-000043660000}"/>
    <cellStyle name="40% - Accent4 10 2 3" xfId="9533" xr:uid="{00000000-0005-0000-0000-000044660000}"/>
    <cellStyle name="40% - Accent4 10 2 4" xfId="16634" xr:uid="{00000000-0005-0000-0000-000045660000}"/>
    <cellStyle name="40% - Accent4 10 2 5" xfId="23736" xr:uid="{00000000-0005-0000-0000-000046660000}"/>
    <cellStyle name="40% - Accent4 10 2 6" xfId="30838" xr:uid="{00000000-0005-0000-0000-000047660000}"/>
    <cellStyle name="40% - Accent4 10 2 7" xfId="39429" xr:uid="{00000000-0005-0000-0000-000048660000}"/>
    <cellStyle name="40% - Accent4 10 3" xfId="5272" xr:uid="{00000000-0005-0000-0000-000049660000}"/>
    <cellStyle name="40% - Accent4 10 3 2" xfId="12373" xr:uid="{00000000-0005-0000-0000-00004A660000}"/>
    <cellStyle name="40% - Accent4 10 3 3" xfId="19474" xr:uid="{00000000-0005-0000-0000-00004B660000}"/>
    <cellStyle name="40% - Accent4 10 3 4" xfId="26576" xr:uid="{00000000-0005-0000-0000-00004C660000}"/>
    <cellStyle name="40% - Accent4 10 3 5" xfId="33678" xr:uid="{00000000-0005-0000-0000-00004D660000}"/>
    <cellStyle name="40% - Accent4 10 4" xfId="3847" xr:uid="{00000000-0005-0000-0000-00004E660000}"/>
    <cellStyle name="40% - Accent4 10 4 2" xfId="10953" xr:uid="{00000000-0005-0000-0000-00004F660000}"/>
    <cellStyle name="40% - Accent4 10 4 3" xfId="18054" xr:uid="{00000000-0005-0000-0000-000050660000}"/>
    <cellStyle name="40% - Accent4 10 4 4" xfId="25156" xr:uid="{00000000-0005-0000-0000-000051660000}"/>
    <cellStyle name="40% - Accent4 10 4 5" xfId="32258" xr:uid="{00000000-0005-0000-0000-000052660000}"/>
    <cellStyle name="40% - Accent4 10 5" xfId="8113" xr:uid="{00000000-0005-0000-0000-000053660000}"/>
    <cellStyle name="40% - Accent4 10 6" xfId="15214" xr:uid="{00000000-0005-0000-0000-000054660000}"/>
    <cellStyle name="40% - Accent4 10 7" xfId="22316" xr:uid="{00000000-0005-0000-0000-000055660000}"/>
    <cellStyle name="40% - Accent4 10 8" xfId="29418" xr:uid="{00000000-0005-0000-0000-000056660000}"/>
    <cellStyle name="40% - Accent4 10 9" xfId="39430" xr:uid="{00000000-0005-0000-0000-000057660000}"/>
    <cellStyle name="40% - Accent4 11" xfId="1289" xr:uid="{00000000-0005-0000-0000-000058660000}"/>
    <cellStyle name="40% - Accent4 11 2" xfId="2780" xr:uid="{00000000-0005-0000-0000-000059660000}"/>
    <cellStyle name="40% - Accent4 11 2 2" xfId="7048" xr:uid="{00000000-0005-0000-0000-00005A660000}"/>
    <cellStyle name="40% - Accent4 11 2 2 2" xfId="14148" xr:uid="{00000000-0005-0000-0000-00005B660000}"/>
    <cellStyle name="40% - Accent4 11 2 2 3" xfId="21249" xr:uid="{00000000-0005-0000-0000-00005C660000}"/>
    <cellStyle name="40% - Accent4 11 2 2 4" xfId="28351" xr:uid="{00000000-0005-0000-0000-00005D660000}"/>
    <cellStyle name="40% - Accent4 11 2 2 5" xfId="35453" xr:uid="{00000000-0005-0000-0000-00005E660000}"/>
    <cellStyle name="40% - Accent4 11 2 3" xfId="9888" xr:uid="{00000000-0005-0000-0000-00005F660000}"/>
    <cellStyle name="40% - Accent4 11 2 4" xfId="16989" xr:uid="{00000000-0005-0000-0000-000060660000}"/>
    <cellStyle name="40% - Accent4 11 2 5" xfId="24091" xr:uid="{00000000-0005-0000-0000-000061660000}"/>
    <cellStyle name="40% - Accent4 11 2 6" xfId="31193" xr:uid="{00000000-0005-0000-0000-000062660000}"/>
    <cellStyle name="40% - Accent4 11 2 7" xfId="39431" xr:uid="{00000000-0005-0000-0000-000063660000}"/>
    <cellStyle name="40% - Accent4 11 3" xfId="5627" xr:uid="{00000000-0005-0000-0000-000064660000}"/>
    <cellStyle name="40% - Accent4 11 3 2" xfId="12728" xr:uid="{00000000-0005-0000-0000-000065660000}"/>
    <cellStyle name="40% - Accent4 11 3 3" xfId="19829" xr:uid="{00000000-0005-0000-0000-000066660000}"/>
    <cellStyle name="40% - Accent4 11 3 4" xfId="26931" xr:uid="{00000000-0005-0000-0000-000067660000}"/>
    <cellStyle name="40% - Accent4 11 3 5" xfId="34033" xr:uid="{00000000-0005-0000-0000-000068660000}"/>
    <cellStyle name="40% - Accent4 11 4" xfId="4202" xr:uid="{00000000-0005-0000-0000-000069660000}"/>
    <cellStyle name="40% - Accent4 11 4 2" xfId="11308" xr:uid="{00000000-0005-0000-0000-00006A660000}"/>
    <cellStyle name="40% - Accent4 11 4 3" xfId="18409" xr:uid="{00000000-0005-0000-0000-00006B660000}"/>
    <cellStyle name="40% - Accent4 11 4 4" xfId="25511" xr:uid="{00000000-0005-0000-0000-00006C660000}"/>
    <cellStyle name="40% - Accent4 11 4 5" xfId="32613" xr:uid="{00000000-0005-0000-0000-00006D660000}"/>
    <cellStyle name="40% - Accent4 11 5" xfId="8468" xr:uid="{00000000-0005-0000-0000-00006E660000}"/>
    <cellStyle name="40% - Accent4 11 6" xfId="15569" xr:uid="{00000000-0005-0000-0000-00006F660000}"/>
    <cellStyle name="40% - Accent4 11 7" xfId="22671" xr:uid="{00000000-0005-0000-0000-000070660000}"/>
    <cellStyle name="40% - Accent4 11 8" xfId="29773" xr:uid="{00000000-0005-0000-0000-000071660000}"/>
    <cellStyle name="40% - Accent4 11 9" xfId="39432" xr:uid="{00000000-0005-0000-0000-000072660000}"/>
    <cellStyle name="40% - Accent4 12" xfId="1557" xr:uid="{00000000-0005-0000-0000-000073660000}"/>
    <cellStyle name="40% - Accent4 12 2" xfId="5840" xr:uid="{00000000-0005-0000-0000-000074660000}"/>
    <cellStyle name="40% - Accent4 12 2 2" xfId="12941" xr:uid="{00000000-0005-0000-0000-000075660000}"/>
    <cellStyle name="40% - Accent4 12 2 3" xfId="20042" xr:uid="{00000000-0005-0000-0000-000076660000}"/>
    <cellStyle name="40% - Accent4 12 2 4" xfId="27144" xr:uid="{00000000-0005-0000-0000-000077660000}"/>
    <cellStyle name="40% - Accent4 12 2 5" xfId="34246" xr:uid="{00000000-0005-0000-0000-000078660000}"/>
    <cellStyle name="40% - Accent4 12 3" xfId="8681" xr:uid="{00000000-0005-0000-0000-000079660000}"/>
    <cellStyle name="40% - Accent4 12 4" xfId="15782" xr:uid="{00000000-0005-0000-0000-00007A660000}"/>
    <cellStyle name="40% - Accent4 12 5" xfId="22884" xr:uid="{00000000-0005-0000-0000-00007B660000}"/>
    <cellStyle name="40% - Accent4 12 6" xfId="29986" xr:uid="{00000000-0005-0000-0000-00007C660000}"/>
    <cellStyle name="40% - Accent4 12 7" xfId="39433" xr:uid="{00000000-0005-0000-0000-00007D660000}"/>
    <cellStyle name="40% - Accent4 13" xfId="4420" xr:uid="{00000000-0005-0000-0000-00007E660000}"/>
    <cellStyle name="40% - Accent4 13 2" xfId="11521" xr:uid="{00000000-0005-0000-0000-00007F660000}"/>
    <cellStyle name="40% - Accent4 13 3" xfId="18622" xr:uid="{00000000-0005-0000-0000-000080660000}"/>
    <cellStyle name="40% - Accent4 13 4" xfId="25724" xr:uid="{00000000-0005-0000-0000-000081660000}"/>
    <cellStyle name="40% - Accent4 13 5" xfId="32826" xr:uid="{00000000-0005-0000-0000-000082660000}"/>
    <cellStyle name="40% - Accent4 14" xfId="2995" xr:uid="{00000000-0005-0000-0000-000083660000}"/>
    <cellStyle name="40% - Accent4 14 2" xfId="10101" xr:uid="{00000000-0005-0000-0000-000084660000}"/>
    <cellStyle name="40% - Accent4 14 3" xfId="17202" xr:uid="{00000000-0005-0000-0000-000085660000}"/>
    <cellStyle name="40% - Accent4 14 4" xfId="24304" xr:uid="{00000000-0005-0000-0000-000086660000}"/>
    <cellStyle name="40% - Accent4 14 5" xfId="31406" xr:uid="{00000000-0005-0000-0000-000087660000}"/>
    <cellStyle name="40% - Accent4 15" xfId="7261" xr:uid="{00000000-0005-0000-0000-000088660000}"/>
    <cellStyle name="40% - Accent4 16" xfId="14362" xr:uid="{00000000-0005-0000-0000-000089660000}"/>
    <cellStyle name="40% - Accent4 17" xfId="21464" xr:uid="{00000000-0005-0000-0000-00008A660000}"/>
    <cellStyle name="40% - Accent4 18" xfId="28566" xr:uid="{00000000-0005-0000-0000-00008B660000}"/>
    <cellStyle name="40% - Accent4 19" xfId="35668" xr:uid="{00000000-0005-0000-0000-00008C660000}"/>
    <cellStyle name="40% - Accent4 2" xfId="80" xr:uid="{00000000-0005-0000-0000-00008D660000}"/>
    <cellStyle name="40% - Accent4 2 10" xfId="1581" xr:uid="{00000000-0005-0000-0000-00008E660000}"/>
    <cellStyle name="40% - Accent4 2 10 2" xfId="5855" xr:uid="{00000000-0005-0000-0000-00008F660000}"/>
    <cellStyle name="40% - Accent4 2 10 2 2" xfId="12955" xr:uid="{00000000-0005-0000-0000-000090660000}"/>
    <cellStyle name="40% - Accent4 2 10 2 3" xfId="20056" xr:uid="{00000000-0005-0000-0000-000091660000}"/>
    <cellStyle name="40% - Accent4 2 10 2 4" xfId="27158" xr:uid="{00000000-0005-0000-0000-000092660000}"/>
    <cellStyle name="40% - Accent4 2 10 2 5" xfId="34260" xr:uid="{00000000-0005-0000-0000-000093660000}"/>
    <cellStyle name="40% - Accent4 2 10 2 6" xfId="39434" xr:uid="{00000000-0005-0000-0000-000094660000}"/>
    <cellStyle name="40% - Accent4 2 10 3" xfId="8695" xr:uid="{00000000-0005-0000-0000-000095660000}"/>
    <cellStyle name="40% - Accent4 2 10 4" xfId="15796" xr:uid="{00000000-0005-0000-0000-000096660000}"/>
    <cellStyle name="40% - Accent4 2 10 5" xfId="22898" xr:uid="{00000000-0005-0000-0000-000097660000}"/>
    <cellStyle name="40% - Accent4 2 10 6" xfId="30000" xr:uid="{00000000-0005-0000-0000-000098660000}"/>
    <cellStyle name="40% - Accent4 2 10 7" xfId="39435" xr:uid="{00000000-0005-0000-0000-000099660000}"/>
    <cellStyle name="40% - Accent4 2 11" xfId="4434" xr:uid="{00000000-0005-0000-0000-00009A660000}"/>
    <cellStyle name="40% - Accent4 2 11 2" xfId="11535" xr:uid="{00000000-0005-0000-0000-00009B660000}"/>
    <cellStyle name="40% - Accent4 2 11 3" xfId="18636" xr:uid="{00000000-0005-0000-0000-00009C660000}"/>
    <cellStyle name="40% - Accent4 2 11 4" xfId="25738" xr:uid="{00000000-0005-0000-0000-00009D660000}"/>
    <cellStyle name="40% - Accent4 2 11 5" xfId="32840" xr:uid="{00000000-0005-0000-0000-00009E660000}"/>
    <cellStyle name="40% - Accent4 2 11 6" xfId="39436" xr:uid="{00000000-0005-0000-0000-00009F660000}"/>
    <cellStyle name="40% - Accent4 2 12" xfId="3009" xr:uid="{00000000-0005-0000-0000-0000A0660000}"/>
    <cellStyle name="40% - Accent4 2 12 2" xfId="10115" xr:uid="{00000000-0005-0000-0000-0000A1660000}"/>
    <cellStyle name="40% - Accent4 2 12 3" xfId="17216" xr:uid="{00000000-0005-0000-0000-0000A2660000}"/>
    <cellStyle name="40% - Accent4 2 12 4" xfId="24318" xr:uid="{00000000-0005-0000-0000-0000A3660000}"/>
    <cellStyle name="40% - Accent4 2 12 5" xfId="31420" xr:uid="{00000000-0005-0000-0000-0000A4660000}"/>
    <cellStyle name="40% - Accent4 2 13" xfId="7275" xr:uid="{00000000-0005-0000-0000-0000A5660000}"/>
    <cellStyle name="40% - Accent4 2 14" xfId="14376" xr:uid="{00000000-0005-0000-0000-0000A6660000}"/>
    <cellStyle name="40% - Accent4 2 15" xfId="21478" xr:uid="{00000000-0005-0000-0000-0000A7660000}"/>
    <cellStyle name="40% - Accent4 2 16" xfId="28580" xr:uid="{00000000-0005-0000-0000-0000A8660000}"/>
    <cellStyle name="40% - Accent4 2 17" xfId="35682" xr:uid="{00000000-0005-0000-0000-0000A9660000}"/>
    <cellStyle name="40% - Accent4 2 18" xfId="39437" xr:uid="{00000000-0005-0000-0000-0000AA660000}"/>
    <cellStyle name="40% - Accent4 2 19" xfId="39438" xr:uid="{00000000-0005-0000-0000-0000AB660000}"/>
    <cellStyle name="40% - Accent4 2 2" xfId="125" xr:uid="{00000000-0005-0000-0000-0000AC660000}"/>
    <cellStyle name="40% - Accent4 2 2 10" xfId="4465" xr:uid="{00000000-0005-0000-0000-0000AD660000}"/>
    <cellStyle name="40% - Accent4 2 2 10 2" xfId="11566" xr:uid="{00000000-0005-0000-0000-0000AE660000}"/>
    <cellStyle name="40% - Accent4 2 2 10 3" xfId="18667" xr:uid="{00000000-0005-0000-0000-0000AF660000}"/>
    <cellStyle name="40% - Accent4 2 2 10 4" xfId="25769" xr:uid="{00000000-0005-0000-0000-0000B0660000}"/>
    <cellStyle name="40% - Accent4 2 2 10 5" xfId="32871" xr:uid="{00000000-0005-0000-0000-0000B1660000}"/>
    <cellStyle name="40% - Accent4 2 2 11" xfId="3040" xr:uid="{00000000-0005-0000-0000-0000B2660000}"/>
    <cellStyle name="40% - Accent4 2 2 11 2" xfId="10146" xr:uid="{00000000-0005-0000-0000-0000B3660000}"/>
    <cellStyle name="40% - Accent4 2 2 11 3" xfId="17247" xr:uid="{00000000-0005-0000-0000-0000B4660000}"/>
    <cellStyle name="40% - Accent4 2 2 11 4" xfId="24349" xr:uid="{00000000-0005-0000-0000-0000B5660000}"/>
    <cellStyle name="40% - Accent4 2 2 11 5" xfId="31451" xr:uid="{00000000-0005-0000-0000-0000B6660000}"/>
    <cellStyle name="40% - Accent4 2 2 12" xfId="7306" xr:uid="{00000000-0005-0000-0000-0000B7660000}"/>
    <cellStyle name="40% - Accent4 2 2 13" xfId="14407" xr:uid="{00000000-0005-0000-0000-0000B8660000}"/>
    <cellStyle name="40% - Accent4 2 2 14" xfId="21509" xr:uid="{00000000-0005-0000-0000-0000B9660000}"/>
    <cellStyle name="40% - Accent4 2 2 15" xfId="28611" xr:uid="{00000000-0005-0000-0000-0000BA660000}"/>
    <cellStyle name="40% - Accent4 2 2 16" xfId="35713" xr:uid="{00000000-0005-0000-0000-0000BB660000}"/>
    <cellStyle name="40% - Accent4 2 2 17" xfId="39439" xr:uid="{00000000-0005-0000-0000-0000BC660000}"/>
    <cellStyle name="40% - Accent4 2 2 18" xfId="39440" xr:uid="{00000000-0005-0000-0000-0000BD660000}"/>
    <cellStyle name="40% - Accent4 2 2 2" xfId="269" xr:uid="{00000000-0005-0000-0000-0000BE660000}"/>
    <cellStyle name="40% - Accent4 2 2 2 10" xfId="7448" xr:uid="{00000000-0005-0000-0000-0000BF660000}"/>
    <cellStyle name="40% - Accent4 2 2 2 11" xfId="14549" xr:uid="{00000000-0005-0000-0000-0000C0660000}"/>
    <cellStyle name="40% - Accent4 2 2 2 12" xfId="21651" xr:uid="{00000000-0005-0000-0000-0000C1660000}"/>
    <cellStyle name="40% - Accent4 2 2 2 13" xfId="28753" xr:uid="{00000000-0005-0000-0000-0000C2660000}"/>
    <cellStyle name="40% - Accent4 2 2 2 14" xfId="35855" xr:uid="{00000000-0005-0000-0000-0000C3660000}"/>
    <cellStyle name="40% - Accent4 2 2 2 15" xfId="39441" xr:uid="{00000000-0005-0000-0000-0000C4660000}"/>
    <cellStyle name="40% - Accent4 2 2 2 2" xfId="482" xr:uid="{00000000-0005-0000-0000-0000C5660000}"/>
    <cellStyle name="40% - Accent4 2 2 2 2 10" xfId="39442" xr:uid="{00000000-0005-0000-0000-0000C6660000}"/>
    <cellStyle name="40% - Accent4 2 2 2 2 2" xfId="1263" xr:uid="{00000000-0005-0000-0000-0000C7660000}"/>
    <cellStyle name="40% - Accent4 2 2 2 2 2 2" xfId="2754" xr:uid="{00000000-0005-0000-0000-0000C8660000}"/>
    <cellStyle name="40% - Accent4 2 2 2 2 2 2 2" xfId="7022" xr:uid="{00000000-0005-0000-0000-0000C9660000}"/>
    <cellStyle name="40% - Accent4 2 2 2 2 2 2 2 2" xfId="14122" xr:uid="{00000000-0005-0000-0000-0000CA660000}"/>
    <cellStyle name="40% - Accent4 2 2 2 2 2 2 2 3" xfId="21223" xr:uid="{00000000-0005-0000-0000-0000CB660000}"/>
    <cellStyle name="40% - Accent4 2 2 2 2 2 2 2 4" xfId="28325" xr:uid="{00000000-0005-0000-0000-0000CC660000}"/>
    <cellStyle name="40% - Accent4 2 2 2 2 2 2 2 5" xfId="35427" xr:uid="{00000000-0005-0000-0000-0000CD660000}"/>
    <cellStyle name="40% - Accent4 2 2 2 2 2 2 3" xfId="9862" xr:uid="{00000000-0005-0000-0000-0000CE660000}"/>
    <cellStyle name="40% - Accent4 2 2 2 2 2 2 4" xfId="16963" xr:uid="{00000000-0005-0000-0000-0000CF660000}"/>
    <cellStyle name="40% - Accent4 2 2 2 2 2 2 5" xfId="24065" xr:uid="{00000000-0005-0000-0000-0000D0660000}"/>
    <cellStyle name="40% - Accent4 2 2 2 2 2 2 6" xfId="31167" xr:uid="{00000000-0005-0000-0000-0000D1660000}"/>
    <cellStyle name="40% - Accent4 2 2 2 2 2 2 7" xfId="39443" xr:uid="{00000000-0005-0000-0000-0000D2660000}"/>
    <cellStyle name="40% - Accent4 2 2 2 2 2 3" xfId="5601" xr:uid="{00000000-0005-0000-0000-0000D3660000}"/>
    <cellStyle name="40% - Accent4 2 2 2 2 2 3 2" xfId="12702" xr:uid="{00000000-0005-0000-0000-0000D4660000}"/>
    <cellStyle name="40% - Accent4 2 2 2 2 2 3 3" xfId="19803" xr:uid="{00000000-0005-0000-0000-0000D5660000}"/>
    <cellStyle name="40% - Accent4 2 2 2 2 2 3 4" xfId="26905" xr:uid="{00000000-0005-0000-0000-0000D6660000}"/>
    <cellStyle name="40% - Accent4 2 2 2 2 2 3 5" xfId="34007" xr:uid="{00000000-0005-0000-0000-0000D7660000}"/>
    <cellStyle name="40% - Accent4 2 2 2 2 2 4" xfId="4176" xr:uid="{00000000-0005-0000-0000-0000D8660000}"/>
    <cellStyle name="40% - Accent4 2 2 2 2 2 4 2" xfId="11282" xr:uid="{00000000-0005-0000-0000-0000D9660000}"/>
    <cellStyle name="40% - Accent4 2 2 2 2 2 4 3" xfId="18383" xr:uid="{00000000-0005-0000-0000-0000DA660000}"/>
    <cellStyle name="40% - Accent4 2 2 2 2 2 4 4" xfId="25485" xr:uid="{00000000-0005-0000-0000-0000DB660000}"/>
    <cellStyle name="40% - Accent4 2 2 2 2 2 4 5" xfId="32587" xr:uid="{00000000-0005-0000-0000-0000DC660000}"/>
    <cellStyle name="40% - Accent4 2 2 2 2 2 5" xfId="8442" xr:uid="{00000000-0005-0000-0000-0000DD660000}"/>
    <cellStyle name="40% - Accent4 2 2 2 2 2 6" xfId="15543" xr:uid="{00000000-0005-0000-0000-0000DE660000}"/>
    <cellStyle name="40% - Accent4 2 2 2 2 2 7" xfId="22645" xr:uid="{00000000-0005-0000-0000-0000DF660000}"/>
    <cellStyle name="40% - Accent4 2 2 2 2 2 8" xfId="29747" xr:uid="{00000000-0005-0000-0000-0000E0660000}"/>
    <cellStyle name="40% - Accent4 2 2 2 2 2 9" xfId="39444" xr:uid="{00000000-0005-0000-0000-0000E1660000}"/>
    <cellStyle name="40% - Accent4 2 2 2 2 3" xfId="1973" xr:uid="{00000000-0005-0000-0000-0000E2660000}"/>
    <cellStyle name="40% - Accent4 2 2 2 2 3 2" xfId="6241" xr:uid="{00000000-0005-0000-0000-0000E3660000}"/>
    <cellStyle name="40% - Accent4 2 2 2 2 3 2 2" xfId="13341" xr:uid="{00000000-0005-0000-0000-0000E4660000}"/>
    <cellStyle name="40% - Accent4 2 2 2 2 3 2 3" xfId="20442" xr:uid="{00000000-0005-0000-0000-0000E5660000}"/>
    <cellStyle name="40% - Accent4 2 2 2 2 3 2 4" xfId="27544" xr:uid="{00000000-0005-0000-0000-0000E6660000}"/>
    <cellStyle name="40% - Accent4 2 2 2 2 3 2 5" xfId="34646" xr:uid="{00000000-0005-0000-0000-0000E7660000}"/>
    <cellStyle name="40% - Accent4 2 2 2 2 3 2 6" xfId="39445" xr:uid="{00000000-0005-0000-0000-0000E8660000}"/>
    <cellStyle name="40% - Accent4 2 2 2 2 3 3" xfId="9081" xr:uid="{00000000-0005-0000-0000-0000E9660000}"/>
    <cellStyle name="40% - Accent4 2 2 2 2 3 4" xfId="16182" xr:uid="{00000000-0005-0000-0000-0000EA660000}"/>
    <cellStyle name="40% - Accent4 2 2 2 2 3 5" xfId="23284" xr:uid="{00000000-0005-0000-0000-0000EB660000}"/>
    <cellStyle name="40% - Accent4 2 2 2 2 3 6" xfId="30386" xr:uid="{00000000-0005-0000-0000-0000EC660000}"/>
    <cellStyle name="40% - Accent4 2 2 2 2 3 7" xfId="39446" xr:uid="{00000000-0005-0000-0000-0000ED660000}"/>
    <cellStyle name="40% - Accent4 2 2 2 2 4" xfId="4820" xr:uid="{00000000-0005-0000-0000-0000EE660000}"/>
    <cellStyle name="40% - Accent4 2 2 2 2 4 2" xfId="11921" xr:uid="{00000000-0005-0000-0000-0000EF660000}"/>
    <cellStyle name="40% - Accent4 2 2 2 2 4 3" xfId="19022" xr:uid="{00000000-0005-0000-0000-0000F0660000}"/>
    <cellStyle name="40% - Accent4 2 2 2 2 4 4" xfId="26124" xr:uid="{00000000-0005-0000-0000-0000F1660000}"/>
    <cellStyle name="40% - Accent4 2 2 2 2 4 5" xfId="33226" xr:uid="{00000000-0005-0000-0000-0000F2660000}"/>
    <cellStyle name="40% - Accent4 2 2 2 2 4 6" xfId="39447" xr:uid="{00000000-0005-0000-0000-0000F3660000}"/>
    <cellStyle name="40% - Accent4 2 2 2 2 5" xfId="3395" xr:uid="{00000000-0005-0000-0000-0000F4660000}"/>
    <cellStyle name="40% - Accent4 2 2 2 2 5 2" xfId="10501" xr:uid="{00000000-0005-0000-0000-0000F5660000}"/>
    <cellStyle name="40% - Accent4 2 2 2 2 5 3" xfId="17602" xr:uid="{00000000-0005-0000-0000-0000F6660000}"/>
    <cellStyle name="40% - Accent4 2 2 2 2 5 4" xfId="24704" xr:uid="{00000000-0005-0000-0000-0000F7660000}"/>
    <cellStyle name="40% - Accent4 2 2 2 2 5 5" xfId="31806" xr:uid="{00000000-0005-0000-0000-0000F8660000}"/>
    <cellStyle name="40% - Accent4 2 2 2 2 6" xfId="7661" xr:uid="{00000000-0005-0000-0000-0000F9660000}"/>
    <cellStyle name="40% - Accent4 2 2 2 2 7" xfId="14762" xr:uid="{00000000-0005-0000-0000-0000FA660000}"/>
    <cellStyle name="40% - Accent4 2 2 2 2 8" xfId="21864" xr:uid="{00000000-0005-0000-0000-0000FB660000}"/>
    <cellStyle name="40% - Accent4 2 2 2 2 9" xfId="28966" xr:uid="{00000000-0005-0000-0000-0000FC660000}"/>
    <cellStyle name="40% - Accent4 2 2 2 3" xfId="695" xr:uid="{00000000-0005-0000-0000-0000FD660000}"/>
    <cellStyle name="40% - Accent4 2 2 2 3 2" xfId="2186" xr:uid="{00000000-0005-0000-0000-0000FE660000}"/>
    <cellStyle name="40% - Accent4 2 2 2 3 2 2" xfId="6454" xr:uid="{00000000-0005-0000-0000-0000FF660000}"/>
    <cellStyle name="40% - Accent4 2 2 2 3 2 2 2" xfId="13554" xr:uid="{00000000-0005-0000-0000-000000670000}"/>
    <cellStyle name="40% - Accent4 2 2 2 3 2 2 3" xfId="20655" xr:uid="{00000000-0005-0000-0000-000001670000}"/>
    <cellStyle name="40% - Accent4 2 2 2 3 2 2 4" xfId="27757" xr:uid="{00000000-0005-0000-0000-000002670000}"/>
    <cellStyle name="40% - Accent4 2 2 2 3 2 2 5" xfId="34859" xr:uid="{00000000-0005-0000-0000-000003670000}"/>
    <cellStyle name="40% - Accent4 2 2 2 3 2 2 6" xfId="39448" xr:uid="{00000000-0005-0000-0000-000004670000}"/>
    <cellStyle name="40% - Accent4 2 2 2 3 2 3" xfId="9294" xr:uid="{00000000-0005-0000-0000-000005670000}"/>
    <cellStyle name="40% - Accent4 2 2 2 3 2 4" xfId="16395" xr:uid="{00000000-0005-0000-0000-000006670000}"/>
    <cellStyle name="40% - Accent4 2 2 2 3 2 5" xfId="23497" xr:uid="{00000000-0005-0000-0000-000007670000}"/>
    <cellStyle name="40% - Accent4 2 2 2 3 2 6" xfId="30599" xr:uid="{00000000-0005-0000-0000-000008670000}"/>
    <cellStyle name="40% - Accent4 2 2 2 3 2 7" xfId="39449" xr:uid="{00000000-0005-0000-0000-000009670000}"/>
    <cellStyle name="40% - Accent4 2 2 2 3 3" xfId="5033" xr:uid="{00000000-0005-0000-0000-00000A670000}"/>
    <cellStyle name="40% - Accent4 2 2 2 3 3 2" xfId="12134" xr:uid="{00000000-0005-0000-0000-00000B670000}"/>
    <cellStyle name="40% - Accent4 2 2 2 3 3 2 2" xfId="39450" xr:uid="{00000000-0005-0000-0000-00000C670000}"/>
    <cellStyle name="40% - Accent4 2 2 2 3 3 3" xfId="19235" xr:uid="{00000000-0005-0000-0000-00000D670000}"/>
    <cellStyle name="40% - Accent4 2 2 2 3 3 4" xfId="26337" xr:uid="{00000000-0005-0000-0000-00000E670000}"/>
    <cellStyle name="40% - Accent4 2 2 2 3 3 5" xfId="33439" xr:uid="{00000000-0005-0000-0000-00000F670000}"/>
    <cellStyle name="40% - Accent4 2 2 2 3 3 6" xfId="39451" xr:uid="{00000000-0005-0000-0000-000010670000}"/>
    <cellStyle name="40% - Accent4 2 2 2 3 4" xfId="3608" xr:uid="{00000000-0005-0000-0000-000011670000}"/>
    <cellStyle name="40% - Accent4 2 2 2 3 4 2" xfId="10714" xr:uid="{00000000-0005-0000-0000-000012670000}"/>
    <cellStyle name="40% - Accent4 2 2 2 3 4 3" xfId="17815" xr:uid="{00000000-0005-0000-0000-000013670000}"/>
    <cellStyle name="40% - Accent4 2 2 2 3 4 4" xfId="24917" xr:uid="{00000000-0005-0000-0000-000014670000}"/>
    <cellStyle name="40% - Accent4 2 2 2 3 4 5" xfId="32019" xr:uid="{00000000-0005-0000-0000-000015670000}"/>
    <cellStyle name="40% - Accent4 2 2 2 3 4 6" xfId="39452" xr:uid="{00000000-0005-0000-0000-000016670000}"/>
    <cellStyle name="40% - Accent4 2 2 2 3 5" xfId="7874" xr:uid="{00000000-0005-0000-0000-000017670000}"/>
    <cellStyle name="40% - Accent4 2 2 2 3 6" xfId="14975" xr:uid="{00000000-0005-0000-0000-000018670000}"/>
    <cellStyle name="40% - Accent4 2 2 2 3 7" xfId="22077" xr:uid="{00000000-0005-0000-0000-000019670000}"/>
    <cellStyle name="40% - Accent4 2 2 2 3 8" xfId="29179" xr:uid="{00000000-0005-0000-0000-00001A670000}"/>
    <cellStyle name="40% - Accent4 2 2 2 3 9" xfId="39453" xr:uid="{00000000-0005-0000-0000-00001B670000}"/>
    <cellStyle name="40% - Accent4 2 2 2 4" xfId="908" xr:uid="{00000000-0005-0000-0000-00001C670000}"/>
    <cellStyle name="40% - Accent4 2 2 2 4 2" xfId="2399" xr:uid="{00000000-0005-0000-0000-00001D670000}"/>
    <cellStyle name="40% - Accent4 2 2 2 4 2 2" xfId="6667" xr:uid="{00000000-0005-0000-0000-00001E670000}"/>
    <cellStyle name="40% - Accent4 2 2 2 4 2 2 2" xfId="13767" xr:uid="{00000000-0005-0000-0000-00001F670000}"/>
    <cellStyle name="40% - Accent4 2 2 2 4 2 2 3" xfId="20868" xr:uid="{00000000-0005-0000-0000-000020670000}"/>
    <cellStyle name="40% - Accent4 2 2 2 4 2 2 4" xfId="27970" xr:uid="{00000000-0005-0000-0000-000021670000}"/>
    <cellStyle name="40% - Accent4 2 2 2 4 2 2 5" xfId="35072" xr:uid="{00000000-0005-0000-0000-000022670000}"/>
    <cellStyle name="40% - Accent4 2 2 2 4 2 2 6" xfId="39454" xr:uid="{00000000-0005-0000-0000-000023670000}"/>
    <cellStyle name="40% - Accent4 2 2 2 4 2 3" xfId="9507" xr:uid="{00000000-0005-0000-0000-000024670000}"/>
    <cellStyle name="40% - Accent4 2 2 2 4 2 4" xfId="16608" xr:uid="{00000000-0005-0000-0000-000025670000}"/>
    <cellStyle name="40% - Accent4 2 2 2 4 2 5" xfId="23710" xr:uid="{00000000-0005-0000-0000-000026670000}"/>
    <cellStyle name="40% - Accent4 2 2 2 4 2 6" xfId="30812" xr:uid="{00000000-0005-0000-0000-000027670000}"/>
    <cellStyle name="40% - Accent4 2 2 2 4 2 7" xfId="39455" xr:uid="{00000000-0005-0000-0000-000028670000}"/>
    <cellStyle name="40% - Accent4 2 2 2 4 3" xfId="5246" xr:uid="{00000000-0005-0000-0000-000029670000}"/>
    <cellStyle name="40% - Accent4 2 2 2 4 3 2" xfId="12347" xr:uid="{00000000-0005-0000-0000-00002A670000}"/>
    <cellStyle name="40% - Accent4 2 2 2 4 3 2 2" xfId="39456" xr:uid="{00000000-0005-0000-0000-00002B670000}"/>
    <cellStyle name="40% - Accent4 2 2 2 4 3 3" xfId="19448" xr:uid="{00000000-0005-0000-0000-00002C670000}"/>
    <cellStyle name="40% - Accent4 2 2 2 4 3 4" xfId="26550" xr:uid="{00000000-0005-0000-0000-00002D670000}"/>
    <cellStyle name="40% - Accent4 2 2 2 4 3 5" xfId="33652" xr:uid="{00000000-0005-0000-0000-00002E670000}"/>
    <cellStyle name="40% - Accent4 2 2 2 4 3 6" xfId="39457" xr:uid="{00000000-0005-0000-0000-00002F670000}"/>
    <cellStyle name="40% - Accent4 2 2 2 4 4" xfId="3821" xr:uid="{00000000-0005-0000-0000-000030670000}"/>
    <cellStyle name="40% - Accent4 2 2 2 4 4 2" xfId="10927" xr:uid="{00000000-0005-0000-0000-000031670000}"/>
    <cellStyle name="40% - Accent4 2 2 2 4 4 3" xfId="18028" xr:uid="{00000000-0005-0000-0000-000032670000}"/>
    <cellStyle name="40% - Accent4 2 2 2 4 4 4" xfId="25130" xr:uid="{00000000-0005-0000-0000-000033670000}"/>
    <cellStyle name="40% - Accent4 2 2 2 4 4 5" xfId="32232" xr:uid="{00000000-0005-0000-0000-000034670000}"/>
    <cellStyle name="40% - Accent4 2 2 2 4 4 6" xfId="39458" xr:uid="{00000000-0005-0000-0000-000035670000}"/>
    <cellStyle name="40% - Accent4 2 2 2 4 5" xfId="8087" xr:uid="{00000000-0005-0000-0000-000036670000}"/>
    <cellStyle name="40% - Accent4 2 2 2 4 6" xfId="15188" xr:uid="{00000000-0005-0000-0000-000037670000}"/>
    <cellStyle name="40% - Accent4 2 2 2 4 7" xfId="22290" xr:uid="{00000000-0005-0000-0000-000038670000}"/>
    <cellStyle name="40% - Accent4 2 2 2 4 8" xfId="29392" xr:uid="{00000000-0005-0000-0000-000039670000}"/>
    <cellStyle name="40% - Accent4 2 2 2 4 9" xfId="39459" xr:uid="{00000000-0005-0000-0000-00003A670000}"/>
    <cellStyle name="40% - Accent4 2 2 2 5" xfId="1050" xr:uid="{00000000-0005-0000-0000-00003B670000}"/>
    <cellStyle name="40% - Accent4 2 2 2 5 2" xfId="2541" xr:uid="{00000000-0005-0000-0000-00003C670000}"/>
    <cellStyle name="40% - Accent4 2 2 2 5 2 2" xfId="6809" xr:uid="{00000000-0005-0000-0000-00003D670000}"/>
    <cellStyle name="40% - Accent4 2 2 2 5 2 2 2" xfId="13909" xr:uid="{00000000-0005-0000-0000-00003E670000}"/>
    <cellStyle name="40% - Accent4 2 2 2 5 2 2 3" xfId="21010" xr:uid="{00000000-0005-0000-0000-00003F670000}"/>
    <cellStyle name="40% - Accent4 2 2 2 5 2 2 4" xfId="28112" xr:uid="{00000000-0005-0000-0000-000040670000}"/>
    <cellStyle name="40% - Accent4 2 2 2 5 2 2 5" xfId="35214" xr:uid="{00000000-0005-0000-0000-000041670000}"/>
    <cellStyle name="40% - Accent4 2 2 2 5 2 3" xfId="9649" xr:uid="{00000000-0005-0000-0000-000042670000}"/>
    <cellStyle name="40% - Accent4 2 2 2 5 2 4" xfId="16750" xr:uid="{00000000-0005-0000-0000-000043670000}"/>
    <cellStyle name="40% - Accent4 2 2 2 5 2 5" xfId="23852" xr:uid="{00000000-0005-0000-0000-000044670000}"/>
    <cellStyle name="40% - Accent4 2 2 2 5 2 6" xfId="30954" xr:uid="{00000000-0005-0000-0000-000045670000}"/>
    <cellStyle name="40% - Accent4 2 2 2 5 2 7" xfId="39460" xr:uid="{00000000-0005-0000-0000-000046670000}"/>
    <cellStyle name="40% - Accent4 2 2 2 5 3" xfId="5388" xr:uid="{00000000-0005-0000-0000-000047670000}"/>
    <cellStyle name="40% - Accent4 2 2 2 5 3 2" xfId="12489" xr:uid="{00000000-0005-0000-0000-000048670000}"/>
    <cellStyle name="40% - Accent4 2 2 2 5 3 3" xfId="19590" xr:uid="{00000000-0005-0000-0000-000049670000}"/>
    <cellStyle name="40% - Accent4 2 2 2 5 3 4" xfId="26692" xr:uid="{00000000-0005-0000-0000-00004A670000}"/>
    <cellStyle name="40% - Accent4 2 2 2 5 3 5" xfId="33794" xr:uid="{00000000-0005-0000-0000-00004B670000}"/>
    <cellStyle name="40% - Accent4 2 2 2 5 4" xfId="3963" xr:uid="{00000000-0005-0000-0000-00004C670000}"/>
    <cellStyle name="40% - Accent4 2 2 2 5 4 2" xfId="11069" xr:uid="{00000000-0005-0000-0000-00004D670000}"/>
    <cellStyle name="40% - Accent4 2 2 2 5 4 3" xfId="18170" xr:uid="{00000000-0005-0000-0000-00004E670000}"/>
    <cellStyle name="40% - Accent4 2 2 2 5 4 4" xfId="25272" xr:uid="{00000000-0005-0000-0000-00004F670000}"/>
    <cellStyle name="40% - Accent4 2 2 2 5 4 5" xfId="32374" xr:uid="{00000000-0005-0000-0000-000050670000}"/>
    <cellStyle name="40% - Accent4 2 2 2 5 5" xfId="8229" xr:uid="{00000000-0005-0000-0000-000051670000}"/>
    <cellStyle name="40% - Accent4 2 2 2 5 6" xfId="15330" xr:uid="{00000000-0005-0000-0000-000052670000}"/>
    <cellStyle name="40% - Accent4 2 2 2 5 7" xfId="22432" xr:uid="{00000000-0005-0000-0000-000053670000}"/>
    <cellStyle name="40% - Accent4 2 2 2 5 8" xfId="29534" xr:uid="{00000000-0005-0000-0000-000054670000}"/>
    <cellStyle name="40% - Accent4 2 2 2 5 9" xfId="39461" xr:uid="{00000000-0005-0000-0000-000055670000}"/>
    <cellStyle name="40% - Accent4 2 2 2 6" xfId="1476" xr:uid="{00000000-0005-0000-0000-000056670000}"/>
    <cellStyle name="40% - Accent4 2 2 2 6 2" xfId="2967" xr:uid="{00000000-0005-0000-0000-000057670000}"/>
    <cellStyle name="40% - Accent4 2 2 2 6 2 2" xfId="7235" xr:uid="{00000000-0005-0000-0000-000058670000}"/>
    <cellStyle name="40% - Accent4 2 2 2 6 2 2 2" xfId="14335" xr:uid="{00000000-0005-0000-0000-000059670000}"/>
    <cellStyle name="40% - Accent4 2 2 2 6 2 2 3" xfId="21436" xr:uid="{00000000-0005-0000-0000-00005A670000}"/>
    <cellStyle name="40% - Accent4 2 2 2 6 2 2 4" xfId="28538" xr:uid="{00000000-0005-0000-0000-00005B670000}"/>
    <cellStyle name="40% - Accent4 2 2 2 6 2 2 5" xfId="35640" xr:uid="{00000000-0005-0000-0000-00005C670000}"/>
    <cellStyle name="40% - Accent4 2 2 2 6 2 3" xfId="10075" xr:uid="{00000000-0005-0000-0000-00005D670000}"/>
    <cellStyle name="40% - Accent4 2 2 2 6 2 4" xfId="17176" xr:uid="{00000000-0005-0000-0000-00005E670000}"/>
    <cellStyle name="40% - Accent4 2 2 2 6 2 5" xfId="24278" xr:uid="{00000000-0005-0000-0000-00005F670000}"/>
    <cellStyle name="40% - Accent4 2 2 2 6 2 6" xfId="31380" xr:uid="{00000000-0005-0000-0000-000060670000}"/>
    <cellStyle name="40% - Accent4 2 2 2 6 2 7" xfId="39462" xr:uid="{00000000-0005-0000-0000-000061670000}"/>
    <cellStyle name="40% - Accent4 2 2 2 6 3" xfId="5814" xr:uid="{00000000-0005-0000-0000-000062670000}"/>
    <cellStyle name="40% - Accent4 2 2 2 6 3 2" xfId="12915" xr:uid="{00000000-0005-0000-0000-000063670000}"/>
    <cellStyle name="40% - Accent4 2 2 2 6 3 3" xfId="20016" xr:uid="{00000000-0005-0000-0000-000064670000}"/>
    <cellStyle name="40% - Accent4 2 2 2 6 3 4" xfId="27118" xr:uid="{00000000-0005-0000-0000-000065670000}"/>
    <cellStyle name="40% - Accent4 2 2 2 6 3 5" xfId="34220" xr:uid="{00000000-0005-0000-0000-000066670000}"/>
    <cellStyle name="40% - Accent4 2 2 2 6 4" xfId="4389" xr:uid="{00000000-0005-0000-0000-000067670000}"/>
    <cellStyle name="40% - Accent4 2 2 2 6 4 2" xfId="11495" xr:uid="{00000000-0005-0000-0000-000068670000}"/>
    <cellStyle name="40% - Accent4 2 2 2 6 4 3" xfId="18596" xr:uid="{00000000-0005-0000-0000-000069670000}"/>
    <cellStyle name="40% - Accent4 2 2 2 6 4 4" xfId="25698" xr:uid="{00000000-0005-0000-0000-00006A670000}"/>
    <cellStyle name="40% - Accent4 2 2 2 6 4 5" xfId="32800" xr:uid="{00000000-0005-0000-0000-00006B670000}"/>
    <cellStyle name="40% - Accent4 2 2 2 6 5" xfId="8655" xr:uid="{00000000-0005-0000-0000-00006C670000}"/>
    <cellStyle name="40% - Accent4 2 2 2 6 6" xfId="15756" xr:uid="{00000000-0005-0000-0000-00006D670000}"/>
    <cellStyle name="40% - Accent4 2 2 2 6 7" xfId="22858" xr:uid="{00000000-0005-0000-0000-00006E670000}"/>
    <cellStyle name="40% - Accent4 2 2 2 6 8" xfId="29960" xr:uid="{00000000-0005-0000-0000-00006F670000}"/>
    <cellStyle name="40% - Accent4 2 2 2 6 9" xfId="39463" xr:uid="{00000000-0005-0000-0000-000070670000}"/>
    <cellStyle name="40% - Accent4 2 2 2 7" xfId="1760" xr:uid="{00000000-0005-0000-0000-000071670000}"/>
    <cellStyle name="40% - Accent4 2 2 2 7 2" xfId="6028" xr:uid="{00000000-0005-0000-0000-000072670000}"/>
    <cellStyle name="40% - Accent4 2 2 2 7 2 2" xfId="13128" xr:uid="{00000000-0005-0000-0000-000073670000}"/>
    <cellStyle name="40% - Accent4 2 2 2 7 2 3" xfId="20229" xr:uid="{00000000-0005-0000-0000-000074670000}"/>
    <cellStyle name="40% - Accent4 2 2 2 7 2 4" xfId="27331" xr:uid="{00000000-0005-0000-0000-000075670000}"/>
    <cellStyle name="40% - Accent4 2 2 2 7 2 5" xfId="34433" xr:uid="{00000000-0005-0000-0000-000076670000}"/>
    <cellStyle name="40% - Accent4 2 2 2 7 3" xfId="8868" xr:uid="{00000000-0005-0000-0000-000077670000}"/>
    <cellStyle name="40% - Accent4 2 2 2 7 4" xfId="15969" xr:uid="{00000000-0005-0000-0000-000078670000}"/>
    <cellStyle name="40% - Accent4 2 2 2 7 5" xfId="23071" xr:uid="{00000000-0005-0000-0000-000079670000}"/>
    <cellStyle name="40% - Accent4 2 2 2 7 6" xfId="30173" xr:uid="{00000000-0005-0000-0000-00007A670000}"/>
    <cellStyle name="40% - Accent4 2 2 2 7 7" xfId="39464" xr:uid="{00000000-0005-0000-0000-00007B670000}"/>
    <cellStyle name="40% - Accent4 2 2 2 8" xfId="4607" xr:uid="{00000000-0005-0000-0000-00007C670000}"/>
    <cellStyle name="40% - Accent4 2 2 2 8 2" xfId="11708" xr:uid="{00000000-0005-0000-0000-00007D670000}"/>
    <cellStyle name="40% - Accent4 2 2 2 8 3" xfId="18809" xr:uid="{00000000-0005-0000-0000-00007E670000}"/>
    <cellStyle name="40% - Accent4 2 2 2 8 4" xfId="25911" xr:uid="{00000000-0005-0000-0000-00007F670000}"/>
    <cellStyle name="40% - Accent4 2 2 2 8 5" xfId="33013" xr:uid="{00000000-0005-0000-0000-000080670000}"/>
    <cellStyle name="40% - Accent4 2 2 2 9" xfId="3182" xr:uid="{00000000-0005-0000-0000-000081670000}"/>
    <cellStyle name="40% - Accent4 2 2 2 9 2" xfId="10288" xr:uid="{00000000-0005-0000-0000-000082670000}"/>
    <cellStyle name="40% - Accent4 2 2 2 9 3" xfId="17389" xr:uid="{00000000-0005-0000-0000-000083670000}"/>
    <cellStyle name="40% - Accent4 2 2 2 9 4" xfId="24491" xr:uid="{00000000-0005-0000-0000-000084670000}"/>
    <cellStyle name="40% - Accent4 2 2 2 9 5" xfId="31593" xr:uid="{00000000-0005-0000-0000-000085670000}"/>
    <cellStyle name="40% - Accent4 2 2 3" xfId="198" xr:uid="{00000000-0005-0000-0000-000086670000}"/>
    <cellStyle name="40% - Accent4 2 2 3 10" xfId="7377" xr:uid="{00000000-0005-0000-0000-000087670000}"/>
    <cellStyle name="40% - Accent4 2 2 3 11" xfId="14478" xr:uid="{00000000-0005-0000-0000-000088670000}"/>
    <cellStyle name="40% - Accent4 2 2 3 12" xfId="21580" xr:uid="{00000000-0005-0000-0000-000089670000}"/>
    <cellStyle name="40% - Accent4 2 2 3 13" xfId="28682" xr:uid="{00000000-0005-0000-0000-00008A670000}"/>
    <cellStyle name="40% - Accent4 2 2 3 14" xfId="35784" xr:uid="{00000000-0005-0000-0000-00008B670000}"/>
    <cellStyle name="40% - Accent4 2 2 3 15" xfId="39465" xr:uid="{00000000-0005-0000-0000-00008C670000}"/>
    <cellStyle name="40% - Accent4 2 2 3 2" xfId="411" xr:uid="{00000000-0005-0000-0000-00008D670000}"/>
    <cellStyle name="40% - Accent4 2 2 3 2 2" xfId="1902" xr:uid="{00000000-0005-0000-0000-00008E670000}"/>
    <cellStyle name="40% - Accent4 2 2 3 2 2 2" xfId="6170" xr:uid="{00000000-0005-0000-0000-00008F670000}"/>
    <cellStyle name="40% - Accent4 2 2 3 2 2 2 2" xfId="13270" xr:uid="{00000000-0005-0000-0000-000090670000}"/>
    <cellStyle name="40% - Accent4 2 2 3 2 2 2 3" xfId="20371" xr:uid="{00000000-0005-0000-0000-000091670000}"/>
    <cellStyle name="40% - Accent4 2 2 3 2 2 2 4" xfId="27473" xr:uid="{00000000-0005-0000-0000-000092670000}"/>
    <cellStyle name="40% - Accent4 2 2 3 2 2 2 5" xfId="34575" xr:uid="{00000000-0005-0000-0000-000093670000}"/>
    <cellStyle name="40% - Accent4 2 2 3 2 2 2 6" xfId="39466" xr:uid="{00000000-0005-0000-0000-000094670000}"/>
    <cellStyle name="40% - Accent4 2 2 3 2 2 3" xfId="9010" xr:uid="{00000000-0005-0000-0000-000095670000}"/>
    <cellStyle name="40% - Accent4 2 2 3 2 2 4" xfId="16111" xr:uid="{00000000-0005-0000-0000-000096670000}"/>
    <cellStyle name="40% - Accent4 2 2 3 2 2 5" xfId="23213" xr:uid="{00000000-0005-0000-0000-000097670000}"/>
    <cellStyle name="40% - Accent4 2 2 3 2 2 6" xfId="30315" xr:uid="{00000000-0005-0000-0000-000098670000}"/>
    <cellStyle name="40% - Accent4 2 2 3 2 2 7" xfId="39467" xr:uid="{00000000-0005-0000-0000-000099670000}"/>
    <cellStyle name="40% - Accent4 2 2 3 2 3" xfId="4749" xr:uid="{00000000-0005-0000-0000-00009A670000}"/>
    <cellStyle name="40% - Accent4 2 2 3 2 3 2" xfId="11850" xr:uid="{00000000-0005-0000-0000-00009B670000}"/>
    <cellStyle name="40% - Accent4 2 2 3 2 3 2 2" xfId="39468" xr:uid="{00000000-0005-0000-0000-00009C670000}"/>
    <cellStyle name="40% - Accent4 2 2 3 2 3 3" xfId="18951" xr:uid="{00000000-0005-0000-0000-00009D670000}"/>
    <cellStyle name="40% - Accent4 2 2 3 2 3 4" xfId="26053" xr:uid="{00000000-0005-0000-0000-00009E670000}"/>
    <cellStyle name="40% - Accent4 2 2 3 2 3 5" xfId="33155" xr:uid="{00000000-0005-0000-0000-00009F670000}"/>
    <cellStyle name="40% - Accent4 2 2 3 2 3 6" xfId="39469" xr:uid="{00000000-0005-0000-0000-0000A0670000}"/>
    <cellStyle name="40% - Accent4 2 2 3 2 4" xfId="3324" xr:uid="{00000000-0005-0000-0000-0000A1670000}"/>
    <cellStyle name="40% - Accent4 2 2 3 2 4 2" xfId="10430" xr:uid="{00000000-0005-0000-0000-0000A2670000}"/>
    <cellStyle name="40% - Accent4 2 2 3 2 4 3" xfId="17531" xr:uid="{00000000-0005-0000-0000-0000A3670000}"/>
    <cellStyle name="40% - Accent4 2 2 3 2 4 4" xfId="24633" xr:uid="{00000000-0005-0000-0000-0000A4670000}"/>
    <cellStyle name="40% - Accent4 2 2 3 2 4 5" xfId="31735" xr:uid="{00000000-0005-0000-0000-0000A5670000}"/>
    <cellStyle name="40% - Accent4 2 2 3 2 4 6" xfId="39470" xr:uid="{00000000-0005-0000-0000-0000A6670000}"/>
    <cellStyle name="40% - Accent4 2 2 3 2 5" xfId="7590" xr:uid="{00000000-0005-0000-0000-0000A7670000}"/>
    <cellStyle name="40% - Accent4 2 2 3 2 6" xfId="14691" xr:uid="{00000000-0005-0000-0000-0000A8670000}"/>
    <cellStyle name="40% - Accent4 2 2 3 2 7" xfId="21793" xr:uid="{00000000-0005-0000-0000-0000A9670000}"/>
    <cellStyle name="40% - Accent4 2 2 3 2 8" xfId="28895" xr:uid="{00000000-0005-0000-0000-0000AA670000}"/>
    <cellStyle name="40% - Accent4 2 2 3 2 9" xfId="39471" xr:uid="{00000000-0005-0000-0000-0000AB670000}"/>
    <cellStyle name="40% - Accent4 2 2 3 3" xfId="624" xr:uid="{00000000-0005-0000-0000-0000AC670000}"/>
    <cellStyle name="40% - Accent4 2 2 3 3 2" xfId="2115" xr:uid="{00000000-0005-0000-0000-0000AD670000}"/>
    <cellStyle name="40% - Accent4 2 2 3 3 2 2" xfId="6383" xr:uid="{00000000-0005-0000-0000-0000AE670000}"/>
    <cellStyle name="40% - Accent4 2 2 3 3 2 2 2" xfId="13483" xr:uid="{00000000-0005-0000-0000-0000AF670000}"/>
    <cellStyle name="40% - Accent4 2 2 3 3 2 2 3" xfId="20584" xr:uid="{00000000-0005-0000-0000-0000B0670000}"/>
    <cellStyle name="40% - Accent4 2 2 3 3 2 2 4" xfId="27686" xr:uid="{00000000-0005-0000-0000-0000B1670000}"/>
    <cellStyle name="40% - Accent4 2 2 3 3 2 2 5" xfId="34788" xr:uid="{00000000-0005-0000-0000-0000B2670000}"/>
    <cellStyle name="40% - Accent4 2 2 3 3 2 2 6" xfId="39472" xr:uid="{00000000-0005-0000-0000-0000B3670000}"/>
    <cellStyle name="40% - Accent4 2 2 3 3 2 3" xfId="9223" xr:uid="{00000000-0005-0000-0000-0000B4670000}"/>
    <cellStyle name="40% - Accent4 2 2 3 3 2 4" xfId="16324" xr:uid="{00000000-0005-0000-0000-0000B5670000}"/>
    <cellStyle name="40% - Accent4 2 2 3 3 2 5" xfId="23426" xr:uid="{00000000-0005-0000-0000-0000B6670000}"/>
    <cellStyle name="40% - Accent4 2 2 3 3 2 6" xfId="30528" xr:uid="{00000000-0005-0000-0000-0000B7670000}"/>
    <cellStyle name="40% - Accent4 2 2 3 3 2 7" xfId="39473" xr:uid="{00000000-0005-0000-0000-0000B8670000}"/>
    <cellStyle name="40% - Accent4 2 2 3 3 3" xfId="4962" xr:uid="{00000000-0005-0000-0000-0000B9670000}"/>
    <cellStyle name="40% - Accent4 2 2 3 3 3 2" xfId="12063" xr:uid="{00000000-0005-0000-0000-0000BA670000}"/>
    <cellStyle name="40% - Accent4 2 2 3 3 3 2 2" xfId="39474" xr:uid="{00000000-0005-0000-0000-0000BB670000}"/>
    <cellStyle name="40% - Accent4 2 2 3 3 3 3" xfId="19164" xr:uid="{00000000-0005-0000-0000-0000BC670000}"/>
    <cellStyle name="40% - Accent4 2 2 3 3 3 4" xfId="26266" xr:uid="{00000000-0005-0000-0000-0000BD670000}"/>
    <cellStyle name="40% - Accent4 2 2 3 3 3 5" xfId="33368" xr:uid="{00000000-0005-0000-0000-0000BE670000}"/>
    <cellStyle name="40% - Accent4 2 2 3 3 3 6" xfId="39475" xr:uid="{00000000-0005-0000-0000-0000BF670000}"/>
    <cellStyle name="40% - Accent4 2 2 3 3 4" xfId="3537" xr:uid="{00000000-0005-0000-0000-0000C0670000}"/>
    <cellStyle name="40% - Accent4 2 2 3 3 4 2" xfId="10643" xr:uid="{00000000-0005-0000-0000-0000C1670000}"/>
    <cellStyle name="40% - Accent4 2 2 3 3 4 3" xfId="17744" xr:uid="{00000000-0005-0000-0000-0000C2670000}"/>
    <cellStyle name="40% - Accent4 2 2 3 3 4 4" xfId="24846" xr:uid="{00000000-0005-0000-0000-0000C3670000}"/>
    <cellStyle name="40% - Accent4 2 2 3 3 4 5" xfId="31948" xr:uid="{00000000-0005-0000-0000-0000C4670000}"/>
    <cellStyle name="40% - Accent4 2 2 3 3 4 6" xfId="39476" xr:uid="{00000000-0005-0000-0000-0000C5670000}"/>
    <cellStyle name="40% - Accent4 2 2 3 3 5" xfId="7803" xr:uid="{00000000-0005-0000-0000-0000C6670000}"/>
    <cellStyle name="40% - Accent4 2 2 3 3 6" xfId="14904" xr:uid="{00000000-0005-0000-0000-0000C7670000}"/>
    <cellStyle name="40% - Accent4 2 2 3 3 7" xfId="22006" xr:uid="{00000000-0005-0000-0000-0000C8670000}"/>
    <cellStyle name="40% - Accent4 2 2 3 3 8" xfId="29108" xr:uid="{00000000-0005-0000-0000-0000C9670000}"/>
    <cellStyle name="40% - Accent4 2 2 3 3 9" xfId="39477" xr:uid="{00000000-0005-0000-0000-0000CA670000}"/>
    <cellStyle name="40% - Accent4 2 2 3 4" xfId="837" xr:uid="{00000000-0005-0000-0000-0000CB670000}"/>
    <cellStyle name="40% - Accent4 2 2 3 4 2" xfId="2328" xr:uid="{00000000-0005-0000-0000-0000CC670000}"/>
    <cellStyle name="40% - Accent4 2 2 3 4 2 2" xfId="6596" xr:uid="{00000000-0005-0000-0000-0000CD670000}"/>
    <cellStyle name="40% - Accent4 2 2 3 4 2 2 2" xfId="13696" xr:uid="{00000000-0005-0000-0000-0000CE670000}"/>
    <cellStyle name="40% - Accent4 2 2 3 4 2 2 3" xfId="20797" xr:uid="{00000000-0005-0000-0000-0000CF670000}"/>
    <cellStyle name="40% - Accent4 2 2 3 4 2 2 4" xfId="27899" xr:uid="{00000000-0005-0000-0000-0000D0670000}"/>
    <cellStyle name="40% - Accent4 2 2 3 4 2 2 5" xfId="35001" xr:uid="{00000000-0005-0000-0000-0000D1670000}"/>
    <cellStyle name="40% - Accent4 2 2 3 4 2 2 6" xfId="39478" xr:uid="{00000000-0005-0000-0000-0000D2670000}"/>
    <cellStyle name="40% - Accent4 2 2 3 4 2 3" xfId="9436" xr:uid="{00000000-0005-0000-0000-0000D3670000}"/>
    <cellStyle name="40% - Accent4 2 2 3 4 2 4" xfId="16537" xr:uid="{00000000-0005-0000-0000-0000D4670000}"/>
    <cellStyle name="40% - Accent4 2 2 3 4 2 5" xfId="23639" xr:uid="{00000000-0005-0000-0000-0000D5670000}"/>
    <cellStyle name="40% - Accent4 2 2 3 4 2 6" xfId="30741" xr:uid="{00000000-0005-0000-0000-0000D6670000}"/>
    <cellStyle name="40% - Accent4 2 2 3 4 2 7" xfId="39479" xr:uid="{00000000-0005-0000-0000-0000D7670000}"/>
    <cellStyle name="40% - Accent4 2 2 3 4 3" xfId="5175" xr:uid="{00000000-0005-0000-0000-0000D8670000}"/>
    <cellStyle name="40% - Accent4 2 2 3 4 3 2" xfId="12276" xr:uid="{00000000-0005-0000-0000-0000D9670000}"/>
    <cellStyle name="40% - Accent4 2 2 3 4 3 2 2" xfId="39480" xr:uid="{00000000-0005-0000-0000-0000DA670000}"/>
    <cellStyle name="40% - Accent4 2 2 3 4 3 3" xfId="19377" xr:uid="{00000000-0005-0000-0000-0000DB670000}"/>
    <cellStyle name="40% - Accent4 2 2 3 4 3 4" xfId="26479" xr:uid="{00000000-0005-0000-0000-0000DC670000}"/>
    <cellStyle name="40% - Accent4 2 2 3 4 3 5" xfId="33581" xr:uid="{00000000-0005-0000-0000-0000DD670000}"/>
    <cellStyle name="40% - Accent4 2 2 3 4 3 6" xfId="39481" xr:uid="{00000000-0005-0000-0000-0000DE670000}"/>
    <cellStyle name="40% - Accent4 2 2 3 4 4" xfId="3750" xr:uid="{00000000-0005-0000-0000-0000DF670000}"/>
    <cellStyle name="40% - Accent4 2 2 3 4 4 2" xfId="10856" xr:uid="{00000000-0005-0000-0000-0000E0670000}"/>
    <cellStyle name="40% - Accent4 2 2 3 4 4 3" xfId="17957" xr:uid="{00000000-0005-0000-0000-0000E1670000}"/>
    <cellStyle name="40% - Accent4 2 2 3 4 4 4" xfId="25059" xr:uid="{00000000-0005-0000-0000-0000E2670000}"/>
    <cellStyle name="40% - Accent4 2 2 3 4 4 5" xfId="32161" xr:uid="{00000000-0005-0000-0000-0000E3670000}"/>
    <cellStyle name="40% - Accent4 2 2 3 4 4 6" xfId="39482" xr:uid="{00000000-0005-0000-0000-0000E4670000}"/>
    <cellStyle name="40% - Accent4 2 2 3 4 5" xfId="8016" xr:uid="{00000000-0005-0000-0000-0000E5670000}"/>
    <cellStyle name="40% - Accent4 2 2 3 4 6" xfId="15117" xr:uid="{00000000-0005-0000-0000-0000E6670000}"/>
    <cellStyle name="40% - Accent4 2 2 3 4 7" xfId="22219" xr:uid="{00000000-0005-0000-0000-0000E7670000}"/>
    <cellStyle name="40% - Accent4 2 2 3 4 8" xfId="29321" xr:uid="{00000000-0005-0000-0000-0000E8670000}"/>
    <cellStyle name="40% - Accent4 2 2 3 4 9" xfId="39483" xr:uid="{00000000-0005-0000-0000-0000E9670000}"/>
    <cellStyle name="40% - Accent4 2 2 3 5" xfId="1192" xr:uid="{00000000-0005-0000-0000-0000EA670000}"/>
    <cellStyle name="40% - Accent4 2 2 3 5 2" xfId="2683" xr:uid="{00000000-0005-0000-0000-0000EB670000}"/>
    <cellStyle name="40% - Accent4 2 2 3 5 2 2" xfId="6951" xr:uid="{00000000-0005-0000-0000-0000EC670000}"/>
    <cellStyle name="40% - Accent4 2 2 3 5 2 2 2" xfId="14051" xr:uid="{00000000-0005-0000-0000-0000ED670000}"/>
    <cellStyle name="40% - Accent4 2 2 3 5 2 2 3" xfId="21152" xr:uid="{00000000-0005-0000-0000-0000EE670000}"/>
    <cellStyle name="40% - Accent4 2 2 3 5 2 2 4" xfId="28254" xr:uid="{00000000-0005-0000-0000-0000EF670000}"/>
    <cellStyle name="40% - Accent4 2 2 3 5 2 2 5" xfId="35356" xr:uid="{00000000-0005-0000-0000-0000F0670000}"/>
    <cellStyle name="40% - Accent4 2 2 3 5 2 3" xfId="9791" xr:uid="{00000000-0005-0000-0000-0000F1670000}"/>
    <cellStyle name="40% - Accent4 2 2 3 5 2 4" xfId="16892" xr:uid="{00000000-0005-0000-0000-0000F2670000}"/>
    <cellStyle name="40% - Accent4 2 2 3 5 2 5" xfId="23994" xr:uid="{00000000-0005-0000-0000-0000F3670000}"/>
    <cellStyle name="40% - Accent4 2 2 3 5 2 6" xfId="31096" xr:uid="{00000000-0005-0000-0000-0000F4670000}"/>
    <cellStyle name="40% - Accent4 2 2 3 5 2 7" xfId="39484" xr:uid="{00000000-0005-0000-0000-0000F5670000}"/>
    <cellStyle name="40% - Accent4 2 2 3 5 3" xfId="5530" xr:uid="{00000000-0005-0000-0000-0000F6670000}"/>
    <cellStyle name="40% - Accent4 2 2 3 5 3 2" xfId="12631" xr:uid="{00000000-0005-0000-0000-0000F7670000}"/>
    <cellStyle name="40% - Accent4 2 2 3 5 3 3" xfId="19732" xr:uid="{00000000-0005-0000-0000-0000F8670000}"/>
    <cellStyle name="40% - Accent4 2 2 3 5 3 4" xfId="26834" xr:uid="{00000000-0005-0000-0000-0000F9670000}"/>
    <cellStyle name="40% - Accent4 2 2 3 5 3 5" xfId="33936" xr:uid="{00000000-0005-0000-0000-0000FA670000}"/>
    <cellStyle name="40% - Accent4 2 2 3 5 4" xfId="4105" xr:uid="{00000000-0005-0000-0000-0000FB670000}"/>
    <cellStyle name="40% - Accent4 2 2 3 5 4 2" xfId="11211" xr:uid="{00000000-0005-0000-0000-0000FC670000}"/>
    <cellStyle name="40% - Accent4 2 2 3 5 4 3" xfId="18312" xr:uid="{00000000-0005-0000-0000-0000FD670000}"/>
    <cellStyle name="40% - Accent4 2 2 3 5 4 4" xfId="25414" xr:uid="{00000000-0005-0000-0000-0000FE670000}"/>
    <cellStyle name="40% - Accent4 2 2 3 5 4 5" xfId="32516" xr:uid="{00000000-0005-0000-0000-0000FF670000}"/>
    <cellStyle name="40% - Accent4 2 2 3 5 5" xfId="8371" xr:uid="{00000000-0005-0000-0000-000000680000}"/>
    <cellStyle name="40% - Accent4 2 2 3 5 6" xfId="15472" xr:uid="{00000000-0005-0000-0000-000001680000}"/>
    <cellStyle name="40% - Accent4 2 2 3 5 7" xfId="22574" xr:uid="{00000000-0005-0000-0000-000002680000}"/>
    <cellStyle name="40% - Accent4 2 2 3 5 8" xfId="29676" xr:uid="{00000000-0005-0000-0000-000003680000}"/>
    <cellStyle name="40% - Accent4 2 2 3 5 9" xfId="39485" xr:uid="{00000000-0005-0000-0000-000004680000}"/>
    <cellStyle name="40% - Accent4 2 2 3 6" xfId="1405" xr:uid="{00000000-0005-0000-0000-000005680000}"/>
    <cellStyle name="40% - Accent4 2 2 3 6 2" xfId="2896" xr:uid="{00000000-0005-0000-0000-000006680000}"/>
    <cellStyle name="40% - Accent4 2 2 3 6 2 2" xfId="7164" xr:uid="{00000000-0005-0000-0000-000007680000}"/>
    <cellStyle name="40% - Accent4 2 2 3 6 2 2 2" xfId="14264" xr:uid="{00000000-0005-0000-0000-000008680000}"/>
    <cellStyle name="40% - Accent4 2 2 3 6 2 2 3" xfId="21365" xr:uid="{00000000-0005-0000-0000-000009680000}"/>
    <cellStyle name="40% - Accent4 2 2 3 6 2 2 4" xfId="28467" xr:uid="{00000000-0005-0000-0000-00000A680000}"/>
    <cellStyle name="40% - Accent4 2 2 3 6 2 2 5" xfId="35569" xr:uid="{00000000-0005-0000-0000-00000B680000}"/>
    <cellStyle name="40% - Accent4 2 2 3 6 2 3" xfId="10004" xr:uid="{00000000-0005-0000-0000-00000C680000}"/>
    <cellStyle name="40% - Accent4 2 2 3 6 2 4" xfId="17105" xr:uid="{00000000-0005-0000-0000-00000D680000}"/>
    <cellStyle name="40% - Accent4 2 2 3 6 2 5" xfId="24207" xr:uid="{00000000-0005-0000-0000-00000E680000}"/>
    <cellStyle name="40% - Accent4 2 2 3 6 2 6" xfId="31309" xr:uid="{00000000-0005-0000-0000-00000F680000}"/>
    <cellStyle name="40% - Accent4 2 2 3 6 2 7" xfId="39486" xr:uid="{00000000-0005-0000-0000-000010680000}"/>
    <cellStyle name="40% - Accent4 2 2 3 6 3" xfId="5743" xr:uid="{00000000-0005-0000-0000-000011680000}"/>
    <cellStyle name="40% - Accent4 2 2 3 6 3 2" xfId="12844" xr:uid="{00000000-0005-0000-0000-000012680000}"/>
    <cellStyle name="40% - Accent4 2 2 3 6 3 3" xfId="19945" xr:uid="{00000000-0005-0000-0000-000013680000}"/>
    <cellStyle name="40% - Accent4 2 2 3 6 3 4" xfId="27047" xr:uid="{00000000-0005-0000-0000-000014680000}"/>
    <cellStyle name="40% - Accent4 2 2 3 6 3 5" xfId="34149" xr:uid="{00000000-0005-0000-0000-000015680000}"/>
    <cellStyle name="40% - Accent4 2 2 3 6 4" xfId="4318" xr:uid="{00000000-0005-0000-0000-000016680000}"/>
    <cellStyle name="40% - Accent4 2 2 3 6 4 2" xfId="11424" xr:uid="{00000000-0005-0000-0000-000017680000}"/>
    <cellStyle name="40% - Accent4 2 2 3 6 4 3" xfId="18525" xr:uid="{00000000-0005-0000-0000-000018680000}"/>
    <cellStyle name="40% - Accent4 2 2 3 6 4 4" xfId="25627" xr:uid="{00000000-0005-0000-0000-000019680000}"/>
    <cellStyle name="40% - Accent4 2 2 3 6 4 5" xfId="32729" xr:uid="{00000000-0005-0000-0000-00001A680000}"/>
    <cellStyle name="40% - Accent4 2 2 3 6 5" xfId="8584" xr:uid="{00000000-0005-0000-0000-00001B680000}"/>
    <cellStyle name="40% - Accent4 2 2 3 6 6" xfId="15685" xr:uid="{00000000-0005-0000-0000-00001C680000}"/>
    <cellStyle name="40% - Accent4 2 2 3 6 7" xfId="22787" xr:uid="{00000000-0005-0000-0000-00001D680000}"/>
    <cellStyle name="40% - Accent4 2 2 3 6 8" xfId="29889" xr:uid="{00000000-0005-0000-0000-00001E680000}"/>
    <cellStyle name="40% - Accent4 2 2 3 6 9" xfId="39487" xr:uid="{00000000-0005-0000-0000-00001F680000}"/>
    <cellStyle name="40% - Accent4 2 2 3 7" xfId="1689" xr:uid="{00000000-0005-0000-0000-000020680000}"/>
    <cellStyle name="40% - Accent4 2 2 3 7 2" xfId="5957" xr:uid="{00000000-0005-0000-0000-000021680000}"/>
    <cellStyle name="40% - Accent4 2 2 3 7 2 2" xfId="13057" xr:uid="{00000000-0005-0000-0000-000022680000}"/>
    <cellStyle name="40% - Accent4 2 2 3 7 2 3" xfId="20158" xr:uid="{00000000-0005-0000-0000-000023680000}"/>
    <cellStyle name="40% - Accent4 2 2 3 7 2 4" xfId="27260" xr:uid="{00000000-0005-0000-0000-000024680000}"/>
    <cellStyle name="40% - Accent4 2 2 3 7 2 5" xfId="34362" xr:uid="{00000000-0005-0000-0000-000025680000}"/>
    <cellStyle name="40% - Accent4 2 2 3 7 3" xfId="8797" xr:uid="{00000000-0005-0000-0000-000026680000}"/>
    <cellStyle name="40% - Accent4 2 2 3 7 4" xfId="15898" xr:uid="{00000000-0005-0000-0000-000027680000}"/>
    <cellStyle name="40% - Accent4 2 2 3 7 5" xfId="23000" xr:uid="{00000000-0005-0000-0000-000028680000}"/>
    <cellStyle name="40% - Accent4 2 2 3 7 6" xfId="30102" xr:uid="{00000000-0005-0000-0000-000029680000}"/>
    <cellStyle name="40% - Accent4 2 2 3 7 7" xfId="39488" xr:uid="{00000000-0005-0000-0000-00002A680000}"/>
    <cellStyle name="40% - Accent4 2 2 3 8" xfId="4536" xr:uid="{00000000-0005-0000-0000-00002B680000}"/>
    <cellStyle name="40% - Accent4 2 2 3 8 2" xfId="11637" xr:uid="{00000000-0005-0000-0000-00002C680000}"/>
    <cellStyle name="40% - Accent4 2 2 3 8 3" xfId="18738" xr:uid="{00000000-0005-0000-0000-00002D680000}"/>
    <cellStyle name="40% - Accent4 2 2 3 8 4" xfId="25840" xr:uid="{00000000-0005-0000-0000-00002E680000}"/>
    <cellStyle name="40% - Accent4 2 2 3 8 5" xfId="32942" xr:uid="{00000000-0005-0000-0000-00002F680000}"/>
    <cellStyle name="40% - Accent4 2 2 3 9" xfId="3111" xr:uid="{00000000-0005-0000-0000-000030680000}"/>
    <cellStyle name="40% - Accent4 2 2 3 9 2" xfId="10217" xr:uid="{00000000-0005-0000-0000-000031680000}"/>
    <cellStyle name="40% - Accent4 2 2 3 9 3" xfId="17318" xr:uid="{00000000-0005-0000-0000-000032680000}"/>
    <cellStyle name="40% - Accent4 2 2 3 9 4" xfId="24420" xr:uid="{00000000-0005-0000-0000-000033680000}"/>
    <cellStyle name="40% - Accent4 2 2 3 9 5" xfId="31522" xr:uid="{00000000-0005-0000-0000-000034680000}"/>
    <cellStyle name="40% - Accent4 2 2 4" xfId="340" xr:uid="{00000000-0005-0000-0000-000035680000}"/>
    <cellStyle name="40% - Accent4 2 2 4 10" xfId="39489" xr:uid="{00000000-0005-0000-0000-000036680000}"/>
    <cellStyle name="40% - Accent4 2 2 4 2" xfId="1121" xr:uid="{00000000-0005-0000-0000-000037680000}"/>
    <cellStyle name="40% - Accent4 2 2 4 2 2" xfId="2612" xr:uid="{00000000-0005-0000-0000-000038680000}"/>
    <cellStyle name="40% - Accent4 2 2 4 2 2 2" xfId="6880" xr:uid="{00000000-0005-0000-0000-000039680000}"/>
    <cellStyle name="40% - Accent4 2 2 4 2 2 2 2" xfId="13980" xr:uid="{00000000-0005-0000-0000-00003A680000}"/>
    <cellStyle name="40% - Accent4 2 2 4 2 2 2 3" xfId="21081" xr:uid="{00000000-0005-0000-0000-00003B680000}"/>
    <cellStyle name="40% - Accent4 2 2 4 2 2 2 4" xfId="28183" xr:uid="{00000000-0005-0000-0000-00003C680000}"/>
    <cellStyle name="40% - Accent4 2 2 4 2 2 2 5" xfId="35285" xr:uid="{00000000-0005-0000-0000-00003D680000}"/>
    <cellStyle name="40% - Accent4 2 2 4 2 2 3" xfId="9720" xr:uid="{00000000-0005-0000-0000-00003E680000}"/>
    <cellStyle name="40% - Accent4 2 2 4 2 2 4" xfId="16821" xr:uid="{00000000-0005-0000-0000-00003F680000}"/>
    <cellStyle name="40% - Accent4 2 2 4 2 2 5" xfId="23923" xr:uid="{00000000-0005-0000-0000-000040680000}"/>
    <cellStyle name="40% - Accent4 2 2 4 2 2 6" xfId="31025" xr:uid="{00000000-0005-0000-0000-000041680000}"/>
    <cellStyle name="40% - Accent4 2 2 4 2 2 7" xfId="39490" xr:uid="{00000000-0005-0000-0000-000042680000}"/>
    <cellStyle name="40% - Accent4 2 2 4 2 3" xfId="5459" xr:uid="{00000000-0005-0000-0000-000043680000}"/>
    <cellStyle name="40% - Accent4 2 2 4 2 3 2" xfId="12560" xr:uid="{00000000-0005-0000-0000-000044680000}"/>
    <cellStyle name="40% - Accent4 2 2 4 2 3 3" xfId="19661" xr:uid="{00000000-0005-0000-0000-000045680000}"/>
    <cellStyle name="40% - Accent4 2 2 4 2 3 4" xfId="26763" xr:uid="{00000000-0005-0000-0000-000046680000}"/>
    <cellStyle name="40% - Accent4 2 2 4 2 3 5" xfId="33865" xr:uid="{00000000-0005-0000-0000-000047680000}"/>
    <cellStyle name="40% - Accent4 2 2 4 2 4" xfId="4034" xr:uid="{00000000-0005-0000-0000-000048680000}"/>
    <cellStyle name="40% - Accent4 2 2 4 2 4 2" xfId="11140" xr:uid="{00000000-0005-0000-0000-000049680000}"/>
    <cellStyle name="40% - Accent4 2 2 4 2 4 3" xfId="18241" xr:uid="{00000000-0005-0000-0000-00004A680000}"/>
    <cellStyle name="40% - Accent4 2 2 4 2 4 4" xfId="25343" xr:uid="{00000000-0005-0000-0000-00004B680000}"/>
    <cellStyle name="40% - Accent4 2 2 4 2 4 5" xfId="32445" xr:uid="{00000000-0005-0000-0000-00004C680000}"/>
    <cellStyle name="40% - Accent4 2 2 4 2 5" xfId="8300" xr:uid="{00000000-0005-0000-0000-00004D680000}"/>
    <cellStyle name="40% - Accent4 2 2 4 2 6" xfId="15401" xr:uid="{00000000-0005-0000-0000-00004E680000}"/>
    <cellStyle name="40% - Accent4 2 2 4 2 7" xfId="22503" xr:uid="{00000000-0005-0000-0000-00004F680000}"/>
    <cellStyle name="40% - Accent4 2 2 4 2 8" xfId="29605" xr:uid="{00000000-0005-0000-0000-000050680000}"/>
    <cellStyle name="40% - Accent4 2 2 4 2 9" xfId="39491" xr:uid="{00000000-0005-0000-0000-000051680000}"/>
    <cellStyle name="40% - Accent4 2 2 4 3" xfId="1831" xr:uid="{00000000-0005-0000-0000-000052680000}"/>
    <cellStyle name="40% - Accent4 2 2 4 3 2" xfId="6099" xr:uid="{00000000-0005-0000-0000-000053680000}"/>
    <cellStyle name="40% - Accent4 2 2 4 3 2 2" xfId="13199" xr:uid="{00000000-0005-0000-0000-000054680000}"/>
    <cellStyle name="40% - Accent4 2 2 4 3 2 3" xfId="20300" xr:uid="{00000000-0005-0000-0000-000055680000}"/>
    <cellStyle name="40% - Accent4 2 2 4 3 2 4" xfId="27402" xr:uid="{00000000-0005-0000-0000-000056680000}"/>
    <cellStyle name="40% - Accent4 2 2 4 3 2 5" xfId="34504" xr:uid="{00000000-0005-0000-0000-000057680000}"/>
    <cellStyle name="40% - Accent4 2 2 4 3 2 6" xfId="39492" xr:uid="{00000000-0005-0000-0000-000058680000}"/>
    <cellStyle name="40% - Accent4 2 2 4 3 3" xfId="8939" xr:uid="{00000000-0005-0000-0000-000059680000}"/>
    <cellStyle name="40% - Accent4 2 2 4 3 4" xfId="16040" xr:uid="{00000000-0005-0000-0000-00005A680000}"/>
    <cellStyle name="40% - Accent4 2 2 4 3 5" xfId="23142" xr:uid="{00000000-0005-0000-0000-00005B680000}"/>
    <cellStyle name="40% - Accent4 2 2 4 3 6" xfId="30244" xr:uid="{00000000-0005-0000-0000-00005C680000}"/>
    <cellStyle name="40% - Accent4 2 2 4 3 7" xfId="39493" xr:uid="{00000000-0005-0000-0000-00005D680000}"/>
    <cellStyle name="40% - Accent4 2 2 4 4" xfId="4678" xr:uid="{00000000-0005-0000-0000-00005E680000}"/>
    <cellStyle name="40% - Accent4 2 2 4 4 2" xfId="11779" xr:uid="{00000000-0005-0000-0000-00005F680000}"/>
    <cellStyle name="40% - Accent4 2 2 4 4 3" xfId="18880" xr:uid="{00000000-0005-0000-0000-000060680000}"/>
    <cellStyle name="40% - Accent4 2 2 4 4 4" xfId="25982" xr:uid="{00000000-0005-0000-0000-000061680000}"/>
    <cellStyle name="40% - Accent4 2 2 4 4 5" xfId="33084" xr:uid="{00000000-0005-0000-0000-000062680000}"/>
    <cellStyle name="40% - Accent4 2 2 4 4 6" xfId="39494" xr:uid="{00000000-0005-0000-0000-000063680000}"/>
    <cellStyle name="40% - Accent4 2 2 4 5" xfId="3253" xr:uid="{00000000-0005-0000-0000-000064680000}"/>
    <cellStyle name="40% - Accent4 2 2 4 5 2" xfId="10359" xr:uid="{00000000-0005-0000-0000-000065680000}"/>
    <cellStyle name="40% - Accent4 2 2 4 5 3" xfId="17460" xr:uid="{00000000-0005-0000-0000-000066680000}"/>
    <cellStyle name="40% - Accent4 2 2 4 5 4" xfId="24562" xr:uid="{00000000-0005-0000-0000-000067680000}"/>
    <cellStyle name="40% - Accent4 2 2 4 5 5" xfId="31664" xr:uid="{00000000-0005-0000-0000-000068680000}"/>
    <cellStyle name="40% - Accent4 2 2 4 6" xfId="7519" xr:uid="{00000000-0005-0000-0000-000069680000}"/>
    <cellStyle name="40% - Accent4 2 2 4 7" xfId="14620" xr:uid="{00000000-0005-0000-0000-00006A680000}"/>
    <cellStyle name="40% - Accent4 2 2 4 8" xfId="21722" xr:uid="{00000000-0005-0000-0000-00006B680000}"/>
    <cellStyle name="40% - Accent4 2 2 4 9" xfId="28824" xr:uid="{00000000-0005-0000-0000-00006C680000}"/>
    <cellStyle name="40% - Accent4 2 2 5" xfId="553" xr:uid="{00000000-0005-0000-0000-00006D680000}"/>
    <cellStyle name="40% - Accent4 2 2 5 2" xfId="2044" xr:uid="{00000000-0005-0000-0000-00006E680000}"/>
    <cellStyle name="40% - Accent4 2 2 5 2 2" xfId="6312" xr:uid="{00000000-0005-0000-0000-00006F680000}"/>
    <cellStyle name="40% - Accent4 2 2 5 2 2 2" xfId="13412" xr:uid="{00000000-0005-0000-0000-000070680000}"/>
    <cellStyle name="40% - Accent4 2 2 5 2 2 3" xfId="20513" xr:uid="{00000000-0005-0000-0000-000071680000}"/>
    <cellStyle name="40% - Accent4 2 2 5 2 2 4" xfId="27615" xr:uid="{00000000-0005-0000-0000-000072680000}"/>
    <cellStyle name="40% - Accent4 2 2 5 2 2 5" xfId="34717" xr:uid="{00000000-0005-0000-0000-000073680000}"/>
    <cellStyle name="40% - Accent4 2 2 5 2 2 6" xfId="39495" xr:uid="{00000000-0005-0000-0000-000074680000}"/>
    <cellStyle name="40% - Accent4 2 2 5 2 3" xfId="9152" xr:uid="{00000000-0005-0000-0000-000075680000}"/>
    <cellStyle name="40% - Accent4 2 2 5 2 4" xfId="16253" xr:uid="{00000000-0005-0000-0000-000076680000}"/>
    <cellStyle name="40% - Accent4 2 2 5 2 5" xfId="23355" xr:uid="{00000000-0005-0000-0000-000077680000}"/>
    <cellStyle name="40% - Accent4 2 2 5 2 6" xfId="30457" xr:uid="{00000000-0005-0000-0000-000078680000}"/>
    <cellStyle name="40% - Accent4 2 2 5 2 7" xfId="39496" xr:uid="{00000000-0005-0000-0000-000079680000}"/>
    <cellStyle name="40% - Accent4 2 2 5 3" xfId="4891" xr:uid="{00000000-0005-0000-0000-00007A680000}"/>
    <cellStyle name="40% - Accent4 2 2 5 3 2" xfId="11992" xr:uid="{00000000-0005-0000-0000-00007B680000}"/>
    <cellStyle name="40% - Accent4 2 2 5 3 2 2" xfId="39497" xr:uid="{00000000-0005-0000-0000-00007C680000}"/>
    <cellStyle name="40% - Accent4 2 2 5 3 3" xfId="19093" xr:uid="{00000000-0005-0000-0000-00007D680000}"/>
    <cellStyle name="40% - Accent4 2 2 5 3 4" xfId="26195" xr:uid="{00000000-0005-0000-0000-00007E680000}"/>
    <cellStyle name="40% - Accent4 2 2 5 3 5" xfId="33297" xr:uid="{00000000-0005-0000-0000-00007F680000}"/>
    <cellStyle name="40% - Accent4 2 2 5 3 6" xfId="39498" xr:uid="{00000000-0005-0000-0000-000080680000}"/>
    <cellStyle name="40% - Accent4 2 2 5 4" xfId="3466" xr:uid="{00000000-0005-0000-0000-000081680000}"/>
    <cellStyle name="40% - Accent4 2 2 5 4 2" xfId="10572" xr:uid="{00000000-0005-0000-0000-000082680000}"/>
    <cellStyle name="40% - Accent4 2 2 5 4 3" xfId="17673" xr:uid="{00000000-0005-0000-0000-000083680000}"/>
    <cellStyle name="40% - Accent4 2 2 5 4 4" xfId="24775" xr:uid="{00000000-0005-0000-0000-000084680000}"/>
    <cellStyle name="40% - Accent4 2 2 5 4 5" xfId="31877" xr:uid="{00000000-0005-0000-0000-000085680000}"/>
    <cellStyle name="40% - Accent4 2 2 5 4 6" xfId="39499" xr:uid="{00000000-0005-0000-0000-000086680000}"/>
    <cellStyle name="40% - Accent4 2 2 5 5" xfId="7732" xr:uid="{00000000-0005-0000-0000-000087680000}"/>
    <cellStyle name="40% - Accent4 2 2 5 6" xfId="14833" xr:uid="{00000000-0005-0000-0000-000088680000}"/>
    <cellStyle name="40% - Accent4 2 2 5 7" xfId="21935" xr:uid="{00000000-0005-0000-0000-000089680000}"/>
    <cellStyle name="40% - Accent4 2 2 5 8" xfId="29037" xr:uid="{00000000-0005-0000-0000-00008A680000}"/>
    <cellStyle name="40% - Accent4 2 2 5 9" xfId="39500" xr:uid="{00000000-0005-0000-0000-00008B680000}"/>
    <cellStyle name="40% - Accent4 2 2 6" xfId="766" xr:uid="{00000000-0005-0000-0000-00008C680000}"/>
    <cellStyle name="40% - Accent4 2 2 6 2" xfId="2257" xr:uid="{00000000-0005-0000-0000-00008D680000}"/>
    <cellStyle name="40% - Accent4 2 2 6 2 2" xfId="6525" xr:uid="{00000000-0005-0000-0000-00008E680000}"/>
    <cellStyle name="40% - Accent4 2 2 6 2 2 2" xfId="13625" xr:uid="{00000000-0005-0000-0000-00008F680000}"/>
    <cellStyle name="40% - Accent4 2 2 6 2 2 3" xfId="20726" xr:uid="{00000000-0005-0000-0000-000090680000}"/>
    <cellStyle name="40% - Accent4 2 2 6 2 2 4" xfId="27828" xr:uid="{00000000-0005-0000-0000-000091680000}"/>
    <cellStyle name="40% - Accent4 2 2 6 2 2 5" xfId="34930" xr:uid="{00000000-0005-0000-0000-000092680000}"/>
    <cellStyle name="40% - Accent4 2 2 6 2 2 6" xfId="39501" xr:uid="{00000000-0005-0000-0000-000093680000}"/>
    <cellStyle name="40% - Accent4 2 2 6 2 3" xfId="9365" xr:uid="{00000000-0005-0000-0000-000094680000}"/>
    <cellStyle name="40% - Accent4 2 2 6 2 4" xfId="16466" xr:uid="{00000000-0005-0000-0000-000095680000}"/>
    <cellStyle name="40% - Accent4 2 2 6 2 5" xfId="23568" xr:uid="{00000000-0005-0000-0000-000096680000}"/>
    <cellStyle name="40% - Accent4 2 2 6 2 6" xfId="30670" xr:uid="{00000000-0005-0000-0000-000097680000}"/>
    <cellStyle name="40% - Accent4 2 2 6 2 7" xfId="39502" xr:uid="{00000000-0005-0000-0000-000098680000}"/>
    <cellStyle name="40% - Accent4 2 2 6 3" xfId="5104" xr:uid="{00000000-0005-0000-0000-000099680000}"/>
    <cellStyle name="40% - Accent4 2 2 6 3 2" xfId="12205" xr:uid="{00000000-0005-0000-0000-00009A680000}"/>
    <cellStyle name="40% - Accent4 2 2 6 3 2 2" xfId="39503" xr:uid="{00000000-0005-0000-0000-00009B680000}"/>
    <cellStyle name="40% - Accent4 2 2 6 3 3" xfId="19306" xr:uid="{00000000-0005-0000-0000-00009C680000}"/>
    <cellStyle name="40% - Accent4 2 2 6 3 4" xfId="26408" xr:uid="{00000000-0005-0000-0000-00009D680000}"/>
    <cellStyle name="40% - Accent4 2 2 6 3 5" xfId="33510" xr:uid="{00000000-0005-0000-0000-00009E680000}"/>
    <cellStyle name="40% - Accent4 2 2 6 3 6" xfId="39504" xr:uid="{00000000-0005-0000-0000-00009F680000}"/>
    <cellStyle name="40% - Accent4 2 2 6 4" xfId="3679" xr:uid="{00000000-0005-0000-0000-0000A0680000}"/>
    <cellStyle name="40% - Accent4 2 2 6 4 2" xfId="10785" xr:uid="{00000000-0005-0000-0000-0000A1680000}"/>
    <cellStyle name="40% - Accent4 2 2 6 4 3" xfId="17886" xr:uid="{00000000-0005-0000-0000-0000A2680000}"/>
    <cellStyle name="40% - Accent4 2 2 6 4 4" xfId="24988" xr:uid="{00000000-0005-0000-0000-0000A3680000}"/>
    <cellStyle name="40% - Accent4 2 2 6 4 5" xfId="32090" xr:uid="{00000000-0005-0000-0000-0000A4680000}"/>
    <cellStyle name="40% - Accent4 2 2 6 4 6" xfId="39505" xr:uid="{00000000-0005-0000-0000-0000A5680000}"/>
    <cellStyle name="40% - Accent4 2 2 6 5" xfId="7945" xr:uid="{00000000-0005-0000-0000-0000A6680000}"/>
    <cellStyle name="40% - Accent4 2 2 6 6" xfId="15046" xr:uid="{00000000-0005-0000-0000-0000A7680000}"/>
    <cellStyle name="40% - Accent4 2 2 6 7" xfId="22148" xr:uid="{00000000-0005-0000-0000-0000A8680000}"/>
    <cellStyle name="40% - Accent4 2 2 6 8" xfId="29250" xr:uid="{00000000-0005-0000-0000-0000A9680000}"/>
    <cellStyle name="40% - Accent4 2 2 6 9" xfId="39506" xr:uid="{00000000-0005-0000-0000-0000AA680000}"/>
    <cellStyle name="40% - Accent4 2 2 7" xfId="979" xr:uid="{00000000-0005-0000-0000-0000AB680000}"/>
    <cellStyle name="40% - Accent4 2 2 7 2" xfId="2470" xr:uid="{00000000-0005-0000-0000-0000AC680000}"/>
    <cellStyle name="40% - Accent4 2 2 7 2 2" xfId="6738" xr:uid="{00000000-0005-0000-0000-0000AD680000}"/>
    <cellStyle name="40% - Accent4 2 2 7 2 2 2" xfId="13838" xr:uid="{00000000-0005-0000-0000-0000AE680000}"/>
    <cellStyle name="40% - Accent4 2 2 7 2 2 3" xfId="20939" xr:uid="{00000000-0005-0000-0000-0000AF680000}"/>
    <cellStyle name="40% - Accent4 2 2 7 2 2 4" xfId="28041" xr:uid="{00000000-0005-0000-0000-0000B0680000}"/>
    <cellStyle name="40% - Accent4 2 2 7 2 2 5" xfId="35143" xr:uid="{00000000-0005-0000-0000-0000B1680000}"/>
    <cellStyle name="40% - Accent4 2 2 7 2 3" xfId="9578" xr:uid="{00000000-0005-0000-0000-0000B2680000}"/>
    <cellStyle name="40% - Accent4 2 2 7 2 4" xfId="16679" xr:uid="{00000000-0005-0000-0000-0000B3680000}"/>
    <cellStyle name="40% - Accent4 2 2 7 2 5" xfId="23781" xr:uid="{00000000-0005-0000-0000-0000B4680000}"/>
    <cellStyle name="40% - Accent4 2 2 7 2 6" xfId="30883" xr:uid="{00000000-0005-0000-0000-0000B5680000}"/>
    <cellStyle name="40% - Accent4 2 2 7 2 7" xfId="39507" xr:uid="{00000000-0005-0000-0000-0000B6680000}"/>
    <cellStyle name="40% - Accent4 2 2 7 3" xfId="5317" xr:uid="{00000000-0005-0000-0000-0000B7680000}"/>
    <cellStyle name="40% - Accent4 2 2 7 3 2" xfId="12418" xr:uid="{00000000-0005-0000-0000-0000B8680000}"/>
    <cellStyle name="40% - Accent4 2 2 7 3 3" xfId="19519" xr:uid="{00000000-0005-0000-0000-0000B9680000}"/>
    <cellStyle name="40% - Accent4 2 2 7 3 4" xfId="26621" xr:uid="{00000000-0005-0000-0000-0000BA680000}"/>
    <cellStyle name="40% - Accent4 2 2 7 3 5" xfId="33723" xr:uid="{00000000-0005-0000-0000-0000BB680000}"/>
    <cellStyle name="40% - Accent4 2 2 7 4" xfId="3892" xr:uid="{00000000-0005-0000-0000-0000BC680000}"/>
    <cellStyle name="40% - Accent4 2 2 7 4 2" xfId="10998" xr:uid="{00000000-0005-0000-0000-0000BD680000}"/>
    <cellStyle name="40% - Accent4 2 2 7 4 3" xfId="18099" xr:uid="{00000000-0005-0000-0000-0000BE680000}"/>
    <cellStyle name="40% - Accent4 2 2 7 4 4" xfId="25201" xr:uid="{00000000-0005-0000-0000-0000BF680000}"/>
    <cellStyle name="40% - Accent4 2 2 7 4 5" xfId="32303" xr:uid="{00000000-0005-0000-0000-0000C0680000}"/>
    <cellStyle name="40% - Accent4 2 2 7 5" xfId="8158" xr:uid="{00000000-0005-0000-0000-0000C1680000}"/>
    <cellStyle name="40% - Accent4 2 2 7 6" xfId="15259" xr:uid="{00000000-0005-0000-0000-0000C2680000}"/>
    <cellStyle name="40% - Accent4 2 2 7 7" xfId="22361" xr:uid="{00000000-0005-0000-0000-0000C3680000}"/>
    <cellStyle name="40% - Accent4 2 2 7 8" xfId="29463" xr:uid="{00000000-0005-0000-0000-0000C4680000}"/>
    <cellStyle name="40% - Accent4 2 2 7 9" xfId="39508" xr:uid="{00000000-0005-0000-0000-0000C5680000}"/>
    <cellStyle name="40% - Accent4 2 2 8" xfId="1334" xr:uid="{00000000-0005-0000-0000-0000C6680000}"/>
    <cellStyle name="40% - Accent4 2 2 8 2" xfId="2825" xr:uid="{00000000-0005-0000-0000-0000C7680000}"/>
    <cellStyle name="40% - Accent4 2 2 8 2 2" xfId="7093" xr:uid="{00000000-0005-0000-0000-0000C8680000}"/>
    <cellStyle name="40% - Accent4 2 2 8 2 2 2" xfId="14193" xr:uid="{00000000-0005-0000-0000-0000C9680000}"/>
    <cellStyle name="40% - Accent4 2 2 8 2 2 3" xfId="21294" xr:uid="{00000000-0005-0000-0000-0000CA680000}"/>
    <cellStyle name="40% - Accent4 2 2 8 2 2 4" xfId="28396" xr:uid="{00000000-0005-0000-0000-0000CB680000}"/>
    <cellStyle name="40% - Accent4 2 2 8 2 2 5" xfId="35498" xr:uid="{00000000-0005-0000-0000-0000CC680000}"/>
    <cellStyle name="40% - Accent4 2 2 8 2 3" xfId="9933" xr:uid="{00000000-0005-0000-0000-0000CD680000}"/>
    <cellStyle name="40% - Accent4 2 2 8 2 4" xfId="17034" xr:uid="{00000000-0005-0000-0000-0000CE680000}"/>
    <cellStyle name="40% - Accent4 2 2 8 2 5" xfId="24136" xr:uid="{00000000-0005-0000-0000-0000CF680000}"/>
    <cellStyle name="40% - Accent4 2 2 8 2 6" xfId="31238" xr:uid="{00000000-0005-0000-0000-0000D0680000}"/>
    <cellStyle name="40% - Accent4 2 2 8 2 7" xfId="39509" xr:uid="{00000000-0005-0000-0000-0000D1680000}"/>
    <cellStyle name="40% - Accent4 2 2 8 3" xfId="5672" xr:uid="{00000000-0005-0000-0000-0000D2680000}"/>
    <cellStyle name="40% - Accent4 2 2 8 3 2" xfId="12773" xr:uid="{00000000-0005-0000-0000-0000D3680000}"/>
    <cellStyle name="40% - Accent4 2 2 8 3 3" xfId="19874" xr:uid="{00000000-0005-0000-0000-0000D4680000}"/>
    <cellStyle name="40% - Accent4 2 2 8 3 4" xfId="26976" xr:uid="{00000000-0005-0000-0000-0000D5680000}"/>
    <cellStyle name="40% - Accent4 2 2 8 3 5" xfId="34078" xr:uid="{00000000-0005-0000-0000-0000D6680000}"/>
    <cellStyle name="40% - Accent4 2 2 8 4" xfId="4247" xr:uid="{00000000-0005-0000-0000-0000D7680000}"/>
    <cellStyle name="40% - Accent4 2 2 8 4 2" xfId="11353" xr:uid="{00000000-0005-0000-0000-0000D8680000}"/>
    <cellStyle name="40% - Accent4 2 2 8 4 3" xfId="18454" xr:uid="{00000000-0005-0000-0000-0000D9680000}"/>
    <cellStyle name="40% - Accent4 2 2 8 4 4" xfId="25556" xr:uid="{00000000-0005-0000-0000-0000DA680000}"/>
    <cellStyle name="40% - Accent4 2 2 8 4 5" xfId="32658" xr:uid="{00000000-0005-0000-0000-0000DB680000}"/>
    <cellStyle name="40% - Accent4 2 2 8 5" xfId="8513" xr:uid="{00000000-0005-0000-0000-0000DC680000}"/>
    <cellStyle name="40% - Accent4 2 2 8 6" xfId="15614" xr:uid="{00000000-0005-0000-0000-0000DD680000}"/>
    <cellStyle name="40% - Accent4 2 2 8 7" xfId="22716" xr:uid="{00000000-0005-0000-0000-0000DE680000}"/>
    <cellStyle name="40% - Accent4 2 2 8 8" xfId="29818" xr:uid="{00000000-0005-0000-0000-0000DF680000}"/>
    <cellStyle name="40% - Accent4 2 2 8 9" xfId="39510" xr:uid="{00000000-0005-0000-0000-0000E0680000}"/>
    <cellStyle name="40% - Accent4 2 2 9" xfId="1618" xr:uid="{00000000-0005-0000-0000-0000E1680000}"/>
    <cellStyle name="40% - Accent4 2 2 9 2" xfId="5886" xr:uid="{00000000-0005-0000-0000-0000E2680000}"/>
    <cellStyle name="40% - Accent4 2 2 9 2 2" xfId="12986" xr:uid="{00000000-0005-0000-0000-0000E3680000}"/>
    <cellStyle name="40% - Accent4 2 2 9 2 3" xfId="20087" xr:uid="{00000000-0005-0000-0000-0000E4680000}"/>
    <cellStyle name="40% - Accent4 2 2 9 2 4" xfId="27189" xr:uid="{00000000-0005-0000-0000-0000E5680000}"/>
    <cellStyle name="40% - Accent4 2 2 9 2 5" xfId="34291" xr:uid="{00000000-0005-0000-0000-0000E6680000}"/>
    <cellStyle name="40% - Accent4 2 2 9 3" xfId="8726" xr:uid="{00000000-0005-0000-0000-0000E7680000}"/>
    <cellStyle name="40% - Accent4 2 2 9 4" xfId="15827" xr:uid="{00000000-0005-0000-0000-0000E8680000}"/>
    <cellStyle name="40% - Accent4 2 2 9 5" xfId="22929" xr:uid="{00000000-0005-0000-0000-0000E9680000}"/>
    <cellStyle name="40% - Accent4 2 2 9 6" xfId="30031" xr:uid="{00000000-0005-0000-0000-0000EA680000}"/>
    <cellStyle name="40% - Accent4 2 2 9 7" xfId="39511" xr:uid="{00000000-0005-0000-0000-0000EB680000}"/>
    <cellStyle name="40% - Accent4 2 3" xfId="238" xr:uid="{00000000-0005-0000-0000-0000EC680000}"/>
    <cellStyle name="40% - Accent4 2 3 10" xfId="7417" xr:uid="{00000000-0005-0000-0000-0000ED680000}"/>
    <cellStyle name="40% - Accent4 2 3 11" xfId="14518" xr:uid="{00000000-0005-0000-0000-0000EE680000}"/>
    <cellStyle name="40% - Accent4 2 3 12" xfId="21620" xr:uid="{00000000-0005-0000-0000-0000EF680000}"/>
    <cellStyle name="40% - Accent4 2 3 13" xfId="28722" xr:uid="{00000000-0005-0000-0000-0000F0680000}"/>
    <cellStyle name="40% - Accent4 2 3 14" xfId="35824" xr:uid="{00000000-0005-0000-0000-0000F1680000}"/>
    <cellStyle name="40% - Accent4 2 3 15" xfId="39512" xr:uid="{00000000-0005-0000-0000-0000F2680000}"/>
    <cellStyle name="40% - Accent4 2 3 2" xfId="451" xr:uid="{00000000-0005-0000-0000-0000F3680000}"/>
    <cellStyle name="40% - Accent4 2 3 2 10" xfId="39513" xr:uid="{00000000-0005-0000-0000-0000F4680000}"/>
    <cellStyle name="40% - Accent4 2 3 2 2" xfId="1232" xr:uid="{00000000-0005-0000-0000-0000F5680000}"/>
    <cellStyle name="40% - Accent4 2 3 2 2 2" xfId="2723" xr:uid="{00000000-0005-0000-0000-0000F6680000}"/>
    <cellStyle name="40% - Accent4 2 3 2 2 2 2" xfId="6991" xr:uid="{00000000-0005-0000-0000-0000F7680000}"/>
    <cellStyle name="40% - Accent4 2 3 2 2 2 2 2" xfId="14091" xr:uid="{00000000-0005-0000-0000-0000F8680000}"/>
    <cellStyle name="40% - Accent4 2 3 2 2 2 2 3" xfId="21192" xr:uid="{00000000-0005-0000-0000-0000F9680000}"/>
    <cellStyle name="40% - Accent4 2 3 2 2 2 2 4" xfId="28294" xr:uid="{00000000-0005-0000-0000-0000FA680000}"/>
    <cellStyle name="40% - Accent4 2 3 2 2 2 2 5" xfId="35396" xr:uid="{00000000-0005-0000-0000-0000FB680000}"/>
    <cellStyle name="40% - Accent4 2 3 2 2 2 3" xfId="9831" xr:uid="{00000000-0005-0000-0000-0000FC680000}"/>
    <cellStyle name="40% - Accent4 2 3 2 2 2 4" xfId="16932" xr:uid="{00000000-0005-0000-0000-0000FD680000}"/>
    <cellStyle name="40% - Accent4 2 3 2 2 2 5" xfId="24034" xr:uid="{00000000-0005-0000-0000-0000FE680000}"/>
    <cellStyle name="40% - Accent4 2 3 2 2 2 6" xfId="31136" xr:uid="{00000000-0005-0000-0000-0000FF680000}"/>
    <cellStyle name="40% - Accent4 2 3 2 2 2 7" xfId="39514" xr:uid="{00000000-0005-0000-0000-000000690000}"/>
    <cellStyle name="40% - Accent4 2 3 2 2 3" xfId="5570" xr:uid="{00000000-0005-0000-0000-000001690000}"/>
    <cellStyle name="40% - Accent4 2 3 2 2 3 2" xfId="12671" xr:uid="{00000000-0005-0000-0000-000002690000}"/>
    <cellStyle name="40% - Accent4 2 3 2 2 3 3" xfId="19772" xr:uid="{00000000-0005-0000-0000-000003690000}"/>
    <cellStyle name="40% - Accent4 2 3 2 2 3 4" xfId="26874" xr:uid="{00000000-0005-0000-0000-000004690000}"/>
    <cellStyle name="40% - Accent4 2 3 2 2 3 5" xfId="33976" xr:uid="{00000000-0005-0000-0000-000005690000}"/>
    <cellStyle name="40% - Accent4 2 3 2 2 4" xfId="4145" xr:uid="{00000000-0005-0000-0000-000006690000}"/>
    <cellStyle name="40% - Accent4 2 3 2 2 4 2" xfId="11251" xr:uid="{00000000-0005-0000-0000-000007690000}"/>
    <cellStyle name="40% - Accent4 2 3 2 2 4 3" xfId="18352" xr:uid="{00000000-0005-0000-0000-000008690000}"/>
    <cellStyle name="40% - Accent4 2 3 2 2 4 4" xfId="25454" xr:uid="{00000000-0005-0000-0000-000009690000}"/>
    <cellStyle name="40% - Accent4 2 3 2 2 4 5" xfId="32556" xr:uid="{00000000-0005-0000-0000-00000A690000}"/>
    <cellStyle name="40% - Accent4 2 3 2 2 5" xfId="8411" xr:uid="{00000000-0005-0000-0000-00000B690000}"/>
    <cellStyle name="40% - Accent4 2 3 2 2 6" xfId="15512" xr:uid="{00000000-0005-0000-0000-00000C690000}"/>
    <cellStyle name="40% - Accent4 2 3 2 2 7" xfId="22614" xr:uid="{00000000-0005-0000-0000-00000D690000}"/>
    <cellStyle name="40% - Accent4 2 3 2 2 8" xfId="29716" xr:uid="{00000000-0005-0000-0000-00000E690000}"/>
    <cellStyle name="40% - Accent4 2 3 2 2 9" xfId="39515" xr:uid="{00000000-0005-0000-0000-00000F690000}"/>
    <cellStyle name="40% - Accent4 2 3 2 3" xfId="1942" xr:uid="{00000000-0005-0000-0000-000010690000}"/>
    <cellStyle name="40% - Accent4 2 3 2 3 2" xfId="6210" xr:uid="{00000000-0005-0000-0000-000011690000}"/>
    <cellStyle name="40% - Accent4 2 3 2 3 2 2" xfId="13310" xr:uid="{00000000-0005-0000-0000-000012690000}"/>
    <cellStyle name="40% - Accent4 2 3 2 3 2 3" xfId="20411" xr:uid="{00000000-0005-0000-0000-000013690000}"/>
    <cellStyle name="40% - Accent4 2 3 2 3 2 4" xfId="27513" xr:uid="{00000000-0005-0000-0000-000014690000}"/>
    <cellStyle name="40% - Accent4 2 3 2 3 2 5" xfId="34615" xr:uid="{00000000-0005-0000-0000-000015690000}"/>
    <cellStyle name="40% - Accent4 2 3 2 3 2 6" xfId="39516" xr:uid="{00000000-0005-0000-0000-000016690000}"/>
    <cellStyle name="40% - Accent4 2 3 2 3 3" xfId="9050" xr:uid="{00000000-0005-0000-0000-000017690000}"/>
    <cellStyle name="40% - Accent4 2 3 2 3 4" xfId="16151" xr:uid="{00000000-0005-0000-0000-000018690000}"/>
    <cellStyle name="40% - Accent4 2 3 2 3 5" xfId="23253" xr:uid="{00000000-0005-0000-0000-000019690000}"/>
    <cellStyle name="40% - Accent4 2 3 2 3 6" xfId="30355" xr:uid="{00000000-0005-0000-0000-00001A690000}"/>
    <cellStyle name="40% - Accent4 2 3 2 3 7" xfId="39517" xr:uid="{00000000-0005-0000-0000-00001B690000}"/>
    <cellStyle name="40% - Accent4 2 3 2 4" xfId="4789" xr:uid="{00000000-0005-0000-0000-00001C690000}"/>
    <cellStyle name="40% - Accent4 2 3 2 4 2" xfId="11890" xr:uid="{00000000-0005-0000-0000-00001D690000}"/>
    <cellStyle name="40% - Accent4 2 3 2 4 3" xfId="18991" xr:uid="{00000000-0005-0000-0000-00001E690000}"/>
    <cellStyle name="40% - Accent4 2 3 2 4 4" xfId="26093" xr:uid="{00000000-0005-0000-0000-00001F690000}"/>
    <cellStyle name="40% - Accent4 2 3 2 4 5" xfId="33195" xr:uid="{00000000-0005-0000-0000-000020690000}"/>
    <cellStyle name="40% - Accent4 2 3 2 4 6" xfId="39518" xr:uid="{00000000-0005-0000-0000-000021690000}"/>
    <cellStyle name="40% - Accent4 2 3 2 5" xfId="3364" xr:uid="{00000000-0005-0000-0000-000022690000}"/>
    <cellStyle name="40% - Accent4 2 3 2 5 2" xfId="10470" xr:uid="{00000000-0005-0000-0000-000023690000}"/>
    <cellStyle name="40% - Accent4 2 3 2 5 3" xfId="17571" xr:uid="{00000000-0005-0000-0000-000024690000}"/>
    <cellStyle name="40% - Accent4 2 3 2 5 4" xfId="24673" xr:uid="{00000000-0005-0000-0000-000025690000}"/>
    <cellStyle name="40% - Accent4 2 3 2 5 5" xfId="31775" xr:uid="{00000000-0005-0000-0000-000026690000}"/>
    <cellStyle name="40% - Accent4 2 3 2 6" xfId="7630" xr:uid="{00000000-0005-0000-0000-000027690000}"/>
    <cellStyle name="40% - Accent4 2 3 2 7" xfId="14731" xr:uid="{00000000-0005-0000-0000-000028690000}"/>
    <cellStyle name="40% - Accent4 2 3 2 8" xfId="21833" xr:uid="{00000000-0005-0000-0000-000029690000}"/>
    <cellStyle name="40% - Accent4 2 3 2 9" xfId="28935" xr:uid="{00000000-0005-0000-0000-00002A690000}"/>
    <cellStyle name="40% - Accent4 2 3 3" xfId="664" xr:uid="{00000000-0005-0000-0000-00002B690000}"/>
    <cellStyle name="40% - Accent4 2 3 3 2" xfId="2155" xr:uid="{00000000-0005-0000-0000-00002C690000}"/>
    <cellStyle name="40% - Accent4 2 3 3 2 2" xfId="6423" xr:uid="{00000000-0005-0000-0000-00002D690000}"/>
    <cellStyle name="40% - Accent4 2 3 3 2 2 2" xfId="13523" xr:uid="{00000000-0005-0000-0000-00002E690000}"/>
    <cellStyle name="40% - Accent4 2 3 3 2 2 3" xfId="20624" xr:uid="{00000000-0005-0000-0000-00002F690000}"/>
    <cellStyle name="40% - Accent4 2 3 3 2 2 4" xfId="27726" xr:uid="{00000000-0005-0000-0000-000030690000}"/>
    <cellStyle name="40% - Accent4 2 3 3 2 2 5" xfId="34828" xr:uid="{00000000-0005-0000-0000-000031690000}"/>
    <cellStyle name="40% - Accent4 2 3 3 2 2 6" xfId="39519" xr:uid="{00000000-0005-0000-0000-000032690000}"/>
    <cellStyle name="40% - Accent4 2 3 3 2 3" xfId="9263" xr:uid="{00000000-0005-0000-0000-000033690000}"/>
    <cellStyle name="40% - Accent4 2 3 3 2 4" xfId="16364" xr:uid="{00000000-0005-0000-0000-000034690000}"/>
    <cellStyle name="40% - Accent4 2 3 3 2 5" xfId="23466" xr:uid="{00000000-0005-0000-0000-000035690000}"/>
    <cellStyle name="40% - Accent4 2 3 3 2 6" xfId="30568" xr:uid="{00000000-0005-0000-0000-000036690000}"/>
    <cellStyle name="40% - Accent4 2 3 3 2 7" xfId="39520" xr:uid="{00000000-0005-0000-0000-000037690000}"/>
    <cellStyle name="40% - Accent4 2 3 3 3" xfId="5002" xr:uid="{00000000-0005-0000-0000-000038690000}"/>
    <cellStyle name="40% - Accent4 2 3 3 3 2" xfId="12103" xr:uid="{00000000-0005-0000-0000-000039690000}"/>
    <cellStyle name="40% - Accent4 2 3 3 3 2 2" xfId="39521" xr:uid="{00000000-0005-0000-0000-00003A690000}"/>
    <cellStyle name="40% - Accent4 2 3 3 3 3" xfId="19204" xr:uid="{00000000-0005-0000-0000-00003B690000}"/>
    <cellStyle name="40% - Accent4 2 3 3 3 4" xfId="26306" xr:uid="{00000000-0005-0000-0000-00003C690000}"/>
    <cellStyle name="40% - Accent4 2 3 3 3 5" xfId="33408" xr:uid="{00000000-0005-0000-0000-00003D690000}"/>
    <cellStyle name="40% - Accent4 2 3 3 3 6" xfId="39522" xr:uid="{00000000-0005-0000-0000-00003E690000}"/>
    <cellStyle name="40% - Accent4 2 3 3 4" xfId="3577" xr:uid="{00000000-0005-0000-0000-00003F690000}"/>
    <cellStyle name="40% - Accent4 2 3 3 4 2" xfId="10683" xr:uid="{00000000-0005-0000-0000-000040690000}"/>
    <cellStyle name="40% - Accent4 2 3 3 4 3" xfId="17784" xr:uid="{00000000-0005-0000-0000-000041690000}"/>
    <cellStyle name="40% - Accent4 2 3 3 4 4" xfId="24886" xr:uid="{00000000-0005-0000-0000-000042690000}"/>
    <cellStyle name="40% - Accent4 2 3 3 4 5" xfId="31988" xr:uid="{00000000-0005-0000-0000-000043690000}"/>
    <cellStyle name="40% - Accent4 2 3 3 4 6" xfId="39523" xr:uid="{00000000-0005-0000-0000-000044690000}"/>
    <cellStyle name="40% - Accent4 2 3 3 5" xfId="7843" xr:uid="{00000000-0005-0000-0000-000045690000}"/>
    <cellStyle name="40% - Accent4 2 3 3 6" xfId="14944" xr:uid="{00000000-0005-0000-0000-000046690000}"/>
    <cellStyle name="40% - Accent4 2 3 3 7" xfId="22046" xr:uid="{00000000-0005-0000-0000-000047690000}"/>
    <cellStyle name="40% - Accent4 2 3 3 8" xfId="29148" xr:uid="{00000000-0005-0000-0000-000048690000}"/>
    <cellStyle name="40% - Accent4 2 3 3 9" xfId="39524" xr:uid="{00000000-0005-0000-0000-000049690000}"/>
    <cellStyle name="40% - Accent4 2 3 4" xfId="877" xr:uid="{00000000-0005-0000-0000-00004A690000}"/>
    <cellStyle name="40% - Accent4 2 3 4 2" xfId="2368" xr:uid="{00000000-0005-0000-0000-00004B690000}"/>
    <cellStyle name="40% - Accent4 2 3 4 2 2" xfId="6636" xr:uid="{00000000-0005-0000-0000-00004C690000}"/>
    <cellStyle name="40% - Accent4 2 3 4 2 2 2" xfId="13736" xr:uid="{00000000-0005-0000-0000-00004D690000}"/>
    <cellStyle name="40% - Accent4 2 3 4 2 2 3" xfId="20837" xr:uid="{00000000-0005-0000-0000-00004E690000}"/>
    <cellStyle name="40% - Accent4 2 3 4 2 2 4" xfId="27939" xr:uid="{00000000-0005-0000-0000-00004F690000}"/>
    <cellStyle name="40% - Accent4 2 3 4 2 2 5" xfId="35041" xr:uid="{00000000-0005-0000-0000-000050690000}"/>
    <cellStyle name="40% - Accent4 2 3 4 2 2 6" xfId="39525" xr:uid="{00000000-0005-0000-0000-000051690000}"/>
    <cellStyle name="40% - Accent4 2 3 4 2 3" xfId="9476" xr:uid="{00000000-0005-0000-0000-000052690000}"/>
    <cellStyle name="40% - Accent4 2 3 4 2 4" xfId="16577" xr:uid="{00000000-0005-0000-0000-000053690000}"/>
    <cellStyle name="40% - Accent4 2 3 4 2 5" xfId="23679" xr:uid="{00000000-0005-0000-0000-000054690000}"/>
    <cellStyle name="40% - Accent4 2 3 4 2 6" xfId="30781" xr:uid="{00000000-0005-0000-0000-000055690000}"/>
    <cellStyle name="40% - Accent4 2 3 4 2 7" xfId="39526" xr:uid="{00000000-0005-0000-0000-000056690000}"/>
    <cellStyle name="40% - Accent4 2 3 4 3" xfId="5215" xr:uid="{00000000-0005-0000-0000-000057690000}"/>
    <cellStyle name="40% - Accent4 2 3 4 3 2" xfId="12316" xr:uid="{00000000-0005-0000-0000-000058690000}"/>
    <cellStyle name="40% - Accent4 2 3 4 3 2 2" xfId="39527" xr:uid="{00000000-0005-0000-0000-000059690000}"/>
    <cellStyle name="40% - Accent4 2 3 4 3 3" xfId="19417" xr:uid="{00000000-0005-0000-0000-00005A690000}"/>
    <cellStyle name="40% - Accent4 2 3 4 3 4" xfId="26519" xr:uid="{00000000-0005-0000-0000-00005B690000}"/>
    <cellStyle name="40% - Accent4 2 3 4 3 5" xfId="33621" xr:uid="{00000000-0005-0000-0000-00005C690000}"/>
    <cellStyle name="40% - Accent4 2 3 4 3 6" xfId="39528" xr:uid="{00000000-0005-0000-0000-00005D690000}"/>
    <cellStyle name="40% - Accent4 2 3 4 4" xfId="3790" xr:uid="{00000000-0005-0000-0000-00005E690000}"/>
    <cellStyle name="40% - Accent4 2 3 4 4 2" xfId="10896" xr:uid="{00000000-0005-0000-0000-00005F690000}"/>
    <cellStyle name="40% - Accent4 2 3 4 4 3" xfId="17997" xr:uid="{00000000-0005-0000-0000-000060690000}"/>
    <cellStyle name="40% - Accent4 2 3 4 4 4" xfId="25099" xr:uid="{00000000-0005-0000-0000-000061690000}"/>
    <cellStyle name="40% - Accent4 2 3 4 4 5" xfId="32201" xr:uid="{00000000-0005-0000-0000-000062690000}"/>
    <cellStyle name="40% - Accent4 2 3 4 4 6" xfId="39529" xr:uid="{00000000-0005-0000-0000-000063690000}"/>
    <cellStyle name="40% - Accent4 2 3 4 5" xfId="8056" xr:uid="{00000000-0005-0000-0000-000064690000}"/>
    <cellStyle name="40% - Accent4 2 3 4 6" xfId="15157" xr:uid="{00000000-0005-0000-0000-000065690000}"/>
    <cellStyle name="40% - Accent4 2 3 4 7" xfId="22259" xr:uid="{00000000-0005-0000-0000-000066690000}"/>
    <cellStyle name="40% - Accent4 2 3 4 8" xfId="29361" xr:uid="{00000000-0005-0000-0000-000067690000}"/>
    <cellStyle name="40% - Accent4 2 3 4 9" xfId="39530" xr:uid="{00000000-0005-0000-0000-000068690000}"/>
    <cellStyle name="40% - Accent4 2 3 5" xfId="1019" xr:uid="{00000000-0005-0000-0000-000069690000}"/>
    <cellStyle name="40% - Accent4 2 3 5 2" xfId="2510" xr:uid="{00000000-0005-0000-0000-00006A690000}"/>
    <cellStyle name="40% - Accent4 2 3 5 2 2" xfId="6778" xr:uid="{00000000-0005-0000-0000-00006B690000}"/>
    <cellStyle name="40% - Accent4 2 3 5 2 2 2" xfId="13878" xr:uid="{00000000-0005-0000-0000-00006C690000}"/>
    <cellStyle name="40% - Accent4 2 3 5 2 2 3" xfId="20979" xr:uid="{00000000-0005-0000-0000-00006D690000}"/>
    <cellStyle name="40% - Accent4 2 3 5 2 2 4" xfId="28081" xr:uid="{00000000-0005-0000-0000-00006E690000}"/>
    <cellStyle name="40% - Accent4 2 3 5 2 2 5" xfId="35183" xr:uid="{00000000-0005-0000-0000-00006F690000}"/>
    <cellStyle name="40% - Accent4 2 3 5 2 3" xfId="9618" xr:uid="{00000000-0005-0000-0000-000070690000}"/>
    <cellStyle name="40% - Accent4 2 3 5 2 4" xfId="16719" xr:uid="{00000000-0005-0000-0000-000071690000}"/>
    <cellStyle name="40% - Accent4 2 3 5 2 5" xfId="23821" xr:uid="{00000000-0005-0000-0000-000072690000}"/>
    <cellStyle name="40% - Accent4 2 3 5 2 6" xfId="30923" xr:uid="{00000000-0005-0000-0000-000073690000}"/>
    <cellStyle name="40% - Accent4 2 3 5 2 7" xfId="39531" xr:uid="{00000000-0005-0000-0000-000074690000}"/>
    <cellStyle name="40% - Accent4 2 3 5 3" xfId="5357" xr:uid="{00000000-0005-0000-0000-000075690000}"/>
    <cellStyle name="40% - Accent4 2 3 5 3 2" xfId="12458" xr:uid="{00000000-0005-0000-0000-000076690000}"/>
    <cellStyle name="40% - Accent4 2 3 5 3 3" xfId="19559" xr:uid="{00000000-0005-0000-0000-000077690000}"/>
    <cellStyle name="40% - Accent4 2 3 5 3 4" xfId="26661" xr:uid="{00000000-0005-0000-0000-000078690000}"/>
    <cellStyle name="40% - Accent4 2 3 5 3 5" xfId="33763" xr:uid="{00000000-0005-0000-0000-000079690000}"/>
    <cellStyle name="40% - Accent4 2 3 5 4" xfId="3932" xr:uid="{00000000-0005-0000-0000-00007A690000}"/>
    <cellStyle name="40% - Accent4 2 3 5 4 2" xfId="11038" xr:uid="{00000000-0005-0000-0000-00007B690000}"/>
    <cellStyle name="40% - Accent4 2 3 5 4 3" xfId="18139" xr:uid="{00000000-0005-0000-0000-00007C690000}"/>
    <cellStyle name="40% - Accent4 2 3 5 4 4" xfId="25241" xr:uid="{00000000-0005-0000-0000-00007D690000}"/>
    <cellStyle name="40% - Accent4 2 3 5 4 5" xfId="32343" xr:uid="{00000000-0005-0000-0000-00007E690000}"/>
    <cellStyle name="40% - Accent4 2 3 5 5" xfId="8198" xr:uid="{00000000-0005-0000-0000-00007F690000}"/>
    <cellStyle name="40% - Accent4 2 3 5 6" xfId="15299" xr:uid="{00000000-0005-0000-0000-000080690000}"/>
    <cellStyle name="40% - Accent4 2 3 5 7" xfId="22401" xr:uid="{00000000-0005-0000-0000-000081690000}"/>
    <cellStyle name="40% - Accent4 2 3 5 8" xfId="29503" xr:uid="{00000000-0005-0000-0000-000082690000}"/>
    <cellStyle name="40% - Accent4 2 3 5 9" xfId="39532" xr:uid="{00000000-0005-0000-0000-000083690000}"/>
    <cellStyle name="40% - Accent4 2 3 6" xfId="1445" xr:uid="{00000000-0005-0000-0000-000084690000}"/>
    <cellStyle name="40% - Accent4 2 3 6 2" xfId="2936" xr:uid="{00000000-0005-0000-0000-000085690000}"/>
    <cellStyle name="40% - Accent4 2 3 6 2 2" xfId="7204" xr:uid="{00000000-0005-0000-0000-000086690000}"/>
    <cellStyle name="40% - Accent4 2 3 6 2 2 2" xfId="14304" xr:uid="{00000000-0005-0000-0000-000087690000}"/>
    <cellStyle name="40% - Accent4 2 3 6 2 2 3" xfId="21405" xr:uid="{00000000-0005-0000-0000-000088690000}"/>
    <cellStyle name="40% - Accent4 2 3 6 2 2 4" xfId="28507" xr:uid="{00000000-0005-0000-0000-000089690000}"/>
    <cellStyle name="40% - Accent4 2 3 6 2 2 5" xfId="35609" xr:uid="{00000000-0005-0000-0000-00008A690000}"/>
    <cellStyle name="40% - Accent4 2 3 6 2 3" xfId="10044" xr:uid="{00000000-0005-0000-0000-00008B690000}"/>
    <cellStyle name="40% - Accent4 2 3 6 2 4" xfId="17145" xr:uid="{00000000-0005-0000-0000-00008C690000}"/>
    <cellStyle name="40% - Accent4 2 3 6 2 5" xfId="24247" xr:uid="{00000000-0005-0000-0000-00008D690000}"/>
    <cellStyle name="40% - Accent4 2 3 6 2 6" xfId="31349" xr:uid="{00000000-0005-0000-0000-00008E690000}"/>
    <cellStyle name="40% - Accent4 2 3 6 2 7" xfId="39533" xr:uid="{00000000-0005-0000-0000-00008F690000}"/>
    <cellStyle name="40% - Accent4 2 3 6 3" xfId="5783" xr:uid="{00000000-0005-0000-0000-000090690000}"/>
    <cellStyle name="40% - Accent4 2 3 6 3 2" xfId="12884" xr:uid="{00000000-0005-0000-0000-000091690000}"/>
    <cellStyle name="40% - Accent4 2 3 6 3 3" xfId="19985" xr:uid="{00000000-0005-0000-0000-000092690000}"/>
    <cellStyle name="40% - Accent4 2 3 6 3 4" xfId="27087" xr:uid="{00000000-0005-0000-0000-000093690000}"/>
    <cellStyle name="40% - Accent4 2 3 6 3 5" xfId="34189" xr:uid="{00000000-0005-0000-0000-000094690000}"/>
    <cellStyle name="40% - Accent4 2 3 6 4" xfId="4358" xr:uid="{00000000-0005-0000-0000-000095690000}"/>
    <cellStyle name="40% - Accent4 2 3 6 4 2" xfId="11464" xr:uid="{00000000-0005-0000-0000-000096690000}"/>
    <cellStyle name="40% - Accent4 2 3 6 4 3" xfId="18565" xr:uid="{00000000-0005-0000-0000-000097690000}"/>
    <cellStyle name="40% - Accent4 2 3 6 4 4" xfId="25667" xr:uid="{00000000-0005-0000-0000-000098690000}"/>
    <cellStyle name="40% - Accent4 2 3 6 4 5" xfId="32769" xr:uid="{00000000-0005-0000-0000-000099690000}"/>
    <cellStyle name="40% - Accent4 2 3 6 5" xfId="8624" xr:uid="{00000000-0005-0000-0000-00009A690000}"/>
    <cellStyle name="40% - Accent4 2 3 6 6" xfId="15725" xr:uid="{00000000-0005-0000-0000-00009B690000}"/>
    <cellStyle name="40% - Accent4 2 3 6 7" xfId="22827" xr:uid="{00000000-0005-0000-0000-00009C690000}"/>
    <cellStyle name="40% - Accent4 2 3 6 8" xfId="29929" xr:uid="{00000000-0005-0000-0000-00009D690000}"/>
    <cellStyle name="40% - Accent4 2 3 6 9" xfId="39534" xr:uid="{00000000-0005-0000-0000-00009E690000}"/>
    <cellStyle name="40% - Accent4 2 3 7" xfId="1729" xr:uid="{00000000-0005-0000-0000-00009F690000}"/>
    <cellStyle name="40% - Accent4 2 3 7 2" xfId="5997" xr:uid="{00000000-0005-0000-0000-0000A0690000}"/>
    <cellStyle name="40% - Accent4 2 3 7 2 2" xfId="13097" xr:uid="{00000000-0005-0000-0000-0000A1690000}"/>
    <cellStyle name="40% - Accent4 2 3 7 2 3" xfId="20198" xr:uid="{00000000-0005-0000-0000-0000A2690000}"/>
    <cellStyle name="40% - Accent4 2 3 7 2 4" xfId="27300" xr:uid="{00000000-0005-0000-0000-0000A3690000}"/>
    <cellStyle name="40% - Accent4 2 3 7 2 5" xfId="34402" xr:uid="{00000000-0005-0000-0000-0000A4690000}"/>
    <cellStyle name="40% - Accent4 2 3 7 3" xfId="8837" xr:uid="{00000000-0005-0000-0000-0000A5690000}"/>
    <cellStyle name="40% - Accent4 2 3 7 4" xfId="15938" xr:uid="{00000000-0005-0000-0000-0000A6690000}"/>
    <cellStyle name="40% - Accent4 2 3 7 5" xfId="23040" xr:uid="{00000000-0005-0000-0000-0000A7690000}"/>
    <cellStyle name="40% - Accent4 2 3 7 6" xfId="30142" xr:uid="{00000000-0005-0000-0000-0000A8690000}"/>
    <cellStyle name="40% - Accent4 2 3 7 7" xfId="39535" xr:uid="{00000000-0005-0000-0000-0000A9690000}"/>
    <cellStyle name="40% - Accent4 2 3 8" xfId="4576" xr:uid="{00000000-0005-0000-0000-0000AA690000}"/>
    <cellStyle name="40% - Accent4 2 3 8 2" xfId="11677" xr:uid="{00000000-0005-0000-0000-0000AB690000}"/>
    <cellStyle name="40% - Accent4 2 3 8 3" xfId="18778" xr:uid="{00000000-0005-0000-0000-0000AC690000}"/>
    <cellStyle name="40% - Accent4 2 3 8 4" xfId="25880" xr:uid="{00000000-0005-0000-0000-0000AD690000}"/>
    <cellStyle name="40% - Accent4 2 3 8 5" xfId="32982" xr:uid="{00000000-0005-0000-0000-0000AE690000}"/>
    <cellStyle name="40% - Accent4 2 3 9" xfId="3151" xr:uid="{00000000-0005-0000-0000-0000AF690000}"/>
    <cellStyle name="40% - Accent4 2 3 9 2" xfId="10257" xr:uid="{00000000-0005-0000-0000-0000B0690000}"/>
    <cellStyle name="40% - Accent4 2 3 9 3" xfId="17358" xr:uid="{00000000-0005-0000-0000-0000B1690000}"/>
    <cellStyle name="40% - Accent4 2 3 9 4" xfId="24460" xr:uid="{00000000-0005-0000-0000-0000B2690000}"/>
    <cellStyle name="40% - Accent4 2 3 9 5" xfId="31562" xr:uid="{00000000-0005-0000-0000-0000B3690000}"/>
    <cellStyle name="40% - Accent4 2 4" xfId="167" xr:uid="{00000000-0005-0000-0000-0000B4690000}"/>
    <cellStyle name="40% - Accent4 2 4 10" xfId="7346" xr:uid="{00000000-0005-0000-0000-0000B5690000}"/>
    <cellStyle name="40% - Accent4 2 4 11" xfId="14447" xr:uid="{00000000-0005-0000-0000-0000B6690000}"/>
    <cellStyle name="40% - Accent4 2 4 12" xfId="21549" xr:uid="{00000000-0005-0000-0000-0000B7690000}"/>
    <cellStyle name="40% - Accent4 2 4 13" xfId="28651" xr:uid="{00000000-0005-0000-0000-0000B8690000}"/>
    <cellStyle name="40% - Accent4 2 4 14" xfId="35753" xr:uid="{00000000-0005-0000-0000-0000B9690000}"/>
    <cellStyle name="40% - Accent4 2 4 15" xfId="39536" xr:uid="{00000000-0005-0000-0000-0000BA690000}"/>
    <cellStyle name="40% - Accent4 2 4 2" xfId="380" xr:uid="{00000000-0005-0000-0000-0000BB690000}"/>
    <cellStyle name="40% - Accent4 2 4 2 2" xfId="1871" xr:uid="{00000000-0005-0000-0000-0000BC690000}"/>
    <cellStyle name="40% - Accent4 2 4 2 2 2" xfId="6139" xr:uid="{00000000-0005-0000-0000-0000BD690000}"/>
    <cellStyle name="40% - Accent4 2 4 2 2 2 2" xfId="13239" xr:uid="{00000000-0005-0000-0000-0000BE690000}"/>
    <cellStyle name="40% - Accent4 2 4 2 2 2 3" xfId="20340" xr:uid="{00000000-0005-0000-0000-0000BF690000}"/>
    <cellStyle name="40% - Accent4 2 4 2 2 2 4" xfId="27442" xr:uid="{00000000-0005-0000-0000-0000C0690000}"/>
    <cellStyle name="40% - Accent4 2 4 2 2 2 5" xfId="34544" xr:uid="{00000000-0005-0000-0000-0000C1690000}"/>
    <cellStyle name="40% - Accent4 2 4 2 2 2 6" xfId="39537" xr:uid="{00000000-0005-0000-0000-0000C2690000}"/>
    <cellStyle name="40% - Accent4 2 4 2 2 3" xfId="8979" xr:uid="{00000000-0005-0000-0000-0000C3690000}"/>
    <cellStyle name="40% - Accent4 2 4 2 2 4" xfId="16080" xr:uid="{00000000-0005-0000-0000-0000C4690000}"/>
    <cellStyle name="40% - Accent4 2 4 2 2 5" xfId="23182" xr:uid="{00000000-0005-0000-0000-0000C5690000}"/>
    <cellStyle name="40% - Accent4 2 4 2 2 6" xfId="30284" xr:uid="{00000000-0005-0000-0000-0000C6690000}"/>
    <cellStyle name="40% - Accent4 2 4 2 2 7" xfId="39538" xr:uid="{00000000-0005-0000-0000-0000C7690000}"/>
    <cellStyle name="40% - Accent4 2 4 2 3" xfId="4718" xr:uid="{00000000-0005-0000-0000-0000C8690000}"/>
    <cellStyle name="40% - Accent4 2 4 2 3 2" xfId="11819" xr:uid="{00000000-0005-0000-0000-0000C9690000}"/>
    <cellStyle name="40% - Accent4 2 4 2 3 2 2" xfId="39539" xr:uid="{00000000-0005-0000-0000-0000CA690000}"/>
    <cellStyle name="40% - Accent4 2 4 2 3 3" xfId="18920" xr:uid="{00000000-0005-0000-0000-0000CB690000}"/>
    <cellStyle name="40% - Accent4 2 4 2 3 4" xfId="26022" xr:uid="{00000000-0005-0000-0000-0000CC690000}"/>
    <cellStyle name="40% - Accent4 2 4 2 3 5" xfId="33124" xr:uid="{00000000-0005-0000-0000-0000CD690000}"/>
    <cellStyle name="40% - Accent4 2 4 2 3 6" xfId="39540" xr:uid="{00000000-0005-0000-0000-0000CE690000}"/>
    <cellStyle name="40% - Accent4 2 4 2 4" xfId="3293" xr:uid="{00000000-0005-0000-0000-0000CF690000}"/>
    <cellStyle name="40% - Accent4 2 4 2 4 2" xfId="10399" xr:uid="{00000000-0005-0000-0000-0000D0690000}"/>
    <cellStyle name="40% - Accent4 2 4 2 4 3" xfId="17500" xr:uid="{00000000-0005-0000-0000-0000D1690000}"/>
    <cellStyle name="40% - Accent4 2 4 2 4 4" xfId="24602" xr:uid="{00000000-0005-0000-0000-0000D2690000}"/>
    <cellStyle name="40% - Accent4 2 4 2 4 5" xfId="31704" xr:uid="{00000000-0005-0000-0000-0000D3690000}"/>
    <cellStyle name="40% - Accent4 2 4 2 4 6" xfId="39541" xr:uid="{00000000-0005-0000-0000-0000D4690000}"/>
    <cellStyle name="40% - Accent4 2 4 2 5" xfId="7559" xr:uid="{00000000-0005-0000-0000-0000D5690000}"/>
    <cellStyle name="40% - Accent4 2 4 2 6" xfId="14660" xr:uid="{00000000-0005-0000-0000-0000D6690000}"/>
    <cellStyle name="40% - Accent4 2 4 2 7" xfId="21762" xr:uid="{00000000-0005-0000-0000-0000D7690000}"/>
    <cellStyle name="40% - Accent4 2 4 2 8" xfId="28864" xr:uid="{00000000-0005-0000-0000-0000D8690000}"/>
    <cellStyle name="40% - Accent4 2 4 2 9" xfId="39542" xr:uid="{00000000-0005-0000-0000-0000D9690000}"/>
    <cellStyle name="40% - Accent4 2 4 3" xfId="593" xr:uid="{00000000-0005-0000-0000-0000DA690000}"/>
    <cellStyle name="40% - Accent4 2 4 3 2" xfId="2084" xr:uid="{00000000-0005-0000-0000-0000DB690000}"/>
    <cellStyle name="40% - Accent4 2 4 3 2 2" xfId="6352" xr:uid="{00000000-0005-0000-0000-0000DC690000}"/>
    <cellStyle name="40% - Accent4 2 4 3 2 2 2" xfId="13452" xr:uid="{00000000-0005-0000-0000-0000DD690000}"/>
    <cellStyle name="40% - Accent4 2 4 3 2 2 3" xfId="20553" xr:uid="{00000000-0005-0000-0000-0000DE690000}"/>
    <cellStyle name="40% - Accent4 2 4 3 2 2 4" xfId="27655" xr:uid="{00000000-0005-0000-0000-0000DF690000}"/>
    <cellStyle name="40% - Accent4 2 4 3 2 2 5" xfId="34757" xr:uid="{00000000-0005-0000-0000-0000E0690000}"/>
    <cellStyle name="40% - Accent4 2 4 3 2 2 6" xfId="39543" xr:uid="{00000000-0005-0000-0000-0000E1690000}"/>
    <cellStyle name="40% - Accent4 2 4 3 2 3" xfId="9192" xr:uid="{00000000-0005-0000-0000-0000E2690000}"/>
    <cellStyle name="40% - Accent4 2 4 3 2 4" xfId="16293" xr:uid="{00000000-0005-0000-0000-0000E3690000}"/>
    <cellStyle name="40% - Accent4 2 4 3 2 5" xfId="23395" xr:uid="{00000000-0005-0000-0000-0000E4690000}"/>
    <cellStyle name="40% - Accent4 2 4 3 2 6" xfId="30497" xr:uid="{00000000-0005-0000-0000-0000E5690000}"/>
    <cellStyle name="40% - Accent4 2 4 3 2 7" xfId="39544" xr:uid="{00000000-0005-0000-0000-0000E6690000}"/>
    <cellStyle name="40% - Accent4 2 4 3 3" xfId="4931" xr:uid="{00000000-0005-0000-0000-0000E7690000}"/>
    <cellStyle name="40% - Accent4 2 4 3 3 2" xfId="12032" xr:uid="{00000000-0005-0000-0000-0000E8690000}"/>
    <cellStyle name="40% - Accent4 2 4 3 3 2 2" xfId="39545" xr:uid="{00000000-0005-0000-0000-0000E9690000}"/>
    <cellStyle name="40% - Accent4 2 4 3 3 3" xfId="19133" xr:uid="{00000000-0005-0000-0000-0000EA690000}"/>
    <cellStyle name="40% - Accent4 2 4 3 3 4" xfId="26235" xr:uid="{00000000-0005-0000-0000-0000EB690000}"/>
    <cellStyle name="40% - Accent4 2 4 3 3 5" xfId="33337" xr:uid="{00000000-0005-0000-0000-0000EC690000}"/>
    <cellStyle name="40% - Accent4 2 4 3 3 6" xfId="39546" xr:uid="{00000000-0005-0000-0000-0000ED690000}"/>
    <cellStyle name="40% - Accent4 2 4 3 4" xfId="3506" xr:uid="{00000000-0005-0000-0000-0000EE690000}"/>
    <cellStyle name="40% - Accent4 2 4 3 4 2" xfId="10612" xr:uid="{00000000-0005-0000-0000-0000EF690000}"/>
    <cellStyle name="40% - Accent4 2 4 3 4 3" xfId="17713" xr:uid="{00000000-0005-0000-0000-0000F0690000}"/>
    <cellStyle name="40% - Accent4 2 4 3 4 4" xfId="24815" xr:uid="{00000000-0005-0000-0000-0000F1690000}"/>
    <cellStyle name="40% - Accent4 2 4 3 4 5" xfId="31917" xr:uid="{00000000-0005-0000-0000-0000F2690000}"/>
    <cellStyle name="40% - Accent4 2 4 3 4 6" xfId="39547" xr:uid="{00000000-0005-0000-0000-0000F3690000}"/>
    <cellStyle name="40% - Accent4 2 4 3 5" xfId="7772" xr:uid="{00000000-0005-0000-0000-0000F4690000}"/>
    <cellStyle name="40% - Accent4 2 4 3 6" xfId="14873" xr:uid="{00000000-0005-0000-0000-0000F5690000}"/>
    <cellStyle name="40% - Accent4 2 4 3 7" xfId="21975" xr:uid="{00000000-0005-0000-0000-0000F6690000}"/>
    <cellStyle name="40% - Accent4 2 4 3 8" xfId="29077" xr:uid="{00000000-0005-0000-0000-0000F7690000}"/>
    <cellStyle name="40% - Accent4 2 4 3 9" xfId="39548" xr:uid="{00000000-0005-0000-0000-0000F8690000}"/>
    <cellStyle name="40% - Accent4 2 4 4" xfId="806" xr:uid="{00000000-0005-0000-0000-0000F9690000}"/>
    <cellStyle name="40% - Accent4 2 4 4 2" xfId="2297" xr:uid="{00000000-0005-0000-0000-0000FA690000}"/>
    <cellStyle name="40% - Accent4 2 4 4 2 2" xfId="6565" xr:uid="{00000000-0005-0000-0000-0000FB690000}"/>
    <cellStyle name="40% - Accent4 2 4 4 2 2 2" xfId="13665" xr:uid="{00000000-0005-0000-0000-0000FC690000}"/>
    <cellStyle name="40% - Accent4 2 4 4 2 2 3" xfId="20766" xr:uid="{00000000-0005-0000-0000-0000FD690000}"/>
    <cellStyle name="40% - Accent4 2 4 4 2 2 4" xfId="27868" xr:uid="{00000000-0005-0000-0000-0000FE690000}"/>
    <cellStyle name="40% - Accent4 2 4 4 2 2 5" xfId="34970" xr:uid="{00000000-0005-0000-0000-0000FF690000}"/>
    <cellStyle name="40% - Accent4 2 4 4 2 2 6" xfId="39549" xr:uid="{00000000-0005-0000-0000-0000006A0000}"/>
    <cellStyle name="40% - Accent4 2 4 4 2 3" xfId="9405" xr:uid="{00000000-0005-0000-0000-0000016A0000}"/>
    <cellStyle name="40% - Accent4 2 4 4 2 4" xfId="16506" xr:uid="{00000000-0005-0000-0000-0000026A0000}"/>
    <cellStyle name="40% - Accent4 2 4 4 2 5" xfId="23608" xr:uid="{00000000-0005-0000-0000-0000036A0000}"/>
    <cellStyle name="40% - Accent4 2 4 4 2 6" xfId="30710" xr:uid="{00000000-0005-0000-0000-0000046A0000}"/>
    <cellStyle name="40% - Accent4 2 4 4 2 7" xfId="39550" xr:uid="{00000000-0005-0000-0000-0000056A0000}"/>
    <cellStyle name="40% - Accent4 2 4 4 3" xfId="5144" xr:uid="{00000000-0005-0000-0000-0000066A0000}"/>
    <cellStyle name="40% - Accent4 2 4 4 3 2" xfId="12245" xr:uid="{00000000-0005-0000-0000-0000076A0000}"/>
    <cellStyle name="40% - Accent4 2 4 4 3 2 2" xfId="39551" xr:uid="{00000000-0005-0000-0000-0000086A0000}"/>
    <cellStyle name="40% - Accent4 2 4 4 3 3" xfId="19346" xr:uid="{00000000-0005-0000-0000-0000096A0000}"/>
    <cellStyle name="40% - Accent4 2 4 4 3 4" xfId="26448" xr:uid="{00000000-0005-0000-0000-00000A6A0000}"/>
    <cellStyle name="40% - Accent4 2 4 4 3 5" xfId="33550" xr:uid="{00000000-0005-0000-0000-00000B6A0000}"/>
    <cellStyle name="40% - Accent4 2 4 4 3 6" xfId="39552" xr:uid="{00000000-0005-0000-0000-00000C6A0000}"/>
    <cellStyle name="40% - Accent4 2 4 4 4" xfId="3719" xr:uid="{00000000-0005-0000-0000-00000D6A0000}"/>
    <cellStyle name="40% - Accent4 2 4 4 4 2" xfId="10825" xr:uid="{00000000-0005-0000-0000-00000E6A0000}"/>
    <cellStyle name="40% - Accent4 2 4 4 4 3" xfId="17926" xr:uid="{00000000-0005-0000-0000-00000F6A0000}"/>
    <cellStyle name="40% - Accent4 2 4 4 4 4" xfId="25028" xr:uid="{00000000-0005-0000-0000-0000106A0000}"/>
    <cellStyle name="40% - Accent4 2 4 4 4 5" xfId="32130" xr:uid="{00000000-0005-0000-0000-0000116A0000}"/>
    <cellStyle name="40% - Accent4 2 4 4 4 6" xfId="39553" xr:uid="{00000000-0005-0000-0000-0000126A0000}"/>
    <cellStyle name="40% - Accent4 2 4 4 5" xfId="7985" xr:uid="{00000000-0005-0000-0000-0000136A0000}"/>
    <cellStyle name="40% - Accent4 2 4 4 6" xfId="15086" xr:uid="{00000000-0005-0000-0000-0000146A0000}"/>
    <cellStyle name="40% - Accent4 2 4 4 7" xfId="22188" xr:uid="{00000000-0005-0000-0000-0000156A0000}"/>
    <cellStyle name="40% - Accent4 2 4 4 8" xfId="29290" xr:uid="{00000000-0005-0000-0000-0000166A0000}"/>
    <cellStyle name="40% - Accent4 2 4 4 9" xfId="39554" xr:uid="{00000000-0005-0000-0000-0000176A0000}"/>
    <cellStyle name="40% - Accent4 2 4 5" xfId="1161" xr:uid="{00000000-0005-0000-0000-0000186A0000}"/>
    <cellStyle name="40% - Accent4 2 4 5 2" xfId="2652" xr:uid="{00000000-0005-0000-0000-0000196A0000}"/>
    <cellStyle name="40% - Accent4 2 4 5 2 2" xfId="6920" xr:uid="{00000000-0005-0000-0000-00001A6A0000}"/>
    <cellStyle name="40% - Accent4 2 4 5 2 2 2" xfId="14020" xr:uid="{00000000-0005-0000-0000-00001B6A0000}"/>
    <cellStyle name="40% - Accent4 2 4 5 2 2 3" xfId="21121" xr:uid="{00000000-0005-0000-0000-00001C6A0000}"/>
    <cellStyle name="40% - Accent4 2 4 5 2 2 4" xfId="28223" xr:uid="{00000000-0005-0000-0000-00001D6A0000}"/>
    <cellStyle name="40% - Accent4 2 4 5 2 2 5" xfId="35325" xr:uid="{00000000-0005-0000-0000-00001E6A0000}"/>
    <cellStyle name="40% - Accent4 2 4 5 2 3" xfId="9760" xr:uid="{00000000-0005-0000-0000-00001F6A0000}"/>
    <cellStyle name="40% - Accent4 2 4 5 2 4" xfId="16861" xr:uid="{00000000-0005-0000-0000-0000206A0000}"/>
    <cellStyle name="40% - Accent4 2 4 5 2 5" xfId="23963" xr:uid="{00000000-0005-0000-0000-0000216A0000}"/>
    <cellStyle name="40% - Accent4 2 4 5 2 6" xfId="31065" xr:uid="{00000000-0005-0000-0000-0000226A0000}"/>
    <cellStyle name="40% - Accent4 2 4 5 2 7" xfId="39555" xr:uid="{00000000-0005-0000-0000-0000236A0000}"/>
    <cellStyle name="40% - Accent4 2 4 5 3" xfId="5499" xr:uid="{00000000-0005-0000-0000-0000246A0000}"/>
    <cellStyle name="40% - Accent4 2 4 5 3 2" xfId="12600" xr:uid="{00000000-0005-0000-0000-0000256A0000}"/>
    <cellStyle name="40% - Accent4 2 4 5 3 3" xfId="19701" xr:uid="{00000000-0005-0000-0000-0000266A0000}"/>
    <cellStyle name="40% - Accent4 2 4 5 3 4" xfId="26803" xr:uid="{00000000-0005-0000-0000-0000276A0000}"/>
    <cellStyle name="40% - Accent4 2 4 5 3 5" xfId="33905" xr:uid="{00000000-0005-0000-0000-0000286A0000}"/>
    <cellStyle name="40% - Accent4 2 4 5 4" xfId="4074" xr:uid="{00000000-0005-0000-0000-0000296A0000}"/>
    <cellStyle name="40% - Accent4 2 4 5 4 2" xfId="11180" xr:uid="{00000000-0005-0000-0000-00002A6A0000}"/>
    <cellStyle name="40% - Accent4 2 4 5 4 3" xfId="18281" xr:uid="{00000000-0005-0000-0000-00002B6A0000}"/>
    <cellStyle name="40% - Accent4 2 4 5 4 4" xfId="25383" xr:uid="{00000000-0005-0000-0000-00002C6A0000}"/>
    <cellStyle name="40% - Accent4 2 4 5 4 5" xfId="32485" xr:uid="{00000000-0005-0000-0000-00002D6A0000}"/>
    <cellStyle name="40% - Accent4 2 4 5 5" xfId="8340" xr:uid="{00000000-0005-0000-0000-00002E6A0000}"/>
    <cellStyle name="40% - Accent4 2 4 5 6" xfId="15441" xr:uid="{00000000-0005-0000-0000-00002F6A0000}"/>
    <cellStyle name="40% - Accent4 2 4 5 7" xfId="22543" xr:uid="{00000000-0005-0000-0000-0000306A0000}"/>
    <cellStyle name="40% - Accent4 2 4 5 8" xfId="29645" xr:uid="{00000000-0005-0000-0000-0000316A0000}"/>
    <cellStyle name="40% - Accent4 2 4 5 9" xfId="39556" xr:uid="{00000000-0005-0000-0000-0000326A0000}"/>
    <cellStyle name="40% - Accent4 2 4 6" xfId="1374" xr:uid="{00000000-0005-0000-0000-0000336A0000}"/>
    <cellStyle name="40% - Accent4 2 4 6 2" xfId="2865" xr:uid="{00000000-0005-0000-0000-0000346A0000}"/>
    <cellStyle name="40% - Accent4 2 4 6 2 2" xfId="7133" xr:uid="{00000000-0005-0000-0000-0000356A0000}"/>
    <cellStyle name="40% - Accent4 2 4 6 2 2 2" xfId="14233" xr:uid="{00000000-0005-0000-0000-0000366A0000}"/>
    <cellStyle name="40% - Accent4 2 4 6 2 2 3" xfId="21334" xr:uid="{00000000-0005-0000-0000-0000376A0000}"/>
    <cellStyle name="40% - Accent4 2 4 6 2 2 4" xfId="28436" xr:uid="{00000000-0005-0000-0000-0000386A0000}"/>
    <cellStyle name="40% - Accent4 2 4 6 2 2 5" xfId="35538" xr:uid="{00000000-0005-0000-0000-0000396A0000}"/>
    <cellStyle name="40% - Accent4 2 4 6 2 3" xfId="9973" xr:uid="{00000000-0005-0000-0000-00003A6A0000}"/>
    <cellStyle name="40% - Accent4 2 4 6 2 4" xfId="17074" xr:uid="{00000000-0005-0000-0000-00003B6A0000}"/>
    <cellStyle name="40% - Accent4 2 4 6 2 5" xfId="24176" xr:uid="{00000000-0005-0000-0000-00003C6A0000}"/>
    <cellStyle name="40% - Accent4 2 4 6 2 6" xfId="31278" xr:uid="{00000000-0005-0000-0000-00003D6A0000}"/>
    <cellStyle name="40% - Accent4 2 4 6 2 7" xfId="39557" xr:uid="{00000000-0005-0000-0000-00003E6A0000}"/>
    <cellStyle name="40% - Accent4 2 4 6 3" xfId="5712" xr:uid="{00000000-0005-0000-0000-00003F6A0000}"/>
    <cellStyle name="40% - Accent4 2 4 6 3 2" xfId="12813" xr:uid="{00000000-0005-0000-0000-0000406A0000}"/>
    <cellStyle name="40% - Accent4 2 4 6 3 3" xfId="19914" xr:uid="{00000000-0005-0000-0000-0000416A0000}"/>
    <cellStyle name="40% - Accent4 2 4 6 3 4" xfId="27016" xr:uid="{00000000-0005-0000-0000-0000426A0000}"/>
    <cellStyle name="40% - Accent4 2 4 6 3 5" xfId="34118" xr:uid="{00000000-0005-0000-0000-0000436A0000}"/>
    <cellStyle name="40% - Accent4 2 4 6 4" xfId="4287" xr:uid="{00000000-0005-0000-0000-0000446A0000}"/>
    <cellStyle name="40% - Accent4 2 4 6 4 2" xfId="11393" xr:uid="{00000000-0005-0000-0000-0000456A0000}"/>
    <cellStyle name="40% - Accent4 2 4 6 4 3" xfId="18494" xr:uid="{00000000-0005-0000-0000-0000466A0000}"/>
    <cellStyle name="40% - Accent4 2 4 6 4 4" xfId="25596" xr:uid="{00000000-0005-0000-0000-0000476A0000}"/>
    <cellStyle name="40% - Accent4 2 4 6 4 5" xfId="32698" xr:uid="{00000000-0005-0000-0000-0000486A0000}"/>
    <cellStyle name="40% - Accent4 2 4 6 5" xfId="8553" xr:uid="{00000000-0005-0000-0000-0000496A0000}"/>
    <cellStyle name="40% - Accent4 2 4 6 6" xfId="15654" xr:uid="{00000000-0005-0000-0000-00004A6A0000}"/>
    <cellStyle name="40% - Accent4 2 4 6 7" xfId="22756" xr:uid="{00000000-0005-0000-0000-00004B6A0000}"/>
    <cellStyle name="40% - Accent4 2 4 6 8" xfId="29858" xr:uid="{00000000-0005-0000-0000-00004C6A0000}"/>
    <cellStyle name="40% - Accent4 2 4 6 9" xfId="39558" xr:uid="{00000000-0005-0000-0000-00004D6A0000}"/>
    <cellStyle name="40% - Accent4 2 4 7" xfId="1658" xr:uid="{00000000-0005-0000-0000-00004E6A0000}"/>
    <cellStyle name="40% - Accent4 2 4 7 2" xfId="5926" xr:uid="{00000000-0005-0000-0000-00004F6A0000}"/>
    <cellStyle name="40% - Accent4 2 4 7 2 2" xfId="13026" xr:uid="{00000000-0005-0000-0000-0000506A0000}"/>
    <cellStyle name="40% - Accent4 2 4 7 2 3" xfId="20127" xr:uid="{00000000-0005-0000-0000-0000516A0000}"/>
    <cellStyle name="40% - Accent4 2 4 7 2 4" xfId="27229" xr:uid="{00000000-0005-0000-0000-0000526A0000}"/>
    <cellStyle name="40% - Accent4 2 4 7 2 5" xfId="34331" xr:uid="{00000000-0005-0000-0000-0000536A0000}"/>
    <cellStyle name="40% - Accent4 2 4 7 3" xfId="8766" xr:uid="{00000000-0005-0000-0000-0000546A0000}"/>
    <cellStyle name="40% - Accent4 2 4 7 4" xfId="15867" xr:uid="{00000000-0005-0000-0000-0000556A0000}"/>
    <cellStyle name="40% - Accent4 2 4 7 5" xfId="22969" xr:uid="{00000000-0005-0000-0000-0000566A0000}"/>
    <cellStyle name="40% - Accent4 2 4 7 6" xfId="30071" xr:uid="{00000000-0005-0000-0000-0000576A0000}"/>
    <cellStyle name="40% - Accent4 2 4 7 7" xfId="39559" xr:uid="{00000000-0005-0000-0000-0000586A0000}"/>
    <cellStyle name="40% - Accent4 2 4 8" xfId="4505" xr:uid="{00000000-0005-0000-0000-0000596A0000}"/>
    <cellStyle name="40% - Accent4 2 4 8 2" xfId="11606" xr:uid="{00000000-0005-0000-0000-00005A6A0000}"/>
    <cellStyle name="40% - Accent4 2 4 8 3" xfId="18707" xr:uid="{00000000-0005-0000-0000-00005B6A0000}"/>
    <cellStyle name="40% - Accent4 2 4 8 4" xfId="25809" xr:uid="{00000000-0005-0000-0000-00005C6A0000}"/>
    <cellStyle name="40% - Accent4 2 4 8 5" xfId="32911" xr:uid="{00000000-0005-0000-0000-00005D6A0000}"/>
    <cellStyle name="40% - Accent4 2 4 9" xfId="3080" xr:uid="{00000000-0005-0000-0000-00005E6A0000}"/>
    <cellStyle name="40% - Accent4 2 4 9 2" xfId="10186" xr:uid="{00000000-0005-0000-0000-00005F6A0000}"/>
    <cellStyle name="40% - Accent4 2 4 9 3" xfId="17287" xr:uid="{00000000-0005-0000-0000-0000606A0000}"/>
    <cellStyle name="40% - Accent4 2 4 9 4" xfId="24389" xr:uid="{00000000-0005-0000-0000-0000616A0000}"/>
    <cellStyle name="40% - Accent4 2 4 9 5" xfId="31491" xr:uid="{00000000-0005-0000-0000-0000626A0000}"/>
    <cellStyle name="40% - Accent4 2 5" xfId="309" xr:uid="{00000000-0005-0000-0000-0000636A0000}"/>
    <cellStyle name="40% - Accent4 2 5 10" xfId="39560" xr:uid="{00000000-0005-0000-0000-0000646A0000}"/>
    <cellStyle name="40% - Accent4 2 5 2" xfId="1090" xr:uid="{00000000-0005-0000-0000-0000656A0000}"/>
    <cellStyle name="40% - Accent4 2 5 2 2" xfId="2581" xr:uid="{00000000-0005-0000-0000-0000666A0000}"/>
    <cellStyle name="40% - Accent4 2 5 2 2 2" xfId="6849" xr:uid="{00000000-0005-0000-0000-0000676A0000}"/>
    <cellStyle name="40% - Accent4 2 5 2 2 2 2" xfId="13949" xr:uid="{00000000-0005-0000-0000-0000686A0000}"/>
    <cellStyle name="40% - Accent4 2 5 2 2 2 3" xfId="21050" xr:uid="{00000000-0005-0000-0000-0000696A0000}"/>
    <cellStyle name="40% - Accent4 2 5 2 2 2 4" xfId="28152" xr:uid="{00000000-0005-0000-0000-00006A6A0000}"/>
    <cellStyle name="40% - Accent4 2 5 2 2 2 5" xfId="35254" xr:uid="{00000000-0005-0000-0000-00006B6A0000}"/>
    <cellStyle name="40% - Accent4 2 5 2 2 2 6" xfId="39561" xr:uid="{00000000-0005-0000-0000-00006C6A0000}"/>
    <cellStyle name="40% - Accent4 2 5 2 2 3" xfId="9689" xr:uid="{00000000-0005-0000-0000-00006D6A0000}"/>
    <cellStyle name="40% - Accent4 2 5 2 2 4" xfId="16790" xr:uid="{00000000-0005-0000-0000-00006E6A0000}"/>
    <cellStyle name="40% - Accent4 2 5 2 2 5" xfId="23892" xr:uid="{00000000-0005-0000-0000-00006F6A0000}"/>
    <cellStyle name="40% - Accent4 2 5 2 2 6" xfId="30994" xr:uid="{00000000-0005-0000-0000-0000706A0000}"/>
    <cellStyle name="40% - Accent4 2 5 2 2 7" xfId="39562" xr:uid="{00000000-0005-0000-0000-0000716A0000}"/>
    <cellStyle name="40% - Accent4 2 5 2 3" xfId="5428" xr:uid="{00000000-0005-0000-0000-0000726A0000}"/>
    <cellStyle name="40% - Accent4 2 5 2 3 2" xfId="12529" xr:uid="{00000000-0005-0000-0000-0000736A0000}"/>
    <cellStyle name="40% - Accent4 2 5 2 3 2 2" xfId="39563" xr:uid="{00000000-0005-0000-0000-0000746A0000}"/>
    <cellStyle name="40% - Accent4 2 5 2 3 3" xfId="19630" xr:uid="{00000000-0005-0000-0000-0000756A0000}"/>
    <cellStyle name="40% - Accent4 2 5 2 3 4" xfId="26732" xr:uid="{00000000-0005-0000-0000-0000766A0000}"/>
    <cellStyle name="40% - Accent4 2 5 2 3 5" xfId="33834" xr:uid="{00000000-0005-0000-0000-0000776A0000}"/>
    <cellStyle name="40% - Accent4 2 5 2 3 6" xfId="39564" xr:uid="{00000000-0005-0000-0000-0000786A0000}"/>
    <cellStyle name="40% - Accent4 2 5 2 4" xfId="4003" xr:uid="{00000000-0005-0000-0000-0000796A0000}"/>
    <cellStyle name="40% - Accent4 2 5 2 4 2" xfId="11109" xr:uid="{00000000-0005-0000-0000-00007A6A0000}"/>
    <cellStyle name="40% - Accent4 2 5 2 4 3" xfId="18210" xr:uid="{00000000-0005-0000-0000-00007B6A0000}"/>
    <cellStyle name="40% - Accent4 2 5 2 4 4" xfId="25312" xr:uid="{00000000-0005-0000-0000-00007C6A0000}"/>
    <cellStyle name="40% - Accent4 2 5 2 4 5" xfId="32414" xr:uid="{00000000-0005-0000-0000-00007D6A0000}"/>
    <cellStyle name="40% - Accent4 2 5 2 4 6" xfId="39565" xr:uid="{00000000-0005-0000-0000-00007E6A0000}"/>
    <cellStyle name="40% - Accent4 2 5 2 5" xfId="8269" xr:uid="{00000000-0005-0000-0000-00007F6A0000}"/>
    <cellStyle name="40% - Accent4 2 5 2 6" xfId="15370" xr:uid="{00000000-0005-0000-0000-0000806A0000}"/>
    <cellStyle name="40% - Accent4 2 5 2 7" xfId="22472" xr:uid="{00000000-0005-0000-0000-0000816A0000}"/>
    <cellStyle name="40% - Accent4 2 5 2 8" xfId="29574" xr:uid="{00000000-0005-0000-0000-0000826A0000}"/>
    <cellStyle name="40% - Accent4 2 5 2 9" xfId="39566" xr:uid="{00000000-0005-0000-0000-0000836A0000}"/>
    <cellStyle name="40% - Accent4 2 5 3" xfId="1800" xr:uid="{00000000-0005-0000-0000-0000846A0000}"/>
    <cellStyle name="40% - Accent4 2 5 3 2" xfId="6068" xr:uid="{00000000-0005-0000-0000-0000856A0000}"/>
    <cellStyle name="40% - Accent4 2 5 3 2 2" xfId="13168" xr:uid="{00000000-0005-0000-0000-0000866A0000}"/>
    <cellStyle name="40% - Accent4 2 5 3 2 2 2" xfId="39567" xr:uid="{00000000-0005-0000-0000-0000876A0000}"/>
    <cellStyle name="40% - Accent4 2 5 3 2 3" xfId="20269" xr:uid="{00000000-0005-0000-0000-0000886A0000}"/>
    <cellStyle name="40% - Accent4 2 5 3 2 4" xfId="27371" xr:uid="{00000000-0005-0000-0000-0000896A0000}"/>
    <cellStyle name="40% - Accent4 2 5 3 2 5" xfId="34473" xr:uid="{00000000-0005-0000-0000-00008A6A0000}"/>
    <cellStyle name="40% - Accent4 2 5 3 2 6" xfId="39568" xr:uid="{00000000-0005-0000-0000-00008B6A0000}"/>
    <cellStyle name="40% - Accent4 2 5 3 3" xfId="8908" xr:uid="{00000000-0005-0000-0000-00008C6A0000}"/>
    <cellStyle name="40% - Accent4 2 5 3 3 2" xfId="39569" xr:uid="{00000000-0005-0000-0000-00008D6A0000}"/>
    <cellStyle name="40% - Accent4 2 5 3 3 3" xfId="39570" xr:uid="{00000000-0005-0000-0000-00008E6A0000}"/>
    <cellStyle name="40% - Accent4 2 5 3 4" xfId="16009" xr:uid="{00000000-0005-0000-0000-00008F6A0000}"/>
    <cellStyle name="40% - Accent4 2 5 3 4 2" xfId="39571" xr:uid="{00000000-0005-0000-0000-0000906A0000}"/>
    <cellStyle name="40% - Accent4 2 5 3 5" xfId="23111" xr:uid="{00000000-0005-0000-0000-0000916A0000}"/>
    <cellStyle name="40% - Accent4 2 5 3 6" xfId="30213" xr:uid="{00000000-0005-0000-0000-0000926A0000}"/>
    <cellStyle name="40% - Accent4 2 5 3 7" xfId="39572" xr:uid="{00000000-0005-0000-0000-0000936A0000}"/>
    <cellStyle name="40% - Accent4 2 5 4" xfId="4647" xr:uid="{00000000-0005-0000-0000-0000946A0000}"/>
    <cellStyle name="40% - Accent4 2 5 4 2" xfId="11748" xr:uid="{00000000-0005-0000-0000-0000956A0000}"/>
    <cellStyle name="40% - Accent4 2 5 4 2 2" xfId="39573" xr:uid="{00000000-0005-0000-0000-0000966A0000}"/>
    <cellStyle name="40% - Accent4 2 5 4 2 3" xfId="39574" xr:uid="{00000000-0005-0000-0000-0000976A0000}"/>
    <cellStyle name="40% - Accent4 2 5 4 3" xfId="18849" xr:uid="{00000000-0005-0000-0000-0000986A0000}"/>
    <cellStyle name="40% - Accent4 2 5 4 3 2" xfId="39575" xr:uid="{00000000-0005-0000-0000-0000996A0000}"/>
    <cellStyle name="40% - Accent4 2 5 4 3 3" xfId="39576" xr:uid="{00000000-0005-0000-0000-00009A6A0000}"/>
    <cellStyle name="40% - Accent4 2 5 4 4" xfId="25951" xr:uid="{00000000-0005-0000-0000-00009B6A0000}"/>
    <cellStyle name="40% - Accent4 2 5 4 4 2" xfId="39577" xr:uid="{00000000-0005-0000-0000-00009C6A0000}"/>
    <cellStyle name="40% - Accent4 2 5 4 5" xfId="33053" xr:uid="{00000000-0005-0000-0000-00009D6A0000}"/>
    <cellStyle name="40% - Accent4 2 5 4 6" xfId="39578" xr:uid="{00000000-0005-0000-0000-00009E6A0000}"/>
    <cellStyle name="40% - Accent4 2 5 5" xfId="3222" xr:uid="{00000000-0005-0000-0000-00009F6A0000}"/>
    <cellStyle name="40% - Accent4 2 5 5 2" xfId="10328" xr:uid="{00000000-0005-0000-0000-0000A06A0000}"/>
    <cellStyle name="40% - Accent4 2 5 5 2 2" xfId="39579" xr:uid="{00000000-0005-0000-0000-0000A16A0000}"/>
    <cellStyle name="40% - Accent4 2 5 5 3" xfId="17429" xr:uid="{00000000-0005-0000-0000-0000A26A0000}"/>
    <cellStyle name="40% - Accent4 2 5 5 4" xfId="24531" xr:uid="{00000000-0005-0000-0000-0000A36A0000}"/>
    <cellStyle name="40% - Accent4 2 5 5 5" xfId="31633" xr:uid="{00000000-0005-0000-0000-0000A46A0000}"/>
    <cellStyle name="40% - Accent4 2 5 5 6" xfId="39580" xr:uid="{00000000-0005-0000-0000-0000A56A0000}"/>
    <cellStyle name="40% - Accent4 2 5 6" xfId="7488" xr:uid="{00000000-0005-0000-0000-0000A66A0000}"/>
    <cellStyle name="40% - Accent4 2 5 6 2" xfId="39581" xr:uid="{00000000-0005-0000-0000-0000A76A0000}"/>
    <cellStyle name="40% - Accent4 2 5 6 3" xfId="39582" xr:uid="{00000000-0005-0000-0000-0000A86A0000}"/>
    <cellStyle name="40% - Accent4 2 5 7" xfId="14589" xr:uid="{00000000-0005-0000-0000-0000A96A0000}"/>
    <cellStyle name="40% - Accent4 2 5 7 2" xfId="39583" xr:uid="{00000000-0005-0000-0000-0000AA6A0000}"/>
    <cellStyle name="40% - Accent4 2 5 8" xfId="21691" xr:uid="{00000000-0005-0000-0000-0000AB6A0000}"/>
    <cellStyle name="40% - Accent4 2 5 9" xfId="28793" xr:uid="{00000000-0005-0000-0000-0000AC6A0000}"/>
    <cellStyle name="40% - Accent4 2 6" xfId="522" xr:uid="{00000000-0005-0000-0000-0000AD6A0000}"/>
    <cellStyle name="40% - Accent4 2 6 2" xfId="2013" xr:uid="{00000000-0005-0000-0000-0000AE6A0000}"/>
    <cellStyle name="40% - Accent4 2 6 2 2" xfId="6281" xr:uid="{00000000-0005-0000-0000-0000AF6A0000}"/>
    <cellStyle name="40% - Accent4 2 6 2 2 2" xfId="13381" xr:uid="{00000000-0005-0000-0000-0000B06A0000}"/>
    <cellStyle name="40% - Accent4 2 6 2 2 3" xfId="20482" xr:uid="{00000000-0005-0000-0000-0000B16A0000}"/>
    <cellStyle name="40% - Accent4 2 6 2 2 4" xfId="27584" xr:uid="{00000000-0005-0000-0000-0000B26A0000}"/>
    <cellStyle name="40% - Accent4 2 6 2 2 5" xfId="34686" xr:uid="{00000000-0005-0000-0000-0000B36A0000}"/>
    <cellStyle name="40% - Accent4 2 6 2 2 6" xfId="39584" xr:uid="{00000000-0005-0000-0000-0000B46A0000}"/>
    <cellStyle name="40% - Accent4 2 6 2 3" xfId="9121" xr:uid="{00000000-0005-0000-0000-0000B56A0000}"/>
    <cellStyle name="40% - Accent4 2 6 2 4" xfId="16222" xr:uid="{00000000-0005-0000-0000-0000B66A0000}"/>
    <cellStyle name="40% - Accent4 2 6 2 5" xfId="23324" xr:uid="{00000000-0005-0000-0000-0000B76A0000}"/>
    <cellStyle name="40% - Accent4 2 6 2 6" xfId="30426" xr:uid="{00000000-0005-0000-0000-0000B86A0000}"/>
    <cellStyle name="40% - Accent4 2 6 2 7" xfId="39585" xr:uid="{00000000-0005-0000-0000-0000B96A0000}"/>
    <cellStyle name="40% - Accent4 2 6 3" xfId="4860" xr:uid="{00000000-0005-0000-0000-0000BA6A0000}"/>
    <cellStyle name="40% - Accent4 2 6 3 2" xfId="11961" xr:uid="{00000000-0005-0000-0000-0000BB6A0000}"/>
    <cellStyle name="40% - Accent4 2 6 3 2 2" xfId="39586" xr:uid="{00000000-0005-0000-0000-0000BC6A0000}"/>
    <cellStyle name="40% - Accent4 2 6 3 3" xfId="19062" xr:uid="{00000000-0005-0000-0000-0000BD6A0000}"/>
    <cellStyle name="40% - Accent4 2 6 3 4" xfId="26164" xr:uid="{00000000-0005-0000-0000-0000BE6A0000}"/>
    <cellStyle name="40% - Accent4 2 6 3 5" xfId="33266" xr:uid="{00000000-0005-0000-0000-0000BF6A0000}"/>
    <cellStyle name="40% - Accent4 2 6 3 6" xfId="39587" xr:uid="{00000000-0005-0000-0000-0000C06A0000}"/>
    <cellStyle name="40% - Accent4 2 6 4" xfId="3435" xr:uid="{00000000-0005-0000-0000-0000C16A0000}"/>
    <cellStyle name="40% - Accent4 2 6 4 2" xfId="10541" xr:uid="{00000000-0005-0000-0000-0000C26A0000}"/>
    <cellStyle name="40% - Accent4 2 6 4 3" xfId="17642" xr:uid="{00000000-0005-0000-0000-0000C36A0000}"/>
    <cellStyle name="40% - Accent4 2 6 4 4" xfId="24744" xr:uid="{00000000-0005-0000-0000-0000C46A0000}"/>
    <cellStyle name="40% - Accent4 2 6 4 5" xfId="31846" xr:uid="{00000000-0005-0000-0000-0000C56A0000}"/>
    <cellStyle name="40% - Accent4 2 6 4 6" xfId="39588" xr:uid="{00000000-0005-0000-0000-0000C66A0000}"/>
    <cellStyle name="40% - Accent4 2 6 5" xfId="7701" xr:uid="{00000000-0005-0000-0000-0000C76A0000}"/>
    <cellStyle name="40% - Accent4 2 6 6" xfId="14802" xr:uid="{00000000-0005-0000-0000-0000C86A0000}"/>
    <cellStyle name="40% - Accent4 2 6 7" xfId="21904" xr:uid="{00000000-0005-0000-0000-0000C96A0000}"/>
    <cellStyle name="40% - Accent4 2 6 8" xfId="29006" xr:uid="{00000000-0005-0000-0000-0000CA6A0000}"/>
    <cellStyle name="40% - Accent4 2 6 9" xfId="39589" xr:uid="{00000000-0005-0000-0000-0000CB6A0000}"/>
    <cellStyle name="40% - Accent4 2 7" xfId="735" xr:uid="{00000000-0005-0000-0000-0000CC6A0000}"/>
    <cellStyle name="40% - Accent4 2 7 2" xfId="2226" xr:uid="{00000000-0005-0000-0000-0000CD6A0000}"/>
    <cellStyle name="40% - Accent4 2 7 2 2" xfId="6494" xr:uid="{00000000-0005-0000-0000-0000CE6A0000}"/>
    <cellStyle name="40% - Accent4 2 7 2 2 2" xfId="13594" xr:uid="{00000000-0005-0000-0000-0000CF6A0000}"/>
    <cellStyle name="40% - Accent4 2 7 2 2 3" xfId="20695" xr:uid="{00000000-0005-0000-0000-0000D06A0000}"/>
    <cellStyle name="40% - Accent4 2 7 2 2 4" xfId="27797" xr:uid="{00000000-0005-0000-0000-0000D16A0000}"/>
    <cellStyle name="40% - Accent4 2 7 2 2 5" xfId="34899" xr:uid="{00000000-0005-0000-0000-0000D26A0000}"/>
    <cellStyle name="40% - Accent4 2 7 2 2 6" xfId="39590" xr:uid="{00000000-0005-0000-0000-0000D36A0000}"/>
    <cellStyle name="40% - Accent4 2 7 2 3" xfId="9334" xr:uid="{00000000-0005-0000-0000-0000D46A0000}"/>
    <cellStyle name="40% - Accent4 2 7 2 4" xfId="16435" xr:uid="{00000000-0005-0000-0000-0000D56A0000}"/>
    <cellStyle name="40% - Accent4 2 7 2 5" xfId="23537" xr:uid="{00000000-0005-0000-0000-0000D66A0000}"/>
    <cellStyle name="40% - Accent4 2 7 2 6" xfId="30639" xr:uid="{00000000-0005-0000-0000-0000D76A0000}"/>
    <cellStyle name="40% - Accent4 2 7 2 7" xfId="39591" xr:uid="{00000000-0005-0000-0000-0000D86A0000}"/>
    <cellStyle name="40% - Accent4 2 7 3" xfId="5073" xr:uid="{00000000-0005-0000-0000-0000D96A0000}"/>
    <cellStyle name="40% - Accent4 2 7 3 2" xfId="12174" xr:uid="{00000000-0005-0000-0000-0000DA6A0000}"/>
    <cellStyle name="40% - Accent4 2 7 3 2 2" xfId="39592" xr:uid="{00000000-0005-0000-0000-0000DB6A0000}"/>
    <cellStyle name="40% - Accent4 2 7 3 3" xfId="19275" xr:uid="{00000000-0005-0000-0000-0000DC6A0000}"/>
    <cellStyle name="40% - Accent4 2 7 3 4" xfId="26377" xr:uid="{00000000-0005-0000-0000-0000DD6A0000}"/>
    <cellStyle name="40% - Accent4 2 7 3 5" xfId="33479" xr:uid="{00000000-0005-0000-0000-0000DE6A0000}"/>
    <cellStyle name="40% - Accent4 2 7 3 6" xfId="39593" xr:uid="{00000000-0005-0000-0000-0000DF6A0000}"/>
    <cellStyle name="40% - Accent4 2 7 4" xfId="3648" xr:uid="{00000000-0005-0000-0000-0000E06A0000}"/>
    <cellStyle name="40% - Accent4 2 7 4 2" xfId="10754" xr:uid="{00000000-0005-0000-0000-0000E16A0000}"/>
    <cellStyle name="40% - Accent4 2 7 4 3" xfId="17855" xr:uid="{00000000-0005-0000-0000-0000E26A0000}"/>
    <cellStyle name="40% - Accent4 2 7 4 4" xfId="24957" xr:uid="{00000000-0005-0000-0000-0000E36A0000}"/>
    <cellStyle name="40% - Accent4 2 7 4 5" xfId="32059" xr:uid="{00000000-0005-0000-0000-0000E46A0000}"/>
    <cellStyle name="40% - Accent4 2 7 4 6" xfId="39594" xr:uid="{00000000-0005-0000-0000-0000E56A0000}"/>
    <cellStyle name="40% - Accent4 2 7 5" xfId="7914" xr:uid="{00000000-0005-0000-0000-0000E66A0000}"/>
    <cellStyle name="40% - Accent4 2 7 6" xfId="15015" xr:uid="{00000000-0005-0000-0000-0000E76A0000}"/>
    <cellStyle name="40% - Accent4 2 7 7" xfId="22117" xr:uid="{00000000-0005-0000-0000-0000E86A0000}"/>
    <cellStyle name="40% - Accent4 2 7 8" xfId="29219" xr:uid="{00000000-0005-0000-0000-0000E96A0000}"/>
    <cellStyle name="40% - Accent4 2 7 9" xfId="39595" xr:uid="{00000000-0005-0000-0000-0000EA6A0000}"/>
    <cellStyle name="40% - Accent4 2 8" xfId="948" xr:uid="{00000000-0005-0000-0000-0000EB6A0000}"/>
    <cellStyle name="40% - Accent4 2 8 2" xfId="2439" xr:uid="{00000000-0005-0000-0000-0000EC6A0000}"/>
    <cellStyle name="40% - Accent4 2 8 2 2" xfId="6707" xr:uid="{00000000-0005-0000-0000-0000ED6A0000}"/>
    <cellStyle name="40% - Accent4 2 8 2 2 2" xfId="13807" xr:uid="{00000000-0005-0000-0000-0000EE6A0000}"/>
    <cellStyle name="40% - Accent4 2 8 2 2 3" xfId="20908" xr:uid="{00000000-0005-0000-0000-0000EF6A0000}"/>
    <cellStyle name="40% - Accent4 2 8 2 2 4" xfId="28010" xr:uid="{00000000-0005-0000-0000-0000F06A0000}"/>
    <cellStyle name="40% - Accent4 2 8 2 2 5" xfId="35112" xr:uid="{00000000-0005-0000-0000-0000F16A0000}"/>
    <cellStyle name="40% - Accent4 2 8 2 2 6" xfId="39596" xr:uid="{00000000-0005-0000-0000-0000F26A0000}"/>
    <cellStyle name="40% - Accent4 2 8 2 3" xfId="9547" xr:uid="{00000000-0005-0000-0000-0000F36A0000}"/>
    <cellStyle name="40% - Accent4 2 8 2 4" xfId="16648" xr:uid="{00000000-0005-0000-0000-0000F46A0000}"/>
    <cellStyle name="40% - Accent4 2 8 2 5" xfId="23750" xr:uid="{00000000-0005-0000-0000-0000F56A0000}"/>
    <cellStyle name="40% - Accent4 2 8 2 6" xfId="30852" xr:uid="{00000000-0005-0000-0000-0000F66A0000}"/>
    <cellStyle name="40% - Accent4 2 8 2 7" xfId="39597" xr:uid="{00000000-0005-0000-0000-0000F76A0000}"/>
    <cellStyle name="40% - Accent4 2 8 3" xfId="5286" xr:uid="{00000000-0005-0000-0000-0000F86A0000}"/>
    <cellStyle name="40% - Accent4 2 8 3 2" xfId="12387" xr:uid="{00000000-0005-0000-0000-0000F96A0000}"/>
    <cellStyle name="40% - Accent4 2 8 3 2 2" xfId="39598" xr:uid="{00000000-0005-0000-0000-0000FA6A0000}"/>
    <cellStyle name="40% - Accent4 2 8 3 3" xfId="19488" xr:uid="{00000000-0005-0000-0000-0000FB6A0000}"/>
    <cellStyle name="40% - Accent4 2 8 3 4" xfId="26590" xr:uid="{00000000-0005-0000-0000-0000FC6A0000}"/>
    <cellStyle name="40% - Accent4 2 8 3 5" xfId="33692" xr:uid="{00000000-0005-0000-0000-0000FD6A0000}"/>
    <cellStyle name="40% - Accent4 2 8 3 6" xfId="39599" xr:uid="{00000000-0005-0000-0000-0000FE6A0000}"/>
    <cellStyle name="40% - Accent4 2 8 4" xfId="3861" xr:uid="{00000000-0005-0000-0000-0000FF6A0000}"/>
    <cellStyle name="40% - Accent4 2 8 4 2" xfId="10967" xr:uid="{00000000-0005-0000-0000-0000006B0000}"/>
    <cellStyle name="40% - Accent4 2 8 4 3" xfId="18068" xr:uid="{00000000-0005-0000-0000-0000016B0000}"/>
    <cellStyle name="40% - Accent4 2 8 4 4" xfId="25170" xr:uid="{00000000-0005-0000-0000-0000026B0000}"/>
    <cellStyle name="40% - Accent4 2 8 4 5" xfId="32272" xr:uid="{00000000-0005-0000-0000-0000036B0000}"/>
    <cellStyle name="40% - Accent4 2 8 4 6" xfId="39600" xr:uid="{00000000-0005-0000-0000-0000046B0000}"/>
    <cellStyle name="40% - Accent4 2 8 5" xfId="8127" xr:uid="{00000000-0005-0000-0000-0000056B0000}"/>
    <cellStyle name="40% - Accent4 2 8 6" xfId="15228" xr:uid="{00000000-0005-0000-0000-0000066B0000}"/>
    <cellStyle name="40% - Accent4 2 8 7" xfId="22330" xr:uid="{00000000-0005-0000-0000-0000076B0000}"/>
    <cellStyle name="40% - Accent4 2 8 8" xfId="29432" xr:uid="{00000000-0005-0000-0000-0000086B0000}"/>
    <cellStyle name="40% - Accent4 2 8 9" xfId="39601" xr:uid="{00000000-0005-0000-0000-0000096B0000}"/>
    <cellStyle name="40% - Accent4 2 9" xfId="1303" xr:uid="{00000000-0005-0000-0000-00000A6B0000}"/>
    <cellStyle name="40% - Accent4 2 9 2" xfId="2794" xr:uid="{00000000-0005-0000-0000-00000B6B0000}"/>
    <cellStyle name="40% - Accent4 2 9 2 2" xfId="7062" xr:uid="{00000000-0005-0000-0000-00000C6B0000}"/>
    <cellStyle name="40% - Accent4 2 9 2 2 2" xfId="14162" xr:uid="{00000000-0005-0000-0000-00000D6B0000}"/>
    <cellStyle name="40% - Accent4 2 9 2 2 3" xfId="21263" xr:uid="{00000000-0005-0000-0000-00000E6B0000}"/>
    <cellStyle name="40% - Accent4 2 9 2 2 4" xfId="28365" xr:uid="{00000000-0005-0000-0000-00000F6B0000}"/>
    <cellStyle name="40% - Accent4 2 9 2 2 5" xfId="35467" xr:uid="{00000000-0005-0000-0000-0000106B0000}"/>
    <cellStyle name="40% - Accent4 2 9 2 3" xfId="9902" xr:uid="{00000000-0005-0000-0000-0000116B0000}"/>
    <cellStyle name="40% - Accent4 2 9 2 4" xfId="17003" xr:uid="{00000000-0005-0000-0000-0000126B0000}"/>
    <cellStyle name="40% - Accent4 2 9 2 5" xfId="24105" xr:uid="{00000000-0005-0000-0000-0000136B0000}"/>
    <cellStyle name="40% - Accent4 2 9 2 6" xfId="31207" xr:uid="{00000000-0005-0000-0000-0000146B0000}"/>
    <cellStyle name="40% - Accent4 2 9 2 7" xfId="39602" xr:uid="{00000000-0005-0000-0000-0000156B0000}"/>
    <cellStyle name="40% - Accent4 2 9 3" xfId="5641" xr:uid="{00000000-0005-0000-0000-0000166B0000}"/>
    <cellStyle name="40% - Accent4 2 9 3 2" xfId="12742" xr:uid="{00000000-0005-0000-0000-0000176B0000}"/>
    <cellStyle name="40% - Accent4 2 9 3 3" xfId="19843" xr:uid="{00000000-0005-0000-0000-0000186B0000}"/>
    <cellStyle name="40% - Accent4 2 9 3 4" xfId="26945" xr:uid="{00000000-0005-0000-0000-0000196B0000}"/>
    <cellStyle name="40% - Accent4 2 9 3 5" xfId="34047" xr:uid="{00000000-0005-0000-0000-00001A6B0000}"/>
    <cellStyle name="40% - Accent4 2 9 4" xfId="4216" xr:uid="{00000000-0005-0000-0000-00001B6B0000}"/>
    <cellStyle name="40% - Accent4 2 9 4 2" xfId="11322" xr:uid="{00000000-0005-0000-0000-00001C6B0000}"/>
    <cellStyle name="40% - Accent4 2 9 4 3" xfId="18423" xr:uid="{00000000-0005-0000-0000-00001D6B0000}"/>
    <cellStyle name="40% - Accent4 2 9 4 4" xfId="25525" xr:uid="{00000000-0005-0000-0000-00001E6B0000}"/>
    <cellStyle name="40% - Accent4 2 9 4 5" xfId="32627" xr:uid="{00000000-0005-0000-0000-00001F6B0000}"/>
    <cellStyle name="40% - Accent4 2 9 5" xfId="8482" xr:uid="{00000000-0005-0000-0000-0000206B0000}"/>
    <cellStyle name="40% - Accent4 2 9 6" xfId="15583" xr:uid="{00000000-0005-0000-0000-0000216B0000}"/>
    <cellStyle name="40% - Accent4 2 9 7" xfId="22685" xr:uid="{00000000-0005-0000-0000-0000226B0000}"/>
    <cellStyle name="40% - Accent4 2 9 8" xfId="29787" xr:uid="{00000000-0005-0000-0000-0000236B0000}"/>
    <cellStyle name="40% - Accent4 2 9 9" xfId="39603" xr:uid="{00000000-0005-0000-0000-0000246B0000}"/>
    <cellStyle name="40% - Accent4 20" xfId="39604" xr:uid="{00000000-0005-0000-0000-0000256B0000}"/>
    <cellStyle name="40% - Accent4 21" xfId="39605" xr:uid="{00000000-0005-0000-0000-0000266B0000}"/>
    <cellStyle name="40% - Accent4 22" xfId="39606" xr:uid="{00000000-0005-0000-0000-0000276B0000}"/>
    <cellStyle name="40% - Accent4 23" xfId="39607" xr:uid="{00000000-0005-0000-0000-0000286B0000}"/>
    <cellStyle name="40% - Accent4 24" xfId="39608" xr:uid="{00000000-0005-0000-0000-0000296B0000}"/>
    <cellStyle name="40% - Accent4 25" xfId="39609" xr:uid="{00000000-0005-0000-0000-00002A6B0000}"/>
    <cellStyle name="40% - Accent4 3" xfId="104" xr:uid="{00000000-0005-0000-0000-00002B6B0000}"/>
    <cellStyle name="40% - Accent4 3 10" xfId="4448" xr:uid="{00000000-0005-0000-0000-00002C6B0000}"/>
    <cellStyle name="40% - Accent4 3 10 2" xfId="11549" xr:uid="{00000000-0005-0000-0000-00002D6B0000}"/>
    <cellStyle name="40% - Accent4 3 10 3" xfId="18650" xr:uid="{00000000-0005-0000-0000-00002E6B0000}"/>
    <cellStyle name="40% - Accent4 3 10 4" xfId="25752" xr:uid="{00000000-0005-0000-0000-00002F6B0000}"/>
    <cellStyle name="40% - Accent4 3 10 5" xfId="32854" xr:uid="{00000000-0005-0000-0000-0000306B0000}"/>
    <cellStyle name="40% - Accent4 3 11" xfId="3023" xr:uid="{00000000-0005-0000-0000-0000316B0000}"/>
    <cellStyle name="40% - Accent4 3 11 2" xfId="10129" xr:uid="{00000000-0005-0000-0000-0000326B0000}"/>
    <cellStyle name="40% - Accent4 3 11 3" xfId="17230" xr:uid="{00000000-0005-0000-0000-0000336B0000}"/>
    <cellStyle name="40% - Accent4 3 11 4" xfId="24332" xr:uid="{00000000-0005-0000-0000-0000346B0000}"/>
    <cellStyle name="40% - Accent4 3 11 5" xfId="31434" xr:uid="{00000000-0005-0000-0000-0000356B0000}"/>
    <cellStyle name="40% - Accent4 3 12" xfId="7289" xr:uid="{00000000-0005-0000-0000-0000366B0000}"/>
    <cellStyle name="40% - Accent4 3 13" xfId="14390" xr:uid="{00000000-0005-0000-0000-0000376B0000}"/>
    <cellStyle name="40% - Accent4 3 14" xfId="21492" xr:uid="{00000000-0005-0000-0000-0000386B0000}"/>
    <cellStyle name="40% - Accent4 3 15" xfId="28594" xr:uid="{00000000-0005-0000-0000-0000396B0000}"/>
    <cellStyle name="40% - Accent4 3 16" xfId="35696" xr:uid="{00000000-0005-0000-0000-00003A6B0000}"/>
    <cellStyle name="40% - Accent4 3 17" xfId="39610" xr:uid="{00000000-0005-0000-0000-00003B6B0000}"/>
    <cellStyle name="40% - Accent4 3 18" xfId="39611" xr:uid="{00000000-0005-0000-0000-00003C6B0000}"/>
    <cellStyle name="40% - Accent4 3 2" xfId="252" xr:uid="{00000000-0005-0000-0000-00003D6B0000}"/>
    <cellStyle name="40% - Accent4 3 2 10" xfId="7431" xr:uid="{00000000-0005-0000-0000-00003E6B0000}"/>
    <cellStyle name="40% - Accent4 3 2 11" xfId="14532" xr:uid="{00000000-0005-0000-0000-00003F6B0000}"/>
    <cellStyle name="40% - Accent4 3 2 12" xfId="21634" xr:uid="{00000000-0005-0000-0000-0000406B0000}"/>
    <cellStyle name="40% - Accent4 3 2 13" xfId="28736" xr:uid="{00000000-0005-0000-0000-0000416B0000}"/>
    <cellStyle name="40% - Accent4 3 2 14" xfId="35838" xr:uid="{00000000-0005-0000-0000-0000426B0000}"/>
    <cellStyle name="40% - Accent4 3 2 15" xfId="39612" xr:uid="{00000000-0005-0000-0000-0000436B0000}"/>
    <cellStyle name="40% - Accent4 3 2 2" xfId="465" xr:uid="{00000000-0005-0000-0000-0000446B0000}"/>
    <cellStyle name="40% - Accent4 3 2 2 10" xfId="39613" xr:uid="{00000000-0005-0000-0000-0000456B0000}"/>
    <cellStyle name="40% - Accent4 3 2 2 2" xfId="1246" xr:uid="{00000000-0005-0000-0000-0000466B0000}"/>
    <cellStyle name="40% - Accent4 3 2 2 2 2" xfId="2737" xr:uid="{00000000-0005-0000-0000-0000476B0000}"/>
    <cellStyle name="40% - Accent4 3 2 2 2 2 2" xfId="7005" xr:uid="{00000000-0005-0000-0000-0000486B0000}"/>
    <cellStyle name="40% - Accent4 3 2 2 2 2 2 2" xfId="14105" xr:uid="{00000000-0005-0000-0000-0000496B0000}"/>
    <cellStyle name="40% - Accent4 3 2 2 2 2 2 3" xfId="21206" xr:uid="{00000000-0005-0000-0000-00004A6B0000}"/>
    <cellStyle name="40% - Accent4 3 2 2 2 2 2 4" xfId="28308" xr:uid="{00000000-0005-0000-0000-00004B6B0000}"/>
    <cellStyle name="40% - Accent4 3 2 2 2 2 2 5" xfId="35410" xr:uid="{00000000-0005-0000-0000-00004C6B0000}"/>
    <cellStyle name="40% - Accent4 3 2 2 2 2 3" xfId="9845" xr:uid="{00000000-0005-0000-0000-00004D6B0000}"/>
    <cellStyle name="40% - Accent4 3 2 2 2 2 4" xfId="16946" xr:uid="{00000000-0005-0000-0000-00004E6B0000}"/>
    <cellStyle name="40% - Accent4 3 2 2 2 2 5" xfId="24048" xr:uid="{00000000-0005-0000-0000-00004F6B0000}"/>
    <cellStyle name="40% - Accent4 3 2 2 2 2 6" xfId="31150" xr:uid="{00000000-0005-0000-0000-0000506B0000}"/>
    <cellStyle name="40% - Accent4 3 2 2 2 2 7" xfId="39614" xr:uid="{00000000-0005-0000-0000-0000516B0000}"/>
    <cellStyle name="40% - Accent4 3 2 2 2 3" xfId="5584" xr:uid="{00000000-0005-0000-0000-0000526B0000}"/>
    <cellStyle name="40% - Accent4 3 2 2 2 3 2" xfId="12685" xr:uid="{00000000-0005-0000-0000-0000536B0000}"/>
    <cellStyle name="40% - Accent4 3 2 2 2 3 3" xfId="19786" xr:uid="{00000000-0005-0000-0000-0000546B0000}"/>
    <cellStyle name="40% - Accent4 3 2 2 2 3 4" xfId="26888" xr:uid="{00000000-0005-0000-0000-0000556B0000}"/>
    <cellStyle name="40% - Accent4 3 2 2 2 3 5" xfId="33990" xr:uid="{00000000-0005-0000-0000-0000566B0000}"/>
    <cellStyle name="40% - Accent4 3 2 2 2 4" xfId="4159" xr:uid="{00000000-0005-0000-0000-0000576B0000}"/>
    <cellStyle name="40% - Accent4 3 2 2 2 4 2" xfId="11265" xr:uid="{00000000-0005-0000-0000-0000586B0000}"/>
    <cellStyle name="40% - Accent4 3 2 2 2 4 3" xfId="18366" xr:uid="{00000000-0005-0000-0000-0000596B0000}"/>
    <cellStyle name="40% - Accent4 3 2 2 2 4 4" xfId="25468" xr:uid="{00000000-0005-0000-0000-00005A6B0000}"/>
    <cellStyle name="40% - Accent4 3 2 2 2 4 5" xfId="32570" xr:uid="{00000000-0005-0000-0000-00005B6B0000}"/>
    <cellStyle name="40% - Accent4 3 2 2 2 5" xfId="8425" xr:uid="{00000000-0005-0000-0000-00005C6B0000}"/>
    <cellStyle name="40% - Accent4 3 2 2 2 6" xfId="15526" xr:uid="{00000000-0005-0000-0000-00005D6B0000}"/>
    <cellStyle name="40% - Accent4 3 2 2 2 7" xfId="22628" xr:uid="{00000000-0005-0000-0000-00005E6B0000}"/>
    <cellStyle name="40% - Accent4 3 2 2 2 8" xfId="29730" xr:uid="{00000000-0005-0000-0000-00005F6B0000}"/>
    <cellStyle name="40% - Accent4 3 2 2 2 9" xfId="39615" xr:uid="{00000000-0005-0000-0000-0000606B0000}"/>
    <cellStyle name="40% - Accent4 3 2 2 3" xfId="1956" xr:uid="{00000000-0005-0000-0000-0000616B0000}"/>
    <cellStyle name="40% - Accent4 3 2 2 3 2" xfId="6224" xr:uid="{00000000-0005-0000-0000-0000626B0000}"/>
    <cellStyle name="40% - Accent4 3 2 2 3 2 2" xfId="13324" xr:uid="{00000000-0005-0000-0000-0000636B0000}"/>
    <cellStyle name="40% - Accent4 3 2 2 3 2 3" xfId="20425" xr:uid="{00000000-0005-0000-0000-0000646B0000}"/>
    <cellStyle name="40% - Accent4 3 2 2 3 2 4" xfId="27527" xr:uid="{00000000-0005-0000-0000-0000656B0000}"/>
    <cellStyle name="40% - Accent4 3 2 2 3 2 5" xfId="34629" xr:uid="{00000000-0005-0000-0000-0000666B0000}"/>
    <cellStyle name="40% - Accent4 3 2 2 3 2 6" xfId="39616" xr:uid="{00000000-0005-0000-0000-0000676B0000}"/>
    <cellStyle name="40% - Accent4 3 2 2 3 3" xfId="9064" xr:uid="{00000000-0005-0000-0000-0000686B0000}"/>
    <cellStyle name="40% - Accent4 3 2 2 3 4" xfId="16165" xr:uid="{00000000-0005-0000-0000-0000696B0000}"/>
    <cellStyle name="40% - Accent4 3 2 2 3 5" xfId="23267" xr:uid="{00000000-0005-0000-0000-00006A6B0000}"/>
    <cellStyle name="40% - Accent4 3 2 2 3 6" xfId="30369" xr:uid="{00000000-0005-0000-0000-00006B6B0000}"/>
    <cellStyle name="40% - Accent4 3 2 2 3 7" xfId="39617" xr:uid="{00000000-0005-0000-0000-00006C6B0000}"/>
    <cellStyle name="40% - Accent4 3 2 2 4" xfId="4803" xr:uid="{00000000-0005-0000-0000-00006D6B0000}"/>
    <cellStyle name="40% - Accent4 3 2 2 4 2" xfId="11904" xr:uid="{00000000-0005-0000-0000-00006E6B0000}"/>
    <cellStyle name="40% - Accent4 3 2 2 4 3" xfId="19005" xr:uid="{00000000-0005-0000-0000-00006F6B0000}"/>
    <cellStyle name="40% - Accent4 3 2 2 4 4" xfId="26107" xr:uid="{00000000-0005-0000-0000-0000706B0000}"/>
    <cellStyle name="40% - Accent4 3 2 2 4 5" xfId="33209" xr:uid="{00000000-0005-0000-0000-0000716B0000}"/>
    <cellStyle name="40% - Accent4 3 2 2 4 6" xfId="39618" xr:uid="{00000000-0005-0000-0000-0000726B0000}"/>
    <cellStyle name="40% - Accent4 3 2 2 5" xfId="3378" xr:uid="{00000000-0005-0000-0000-0000736B0000}"/>
    <cellStyle name="40% - Accent4 3 2 2 5 2" xfId="10484" xr:uid="{00000000-0005-0000-0000-0000746B0000}"/>
    <cellStyle name="40% - Accent4 3 2 2 5 3" xfId="17585" xr:uid="{00000000-0005-0000-0000-0000756B0000}"/>
    <cellStyle name="40% - Accent4 3 2 2 5 4" xfId="24687" xr:uid="{00000000-0005-0000-0000-0000766B0000}"/>
    <cellStyle name="40% - Accent4 3 2 2 5 5" xfId="31789" xr:uid="{00000000-0005-0000-0000-0000776B0000}"/>
    <cellStyle name="40% - Accent4 3 2 2 6" xfId="7644" xr:uid="{00000000-0005-0000-0000-0000786B0000}"/>
    <cellStyle name="40% - Accent4 3 2 2 7" xfId="14745" xr:uid="{00000000-0005-0000-0000-0000796B0000}"/>
    <cellStyle name="40% - Accent4 3 2 2 8" xfId="21847" xr:uid="{00000000-0005-0000-0000-00007A6B0000}"/>
    <cellStyle name="40% - Accent4 3 2 2 9" xfId="28949" xr:uid="{00000000-0005-0000-0000-00007B6B0000}"/>
    <cellStyle name="40% - Accent4 3 2 3" xfId="678" xr:uid="{00000000-0005-0000-0000-00007C6B0000}"/>
    <cellStyle name="40% - Accent4 3 2 3 2" xfId="2169" xr:uid="{00000000-0005-0000-0000-00007D6B0000}"/>
    <cellStyle name="40% - Accent4 3 2 3 2 2" xfId="6437" xr:uid="{00000000-0005-0000-0000-00007E6B0000}"/>
    <cellStyle name="40% - Accent4 3 2 3 2 2 2" xfId="13537" xr:uid="{00000000-0005-0000-0000-00007F6B0000}"/>
    <cellStyle name="40% - Accent4 3 2 3 2 2 3" xfId="20638" xr:uid="{00000000-0005-0000-0000-0000806B0000}"/>
    <cellStyle name="40% - Accent4 3 2 3 2 2 4" xfId="27740" xr:uid="{00000000-0005-0000-0000-0000816B0000}"/>
    <cellStyle name="40% - Accent4 3 2 3 2 2 5" xfId="34842" xr:uid="{00000000-0005-0000-0000-0000826B0000}"/>
    <cellStyle name="40% - Accent4 3 2 3 2 2 6" xfId="39619" xr:uid="{00000000-0005-0000-0000-0000836B0000}"/>
    <cellStyle name="40% - Accent4 3 2 3 2 3" xfId="9277" xr:uid="{00000000-0005-0000-0000-0000846B0000}"/>
    <cellStyle name="40% - Accent4 3 2 3 2 4" xfId="16378" xr:uid="{00000000-0005-0000-0000-0000856B0000}"/>
    <cellStyle name="40% - Accent4 3 2 3 2 5" xfId="23480" xr:uid="{00000000-0005-0000-0000-0000866B0000}"/>
    <cellStyle name="40% - Accent4 3 2 3 2 6" xfId="30582" xr:uid="{00000000-0005-0000-0000-0000876B0000}"/>
    <cellStyle name="40% - Accent4 3 2 3 2 7" xfId="39620" xr:uid="{00000000-0005-0000-0000-0000886B0000}"/>
    <cellStyle name="40% - Accent4 3 2 3 3" xfId="5016" xr:uid="{00000000-0005-0000-0000-0000896B0000}"/>
    <cellStyle name="40% - Accent4 3 2 3 3 2" xfId="12117" xr:uid="{00000000-0005-0000-0000-00008A6B0000}"/>
    <cellStyle name="40% - Accent4 3 2 3 3 2 2" xfId="39621" xr:uid="{00000000-0005-0000-0000-00008B6B0000}"/>
    <cellStyle name="40% - Accent4 3 2 3 3 3" xfId="19218" xr:uid="{00000000-0005-0000-0000-00008C6B0000}"/>
    <cellStyle name="40% - Accent4 3 2 3 3 4" xfId="26320" xr:uid="{00000000-0005-0000-0000-00008D6B0000}"/>
    <cellStyle name="40% - Accent4 3 2 3 3 5" xfId="33422" xr:uid="{00000000-0005-0000-0000-00008E6B0000}"/>
    <cellStyle name="40% - Accent4 3 2 3 3 6" xfId="39622" xr:uid="{00000000-0005-0000-0000-00008F6B0000}"/>
    <cellStyle name="40% - Accent4 3 2 3 4" xfId="3591" xr:uid="{00000000-0005-0000-0000-0000906B0000}"/>
    <cellStyle name="40% - Accent4 3 2 3 4 2" xfId="10697" xr:uid="{00000000-0005-0000-0000-0000916B0000}"/>
    <cellStyle name="40% - Accent4 3 2 3 4 3" xfId="17798" xr:uid="{00000000-0005-0000-0000-0000926B0000}"/>
    <cellStyle name="40% - Accent4 3 2 3 4 4" xfId="24900" xr:uid="{00000000-0005-0000-0000-0000936B0000}"/>
    <cellStyle name="40% - Accent4 3 2 3 4 5" xfId="32002" xr:uid="{00000000-0005-0000-0000-0000946B0000}"/>
    <cellStyle name="40% - Accent4 3 2 3 4 6" xfId="39623" xr:uid="{00000000-0005-0000-0000-0000956B0000}"/>
    <cellStyle name="40% - Accent4 3 2 3 5" xfId="7857" xr:uid="{00000000-0005-0000-0000-0000966B0000}"/>
    <cellStyle name="40% - Accent4 3 2 3 6" xfId="14958" xr:uid="{00000000-0005-0000-0000-0000976B0000}"/>
    <cellStyle name="40% - Accent4 3 2 3 7" xfId="22060" xr:uid="{00000000-0005-0000-0000-0000986B0000}"/>
    <cellStyle name="40% - Accent4 3 2 3 8" xfId="29162" xr:uid="{00000000-0005-0000-0000-0000996B0000}"/>
    <cellStyle name="40% - Accent4 3 2 3 9" xfId="39624" xr:uid="{00000000-0005-0000-0000-00009A6B0000}"/>
    <cellStyle name="40% - Accent4 3 2 4" xfId="891" xr:uid="{00000000-0005-0000-0000-00009B6B0000}"/>
    <cellStyle name="40% - Accent4 3 2 4 2" xfId="2382" xr:uid="{00000000-0005-0000-0000-00009C6B0000}"/>
    <cellStyle name="40% - Accent4 3 2 4 2 2" xfId="6650" xr:uid="{00000000-0005-0000-0000-00009D6B0000}"/>
    <cellStyle name="40% - Accent4 3 2 4 2 2 2" xfId="13750" xr:uid="{00000000-0005-0000-0000-00009E6B0000}"/>
    <cellStyle name="40% - Accent4 3 2 4 2 2 3" xfId="20851" xr:uid="{00000000-0005-0000-0000-00009F6B0000}"/>
    <cellStyle name="40% - Accent4 3 2 4 2 2 4" xfId="27953" xr:uid="{00000000-0005-0000-0000-0000A06B0000}"/>
    <cellStyle name="40% - Accent4 3 2 4 2 2 5" xfId="35055" xr:uid="{00000000-0005-0000-0000-0000A16B0000}"/>
    <cellStyle name="40% - Accent4 3 2 4 2 2 6" xfId="39625" xr:uid="{00000000-0005-0000-0000-0000A26B0000}"/>
    <cellStyle name="40% - Accent4 3 2 4 2 3" xfId="9490" xr:uid="{00000000-0005-0000-0000-0000A36B0000}"/>
    <cellStyle name="40% - Accent4 3 2 4 2 4" xfId="16591" xr:uid="{00000000-0005-0000-0000-0000A46B0000}"/>
    <cellStyle name="40% - Accent4 3 2 4 2 5" xfId="23693" xr:uid="{00000000-0005-0000-0000-0000A56B0000}"/>
    <cellStyle name="40% - Accent4 3 2 4 2 6" xfId="30795" xr:uid="{00000000-0005-0000-0000-0000A66B0000}"/>
    <cellStyle name="40% - Accent4 3 2 4 2 7" xfId="39626" xr:uid="{00000000-0005-0000-0000-0000A76B0000}"/>
    <cellStyle name="40% - Accent4 3 2 4 3" xfId="5229" xr:uid="{00000000-0005-0000-0000-0000A86B0000}"/>
    <cellStyle name="40% - Accent4 3 2 4 3 2" xfId="12330" xr:uid="{00000000-0005-0000-0000-0000A96B0000}"/>
    <cellStyle name="40% - Accent4 3 2 4 3 2 2" xfId="39627" xr:uid="{00000000-0005-0000-0000-0000AA6B0000}"/>
    <cellStyle name="40% - Accent4 3 2 4 3 3" xfId="19431" xr:uid="{00000000-0005-0000-0000-0000AB6B0000}"/>
    <cellStyle name="40% - Accent4 3 2 4 3 4" xfId="26533" xr:uid="{00000000-0005-0000-0000-0000AC6B0000}"/>
    <cellStyle name="40% - Accent4 3 2 4 3 5" xfId="33635" xr:uid="{00000000-0005-0000-0000-0000AD6B0000}"/>
    <cellStyle name="40% - Accent4 3 2 4 3 6" xfId="39628" xr:uid="{00000000-0005-0000-0000-0000AE6B0000}"/>
    <cellStyle name="40% - Accent4 3 2 4 4" xfId="3804" xr:uid="{00000000-0005-0000-0000-0000AF6B0000}"/>
    <cellStyle name="40% - Accent4 3 2 4 4 2" xfId="10910" xr:uid="{00000000-0005-0000-0000-0000B06B0000}"/>
    <cellStyle name="40% - Accent4 3 2 4 4 3" xfId="18011" xr:uid="{00000000-0005-0000-0000-0000B16B0000}"/>
    <cellStyle name="40% - Accent4 3 2 4 4 4" xfId="25113" xr:uid="{00000000-0005-0000-0000-0000B26B0000}"/>
    <cellStyle name="40% - Accent4 3 2 4 4 5" xfId="32215" xr:uid="{00000000-0005-0000-0000-0000B36B0000}"/>
    <cellStyle name="40% - Accent4 3 2 4 4 6" xfId="39629" xr:uid="{00000000-0005-0000-0000-0000B46B0000}"/>
    <cellStyle name="40% - Accent4 3 2 4 5" xfId="8070" xr:uid="{00000000-0005-0000-0000-0000B56B0000}"/>
    <cellStyle name="40% - Accent4 3 2 4 6" xfId="15171" xr:uid="{00000000-0005-0000-0000-0000B66B0000}"/>
    <cellStyle name="40% - Accent4 3 2 4 7" xfId="22273" xr:uid="{00000000-0005-0000-0000-0000B76B0000}"/>
    <cellStyle name="40% - Accent4 3 2 4 8" xfId="29375" xr:uid="{00000000-0005-0000-0000-0000B86B0000}"/>
    <cellStyle name="40% - Accent4 3 2 4 9" xfId="39630" xr:uid="{00000000-0005-0000-0000-0000B96B0000}"/>
    <cellStyle name="40% - Accent4 3 2 5" xfId="1033" xr:uid="{00000000-0005-0000-0000-0000BA6B0000}"/>
    <cellStyle name="40% - Accent4 3 2 5 2" xfId="2524" xr:uid="{00000000-0005-0000-0000-0000BB6B0000}"/>
    <cellStyle name="40% - Accent4 3 2 5 2 2" xfId="6792" xr:uid="{00000000-0005-0000-0000-0000BC6B0000}"/>
    <cellStyle name="40% - Accent4 3 2 5 2 2 2" xfId="13892" xr:uid="{00000000-0005-0000-0000-0000BD6B0000}"/>
    <cellStyle name="40% - Accent4 3 2 5 2 2 3" xfId="20993" xr:uid="{00000000-0005-0000-0000-0000BE6B0000}"/>
    <cellStyle name="40% - Accent4 3 2 5 2 2 4" xfId="28095" xr:uid="{00000000-0005-0000-0000-0000BF6B0000}"/>
    <cellStyle name="40% - Accent4 3 2 5 2 2 5" xfId="35197" xr:uid="{00000000-0005-0000-0000-0000C06B0000}"/>
    <cellStyle name="40% - Accent4 3 2 5 2 3" xfId="9632" xr:uid="{00000000-0005-0000-0000-0000C16B0000}"/>
    <cellStyle name="40% - Accent4 3 2 5 2 4" xfId="16733" xr:uid="{00000000-0005-0000-0000-0000C26B0000}"/>
    <cellStyle name="40% - Accent4 3 2 5 2 5" xfId="23835" xr:uid="{00000000-0005-0000-0000-0000C36B0000}"/>
    <cellStyle name="40% - Accent4 3 2 5 2 6" xfId="30937" xr:uid="{00000000-0005-0000-0000-0000C46B0000}"/>
    <cellStyle name="40% - Accent4 3 2 5 2 7" xfId="39631" xr:uid="{00000000-0005-0000-0000-0000C56B0000}"/>
    <cellStyle name="40% - Accent4 3 2 5 3" xfId="5371" xr:uid="{00000000-0005-0000-0000-0000C66B0000}"/>
    <cellStyle name="40% - Accent4 3 2 5 3 2" xfId="12472" xr:uid="{00000000-0005-0000-0000-0000C76B0000}"/>
    <cellStyle name="40% - Accent4 3 2 5 3 3" xfId="19573" xr:uid="{00000000-0005-0000-0000-0000C86B0000}"/>
    <cellStyle name="40% - Accent4 3 2 5 3 4" xfId="26675" xr:uid="{00000000-0005-0000-0000-0000C96B0000}"/>
    <cellStyle name="40% - Accent4 3 2 5 3 5" xfId="33777" xr:uid="{00000000-0005-0000-0000-0000CA6B0000}"/>
    <cellStyle name="40% - Accent4 3 2 5 4" xfId="3946" xr:uid="{00000000-0005-0000-0000-0000CB6B0000}"/>
    <cellStyle name="40% - Accent4 3 2 5 4 2" xfId="11052" xr:uid="{00000000-0005-0000-0000-0000CC6B0000}"/>
    <cellStyle name="40% - Accent4 3 2 5 4 3" xfId="18153" xr:uid="{00000000-0005-0000-0000-0000CD6B0000}"/>
    <cellStyle name="40% - Accent4 3 2 5 4 4" xfId="25255" xr:uid="{00000000-0005-0000-0000-0000CE6B0000}"/>
    <cellStyle name="40% - Accent4 3 2 5 4 5" xfId="32357" xr:uid="{00000000-0005-0000-0000-0000CF6B0000}"/>
    <cellStyle name="40% - Accent4 3 2 5 5" xfId="8212" xr:uid="{00000000-0005-0000-0000-0000D06B0000}"/>
    <cellStyle name="40% - Accent4 3 2 5 6" xfId="15313" xr:uid="{00000000-0005-0000-0000-0000D16B0000}"/>
    <cellStyle name="40% - Accent4 3 2 5 7" xfId="22415" xr:uid="{00000000-0005-0000-0000-0000D26B0000}"/>
    <cellStyle name="40% - Accent4 3 2 5 8" xfId="29517" xr:uid="{00000000-0005-0000-0000-0000D36B0000}"/>
    <cellStyle name="40% - Accent4 3 2 5 9" xfId="39632" xr:uid="{00000000-0005-0000-0000-0000D46B0000}"/>
    <cellStyle name="40% - Accent4 3 2 6" xfId="1459" xr:uid="{00000000-0005-0000-0000-0000D56B0000}"/>
    <cellStyle name="40% - Accent4 3 2 6 2" xfId="2950" xr:uid="{00000000-0005-0000-0000-0000D66B0000}"/>
    <cellStyle name="40% - Accent4 3 2 6 2 2" xfId="7218" xr:uid="{00000000-0005-0000-0000-0000D76B0000}"/>
    <cellStyle name="40% - Accent4 3 2 6 2 2 2" xfId="14318" xr:uid="{00000000-0005-0000-0000-0000D86B0000}"/>
    <cellStyle name="40% - Accent4 3 2 6 2 2 3" xfId="21419" xr:uid="{00000000-0005-0000-0000-0000D96B0000}"/>
    <cellStyle name="40% - Accent4 3 2 6 2 2 4" xfId="28521" xr:uid="{00000000-0005-0000-0000-0000DA6B0000}"/>
    <cellStyle name="40% - Accent4 3 2 6 2 2 5" xfId="35623" xr:uid="{00000000-0005-0000-0000-0000DB6B0000}"/>
    <cellStyle name="40% - Accent4 3 2 6 2 3" xfId="10058" xr:uid="{00000000-0005-0000-0000-0000DC6B0000}"/>
    <cellStyle name="40% - Accent4 3 2 6 2 4" xfId="17159" xr:uid="{00000000-0005-0000-0000-0000DD6B0000}"/>
    <cellStyle name="40% - Accent4 3 2 6 2 5" xfId="24261" xr:uid="{00000000-0005-0000-0000-0000DE6B0000}"/>
    <cellStyle name="40% - Accent4 3 2 6 2 6" xfId="31363" xr:uid="{00000000-0005-0000-0000-0000DF6B0000}"/>
    <cellStyle name="40% - Accent4 3 2 6 2 7" xfId="39633" xr:uid="{00000000-0005-0000-0000-0000E06B0000}"/>
    <cellStyle name="40% - Accent4 3 2 6 3" xfId="5797" xr:uid="{00000000-0005-0000-0000-0000E16B0000}"/>
    <cellStyle name="40% - Accent4 3 2 6 3 2" xfId="12898" xr:uid="{00000000-0005-0000-0000-0000E26B0000}"/>
    <cellStyle name="40% - Accent4 3 2 6 3 3" xfId="19999" xr:uid="{00000000-0005-0000-0000-0000E36B0000}"/>
    <cellStyle name="40% - Accent4 3 2 6 3 4" xfId="27101" xr:uid="{00000000-0005-0000-0000-0000E46B0000}"/>
    <cellStyle name="40% - Accent4 3 2 6 3 5" xfId="34203" xr:uid="{00000000-0005-0000-0000-0000E56B0000}"/>
    <cellStyle name="40% - Accent4 3 2 6 4" xfId="4372" xr:uid="{00000000-0005-0000-0000-0000E66B0000}"/>
    <cellStyle name="40% - Accent4 3 2 6 4 2" xfId="11478" xr:uid="{00000000-0005-0000-0000-0000E76B0000}"/>
    <cellStyle name="40% - Accent4 3 2 6 4 3" xfId="18579" xr:uid="{00000000-0005-0000-0000-0000E86B0000}"/>
    <cellStyle name="40% - Accent4 3 2 6 4 4" xfId="25681" xr:uid="{00000000-0005-0000-0000-0000E96B0000}"/>
    <cellStyle name="40% - Accent4 3 2 6 4 5" xfId="32783" xr:uid="{00000000-0005-0000-0000-0000EA6B0000}"/>
    <cellStyle name="40% - Accent4 3 2 6 5" xfId="8638" xr:uid="{00000000-0005-0000-0000-0000EB6B0000}"/>
    <cellStyle name="40% - Accent4 3 2 6 6" xfId="15739" xr:uid="{00000000-0005-0000-0000-0000EC6B0000}"/>
    <cellStyle name="40% - Accent4 3 2 6 7" xfId="22841" xr:uid="{00000000-0005-0000-0000-0000ED6B0000}"/>
    <cellStyle name="40% - Accent4 3 2 6 8" xfId="29943" xr:uid="{00000000-0005-0000-0000-0000EE6B0000}"/>
    <cellStyle name="40% - Accent4 3 2 6 9" xfId="39634" xr:uid="{00000000-0005-0000-0000-0000EF6B0000}"/>
    <cellStyle name="40% - Accent4 3 2 7" xfId="1743" xr:uid="{00000000-0005-0000-0000-0000F06B0000}"/>
    <cellStyle name="40% - Accent4 3 2 7 2" xfId="6011" xr:uid="{00000000-0005-0000-0000-0000F16B0000}"/>
    <cellStyle name="40% - Accent4 3 2 7 2 2" xfId="13111" xr:uid="{00000000-0005-0000-0000-0000F26B0000}"/>
    <cellStyle name="40% - Accent4 3 2 7 2 3" xfId="20212" xr:uid="{00000000-0005-0000-0000-0000F36B0000}"/>
    <cellStyle name="40% - Accent4 3 2 7 2 4" xfId="27314" xr:uid="{00000000-0005-0000-0000-0000F46B0000}"/>
    <cellStyle name="40% - Accent4 3 2 7 2 5" xfId="34416" xr:uid="{00000000-0005-0000-0000-0000F56B0000}"/>
    <cellStyle name="40% - Accent4 3 2 7 3" xfId="8851" xr:uid="{00000000-0005-0000-0000-0000F66B0000}"/>
    <cellStyle name="40% - Accent4 3 2 7 4" xfId="15952" xr:uid="{00000000-0005-0000-0000-0000F76B0000}"/>
    <cellStyle name="40% - Accent4 3 2 7 5" xfId="23054" xr:uid="{00000000-0005-0000-0000-0000F86B0000}"/>
    <cellStyle name="40% - Accent4 3 2 7 6" xfId="30156" xr:uid="{00000000-0005-0000-0000-0000F96B0000}"/>
    <cellStyle name="40% - Accent4 3 2 7 7" xfId="39635" xr:uid="{00000000-0005-0000-0000-0000FA6B0000}"/>
    <cellStyle name="40% - Accent4 3 2 8" xfId="4590" xr:uid="{00000000-0005-0000-0000-0000FB6B0000}"/>
    <cellStyle name="40% - Accent4 3 2 8 2" xfId="11691" xr:uid="{00000000-0005-0000-0000-0000FC6B0000}"/>
    <cellStyle name="40% - Accent4 3 2 8 3" xfId="18792" xr:uid="{00000000-0005-0000-0000-0000FD6B0000}"/>
    <cellStyle name="40% - Accent4 3 2 8 4" xfId="25894" xr:uid="{00000000-0005-0000-0000-0000FE6B0000}"/>
    <cellStyle name="40% - Accent4 3 2 8 5" xfId="32996" xr:uid="{00000000-0005-0000-0000-0000FF6B0000}"/>
    <cellStyle name="40% - Accent4 3 2 9" xfId="3165" xr:uid="{00000000-0005-0000-0000-0000006C0000}"/>
    <cellStyle name="40% - Accent4 3 2 9 2" xfId="10271" xr:uid="{00000000-0005-0000-0000-0000016C0000}"/>
    <cellStyle name="40% - Accent4 3 2 9 3" xfId="17372" xr:uid="{00000000-0005-0000-0000-0000026C0000}"/>
    <cellStyle name="40% - Accent4 3 2 9 4" xfId="24474" xr:uid="{00000000-0005-0000-0000-0000036C0000}"/>
    <cellStyle name="40% - Accent4 3 2 9 5" xfId="31576" xr:uid="{00000000-0005-0000-0000-0000046C0000}"/>
    <cellStyle name="40% - Accent4 3 3" xfId="181" xr:uid="{00000000-0005-0000-0000-0000056C0000}"/>
    <cellStyle name="40% - Accent4 3 3 10" xfId="7360" xr:uid="{00000000-0005-0000-0000-0000066C0000}"/>
    <cellStyle name="40% - Accent4 3 3 11" xfId="14461" xr:uid="{00000000-0005-0000-0000-0000076C0000}"/>
    <cellStyle name="40% - Accent4 3 3 12" xfId="21563" xr:uid="{00000000-0005-0000-0000-0000086C0000}"/>
    <cellStyle name="40% - Accent4 3 3 13" xfId="28665" xr:uid="{00000000-0005-0000-0000-0000096C0000}"/>
    <cellStyle name="40% - Accent4 3 3 14" xfId="35767" xr:uid="{00000000-0005-0000-0000-00000A6C0000}"/>
    <cellStyle name="40% - Accent4 3 3 15" xfId="39636" xr:uid="{00000000-0005-0000-0000-00000B6C0000}"/>
    <cellStyle name="40% - Accent4 3 3 2" xfId="394" xr:uid="{00000000-0005-0000-0000-00000C6C0000}"/>
    <cellStyle name="40% - Accent4 3 3 2 2" xfId="1885" xr:uid="{00000000-0005-0000-0000-00000D6C0000}"/>
    <cellStyle name="40% - Accent4 3 3 2 2 2" xfId="6153" xr:uid="{00000000-0005-0000-0000-00000E6C0000}"/>
    <cellStyle name="40% - Accent4 3 3 2 2 2 2" xfId="13253" xr:uid="{00000000-0005-0000-0000-00000F6C0000}"/>
    <cellStyle name="40% - Accent4 3 3 2 2 2 3" xfId="20354" xr:uid="{00000000-0005-0000-0000-0000106C0000}"/>
    <cellStyle name="40% - Accent4 3 3 2 2 2 4" xfId="27456" xr:uid="{00000000-0005-0000-0000-0000116C0000}"/>
    <cellStyle name="40% - Accent4 3 3 2 2 2 5" xfId="34558" xr:uid="{00000000-0005-0000-0000-0000126C0000}"/>
    <cellStyle name="40% - Accent4 3 3 2 2 2 6" xfId="39637" xr:uid="{00000000-0005-0000-0000-0000136C0000}"/>
    <cellStyle name="40% - Accent4 3 3 2 2 3" xfId="8993" xr:uid="{00000000-0005-0000-0000-0000146C0000}"/>
    <cellStyle name="40% - Accent4 3 3 2 2 4" xfId="16094" xr:uid="{00000000-0005-0000-0000-0000156C0000}"/>
    <cellStyle name="40% - Accent4 3 3 2 2 5" xfId="23196" xr:uid="{00000000-0005-0000-0000-0000166C0000}"/>
    <cellStyle name="40% - Accent4 3 3 2 2 6" xfId="30298" xr:uid="{00000000-0005-0000-0000-0000176C0000}"/>
    <cellStyle name="40% - Accent4 3 3 2 2 7" xfId="39638" xr:uid="{00000000-0005-0000-0000-0000186C0000}"/>
    <cellStyle name="40% - Accent4 3 3 2 3" xfId="4732" xr:uid="{00000000-0005-0000-0000-0000196C0000}"/>
    <cellStyle name="40% - Accent4 3 3 2 3 2" xfId="11833" xr:uid="{00000000-0005-0000-0000-00001A6C0000}"/>
    <cellStyle name="40% - Accent4 3 3 2 3 2 2" xfId="39639" xr:uid="{00000000-0005-0000-0000-00001B6C0000}"/>
    <cellStyle name="40% - Accent4 3 3 2 3 3" xfId="18934" xr:uid="{00000000-0005-0000-0000-00001C6C0000}"/>
    <cellStyle name="40% - Accent4 3 3 2 3 4" xfId="26036" xr:uid="{00000000-0005-0000-0000-00001D6C0000}"/>
    <cellStyle name="40% - Accent4 3 3 2 3 5" xfId="33138" xr:uid="{00000000-0005-0000-0000-00001E6C0000}"/>
    <cellStyle name="40% - Accent4 3 3 2 3 6" xfId="39640" xr:uid="{00000000-0005-0000-0000-00001F6C0000}"/>
    <cellStyle name="40% - Accent4 3 3 2 4" xfId="3307" xr:uid="{00000000-0005-0000-0000-0000206C0000}"/>
    <cellStyle name="40% - Accent4 3 3 2 4 2" xfId="10413" xr:uid="{00000000-0005-0000-0000-0000216C0000}"/>
    <cellStyle name="40% - Accent4 3 3 2 4 3" xfId="17514" xr:uid="{00000000-0005-0000-0000-0000226C0000}"/>
    <cellStyle name="40% - Accent4 3 3 2 4 4" xfId="24616" xr:uid="{00000000-0005-0000-0000-0000236C0000}"/>
    <cellStyle name="40% - Accent4 3 3 2 4 5" xfId="31718" xr:uid="{00000000-0005-0000-0000-0000246C0000}"/>
    <cellStyle name="40% - Accent4 3 3 2 4 6" xfId="39641" xr:uid="{00000000-0005-0000-0000-0000256C0000}"/>
    <cellStyle name="40% - Accent4 3 3 2 5" xfId="7573" xr:uid="{00000000-0005-0000-0000-0000266C0000}"/>
    <cellStyle name="40% - Accent4 3 3 2 6" xfId="14674" xr:uid="{00000000-0005-0000-0000-0000276C0000}"/>
    <cellStyle name="40% - Accent4 3 3 2 7" xfId="21776" xr:uid="{00000000-0005-0000-0000-0000286C0000}"/>
    <cellStyle name="40% - Accent4 3 3 2 8" xfId="28878" xr:uid="{00000000-0005-0000-0000-0000296C0000}"/>
    <cellStyle name="40% - Accent4 3 3 2 9" xfId="39642" xr:uid="{00000000-0005-0000-0000-00002A6C0000}"/>
    <cellStyle name="40% - Accent4 3 3 3" xfId="607" xr:uid="{00000000-0005-0000-0000-00002B6C0000}"/>
    <cellStyle name="40% - Accent4 3 3 3 2" xfId="2098" xr:uid="{00000000-0005-0000-0000-00002C6C0000}"/>
    <cellStyle name="40% - Accent4 3 3 3 2 2" xfId="6366" xr:uid="{00000000-0005-0000-0000-00002D6C0000}"/>
    <cellStyle name="40% - Accent4 3 3 3 2 2 2" xfId="13466" xr:uid="{00000000-0005-0000-0000-00002E6C0000}"/>
    <cellStyle name="40% - Accent4 3 3 3 2 2 3" xfId="20567" xr:uid="{00000000-0005-0000-0000-00002F6C0000}"/>
    <cellStyle name="40% - Accent4 3 3 3 2 2 4" xfId="27669" xr:uid="{00000000-0005-0000-0000-0000306C0000}"/>
    <cellStyle name="40% - Accent4 3 3 3 2 2 5" xfId="34771" xr:uid="{00000000-0005-0000-0000-0000316C0000}"/>
    <cellStyle name="40% - Accent4 3 3 3 2 2 6" xfId="39643" xr:uid="{00000000-0005-0000-0000-0000326C0000}"/>
    <cellStyle name="40% - Accent4 3 3 3 2 3" xfId="9206" xr:uid="{00000000-0005-0000-0000-0000336C0000}"/>
    <cellStyle name="40% - Accent4 3 3 3 2 4" xfId="16307" xr:uid="{00000000-0005-0000-0000-0000346C0000}"/>
    <cellStyle name="40% - Accent4 3 3 3 2 5" xfId="23409" xr:uid="{00000000-0005-0000-0000-0000356C0000}"/>
    <cellStyle name="40% - Accent4 3 3 3 2 6" xfId="30511" xr:uid="{00000000-0005-0000-0000-0000366C0000}"/>
    <cellStyle name="40% - Accent4 3 3 3 2 7" xfId="39644" xr:uid="{00000000-0005-0000-0000-0000376C0000}"/>
    <cellStyle name="40% - Accent4 3 3 3 3" xfId="4945" xr:uid="{00000000-0005-0000-0000-0000386C0000}"/>
    <cellStyle name="40% - Accent4 3 3 3 3 2" xfId="12046" xr:uid="{00000000-0005-0000-0000-0000396C0000}"/>
    <cellStyle name="40% - Accent4 3 3 3 3 2 2" xfId="39645" xr:uid="{00000000-0005-0000-0000-00003A6C0000}"/>
    <cellStyle name="40% - Accent4 3 3 3 3 3" xfId="19147" xr:uid="{00000000-0005-0000-0000-00003B6C0000}"/>
    <cellStyle name="40% - Accent4 3 3 3 3 4" xfId="26249" xr:uid="{00000000-0005-0000-0000-00003C6C0000}"/>
    <cellStyle name="40% - Accent4 3 3 3 3 5" xfId="33351" xr:uid="{00000000-0005-0000-0000-00003D6C0000}"/>
    <cellStyle name="40% - Accent4 3 3 3 3 6" xfId="39646" xr:uid="{00000000-0005-0000-0000-00003E6C0000}"/>
    <cellStyle name="40% - Accent4 3 3 3 4" xfId="3520" xr:uid="{00000000-0005-0000-0000-00003F6C0000}"/>
    <cellStyle name="40% - Accent4 3 3 3 4 2" xfId="10626" xr:uid="{00000000-0005-0000-0000-0000406C0000}"/>
    <cellStyle name="40% - Accent4 3 3 3 4 3" xfId="17727" xr:uid="{00000000-0005-0000-0000-0000416C0000}"/>
    <cellStyle name="40% - Accent4 3 3 3 4 4" xfId="24829" xr:uid="{00000000-0005-0000-0000-0000426C0000}"/>
    <cellStyle name="40% - Accent4 3 3 3 4 5" xfId="31931" xr:uid="{00000000-0005-0000-0000-0000436C0000}"/>
    <cellStyle name="40% - Accent4 3 3 3 4 6" xfId="39647" xr:uid="{00000000-0005-0000-0000-0000446C0000}"/>
    <cellStyle name="40% - Accent4 3 3 3 5" xfId="7786" xr:uid="{00000000-0005-0000-0000-0000456C0000}"/>
    <cellStyle name="40% - Accent4 3 3 3 6" xfId="14887" xr:uid="{00000000-0005-0000-0000-0000466C0000}"/>
    <cellStyle name="40% - Accent4 3 3 3 7" xfId="21989" xr:uid="{00000000-0005-0000-0000-0000476C0000}"/>
    <cellStyle name="40% - Accent4 3 3 3 8" xfId="29091" xr:uid="{00000000-0005-0000-0000-0000486C0000}"/>
    <cellStyle name="40% - Accent4 3 3 3 9" xfId="39648" xr:uid="{00000000-0005-0000-0000-0000496C0000}"/>
    <cellStyle name="40% - Accent4 3 3 4" xfId="820" xr:uid="{00000000-0005-0000-0000-00004A6C0000}"/>
    <cellStyle name="40% - Accent4 3 3 4 2" xfId="2311" xr:uid="{00000000-0005-0000-0000-00004B6C0000}"/>
    <cellStyle name="40% - Accent4 3 3 4 2 2" xfId="6579" xr:uid="{00000000-0005-0000-0000-00004C6C0000}"/>
    <cellStyle name="40% - Accent4 3 3 4 2 2 2" xfId="13679" xr:uid="{00000000-0005-0000-0000-00004D6C0000}"/>
    <cellStyle name="40% - Accent4 3 3 4 2 2 3" xfId="20780" xr:uid="{00000000-0005-0000-0000-00004E6C0000}"/>
    <cellStyle name="40% - Accent4 3 3 4 2 2 4" xfId="27882" xr:uid="{00000000-0005-0000-0000-00004F6C0000}"/>
    <cellStyle name="40% - Accent4 3 3 4 2 2 5" xfId="34984" xr:uid="{00000000-0005-0000-0000-0000506C0000}"/>
    <cellStyle name="40% - Accent4 3 3 4 2 2 6" xfId="39649" xr:uid="{00000000-0005-0000-0000-0000516C0000}"/>
    <cellStyle name="40% - Accent4 3 3 4 2 3" xfId="9419" xr:uid="{00000000-0005-0000-0000-0000526C0000}"/>
    <cellStyle name="40% - Accent4 3 3 4 2 4" xfId="16520" xr:uid="{00000000-0005-0000-0000-0000536C0000}"/>
    <cellStyle name="40% - Accent4 3 3 4 2 5" xfId="23622" xr:uid="{00000000-0005-0000-0000-0000546C0000}"/>
    <cellStyle name="40% - Accent4 3 3 4 2 6" xfId="30724" xr:uid="{00000000-0005-0000-0000-0000556C0000}"/>
    <cellStyle name="40% - Accent4 3 3 4 2 7" xfId="39650" xr:uid="{00000000-0005-0000-0000-0000566C0000}"/>
    <cellStyle name="40% - Accent4 3 3 4 3" xfId="5158" xr:uid="{00000000-0005-0000-0000-0000576C0000}"/>
    <cellStyle name="40% - Accent4 3 3 4 3 2" xfId="12259" xr:uid="{00000000-0005-0000-0000-0000586C0000}"/>
    <cellStyle name="40% - Accent4 3 3 4 3 2 2" xfId="39651" xr:uid="{00000000-0005-0000-0000-0000596C0000}"/>
    <cellStyle name="40% - Accent4 3 3 4 3 3" xfId="19360" xr:uid="{00000000-0005-0000-0000-00005A6C0000}"/>
    <cellStyle name="40% - Accent4 3 3 4 3 4" xfId="26462" xr:uid="{00000000-0005-0000-0000-00005B6C0000}"/>
    <cellStyle name="40% - Accent4 3 3 4 3 5" xfId="33564" xr:uid="{00000000-0005-0000-0000-00005C6C0000}"/>
    <cellStyle name="40% - Accent4 3 3 4 3 6" xfId="39652" xr:uid="{00000000-0005-0000-0000-00005D6C0000}"/>
    <cellStyle name="40% - Accent4 3 3 4 4" xfId="3733" xr:uid="{00000000-0005-0000-0000-00005E6C0000}"/>
    <cellStyle name="40% - Accent4 3 3 4 4 2" xfId="10839" xr:uid="{00000000-0005-0000-0000-00005F6C0000}"/>
    <cellStyle name="40% - Accent4 3 3 4 4 3" xfId="17940" xr:uid="{00000000-0005-0000-0000-0000606C0000}"/>
    <cellStyle name="40% - Accent4 3 3 4 4 4" xfId="25042" xr:uid="{00000000-0005-0000-0000-0000616C0000}"/>
    <cellStyle name="40% - Accent4 3 3 4 4 5" xfId="32144" xr:uid="{00000000-0005-0000-0000-0000626C0000}"/>
    <cellStyle name="40% - Accent4 3 3 4 4 6" xfId="39653" xr:uid="{00000000-0005-0000-0000-0000636C0000}"/>
    <cellStyle name="40% - Accent4 3 3 4 5" xfId="7999" xr:uid="{00000000-0005-0000-0000-0000646C0000}"/>
    <cellStyle name="40% - Accent4 3 3 4 6" xfId="15100" xr:uid="{00000000-0005-0000-0000-0000656C0000}"/>
    <cellStyle name="40% - Accent4 3 3 4 7" xfId="22202" xr:uid="{00000000-0005-0000-0000-0000666C0000}"/>
    <cellStyle name="40% - Accent4 3 3 4 8" xfId="29304" xr:uid="{00000000-0005-0000-0000-0000676C0000}"/>
    <cellStyle name="40% - Accent4 3 3 4 9" xfId="39654" xr:uid="{00000000-0005-0000-0000-0000686C0000}"/>
    <cellStyle name="40% - Accent4 3 3 5" xfId="1175" xr:uid="{00000000-0005-0000-0000-0000696C0000}"/>
    <cellStyle name="40% - Accent4 3 3 5 2" xfId="2666" xr:uid="{00000000-0005-0000-0000-00006A6C0000}"/>
    <cellStyle name="40% - Accent4 3 3 5 2 2" xfId="6934" xr:uid="{00000000-0005-0000-0000-00006B6C0000}"/>
    <cellStyle name="40% - Accent4 3 3 5 2 2 2" xfId="14034" xr:uid="{00000000-0005-0000-0000-00006C6C0000}"/>
    <cellStyle name="40% - Accent4 3 3 5 2 2 3" xfId="21135" xr:uid="{00000000-0005-0000-0000-00006D6C0000}"/>
    <cellStyle name="40% - Accent4 3 3 5 2 2 4" xfId="28237" xr:uid="{00000000-0005-0000-0000-00006E6C0000}"/>
    <cellStyle name="40% - Accent4 3 3 5 2 2 5" xfId="35339" xr:uid="{00000000-0005-0000-0000-00006F6C0000}"/>
    <cellStyle name="40% - Accent4 3 3 5 2 3" xfId="9774" xr:uid="{00000000-0005-0000-0000-0000706C0000}"/>
    <cellStyle name="40% - Accent4 3 3 5 2 4" xfId="16875" xr:uid="{00000000-0005-0000-0000-0000716C0000}"/>
    <cellStyle name="40% - Accent4 3 3 5 2 5" xfId="23977" xr:uid="{00000000-0005-0000-0000-0000726C0000}"/>
    <cellStyle name="40% - Accent4 3 3 5 2 6" xfId="31079" xr:uid="{00000000-0005-0000-0000-0000736C0000}"/>
    <cellStyle name="40% - Accent4 3 3 5 2 7" xfId="39655" xr:uid="{00000000-0005-0000-0000-0000746C0000}"/>
    <cellStyle name="40% - Accent4 3 3 5 3" xfId="5513" xr:uid="{00000000-0005-0000-0000-0000756C0000}"/>
    <cellStyle name="40% - Accent4 3 3 5 3 2" xfId="12614" xr:uid="{00000000-0005-0000-0000-0000766C0000}"/>
    <cellStyle name="40% - Accent4 3 3 5 3 3" xfId="19715" xr:uid="{00000000-0005-0000-0000-0000776C0000}"/>
    <cellStyle name="40% - Accent4 3 3 5 3 4" xfId="26817" xr:uid="{00000000-0005-0000-0000-0000786C0000}"/>
    <cellStyle name="40% - Accent4 3 3 5 3 5" xfId="33919" xr:uid="{00000000-0005-0000-0000-0000796C0000}"/>
    <cellStyle name="40% - Accent4 3 3 5 4" xfId="4088" xr:uid="{00000000-0005-0000-0000-00007A6C0000}"/>
    <cellStyle name="40% - Accent4 3 3 5 4 2" xfId="11194" xr:uid="{00000000-0005-0000-0000-00007B6C0000}"/>
    <cellStyle name="40% - Accent4 3 3 5 4 3" xfId="18295" xr:uid="{00000000-0005-0000-0000-00007C6C0000}"/>
    <cellStyle name="40% - Accent4 3 3 5 4 4" xfId="25397" xr:uid="{00000000-0005-0000-0000-00007D6C0000}"/>
    <cellStyle name="40% - Accent4 3 3 5 4 5" xfId="32499" xr:uid="{00000000-0005-0000-0000-00007E6C0000}"/>
    <cellStyle name="40% - Accent4 3 3 5 5" xfId="8354" xr:uid="{00000000-0005-0000-0000-00007F6C0000}"/>
    <cellStyle name="40% - Accent4 3 3 5 6" xfId="15455" xr:uid="{00000000-0005-0000-0000-0000806C0000}"/>
    <cellStyle name="40% - Accent4 3 3 5 7" xfId="22557" xr:uid="{00000000-0005-0000-0000-0000816C0000}"/>
    <cellStyle name="40% - Accent4 3 3 5 8" xfId="29659" xr:uid="{00000000-0005-0000-0000-0000826C0000}"/>
    <cellStyle name="40% - Accent4 3 3 5 9" xfId="39656" xr:uid="{00000000-0005-0000-0000-0000836C0000}"/>
    <cellStyle name="40% - Accent4 3 3 6" xfId="1388" xr:uid="{00000000-0005-0000-0000-0000846C0000}"/>
    <cellStyle name="40% - Accent4 3 3 6 2" xfId="2879" xr:uid="{00000000-0005-0000-0000-0000856C0000}"/>
    <cellStyle name="40% - Accent4 3 3 6 2 2" xfId="7147" xr:uid="{00000000-0005-0000-0000-0000866C0000}"/>
    <cellStyle name="40% - Accent4 3 3 6 2 2 2" xfId="14247" xr:uid="{00000000-0005-0000-0000-0000876C0000}"/>
    <cellStyle name="40% - Accent4 3 3 6 2 2 3" xfId="21348" xr:uid="{00000000-0005-0000-0000-0000886C0000}"/>
    <cellStyle name="40% - Accent4 3 3 6 2 2 4" xfId="28450" xr:uid="{00000000-0005-0000-0000-0000896C0000}"/>
    <cellStyle name="40% - Accent4 3 3 6 2 2 5" xfId="35552" xr:uid="{00000000-0005-0000-0000-00008A6C0000}"/>
    <cellStyle name="40% - Accent4 3 3 6 2 3" xfId="9987" xr:uid="{00000000-0005-0000-0000-00008B6C0000}"/>
    <cellStyle name="40% - Accent4 3 3 6 2 4" xfId="17088" xr:uid="{00000000-0005-0000-0000-00008C6C0000}"/>
    <cellStyle name="40% - Accent4 3 3 6 2 5" xfId="24190" xr:uid="{00000000-0005-0000-0000-00008D6C0000}"/>
    <cellStyle name="40% - Accent4 3 3 6 2 6" xfId="31292" xr:uid="{00000000-0005-0000-0000-00008E6C0000}"/>
    <cellStyle name="40% - Accent4 3 3 6 2 7" xfId="39657" xr:uid="{00000000-0005-0000-0000-00008F6C0000}"/>
    <cellStyle name="40% - Accent4 3 3 6 3" xfId="5726" xr:uid="{00000000-0005-0000-0000-0000906C0000}"/>
    <cellStyle name="40% - Accent4 3 3 6 3 2" xfId="12827" xr:uid="{00000000-0005-0000-0000-0000916C0000}"/>
    <cellStyle name="40% - Accent4 3 3 6 3 3" xfId="19928" xr:uid="{00000000-0005-0000-0000-0000926C0000}"/>
    <cellStyle name="40% - Accent4 3 3 6 3 4" xfId="27030" xr:uid="{00000000-0005-0000-0000-0000936C0000}"/>
    <cellStyle name="40% - Accent4 3 3 6 3 5" xfId="34132" xr:uid="{00000000-0005-0000-0000-0000946C0000}"/>
    <cellStyle name="40% - Accent4 3 3 6 4" xfId="4301" xr:uid="{00000000-0005-0000-0000-0000956C0000}"/>
    <cellStyle name="40% - Accent4 3 3 6 4 2" xfId="11407" xr:uid="{00000000-0005-0000-0000-0000966C0000}"/>
    <cellStyle name="40% - Accent4 3 3 6 4 3" xfId="18508" xr:uid="{00000000-0005-0000-0000-0000976C0000}"/>
    <cellStyle name="40% - Accent4 3 3 6 4 4" xfId="25610" xr:uid="{00000000-0005-0000-0000-0000986C0000}"/>
    <cellStyle name="40% - Accent4 3 3 6 4 5" xfId="32712" xr:uid="{00000000-0005-0000-0000-0000996C0000}"/>
    <cellStyle name="40% - Accent4 3 3 6 5" xfId="8567" xr:uid="{00000000-0005-0000-0000-00009A6C0000}"/>
    <cellStyle name="40% - Accent4 3 3 6 6" xfId="15668" xr:uid="{00000000-0005-0000-0000-00009B6C0000}"/>
    <cellStyle name="40% - Accent4 3 3 6 7" xfId="22770" xr:uid="{00000000-0005-0000-0000-00009C6C0000}"/>
    <cellStyle name="40% - Accent4 3 3 6 8" xfId="29872" xr:uid="{00000000-0005-0000-0000-00009D6C0000}"/>
    <cellStyle name="40% - Accent4 3 3 6 9" xfId="39658" xr:uid="{00000000-0005-0000-0000-00009E6C0000}"/>
    <cellStyle name="40% - Accent4 3 3 7" xfId="1672" xr:uid="{00000000-0005-0000-0000-00009F6C0000}"/>
    <cellStyle name="40% - Accent4 3 3 7 2" xfId="5940" xr:uid="{00000000-0005-0000-0000-0000A06C0000}"/>
    <cellStyle name="40% - Accent4 3 3 7 2 2" xfId="13040" xr:uid="{00000000-0005-0000-0000-0000A16C0000}"/>
    <cellStyle name="40% - Accent4 3 3 7 2 3" xfId="20141" xr:uid="{00000000-0005-0000-0000-0000A26C0000}"/>
    <cellStyle name="40% - Accent4 3 3 7 2 4" xfId="27243" xr:uid="{00000000-0005-0000-0000-0000A36C0000}"/>
    <cellStyle name="40% - Accent4 3 3 7 2 5" xfId="34345" xr:uid="{00000000-0005-0000-0000-0000A46C0000}"/>
    <cellStyle name="40% - Accent4 3 3 7 3" xfId="8780" xr:uid="{00000000-0005-0000-0000-0000A56C0000}"/>
    <cellStyle name="40% - Accent4 3 3 7 4" xfId="15881" xr:uid="{00000000-0005-0000-0000-0000A66C0000}"/>
    <cellStyle name="40% - Accent4 3 3 7 5" xfId="22983" xr:uid="{00000000-0005-0000-0000-0000A76C0000}"/>
    <cellStyle name="40% - Accent4 3 3 7 6" xfId="30085" xr:uid="{00000000-0005-0000-0000-0000A86C0000}"/>
    <cellStyle name="40% - Accent4 3 3 7 7" xfId="39659" xr:uid="{00000000-0005-0000-0000-0000A96C0000}"/>
    <cellStyle name="40% - Accent4 3 3 8" xfId="4519" xr:uid="{00000000-0005-0000-0000-0000AA6C0000}"/>
    <cellStyle name="40% - Accent4 3 3 8 2" xfId="11620" xr:uid="{00000000-0005-0000-0000-0000AB6C0000}"/>
    <cellStyle name="40% - Accent4 3 3 8 3" xfId="18721" xr:uid="{00000000-0005-0000-0000-0000AC6C0000}"/>
    <cellStyle name="40% - Accent4 3 3 8 4" xfId="25823" xr:uid="{00000000-0005-0000-0000-0000AD6C0000}"/>
    <cellStyle name="40% - Accent4 3 3 8 5" xfId="32925" xr:uid="{00000000-0005-0000-0000-0000AE6C0000}"/>
    <cellStyle name="40% - Accent4 3 3 9" xfId="3094" xr:uid="{00000000-0005-0000-0000-0000AF6C0000}"/>
    <cellStyle name="40% - Accent4 3 3 9 2" xfId="10200" xr:uid="{00000000-0005-0000-0000-0000B06C0000}"/>
    <cellStyle name="40% - Accent4 3 3 9 3" xfId="17301" xr:uid="{00000000-0005-0000-0000-0000B16C0000}"/>
    <cellStyle name="40% - Accent4 3 3 9 4" xfId="24403" xr:uid="{00000000-0005-0000-0000-0000B26C0000}"/>
    <cellStyle name="40% - Accent4 3 3 9 5" xfId="31505" xr:uid="{00000000-0005-0000-0000-0000B36C0000}"/>
    <cellStyle name="40% - Accent4 3 4" xfId="323" xr:uid="{00000000-0005-0000-0000-0000B46C0000}"/>
    <cellStyle name="40% - Accent4 3 4 10" xfId="39660" xr:uid="{00000000-0005-0000-0000-0000B56C0000}"/>
    <cellStyle name="40% - Accent4 3 4 2" xfId="1104" xr:uid="{00000000-0005-0000-0000-0000B66C0000}"/>
    <cellStyle name="40% - Accent4 3 4 2 2" xfId="2595" xr:uid="{00000000-0005-0000-0000-0000B76C0000}"/>
    <cellStyle name="40% - Accent4 3 4 2 2 2" xfId="6863" xr:uid="{00000000-0005-0000-0000-0000B86C0000}"/>
    <cellStyle name="40% - Accent4 3 4 2 2 2 2" xfId="13963" xr:uid="{00000000-0005-0000-0000-0000B96C0000}"/>
    <cellStyle name="40% - Accent4 3 4 2 2 2 3" xfId="21064" xr:uid="{00000000-0005-0000-0000-0000BA6C0000}"/>
    <cellStyle name="40% - Accent4 3 4 2 2 2 4" xfId="28166" xr:uid="{00000000-0005-0000-0000-0000BB6C0000}"/>
    <cellStyle name="40% - Accent4 3 4 2 2 2 5" xfId="35268" xr:uid="{00000000-0005-0000-0000-0000BC6C0000}"/>
    <cellStyle name="40% - Accent4 3 4 2 2 3" xfId="9703" xr:uid="{00000000-0005-0000-0000-0000BD6C0000}"/>
    <cellStyle name="40% - Accent4 3 4 2 2 4" xfId="16804" xr:uid="{00000000-0005-0000-0000-0000BE6C0000}"/>
    <cellStyle name="40% - Accent4 3 4 2 2 5" xfId="23906" xr:uid="{00000000-0005-0000-0000-0000BF6C0000}"/>
    <cellStyle name="40% - Accent4 3 4 2 2 6" xfId="31008" xr:uid="{00000000-0005-0000-0000-0000C06C0000}"/>
    <cellStyle name="40% - Accent4 3 4 2 2 7" xfId="39661" xr:uid="{00000000-0005-0000-0000-0000C16C0000}"/>
    <cellStyle name="40% - Accent4 3 4 2 3" xfId="5442" xr:uid="{00000000-0005-0000-0000-0000C26C0000}"/>
    <cellStyle name="40% - Accent4 3 4 2 3 2" xfId="12543" xr:uid="{00000000-0005-0000-0000-0000C36C0000}"/>
    <cellStyle name="40% - Accent4 3 4 2 3 3" xfId="19644" xr:uid="{00000000-0005-0000-0000-0000C46C0000}"/>
    <cellStyle name="40% - Accent4 3 4 2 3 4" xfId="26746" xr:uid="{00000000-0005-0000-0000-0000C56C0000}"/>
    <cellStyle name="40% - Accent4 3 4 2 3 5" xfId="33848" xr:uid="{00000000-0005-0000-0000-0000C66C0000}"/>
    <cellStyle name="40% - Accent4 3 4 2 4" xfId="4017" xr:uid="{00000000-0005-0000-0000-0000C76C0000}"/>
    <cellStyle name="40% - Accent4 3 4 2 4 2" xfId="11123" xr:uid="{00000000-0005-0000-0000-0000C86C0000}"/>
    <cellStyle name="40% - Accent4 3 4 2 4 3" xfId="18224" xr:uid="{00000000-0005-0000-0000-0000C96C0000}"/>
    <cellStyle name="40% - Accent4 3 4 2 4 4" xfId="25326" xr:uid="{00000000-0005-0000-0000-0000CA6C0000}"/>
    <cellStyle name="40% - Accent4 3 4 2 4 5" xfId="32428" xr:uid="{00000000-0005-0000-0000-0000CB6C0000}"/>
    <cellStyle name="40% - Accent4 3 4 2 5" xfId="8283" xr:uid="{00000000-0005-0000-0000-0000CC6C0000}"/>
    <cellStyle name="40% - Accent4 3 4 2 6" xfId="15384" xr:uid="{00000000-0005-0000-0000-0000CD6C0000}"/>
    <cellStyle name="40% - Accent4 3 4 2 7" xfId="22486" xr:uid="{00000000-0005-0000-0000-0000CE6C0000}"/>
    <cellStyle name="40% - Accent4 3 4 2 8" xfId="29588" xr:uid="{00000000-0005-0000-0000-0000CF6C0000}"/>
    <cellStyle name="40% - Accent4 3 4 2 9" xfId="39662" xr:uid="{00000000-0005-0000-0000-0000D06C0000}"/>
    <cellStyle name="40% - Accent4 3 4 3" xfId="1814" xr:uid="{00000000-0005-0000-0000-0000D16C0000}"/>
    <cellStyle name="40% - Accent4 3 4 3 2" xfId="6082" xr:uid="{00000000-0005-0000-0000-0000D26C0000}"/>
    <cellStyle name="40% - Accent4 3 4 3 2 2" xfId="13182" xr:uid="{00000000-0005-0000-0000-0000D36C0000}"/>
    <cellStyle name="40% - Accent4 3 4 3 2 3" xfId="20283" xr:uid="{00000000-0005-0000-0000-0000D46C0000}"/>
    <cellStyle name="40% - Accent4 3 4 3 2 4" xfId="27385" xr:uid="{00000000-0005-0000-0000-0000D56C0000}"/>
    <cellStyle name="40% - Accent4 3 4 3 2 5" xfId="34487" xr:uid="{00000000-0005-0000-0000-0000D66C0000}"/>
    <cellStyle name="40% - Accent4 3 4 3 2 6" xfId="39663" xr:uid="{00000000-0005-0000-0000-0000D76C0000}"/>
    <cellStyle name="40% - Accent4 3 4 3 3" xfId="8922" xr:uid="{00000000-0005-0000-0000-0000D86C0000}"/>
    <cellStyle name="40% - Accent4 3 4 3 4" xfId="16023" xr:uid="{00000000-0005-0000-0000-0000D96C0000}"/>
    <cellStyle name="40% - Accent4 3 4 3 5" xfId="23125" xr:uid="{00000000-0005-0000-0000-0000DA6C0000}"/>
    <cellStyle name="40% - Accent4 3 4 3 6" xfId="30227" xr:uid="{00000000-0005-0000-0000-0000DB6C0000}"/>
    <cellStyle name="40% - Accent4 3 4 3 7" xfId="39664" xr:uid="{00000000-0005-0000-0000-0000DC6C0000}"/>
    <cellStyle name="40% - Accent4 3 4 4" xfId="4661" xr:uid="{00000000-0005-0000-0000-0000DD6C0000}"/>
    <cellStyle name="40% - Accent4 3 4 4 2" xfId="11762" xr:uid="{00000000-0005-0000-0000-0000DE6C0000}"/>
    <cellStyle name="40% - Accent4 3 4 4 3" xfId="18863" xr:uid="{00000000-0005-0000-0000-0000DF6C0000}"/>
    <cellStyle name="40% - Accent4 3 4 4 4" xfId="25965" xr:uid="{00000000-0005-0000-0000-0000E06C0000}"/>
    <cellStyle name="40% - Accent4 3 4 4 5" xfId="33067" xr:uid="{00000000-0005-0000-0000-0000E16C0000}"/>
    <cellStyle name="40% - Accent4 3 4 4 6" xfId="39665" xr:uid="{00000000-0005-0000-0000-0000E26C0000}"/>
    <cellStyle name="40% - Accent4 3 4 5" xfId="3236" xr:uid="{00000000-0005-0000-0000-0000E36C0000}"/>
    <cellStyle name="40% - Accent4 3 4 5 2" xfId="10342" xr:uid="{00000000-0005-0000-0000-0000E46C0000}"/>
    <cellStyle name="40% - Accent4 3 4 5 3" xfId="17443" xr:uid="{00000000-0005-0000-0000-0000E56C0000}"/>
    <cellStyle name="40% - Accent4 3 4 5 4" xfId="24545" xr:uid="{00000000-0005-0000-0000-0000E66C0000}"/>
    <cellStyle name="40% - Accent4 3 4 5 5" xfId="31647" xr:uid="{00000000-0005-0000-0000-0000E76C0000}"/>
    <cellStyle name="40% - Accent4 3 4 6" xfId="7502" xr:uid="{00000000-0005-0000-0000-0000E86C0000}"/>
    <cellStyle name="40% - Accent4 3 4 7" xfId="14603" xr:uid="{00000000-0005-0000-0000-0000E96C0000}"/>
    <cellStyle name="40% - Accent4 3 4 8" xfId="21705" xr:uid="{00000000-0005-0000-0000-0000EA6C0000}"/>
    <cellStyle name="40% - Accent4 3 4 9" xfId="28807" xr:uid="{00000000-0005-0000-0000-0000EB6C0000}"/>
    <cellStyle name="40% - Accent4 3 5" xfId="536" xr:uid="{00000000-0005-0000-0000-0000EC6C0000}"/>
    <cellStyle name="40% - Accent4 3 5 2" xfId="2027" xr:uid="{00000000-0005-0000-0000-0000ED6C0000}"/>
    <cellStyle name="40% - Accent4 3 5 2 2" xfId="6295" xr:uid="{00000000-0005-0000-0000-0000EE6C0000}"/>
    <cellStyle name="40% - Accent4 3 5 2 2 2" xfId="13395" xr:uid="{00000000-0005-0000-0000-0000EF6C0000}"/>
    <cellStyle name="40% - Accent4 3 5 2 2 3" xfId="20496" xr:uid="{00000000-0005-0000-0000-0000F06C0000}"/>
    <cellStyle name="40% - Accent4 3 5 2 2 4" xfId="27598" xr:uid="{00000000-0005-0000-0000-0000F16C0000}"/>
    <cellStyle name="40% - Accent4 3 5 2 2 5" xfId="34700" xr:uid="{00000000-0005-0000-0000-0000F26C0000}"/>
    <cellStyle name="40% - Accent4 3 5 2 2 6" xfId="39666" xr:uid="{00000000-0005-0000-0000-0000F36C0000}"/>
    <cellStyle name="40% - Accent4 3 5 2 3" xfId="9135" xr:uid="{00000000-0005-0000-0000-0000F46C0000}"/>
    <cellStyle name="40% - Accent4 3 5 2 4" xfId="16236" xr:uid="{00000000-0005-0000-0000-0000F56C0000}"/>
    <cellStyle name="40% - Accent4 3 5 2 5" xfId="23338" xr:uid="{00000000-0005-0000-0000-0000F66C0000}"/>
    <cellStyle name="40% - Accent4 3 5 2 6" xfId="30440" xr:uid="{00000000-0005-0000-0000-0000F76C0000}"/>
    <cellStyle name="40% - Accent4 3 5 2 7" xfId="39667" xr:uid="{00000000-0005-0000-0000-0000F86C0000}"/>
    <cellStyle name="40% - Accent4 3 5 3" xfId="4874" xr:uid="{00000000-0005-0000-0000-0000F96C0000}"/>
    <cellStyle name="40% - Accent4 3 5 3 2" xfId="11975" xr:uid="{00000000-0005-0000-0000-0000FA6C0000}"/>
    <cellStyle name="40% - Accent4 3 5 3 2 2" xfId="39668" xr:uid="{00000000-0005-0000-0000-0000FB6C0000}"/>
    <cellStyle name="40% - Accent4 3 5 3 3" xfId="19076" xr:uid="{00000000-0005-0000-0000-0000FC6C0000}"/>
    <cellStyle name="40% - Accent4 3 5 3 4" xfId="26178" xr:uid="{00000000-0005-0000-0000-0000FD6C0000}"/>
    <cellStyle name="40% - Accent4 3 5 3 5" xfId="33280" xr:uid="{00000000-0005-0000-0000-0000FE6C0000}"/>
    <cellStyle name="40% - Accent4 3 5 3 6" xfId="39669" xr:uid="{00000000-0005-0000-0000-0000FF6C0000}"/>
    <cellStyle name="40% - Accent4 3 5 4" xfId="3449" xr:uid="{00000000-0005-0000-0000-0000006D0000}"/>
    <cellStyle name="40% - Accent4 3 5 4 2" xfId="10555" xr:uid="{00000000-0005-0000-0000-0000016D0000}"/>
    <cellStyle name="40% - Accent4 3 5 4 3" xfId="17656" xr:uid="{00000000-0005-0000-0000-0000026D0000}"/>
    <cellStyle name="40% - Accent4 3 5 4 4" xfId="24758" xr:uid="{00000000-0005-0000-0000-0000036D0000}"/>
    <cellStyle name="40% - Accent4 3 5 4 5" xfId="31860" xr:uid="{00000000-0005-0000-0000-0000046D0000}"/>
    <cellStyle name="40% - Accent4 3 5 4 6" xfId="39670" xr:uid="{00000000-0005-0000-0000-0000056D0000}"/>
    <cellStyle name="40% - Accent4 3 5 5" xfId="7715" xr:uid="{00000000-0005-0000-0000-0000066D0000}"/>
    <cellStyle name="40% - Accent4 3 5 6" xfId="14816" xr:uid="{00000000-0005-0000-0000-0000076D0000}"/>
    <cellStyle name="40% - Accent4 3 5 7" xfId="21918" xr:uid="{00000000-0005-0000-0000-0000086D0000}"/>
    <cellStyle name="40% - Accent4 3 5 8" xfId="29020" xr:uid="{00000000-0005-0000-0000-0000096D0000}"/>
    <cellStyle name="40% - Accent4 3 5 9" xfId="39671" xr:uid="{00000000-0005-0000-0000-00000A6D0000}"/>
    <cellStyle name="40% - Accent4 3 6" xfId="749" xr:uid="{00000000-0005-0000-0000-00000B6D0000}"/>
    <cellStyle name="40% - Accent4 3 6 2" xfId="2240" xr:uid="{00000000-0005-0000-0000-00000C6D0000}"/>
    <cellStyle name="40% - Accent4 3 6 2 2" xfId="6508" xr:uid="{00000000-0005-0000-0000-00000D6D0000}"/>
    <cellStyle name="40% - Accent4 3 6 2 2 2" xfId="13608" xr:uid="{00000000-0005-0000-0000-00000E6D0000}"/>
    <cellStyle name="40% - Accent4 3 6 2 2 3" xfId="20709" xr:uid="{00000000-0005-0000-0000-00000F6D0000}"/>
    <cellStyle name="40% - Accent4 3 6 2 2 4" xfId="27811" xr:uid="{00000000-0005-0000-0000-0000106D0000}"/>
    <cellStyle name="40% - Accent4 3 6 2 2 5" xfId="34913" xr:uid="{00000000-0005-0000-0000-0000116D0000}"/>
    <cellStyle name="40% - Accent4 3 6 2 2 6" xfId="39672" xr:uid="{00000000-0005-0000-0000-0000126D0000}"/>
    <cellStyle name="40% - Accent4 3 6 2 3" xfId="9348" xr:uid="{00000000-0005-0000-0000-0000136D0000}"/>
    <cellStyle name="40% - Accent4 3 6 2 4" xfId="16449" xr:uid="{00000000-0005-0000-0000-0000146D0000}"/>
    <cellStyle name="40% - Accent4 3 6 2 5" xfId="23551" xr:uid="{00000000-0005-0000-0000-0000156D0000}"/>
    <cellStyle name="40% - Accent4 3 6 2 6" xfId="30653" xr:uid="{00000000-0005-0000-0000-0000166D0000}"/>
    <cellStyle name="40% - Accent4 3 6 2 7" xfId="39673" xr:uid="{00000000-0005-0000-0000-0000176D0000}"/>
    <cellStyle name="40% - Accent4 3 6 3" xfId="5087" xr:uid="{00000000-0005-0000-0000-0000186D0000}"/>
    <cellStyle name="40% - Accent4 3 6 3 2" xfId="12188" xr:uid="{00000000-0005-0000-0000-0000196D0000}"/>
    <cellStyle name="40% - Accent4 3 6 3 2 2" xfId="39674" xr:uid="{00000000-0005-0000-0000-00001A6D0000}"/>
    <cellStyle name="40% - Accent4 3 6 3 3" xfId="19289" xr:uid="{00000000-0005-0000-0000-00001B6D0000}"/>
    <cellStyle name="40% - Accent4 3 6 3 4" xfId="26391" xr:uid="{00000000-0005-0000-0000-00001C6D0000}"/>
    <cellStyle name="40% - Accent4 3 6 3 5" xfId="33493" xr:uid="{00000000-0005-0000-0000-00001D6D0000}"/>
    <cellStyle name="40% - Accent4 3 6 3 6" xfId="39675" xr:uid="{00000000-0005-0000-0000-00001E6D0000}"/>
    <cellStyle name="40% - Accent4 3 6 4" xfId="3662" xr:uid="{00000000-0005-0000-0000-00001F6D0000}"/>
    <cellStyle name="40% - Accent4 3 6 4 2" xfId="10768" xr:uid="{00000000-0005-0000-0000-0000206D0000}"/>
    <cellStyle name="40% - Accent4 3 6 4 3" xfId="17869" xr:uid="{00000000-0005-0000-0000-0000216D0000}"/>
    <cellStyle name="40% - Accent4 3 6 4 4" xfId="24971" xr:uid="{00000000-0005-0000-0000-0000226D0000}"/>
    <cellStyle name="40% - Accent4 3 6 4 5" xfId="32073" xr:uid="{00000000-0005-0000-0000-0000236D0000}"/>
    <cellStyle name="40% - Accent4 3 6 4 6" xfId="39676" xr:uid="{00000000-0005-0000-0000-0000246D0000}"/>
    <cellStyle name="40% - Accent4 3 6 5" xfId="7928" xr:uid="{00000000-0005-0000-0000-0000256D0000}"/>
    <cellStyle name="40% - Accent4 3 6 6" xfId="15029" xr:uid="{00000000-0005-0000-0000-0000266D0000}"/>
    <cellStyle name="40% - Accent4 3 6 7" xfId="22131" xr:uid="{00000000-0005-0000-0000-0000276D0000}"/>
    <cellStyle name="40% - Accent4 3 6 8" xfId="29233" xr:uid="{00000000-0005-0000-0000-0000286D0000}"/>
    <cellStyle name="40% - Accent4 3 6 9" xfId="39677" xr:uid="{00000000-0005-0000-0000-0000296D0000}"/>
    <cellStyle name="40% - Accent4 3 7" xfId="962" xr:uid="{00000000-0005-0000-0000-00002A6D0000}"/>
    <cellStyle name="40% - Accent4 3 7 2" xfId="2453" xr:uid="{00000000-0005-0000-0000-00002B6D0000}"/>
    <cellStyle name="40% - Accent4 3 7 2 2" xfId="6721" xr:uid="{00000000-0005-0000-0000-00002C6D0000}"/>
    <cellStyle name="40% - Accent4 3 7 2 2 2" xfId="13821" xr:uid="{00000000-0005-0000-0000-00002D6D0000}"/>
    <cellStyle name="40% - Accent4 3 7 2 2 3" xfId="20922" xr:uid="{00000000-0005-0000-0000-00002E6D0000}"/>
    <cellStyle name="40% - Accent4 3 7 2 2 4" xfId="28024" xr:uid="{00000000-0005-0000-0000-00002F6D0000}"/>
    <cellStyle name="40% - Accent4 3 7 2 2 5" xfId="35126" xr:uid="{00000000-0005-0000-0000-0000306D0000}"/>
    <cellStyle name="40% - Accent4 3 7 2 3" xfId="9561" xr:uid="{00000000-0005-0000-0000-0000316D0000}"/>
    <cellStyle name="40% - Accent4 3 7 2 4" xfId="16662" xr:uid="{00000000-0005-0000-0000-0000326D0000}"/>
    <cellStyle name="40% - Accent4 3 7 2 5" xfId="23764" xr:uid="{00000000-0005-0000-0000-0000336D0000}"/>
    <cellStyle name="40% - Accent4 3 7 2 6" xfId="30866" xr:uid="{00000000-0005-0000-0000-0000346D0000}"/>
    <cellStyle name="40% - Accent4 3 7 2 7" xfId="39678" xr:uid="{00000000-0005-0000-0000-0000356D0000}"/>
    <cellStyle name="40% - Accent4 3 7 3" xfId="5300" xr:uid="{00000000-0005-0000-0000-0000366D0000}"/>
    <cellStyle name="40% - Accent4 3 7 3 2" xfId="12401" xr:uid="{00000000-0005-0000-0000-0000376D0000}"/>
    <cellStyle name="40% - Accent4 3 7 3 3" xfId="19502" xr:uid="{00000000-0005-0000-0000-0000386D0000}"/>
    <cellStyle name="40% - Accent4 3 7 3 4" xfId="26604" xr:uid="{00000000-0005-0000-0000-0000396D0000}"/>
    <cellStyle name="40% - Accent4 3 7 3 5" xfId="33706" xr:uid="{00000000-0005-0000-0000-00003A6D0000}"/>
    <cellStyle name="40% - Accent4 3 7 4" xfId="3875" xr:uid="{00000000-0005-0000-0000-00003B6D0000}"/>
    <cellStyle name="40% - Accent4 3 7 4 2" xfId="10981" xr:uid="{00000000-0005-0000-0000-00003C6D0000}"/>
    <cellStyle name="40% - Accent4 3 7 4 3" xfId="18082" xr:uid="{00000000-0005-0000-0000-00003D6D0000}"/>
    <cellStyle name="40% - Accent4 3 7 4 4" xfId="25184" xr:uid="{00000000-0005-0000-0000-00003E6D0000}"/>
    <cellStyle name="40% - Accent4 3 7 4 5" xfId="32286" xr:uid="{00000000-0005-0000-0000-00003F6D0000}"/>
    <cellStyle name="40% - Accent4 3 7 5" xfId="8141" xr:uid="{00000000-0005-0000-0000-0000406D0000}"/>
    <cellStyle name="40% - Accent4 3 7 6" xfId="15242" xr:uid="{00000000-0005-0000-0000-0000416D0000}"/>
    <cellStyle name="40% - Accent4 3 7 7" xfId="22344" xr:uid="{00000000-0005-0000-0000-0000426D0000}"/>
    <cellStyle name="40% - Accent4 3 7 8" xfId="29446" xr:uid="{00000000-0005-0000-0000-0000436D0000}"/>
    <cellStyle name="40% - Accent4 3 7 9" xfId="39679" xr:uid="{00000000-0005-0000-0000-0000446D0000}"/>
    <cellStyle name="40% - Accent4 3 8" xfId="1317" xr:uid="{00000000-0005-0000-0000-0000456D0000}"/>
    <cellStyle name="40% - Accent4 3 8 2" xfId="2808" xr:uid="{00000000-0005-0000-0000-0000466D0000}"/>
    <cellStyle name="40% - Accent4 3 8 2 2" xfId="7076" xr:uid="{00000000-0005-0000-0000-0000476D0000}"/>
    <cellStyle name="40% - Accent4 3 8 2 2 2" xfId="14176" xr:uid="{00000000-0005-0000-0000-0000486D0000}"/>
    <cellStyle name="40% - Accent4 3 8 2 2 3" xfId="21277" xr:uid="{00000000-0005-0000-0000-0000496D0000}"/>
    <cellStyle name="40% - Accent4 3 8 2 2 4" xfId="28379" xr:uid="{00000000-0005-0000-0000-00004A6D0000}"/>
    <cellStyle name="40% - Accent4 3 8 2 2 5" xfId="35481" xr:uid="{00000000-0005-0000-0000-00004B6D0000}"/>
    <cellStyle name="40% - Accent4 3 8 2 3" xfId="9916" xr:uid="{00000000-0005-0000-0000-00004C6D0000}"/>
    <cellStyle name="40% - Accent4 3 8 2 4" xfId="17017" xr:uid="{00000000-0005-0000-0000-00004D6D0000}"/>
    <cellStyle name="40% - Accent4 3 8 2 5" xfId="24119" xr:uid="{00000000-0005-0000-0000-00004E6D0000}"/>
    <cellStyle name="40% - Accent4 3 8 2 6" xfId="31221" xr:uid="{00000000-0005-0000-0000-00004F6D0000}"/>
    <cellStyle name="40% - Accent4 3 8 2 7" xfId="39680" xr:uid="{00000000-0005-0000-0000-0000506D0000}"/>
    <cellStyle name="40% - Accent4 3 8 3" xfId="5655" xr:uid="{00000000-0005-0000-0000-0000516D0000}"/>
    <cellStyle name="40% - Accent4 3 8 3 2" xfId="12756" xr:uid="{00000000-0005-0000-0000-0000526D0000}"/>
    <cellStyle name="40% - Accent4 3 8 3 3" xfId="19857" xr:uid="{00000000-0005-0000-0000-0000536D0000}"/>
    <cellStyle name="40% - Accent4 3 8 3 4" xfId="26959" xr:uid="{00000000-0005-0000-0000-0000546D0000}"/>
    <cellStyle name="40% - Accent4 3 8 3 5" xfId="34061" xr:uid="{00000000-0005-0000-0000-0000556D0000}"/>
    <cellStyle name="40% - Accent4 3 8 4" xfId="4230" xr:uid="{00000000-0005-0000-0000-0000566D0000}"/>
    <cellStyle name="40% - Accent4 3 8 4 2" xfId="11336" xr:uid="{00000000-0005-0000-0000-0000576D0000}"/>
    <cellStyle name="40% - Accent4 3 8 4 3" xfId="18437" xr:uid="{00000000-0005-0000-0000-0000586D0000}"/>
    <cellStyle name="40% - Accent4 3 8 4 4" xfId="25539" xr:uid="{00000000-0005-0000-0000-0000596D0000}"/>
    <cellStyle name="40% - Accent4 3 8 4 5" xfId="32641" xr:uid="{00000000-0005-0000-0000-00005A6D0000}"/>
    <cellStyle name="40% - Accent4 3 8 5" xfId="8496" xr:uid="{00000000-0005-0000-0000-00005B6D0000}"/>
    <cellStyle name="40% - Accent4 3 8 6" xfId="15597" xr:uid="{00000000-0005-0000-0000-00005C6D0000}"/>
    <cellStyle name="40% - Accent4 3 8 7" xfId="22699" xr:uid="{00000000-0005-0000-0000-00005D6D0000}"/>
    <cellStyle name="40% - Accent4 3 8 8" xfId="29801" xr:uid="{00000000-0005-0000-0000-00005E6D0000}"/>
    <cellStyle name="40% - Accent4 3 8 9" xfId="39681" xr:uid="{00000000-0005-0000-0000-00005F6D0000}"/>
    <cellStyle name="40% - Accent4 3 9" xfId="1599" xr:uid="{00000000-0005-0000-0000-0000606D0000}"/>
    <cellStyle name="40% - Accent4 3 9 2" xfId="5869" xr:uid="{00000000-0005-0000-0000-0000616D0000}"/>
    <cellStyle name="40% - Accent4 3 9 2 2" xfId="12969" xr:uid="{00000000-0005-0000-0000-0000626D0000}"/>
    <cellStyle name="40% - Accent4 3 9 2 3" xfId="20070" xr:uid="{00000000-0005-0000-0000-0000636D0000}"/>
    <cellStyle name="40% - Accent4 3 9 2 4" xfId="27172" xr:uid="{00000000-0005-0000-0000-0000646D0000}"/>
    <cellStyle name="40% - Accent4 3 9 2 5" xfId="34274" xr:uid="{00000000-0005-0000-0000-0000656D0000}"/>
    <cellStyle name="40% - Accent4 3 9 3" xfId="8709" xr:uid="{00000000-0005-0000-0000-0000666D0000}"/>
    <cellStyle name="40% - Accent4 3 9 4" xfId="15810" xr:uid="{00000000-0005-0000-0000-0000676D0000}"/>
    <cellStyle name="40% - Accent4 3 9 5" xfId="22912" xr:uid="{00000000-0005-0000-0000-0000686D0000}"/>
    <cellStyle name="40% - Accent4 3 9 6" xfId="30014" xr:uid="{00000000-0005-0000-0000-0000696D0000}"/>
    <cellStyle name="40% - Accent4 3 9 7" xfId="39682" xr:uid="{00000000-0005-0000-0000-00006A6D0000}"/>
    <cellStyle name="40% - Accent4 4" xfId="139" xr:uid="{00000000-0005-0000-0000-00006B6D0000}"/>
    <cellStyle name="40% - Accent4 4 10" xfId="4479" xr:uid="{00000000-0005-0000-0000-00006C6D0000}"/>
    <cellStyle name="40% - Accent4 4 10 2" xfId="11580" xr:uid="{00000000-0005-0000-0000-00006D6D0000}"/>
    <cellStyle name="40% - Accent4 4 10 3" xfId="18681" xr:uid="{00000000-0005-0000-0000-00006E6D0000}"/>
    <cellStyle name="40% - Accent4 4 10 4" xfId="25783" xr:uid="{00000000-0005-0000-0000-00006F6D0000}"/>
    <cellStyle name="40% - Accent4 4 10 5" xfId="32885" xr:uid="{00000000-0005-0000-0000-0000706D0000}"/>
    <cellStyle name="40% - Accent4 4 11" xfId="3054" xr:uid="{00000000-0005-0000-0000-0000716D0000}"/>
    <cellStyle name="40% - Accent4 4 11 2" xfId="10160" xr:uid="{00000000-0005-0000-0000-0000726D0000}"/>
    <cellStyle name="40% - Accent4 4 11 3" xfId="17261" xr:uid="{00000000-0005-0000-0000-0000736D0000}"/>
    <cellStyle name="40% - Accent4 4 11 4" xfId="24363" xr:uid="{00000000-0005-0000-0000-0000746D0000}"/>
    <cellStyle name="40% - Accent4 4 11 5" xfId="31465" xr:uid="{00000000-0005-0000-0000-0000756D0000}"/>
    <cellStyle name="40% - Accent4 4 12" xfId="7320" xr:uid="{00000000-0005-0000-0000-0000766D0000}"/>
    <cellStyle name="40% - Accent4 4 13" xfId="14421" xr:uid="{00000000-0005-0000-0000-0000776D0000}"/>
    <cellStyle name="40% - Accent4 4 14" xfId="21523" xr:uid="{00000000-0005-0000-0000-0000786D0000}"/>
    <cellStyle name="40% - Accent4 4 15" xfId="28625" xr:uid="{00000000-0005-0000-0000-0000796D0000}"/>
    <cellStyle name="40% - Accent4 4 16" xfId="35727" xr:uid="{00000000-0005-0000-0000-00007A6D0000}"/>
    <cellStyle name="40% - Accent4 4 17" xfId="39683" xr:uid="{00000000-0005-0000-0000-00007B6D0000}"/>
    <cellStyle name="40% - Accent4 4 18" xfId="39684" xr:uid="{00000000-0005-0000-0000-00007C6D0000}"/>
    <cellStyle name="40% - Accent4 4 2" xfId="283" xr:uid="{00000000-0005-0000-0000-00007D6D0000}"/>
    <cellStyle name="40% - Accent4 4 2 10" xfId="7462" xr:uid="{00000000-0005-0000-0000-00007E6D0000}"/>
    <cellStyle name="40% - Accent4 4 2 11" xfId="14563" xr:uid="{00000000-0005-0000-0000-00007F6D0000}"/>
    <cellStyle name="40% - Accent4 4 2 12" xfId="21665" xr:uid="{00000000-0005-0000-0000-0000806D0000}"/>
    <cellStyle name="40% - Accent4 4 2 13" xfId="28767" xr:uid="{00000000-0005-0000-0000-0000816D0000}"/>
    <cellStyle name="40% - Accent4 4 2 14" xfId="35869" xr:uid="{00000000-0005-0000-0000-0000826D0000}"/>
    <cellStyle name="40% - Accent4 4 2 15" xfId="39685" xr:uid="{00000000-0005-0000-0000-0000836D0000}"/>
    <cellStyle name="40% - Accent4 4 2 2" xfId="496" xr:uid="{00000000-0005-0000-0000-0000846D0000}"/>
    <cellStyle name="40% - Accent4 4 2 2 10" xfId="39686" xr:uid="{00000000-0005-0000-0000-0000856D0000}"/>
    <cellStyle name="40% - Accent4 4 2 2 2" xfId="1277" xr:uid="{00000000-0005-0000-0000-0000866D0000}"/>
    <cellStyle name="40% - Accent4 4 2 2 2 2" xfId="2768" xr:uid="{00000000-0005-0000-0000-0000876D0000}"/>
    <cellStyle name="40% - Accent4 4 2 2 2 2 2" xfId="7036" xr:uid="{00000000-0005-0000-0000-0000886D0000}"/>
    <cellStyle name="40% - Accent4 4 2 2 2 2 2 2" xfId="14136" xr:uid="{00000000-0005-0000-0000-0000896D0000}"/>
    <cellStyle name="40% - Accent4 4 2 2 2 2 2 3" xfId="21237" xr:uid="{00000000-0005-0000-0000-00008A6D0000}"/>
    <cellStyle name="40% - Accent4 4 2 2 2 2 2 4" xfId="28339" xr:uid="{00000000-0005-0000-0000-00008B6D0000}"/>
    <cellStyle name="40% - Accent4 4 2 2 2 2 2 5" xfId="35441" xr:uid="{00000000-0005-0000-0000-00008C6D0000}"/>
    <cellStyle name="40% - Accent4 4 2 2 2 2 3" xfId="9876" xr:uid="{00000000-0005-0000-0000-00008D6D0000}"/>
    <cellStyle name="40% - Accent4 4 2 2 2 2 4" xfId="16977" xr:uid="{00000000-0005-0000-0000-00008E6D0000}"/>
    <cellStyle name="40% - Accent4 4 2 2 2 2 5" xfId="24079" xr:uid="{00000000-0005-0000-0000-00008F6D0000}"/>
    <cellStyle name="40% - Accent4 4 2 2 2 2 6" xfId="31181" xr:uid="{00000000-0005-0000-0000-0000906D0000}"/>
    <cellStyle name="40% - Accent4 4 2 2 2 2 7" xfId="39687" xr:uid="{00000000-0005-0000-0000-0000916D0000}"/>
    <cellStyle name="40% - Accent4 4 2 2 2 3" xfId="5615" xr:uid="{00000000-0005-0000-0000-0000926D0000}"/>
    <cellStyle name="40% - Accent4 4 2 2 2 3 2" xfId="12716" xr:uid="{00000000-0005-0000-0000-0000936D0000}"/>
    <cellStyle name="40% - Accent4 4 2 2 2 3 3" xfId="19817" xr:uid="{00000000-0005-0000-0000-0000946D0000}"/>
    <cellStyle name="40% - Accent4 4 2 2 2 3 4" xfId="26919" xr:uid="{00000000-0005-0000-0000-0000956D0000}"/>
    <cellStyle name="40% - Accent4 4 2 2 2 3 5" xfId="34021" xr:uid="{00000000-0005-0000-0000-0000966D0000}"/>
    <cellStyle name="40% - Accent4 4 2 2 2 4" xfId="4190" xr:uid="{00000000-0005-0000-0000-0000976D0000}"/>
    <cellStyle name="40% - Accent4 4 2 2 2 4 2" xfId="11296" xr:uid="{00000000-0005-0000-0000-0000986D0000}"/>
    <cellStyle name="40% - Accent4 4 2 2 2 4 3" xfId="18397" xr:uid="{00000000-0005-0000-0000-0000996D0000}"/>
    <cellStyle name="40% - Accent4 4 2 2 2 4 4" xfId="25499" xr:uid="{00000000-0005-0000-0000-00009A6D0000}"/>
    <cellStyle name="40% - Accent4 4 2 2 2 4 5" xfId="32601" xr:uid="{00000000-0005-0000-0000-00009B6D0000}"/>
    <cellStyle name="40% - Accent4 4 2 2 2 5" xfId="8456" xr:uid="{00000000-0005-0000-0000-00009C6D0000}"/>
    <cellStyle name="40% - Accent4 4 2 2 2 6" xfId="15557" xr:uid="{00000000-0005-0000-0000-00009D6D0000}"/>
    <cellStyle name="40% - Accent4 4 2 2 2 7" xfId="22659" xr:uid="{00000000-0005-0000-0000-00009E6D0000}"/>
    <cellStyle name="40% - Accent4 4 2 2 2 8" xfId="29761" xr:uid="{00000000-0005-0000-0000-00009F6D0000}"/>
    <cellStyle name="40% - Accent4 4 2 2 2 9" xfId="39688" xr:uid="{00000000-0005-0000-0000-0000A06D0000}"/>
    <cellStyle name="40% - Accent4 4 2 2 3" xfId="1987" xr:uid="{00000000-0005-0000-0000-0000A16D0000}"/>
    <cellStyle name="40% - Accent4 4 2 2 3 2" xfId="6255" xr:uid="{00000000-0005-0000-0000-0000A26D0000}"/>
    <cellStyle name="40% - Accent4 4 2 2 3 2 2" xfId="13355" xr:uid="{00000000-0005-0000-0000-0000A36D0000}"/>
    <cellStyle name="40% - Accent4 4 2 2 3 2 3" xfId="20456" xr:uid="{00000000-0005-0000-0000-0000A46D0000}"/>
    <cellStyle name="40% - Accent4 4 2 2 3 2 4" xfId="27558" xr:uid="{00000000-0005-0000-0000-0000A56D0000}"/>
    <cellStyle name="40% - Accent4 4 2 2 3 2 5" xfId="34660" xr:uid="{00000000-0005-0000-0000-0000A66D0000}"/>
    <cellStyle name="40% - Accent4 4 2 2 3 2 6" xfId="39689" xr:uid="{00000000-0005-0000-0000-0000A76D0000}"/>
    <cellStyle name="40% - Accent4 4 2 2 3 3" xfId="9095" xr:uid="{00000000-0005-0000-0000-0000A86D0000}"/>
    <cellStyle name="40% - Accent4 4 2 2 3 4" xfId="16196" xr:uid="{00000000-0005-0000-0000-0000A96D0000}"/>
    <cellStyle name="40% - Accent4 4 2 2 3 5" xfId="23298" xr:uid="{00000000-0005-0000-0000-0000AA6D0000}"/>
    <cellStyle name="40% - Accent4 4 2 2 3 6" xfId="30400" xr:uid="{00000000-0005-0000-0000-0000AB6D0000}"/>
    <cellStyle name="40% - Accent4 4 2 2 3 7" xfId="39690" xr:uid="{00000000-0005-0000-0000-0000AC6D0000}"/>
    <cellStyle name="40% - Accent4 4 2 2 4" xfId="4834" xr:uid="{00000000-0005-0000-0000-0000AD6D0000}"/>
    <cellStyle name="40% - Accent4 4 2 2 4 2" xfId="11935" xr:uid="{00000000-0005-0000-0000-0000AE6D0000}"/>
    <cellStyle name="40% - Accent4 4 2 2 4 3" xfId="19036" xr:uid="{00000000-0005-0000-0000-0000AF6D0000}"/>
    <cellStyle name="40% - Accent4 4 2 2 4 4" xfId="26138" xr:uid="{00000000-0005-0000-0000-0000B06D0000}"/>
    <cellStyle name="40% - Accent4 4 2 2 4 5" xfId="33240" xr:uid="{00000000-0005-0000-0000-0000B16D0000}"/>
    <cellStyle name="40% - Accent4 4 2 2 4 6" xfId="39691" xr:uid="{00000000-0005-0000-0000-0000B26D0000}"/>
    <cellStyle name="40% - Accent4 4 2 2 5" xfId="3409" xr:uid="{00000000-0005-0000-0000-0000B36D0000}"/>
    <cellStyle name="40% - Accent4 4 2 2 5 2" xfId="10515" xr:uid="{00000000-0005-0000-0000-0000B46D0000}"/>
    <cellStyle name="40% - Accent4 4 2 2 5 3" xfId="17616" xr:uid="{00000000-0005-0000-0000-0000B56D0000}"/>
    <cellStyle name="40% - Accent4 4 2 2 5 4" xfId="24718" xr:uid="{00000000-0005-0000-0000-0000B66D0000}"/>
    <cellStyle name="40% - Accent4 4 2 2 5 5" xfId="31820" xr:uid="{00000000-0005-0000-0000-0000B76D0000}"/>
    <cellStyle name="40% - Accent4 4 2 2 6" xfId="7675" xr:uid="{00000000-0005-0000-0000-0000B86D0000}"/>
    <cellStyle name="40% - Accent4 4 2 2 7" xfId="14776" xr:uid="{00000000-0005-0000-0000-0000B96D0000}"/>
    <cellStyle name="40% - Accent4 4 2 2 8" xfId="21878" xr:uid="{00000000-0005-0000-0000-0000BA6D0000}"/>
    <cellStyle name="40% - Accent4 4 2 2 9" xfId="28980" xr:uid="{00000000-0005-0000-0000-0000BB6D0000}"/>
    <cellStyle name="40% - Accent4 4 2 3" xfId="709" xr:uid="{00000000-0005-0000-0000-0000BC6D0000}"/>
    <cellStyle name="40% - Accent4 4 2 3 2" xfId="2200" xr:uid="{00000000-0005-0000-0000-0000BD6D0000}"/>
    <cellStyle name="40% - Accent4 4 2 3 2 2" xfId="6468" xr:uid="{00000000-0005-0000-0000-0000BE6D0000}"/>
    <cellStyle name="40% - Accent4 4 2 3 2 2 2" xfId="13568" xr:uid="{00000000-0005-0000-0000-0000BF6D0000}"/>
    <cellStyle name="40% - Accent4 4 2 3 2 2 3" xfId="20669" xr:uid="{00000000-0005-0000-0000-0000C06D0000}"/>
    <cellStyle name="40% - Accent4 4 2 3 2 2 4" xfId="27771" xr:uid="{00000000-0005-0000-0000-0000C16D0000}"/>
    <cellStyle name="40% - Accent4 4 2 3 2 2 5" xfId="34873" xr:uid="{00000000-0005-0000-0000-0000C26D0000}"/>
    <cellStyle name="40% - Accent4 4 2 3 2 2 6" xfId="39692" xr:uid="{00000000-0005-0000-0000-0000C36D0000}"/>
    <cellStyle name="40% - Accent4 4 2 3 2 3" xfId="9308" xr:uid="{00000000-0005-0000-0000-0000C46D0000}"/>
    <cellStyle name="40% - Accent4 4 2 3 2 4" xfId="16409" xr:uid="{00000000-0005-0000-0000-0000C56D0000}"/>
    <cellStyle name="40% - Accent4 4 2 3 2 5" xfId="23511" xr:uid="{00000000-0005-0000-0000-0000C66D0000}"/>
    <cellStyle name="40% - Accent4 4 2 3 2 6" xfId="30613" xr:uid="{00000000-0005-0000-0000-0000C76D0000}"/>
    <cellStyle name="40% - Accent4 4 2 3 2 7" xfId="39693" xr:uid="{00000000-0005-0000-0000-0000C86D0000}"/>
    <cellStyle name="40% - Accent4 4 2 3 3" xfId="5047" xr:uid="{00000000-0005-0000-0000-0000C96D0000}"/>
    <cellStyle name="40% - Accent4 4 2 3 3 2" xfId="12148" xr:uid="{00000000-0005-0000-0000-0000CA6D0000}"/>
    <cellStyle name="40% - Accent4 4 2 3 3 2 2" xfId="39694" xr:uid="{00000000-0005-0000-0000-0000CB6D0000}"/>
    <cellStyle name="40% - Accent4 4 2 3 3 3" xfId="19249" xr:uid="{00000000-0005-0000-0000-0000CC6D0000}"/>
    <cellStyle name="40% - Accent4 4 2 3 3 4" xfId="26351" xr:uid="{00000000-0005-0000-0000-0000CD6D0000}"/>
    <cellStyle name="40% - Accent4 4 2 3 3 5" xfId="33453" xr:uid="{00000000-0005-0000-0000-0000CE6D0000}"/>
    <cellStyle name="40% - Accent4 4 2 3 3 6" xfId="39695" xr:uid="{00000000-0005-0000-0000-0000CF6D0000}"/>
    <cellStyle name="40% - Accent4 4 2 3 4" xfId="3622" xr:uid="{00000000-0005-0000-0000-0000D06D0000}"/>
    <cellStyle name="40% - Accent4 4 2 3 4 2" xfId="10728" xr:uid="{00000000-0005-0000-0000-0000D16D0000}"/>
    <cellStyle name="40% - Accent4 4 2 3 4 3" xfId="17829" xr:uid="{00000000-0005-0000-0000-0000D26D0000}"/>
    <cellStyle name="40% - Accent4 4 2 3 4 4" xfId="24931" xr:uid="{00000000-0005-0000-0000-0000D36D0000}"/>
    <cellStyle name="40% - Accent4 4 2 3 4 5" xfId="32033" xr:uid="{00000000-0005-0000-0000-0000D46D0000}"/>
    <cellStyle name="40% - Accent4 4 2 3 4 6" xfId="39696" xr:uid="{00000000-0005-0000-0000-0000D56D0000}"/>
    <cellStyle name="40% - Accent4 4 2 3 5" xfId="7888" xr:uid="{00000000-0005-0000-0000-0000D66D0000}"/>
    <cellStyle name="40% - Accent4 4 2 3 6" xfId="14989" xr:uid="{00000000-0005-0000-0000-0000D76D0000}"/>
    <cellStyle name="40% - Accent4 4 2 3 7" xfId="22091" xr:uid="{00000000-0005-0000-0000-0000D86D0000}"/>
    <cellStyle name="40% - Accent4 4 2 3 8" xfId="29193" xr:uid="{00000000-0005-0000-0000-0000D96D0000}"/>
    <cellStyle name="40% - Accent4 4 2 3 9" xfId="39697" xr:uid="{00000000-0005-0000-0000-0000DA6D0000}"/>
    <cellStyle name="40% - Accent4 4 2 4" xfId="922" xr:uid="{00000000-0005-0000-0000-0000DB6D0000}"/>
    <cellStyle name="40% - Accent4 4 2 4 2" xfId="2413" xr:uid="{00000000-0005-0000-0000-0000DC6D0000}"/>
    <cellStyle name="40% - Accent4 4 2 4 2 2" xfId="6681" xr:uid="{00000000-0005-0000-0000-0000DD6D0000}"/>
    <cellStyle name="40% - Accent4 4 2 4 2 2 2" xfId="13781" xr:uid="{00000000-0005-0000-0000-0000DE6D0000}"/>
    <cellStyle name="40% - Accent4 4 2 4 2 2 3" xfId="20882" xr:uid="{00000000-0005-0000-0000-0000DF6D0000}"/>
    <cellStyle name="40% - Accent4 4 2 4 2 2 4" xfId="27984" xr:uid="{00000000-0005-0000-0000-0000E06D0000}"/>
    <cellStyle name="40% - Accent4 4 2 4 2 2 5" xfId="35086" xr:uid="{00000000-0005-0000-0000-0000E16D0000}"/>
    <cellStyle name="40% - Accent4 4 2 4 2 2 6" xfId="39698" xr:uid="{00000000-0005-0000-0000-0000E26D0000}"/>
    <cellStyle name="40% - Accent4 4 2 4 2 3" xfId="9521" xr:uid="{00000000-0005-0000-0000-0000E36D0000}"/>
    <cellStyle name="40% - Accent4 4 2 4 2 4" xfId="16622" xr:uid="{00000000-0005-0000-0000-0000E46D0000}"/>
    <cellStyle name="40% - Accent4 4 2 4 2 5" xfId="23724" xr:uid="{00000000-0005-0000-0000-0000E56D0000}"/>
    <cellStyle name="40% - Accent4 4 2 4 2 6" xfId="30826" xr:uid="{00000000-0005-0000-0000-0000E66D0000}"/>
    <cellStyle name="40% - Accent4 4 2 4 2 7" xfId="39699" xr:uid="{00000000-0005-0000-0000-0000E76D0000}"/>
    <cellStyle name="40% - Accent4 4 2 4 3" xfId="5260" xr:uid="{00000000-0005-0000-0000-0000E86D0000}"/>
    <cellStyle name="40% - Accent4 4 2 4 3 2" xfId="12361" xr:uid="{00000000-0005-0000-0000-0000E96D0000}"/>
    <cellStyle name="40% - Accent4 4 2 4 3 2 2" xfId="39700" xr:uid="{00000000-0005-0000-0000-0000EA6D0000}"/>
    <cellStyle name="40% - Accent4 4 2 4 3 3" xfId="19462" xr:uid="{00000000-0005-0000-0000-0000EB6D0000}"/>
    <cellStyle name="40% - Accent4 4 2 4 3 4" xfId="26564" xr:uid="{00000000-0005-0000-0000-0000EC6D0000}"/>
    <cellStyle name="40% - Accent4 4 2 4 3 5" xfId="33666" xr:uid="{00000000-0005-0000-0000-0000ED6D0000}"/>
    <cellStyle name="40% - Accent4 4 2 4 3 6" xfId="39701" xr:uid="{00000000-0005-0000-0000-0000EE6D0000}"/>
    <cellStyle name="40% - Accent4 4 2 4 4" xfId="3835" xr:uid="{00000000-0005-0000-0000-0000EF6D0000}"/>
    <cellStyle name="40% - Accent4 4 2 4 4 2" xfId="10941" xr:uid="{00000000-0005-0000-0000-0000F06D0000}"/>
    <cellStyle name="40% - Accent4 4 2 4 4 3" xfId="18042" xr:uid="{00000000-0005-0000-0000-0000F16D0000}"/>
    <cellStyle name="40% - Accent4 4 2 4 4 4" xfId="25144" xr:uid="{00000000-0005-0000-0000-0000F26D0000}"/>
    <cellStyle name="40% - Accent4 4 2 4 4 5" xfId="32246" xr:uid="{00000000-0005-0000-0000-0000F36D0000}"/>
    <cellStyle name="40% - Accent4 4 2 4 4 6" xfId="39702" xr:uid="{00000000-0005-0000-0000-0000F46D0000}"/>
    <cellStyle name="40% - Accent4 4 2 4 5" xfId="8101" xr:uid="{00000000-0005-0000-0000-0000F56D0000}"/>
    <cellStyle name="40% - Accent4 4 2 4 6" xfId="15202" xr:uid="{00000000-0005-0000-0000-0000F66D0000}"/>
    <cellStyle name="40% - Accent4 4 2 4 7" xfId="22304" xr:uid="{00000000-0005-0000-0000-0000F76D0000}"/>
    <cellStyle name="40% - Accent4 4 2 4 8" xfId="29406" xr:uid="{00000000-0005-0000-0000-0000F86D0000}"/>
    <cellStyle name="40% - Accent4 4 2 4 9" xfId="39703" xr:uid="{00000000-0005-0000-0000-0000F96D0000}"/>
    <cellStyle name="40% - Accent4 4 2 5" xfId="1064" xr:uid="{00000000-0005-0000-0000-0000FA6D0000}"/>
    <cellStyle name="40% - Accent4 4 2 5 2" xfId="2555" xr:uid="{00000000-0005-0000-0000-0000FB6D0000}"/>
    <cellStyle name="40% - Accent4 4 2 5 2 2" xfId="6823" xr:uid="{00000000-0005-0000-0000-0000FC6D0000}"/>
    <cellStyle name="40% - Accent4 4 2 5 2 2 2" xfId="13923" xr:uid="{00000000-0005-0000-0000-0000FD6D0000}"/>
    <cellStyle name="40% - Accent4 4 2 5 2 2 3" xfId="21024" xr:uid="{00000000-0005-0000-0000-0000FE6D0000}"/>
    <cellStyle name="40% - Accent4 4 2 5 2 2 4" xfId="28126" xr:uid="{00000000-0005-0000-0000-0000FF6D0000}"/>
    <cellStyle name="40% - Accent4 4 2 5 2 2 5" xfId="35228" xr:uid="{00000000-0005-0000-0000-0000006E0000}"/>
    <cellStyle name="40% - Accent4 4 2 5 2 3" xfId="9663" xr:uid="{00000000-0005-0000-0000-0000016E0000}"/>
    <cellStyle name="40% - Accent4 4 2 5 2 4" xfId="16764" xr:uid="{00000000-0005-0000-0000-0000026E0000}"/>
    <cellStyle name="40% - Accent4 4 2 5 2 5" xfId="23866" xr:uid="{00000000-0005-0000-0000-0000036E0000}"/>
    <cellStyle name="40% - Accent4 4 2 5 2 6" xfId="30968" xr:uid="{00000000-0005-0000-0000-0000046E0000}"/>
    <cellStyle name="40% - Accent4 4 2 5 2 7" xfId="39704" xr:uid="{00000000-0005-0000-0000-0000056E0000}"/>
    <cellStyle name="40% - Accent4 4 2 5 3" xfId="5402" xr:uid="{00000000-0005-0000-0000-0000066E0000}"/>
    <cellStyle name="40% - Accent4 4 2 5 3 2" xfId="12503" xr:uid="{00000000-0005-0000-0000-0000076E0000}"/>
    <cellStyle name="40% - Accent4 4 2 5 3 3" xfId="19604" xr:uid="{00000000-0005-0000-0000-0000086E0000}"/>
    <cellStyle name="40% - Accent4 4 2 5 3 4" xfId="26706" xr:uid="{00000000-0005-0000-0000-0000096E0000}"/>
    <cellStyle name="40% - Accent4 4 2 5 3 5" xfId="33808" xr:uid="{00000000-0005-0000-0000-00000A6E0000}"/>
    <cellStyle name="40% - Accent4 4 2 5 4" xfId="3977" xr:uid="{00000000-0005-0000-0000-00000B6E0000}"/>
    <cellStyle name="40% - Accent4 4 2 5 4 2" xfId="11083" xr:uid="{00000000-0005-0000-0000-00000C6E0000}"/>
    <cellStyle name="40% - Accent4 4 2 5 4 3" xfId="18184" xr:uid="{00000000-0005-0000-0000-00000D6E0000}"/>
    <cellStyle name="40% - Accent4 4 2 5 4 4" xfId="25286" xr:uid="{00000000-0005-0000-0000-00000E6E0000}"/>
    <cellStyle name="40% - Accent4 4 2 5 4 5" xfId="32388" xr:uid="{00000000-0005-0000-0000-00000F6E0000}"/>
    <cellStyle name="40% - Accent4 4 2 5 5" xfId="8243" xr:uid="{00000000-0005-0000-0000-0000106E0000}"/>
    <cellStyle name="40% - Accent4 4 2 5 6" xfId="15344" xr:uid="{00000000-0005-0000-0000-0000116E0000}"/>
    <cellStyle name="40% - Accent4 4 2 5 7" xfId="22446" xr:uid="{00000000-0005-0000-0000-0000126E0000}"/>
    <cellStyle name="40% - Accent4 4 2 5 8" xfId="29548" xr:uid="{00000000-0005-0000-0000-0000136E0000}"/>
    <cellStyle name="40% - Accent4 4 2 5 9" xfId="39705" xr:uid="{00000000-0005-0000-0000-0000146E0000}"/>
    <cellStyle name="40% - Accent4 4 2 6" xfId="1490" xr:uid="{00000000-0005-0000-0000-0000156E0000}"/>
    <cellStyle name="40% - Accent4 4 2 6 2" xfId="2981" xr:uid="{00000000-0005-0000-0000-0000166E0000}"/>
    <cellStyle name="40% - Accent4 4 2 6 2 2" xfId="7249" xr:uid="{00000000-0005-0000-0000-0000176E0000}"/>
    <cellStyle name="40% - Accent4 4 2 6 2 2 2" xfId="14349" xr:uid="{00000000-0005-0000-0000-0000186E0000}"/>
    <cellStyle name="40% - Accent4 4 2 6 2 2 3" xfId="21450" xr:uid="{00000000-0005-0000-0000-0000196E0000}"/>
    <cellStyle name="40% - Accent4 4 2 6 2 2 4" xfId="28552" xr:uid="{00000000-0005-0000-0000-00001A6E0000}"/>
    <cellStyle name="40% - Accent4 4 2 6 2 2 5" xfId="35654" xr:uid="{00000000-0005-0000-0000-00001B6E0000}"/>
    <cellStyle name="40% - Accent4 4 2 6 2 3" xfId="10089" xr:uid="{00000000-0005-0000-0000-00001C6E0000}"/>
    <cellStyle name="40% - Accent4 4 2 6 2 4" xfId="17190" xr:uid="{00000000-0005-0000-0000-00001D6E0000}"/>
    <cellStyle name="40% - Accent4 4 2 6 2 5" xfId="24292" xr:uid="{00000000-0005-0000-0000-00001E6E0000}"/>
    <cellStyle name="40% - Accent4 4 2 6 2 6" xfId="31394" xr:uid="{00000000-0005-0000-0000-00001F6E0000}"/>
    <cellStyle name="40% - Accent4 4 2 6 2 7" xfId="39706" xr:uid="{00000000-0005-0000-0000-0000206E0000}"/>
    <cellStyle name="40% - Accent4 4 2 6 3" xfId="5828" xr:uid="{00000000-0005-0000-0000-0000216E0000}"/>
    <cellStyle name="40% - Accent4 4 2 6 3 2" xfId="12929" xr:uid="{00000000-0005-0000-0000-0000226E0000}"/>
    <cellStyle name="40% - Accent4 4 2 6 3 3" xfId="20030" xr:uid="{00000000-0005-0000-0000-0000236E0000}"/>
    <cellStyle name="40% - Accent4 4 2 6 3 4" xfId="27132" xr:uid="{00000000-0005-0000-0000-0000246E0000}"/>
    <cellStyle name="40% - Accent4 4 2 6 3 5" xfId="34234" xr:uid="{00000000-0005-0000-0000-0000256E0000}"/>
    <cellStyle name="40% - Accent4 4 2 6 4" xfId="4403" xr:uid="{00000000-0005-0000-0000-0000266E0000}"/>
    <cellStyle name="40% - Accent4 4 2 6 4 2" xfId="11509" xr:uid="{00000000-0005-0000-0000-0000276E0000}"/>
    <cellStyle name="40% - Accent4 4 2 6 4 3" xfId="18610" xr:uid="{00000000-0005-0000-0000-0000286E0000}"/>
    <cellStyle name="40% - Accent4 4 2 6 4 4" xfId="25712" xr:uid="{00000000-0005-0000-0000-0000296E0000}"/>
    <cellStyle name="40% - Accent4 4 2 6 4 5" xfId="32814" xr:uid="{00000000-0005-0000-0000-00002A6E0000}"/>
    <cellStyle name="40% - Accent4 4 2 6 5" xfId="8669" xr:uid="{00000000-0005-0000-0000-00002B6E0000}"/>
    <cellStyle name="40% - Accent4 4 2 6 6" xfId="15770" xr:uid="{00000000-0005-0000-0000-00002C6E0000}"/>
    <cellStyle name="40% - Accent4 4 2 6 7" xfId="22872" xr:uid="{00000000-0005-0000-0000-00002D6E0000}"/>
    <cellStyle name="40% - Accent4 4 2 6 8" xfId="29974" xr:uid="{00000000-0005-0000-0000-00002E6E0000}"/>
    <cellStyle name="40% - Accent4 4 2 6 9" xfId="39707" xr:uid="{00000000-0005-0000-0000-00002F6E0000}"/>
    <cellStyle name="40% - Accent4 4 2 7" xfId="1774" xr:uid="{00000000-0005-0000-0000-0000306E0000}"/>
    <cellStyle name="40% - Accent4 4 2 7 2" xfId="6042" xr:uid="{00000000-0005-0000-0000-0000316E0000}"/>
    <cellStyle name="40% - Accent4 4 2 7 2 2" xfId="13142" xr:uid="{00000000-0005-0000-0000-0000326E0000}"/>
    <cellStyle name="40% - Accent4 4 2 7 2 3" xfId="20243" xr:uid="{00000000-0005-0000-0000-0000336E0000}"/>
    <cellStyle name="40% - Accent4 4 2 7 2 4" xfId="27345" xr:uid="{00000000-0005-0000-0000-0000346E0000}"/>
    <cellStyle name="40% - Accent4 4 2 7 2 5" xfId="34447" xr:uid="{00000000-0005-0000-0000-0000356E0000}"/>
    <cellStyle name="40% - Accent4 4 2 7 3" xfId="8882" xr:uid="{00000000-0005-0000-0000-0000366E0000}"/>
    <cellStyle name="40% - Accent4 4 2 7 4" xfId="15983" xr:uid="{00000000-0005-0000-0000-0000376E0000}"/>
    <cellStyle name="40% - Accent4 4 2 7 5" xfId="23085" xr:uid="{00000000-0005-0000-0000-0000386E0000}"/>
    <cellStyle name="40% - Accent4 4 2 7 6" xfId="30187" xr:uid="{00000000-0005-0000-0000-0000396E0000}"/>
    <cellStyle name="40% - Accent4 4 2 7 7" xfId="39708" xr:uid="{00000000-0005-0000-0000-00003A6E0000}"/>
    <cellStyle name="40% - Accent4 4 2 8" xfId="4621" xr:uid="{00000000-0005-0000-0000-00003B6E0000}"/>
    <cellStyle name="40% - Accent4 4 2 8 2" xfId="11722" xr:uid="{00000000-0005-0000-0000-00003C6E0000}"/>
    <cellStyle name="40% - Accent4 4 2 8 3" xfId="18823" xr:uid="{00000000-0005-0000-0000-00003D6E0000}"/>
    <cellStyle name="40% - Accent4 4 2 8 4" xfId="25925" xr:uid="{00000000-0005-0000-0000-00003E6E0000}"/>
    <cellStyle name="40% - Accent4 4 2 8 5" xfId="33027" xr:uid="{00000000-0005-0000-0000-00003F6E0000}"/>
    <cellStyle name="40% - Accent4 4 2 9" xfId="3196" xr:uid="{00000000-0005-0000-0000-0000406E0000}"/>
    <cellStyle name="40% - Accent4 4 2 9 2" xfId="10302" xr:uid="{00000000-0005-0000-0000-0000416E0000}"/>
    <cellStyle name="40% - Accent4 4 2 9 3" xfId="17403" xr:uid="{00000000-0005-0000-0000-0000426E0000}"/>
    <cellStyle name="40% - Accent4 4 2 9 4" xfId="24505" xr:uid="{00000000-0005-0000-0000-0000436E0000}"/>
    <cellStyle name="40% - Accent4 4 2 9 5" xfId="31607" xr:uid="{00000000-0005-0000-0000-0000446E0000}"/>
    <cellStyle name="40% - Accent4 4 3" xfId="212" xr:uid="{00000000-0005-0000-0000-0000456E0000}"/>
    <cellStyle name="40% - Accent4 4 3 10" xfId="7391" xr:uid="{00000000-0005-0000-0000-0000466E0000}"/>
    <cellStyle name="40% - Accent4 4 3 11" xfId="14492" xr:uid="{00000000-0005-0000-0000-0000476E0000}"/>
    <cellStyle name="40% - Accent4 4 3 12" xfId="21594" xr:uid="{00000000-0005-0000-0000-0000486E0000}"/>
    <cellStyle name="40% - Accent4 4 3 13" xfId="28696" xr:uid="{00000000-0005-0000-0000-0000496E0000}"/>
    <cellStyle name="40% - Accent4 4 3 14" xfId="35798" xr:uid="{00000000-0005-0000-0000-00004A6E0000}"/>
    <cellStyle name="40% - Accent4 4 3 15" xfId="39709" xr:uid="{00000000-0005-0000-0000-00004B6E0000}"/>
    <cellStyle name="40% - Accent4 4 3 2" xfId="425" xr:uid="{00000000-0005-0000-0000-00004C6E0000}"/>
    <cellStyle name="40% - Accent4 4 3 2 2" xfId="1916" xr:uid="{00000000-0005-0000-0000-00004D6E0000}"/>
    <cellStyle name="40% - Accent4 4 3 2 2 2" xfId="6184" xr:uid="{00000000-0005-0000-0000-00004E6E0000}"/>
    <cellStyle name="40% - Accent4 4 3 2 2 2 2" xfId="13284" xr:uid="{00000000-0005-0000-0000-00004F6E0000}"/>
    <cellStyle name="40% - Accent4 4 3 2 2 2 3" xfId="20385" xr:uid="{00000000-0005-0000-0000-0000506E0000}"/>
    <cellStyle name="40% - Accent4 4 3 2 2 2 4" xfId="27487" xr:uid="{00000000-0005-0000-0000-0000516E0000}"/>
    <cellStyle name="40% - Accent4 4 3 2 2 2 5" xfId="34589" xr:uid="{00000000-0005-0000-0000-0000526E0000}"/>
    <cellStyle name="40% - Accent4 4 3 2 2 2 6" xfId="39710" xr:uid="{00000000-0005-0000-0000-0000536E0000}"/>
    <cellStyle name="40% - Accent4 4 3 2 2 3" xfId="9024" xr:uid="{00000000-0005-0000-0000-0000546E0000}"/>
    <cellStyle name="40% - Accent4 4 3 2 2 4" xfId="16125" xr:uid="{00000000-0005-0000-0000-0000556E0000}"/>
    <cellStyle name="40% - Accent4 4 3 2 2 5" xfId="23227" xr:uid="{00000000-0005-0000-0000-0000566E0000}"/>
    <cellStyle name="40% - Accent4 4 3 2 2 6" xfId="30329" xr:uid="{00000000-0005-0000-0000-0000576E0000}"/>
    <cellStyle name="40% - Accent4 4 3 2 2 7" xfId="39711" xr:uid="{00000000-0005-0000-0000-0000586E0000}"/>
    <cellStyle name="40% - Accent4 4 3 2 3" xfId="4763" xr:uid="{00000000-0005-0000-0000-0000596E0000}"/>
    <cellStyle name="40% - Accent4 4 3 2 3 2" xfId="11864" xr:uid="{00000000-0005-0000-0000-00005A6E0000}"/>
    <cellStyle name="40% - Accent4 4 3 2 3 2 2" xfId="39712" xr:uid="{00000000-0005-0000-0000-00005B6E0000}"/>
    <cellStyle name="40% - Accent4 4 3 2 3 3" xfId="18965" xr:uid="{00000000-0005-0000-0000-00005C6E0000}"/>
    <cellStyle name="40% - Accent4 4 3 2 3 4" xfId="26067" xr:uid="{00000000-0005-0000-0000-00005D6E0000}"/>
    <cellStyle name="40% - Accent4 4 3 2 3 5" xfId="33169" xr:uid="{00000000-0005-0000-0000-00005E6E0000}"/>
    <cellStyle name="40% - Accent4 4 3 2 3 6" xfId="39713" xr:uid="{00000000-0005-0000-0000-00005F6E0000}"/>
    <cellStyle name="40% - Accent4 4 3 2 4" xfId="3338" xr:uid="{00000000-0005-0000-0000-0000606E0000}"/>
    <cellStyle name="40% - Accent4 4 3 2 4 2" xfId="10444" xr:uid="{00000000-0005-0000-0000-0000616E0000}"/>
    <cellStyle name="40% - Accent4 4 3 2 4 3" xfId="17545" xr:uid="{00000000-0005-0000-0000-0000626E0000}"/>
    <cellStyle name="40% - Accent4 4 3 2 4 4" xfId="24647" xr:uid="{00000000-0005-0000-0000-0000636E0000}"/>
    <cellStyle name="40% - Accent4 4 3 2 4 5" xfId="31749" xr:uid="{00000000-0005-0000-0000-0000646E0000}"/>
    <cellStyle name="40% - Accent4 4 3 2 4 6" xfId="39714" xr:uid="{00000000-0005-0000-0000-0000656E0000}"/>
    <cellStyle name="40% - Accent4 4 3 2 5" xfId="7604" xr:uid="{00000000-0005-0000-0000-0000666E0000}"/>
    <cellStyle name="40% - Accent4 4 3 2 6" xfId="14705" xr:uid="{00000000-0005-0000-0000-0000676E0000}"/>
    <cellStyle name="40% - Accent4 4 3 2 7" xfId="21807" xr:uid="{00000000-0005-0000-0000-0000686E0000}"/>
    <cellStyle name="40% - Accent4 4 3 2 8" xfId="28909" xr:uid="{00000000-0005-0000-0000-0000696E0000}"/>
    <cellStyle name="40% - Accent4 4 3 2 9" xfId="39715" xr:uid="{00000000-0005-0000-0000-00006A6E0000}"/>
    <cellStyle name="40% - Accent4 4 3 3" xfId="638" xr:uid="{00000000-0005-0000-0000-00006B6E0000}"/>
    <cellStyle name="40% - Accent4 4 3 3 2" xfId="2129" xr:uid="{00000000-0005-0000-0000-00006C6E0000}"/>
    <cellStyle name="40% - Accent4 4 3 3 2 2" xfId="6397" xr:uid="{00000000-0005-0000-0000-00006D6E0000}"/>
    <cellStyle name="40% - Accent4 4 3 3 2 2 2" xfId="13497" xr:uid="{00000000-0005-0000-0000-00006E6E0000}"/>
    <cellStyle name="40% - Accent4 4 3 3 2 2 3" xfId="20598" xr:uid="{00000000-0005-0000-0000-00006F6E0000}"/>
    <cellStyle name="40% - Accent4 4 3 3 2 2 4" xfId="27700" xr:uid="{00000000-0005-0000-0000-0000706E0000}"/>
    <cellStyle name="40% - Accent4 4 3 3 2 2 5" xfId="34802" xr:uid="{00000000-0005-0000-0000-0000716E0000}"/>
    <cellStyle name="40% - Accent4 4 3 3 2 2 6" xfId="39716" xr:uid="{00000000-0005-0000-0000-0000726E0000}"/>
    <cellStyle name="40% - Accent4 4 3 3 2 3" xfId="9237" xr:uid="{00000000-0005-0000-0000-0000736E0000}"/>
    <cellStyle name="40% - Accent4 4 3 3 2 4" xfId="16338" xr:uid="{00000000-0005-0000-0000-0000746E0000}"/>
    <cellStyle name="40% - Accent4 4 3 3 2 5" xfId="23440" xr:uid="{00000000-0005-0000-0000-0000756E0000}"/>
    <cellStyle name="40% - Accent4 4 3 3 2 6" xfId="30542" xr:uid="{00000000-0005-0000-0000-0000766E0000}"/>
    <cellStyle name="40% - Accent4 4 3 3 2 7" xfId="39717" xr:uid="{00000000-0005-0000-0000-0000776E0000}"/>
    <cellStyle name="40% - Accent4 4 3 3 3" xfId="4976" xr:uid="{00000000-0005-0000-0000-0000786E0000}"/>
    <cellStyle name="40% - Accent4 4 3 3 3 2" xfId="12077" xr:uid="{00000000-0005-0000-0000-0000796E0000}"/>
    <cellStyle name="40% - Accent4 4 3 3 3 2 2" xfId="39718" xr:uid="{00000000-0005-0000-0000-00007A6E0000}"/>
    <cellStyle name="40% - Accent4 4 3 3 3 3" xfId="19178" xr:uid="{00000000-0005-0000-0000-00007B6E0000}"/>
    <cellStyle name="40% - Accent4 4 3 3 3 4" xfId="26280" xr:uid="{00000000-0005-0000-0000-00007C6E0000}"/>
    <cellStyle name="40% - Accent4 4 3 3 3 5" xfId="33382" xr:uid="{00000000-0005-0000-0000-00007D6E0000}"/>
    <cellStyle name="40% - Accent4 4 3 3 3 6" xfId="39719" xr:uid="{00000000-0005-0000-0000-00007E6E0000}"/>
    <cellStyle name="40% - Accent4 4 3 3 4" xfId="3551" xr:uid="{00000000-0005-0000-0000-00007F6E0000}"/>
    <cellStyle name="40% - Accent4 4 3 3 4 2" xfId="10657" xr:uid="{00000000-0005-0000-0000-0000806E0000}"/>
    <cellStyle name="40% - Accent4 4 3 3 4 3" xfId="17758" xr:uid="{00000000-0005-0000-0000-0000816E0000}"/>
    <cellStyle name="40% - Accent4 4 3 3 4 4" xfId="24860" xr:uid="{00000000-0005-0000-0000-0000826E0000}"/>
    <cellStyle name="40% - Accent4 4 3 3 4 5" xfId="31962" xr:uid="{00000000-0005-0000-0000-0000836E0000}"/>
    <cellStyle name="40% - Accent4 4 3 3 4 6" xfId="39720" xr:uid="{00000000-0005-0000-0000-0000846E0000}"/>
    <cellStyle name="40% - Accent4 4 3 3 5" xfId="7817" xr:uid="{00000000-0005-0000-0000-0000856E0000}"/>
    <cellStyle name="40% - Accent4 4 3 3 6" xfId="14918" xr:uid="{00000000-0005-0000-0000-0000866E0000}"/>
    <cellStyle name="40% - Accent4 4 3 3 7" xfId="22020" xr:uid="{00000000-0005-0000-0000-0000876E0000}"/>
    <cellStyle name="40% - Accent4 4 3 3 8" xfId="29122" xr:uid="{00000000-0005-0000-0000-0000886E0000}"/>
    <cellStyle name="40% - Accent4 4 3 3 9" xfId="39721" xr:uid="{00000000-0005-0000-0000-0000896E0000}"/>
    <cellStyle name="40% - Accent4 4 3 4" xfId="851" xr:uid="{00000000-0005-0000-0000-00008A6E0000}"/>
    <cellStyle name="40% - Accent4 4 3 4 2" xfId="2342" xr:uid="{00000000-0005-0000-0000-00008B6E0000}"/>
    <cellStyle name="40% - Accent4 4 3 4 2 2" xfId="6610" xr:uid="{00000000-0005-0000-0000-00008C6E0000}"/>
    <cellStyle name="40% - Accent4 4 3 4 2 2 2" xfId="13710" xr:uid="{00000000-0005-0000-0000-00008D6E0000}"/>
    <cellStyle name="40% - Accent4 4 3 4 2 2 3" xfId="20811" xr:uid="{00000000-0005-0000-0000-00008E6E0000}"/>
    <cellStyle name="40% - Accent4 4 3 4 2 2 4" xfId="27913" xr:uid="{00000000-0005-0000-0000-00008F6E0000}"/>
    <cellStyle name="40% - Accent4 4 3 4 2 2 5" xfId="35015" xr:uid="{00000000-0005-0000-0000-0000906E0000}"/>
    <cellStyle name="40% - Accent4 4 3 4 2 2 6" xfId="39722" xr:uid="{00000000-0005-0000-0000-0000916E0000}"/>
    <cellStyle name="40% - Accent4 4 3 4 2 3" xfId="9450" xr:uid="{00000000-0005-0000-0000-0000926E0000}"/>
    <cellStyle name="40% - Accent4 4 3 4 2 4" xfId="16551" xr:uid="{00000000-0005-0000-0000-0000936E0000}"/>
    <cellStyle name="40% - Accent4 4 3 4 2 5" xfId="23653" xr:uid="{00000000-0005-0000-0000-0000946E0000}"/>
    <cellStyle name="40% - Accent4 4 3 4 2 6" xfId="30755" xr:uid="{00000000-0005-0000-0000-0000956E0000}"/>
    <cellStyle name="40% - Accent4 4 3 4 2 7" xfId="39723" xr:uid="{00000000-0005-0000-0000-0000966E0000}"/>
    <cellStyle name="40% - Accent4 4 3 4 3" xfId="5189" xr:uid="{00000000-0005-0000-0000-0000976E0000}"/>
    <cellStyle name="40% - Accent4 4 3 4 3 2" xfId="12290" xr:uid="{00000000-0005-0000-0000-0000986E0000}"/>
    <cellStyle name="40% - Accent4 4 3 4 3 2 2" xfId="39724" xr:uid="{00000000-0005-0000-0000-0000996E0000}"/>
    <cellStyle name="40% - Accent4 4 3 4 3 3" xfId="19391" xr:uid="{00000000-0005-0000-0000-00009A6E0000}"/>
    <cellStyle name="40% - Accent4 4 3 4 3 4" xfId="26493" xr:uid="{00000000-0005-0000-0000-00009B6E0000}"/>
    <cellStyle name="40% - Accent4 4 3 4 3 5" xfId="33595" xr:uid="{00000000-0005-0000-0000-00009C6E0000}"/>
    <cellStyle name="40% - Accent4 4 3 4 3 6" xfId="39725" xr:uid="{00000000-0005-0000-0000-00009D6E0000}"/>
    <cellStyle name="40% - Accent4 4 3 4 4" xfId="3764" xr:uid="{00000000-0005-0000-0000-00009E6E0000}"/>
    <cellStyle name="40% - Accent4 4 3 4 4 2" xfId="10870" xr:uid="{00000000-0005-0000-0000-00009F6E0000}"/>
    <cellStyle name="40% - Accent4 4 3 4 4 3" xfId="17971" xr:uid="{00000000-0005-0000-0000-0000A06E0000}"/>
    <cellStyle name="40% - Accent4 4 3 4 4 4" xfId="25073" xr:uid="{00000000-0005-0000-0000-0000A16E0000}"/>
    <cellStyle name="40% - Accent4 4 3 4 4 5" xfId="32175" xr:uid="{00000000-0005-0000-0000-0000A26E0000}"/>
    <cellStyle name="40% - Accent4 4 3 4 4 6" xfId="39726" xr:uid="{00000000-0005-0000-0000-0000A36E0000}"/>
    <cellStyle name="40% - Accent4 4 3 4 5" xfId="8030" xr:uid="{00000000-0005-0000-0000-0000A46E0000}"/>
    <cellStyle name="40% - Accent4 4 3 4 6" xfId="15131" xr:uid="{00000000-0005-0000-0000-0000A56E0000}"/>
    <cellStyle name="40% - Accent4 4 3 4 7" xfId="22233" xr:uid="{00000000-0005-0000-0000-0000A66E0000}"/>
    <cellStyle name="40% - Accent4 4 3 4 8" xfId="29335" xr:uid="{00000000-0005-0000-0000-0000A76E0000}"/>
    <cellStyle name="40% - Accent4 4 3 4 9" xfId="39727" xr:uid="{00000000-0005-0000-0000-0000A86E0000}"/>
    <cellStyle name="40% - Accent4 4 3 5" xfId="1206" xr:uid="{00000000-0005-0000-0000-0000A96E0000}"/>
    <cellStyle name="40% - Accent4 4 3 5 2" xfId="2697" xr:uid="{00000000-0005-0000-0000-0000AA6E0000}"/>
    <cellStyle name="40% - Accent4 4 3 5 2 2" xfId="6965" xr:uid="{00000000-0005-0000-0000-0000AB6E0000}"/>
    <cellStyle name="40% - Accent4 4 3 5 2 2 2" xfId="14065" xr:uid="{00000000-0005-0000-0000-0000AC6E0000}"/>
    <cellStyle name="40% - Accent4 4 3 5 2 2 3" xfId="21166" xr:uid="{00000000-0005-0000-0000-0000AD6E0000}"/>
    <cellStyle name="40% - Accent4 4 3 5 2 2 4" xfId="28268" xr:uid="{00000000-0005-0000-0000-0000AE6E0000}"/>
    <cellStyle name="40% - Accent4 4 3 5 2 2 5" xfId="35370" xr:uid="{00000000-0005-0000-0000-0000AF6E0000}"/>
    <cellStyle name="40% - Accent4 4 3 5 2 3" xfId="9805" xr:uid="{00000000-0005-0000-0000-0000B06E0000}"/>
    <cellStyle name="40% - Accent4 4 3 5 2 4" xfId="16906" xr:uid="{00000000-0005-0000-0000-0000B16E0000}"/>
    <cellStyle name="40% - Accent4 4 3 5 2 5" xfId="24008" xr:uid="{00000000-0005-0000-0000-0000B26E0000}"/>
    <cellStyle name="40% - Accent4 4 3 5 2 6" xfId="31110" xr:uid="{00000000-0005-0000-0000-0000B36E0000}"/>
    <cellStyle name="40% - Accent4 4 3 5 2 7" xfId="39728" xr:uid="{00000000-0005-0000-0000-0000B46E0000}"/>
    <cellStyle name="40% - Accent4 4 3 5 3" xfId="5544" xr:uid="{00000000-0005-0000-0000-0000B56E0000}"/>
    <cellStyle name="40% - Accent4 4 3 5 3 2" xfId="12645" xr:uid="{00000000-0005-0000-0000-0000B66E0000}"/>
    <cellStyle name="40% - Accent4 4 3 5 3 3" xfId="19746" xr:uid="{00000000-0005-0000-0000-0000B76E0000}"/>
    <cellStyle name="40% - Accent4 4 3 5 3 4" xfId="26848" xr:uid="{00000000-0005-0000-0000-0000B86E0000}"/>
    <cellStyle name="40% - Accent4 4 3 5 3 5" xfId="33950" xr:uid="{00000000-0005-0000-0000-0000B96E0000}"/>
    <cellStyle name="40% - Accent4 4 3 5 4" xfId="4119" xr:uid="{00000000-0005-0000-0000-0000BA6E0000}"/>
    <cellStyle name="40% - Accent4 4 3 5 4 2" xfId="11225" xr:uid="{00000000-0005-0000-0000-0000BB6E0000}"/>
    <cellStyle name="40% - Accent4 4 3 5 4 3" xfId="18326" xr:uid="{00000000-0005-0000-0000-0000BC6E0000}"/>
    <cellStyle name="40% - Accent4 4 3 5 4 4" xfId="25428" xr:uid="{00000000-0005-0000-0000-0000BD6E0000}"/>
    <cellStyle name="40% - Accent4 4 3 5 4 5" xfId="32530" xr:uid="{00000000-0005-0000-0000-0000BE6E0000}"/>
    <cellStyle name="40% - Accent4 4 3 5 5" xfId="8385" xr:uid="{00000000-0005-0000-0000-0000BF6E0000}"/>
    <cellStyle name="40% - Accent4 4 3 5 6" xfId="15486" xr:uid="{00000000-0005-0000-0000-0000C06E0000}"/>
    <cellStyle name="40% - Accent4 4 3 5 7" xfId="22588" xr:uid="{00000000-0005-0000-0000-0000C16E0000}"/>
    <cellStyle name="40% - Accent4 4 3 5 8" xfId="29690" xr:uid="{00000000-0005-0000-0000-0000C26E0000}"/>
    <cellStyle name="40% - Accent4 4 3 5 9" xfId="39729" xr:uid="{00000000-0005-0000-0000-0000C36E0000}"/>
    <cellStyle name="40% - Accent4 4 3 6" xfId="1419" xr:uid="{00000000-0005-0000-0000-0000C46E0000}"/>
    <cellStyle name="40% - Accent4 4 3 6 2" xfId="2910" xr:uid="{00000000-0005-0000-0000-0000C56E0000}"/>
    <cellStyle name="40% - Accent4 4 3 6 2 2" xfId="7178" xr:uid="{00000000-0005-0000-0000-0000C66E0000}"/>
    <cellStyle name="40% - Accent4 4 3 6 2 2 2" xfId="14278" xr:uid="{00000000-0005-0000-0000-0000C76E0000}"/>
    <cellStyle name="40% - Accent4 4 3 6 2 2 3" xfId="21379" xr:uid="{00000000-0005-0000-0000-0000C86E0000}"/>
    <cellStyle name="40% - Accent4 4 3 6 2 2 4" xfId="28481" xr:uid="{00000000-0005-0000-0000-0000C96E0000}"/>
    <cellStyle name="40% - Accent4 4 3 6 2 2 5" xfId="35583" xr:uid="{00000000-0005-0000-0000-0000CA6E0000}"/>
    <cellStyle name="40% - Accent4 4 3 6 2 3" xfId="10018" xr:uid="{00000000-0005-0000-0000-0000CB6E0000}"/>
    <cellStyle name="40% - Accent4 4 3 6 2 4" xfId="17119" xr:uid="{00000000-0005-0000-0000-0000CC6E0000}"/>
    <cellStyle name="40% - Accent4 4 3 6 2 5" xfId="24221" xr:uid="{00000000-0005-0000-0000-0000CD6E0000}"/>
    <cellStyle name="40% - Accent4 4 3 6 2 6" xfId="31323" xr:uid="{00000000-0005-0000-0000-0000CE6E0000}"/>
    <cellStyle name="40% - Accent4 4 3 6 2 7" xfId="39730" xr:uid="{00000000-0005-0000-0000-0000CF6E0000}"/>
    <cellStyle name="40% - Accent4 4 3 6 3" xfId="5757" xr:uid="{00000000-0005-0000-0000-0000D06E0000}"/>
    <cellStyle name="40% - Accent4 4 3 6 3 2" xfId="12858" xr:uid="{00000000-0005-0000-0000-0000D16E0000}"/>
    <cellStyle name="40% - Accent4 4 3 6 3 3" xfId="19959" xr:uid="{00000000-0005-0000-0000-0000D26E0000}"/>
    <cellStyle name="40% - Accent4 4 3 6 3 4" xfId="27061" xr:uid="{00000000-0005-0000-0000-0000D36E0000}"/>
    <cellStyle name="40% - Accent4 4 3 6 3 5" xfId="34163" xr:uid="{00000000-0005-0000-0000-0000D46E0000}"/>
    <cellStyle name="40% - Accent4 4 3 6 4" xfId="4332" xr:uid="{00000000-0005-0000-0000-0000D56E0000}"/>
    <cellStyle name="40% - Accent4 4 3 6 4 2" xfId="11438" xr:uid="{00000000-0005-0000-0000-0000D66E0000}"/>
    <cellStyle name="40% - Accent4 4 3 6 4 3" xfId="18539" xr:uid="{00000000-0005-0000-0000-0000D76E0000}"/>
    <cellStyle name="40% - Accent4 4 3 6 4 4" xfId="25641" xr:uid="{00000000-0005-0000-0000-0000D86E0000}"/>
    <cellStyle name="40% - Accent4 4 3 6 4 5" xfId="32743" xr:uid="{00000000-0005-0000-0000-0000D96E0000}"/>
    <cellStyle name="40% - Accent4 4 3 6 5" xfId="8598" xr:uid="{00000000-0005-0000-0000-0000DA6E0000}"/>
    <cellStyle name="40% - Accent4 4 3 6 6" xfId="15699" xr:uid="{00000000-0005-0000-0000-0000DB6E0000}"/>
    <cellStyle name="40% - Accent4 4 3 6 7" xfId="22801" xr:uid="{00000000-0005-0000-0000-0000DC6E0000}"/>
    <cellStyle name="40% - Accent4 4 3 6 8" xfId="29903" xr:uid="{00000000-0005-0000-0000-0000DD6E0000}"/>
    <cellStyle name="40% - Accent4 4 3 6 9" xfId="39731" xr:uid="{00000000-0005-0000-0000-0000DE6E0000}"/>
    <cellStyle name="40% - Accent4 4 3 7" xfId="1703" xr:uid="{00000000-0005-0000-0000-0000DF6E0000}"/>
    <cellStyle name="40% - Accent4 4 3 7 2" xfId="5971" xr:uid="{00000000-0005-0000-0000-0000E06E0000}"/>
    <cellStyle name="40% - Accent4 4 3 7 2 2" xfId="13071" xr:uid="{00000000-0005-0000-0000-0000E16E0000}"/>
    <cellStyle name="40% - Accent4 4 3 7 2 3" xfId="20172" xr:uid="{00000000-0005-0000-0000-0000E26E0000}"/>
    <cellStyle name="40% - Accent4 4 3 7 2 4" xfId="27274" xr:uid="{00000000-0005-0000-0000-0000E36E0000}"/>
    <cellStyle name="40% - Accent4 4 3 7 2 5" xfId="34376" xr:uid="{00000000-0005-0000-0000-0000E46E0000}"/>
    <cellStyle name="40% - Accent4 4 3 7 3" xfId="8811" xr:uid="{00000000-0005-0000-0000-0000E56E0000}"/>
    <cellStyle name="40% - Accent4 4 3 7 4" xfId="15912" xr:uid="{00000000-0005-0000-0000-0000E66E0000}"/>
    <cellStyle name="40% - Accent4 4 3 7 5" xfId="23014" xr:uid="{00000000-0005-0000-0000-0000E76E0000}"/>
    <cellStyle name="40% - Accent4 4 3 7 6" xfId="30116" xr:uid="{00000000-0005-0000-0000-0000E86E0000}"/>
    <cellStyle name="40% - Accent4 4 3 7 7" xfId="39732" xr:uid="{00000000-0005-0000-0000-0000E96E0000}"/>
    <cellStyle name="40% - Accent4 4 3 8" xfId="4550" xr:uid="{00000000-0005-0000-0000-0000EA6E0000}"/>
    <cellStyle name="40% - Accent4 4 3 8 2" xfId="11651" xr:uid="{00000000-0005-0000-0000-0000EB6E0000}"/>
    <cellStyle name="40% - Accent4 4 3 8 3" xfId="18752" xr:uid="{00000000-0005-0000-0000-0000EC6E0000}"/>
    <cellStyle name="40% - Accent4 4 3 8 4" xfId="25854" xr:uid="{00000000-0005-0000-0000-0000ED6E0000}"/>
    <cellStyle name="40% - Accent4 4 3 8 5" xfId="32956" xr:uid="{00000000-0005-0000-0000-0000EE6E0000}"/>
    <cellStyle name="40% - Accent4 4 3 9" xfId="3125" xr:uid="{00000000-0005-0000-0000-0000EF6E0000}"/>
    <cellStyle name="40% - Accent4 4 3 9 2" xfId="10231" xr:uid="{00000000-0005-0000-0000-0000F06E0000}"/>
    <cellStyle name="40% - Accent4 4 3 9 3" xfId="17332" xr:uid="{00000000-0005-0000-0000-0000F16E0000}"/>
    <cellStyle name="40% - Accent4 4 3 9 4" xfId="24434" xr:uid="{00000000-0005-0000-0000-0000F26E0000}"/>
    <cellStyle name="40% - Accent4 4 3 9 5" xfId="31536" xr:uid="{00000000-0005-0000-0000-0000F36E0000}"/>
    <cellStyle name="40% - Accent4 4 4" xfId="354" xr:uid="{00000000-0005-0000-0000-0000F46E0000}"/>
    <cellStyle name="40% - Accent4 4 4 10" xfId="39733" xr:uid="{00000000-0005-0000-0000-0000F56E0000}"/>
    <cellStyle name="40% - Accent4 4 4 2" xfId="1135" xr:uid="{00000000-0005-0000-0000-0000F66E0000}"/>
    <cellStyle name="40% - Accent4 4 4 2 2" xfId="2626" xr:uid="{00000000-0005-0000-0000-0000F76E0000}"/>
    <cellStyle name="40% - Accent4 4 4 2 2 2" xfId="6894" xr:uid="{00000000-0005-0000-0000-0000F86E0000}"/>
    <cellStyle name="40% - Accent4 4 4 2 2 2 2" xfId="13994" xr:uid="{00000000-0005-0000-0000-0000F96E0000}"/>
    <cellStyle name="40% - Accent4 4 4 2 2 2 3" xfId="21095" xr:uid="{00000000-0005-0000-0000-0000FA6E0000}"/>
    <cellStyle name="40% - Accent4 4 4 2 2 2 4" xfId="28197" xr:uid="{00000000-0005-0000-0000-0000FB6E0000}"/>
    <cellStyle name="40% - Accent4 4 4 2 2 2 5" xfId="35299" xr:uid="{00000000-0005-0000-0000-0000FC6E0000}"/>
    <cellStyle name="40% - Accent4 4 4 2 2 3" xfId="9734" xr:uid="{00000000-0005-0000-0000-0000FD6E0000}"/>
    <cellStyle name="40% - Accent4 4 4 2 2 4" xfId="16835" xr:uid="{00000000-0005-0000-0000-0000FE6E0000}"/>
    <cellStyle name="40% - Accent4 4 4 2 2 5" xfId="23937" xr:uid="{00000000-0005-0000-0000-0000FF6E0000}"/>
    <cellStyle name="40% - Accent4 4 4 2 2 6" xfId="31039" xr:uid="{00000000-0005-0000-0000-0000006F0000}"/>
    <cellStyle name="40% - Accent4 4 4 2 2 7" xfId="39734" xr:uid="{00000000-0005-0000-0000-0000016F0000}"/>
    <cellStyle name="40% - Accent4 4 4 2 3" xfId="5473" xr:uid="{00000000-0005-0000-0000-0000026F0000}"/>
    <cellStyle name="40% - Accent4 4 4 2 3 2" xfId="12574" xr:uid="{00000000-0005-0000-0000-0000036F0000}"/>
    <cellStyle name="40% - Accent4 4 4 2 3 3" xfId="19675" xr:uid="{00000000-0005-0000-0000-0000046F0000}"/>
    <cellStyle name="40% - Accent4 4 4 2 3 4" xfId="26777" xr:uid="{00000000-0005-0000-0000-0000056F0000}"/>
    <cellStyle name="40% - Accent4 4 4 2 3 5" xfId="33879" xr:uid="{00000000-0005-0000-0000-0000066F0000}"/>
    <cellStyle name="40% - Accent4 4 4 2 4" xfId="4048" xr:uid="{00000000-0005-0000-0000-0000076F0000}"/>
    <cellStyle name="40% - Accent4 4 4 2 4 2" xfId="11154" xr:uid="{00000000-0005-0000-0000-0000086F0000}"/>
    <cellStyle name="40% - Accent4 4 4 2 4 3" xfId="18255" xr:uid="{00000000-0005-0000-0000-0000096F0000}"/>
    <cellStyle name="40% - Accent4 4 4 2 4 4" xfId="25357" xr:uid="{00000000-0005-0000-0000-00000A6F0000}"/>
    <cellStyle name="40% - Accent4 4 4 2 4 5" xfId="32459" xr:uid="{00000000-0005-0000-0000-00000B6F0000}"/>
    <cellStyle name="40% - Accent4 4 4 2 5" xfId="8314" xr:uid="{00000000-0005-0000-0000-00000C6F0000}"/>
    <cellStyle name="40% - Accent4 4 4 2 6" xfId="15415" xr:uid="{00000000-0005-0000-0000-00000D6F0000}"/>
    <cellStyle name="40% - Accent4 4 4 2 7" xfId="22517" xr:uid="{00000000-0005-0000-0000-00000E6F0000}"/>
    <cellStyle name="40% - Accent4 4 4 2 8" xfId="29619" xr:uid="{00000000-0005-0000-0000-00000F6F0000}"/>
    <cellStyle name="40% - Accent4 4 4 2 9" xfId="39735" xr:uid="{00000000-0005-0000-0000-0000106F0000}"/>
    <cellStyle name="40% - Accent4 4 4 3" xfId="1845" xr:uid="{00000000-0005-0000-0000-0000116F0000}"/>
    <cellStyle name="40% - Accent4 4 4 3 2" xfId="6113" xr:uid="{00000000-0005-0000-0000-0000126F0000}"/>
    <cellStyle name="40% - Accent4 4 4 3 2 2" xfId="13213" xr:uid="{00000000-0005-0000-0000-0000136F0000}"/>
    <cellStyle name="40% - Accent4 4 4 3 2 3" xfId="20314" xr:uid="{00000000-0005-0000-0000-0000146F0000}"/>
    <cellStyle name="40% - Accent4 4 4 3 2 4" xfId="27416" xr:uid="{00000000-0005-0000-0000-0000156F0000}"/>
    <cellStyle name="40% - Accent4 4 4 3 2 5" xfId="34518" xr:uid="{00000000-0005-0000-0000-0000166F0000}"/>
    <cellStyle name="40% - Accent4 4 4 3 2 6" xfId="39736" xr:uid="{00000000-0005-0000-0000-0000176F0000}"/>
    <cellStyle name="40% - Accent4 4 4 3 3" xfId="8953" xr:uid="{00000000-0005-0000-0000-0000186F0000}"/>
    <cellStyle name="40% - Accent4 4 4 3 4" xfId="16054" xr:uid="{00000000-0005-0000-0000-0000196F0000}"/>
    <cellStyle name="40% - Accent4 4 4 3 5" xfId="23156" xr:uid="{00000000-0005-0000-0000-00001A6F0000}"/>
    <cellStyle name="40% - Accent4 4 4 3 6" xfId="30258" xr:uid="{00000000-0005-0000-0000-00001B6F0000}"/>
    <cellStyle name="40% - Accent4 4 4 3 7" xfId="39737" xr:uid="{00000000-0005-0000-0000-00001C6F0000}"/>
    <cellStyle name="40% - Accent4 4 4 4" xfId="4692" xr:uid="{00000000-0005-0000-0000-00001D6F0000}"/>
    <cellStyle name="40% - Accent4 4 4 4 2" xfId="11793" xr:uid="{00000000-0005-0000-0000-00001E6F0000}"/>
    <cellStyle name="40% - Accent4 4 4 4 3" xfId="18894" xr:uid="{00000000-0005-0000-0000-00001F6F0000}"/>
    <cellStyle name="40% - Accent4 4 4 4 4" xfId="25996" xr:uid="{00000000-0005-0000-0000-0000206F0000}"/>
    <cellStyle name="40% - Accent4 4 4 4 5" xfId="33098" xr:uid="{00000000-0005-0000-0000-0000216F0000}"/>
    <cellStyle name="40% - Accent4 4 4 4 6" xfId="39738" xr:uid="{00000000-0005-0000-0000-0000226F0000}"/>
    <cellStyle name="40% - Accent4 4 4 5" xfId="3267" xr:uid="{00000000-0005-0000-0000-0000236F0000}"/>
    <cellStyle name="40% - Accent4 4 4 5 2" xfId="10373" xr:uid="{00000000-0005-0000-0000-0000246F0000}"/>
    <cellStyle name="40% - Accent4 4 4 5 3" xfId="17474" xr:uid="{00000000-0005-0000-0000-0000256F0000}"/>
    <cellStyle name="40% - Accent4 4 4 5 4" xfId="24576" xr:uid="{00000000-0005-0000-0000-0000266F0000}"/>
    <cellStyle name="40% - Accent4 4 4 5 5" xfId="31678" xr:uid="{00000000-0005-0000-0000-0000276F0000}"/>
    <cellStyle name="40% - Accent4 4 4 6" xfId="7533" xr:uid="{00000000-0005-0000-0000-0000286F0000}"/>
    <cellStyle name="40% - Accent4 4 4 7" xfId="14634" xr:uid="{00000000-0005-0000-0000-0000296F0000}"/>
    <cellStyle name="40% - Accent4 4 4 8" xfId="21736" xr:uid="{00000000-0005-0000-0000-00002A6F0000}"/>
    <cellStyle name="40% - Accent4 4 4 9" xfId="28838" xr:uid="{00000000-0005-0000-0000-00002B6F0000}"/>
    <cellStyle name="40% - Accent4 4 5" xfId="567" xr:uid="{00000000-0005-0000-0000-00002C6F0000}"/>
    <cellStyle name="40% - Accent4 4 5 2" xfId="2058" xr:uid="{00000000-0005-0000-0000-00002D6F0000}"/>
    <cellStyle name="40% - Accent4 4 5 2 2" xfId="6326" xr:uid="{00000000-0005-0000-0000-00002E6F0000}"/>
    <cellStyle name="40% - Accent4 4 5 2 2 2" xfId="13426" xr:uid="{00000000-0005-0000-0000-00002F6F0000}"/>
    <cellStyle name="40% - Accent4 4 5 2 2 3" xfId="20527" xr:uid="{00000000-0005-0000-0000-0000306F0000}"/>
    <cellStyle name="40% - Accent4 4 5 2 2 4" xfId="27629" xr:uid="{00000000-0005-0000-0000-0000316F0000}"/>
    <cellStyle name="40% - Accent4 4 5 2 2 5" xfId="34731" xr:uid="{00000000-0005-0000-0000-0000326F0000}"/>
    <cellStyle name="40% - Accent4 4 5 2 2 6" xfId="39739" xr:uid="{00000000-0005-0000-0000-0000336F0000}"/>
    <cellStyle name="40% - Accent4 4 5 2 3" xfId="9166" xr:uid="{00000000-0005-0000-0000-0000346F0000}"/>
    <cellStyle name="40% - Accent4 4 5 2 4" xfId="16267" xr:uid="{00000000-0005-0000-0000-0000356F0000}"/>
    <cellStyle name="40% - Accent4 4 5 2 5" xfId="23369" xr:uid="{00000000-0005-0000-0000-0000366F0000}"/>
    <cellStyle name="40% - Accent4 4 5 2 6" xfId="30471" xr:uid="{00000000-0005-0000-0000-0000376F0000}"/>
    <cellStyle name="40% - Accent4 4 5 2 7" xfId="39740" xr:uid="{00000000-0005-0000-0000-0000386F0000}"/>
    <cellStyle name="40% - Accent4 4 5 3" xfId="4905" xr:uid="{00000000-0005-0000-0000-0000396F0000}"/>
    <cellStyle name="40% - Accent4 4 5 3 2" xfId="12006" xr:uid="{00000000-0005-0000-0000-00003A6F0000}"/>
    <cellStyle name="40% - Accent4 4 5 3 2 2" xfId="39741" xr:uid="{00000000-0005-0000-0000-00003B6F0000}"/>
    <cellStyle name="40% - Accent4 4 5 3 3" xfId="19107" xr:uid="{00000000-0005-0000-0000-00003C6F0000}"/>
    <cellStyle name="40% - Accent4 4 5 3 4" xfId="26209" xr:uid="{00000000-0005-0000-0000-00003D6F0000}"/>
    <cellStyle name="40% - Accent4 4 5 3 5" xfId="33311" xr:uid="{00000000-0005-0000-0000-00003E6F0000}"/>
    <cellStyle name="40% - Accent4 4 5 3 6" xfId="39742" xr:uid="{00000000-0005-0000-0000-00003F6F0000}"/>
    <cellStyle name="40% - Accent4 4 5 4" xfId="3480" xr:uid="{00000000-0005-0000-0000-0000406F0000}"/>
    <cellStyle name="40% - Accent4 4 5 4 2" xfId="10586" xr:uid="{00000000-0005-0000-0000-0000416F0000}"/>
    <cellStyle name="40% - Accent4 4 5 4 3" xfId="17687" xr:uid="{00000000-0005-0000-0000-0000426F0000}"/>
    <cellStyle name="40% - Accent4 4 5 4 4" xfId="24789" xr:uid="{00000000-0005-0000-0000-0000436F0000}"/>
    <cellStyle name="40% - Accent4 4 5 4 5" xfId="31891" xr:uid="{00000000-0005-0000-0000-0000446F0000}"/>
    <cellStyle name="40% - Accent4 4 5 4 6" xfId="39743" xr:uid="{00000000-0005-0000-0000-0000456F0000}"/>
    <cellStyle name="40% - Accent4 4 5 5" xfId="7746" xr:uid="{00000000-0005-0000-0000-0000466F0000}"/>
    <cellStyle name="40% - Accent4 4 5 6" xfId="14847" xr:uid="{00000000-0005-0000-0000-0000476F0000}"/>
    <cellStyle name="40% - Accent4 4 5 7" xfId="21949" xr:uid="{00000000-0005-0000-0000-0000486F0000}"/>
    <cellStyle name="40% - Accent4 4 5 8" xfId="29051" xr:uid="{00000000-0005-0000-0000-0000496F0000}"/>
    <cellStyle name="40% - Accent4 4 5 9" xfId="39744" xr:uid="{00000000-0005-0000-0000-00004A6F0000}"/>
    <cellStyle name="40% - Accent4 4 6" xfId="780" xr:uid="{00000000-0005-0000-0000-00004B6F0000}"/>
    <cellStyle name="40% - Accent4 4 6 2" xfId="2271" xr:uid="{00000000-0005-0000-0000-00004C6F0000}"/>
    <cellStyle name="40% - Accent4 4 6 2 2" xfId="6539" xr:uid="{00000000-0005-0000-0000-00004D6F0000}"/>
    <cellStyle name="40% - Accent4 4 6 2 2 2" xfId="13639" xr:uid="{00000000-0005-0000-0000-00004E6F0000}"/>
    <cellStyle name="40% - Accent4 4 6 2 2 3" xfId="20740" xr:uid="{00000000-0005-0000-0000-00004F6F0000}"/>
    <cellStyle name="40% - Accent4 4 6 2 2 4" xfId="27842" xr:uid="{00000000-0005-0000-0000-0000506F0000}"/>
    <cellStyle name="40% - Accent4 4 6 2 2 5" xfId="34944" xr:uid="{00000000-0005-0000-0000-0000516F0000}"/>
    <cellStyle name="40% - Accent4 4 6 2 2 6" xfId="39745" xr:uid="{00000000-0005-0000-0000-0000526F0000}"/>
    <cellStyle name="40% - Accent4 4 6 2 3" xfId="9379" xr:uid="{00000000-0005-0000-0000-0000536F0000}"/>
    <cellStyle name="40% - Accent4 4 6 2 4" xfId="16480" xr:uid="{00000000-0005-0000-0000-0000546F0000}"/>
    <cellStyle name="40% - Accent4 4 6 2 5" xfId="23582" xr:uid="{00000000-0005-0000-0000-0000556F0000}"/>
    <cellStyle name="40% - Accent4 4 6 2 6" xfId="30684" xr:uid="{00000000-0005-0000-0000-0000566F0000}"/>
    <cellStyle name="40% - Accent4 4 6 2 7" xfId="39746" xr:uid="{00000000-0005-0000-0000-0000576F0000}"/>
    <cellStyle name="40% - Accent4 4 6 3" xfId="5118" xr:uid="{00000000-0005-0000-0000-0000586F0000}"/>
    <cellStyle name="40% - Accent4 4 6 3 2" xfId="12219" xr:uid="{00000000-0005-0000-0000-0000596F0000}"/>
    <cellStyle name="40% - Accent4 4 6 3 2 2" xfId="39747" xr:uid="{00000000-0005-0000-0000-00005A6F0000}"/>
    <cellStyle name="40% - Accent4 4 6 3 3" xfId="19320" xr:uid="{00000000-0005-0000-0000-00005B6F0000}"/>
    <cellStyle name="40% - Accent4 4 6 3 4" xfId="26422" xr:uid="{00000000-0005-0000-0000-00005C6F0000}"/>
    <cellStyle name="40% - Accent4 4 6 3 5" xfId="33524" xr:uid="{00000000-0005-0000-0000-00005D6F0000}"/>
    <cellStyle name="40% - Accent4 4 6 3 6" xfId="39748" xr:uid="{00000000-0005-0000-0000-00005E6F0000}"/>
    <cellStyle name="40% - Accent4 4 6 4" xfId="3693" xr:uid="{00000000-0005-0000-0000-00005F6F0000}"/>
    <cellStyle name="40% - Accent4 4 6 4 2" xfId="10799" xr:uid="{00000000-0005-0000-0000-0000606F0000}"/>
    <cellStyle name="40% - Accent4 4 6 4 3" xfId="17900" xr:uid="{00000000-0005-0000-0000-0000616F0000}"/>
    <cellStyle name="40% - Accent4 4 6 4 4" xfId="25002" xr:uid="{00000000-0005-0000-0000-0000626F0000}"/>
    <cellStyle name="40% - Accent4 4 6 4 5" xfId="32104" xr:uid="{00000000-0005-0000-0000-0000636F0000}"/>
    <cellStyle name="40% - Accent4 4 6 4 6" xfId="39749" xr:uid="{00000000-0005-0000-0000-0000646F0000}"/>
    <cellStyle name="40% - Accent4 4 6 5" xfId="7959" xr:uid="{00000000-0005-0000-0000-0000656F0000}"/>
    <cellStyle name="40% - Accent4 4 6 6" xfId="15060" xr:uid="{00000000-0005-0000-0000-0000666F0000}"/>
    <cellStyle name="40% - Accent4 4 6 7" xfId="22162" xr:uid="{00000000-0005-0000-0000-0000676F0000}"/>
    <cellStyle name="40% - Accent4 4 6 8" xfId="29264" xr:uid="{00000000-0005-0000-0000-0000686F0000}"/>
    <cellStyle name="40% - Accent4 4 6 9" xfId="39750" xr:uid="{00000000-0005-0000-0000-0000696F0000}"/>
    <cellStyle name="40% - Accent4 4 7" xfId="993" xr:uid="{00000000-0005-0000-0000-00006A6F0000}"/>
    <cellStyle name="40% - Accent4 4 7 2" xfId="2484" xr:uid="{00000000-0005-0000-0000-00006B6F0000}"/>
    <cellStyle name="40% - Accent4 4 7 2 2" xfId="6752" xr:uid="{00000000-0005-0000-0000-00006C6F0000}"/>
    <cellStyle name="40% - Accent4 4 7 2 2 2" xfId="13852" xr:uid="{00000000-0005-0000-0000-00006D6F0000}"/>
    <cellStyle name="40% - Accent4 4 7 2 2 3" xfId="20953" xr:uid="{00000000-0005-0000-0000-00006E6F0000}"/>
    <cellStyle name="40% - Accent4 4 7 2 2 4" xfId="28055" xr:uid="{00000000-0005-0000-0000-00006F6F0000}"/>
    <cellStyle name="40% - Accent4 4 7 2 2 5" xfId="35157" xr:uid="{00000000-0005-0000-0000-0000706F0000}"/>
    <cellStyle name="40% - Accent4 4 7 2 3" xfId="9592" xr:uid="{00000000-0005-0000-0000-0000716F0000}"/>
    <cellStyle name="40% - Accent4 4 7 2 4" xfId="16693" xr:uid="{00000000-0005-0000-0000-0000726F0000}"/>
    <cellStyle name="40% - Accent4 4 7 2 5" xfId="23795" xr:uid="{00000000-0005-0000-0000-0000736F0000}"/>
    <cellStyle name="40% - Accent4 4 7 2 6" xfId="30897" xr:uid="{00000000-0005-0000-0000-0000746F0000}"/>
    <cellStyle name="40% - Accent4 4 7 2 7" xfId="39751" xr:uid="{00000000-0005-0000-0000-0000756F0000}"/>
    <cellStyle name="40% - Accent4 4 7 3" xfId="5331" xr:uid="{00000000-0005-0000-0000-0000766F0000}"/>
    <cellStyle name="40% - Accent4 4 7 3 2" xfId="12432" xr:uid="{00000000-0005-0000-0000-0000776F0000}"/>
    <cellStyle name="40% - Accent4 4 7 3 3" xfId="19533" xr:uid="{00000000-0005-0000-0000-0000786F0000}"/>
    <cellStyle name="40% - Accent4 4 7 3 4" xfId="26635" xr:uid="{00000000-0005-0000-0000-0000796F0000}"/>
    <cellStyle name="40% - Accent4 4 7 3 5" xfId="33737" xr:uid="{00000000-0005-0000-0000-00007A6F0000}"/>
    <cellStyle name="40% - Accent4 4 7 4" xfId="3906" xr:uid="{00000000-0005-0000-0000-00007B6F0000}"/>
    <cellStyle name="40% - Accent4 4 7 4 2" xfId="11012" xr:uid="{00000000-0005-0000-0000-00007C6F0000}"/>
    <cellStyle name="40% - Accent4 4 7 4 3" xfId="18113" xr:uid="{00000000-0005-0000-0000-00007D6F0000}"/>
    <cellStyle name="40% - Accent4 4 7 4 4" xfId="25215" xr:uid="{00000000-0005-0000-0000-00007E6F0000}"/>
    <cellStyle name="40% - Accent4 4 7 4 5" xfId="32317" xr:uid="{00000000-0005-0000-0000-00007F6F0000}"/>
    <cellStyle name="40% - Accent4 4 7 5" xfId="8172" xr:uid="{00000000-0005-0000-0000-0000806F0000}"/>
    <cellStyle name="40% - Accent4 4 7 6" xfId="15273" xr:uid="{00000000-0005-0000-0000-0000816F0000}"/>
    <cellStyle name="40% - Accent4 4 7 7" xfId="22375" xr:uid="{00000000-0005-0000-0000-0000826F0000}"/>
    <cellStyle name="40% - Accent4 4 7 8" xfId="29477" xr:uid="{00000000-0005-0000-0000-0000836F0000}"/>
    <cellStyle name="40% - Accent4 4 7 9" xfId="39752" xr:uid="{00000000-0005-0000-0000-0000846F0000}"/>
    <cellStyle name="40% - Accent4 4 8" xfId="1348" xr:uid="{00000000-0005-0000-0000-0000856F0000}"/>
    <cellStyle name="40% - Accent4 4 8 2" xfId="2839" xr:uid="{00000000-0005-0000-0000-0000866F0000}"/>
    <cellStyle name="40% - Accent4 4 8 2 2" xfId="7107" xr:uid="{00000000-0005-0000-0000-0000876F0000}"/>
    <cellStyle name="40% - Accent4 4 8 2 2 2" xfId="14207" xr:uid="{00000000-0005-0000-0000-0000886F0000}"/>
    <cellStyle name="40% - Accent4 4 8 2 2 3" xfId="21308" xr:uid="{00000000-0005-0000-0000-0000896F0000}"/>
    <cellStyle name="40% - Accent4 4 8 2 2 4" xfId="28410" xr:uid="{00000000-0005-0000-0000-00008A6F0000}"/>
    <cellStyle name="40% - Accent4 4 8 2 2 5" xfId="35512" xr:uid="{00000000-0005-0000-0000-00008B6F0000}"/>
    <cellStyle name="40% - Accent4 4 8 2 3" xfId="9947" xr:uid="{00000000-0005-0000-0000-00008C6F0000}"/>
    <cellStyle name="40% - Accent4 4 8 2 4" xfId="17048" xr:uid="{00000000-0005-0000-0000-00008D6F0000}"/>
    <cellStyle name="40% - Accent4 4 8 2 5" xfId="24150" xr:uid="{00000000-0005-0000-0000-00008E6F0000}"/>
    <cellStyle name="40% - Accent4 4 8 2 6" xfId="31252" xr:uid="{00000000-0005-0000-0000-00008F6F0000}"/>
    <cellStyle name="40% - Accent4 4 8 2 7" xfId="39753" xr:uid="{00000000-0005-0000-0000-0000906F0000}"/>
    <cellStyle name="40% - Accent4 4 8 3" xfId="5686" xr:uid="{00000000-0005-0000-0000-0000916F0000}"/>
    <cellStyle name="40% - Accent4 4 8 3 2" xfId="12787" xr:uid="{00000000-0005-0000-0000-0000926F0000}"/>
    <cellStyle name="40% - Accent4 4 8 3 3" xfId="19888" xr:uid="{00000000-0005-0000-0000-0000936F0000}"/>
    <cellStyle name="40% - Accent4 4 8 3 4" xfId="26990" xr:uid="{00000000-0005-0000-0000-0000946F0000}"/>
    <cellStyle name="40% - Accent4 4 8 3 5" xfId="34092" xr:uid="{00000000-0005-0000-0000-0000956F0000}"/>
    <cellStyle name="40% - Accent4 4 8 4" xfId="4261" xr:uid="{00000000-0005-0000-0000-0000966F0000}"/>
    <cellStyle name="40% - Accent4 4 8 4 2" xfId="11367" xr:uid="{00000000-0005-0000-0000-0000976F0000}"/>
    <cellStyle name="40% - Accent4 4 8 4 3" xfId="18468" xr:uid="{00000000-0005-0000-0000-0000986F0000}"/>
    <cellStyle name="40% - Accent4 4 8 4 4" xfId="25570" xr:uid="{00000000-0005-0000-0000-0000996F0000}"/>
    <cellStyle name="40% - Accent4 4 8 4 5" xfId="32672" xr:uid="{00000000-0005-0000-0000-00009A6F0000}"/>
    <cellStyle name="40% - Accent4 4 8 5" xfId="8527" xr:uid="{00000000-0005-0000-0000-00009B6F0000}"/>
    <cellStyle name="40% - Accent4 4 8 6" xfId="15628" xr:uid="{00000000-0005-0000-0000-00009C6F0000}"/>
    <cellStyle name="40% - Accent4 4 8 7" xfId="22730" xr:uid="{00000000-0005-0000-0000-00009D6F0000}"/>
    <cellStyle name="40% - Accent4 4 8 8" xfId="29832" xr:uid="{00000000-0005-0000-0000-00009E6F0000}"/>
    <cellStyle name="40% - Accent4 4 8 9" xfId="39754" xr:uid="{00000000-0005-0000-0000-00009F6F0000}"/>
    <cellStyle name="40% - Accent4 4 9" xfId="1632" xr:uid="{00000000-0005-0000-0000-0000A06F0000}"/>
    <cellStyle name="40% - Accent4 4 9 2" xfId="5900" xr:uid="{00000000-0005-0000-0000-0000A16F0000}"/>
    <cellStyle name="40% - Accent4 4 9 2 2" xfId="13000" xr:uid="{00000000-0005-0000-0000-0000A26F0000}"/>
    <cellStyle name="40% - Accent4 4 9 2 3" xfId="20101" xr:uid="{00000000-0005-0000-0000-0000A36F0000}"/>
    <cellStyle name="40% - Accent4 4 9 2 4" xfId="27203" xr:uid="{00000000-0005-0000-0000-0000A46F0000}"/>
    <cellStyle name="40% - Accent4 4 9 2 5" xfId="34305" xr:uid="{00000000-0005-0000-0000-0000A56F0000}"/>
    <cellStyle name="40% - Accent4 4 9 3" xfId="8740" xr:uid="{00000000-0005-0000-0000-0000A66F0000}"/>
    <cellStyle name="40% - Accent4 4 9 4" xfId="15841" xr:uid="{00000000-0005-0000-0000-0000A76F0000}"/>
    <cellStyle name="40% - Accent4 4 9 5" xfId="22943" xr:uid="{00000000-0005-0000-0000-0000A86F0000}"/>
    <cellStyle name="40% - Accent4 4 9 6" xfId="30045" xr:uid="{00000000-0005-0000-0000-0000A96F0000}"/>
    <cellStyle name="40% - Accent4 4 9 7" xfId="39755" xr:uid="{00000000-0005-0000-0000-0000AA6F0000}"/>
    <cellStyle name="40% - Accent4 5" xfId="224" xr:uid="{00000000-0005-0000-0000-0000AB6F0000}"/>
    <cellStyle name="40% - Accent4 5 10" xfId="7403" xr:uid="{00000000-0005-0000-0000-0000AC6F0000}"/>
    <cellStyle name="40% - Accent4 5 11" xfId="14504" xr:uid="{00000000-0005-0000-0000-0000AD6F0000}"/>
    <cellStyle name="40% - Accent4 5 12" xfId="21606" xr:uid="{00000000-0005-0000-0000-0000AE6F0000}"/>
    <cellStyle name="40% - Accent4 5 13" xfId="28708" xr:uid="{00000000-0005-0000-0000-0000AF6F0000}"/>
    <cellStyle name="40% - Accent4 5 14" xfId="35810" xr:uid="{00000000-0005-0000-0000-0000B06F0000}"/>
    <cellStyle name="40% - Accent4 5 15" xfId="39756" xr:uid="{00000000-0005-0000-0000-0000B16F0000}"/>
    <cellStyle name="40% - Accent4 5 2" xfId="437" xr:uid="{00000000-0005-0000-0000-0000B26F0000}"/>
    <cellStyle name="40% - Accent4 5 2 10" xfId="39757" xr:uid="{00000000-0005-0000-0000-0000B36F0000}"/>
    <cellStyle name="40% - Accent4 5 2 2" xfId="1218" xr:uid="{00000000-0005-0000-0000-0000B46F0000}"/>
    <cellStyle name="40% - Accent4 5 2 2 2" xfId="2709" xr:uid="{00000000-0005-0000-0000-0000B56F0000}"/>
    <cellStyle name="40% - Accent4 5 2 2 2 2" xfId="6977" xr:uid="{00000000-0005-0000-0000-0000B66F0000}"/>
    <cellStyle name="40% - Accent4 5 2 2 2 2 2" xfId="14077" xr:uid="{00000000-0005-0000-0000-0000B76F0000}"/>
    <cellStyle name="40% - Accent4 5 2 2 2 2 3" xfId="21178" xr:uid="{00000000-0005-0000-0000-0000B86F0000}"/>
    <cellStyle name="40% - Accent4 5 2 2 2 2 4" xfId="28280" xr:uid="{00000000-0005-0000-0000-0000B96F0000}"/>
    <cellStyle name="40% - Accent4 5 2 2 2 2 5" xfId="35382" xr:uid="{00000000-0005-0000-0000-0000BA6F0000}"/>
    <cellStyle name="40% - Accent4 5 2 2 2 3" xfId="9817" xr:uid="{00000000-0005-0000-0000-0000BB6F0000}"/>
    <cellStyle name="40% - Accent4 5 2 2 2 4" xfId="16918" xr:uid="{00000000-0005-0000-0000-0000BC6F0000}"/>
    <cellStyle name="40% - Accent4 5 2 2 2 5" xfId="24020" xr:uid="{00000000-0005-0000-0000-0000BD6F0000}"/>
    <cellStyle name="40% - Accent4 5 2 2 2 6" xfId="31122" xr:uid="{00000000-0005-0000-0000-0000BE6F0000}"/>
    <cellStyle name="40% - Accent4 5 2 2 2 7" xfId="39758" xr:uid="{00000000-0005-0000-0000-0000BF6F0000}"/>
    <cellStyle name="40% - Accent4 5 2 2 3" xfId="5556" xr:uid="{00000000-0005-0000-0000-0000C06F0000}"/>
    <cellStyle name="40% - Accent4 5 2 2 3 2" xfId="12657" xr:uid="{00000000-0005-0000-0000-0000C16F0000}"/>
    <cellStyle name="40% - Accent4 5 2 2 3 3" xfId="19758" xr:uid="{00000000-0005-0000-0000-0000C26F0000}"/>
    <cellStyle name="40% - Accent4 5 2 2 3 4" xfId="26860" xr:uid="{00000000-0005-0000-0000-0000C36F0000}"/>
    <cellStyle name="40% - Accent4 5 2 2 3 5" xfId="33962" xr:uid="{00000000-0005-0000-0000-0000C46F0000}"/>
    <cellStyle name="40% - Accent4 5 2 2 4" xfId="4131" xr:uid="{00000000-0005-0000-0000-0000C56F0000}"/>
    <cellStyle name="40% - Accent4 5 2 2 4 2" xfId="11237" xr:uid="{00000000-0005-0000-0000-0000C66F0000}"/>
    <cellStyle name="40% - Accent4 5 2 2 4 3" xfId="18338" xr:uid="{00000000-0005-0000-0000-0000C76F0000}"/>
    <cellStyle name="40% - Accent4 5 2 2 4 4" xfId="25440" xr:uid="{00000000-0005-0000-0000-0000C86F0000}"/>
    <cellStyle name="40% - Accent4 5 2 2 4 5" xfId="32542" xr:uid="{00000000-0005-0000-0000-0000C96F0000}"/>
    <cellStyle name="40% - Accent4 5 2 2 5" xfId="8397" xr:uid="{00000000-0005-0000-0000-0000CA6F0000}"/>
    <cellStyle name="40% - Accent4 5 2 2 6" xfId="15498" xr:uid="{00000000-0005-0000-0000-0000CB6F0000}"/>
    <cellStyle name="40% - Accent4 5 2 2 7" xfId="22600" xr:uid="{00000000-0005-0000-0000-0000CC6F0000}"/>
    <cellStyle name="40% - Accent4 5 2 2 8" xfId="29702" xr:uid="{00000000-0005-0000-0000-0000CD6F0000}"/>
    <cellStyle name="40% - Accent4 5 2 2 9" xfId="39759" xr:uid="{00000000-0005-0000-0000-0000CE6F0000}"/>
    <cellStyle name="40% - Accent4 5 2 3" xfId="1928" xr:uid="{00000000-0005-0000-0000-0000CF6F0000}"/>
    <cellStyle name="40% - Accent4 5 2 3 2" xfId="6196" xr:uid="{00000000-0005-0000-0000-0000D06F0000}"/>
    <cellStyle name="40% - Accent4 5 2 3 2 2" xfId="13296" xr:uid="{00000000-0005-0000-0000-0000D16F0000}"/>
    <cellStyle name="40% - Accent4 5 2 3 2 3" xfId="20397" xr:uid="{00000000-0005-0000-0000-0000D26F0000}"/>
    <cellStyle name="40% - Accent4 5 2 3 2 4" xfId="27499" xr:uid="{00000000-0005-0000-0000-0000D36F0000}"/>
    <cellStyle name="40% - Accent4 5 2 3 2 5" xfId="34601" xr:uid="{00000000-0005-0000-0000-0000D46F0000}"/>
    <cellStyle name="40% - Accent4 5 2 3 2 6" xfId="39760" xr:uid="{00000000-0005-0000-0000-0000D56F0000}"/>
    <cellStyle name="40% - Accent4 5 2 3 3" xfId="9036" xr:uid="{00000000-0005-0000-0000-0000D66F0000}"/>
    <cellStyle name="40% - Accent4 5 2 3 4" xfId="16137" xr:uid="{00000000-0005-0000-0000-0000D76F0000}"/>
    <cellStyle name="40% - Accent4 5 2 3 5" xfId="23239" xr:uid="{00000000-0005-0000-0000-0000D86F0000}"/>
    <cellStyle name="40% - Accent4 5 2 3 6" xfId="30341" xr:uid="{00000000-0005-0000-0000-0000D96F0000}"/>
    <cellStyle name="40% - Accent4 5 2 3 7" xfId="39761" xr:uid="{00000000-0005-0000-0000-0000DA6F0000}"/>
    <cellStyle name="40% - Accent4 5 2 4" xfId="4775" xr:uid="{00000000-0005-0000-0000-0000DB6F0000}"/>
    <cellStyle name="40% - Accent4 5 2 4 2" xfId="11876" xr:uid="{00000000-0005-0000-0000-0000DC6F0000}"/>
    <cellStyle name="40% - Accent4 5 2 4 3" xfId="18977" xr:uid="{00000000-0005-0000-0000-0000DD6F0000}"/>
    <cellStyle name="40% - Accent4 5 2 4 4" xfId="26079" xr:uid="{00000000-0005-0000-0000-0000DE6F0000}"/>
    <cellStyle name="40% - Accent4 5 2 4 5" xfId="33181" xr:uid="{00000000-0005-0000-0000-0000DF6F0000}"/>
    <cellStyle name="40% - Accent4 5 2 4 6" xfId="39762" xr:uid="{00000000-0005-0000-0000-0000E06F0000}"/>
    <cellStyle name="40% - Accent4 5 2 5" xfId="3350" xr:uid="{00000000-0005-0000-0000-0000E16F0000}"/>
    <cellStyle name="40% - Accent4 5 2 5 2" xfId="10456" xr:uid="{00000000-0005-0000-0000-0000E26F0000}"/>
    <cellStyle name="40% - Accent4 5 2 5 3" xfId="17557" xr:uid="{00000000-0005-0000-0000-0000E36F0000}"/>
    <cellStyle name="40% - Accent4 5 2 5 4" xfId="24659" xr:uid="{00000000-0005-0000-0000-0000E46F0000}"/>
    <cellStyle name="40% - Accent4 5 2 5 5" xfId="31761" xr:uid="{00000000-0005-0000-0000-0000E56F0000}"/>
    <cellStyle name="40% - Accent4 5 2 6" xfId="7616" xr:uid="{00000000-0005-0000-0000-0000E66F0000}"/>
    <cellStyle name="40% - Accent4 5 2 7" xfId="14717" xr:uid="{00000000-0005-0000-0000-0000E76F0000}"/>
    <cellStyle name="40% - Accent4 5 2 8" xfId="21819" xr:uid="{00000000-0005-0000-0000-0000E86F0000}"/>
    <cellStyle name="40% - Accent4 5 2 9" xfId="28921" xr:uid="{00000000-0005-0000-0000-0000E96F0000}"/>
    <cellStyle name="40% - Accent4 5 3" xfId="650" xr:uid="{00000000-0005-0000-0000-0000EA6F0000}"/>
    <cellStyle name="40% - Accent4 5 3 2" xfId="2141" xr:uid="{00000000-0005-0000-0000-0000EB6F0000}"/>
    <cellStyle name="40% - Accent4 5 3 2 2" xfId="6409" xr:uid="{00000000-0005-0000-0000-0000EC6F0000}"/>
    <cellStyle name="40% - Accent4 5 3 2 2 2" xfId="13509" xr:uid="{00000000-0005-0000-0000-0000ED6F0000}"/>
    <cellStyle name="40% - Accent4 5 3 2 2 3" xfId="20610" xr:uid="{00000000-0005-0000-0000-0000EE6F0000}"/>
    <cellStyle name="40% - Accent4 5 3 2 2 4" xfId="27712" xr:uid="{00000000-0005-0000-0000-0000EF6F0000}"/>
    <cellStyle name="40% - Accent4 5 3 2 2 5" xfId="34814" xr:uid="{00000000-0005-0000-0000-0000F06F0000}"/>
    <cellStyle name="40% - Accent4 5 3 2 2 6" xfId="39763" xr:uid="{00000000-0005-0000-0000-0000F16F0000}"/>
    <cellStyle name="40% - Accent4 5 3 2 3" xfId="9249" xr:uid="{00000000-0005-0000-0000-0000F26F0000}"/>
    <cellStyle name="40% - Accent4 5 3 2 4" xfId="16350" xr:uid="{00000000-0005-0000-0000-0000F36F0000}"/>
    <cellStyle name="40% - Accent4 5 3 2 5" xfId="23452" xr:uid="{00000000-0005-0000-0000-0000F46F0000}"/>
    <cellStyle name="40% - Accent4 5 3 2 6" xfId="30554" xr:uid="{00000000-0005-0000-0000-0000F56F0000}"/>
    <cellStyle name="40% - Accent4 5 3 2 7" xfId="39764" xr:uid="{00000000-0005-0000-0000-0000F66F0000}"/>
    <cellStyle name="40% - Accent4 5 3 3" xfId="4988" xr:uid="{00000000-0005-0000-0000-0000F76F0000}"/>
    <cellStyle name="40% - Accent4 5 3 3 2" xfId="12089" xr:uid="{00000000-0005-0000-0000-0000F86F0000}"/>
    <cellStyle name="40% - Accent4 5 3 3 2 2" xfId="39765" xr:uid="{00000000-0005-0000-0000-0000F96F0000}"/>
    <cellStyle name="40% - Accent4 5 3 3 3" xfId="19190" xr:uid="{00000000-0005-0000-0000-0000FA6F0000}"/>
    <cellStyle name="40% - Accent4 5 3 3 4" xfId="26292" xr:uid="{00000000-0005-0000-0000-0000FB6F0000}"/>
    <cellStyle name="40% - Accent4 5 3 3 5" xfId="33394" xr:uid="{00000000-0005-0000-0000-0000FC6F0000}"/>
    <cellStyle name="40% - Accent4 5 3 3 6" xfId="39766" xr:uid="{00000000-0005-0000-0000-0000FD6F0000}"/>
    <cellStyle name="40% - Accent4 5 3 4" xfId="3563" xr:uid="{00000000-0005-0000-0000-0000FE6F0000}"/>
    <cellStyle name="40% - Accent4 5 3 4 2" xfId="10669" xr:uid="{00000000-0005-0000-0000-0000FF6F0000}"/>
    <cellStyle name="40% - Accent4 5 3 4 3" xfId="17770" xr:uid="{00000000-0005-0000-0000-000000700000}"/>
    <cellStyle name="40% - Accent4 5 3 4 4" xfId="24872" xr:uid="{00000000-0005-0000-0000-000001700000}"/>
    <cellStyle name="40% - Accent4 5 3 4 5" xfId="31974" xr:uid="{00000000-0005-0000-0000-000002700000}"/>
    <cellStyle name="40% - Accent4 5 3 4 6" xfId="39767" xr:uid="{00000000-0005-0000-0000-000003700000}"/>
    <cellStyle name="40% - Accent4 5 3 5" xfId="7829" xr:uid="{00000000-0005-0000-0000-000004700000}"/>
    <cellStyle name="40% - Accent4 5 3 6" xfId="14930" xr:uid="{00000000-0005-0000-0000-000005700000}"/>
    <cellStyle name="40% - Accent4 5 3 7" xfId="22032" xr:uid="{00000000-0005-0000-0000-000006700000}"/>
    <cellStyle name="40% - Accent4 5 3 8" xfId="29134" xr:uid="{00000000-0005-0000-0000-000007700000}"/>
    <cellStyle name="40% - Accent4 5 3 9" xfId="39768" xr:uid="{00000000-0005-0000-0000-000008700000}"/>
    <cellStyle name="40% - Accent4 5 4" xfId="863" xr:uid="{00000000-0005-0000-0000-000009700000}"/>
    <cellStyle name="40% - Accent4 5 4 2" xfId="2354" xr:uid="{00000000-0005-0000-0000-00000A700000}"/>
    <cellStyle name="40% - Accent4 5 4 2 2" xfId="6622" xr:uid="{00000000-0005-0000-0000-00000B700000}"/>
    <cellStyle name="40% - Accent4 5 4 2 2 2" xfId="13722" xr:uid="{00000000-0005-0000-0000-00000C700000}"/>
    <cellStyle name="40% - Accent4 5 4 2 2 3" xfId="20823" xr:uid="{00000000-0005-0000-0000-00000D700000}"/>
    <cellStyle name="40% - Accent4 5 4 2 2 4" xfId="27925" xr:uid="{00000000-0005-0000-0000-00000E700000}"/>
    <cellStyle name="40% - Accent4 5 4 2 2 5" xfId="35027" xr:uid="{00000000-0005-0000-0000-00000F700000}"/>
    <cellStyle name="40% - Accent4 5 4 2 2 6" xfId="39769" xr:uid="{00000000-0005-0000-0000-000010700000}"/>
    <cellStyle name="40% - Accent4 5 4 2 3" xfId="9462" xr:uid="{00000000-0005-0000-0000-000011700000}"/>
    <cellStyle name="40% - Accent4 5 4 2 4" xfId="16563" xr:uid="{00000000-0005-0000-0000-000012700000}"/>
    <cellStyle name="40% - Accent4 5 4 2 5" xfId="23665" xr:uid="{00000000-0005-0000-0000-000013700000}"/>
    <cellStyle name="40% - Accent4 5 4 2 6" xfId="30767" xr:uid="{00000000-0005-0000-0000-000014700000}"/>
    <cellStyle name="40% - Accent4 5 4 2 7" xfId="39770" xr:uid="{00000000-0005-0000-0000-000015700000}"/>
    <cellStyle name="40% - Accent4 5 4 3" xfId="5201" xr:uid="{00000000-0005-0000-0000-000016700000}"/>
    <cellStyle name="40% - Accent4 5 4 3 2" xfId="12302" xr:uid="{00000000-0005-0000-0000-000017700000}"/>
    <cellStyle name="40% - Accent4 5 4 3 2 2" xfId="39771" xr:uid="{00000000-0005-0000-0000-000018700000}"/>
    <cellStyle name="40% - Accent4 5 4 3 3" xfId="19403" xr:uid="{00000000-0005-0000-0000-000019700000}"/>
    <cellStyle name="40% - Accent4 5 4 3 4" xfId="26505" xr:uid="{00000000-0005-0000-0000-00001A700000}"/>
    <cellStyle name="40% - Accent4 5 4 3 5" xfId="33607" xr:uid="{00000000-0005-0000-0000-00001B700000}"/>
    <cellStyle name="40% - Accent4 5 4 3 6" xfId="39772" xr:uid="{00000000-0005-0000-0000-00001C700000}"/>
    <cellStyle name="40% - Accent4 5 4 4" xfId="3776" xr:uid="{00000000-0005-0000-0000-00001D700000}"/>
    <cellStyle name="40% - Accent4 5 4 4 2" xfId="10882" xr:uid="{00000000-0005-0000-0000-00001E700000}"/>
    <cellStyle name="40% - Accent4 5 4 4 3" xfId="17983" xr:uid="{00000000-0005-0000-0000-00001F700000}"/>
    <cellStyle name="40% - Accent4 5 4 4 4" xfId="25085" xr:uid="{00000000-0005-0000-0000-000020700000}"/>
    <cellStyle name="40% - Accent4 5 4 4 5" xfId="32187" xr:uid="{00000000-0005-0000-0000-000021700000}"/>
    <cellStyle name="40% - Accent4 5 4 4 6" xfId="39773" xr:uid="{00000000-0005-0000-0000-000022700000}"/>
    <cellStyle name="40% - Accent4 5 4 5" xfId="8042" xr:uid="{00000000-0005-0000-0000-000023700000}"/>
    <cellStyle name="40% - Accent4 5 4 6" xfId="15143" xr:uid="{00000000-0005-0000-0000-000024700000}"/>
    <cellStyle name="40% - Accent4 5 4 7" xfId="22245" xr:uid="{00000000-0005-0000-0000-000025700000}"/>
    <cellStyle name="40% - Accent4 5 4 8" xfId="29347" xr:uid="{00000000-0005-0000-0000-000026700000}"/>
    <cellStyle name="40% - Accent4 5 4 9" xfId="39774" xr:uid="{00000000-0005-0000-0000-000027700000}"/>
    <cellStyle name="40% - Accent4 5 5" xfId="1005" xr:uid="{00000000-0005-0000-0000-000028700000}"/>
    <cellStyle name="40% - Accent4 5 5 2" xfId="2496" xr:uid="{00000000-0005-0000-0000-000029700000}"/>
    <cellStyle name="40% - Accent4 5 5 2 2" xfId="6764" xr:uid="{00000000-0005-0000-0000-00002A700000}"/>
    <cellStyle name="40% - Accent4 5 5 2 2 2" xfId="13864" xr:uid="{00000000-0005-0000-0000-00002B700000}"/>
    <cellStyle name="40% - Accent4 5 5 2 2 3" xfId="20965" xr:uid="{00000000-0005-0000-0000-00002C700000}"/>
    <cellStyle name="40% - Accent4 5 5 2 2 4" xfId="28067" xr:uid="{00000000-0005-0000-0000-00002D700000}"/>
    <cellStyle name="40% - Accent4 5 5 2 2 5" xfId="35169" xr:uid="{00000000-0005-0000-0000-00002E700000}"/>
    <cellStyle name="40% - Accent4 5 5 2 3" xfId="9604" xr:uid="{00000000-0005-0000-0000-00002F700000}"/>
    <cellStyle name="40% - Accent4 5 5 2 4" xfId="16705" xr:uid="{00000000-0005-0000-0000-000030700000}"/>
    <cellStyle name="40% - Accent4 5 5 2 5" xfId="23807" xr:uid="{00000000-0005-0000-0000-000031700000}"/>
    <cellStyle name="40% - Accent4 5 5 2 6" xfId="30909" xr:uid="{00000000-0005-0000-0000-000032700000}"/>
    <cellStyle name="40% - Accent4 5 5 2 7" xfId="39775" xr:uid="{00000000-0005-0000-0000-000033700000}"/>
    <cellStyle name="40% - Accent4 5 5 3" xfId="5343" xr:uid="{00000000-0005-0000-0000-000034700000}"/>
    <cellStyle name="40% - Accent4 5 5 3 2" xfId="12444" xr:uid="{00000000-0005-0000-0000-000035700000}"/>
    <cellStyle name="40% - Accent4 5 5 3 3" xfId="19545" xr:uid="{00000000-0005-0000-0000-000036700000}"/>
    <cellStyle name="40% - Accent4 5 5 3 4" xfId="26647" xr:uid="{00000000-0005-0000-0000-000037700000}"/>
    <cellStyle name="40% - Accent4 5 5 3 5" xfId="33749" xr:uid="{00000000-0005-0000-0000-000038700000}"/>
    <cellStyle name="40% - Accent4 5 5 4" xfId="3918" xr:uid="{00000000-0005-0000-0000-000039700000}"/>
    <cellStyle name="40% - Accent4 5 5 4 2" xfId="11024" xr:uid="{00000000-0005-0000-0000-00003A700000}"/>
    <cellStyle name="40% - Accent4 5 5 4 3" xfId="18125" xr:uid="{00000000-0005-0000-0000-00003B700000}"/>
    <cellStyle name="40% - Accent4 5 5 4 4" xfId="25227" xr:uid="{00000000-0005-0000-0000-00003C700000}"/>
    <cellStyle name="40% - Accent4 5 5 4 5" xfId="32329" xr:uid="{00000000-0005-0000-0000-00003D700000}"/>
    <cellStyle name="40% - Accent4 5 5 5" xfId="8184" xr:uid="{00000000-0005-0000-0000-00003E700000}"/>
    <cellStyle name="40% - Accent4 5 5 6" xfId="15285" xr:uid="{00000000-0005-0000-0000-00003F700000}"/>
    <cellStyle name="40% - Accent4 5 5 7" xfId="22387" xr:uid="{00000000-0005-0000-0000-000040700000}"/>
    <cellStyle name="40% - Accent4 5 5 8" xfId="29489" xr:uid="{00000000-0005-0000-0000-000041700000}"/>
    <cellStyle name="40% - Accent4 5 5 9" xfId="39776" xr:uid="{00000000-0005-0000-0000-000042700000}"/>
    <cellStyle name="40% - Accent4 5 6" xfId="1431" xr:uid="{00000000-0005-0000-0000-000043700000}"/>
    <cellStyle name="40% - Accent4 5 6 2" xfId="2922" xr:uid="{00000000-0005-0000-0000-000044700000}"/>
    <cellStyle name="40% - Accent4 5 6 2 2" xfId="7190" xr:uid="{00000000-0005-0000-0000-000045700000}"/>
    <cellStyle name="40% - Accent4 5 6 2 2 2" xfId="14290" xr:uid="{00000000-0005-0000-0000-000046700000}"/>
    <cellStyle name="40% - Accent4 5 6 2 2 3" xfId="21391" xr:uid="{00000000-0005-0000-0000-000047700000}"/>
    <cellStyle name="40% - Accent4 5 6 2 2 4" xfId="28493" xr:uid="{00000000-0005-0000-0000-000048700000}"/>
    <cellStyle name="40% - Accent4 5 6 2 2 5" xfId="35595" xr:uid="{00000000-0005-0000-0000-000049700000}"/>
    <cellStyle name="40% - Accent4 5 6 2 3" xfId="10030" xr:uid="{00000000-0005-0000-0000-00004A700000}"/>
    <cellStyle name="40% - Accent4 5 6 2 4" xfId="17131" xr:uid="{00000000-0005-0000-0000-00004B700000}"/>
    <cellStyle name="40% - Accent4 5 6 2 5" xfId="24233" xr:uid="{00000000-0005-0000-0000-00004C700000}"/>
    <cellStyle name="40% - Accent4 5 6 2 6" xfId="31335" xr:uid="{00000000-0005-0000-0000-00004D700000}"/>
    <cellStyle name="40% - Accent4 5 6 2 7" xfId="39777" xr:uid="{00000000-0005-0000-0000-00004E700000}"/>
    <cellStyle name="40% - Accent4 5 6 3" xfId="5769" xr:uid="{00000000-0005-0000-0000-00004F700000}"/>
    <cellStyle name="40% - Accent4 5 6 3 2" xfId="12870" xr:uid="{00000000-0005-0000-0000-000050700000}"/>
    <cellStyle name="40% - Accent4 5 6 3 3" xfId="19971" xr:uid="{00000000-0005-0000-0000-000051700000}"/>
    <cellStyle name="40% - Accent4 5 6 3 4" xfId="27073" xr:uid="{00000000-0005-0000-0000-000052700000}"/>
    <cellStyle name="40% - Accent4 5 6 3 5" xfId="34175" xr:uid="{00000000-0005-0000-0000-000053700000}"/>
    <cellStyle name="40% - Accent4 5 6 4" xfId="4344" xr:uid="{00000000-0005-0000-0000-000054700000}"/>
    <cellStyle name="40% - Accent4 5 6 4 2" xfId="11450" xr:uid="{00000000-0005-0000-0000-000055700000}"/>
    <cellStyle name="40% - Accent4 5 6 4 3" xfId="18551" xr:uid="{00000000-0005-0000-0000-000056700000}"/>
    <cellStyle name="40% - Accent4 5 6 4 4" xfId="25653" xr:uid="{00000000-0005-0000-0000-000057700000}"/>
    <cellStyle name="40% - Accent4 5 6 4 5" xfId="32755" xr:uid="{00000000-0005-0000-0000-000058700000}"/>
    <cellStyle name="40% - Accent4 5 6 5" xfId="8610" xr:uid="{00000000-0005-0000-0000-000059700000}"/>
    <cellStyle name="40% - Accent4 5 6 6" xfId="15711" xr:uid="{00000000-0005-0000-0000-00005A700000}"/>
    <cellStyle name="40% - Accent4 5 6 7" xfId="22813" xr:uid="{00000000-0005-0000-0000-00005B700000}"/>
    <cellStyle name="40% - Accent4 5 6 8" xfId="29915" xr:uid="{00000000-0005-0000-0000-00005C700000}"/>
    <cellStyle name="40% - Accent4 5 6 9" xfId="39778" xr:uid="{00000000-0005-0000-0000-00005D700000}"/>
    <cellStyle name="40% - Accent4 5 7" xfId="1715" xr:uid="{00000000-0005-0000-0000-00005E700000}"/>
    <cellStyle name="40% - Accent4 5 7 2" xfId="5983" xr:uid="{00000000-0005-0000-0000-00005F700000}"/>
    <cellStyle name="40% - Accent4 5 7 2 2" xfId="13083" xr:uid="{00000000-0005-0000-0000-000060700000}"/>
    <cellStyle name="40% - Accent4 5 7 2 3" xfId="20184" xr:uid="{00000000-0005-0000-0000-000061700000}"/>
    <cellStyle name="40% - Accent4 5 7 2 4" xfId="27286" xr:uid="{00000000-0005-0000-0000-000062700000}"/>
    <cellStyle name="40% - Accent4 5 7 2 5" xfId="34388" xr:uid="{00000000-0005-0000-0000-000063700000}"/>
    <cellStyle name="40% - Accent4 5 7 3" xfId="8823" xr:uid="{00000000-0005-0000-0000-000064700000}"/>
    <cellStyle name="40% - Accent4 5 7 4" xfId="15924" xr:uid="{00000000-0005-0000-0000-000065700000}"/>
    <cellStyle name="40% - Accent4 5 7 5" xfId="23026" xr:uid="{00000000-0005-0000-0000-000066700000}"/>
    <cellStyle name="40% - Accent4 5 7 6" xfId="30128" xr:uid="{00000000-0005-0000-0000-000067700000}"/>
    <cellStyle name="40% - Accent4 5 7 7" xfId="39779" xr:uid="{00000000-0005-0000-0000-000068700000}"/>
    <cellStyle name="40% - Accent4 5 8" xfId="4562" xr:uid="{00000000-0005-0000-0000-000069700000}"/>
    <cellStyle name="40% - Accent4 5 8 2" xfId="11663" xr:uid="{00000000-0005-0000-0000-00006A700000}"/>
    <cellStyle name="40% - Accent4 5 8 3" xfId="18764" xr:uid="{00000000-0005-0000-0000-00006B700000}"/>
    <cellStyle name="40% - Accent4 5 8 4" xfId="25866" xr:uid="{00000000-0005-0000-0000-00006C700000}"/>
    <cellStyle name="40% - Accent4 5 8 5" xfId="32968" xr:uid="{00000000-0005-0000-0000-00006D700000}"/>
    <cellStyle name="40% - Accent4 5 9" xfId="3137" xr:uid="{00000000-0005-0000-0000-00006E700000}"/>
    <cellStyle name="40% - Accent4 5 9 2" xfId="10243" xr:uid="{00000000-0005-0000-0000-00006F700000}"/>
    <cellStyle name="40% - Accent4 5 9 3" xfId="17344" xr:uid="{00000000-0005-0000-0000-000070700000}"/>
    <cellStyle name="40% - Accent4 5 9 4" xfId="24446" xr:uid="{00000000-0005-0000-0000-000071700000}"/>
    <cellStyle name="40% - Accent4 5 9 5" xfId="31548" xr:uid="{00000000-0005-0000-0000-000072700000}"/>
    <cellStyle name="40% - Accent4 6" xfId="152" xr:uid="{00000000-0005-0000-0000-000073700000}"/>
    <cellStyle name="40% - Accent4 6 10" xfId="7332" xr:uid="{00000000-0005-0000-0000-000074700000}"/>
    <cellStyle name="40% - Accent4 6 11" xfId="14433" xr:uid="{00000000-0005-0000-0000-000075700000}"/>
    <cellStyle name="40% - Accent4 6 12" xfId="21535" xr:uid="{00000000-0005-0000-0000-000076700000}"/>
    <cellStyle name="40% - Accent4 6 13" xfId="28637" xr:uid="{00000000-0005-0000-0000-000077700000}"/>
    <cellStyle name="40% - Accent4 6 14" xfId="35739" xr:uid="{00000000-0005-0000-0000-000078700000}"/>
    <cellStyle name="40% - Accent4 6 15" xfId="39780" xr:uid="{00000000-0005-0000-0000-000079700000}"/>
    <cellStyle name="40% - Accent4 6 2" xfId="366" xr:uid="{00000000-0005-0000-0000-00007A700000}"/>
    <cellStyle name="40% - Accent4 6 2 2" xfId="1857" xr:uid="{00000000-0005-0000-0000-00007B700000}"/>
    <cellStyle name="40% - Accent4 6 2 2 2" xfId="6125" xr:uid="{00000000-0005-0000-0000-00007C700000}"/>
    <cellStyle name="40% - Accent4 6 2 2 2 2" xfId="13225" xr:uid="{00000000-0005-0000-0000-00007D700000}"/>
    <cellStyle name="40% - Accent4 6 2 2 2 3" xfId="20326" xr:uid="{00000000-0005-0000-0000-00007E700000}"/>
    <cellStyle name="40% - Accent4 6 2 2 2 4" xfId="27428" xr:uid="{00000000-0005-0000-0000-00007F700000}"/>
    <cellStyle name="40% - Accent4 6 2 2 2 5" xfId="34530" xr:uid="{00000000-0005-0000-0000-000080700000}"/>
    <cellStyle name="40% - Accent4 6 2 2 2 6" xfId="39781" xr:uid="{00000000-0005-0000-0000-000081700000}"/>
    <cellStyle name="40% - Accent4 6 2 2 3" xfId="8965" xr:uid="{00000000-0005-0000-0000-000082700000}"/>
    <cellStyle name="40% - Accent4 6 2 2 4" xfId="16066" xr:uid="{00000000-0005-0000-0000-000083700000}"/>
    <cellStyle name="40% - Accent4 6 2 2 5" xfId="23168" xr:uid="{00000000-0005-0000-0000-000084700000}"/>
    <cellStyle name="40% - Accent4 6 2 2 6" xfId="30270" xr:uid="{00000000-0005-0000-0000-000085700000}"/>
    <cellStyle name="40% - Accent4 6 2 2 7" xfId="39782" xr:uid="{00000000-0005-0000-0000-000086700000}"/>
    <cellStyle name="40% - Accent4 6 2 3" xfId="4704" xr:uid="{00000000-0005-0000-0000-000087700000}"/>
    <cellStyle name="40% - Accent4 6 2 3 2" xfId="11805" xr:uid="{00000000-0005-0000-0000-000088700000}"/>
    <cellStyle name="40% - Accent4 6 2 3 2 2" xfId="39783" xr:uid="{00000000-0005-0000-0000-000089700000}"/>
    <cellStyle name="40% - Accent4 6 2 3 3" xfId="18906" xr:uid="{00000000-0005-0000-0000-00008A700000}"/>
    <cellStyle name="40% - Accent4 6 2 3 4" xfId="26008" xr:uid="{00000000-0005-0000-0000-00008B700000}"/>
    <cellStyle name="40% - Accent4 6 2 3 5" xfId="33110" xr:uid="{00000000-0005-0000-0000-00008C700000}"/>
    <cellStyle name="40% - Accent4 6 2 3 6" xfId="39784" xr:uid="{00000000-0005-0000-0000-00008D700000}"/>
    <cellStyle name="40% - Accent4 6 2 4" xfId="3279" xr:uid="{00000000-0005-0000-0000-00008E700000}"/>
    <cellStyle name="40% - Accent4 6 2 4 2" xfId="10385" xr:uid="{00000000-0005-0000-0000-00008F700000}"/>
    <cellStyle name="40% - Accent4 6 2 4 3" xfId="17486" xr:uid="{00000000-0005-0000-0000-000090700000}"/>
    <cellStyle name="40% - Accent4 6 2 4 4" xfId="24588" xr:uid="{00000000-0005-0000-0000-000091700000}"/>
    <cellStyle name="40% - Accent4 6 2 4 5" xfId="31690" xr:uid="{00000000-0005-0000-0000-000092700000}"/>
    <cellStyle name="40% - Accent4 6 2 4 6" xfId="39785" xr:uid="{00000000-0005-0000-0000-000093700000}"/>
    <cellStyle name="40% - Accent4 6 2 5" xfId="7545" xr:uid="{00000000-0005-0000-0000-000094700000}"/>
    <cellStyle name="40% - Accent4 6 2 6" xfId="14646" xr:uid="{00000000-0005-0000-0000-000095700000}"/>
    <cellStyle name="40% - Accent4 6 2 7" xfId="21748" xr:uid="{00000000-0005-0000-0000-000096700000}"/>
    <cellStyle name="40% - Accent4 6 2 8" xfId="28850" xr:uid="{00000000-0005-0000-0000-000097700000}"/>
    <cellStyle name="40% - Accent4 6 2 9" xfId="39786" xr:uid="{00000000-0005-0000-0000-000098700000}"/>
    <cellStyle name="40% - Accent4 6 3" xfId="579" xr:uid="{00000000-0005-0000-0000-000099700000}"/>
    <cellStyle name="40% - Accent4 6 3 2" xfId="2070" xr:uid="{00000000-0005-0000-0000-00009A700000}"/>
    <cellStyle name="40% - Accent4 6 3 2 2" xfId="6338" xr:uid="{00000000-0005-0000-0000-00009B700000}"/>
    <cellStyle name="40% - Accent4 6 3 2 2 2" xfId="13438" xr:uid="{00000000-0005-0000-0000-00009C700000}"/>
    <cellStyle name="40% - Accent4 6 3 2 2 3" xfId="20539" xr:uid="{00000000-0005-0000-0000-00009D700000}"/>
    <cellStyle name="40% - Accent4 6 3 2 2 4" xfId="27641" xr:uid="{00000000-0005-0000-0000-00009E700000}"/>
    <cellStyle name="40% - Accent4 6 3 2 2 5" xfId="34743" xr:uid="{00000000-0005-0000-0000-00009F700000}"/>
    <cellStyle name="40% - Accent4 6 3 2 2 6" xfId="39787" xr:uid="{00000000-0005-0000-0000-0000A0700000}"/>
    <cellStyle name="40% - Accent4 6 3 2 3" xfId="9178" xr:uid="{00000000-0005-0000-0000-0000A1700000}"/>
    <cellStyle name="40% - Accent4 6 3 2 4" xfId="16279" xr:uid="{00000000-0005-0000-0000-0000A2700000}"/>
    <cellStyle name="40% - Accent4 6 3 2 5" xfId="23381" xr:uid="{00000000-0005-0000-0000-0000A3700000}"/>
    <cellStyle name="40% - Accent4 6 3 2 6" xfId="30483" xr:uid="{00000000-0005-0000-0000-0000A4700000}"/>
    <cellStyle name="40% - Accent4 6 3 2 7" xfId="39788" xr:uid="{00000000-0005-0000-0000-0000A5700000}"/>
    <cellStyle name="40% - Accent4 6 3 3" xfId="4917" xr:uid="{00000000-0005-0000-0000-0000A6700000}"/>
    <cellStyle name="40% - Accent4 6 3 3 2" xfId="12018" xr:uid="{00000000-0005-0000-0000-0000A7700000}"/>
    <cellStyle name="40% - Accent4 6 3 3 2 2" xfId="39789" xr:uid="{00000000-0005-0000-0000-0000A8700000}"/>
    <cellStyle name="40% - Accent4 6 3 3 3" xfId="19119" xr:uid="{00000000-0005-0000-0000-0000A9700000}"/>
    <cellStyle name="40% - Accent4 6 3 3 4" xfId="26221" xr:uid="{00000000-0005-0000-0000-0000AA700000}"/>
    <cellStyle name="40% - Accent4 6 3 3 5" xfId="33323" xr:uid="{00000000-0005-0000-0000-0000AB700000}"/>
    <cellStyle name="40% - Accent4 6 3 3 6" xfId="39790" xr:uid="{00000000-0005-0000-0000-0000AC700000}"/>
    <cellStyle name="40% - Accent4 6 3 4" xfId="3492" xr:uid="{00000000-0005-0000-0000-0000AD700000}"/>
    <cellStyle name="40% - Accent4 6 3 4 2" xfId="10598" xr:uid="{00000000-0005-0000-0000-0000AE700000}"/>
    <cellStyle name="40% - Accent4 6 3 4 3" xfId="17699" xr:uid="{00000000-0005-0000-0000-0000AF700000}"/>
    <cellStyle name="40% - Accent4 6 3 4 4" xfId="24801" xr:uid="{00000000-0005-0000-0000-0000B0700000}"/>
    <cellStyle name="40% - Accent4 6 3 4 5" xfId="31903" xr:uid="{00000000-0005-0000-0000-0000B1700000}"/>
    <cellStyle name="40% - Accent4 6 3 4 6" xfId="39791" xr:uid="{00000000-0005-0000-0000-0000B2700000}"/>
    <cellStyle name="40% - Accent4 6 3 5" xfId="7758" xr:uid="{00000000-0005-0000-0000-0000B3700000}"/>
    <cellStyle name="40% - Accent4 6 3 6" xfId="14859" xr:uid="{00000000-0005-0000-0000-0000B4700000}"/>
    <cellStyle name="40% - Accent4 6 3 7" xfId="21961" xr:uid="{00000000-0005-0000-0000-0000B5700000}"/>
    <cellStyle name="40% - Accent4 6 3 8" xfId="29063" xr:uid="{00000000-0005-0000-0000-0000B6700000}"/>
    <cellStyle name="40% - Accent4 6 3 9" xfId="39792" xr:uid="{00000000-0005-0000-0000-0000B7700000}"/>
    <cellStyle name="40% - Accent4 6 4" xfId="792" xr:uid="{00000000-0005-0000-0000-0000B8700000}"/>
    <cellStyle name="40% - Accent4 6 4 2" xfId="2283" xr:uid="{00000000-0005-0000-0000-0000B9700000}"/>
    <cellStyle name="40% - Accent4 6 4 2 2" xfId="6551" xr:uid="{00000000-0005-0000-0000-0000BA700000}"/>
    <cellStyle name="40% - Accent4 6 4 2 2 2" xfId="13651" xr:uid="{00000000-0005-0000-0000-0000BB700000}"/>
    <cellStyle name="40% - Accent4 6 4 2 2 3" xfId="20752" xr:uid="{00000000-0005-0000-0000-0000BC700000}"/>
    <cellStyle name="40% - Accent4 6 4 2 2 4" xfId="27854" xr:uid="{00000000-0005-0000-0000-0000BD700000}"/>
    <cellStyle name="40% - Accent4 6 4 2 2 5" xfId="34956" xr:uid="{00000000-0005-0000-0000-0000BE700000}"/>
    <cellStyle name="40% - Accent4 6 4 2 2 6" xfId="39793" xr:uid="{00000000-0005-0000-0000-0000BF700000}"/>
    <cellStyle name="40% - Accent4 6 4 2 3" xfId="9391" xr:uid="{00000000-0005-0000-0000-0000C0700000}"/>
    <cellStyle name="40% - Accent4 6 4 2 4" xfId="16492" xr:uid="{00000000-0005-0000-0000-0000C1700000}"/>
    <cellStyle name="40% - Accent4 6 4 2 5" xfId="23594" xr:uid="{00000000-0005-0000-0000-0000C2700000}"/>
    <cellStyle name="40% - Accent4 6 4 2 6" xfId="30696" xr:uid="{00000000-0005-0000-0000-0000C3700000}"/>
    <cellStyle name="40% - Accent4 6 4 2 7" xfId="39794" xr:uid="{00000000-0005-0000-0000-0000C4700000}"/>
    <cellStyle name="40% - Accent4 6 4 3" xfId="5130" xr:uid="{00000000-0005-0000-0000-0000C5700000}"/>
    <cellStyle name="40% - Accent4 6 4 3 2" xfId="12231" xr:uid="{00000000-0005-0000-0000-0000C6700000}"/>
    <cellStyle name="40% - Accent4 6 4 3 2 2" xfId="39795" xr:uid="{00000000-0005-0000-0000-0000C7700000}"/>
    <cellStyle name="40% - Accent4 6 4 3 3" xfId="19332" xr:uid="{00000000-0005-0000-0000-0000C8700000}"/>
    <cellStyle name="40% - Accent4 6 4 3 4" xfId="26434" xr:uid="{00000000-0005-0000-0000-0000C9700000}"/>
    <cellStyle name="40% - Accent4 6 4 3 5" xfId="33536" xr:uid="{00000000-0005-0000-0000-0000CA700000}"/>
    <cellStyle name="40% - Accent4 6 4 3 6" xfId="39796" xr:uid="{00000000-0005-0000-0000-0000CB700000}"/>
    <cellStyle name="40% - Accent4 6 4 4" xfId="3705" xr:uid="{00000000-0005-0000-0000-0000CC700000}"/>
    <cellStyle name="40% - Accent4 6 4 4 2" xfId="10811" xr:uid="{00000000-0005-0000-0000-0000CD700000}"/>
    <cellStyle name="40% - Accent4 6 4 4 3" xfId="17912" xr:uid="{00000000-0005-0000-0000-0000CE700000}"/>
    <cellStyle name="40% - Accent4 6 4 4 4" xfId="25014" xr:uid="{00000000-0005-0000-0000-0000CF700000}"/>
    <cellStyle name="40% - Accent4 6 4 4 5" xfId="32116" xr:uid="{00000000-0005-0000-0000-0000D0700000}"/>
    <cellStyle name="40% - Accent4 6 4 4 6" xfId="39797" xr:uid="{00000000-0005-0000-0000-0000D1700000}"/>
    <cellStyle name="40% - Accent4 6 4 5" xfId="7971" xr:uid="{00000000-0005-0000-0000-0000D2700000}"/>
    <cellStyle name="40% - Accent4 6 4 6" xfId="15072" xr:uid="{00000000-0005-0000-0000-0000D3700000}"/>
    <cellStyle name="40% - Accent4 6 4 7" xfId="22174" xr:uid="{00000000-0005-0000-0000-0000D4700000}"/>
    <cellStyle name="40% - Accent4 6 4 8" xfId="29276" xr:uid="{00000000-0005-0000-0000-0000D5700000}"/>
    <cellStyle name="40% - Accent4 6 4 9" xfId="39798" xr:uid="{00000000-0005-0000-0000-0000D6700000}"/>
    <cellStyle name="40% - Accent4 6 5" xfId="1147" xr:uid="{00000000-0005-0000-0000-0000D7700000}"/>
    <cellStyle name="40% - Accent4 6 5 2" xfId="2638" xr:uid="{00000000-0005-0000-0000-0000D8700000}"/>
    <cellStyle name="40% - Accent4 6 5 2 2" xfId="6906" xr:uid="{00000000-0005-0000-0000-0000D9700000}"/>
    <cellStyle name="40% - Accent4 6 5 2 2 2" xfId="14006" xr:uid="{00000000-0005-0000-0000-0000DA700000}"/>
    <cellStyle name="40% - Accent4 6 5 2 2 3" xfId="21107" xr:uid="{00000000-0005-0000-0000-0000DB700000}"/>
    <cellStyle name="40% - Accent4 6 5 2 2 4" xfId="28209" xr:uid="{00000000-0005-0000-0000-0000DC700000}"/>
    <cellStyle name="40% - Accent4 6 5 2 2 5" xfId="35311" xr:uid="{00000000-0005-0000-0000-0000DD700000}"/>
    <cellStyle name="40% - Accent4 6 5 2 3" xfId="9746" xr:uid="{00000000-0005-0000-0000-0000DE700000}"/>
    <cellStyle name="40% - Accent4 6 5 2 4" xfId="16847" xr:uid="{00000000-0005-0000-0000-0000DF700000}"/>
    <cellStyle name="40% - Accent4 6 5 2 5" xfId="23949" xr:uid="{00000000-0005-0000-0000-0000E0700000}"/>
    <cellStyle name="40% - Accent4 6 5 2 6" xfId="31051" xr:uid="{00000000-0005-0000-0000-0000E1700000}"/>
    <cellStyle name="40% - Accent4 6 5 2 7" xfId="39799" xr:uid="{00000000-0005-0000-0000-0000E2700000}"/>
    <cellStyle name="40% - Accent4 6 5 3" xfId="5485" xr:uid="{00000000-0005-0000-0000-0000E3700000}"/>
    <cellStyle name="40% - Accent4 6 5 3 2" xfId="12586" xr:uid="{00000000-0005-0000-0000-0000E4700000}"/>
    <cellStyle name="40% - Accent4 6 5 3 3" xfId="19687" xr:uid="{00000000-0005-0000-0000-0000E5700000}"/>
    <cellStyle name="40% - Accent4 6 5 3 4" xfId="26789" xr:uid="{00000000-0005-0000-0000-0000E6700000}"/>
    <cellStyle name="40% - Accent4 6 5 3 5" xfId="33891" xr:uid="{00000000-0005-0000-0000-0000E7700000}"/>
    <cellStyle name="40% - Accent4 6 5 4" xfId="4060" xr:uid="{00000000-0005-0000-0000-0000E8700000}"/>
    <cellStyle name="40% - Accent4 6 5 4 2" xfId="11166" xr:uid="{00000000-0005-0000-0000-0000E9700000}"/>
    <cellStyle name="40% - Accent4 6 5 4 3" xfId="18267" xr:uid="{00000000-0005-0000-0000-0000EA700000}"/>
    <cellStyle name="40% - Accent4 6 5 4 4" xfId="25369" xr:uid="{00000000-0005-0000-0000-0000EB700000}"/>
    <cellStyle name="40% - Accent4 6 5 4 5" xfId="32471" xr:uid="{00000000-0005-0000-0000-0000EC700000}"/>
    <cellStyle name="40% - Accent4 6 5 5" xfId="8326" xr:uid="{00000000-0005-0000-0000-0000ED700000}"/>
    <cellStyle name="40% - Accent4 6 5 6" xfId="15427" xr:uid="{00000000-0005-0000-0000-0000EE700000}"/>
    <cellStyle name="40% - Accent4 6 5 7" xfId="22529" xr:uid="{00000000-0005-0000-0000-0000EF700000}"/>
    <cellStyle name="40% - Accent4 6 5 8" xfId="29631" xr:uid="{00000000-0005-0000-0000-0000F0700000}"/>
    <cellStyle name="40% - Accent4 6 5 9" xfId="39800" xr:uid="{00000000-0005-0000-0000-0000F1700000}"/>
    <cellStyle name="40% - Accent4 6 6" xfId="1360" xr:uid="{00000000-0005-0000-0000-0000F2700000}"/>
    <cellStyle name="40% - Accent4 6 6 2" xfId="2851" xr:uid="{00000000-0005-0000-0000-0000F3700000}"/>
    <cellStyle name="40% - Accent4 6 6 2 2" xfId="7119" xr:uid="{00000000-0005-0000-0000-0000F4700000}"/>
    <cellStyle name="40% - Accent4 6 6 2 2 2" xfId="14219" xr:uid="{00000000-0005-0000-0000-0000F5700000}"/>
    <cellStyle name="40% - Accent4 6 6 2 2 3" xfId="21320" xr:uid="{00000000-0005-0000-0000-0000F6700000}"/>
    <cellStyle name="40% - Accent4 6 6 2 2 4" xfId="28422" xr:uid="{00000000-0005-0000-0000-0000F7700000}"/>
    <cellStyle name="40% - Accent4 6 6 2 2 5" xfId="35524" xr:uid="{00000000-0005-0000-0000-0000F8700000}"/>
    <cellStyle name="40% - Accent4 6 6 2 3" xfId="9959" xr:uid="{00000000-0005-0000-0000-0000F9700000}"/>
    <cellStyle name="40% - Accent4 6 6 2 4" xfId="17060" xr:uid="{00000000-0005-0000-0000-0000FA700000}"/>
    <cellStyle name="40% - Accent4 6 6 2 5" xfId="24162" xr:uid="{00000000-0005-0000-0000-0000FB700000}"/>
    <cellStyle name="40% - Accent4 6 6 2 6" xfId="31264" xr:uid="{00000000-0005-0000-0000-0000FC700000}"/>
    <cellStyle name="40% - Accent4 6 6 2 7" xfId="39801" xr:uid="{00000000-0005-0000-0000-0000FD700000}"/>
    <cellStyle name="40% - Accent4 6 6 3" xfId="5698" xr:uid="{00000000-0005-0000-0000-0000FE700000}"/>
    <cellStyle name="40% - Accent4 6 6 3 2" xfId="12799" xr:uid="{00000000-0005-0000-0000-0000FF700000}"/>
    <cellStyle name="40% - Accent4 6 6 3 3" xfId="19900" xr:uid="{00000000-0005-0000-0000-000000710000}"/>
    <cellStyle name="40% - Accent4 6 6 3 4" xfId="27002" xr:uid="{00000000-0005-0000-0000-000001710000}"/>
    <cellStyle name="40% - Accent4 6 6 3 5" xfId="34104" xr:uid="{00000000-0005-0000-0000-000002710000}"/>
    <cellStyle name="40% - Accent4 6 6 4" xfId="4273" xr:uid="{00000000-0005-0000-0000-000003710000}"/>
    <cellStyle name="40% - Accent4 6 6 4 2" xfId="11379" xr:uid="{00000000-0005-0000-0000-000004710000}"/>
    <cellStyle name="40% - Accent4 6 6 4 3" xfId="18480" xr:uid="{00000000-0005-0000-0000-000005710000}"/>
    <cellStyle name="40% - Accent4 6 6 4 4" xfId="25582" xr:uid="{00000000-0005-0000-0000-000006710000}"/>
    <cellStyle name="40% - Accent4 6 6 4 5" xfId="32684" xr:uid="{00000000-0005-0000-0000-000007710000}"/>
    <cellStyle name="40% - Accent4 6 6 5" xfId="8539" xr:uid="{00000000-0005-0000-0000-000008710000}"/>
    <cellStyle name="40% - Accent4 6 6 6" xfId="15640" xr:uid="{00000000-0005-0000-0000-000009710000}"/>
    <cellStyle name="40% - Accent4 6 6 7" xfId="22742" xr:uid="{00000000-0005-0000-0000-00000A710000}"/>
    <cellStyle name="40% - Accent4 6 6 8" xfId="29844" xr:uid="{00000000-0005-0000-0000-00000B710000}"/>
    <cellStyle name="40% - Accent4 6 6 9" xfId="39802" xr:uid="{00000000-0005-0000-0000-00000C710000}"/>
    <cellStyle name="40% - Accent4 6 7" xfId="1644" xr:uid="{00000000-0005-0000-0000-00000D710000}"/>
    <cellStyle name="40% - Accent4 6 7 2" xfId="5912" xr:uid="{00000000-0005-0000-0000-00000E710000}"/>
    <cellStyle name="40% - Accent4 6 7 2 2" xfId="13012" xr:uid="{00000000-0005-0000-0000-00000F710000}"/>
    <cellStyle name="40% - Accent4 6 7 2 3" xfId="20113" xr:uid="{00000000-0005-0000-0000-000010710000}"/>
    <cellStyle name="40% - Accent4 6 7 2 4" xfId="27215" xr:uid="{00000000-0005-0000-0000-000011710000}"/>
    <cellStyle name="40% - Accent4 6 7 2 5" xfId="34317" xr:uid="{00000000-0005-0000-0000-000012710000}"/>
    <cellStyle name="40% - Accent4 6 7 3" xfId="8752" xr:uid="{00000000-0005-0000-0000-000013710000}"/>
    <cellStyle name="40% - Accent4 6 7 4" xfId="15853" xr:uid="{00000000-0005-0000-0000-000014710000}"/>
    <cellStyle name="40% - Accent4 6 7 5" xfId="22955" xr:uid="{00000000-0005-0000-0000-000015710000}"/>
    <cellStyle name="40% - Accent4 6 7 6" xfId="30057" xr:uid="{00000000-0005-0000-0000-000016710000}"/>
    <cellStyle name="40% - Accent4 6 7 7" xfId="39803" xr:uid="{00000000-0005-0000-0000-000017710000}"/>
    <cellStyle name="40% - Accent4 6 8" xfId="4491" xr:uid="{00000000-0005-0000-0000-000018710000}"/>
    <cellStyle name="40% - Accent4 6 8 2" xfId="11592" xr:uid="{00000000-0005-0000-0000-000019710000}"/>
    <cellStyle name="40% - Accent4 6 8 3" xfId="18693" xr:uid="{00000000-0005-0000-0000-00001A710000}"/>
    <cellStyle name="40% - Accent4 6 8 4" xfId="25795" xr:uid="{00000000-0005-0000-0000-00001B710000}"/>
    <cellStyle name="40% - Accent4 6 8 5" xfId="32897" xr:uid="{00000000-0005-0000-0000-00001C710000}"/>
    <cellStyle name="40% - Accent4 6 9" xfId="3066" xr:uid="{00000000-0005-0000-0000-00001D710000}"/>
    <cellStyle name="40% - Accent4 6 9 2" xfId="10172" xr:uid="{00000000-0005-0000-0000-00001E710000}"/>
    <cellStyle name="40% - Accent4 6 9 3" xfId="17273" xr:uid="{00000000-0005-0000-0000-00001F710000}"/>
    <cellStyle name="40% - Accent4 6 9 4" xfId="24375" xr:uid="{00000000-0005-0000-0000-000020710000}"/>
    <cellStyle name="40% - Accent4 6 9 5" xfId="31477" xr:uid="{00000000-0005-0000-0000-000021710000}"/>
    <cellStyle name="40% - Accent4 7" xfId="295" xr:uid="{00000000-0005-0000-0000-000022710000}"/>
    <cellStyle name="40% - Accent4 7 10" xfId="39804" xr:uid="{00000000-0005-0000-0000-000023710000}"/>
    <cellStyle name="40% - Accent4 7 2" xfId="1076" xr:uid="{00000000-0005-0000-0000-000024710000}"/>
    <cellStyle name="40% - Accent4 7 2 2" xfId="2567" xr:uid="{00000000-0005-0000-0000-000025710000}"/>
    <cellStyle name="40% - Accent4 7 2 2 2" xfId="6835" xr:uid="{00000000-0005-0000-0000-000026710000}"/>
    <cellStyle name="40% - Accent4 7 2 2 2 2" xfId="13935" xr:uid="{00000000-0005-0000-0000-000027710000}"/>
    <cellStyle name="40% - Accent4 7 2 2 2 3" xfId="21036" xr:uid="{00000000-0005-0000-0000-000028710000}"/>
    <cellStyle name="40% - Accent4 7 2 2 2 4" xfId="28138" xr:uid="{00000000-0005-0000-0000-000029710000}"/>
    <cellStyle name="40% - Accent4 7 2 2 2 5" xfId="35240" xr:uid="{00000000-0005-0000-0000-00002A710000}"/>
    <cellStyle name="40% - Accent4 7 2 2 3" xfId="9675" xr:uid="{00000000-0005-0000-0000-00002B710000}"/>
    <cellStyle name="40% - Accent4 7 2 2 4" xfId="16776" xr:uid="{00000000-0005-0000-0000-00002C710000}"/>
    <cellStyle name="40% - Accent4 7 2 2 5" xfId="23878" xr:uid="{00000000-0005-0000-0000-00002D710000}"/>
    <cellStyle name="40% - Accent4 7 2 2 6" xfId="30980" xr:uid="{00000000-0005-0000-0000-00002E710000}"/>
    <cellStyle name="40% - Accent4 7 2 2 7" xfId="39805" xr:uid="{00000000-0005-0000-0000-00002F710000}"/>
    <cellStyle name="40% - Accent4 7 2 3" xfId="5414" xr:uid="{00000000-0005-0000-0000-000030710000}"/>
    <cellStyle name="40% - Accent4 7 2 3 2" xfId="12515" xr:uid="{00000000-0005-0000-0000-000031710000}"/>
    <cellStyle name="40% - Accent4 7 2 3 3" xfId="19616" xr:uid="{00000000-0005-0000-0000-000032710000}"/>
    <cellStyle name="40% - Accent4 7 2 3 4" xfId="26718" xr:uid="{00000000-0005-0000-0000-000033710000}"/>
    <cellStyle name="40% - Accent4 7 2 3 5" xfId="33820" xr:uid="{00000000-0005-0000-0000-000034710000}"/>
    <cellStyle name="40% - Accent4 7 2 4" xfId="3989" xr:uid="{00000000-0005-0000-0000-000035710000}"/>
    <cellStyle name="40% - Accent4 7 2 4 2" xfId="11095" xr:uid="{00000000-0005-0000-0000-000036710000}"/>
    <cellStyle name="40% - Accent4 7 2 4 3" xfId="18196" xr:uid="{00000000-0005-0000-0000-000037710000}"/>
    <cellStyle name="40% - Accent4 7 2 4 4" xfId="25298" xr:uid="{00000000-0005-0000-0000-000038710000}"/>
    <cellStyle name="40% - Accent4 7 2 4 5" xfId="32400" xr:uid="{00000000-0005-0000-0000-000039710000}"/>
    <cellStyle name="40% - Accent4 7 2 5" xfId="8255" xr:uid="{00000000-0005-0000-0000-00003A710000}"/>
    <cellStyle name="40% - Accent4 7 2 6" xfId="15356" xr:uid="{00000000-0005-0000-0000-00003B710000}"/>
    <cellStyle name="40% - Accent4 7 2 7" xfId="22458" xr:uid="{00000000-0005-0000-0000-00003C710000}"/>
    <cellStyle name="40% - Accent4 7 2 8" xfId="29560" xr:uid="{00000000-0005-0000-0000-00003D710000}"/>
    <cellStyle name="40% - Accent4 7 2 9" xfId="39806" xr:uid="{00000000-0005-0000-0000-00003E710000}"/>
    <cellStyle name="40% - Accent4 7 3" xfId="1786" xr:uid="{00000000-0005-0000-0000-00003F710000}"/>
    <cellStyle name="40% - Accent4 7 3 2" xfId="6054" xr:uid="{00000000-0005-0000-0000-000040710000}"/>
    <cellStyle name="40% - Accent4 7 3 2 2" xfId="13154" xr:uid="{00000000-0005-0000-0000-000041710000}"/>
    <cellStyle name="40% - Accent4 7 3 2 3" xfId="20255" xr:uid="{00000000-0005-0000-0000-000042710000}"/>
    <cellStyle name="40% - Accent4 7 3 2 4" xfId="27357" xr:uid="{00000000-0005-0000-0000-000043710000}"/>
    <cellStyle name="40% - Accent4 7 3 2 5" xfId="34459" xr:uid="{00000000-0005-0000-0000-000044710000}"/>
    <cellStyle name="40% - Accent4 7 3 2 6" xfId="39807" xr:uid="{00000000-0005-0000-0000-000045710000}"/>
    <cellStyle name="40% - Accent4 7 3 3" xfId="8894" xr:uid="{00000000-0005-0000-0000-000046710000}"/>
    <cellStyle name="40% - Accent4 7 3 4" xfId="15995" xr:uid="{00000000-0005-0000-0000-000047710000}"/>
    <cellStyle name="40% - Accent4 7 3 5" xfId="23097" xr:uid="{00000000-0005-0000-0000-000048710000}"/>
    <cellStyle name="40% - Accent4 7 3 6" xfId="30199" xr:uid="{00000000-0005-0000-0000-000049710000}"/>
    <cellStyle name="40% - Accent4 7 3 7" xfId="39808" xr:uid="{00000000-0005-0000-0000-00004A710000}"/>
    <cellStyle name="40% - Accent4 7 4" xfId="4633" xr:uid="{00000000-0005-0000-0000-00004B710000}"/>
    <cellStyle name="40% - Accent4 7 4 2" xfId="11734" xr:uid="{00000000-0005-0000-0000-00004C710000}"/>
    <cellStyle name="40% - Accent4 7 4 3" xfId="18835" xr:uid="{00000000-0005-0000-0000-00004D710000}"/>
    <cellStyle name="40% - Accent4 7 4 4" xfId="25937" xr:uid="{00000000-0005-0000-0000-00004E710000}"/>
    <cellStyle name="40% - Accent4 7 4 5" xfId="33039" xr:uid="{00000000-0005-0000-0000-00004F710000}"/>
    <cellStyle name="40% - Accent4 7 4 6" xfId="39809" xr:uid="{00000000-0005-0000-0000-000050710000}"/>
    <cellStyle name="40% - Accent4 7 5" xfId="3208" xr:uid="{00000000-0005-0000-0000-000051710000}"/>
    <cellStyle name="40% - Accent4 7 5 2" xfId="10314" xr:uid="{00000000-0005-0000-0000-000052710000}"/>
    <cellStyle name="40% - Accent4 7 5 3" xfId="17415" xr:uid="{00000000-0005-0000-0000-000053710000}"/>
    <cellStyle name="40% - Accent4 7 5 4" xfId="24517" xr:uid="{00000000-0005-0000-0000-000054710000}"/>
    <cellStyle name="40% - Accent4 7 5 5" xfId="31619" xr:uid="{00000000-0005-0000-0000-000055710000}"/>
    <cellStyle name="40% - Accent4 7 6" xfId="7474" xr:uid="{00000000-0005-0000-0000-000056710000}"/>
    <cellStyle name="40% - Accent4 7 7" xfId="14575" xr:uid="{00000000-0005-0000-0000-000057710000}"/>
    <cellStyle name="40% - Accent4 7 8" xfId="21677" xr:uid="{00000000-0005-0000-0000-000058710000}"/>
    <cellStyle name="40% - Accent4 7 9" xfId="28779" xr:uid="{00000000-0005-0000-0000-000059710000}"/>
    <cellStyle name="40% - Accent4 8" xfId="508" xr:uid="{00000000-0005-0000-0000-00005A710000}"/>
    <cellStyle name="40% - Accent4 8 2" xfId="1999" xr:uid="{00000000-0005-0000-0000-00005B710000}"/>
    <cellStyle name="40% - Accent4 8 2 2" xfId="6267" xr:uid="{00000000-0005-0000-0000-00005C710000}"/>
    <cellStyle name="40% - Accent4 8 2 2 2" xfId="13367" xr:uid="{00000000-0005-0000-0000-00005D710000}"/>
    <cellStyle name="40% - Accent4 8 2 2 3" xfId="20468" xr:uid="{00000000-0005-0000-0000-00005E710000}"/>
    <cellStyle name="40% - Accent4 8 2 2 4" xfId="27570" xr:uid="{00000000-0005-0000-0000-00005F710000}"/>
    <cellStyle name="40% - Accent4 8 2 2 5" xfId="34672" xr:uid="{00000000-0005-0000-0000-000060710000}"/>
    <cellStyle name="40% - Accent4 8 2 2 6" xfId="39810" xr:uid="{00000000-0005-0000-0000-000061710000}"/>
    <cellStyle name="40% - Accent4 8 2 3" xfId="9107" xr:uid="{00000000-0005-0000-0000-000062710000}"/>
    <cellStyle name="40% - Accent4 8 2 4" xfId="16208" xr:uid="{00000000-0005-0000-0000-000063710000}"/>
    <cellStyle name="40% - Accent4 8 2 5" xfId="23310" xr:uid="{00000000-0005-0000-0000-000064710000}"/>
    <cellStyle name="40% - Accent4 8 2 6" xfId="30412" xr:uid="{00000000-0005-0000-0000-000065710000}"/>
    <cellStyle name="40% - Accent4 8 2 7" xfId="39811" xr:uid="{00000000-0005-0000-0000-000066710000}"/>
    <cellStyle name="40% - Accent4 8 3" xfId="4846" xr:uid="{00000000-0005-0000-0000-000067710000}"/>
    <cellStyle name="40% - Accent4 8 3 2" xfId="11947" xr:uid="{00000000-0005-0000-0000-000068710000}"/>
    <cellStyle name="40% - Accent4 8 3 2 2" xfId="39812" xr:uid="{00000000-0005-0000-0000-000069710000}"/>
    <cellStyle name="40% - Accent4 8 3 3" xfId="19048" xr:uid="{00000000-0005-0000-0000-00006A710000}"/>
    <cellStyle name="40% - Accent4 8 3 4" xfId="26150" xr:uid="{00000000-0005-0000-0000-00006B710000}"/>
    <cellStyle name="40% - Accent4 8 3 5" xfId="33252" xr:uid="{00000000-0005-0000-0000-00006C710000}"/>
    <cellStyle name="40% - Accent4 8 3 6" xfId="39813" xr:uid="{00000000-0005-0000-0000-00006D710000}"/>
    <cellStyle name="40% - Accent4 8 4" xfId="3421" xr:uid="{00000000-0005-0000-0000-00006E710000}"/>
    <cellStyle name="40% - Accent4 8 4 2" xfId="10527" xr:uid="{00000000-0005-0000-0000-00006F710000}"/>
    <cellStyle name="40% - Accent4 8 4 3" xfId="17628" xr:uid="{00000000-0005-0000-0000-000070710000}"/>
    <cellStyle name="40% - Accent4 8 4 4" xfId="24730" xr:uid="{00000000-0005-0000-0000-000071710000}"/>
    <cellStyle name="40% - Accent4 8 4 5" xfId="31832" xr:uid="{00000000-0005-0000-0000-000072710000}"/>
    <cellStyle name="40% - Accent4 8 4 6" xfId="39814" xr:uid="{00000000-0005-0000-0000-000073710000}"/>
    <cellStyle name="40% - Accent4 8 5" xfId="7687" xr:uid="{00000000-0005-0000-0000-000074710000}"/>
    <cellStyle name="40% - Accent4 8 6" xfId="14788" xr:uid="{00000000-0005-0000-0000-000075710000}"/>
    <cellStyle name="40% - Accent4 8 7" xfId="21890" xr:uid="{00000000-0005-0000-0000-000076710000}"/>
    <cellStyle name="40% - Accent4 8 8" xfId="28992" xr:uid="{00000000-0005-0000-0000-000077710000}"/>
    <cellStyle name="40% - Accent4 8 9" xfId="39815" xr:uid="{00000000-0005-0000-0000-000078710000}"/>
    <cellStyle name="40% - Accent4 9" xfId="721" xr:uid="{00000000-0005-0000-0000-000079710000}"/>
    <cellStyle name="40% - Accent4 9 2" xfId="2212" xr:uid="{00000000-0005-0000-0000-00007A710000}"/>
    <cellStyle name="40% - Accent4 9 2 2" xfId="6480" xr:uid="{00000000-0005-0000-0000-00007B710000}"/>
    <cellStyle name="40% - Accent4 9 2 2 2" xfId="13580" xr:uid="{00000000-0005-0000-0000-00007C710000}"/>
    <cellStyle name="40% - Accent4 9 2 2 3" xfId="20681" xr:uid="{00000000-0005-0000-0000-00007D710000}"/>
    <cellStyle name="40% - Accent4 9 2 2 4" xfId="27783" xr:uid="{00000000-0005-0000-0000-00007E710000}"/>
    <cellStyle name="40% - Accent4 9 2 2 5" xfId="34885" xr:uid="{00000000-0005-0000-0000-00007F710000}"/>
    <cellStyle name="40% - Accent4 9 2 2 6" xfId="39816" xr:uid="{00000000-0005-0000-0000-000080710000}"/>
    <cellStyle name="40% - Accent4 9 2 3" xfId="9320" xr:uid="{00000000-0005-0000-0000-000081710000}"/>
    <cellStyle name="40% - Accent4 9 2 4" xfId="16421" xr:uid="{00000000-0005-0000-0000-000082710000}"/>
    <cellStyle name="40% - Accent4 9 2 5" xfId="23523" xr:uid="{00000000-0005-0000-0000-000083710000}"/>
    <cellStyle name="40% - Accent4 9 2 6" xfId="30625" xr:uid="{00000000-0005-0000-0000-000084710000}"/>
    <cellStyle name="40% - Accent4 9 2 7" xfId="39817" xr:uid="{00000000-0005-0000-0000-000085710000}"/>
    <cellStyle name="40% - Accent4 9 3" xfId="5059" xr:uid="{00000000-0005-0000-0000-000086710000}"/>
    <cellStyle name="40% - Accent4 9 3 2" xfId="12160" xr:uid="{00000000-0005-0000-0000-000087710000}"/>
    <cellStyle name="40% - Accent4 9 3 2 2" xfId="39818" xr:uid="{00000000-0005-0000-0000-000088710000}"/>
    <cellStyle name="40% - Accent4 9 3 3" xfId="19261" xr:uid="{00000000-0005-0000-0000-000089710000}"/>
    <cellStyle name="40% - Accent4 9 3 4" xfId="26363" xr:uid="{00000000-0005-0000-0000-00008A710000}"/>
    <cellStyle name="40% - Accent4 9 3 5" xfId="33465" xr:uid="{00000000-0005-0000-0000-00008B710000}"/>
    <cellStyle name="40% - Accent4 9 3 6" xfId="39819" xr:uid="{00000000-0005-0000-0000-00008C710000}"/>
    <cellStyle name="40% - Accent4 9 4" xfId="3634" xr:uid="{00000000-0005-0000-0000-00008D710000}"/>
    <cellStyle name="40% - Accent4 9 4 2" xfId="10740" xr:uid="{00000000-0005-0000-0000-00008E710000}"/>
    <cellStyle name="40% - Accent4 9 4 3" xfId="17841" xr:uid="{00000000-0005-0000-0000-00008F710000}"/>
    <cellStyle name="40% - Accent4 9 4 4" xfId="24943" xr:uid="{00000000-0005-0000-0000-000090710000}"/>
    <cellStyle name="40% - Accent4 9 4 5" xfId="32045" xr:uid="{00000000-0005-0000-0000-000091710000}"/>
    <cellStyle name="40% - Accent4 9 4 6" xfId="39820" xr:uid="{00000000-0005-0000-0000-000092710000}"/>
    <cellStyle name="40% - Accent4 9 5" xfId="7900" xr:uid="{00000000-0005-0000-0000-000093710000}"/>
    <cellStyle name="40% - Accent4 9 6" xfId="15001" xr:uid="{00000000-0005-0000-0000-000094710000}"/>
    <cellStyle name="40% - Accent4 9 7" xfId="22103" xr:uid="{00000000-0005-0000-0000-000095710000}"/>
    <cellStyle name="40% - Accent4 9 8" xfId="29205" xr:uid="{00000000-0005-0000-0000-000096710000}"/>
    <cellStyle name="40% - Accent4 9 9" xfId="39821" xr:uid="{00000000-0005-0000-0000-000097710000}"/>
    <cellStyle name="40% - Accent5" xfId="59" builtinId="47" customBuiltin="1"/>
    <cellStyle name="40% - Accent5 10" xfId="936" xr:uid="{00000000-0005-0000-0000-000099710000}"/>
    <cellStyle name="40% - Accent5 10 2" xfId="2427" xr:uid="{00000000-0005-0000-0000-00009A710000}"/>
    <cellStyle name="40% - Accent5 10 2 2" xfId="6695" xr:uid="{00000000-0005-0000-0000-00009B710000}"/>
    <cellStyle name="40% - Accent5 10 2 2 2" xfId="13795" xr:uid="{00000000-0005-0000-0000-00009C710000}"/>
    <cellStyle name="40% - Accent5 10 2 2 3" xfId="20896" xr:uid="{00000000-0005-0000-0000-00009D710000}"/>
    <cellStyle name="40% - Accent5 10 2 2 4" xfId="27998" xr:uid="{00000000-0005-0000-0000-00009E710000}"/>
    <cellStyle name="40% - Accent5 10 2 2 5" xfId="35100" xr:uid="{00000000-0005-0000-0000-00009F710000}"/>
    <cellStyle name="40% - Accent5 10 2 3" xfId="9535" xr:uid="{00000000-0005-0000-0000-0000A0710000}"/>
    <cellStyle name="40% - Accent5 10 2 4" xfId="16636" xr:uid="{00000000-0005-0000-0000-0000A1710000}"/>
    <cellStyle name="40% - Accent5 10 2 5" xfId="23738" xr:uid="{00000000-0005-0000-0000-0000A2710000}"/>
    <cellStyle name="40% - Accent5 10 2 6" xfId="30840" xr:uid="{00000000-0005-0000-0000-0000A3710000}"/>
    <cellStyle name="40% - Accent5 10 2 7" xfId="39822" xr:uid="{00000000-0005-0000-0000-0000A4710000}"/>
    <cellStyle name="40% - Accent5 10 3" xfId="5274" xr:uid="{00000000-0005-0000-0000-0000A5710000}"/>
    <cellStyle name="40% - Accent5 10 3 2" xfId="12375" xr:uid="{00000000-0005-0000-0000-0000A6710000}"/>
    <cellStyle name="40% - Accent5 10 3 3" xfId="19476" xr:uid="{00000000-0005-0000-0000-0000A7710000}"/>
    <cellStyle name="40% - Accent5 10 3 4" xfId="26578" xr:uid="{00000000-0005-0000-0000-0000A8710000}"/>
    <cellStyle name="40% - Accent5 10 3 5" xfId="33680" xr:uid="{00000000-0005-0000-0000-0000A9710000}"/>
    <cellStyle name="40% - Accent5 10 4" xfId="3849" xr:uid="{00000000-0005-0000-0000-0000AA710000}"/>
    <cellStyle name="40% - Accent5 10 4 2" xfId="10955" xr:uid="{00000000-0005-0000-0000-0000AB710000}"/>
    <cellStyle name="40% - Accent5 10 4 3" xfId="18056" xr:uid="{00000000-0005-0000-0000-0000AC710000}"/>
    <cellStyle name="40% - Accent5 10 4 4" xfId="25158" xr:uid="{00000000-0005-0000-0000-0000AD710000}"/>
    <cellStyle name="40% - Accent5 10 4 5" xfId="32260" xr:uid="{00000000-0005-0000-0000-0000AE710000}"/>
    <cellStyle name="40% - Accent5 10 5" xfId="8115" xr:uid="{00000000-0005-0000-0000-0000AF710000}"/>
    <cellStyle name="40% - Accent5 10 6" xfId="15216" xr:uid="{00000000-0005-0000-0000-0000B0710000}"/>
    <cellStyle name="40% - Accent5 10 7" xfId="22318" xr:uid="{00000000-0005-0000-0000-0000B1710000}"/>
    <cellStyle name="40% - Accent5 10 8" xfId="29420" xr:uid="{00000000-0005-0000-0000-0000B2710000}"/>
    <cellStyle name="40% - Accent5 10 9" xfId="39823" xr:uid="{00000000-0005-0000-0000-0000B3710000}"/>
    <cellStyle name="40% - Accent5 11" xfId="1291" xr:uid="{00000000-0005-0000-0000-0000B4710000}"/>
    <cellStyle name="40% - Accent5 11 2" xfId="2782" xr:uid="{00000000-0005-0000-0000-0000B5710000}"/>
    <cellStyle name="40% - Accent5 11 2 2" xfId="7050" xr:uid="{00000000-0005-0000-0000-0000B6710000}"/>
    <cellStyle name="40% - Accent5 11 2 2 2" xfId="14150" xr:uid="{00000000-0005-0000-0000-0000B7710000}"/>
    <cellStyle name="40% - Accent5 11 2 2 3" xfId="21251" xr:uid="{00000000-0005-0000-0000-0000B8710000}"/>
    <cellStyle name="40% - Accent5 11 2 2 4" xfId="28353" xr:uid="{00000000-0005-0000-0000-0000B9710000}"/>
    <cellStyle name="40% - Accent5 11 2 2 5" xfId="35455" xr:uid="{00000000-0005-0000-0000-0000BA710000}"/>
    <cellStyle name="40% - Accent5 11 2 3" xfId="9890" xr:uid="{00000000-0005-0000-0000-0000BB710000}"/>
    <cellStyle name="40% - Accent5 11 2 4" xfId="16991" xr:uid="{00000000-0005-0000-0000-0000BC710000}"/>
    <cellStyle name="40% - Accent5 11 2 5" xfId="24093" xr:uid="{00000000-0005-0000-0000-0000BD710000}"/>
    <cellStyle name="40% - Accent5 11 2 6" xfId="31195" xr:uid="{00000000-0005-0000-0000-0000BE710000}"/>
    <cellStyle name="40% - Accent5 11 2 7" xfId="39824" xr:uid="{00000000-0005-0000-0000-0000BF710000}"/>
    <cellStyle name="40% - Accent5 11 3" xfId="5629" xr:uid="{00000000-0005-0000-0000-0000C0710000}"/>
    <cellStyle name="40% - Accent5 11 3 2" xfId="12730" xr:uid="{00000000-0005-0000-0000-0000C1710000}"/>
    <cellStyle name="40% - Accent5 11 3 3" xfId="19831" xr:uid="{00000000-0005-0000-0000-0000C2710000}"/>
    <cellStyle name="40% - Accent5 11 3 4" xfId="26933" xr:uid="{00000000-0005-0000-0000-0000C3710000}"/>
    <cellStyle name="40% - Accent5 11 3 5" xfId="34035" xr:uid="{00000000-0005-0000-0000-0000C4710000}"/>
    <cellStyle name="40% - Accent5 11 4" xfId="4204" xr:uid="{00000000-0005-0000-0000-0000C5710000}"/>
    <cellStyle name="40% - Accent5 11 4 2" xfId="11310" xr:uid="{00000000-0005-0000-0000-0000C6710000}"/>
    <cellStyle name="40% - Accent5 11 4 3" xfId="18411" xr:uid="{00000000-0005-0000-0000-0000C7710000}"/>
    <cellStyle name="40% - Accent5 11 4 4" xfId="25513" xr:uid="{00000000-0005-0000-0000-0000C8710000}"/>
    <cellStyle name="40% - Accent5 11 4 5" xfId="32615" xr:uid="{00000000-0005-0000-0000-0000C9710000}"/>
    <cellStyle name="40% - Accent5 11 5" xfId="8470" xr:uid="{00000000-0005-0000-0000-0000CA710000}"/>
    <cellStyle name="40% - Accent5 11 6" xfId="15571" xr:uid="{00000000-0005-0000-0000-0000CB710000}"/>
    <cellStyle name="40% - Accent5 11 7" xfId="22673" xr:uid="{00000000-0005-0000-0000-0000CC710000}"/>
    <cellStyle name="40% - Accent5 11 8" xfId="29775" xr:uid="{00000000-0005-0000-0000-0000CD710000}"/>
    <cellStyle name="40% - Accent5 11 9" xfId="39825" xr:uid="{00000000-0005-0000-0000-0000CE710000}"/>
    <cellStyle name="40% - Accent5 12" xfId="1559" xr:uid="{00000000-0005-0000-0000-0000CF710000}"/>
    <cellStyle name="40% - Accent5 12 2" xfId="5842" xr:uid="{00000000-0005-0000-0000-0000D0710000}"/>
    <cellStyle name="40% - Accent5 12 2 2" xfId="12943" xr:uid="{00000000-0005-0000-0000-0000D1710000}"/>
    <cellStyle name="40% - Accent5 12 2 3" xfId="20044" xr:uid="{00000000-0005-0000-0000-0000D2710000}"/>
    <cellStyle name="40% - Accent5 12 2 4" xfId="27146" xr:uid="{00000000-0005-0000-0000-0000D3710000}"/>
    <cellStyle name="40% - Accent5 12 2 5" xfId="34248" xr:uid="{00000000-0005-0000-0000-0000D4710000}"/>
    <cellStyle name="40% - Accent5 12 3" xfId="8683" xr:uid="{00000000-0005-0000-0000-0000D5710000}"/>
    <cellStyle name="40% - Accent5 12 4" xfId="15784" xr:uid="{00000000-0005-0000-0000-0000D6710000}"/>
    <cellStyle name="40% - Accent5 12 5" xfId="22886" xr:uid="{00000000-0005-0000-0000-0000D7710000}"/>
    <cellStyle name="40% - Accent5 12 6" xfId="29988" xr:uid="{00000000-0005-0000-0000-0000D8710000}"/>
    <cellStyle name="40% - Accent5 12 7" xfId="39826" xr:uid="{00000000-0005-0000-0000-0000D9710000}"/>
    <cellStyle name="40% - Accent5 13" xfId="4422" xr:uid="{00000000-0005-0000-0000-0000DA710000}"/>
    <cellStyle name="40% - Accent5 13 2" xfId="11523" xr:uid="{00000000-0005-0000-0000-0000DB710000}"/>
    <cellStyle name="40% - Accent5 13 3" xfId="18624" xr:uid="{00000000-0005-0000-0000-0000DC710000}"/>
    <cellStyle name="40% - Accent5 13 4" xfId="25726" xr:uid="{00000000-0005-0000-0000-0000DD710000}"/>
    <cellStyle name="40% - Accent5 13 5" xfId="32828" xr:uid="{00000000-0005-0000-0000-0000DE710000}"/>
    <cellStyle name="40% - Accent5 14" xfId="2997" xr:uid="{00000000-0005-0000-0000-0000DF710000}"/>
    <cellStyle name="40% - Accent5 14 2" xfId="10103" xr:uid="{00000000-0005-0000-0000-0000E0710000}"/>
    <cellStyle name="40% - Accent5 14 3" xfId="17204" xr:uid="{00000000-0005-0000-0000-0000E1710000}"/>
    <cellStyle name="40% - Accent5 14 4" xfId="24306" xr:uid="{00000000-0005-0000-0000-0000E2710000}"/>
    <cellStyle name="40% - Accent5 14 5" xfId="31408" xr:uid="{00000000-0005-0000-0000-0000E3710000}"/>
    <cellStyle name="40% - Accent5 15" xfId="7263" xr:uid="{00000000-0005-0000-0000-0000E4710000}"/>
    <cellStyle name="40% - Accent5 16" xfId="14364" xr:uid="{00000000-0005-0000-0000-0000E5710000}"/>
    <cellStyle name="40% - Accent5 17" xfId="21466" xr:uid="{00000000-0005-0000-0000-0000E6710000}"/>
    <cellStyle name="40% - Accent5 18" xfId="28568" xr:uid="{00000000-0005-0000-0000-0000E7710000}"/>
    <cellStyle name="40% - Accent5 19" xfId="35670" xr:uid="{00000000-0005-0000-0000-0000E8710000}"/>
    <cellStyle name="40% - Accent5 2" xfId="82" xr:uid="{00000000-0005-0000-0000-0000E9710000}"/>
    <cellStyle name="40% - Accent5 2 10" xfId="1583" xr:uid="{00000000-0005-0000-0000-0000EA710000}"/>
    <cellStyle name="40% - Accent5 2 10 2" xfId="5857" xr:uid="{00000000-0005-0000-0000-0000EB710000}"/>
    <cellStyle name="40% - Accent5 2 10 2 2" xfId="12957" xr:uid="{00000000-0005-0000-0000-0000EC710000}"/>
    <cellStyle name="40% - Accent5 2 10 2 3" xfId="20058" xr:uid="{00000000-0005-0000-0000-0000ED710000}"/>
    <cellStyle name="40% - Accent5 2 10 2 4" xfId="27160" xr:uid="{00000000-0005-0000-0000-0000EE710000}"/>
    <cellStyle name="40% - Accent5 2 10 2 5" xfId="34262" xr:uid="{00000000-0005-0000-0000-0000EF710000}"/>
    <cellStyle name="40% - Accent5 2 10 2 6" xfId="39827" xr:uid="{00000000-0005-0000-0000-0000F0710000}"/>
    <cellStyle name="40% - Accent5 2 10 3" xfId="8697" xr:uid="{00000000-0005-0000-0000-0000F1710000}"/>
    <cellStyle name="40% - Accent5 2 10 4" xfId="15798" xr:uid="{00000000-0005-0000-0000-0000F2710000}"/>
    <cellStyle name="40% - Accent5 2 10 5" xfId="22900" xr:uid="{00000000-0005-0000-0000-0000F3710000}"/>
    <cellStyle name="40% - Accent5 2 10 6" xfId="30002" xr:uid="{00000000-0005-0000-0000-0000F4710000}"/>
    <cellStyle name="40% - Accent5 2 10 7" xfId="39828" xr:uid="{00000000-0005-0000-0000-0000F5710000}"/>
    <cellStyle name="40% - Accent5 2 11" xfId="4436" xr:uid="{00000000-0005-0000-0000-0000F6710000}"/>
    <cellStyle name="40% - Accent5 2 11 2" xfId="11537" xr:uid="{00000000-0005-0000-0000-0000F7710000}"/>
    <cellStyle name="40% - Accent5 2 11 3" xfId="18638" xr:uid="{00000000-0005-0000-0000-0000F8710000}"/>
    <cellStyle name="40% - Accent5 2 11 4" xfId="25740" xr:uid="{00000000-0005-0000-0000-0000F9710000}"/>
    <cellStyle name="40% - Accent5 2 11 5" xfId="32842" xr:uid="{00000000-0005-0000-0000-0000FA710000}"/>
    <cellStyle name="40% - Accent5 2 11 6" xfId="39829" xr:uid="{00000000-0005-0000-0000-0000FB710000}"/>
    <cellStyle name="40% - Accent5 2 12" xfId="3011" xr:uid="{00000000-0005-0000-0000-0000FC710000}"/>
    <cellStyle name="40% - Accent5 2 12 2" xfId="10117" xr:uid="{00000000-0005-0000-0000-0000FD710000}"/>
    <cellStyle name="40% - Accent5 2 12 3" xfId="17218" xr:uid="{00000000-0005-0000-0000-0000FE710000}"/>
    <cellStyle name="40% - Accent5 2 12 4" xfId="24320" xr:uid="{00000000-0005-0000-0000-0000FF710000}"/>
    <cellStyle name="40% - Accent5 2 12 5" xfId="31422" xr:uid="{00000000-0005-0000-0000-000000720000}"/>
    <cellStyle name="40% - Accent5 2 13" xfId="7277" xr:uid="{00000000-0005-0000-0000-000001720000}"/>
    <cellStyle name="40% - Accent5 2 14" xfId="14378" xr:uid="{00000000-0005-0000-0000-000002720000}"/>
    <cellStyle name="40% - Accent5 2 15" xfId="21480" xr:uid="{00000000-0005-0000-0000-000003720000}"/>
    <cellStyle name="40% - Accent5 2 16" xfId="28582" xr:uid="{00000000-0005-0000-0000-000004720000}"/>
    <cellStyle name="40% - Accent5 2 17" xfId="35684" xr:uid="{00000000-0005-0000-0000-000005720000}"/>
    <cellStyle name="40% - Accent5 2 18" xfId="39830" xr:uid="{00000000-0005-0000-0000-000006720000}"/>
    <cellStyle name="40% - Accent5 2 19" xfId="39831" xr:uid="{00000000-0005-0000-0000-000007720000}"/>
    <cellStyle name="40% - Accent5 2 2" xfId="127" xr:uid="{00000000-0005-0000-0000-000008720000}"/>
    <cellStyle name="40% - Accent5 2 2 10" xfId="4467" xr:uid="{00000000-0005-0000-0000-000009720000}"/>
    <cellStyle name="40% - Accent5 2 2 10 2" xfId="11568" xr:uid="{00000000-0005-0000-0000-00000A720000}"/>
    <cellStyle name="40% - Accent5 2 2 10 3" xfId="18669" xr:uid="{00000000-0005-0000-0000-00000B720000}"/>
    <cellStyle name="40% - Accent5 2 2 10 4" xfId="25771" xr:uid="{00000000-0005-0000-0000-00000C720000}"/>
    <cellStyle name="40% - Accent5 2 2 10 5" xfId="32873" xr:uid="{00000000-0005-0000-0000-00000D720000}"/>
    <cellStyle name="40% - Accent5 2 2 11" xfId="3042" xr:uid="{00000000-0005-0000-0000-00000E720000}"/>
    <cellStyle name="40% - Accent5 2 2 11 2" xfId="10148" xr:uid="{00000000-0005-0000-0000-00000F720000}"/>
    <cellStyle name="40% - Accent5 2 2 11 3" xfId="17249" xr:uid="{00000000-0005-0000-0000-000010720000}"/>
    <cellStyle name="40% - Accent5 2 2 11 4" xfId="24351" xr:uid="{00000000-0005-0000-0000-000011720000}"/>
    <cellStyle name="40% - Accent5 2 2 11 5" xfId="31453" xr:uid="{00000000-0005-0000-0000-000012720000}"/>
    <cellStyle name="40% - Accent5 2 2 12" xfId="7308" xr:uid="{00000000-0005-0000-0000-000013720000}"/>
    <cellStyle name="40% - Accent5 2 2 13" xfId="14409" xr:uid="{00000000-0005-0000-0000-000014720000}"/>
    <cellStyle name="40% - Accent5 2 2 14" xfId="21511" xr:uid="{00000000-0005-0000-0000-000015720000}"/>
    <cellStyle name="40% - Accent5 2 2 15" xfId="28613" xr:uid="{00000000-0005-0000-0000-000016720000}"/>
    <cellStyle name="40% - Accent5 2 2 16" xfId="35715" xr:uid="{00000000-0005-0000-0000-000017720000}"/>
    <cellStyle name="40% - Accent5 2 2 17" xfId="39832" xr:uid="{00000000-0005-0000-0000-000018720000}"/>
    <cellStyle name="40% - Accent5 2 2 18" xfId="39833" xr:uid="{00000000-0005-0000-0000-000019720000}"/>
    <cellStyle name="40% - Accent5 2 2 2" xfId="271" xr:uid="{00000000-0005-0000-0000-00001A720000}"/>
    <cellStyle name="40% - Accent5 2 2 2 10" xfId="7450" xr:uid="{00000000-0005-0000-0000-00001B720000}"/>
    <cellStyle name="40% - Accent5 2 2 2 11" xfId="14551" xr:uid="{00000000-0005-0000-0000-00001C720000}"/>
    <cellStyle name="40% - Accent5 2 2 2 12" xfId="21653" xr:uid="{00000000-0005-0000-0000-00001D720000}"/>
    <cellStyle name="40% - Accent5 2 2 2 13" xfId="28755" xr:uid="{00000000-0005-0000-0000-00001E720000}"/>
    <cellStyle name="40% - Accent5 2 2 2 14" xfId="35857" xr:uid="{00000000-0005-0000-0000-00001F720000}"/>
    <cellStyle name="40% - Accent5 2 2 2 15" xfId="39834" xr:uid="{00000000-0005-0000-0000-000020720000}"/>
    <cellStyle name="40% - Accent5 2 2 2 2" xfId="484" xr:uid="{00000000-0005-0000-0000-000021720000}"/>
    <cellStyle name="40% - Accent5 2 2 2 2 10" xfId="39835" xr:uid="{00000000-0005-0000-0000-000022720000}"/>
    <cellStyle name="40% - Accent5 2 2 2 2 2" xfId="1265" xr:uid="{00000000-0005-0000-0000-000023720000}"/>
    <cellStyle name="40% - Accent5 2 2 2 2 2 2" xfId="2756" xr:uid="{00000000-0005-0000-0000-000024720000}"/>
    <cellStyle name="40% - Accent5 2 2 2 2 2 2 2" xfId="7024" xr:uid="{00000000-0005-0000-0000-000025720000}"/>
    <cellStyle name="40% - Accent5 2 2 2 2 2 2 2 2" xfId="14124" xr:uid="{00000000-0005-0000-0000-000026720000}"/>
    <cellStyle name="40% - Accent5 2 2 2 2 2 2 2 3" xfId="21225" xr:uid="{00000000-0005-0000-0000-000027720000}"/>
    <cellStyle name="40% - Accent5 2 2 2 2 2 2 2 4" xfId="28327" xr:uid="{00000000-0005-0000-0000-000028720000}"/>
    <cellStyle name="40% - Accent5 2 2 2 2 2 2 2 5" xfId="35429" xr:uid="{00000000-0005-0000-0000-000029720000}"/>
    <cellStyle name="40% - Accent5 2 2 2 2 2 2 3" xfId="9864" xr:uid="{00000000-0005-0000-0000-00002A720000}"/>
    <cellStyle name="40% - Accent5 2 2 2 2 2 2 4" xfId="16965" xr:uid="{00000000-0005-0000-0000-00002B720000}"/>
    <cellStyle name="40% - Accent5 2 2 2 2 2 2 5" xfId="24067" xr:uid="{00000000-0005-0000-0000-00002C720000}"/>
    <cellStyle name="40% - Accent5 2 2 2 2 2 2 6" xfId="31169" xr:uid="{00000000-0005-0000-0000-00002D720000}"/>
    <cellStyle name="40% - Accent5 2 2 2 2 2 2 7" xfId="39836" xr:uid="{00000000-0005-0000-0000-00002E720000}"/>
    <cellStyle name="40% - Accent5 2 2 2 2 2 3" xfId="5603" xr:uid="{00000000-0005-0000-0000-00002F720000}"/>
    <cellStyle name="40% - Accent5 2 2 2 2 2 3 2" xfId="12704" xr:uid="{00000000-0005-0000-0000-000030720000}"/>
    <cellStyle name="40% - Accent5 2 2 2 2 2 3 3" xfId="19805" xr:uid="{00000000-0005-0000-0000-000031720000}"/>
    <cellStyle name="40% - Accent5 2 2 2 2 2 3 4" xfId="26907" xr:uid="{00000000-0005-0000-0000-000032720000}"/>
    <cellStyle name="40% - Accent5 2 2 2 2 2 3 5" xfId="34009" xr:uid="{00000000-0005-0000-0000-000033720000}"/>
    <cellStyle name="40% - Accent5 2 2 2 2 2 4" xfId="4178" xr:uid="{00000000-0005-0000-0000-000034720000}"/>
    <cellStyle name="40% - Accent5 2 2 2 2 2 4 2" xfId="11284" xr:uid="{00000000-0005-0000-0000-000035720000}"/>
    <cellStyle name="40% - Accent5 2 2 2 2 2 4 3" xfId="18385" xr:uid="{00000000-0005-0000-0000-000036720000}"/>
    <cellStyle name="40% - Accent5 2 2 2 2 2 4 4" xfId="25487" xr:uid="{00000000-0005-0000-0000-000037720000}"/>
    <cellStyle name="40% - Accent5 2 2 2 2 2 4 5" xfId="32589" xr:uid="{00000000-0005-0000-0000-000038720000}"/>
    <cellStyle name="40% - Accent5 2 2 2 2 2 5" xfId="8444" xr:uid="{00000000-0005-0000-0000-000039720000}"/>
    <cellStyle name="40% - Accent5 2 2 2 2 2 6" xfId="15545" xr:uid="{00000000-0005-0000-0000-00003A720000}"/>
    <cellStyle name="40% - Accent5 2 2 2 2 2 7" xfId="22647" xr:uid="{00000000-0005-0000-0000-00003B720000}"/>
    <cellStyle name="40% - Accent5 2 2 2 2 2 8" xfId="29749" xr:uid="{00000000-0005-0000-0000-00003C720000}"/>
    <cellStyle name="40% - Accent5 2 2 2 2 2 9" xfId="39837" xr:uid="{00000000-0005-0000-0000-00003D720000}"/>
    <cellStyle name="40% - Accent5 2 2 2 2 3" xfId="1975" xr:uid="{00000000-0005-0000-0000-00003E720000}"/>
    <cellStyle name="40% - Accent5 2 2 2 2 3 2" xfId="6243" xr:uid="{00000000-0005-0000-0000-00003F720000}"/>
    <cellStyle name="40% - Accent5 2 2 2 2 3 2 2" xfId="13343" xr:uid="{00000000-0005-0000-0000-000040720000}"/>
    <cellStyle name="40% - Accent5 2 2 2 2 3 2 3" xfId="20444" xr:uid="{00000000-0005-0000-0000-000041720000}"/>
    <cellStyle name="40% - Accent5 2 2 2 2 3 2 4" xfId="27546" xr:uid="{00000000-0005-0000-0000-000042720000}"/>
    <cellStyle name="40% - Accent5 2 2 2 2 3 2 5" xfId="34648" xr:uid="{00000000-0005-0000-0000-000043720000}"/>
    <cellStyle name="40% - Accent5 2 2 2 2 3 2 6" xfId="39838" xr:uid="{00000000-0005-0000-0000-000044720000}"/>
    <cellStyle name="40% - Accent5 2 2 2 2 3 3" xfId="9083" xr:uid="{00000000-0005-0000-0000-000045720000}"/>
    <cellStyle name="40% - Accent5 2 2 2 2 3 4" xfId="16184" xr:uid="{00000000-0005-0000-0000-000046720000}"/>
    <cellStyle name="40% - Accent5 2 2 2 2 3 5" xfId="23286" xr:uid="{00000000-0005-0000-0000-000047720000}"/>
    <cellStyle name="40% - Accent5 2 2 2 2 3 6" xfId="30388" xr:uid="{00000000-0005-0000-0000-000048720000}"/>
    <cellStyle name="40% - Accent5 2 2 2 2 3 7" xfId="39839" xr:uid="{00000000-0005-0000-0000-000049720000}"/>
    <cellStyle name="40% - Accent5 2 2 2 2 4" xfId="4822" xr:uid="{00000000-0005-0000-0000-00004A720000}"/>
    <cellStyle name="40% - Accent5 2 2 2 2 4 2" xfId="11923" xr:uid="{00000000-0005-0000-0000-00004B720000}"/>
    <cellStyle name="40% - Accent5 2 2 2 2 4 3" xfId="19024" xr:uid="{00000000-0005-0000-0000-00004C720000}"/>
    <cellStyle name="40% - Accent5 2 2 2 2 4 4" xfId="26126" xr:uid="{00000000-0005-0000-0000-00004D720000}"/>
    <cellStyle name="40% - Accent5 2 2 2 2 4 5" xfId="33228" xr:uid="{00000000-0005-0000-0000-00004E720000}"/>
    <cellStyle name="40% - Accent5 2 2 2 2 4 6" xfId="39840" xr:uid="{00000000-0005-0000-0000-00004F720000}"/>
    <cellStyle name="40% - Accent5 2 2 2 2 5" xfId="3397" xr:uid="{00000000-0005-0000-0000-000050720000}"/>
    <cellStyle name="40% - Accent5 2 2 2 2 5 2" xfId="10503" xr:uid="{00000000-0005-0000-0000-000051720000}"/>
    <cellStyle name="40% - Accent5 2 2 2 2 5 3" xfId="17604" xr:uid="{00000000-0005-0000-0000-000052720000}"/>
    <cellStyle name="40% - Accent5 2 2 2 2 5 4" xfId="24706" xr:uid="{00000000-0005-0000-0000-000053720000}"/>
    <cellStyle name="40% - Accent5 2 2 2 2 5 5" xfId="31808" xr:uid="{00000000-0005-0000-0000-000054720000}"/>
    <cellStyle name="40% - Accent5 2 2 2 2 6" xfId="7663" xr:uid="{00000000-0005-0000-0000-000055720000}"/>
    <cellStyle name="40% - Accent5 2 2 2 2 7" xfId="14764" xr:uid="{00000000-0005-0000-0000-000056720000}"/>
    <cellStyle name="40% - Accent5 2 2 2 2 8" xfId="21866" xr:uid="{00000000-0005-0000-0000-000057720000}"/>
    <cellStyle name="40% - Accent5 2 2 2 2 9" xfId="28968" xr:uid="{00000000-0005-0000-0000-000058720000}"/>
    <cellStyle name="40% - Accent5 2 2 2 3" xfId="697" xr:uid="{00000000-0005-0000-0000-000059720000}"/>
    <cellStyle name="40% - Accent5 2 2 2 3 2" xfId="2188" xr:uid="{00000000-0005-0000-0000-00005A720000}"/>
    <cellStyle name="40% - Accent5 2 2 2 3 2 2" xfId="6456" xr:uid="{00000000-0005-0000-0000-00005B720000}"/>
    <cellStyle name="40% - Accent5 2 2 2 3 2 2 2" xfId="13556" xr:uid="{00000000-0005-0000-0000-00005C720000}"/>
    <cellStyle name="40% - Accent5 2 2 2 3 2 2 3" xfId="20657" xr:uid="{00000000-0005-0000-0000-00005D720000}"/>
    <cellStyle name="40% - Accent5 2 2 2 3 2 2 4" xfId="27759" xr:uid="{00000000-0005-0000-0000-00005E720000}"/>
    <cellStyle name="40% - Accent5 2 2 2 3 2 2 5" xfId="34861" xr:uid="{00000000-0005-0000-0000-00005F720000}"/>
    <cellStyle name="40% - Accent5 2 2 2 3 2 2 6" xfId="39841" xr:uid="{00000000-0005-0000-0000-000060720000}"/>
    <cellStyle name="40% - Accent5 2 2 2 3 2 3" xfId="9296" xr:uid="{00000000-0005-0000-0000-000061720000}"/>
    <cellStyle name="40% - Accent5 2 2 2 3 2 4" xfId="16397" xr:uid="{00000000-0005-0000-0000-000062720000}"/>
    <cellStyle name="40% - Accent5 2 2 2 3 2 5" xfId="23499" xr:uid="{00000000-0005-0000-0000-000063720000}"/>
    <cellStyle name="40% - Accent5 2 2 2 3 2 6" xfId="30601" xr:uid="{00000000-0005-0000-0000-000064720000}"/>
    <cellStyle name="40% - Accent5 2 2 2 3 2 7" xfId="39842" xr:uid="{00000000-0005-0000-0000-000065720000}"/>
    <cellStyle name="40% - Accent5 2 2 2 3 3" xfId="5035" xr:uid="{00000000-0005-0000-0000-000066720000}"/>
    <cellStyle name="40% - Accent5 2 2 2 3 3 2" xfId="12136" xr:uid="{00000000-0005-0000-0000-000067720000}"/>
    <cellStyle name="40% - Accent5 2 2 2 3 3 2 2" xfId="39843" xr:uid="{00000000-0005-0000-0000-000068720000}"/>
    <cellStyle name="40% - Accent5 2 2 2 3 3 3" xfId="19237" xr:uid="{00000000-0005-0000-0000-000069720000}"/>
    <cellStyle name="40% - Accent5 2 2 2 3 3 4" xfId="26339" xr:uid="{00000000-0005-0000-0000-00006A720000}"/>
    <cellStyle name="40% - Accent5 2 2 2 3 3 5" xfId="33441" xr:uid="{00000000-0005-0000-0000-00006B720000}"/>
    <cellStyle name="40% - Accent5 2 2 2 3 3 6" xfId="39844" xr:uid="{00000000-0005-0000-0000-00006C720000}"/>
    <cellStyle name="40% - Accent5 2 2 2 3 4" xfId="3610" xr:uid="{00000000-0005-0000-0000-00006D720000}"/>
    <cellStyle name="40% - Accent5 2 2 2 3 4 2" xfId="10716" xr:uid="{00000000-0005-0000-0000-00006E720000}"/>
    <cellStyle name="40% - Accent5 2 2 2 3 4 3" xfId="17817" xr:uid="{00000000-0005-0000-0000-00006F720000}"/>
    <cellStyle name="40% - Accent5 2 2 2 3 4 4" xfId="24919" xr:uid="{00000000-0005-0000-0000-000070720000}"/>
    <cellStyle name="40% - Accent5 2 2 2 3 4 5" xfId="32021" xr:uid="{00000000-0005-0000-0000-000071720000}"/>
    <cellStyle name="40% - Accent5 2 2 2 3 4 6" xfId="39845" xr:uid="{00000000-0005-0000-0000-000072720000}"/>
    <cellStyle name="40% - Accent5 2 2 2 3 5" xfId="7876" xr:uid="{00000000-0005-0000-0000-000073720000}"/>
    <cellStyle name="40% - Accent5 2 2 2 3 6" xfId="14977" xr:uid="{00000000-0005-0000-0000-000074720000}"/>
    <cellStyle name="40% - Accent5 2 2 2 3 7" xfId="22079" xr:uid="{00000000-0005-0000-0000-000075720000}"/>
    <cellStyle name="40% - Accent5 2 2 2 3 8" xfId="29181" xr:uid="{00000000-0005-0000-0000-000076720000}"/>
    <cellStyle name="40% - Accent5 2 2 2 3 9" xfId="39846" xr:uid="{00000000-0005-0000-0000-000077720000}"/>
    <cellStyle name="40% - Accent5 2 2 2 4" xfId="910" xr:uid="{00000000-0005-0000-0000-000078720000}"/>
    <cellStyle name="40% - Accent5 2 2 2 4 2" xfId="2401" xr:uid="{00000000-0005-0000-0000-000079720000}"/>
    <cellStyle name="40% - Accent5 2 2 2 4 2 2" xfId="6669" xr:uid="{00000000-0005-0000-0000-00007A720000}"/>
    <cellStyle name="40% - Accent5 2 2 2 4 2 2 2" xfId="13769" xr:uid="{00000000-0005-0000-0000-00007B720000}"/>
    <cellStyle name="40% - Accent5 2 2 2 4 2 2 3" xfId="20870" xr:uid="{00000000-0005-0000-0000-00007C720000}"/>
    <cellStyle name="40% - Accent5 2 2 2 4 2 2 4" xfId="27972" xr:uid="{00000000-0005-0000-0000-00007D720000}"/>
    <cellStyle name="40% - Accent5 2 2 2 4 2 2 5" xfId="35074" xr:uid="{00000000-0005-0000-0000-00007E720000}"/>
    <cellStyle name="40% - Accent5 2 2 2 4 2 2 6" xfId="39847" xr:uid="{00000000-0005-0000-0000-00007F720000}"/>
    <cellStyle name="40% - Accent5 2 2 2 4 2 3" xfId="9509" xr:uid="{00000000-0005-0000-0000-000080720000}"/>
    <cellStyle name="40% - Accent5 2 2 2 4 2 4" xfId="16610" xr:uid="{00000000-0005-0000-0000-000081720000}"/>
    <cellStyle name="40% - Accent5 2 2 2 4 2 5" xfId="23712" xr:uid="{00000000-0005-0000-0000-000082720000}"/>
    <cellStyle name="40% - Accent5 2 2 2 4 2 6" xfId="30814" xr:uid="{00000000-0005-0000-0000-000083720000}"/>
    <cellStyle name="40% - Accent5 2 2 2 4 2 7" xfId="39848" xr:uid="{00000000-0005-0000-0000-000084720000}"/>
    <cellStyle name="40% - Accent5 2 2 2 4 3" xfId="5248" xr:uid="{00000000-0005-0000-0000-000085720000}"/>
    <cellStyle name="40% - Accent5 2 2 2 4 3 2" xfId="12349" xr:uid="{00000000-0005-0000-0000-000086720000}"/>
    <cellStyle name="40% - Accent5 2 2 2 4 3 2 2" xfId="39849" xr:uid="{00000000-0005-0000-0000-000087720000}"/>
    <cellStyle name="40% - Accent5 2 2 2 4 3 3" xfId="19450" xr:uid="{00000000-0005-0000-0000-000088720000}"/>
    <cellStyle name="40% - Accent5 2 2 2 4 3 4" xfId="26552" xr:uid="{00000000-0005-0000-0000-000089720000}"/>
    <cellStyle name="40% - Accent5 2 2 2 4 3 5" xfId="33654" xr:uid="{00000000-0005-0000-0000-00008A720000}"/>
    <cellStyle name="40% - Accent5 2 2 2 4 3 6" xfId="39850" xr:uid="{00000000-0005-0000-0000-00008B720000}"/>
    <cellStyle name="40% - Accent5 2 2 2 4 4" xfId="3823" xr:uid="{00000000-0005-0000-0000-00008C720000}"/>
    <cellStyle name="40% - Accent5 2 2 2 4 4 2" xfId="10929" xr:uid="{00000000-0005-0000-0000-00008D720000}"/>
    <cellStyle name="40% - Accent5 2 2 2 4 4 3" xfId="18030" xr:uid="{00000000-0005-0000-0000-00008E720000}"/>
    <cellStyle name="40% - Accent5 2 2 2 4 4 4" xfId="25132" xr:uid="{00000000-0005-0000-0000-00008F720000}"/>
    <cellStyle name="40% - Accent5 2 2 2 4 4 5" xfId="32234" xr:uid="{00000000-0005-0000-0000-000090720000}"/>
    <cellStyle name="40% - Accent5 2 2 2 4 4 6" xfId="39851" xr:uid="{00000000-0005-0000-0000-000091720000}"/>
    <cellStyle name="40% - Accent5 2 2 2 4 5" xfId="8089" xr:uid="{00000000-0005-0000-0000-000092720000}"/>
    <cellStyle name="40% - Accent5 2 2 2 4 6" xfId="15190" xr:uid="{00000000-0005-0000-0000-000093720000}"/>
    <cellStyle name="40% - Accent5 2 2 2 4 7" xfId="22292" xr:uid="{00000000-0005-0000-0000-000094720000}"/>
    <cellStyle name="40% - Accent5 2 2 2 4 8" xfId="29394" xr:uid="{00000000-0005-0000-0000-000095720000}"/>
    <cellStyle name="40% - Accent5 2 2 2 4 9" xfId="39852" xr:uid="{00000000-0005-0000-0000-000096720000}"/>
    <cellStyle name="40% - Accent5 2 2 2 5" xfId="1052" xr:uid="{00000000-0005-0000-0000-000097720000}"/>
    <cellStyle name="40% - Accent5 2 2 2 5 2" xfId="2543" xr:uid="{00000000-0005-0000-0000-000098720000}"/>
    <cellStyle name="40% - Accent5 2 2 2 5 2 2" xfId="6811" xr:uid="{00000000-0005-0000-0000-000099720000}"/>
    <cellStyle name="40% - Accent5 2 2 2 5 2 2 2" xfId="13911" xr:uid="{00000000-0005-0000-0000-00009A720000}"/>
    <cellStyle name="40% - Accent5 2 2 2 5 2 2 3" xfId="21012" xr:uid="{00000000-0005-0000-0000-00009B720000}"/>
    <cellStyle name="40% - Accent5 2 2 2 5 2 2 4" xfId="28114" xr:uid="{00000000-0005-0000-0000-00009C720000}"/>
    <cellStyle name="40% - Accent5 2 2 2 5 2 2 5" xfId="35216" xr:uid="{00000000-0005-0000-0000-00009D720000}"/>
    <cellStyle name="40% - Accent5 2 2 2 5 2 3" xfId="9651" xr:uid="{00000000-0005-0000-0000-00009E720000}"/>
    <cellStyle name="40% - Accent5 2 2 2 5 2 4" xfId="16752" xr:uid="{00000000-0005-0000-0000-00009F720000}"/>
    <cellStyle name="40% - Accent5 2 2 2 5 2 5" xfId="23854" xr:uid="{00000000-0005-0000-0000-0000A0720000}"/>
    <cellStyle name="40% - Accent5 2 2 2 5 2 6" xfId="30956" xr:uid="{00000000-0005-0000-0000-0000A1720000}"/>
    <cellStyle name="40% - Accent5 2 2 2 5 2 7" xfId="39853" xr:uid="{00000000-0005-0000-0000-0000A2720000}"/>
    <cellStyle name="40% - Accent5 2 2 2 5 3" xfId="5390" xr:uid="{00000000-0005-0000-0000-0000A3720000}"/>
    <cellStyle name="40% - Accent5 2 2 2 5 3 2" xfId="12491" xr:uid="{00000000-0005-0000-0000-0000A4720000}"/>
    <cellStyle name="40% - Accent5 2 2 2 5 3 3" xfId="19592" xr:uid="{00000000-0005-0000-0000-0000A5720000}"/>
    <cellStyle name="40% - Accent5 2 2 2 5 3 4" xfId="26694" xr:uid="{00000000-0005-0000-0000-0000A6720000}"/>
    <cellStyle name="40% - Accent5 2 2 2 5 3 5" xfId="33796" xr:uid="{00000000-0005-0000-0000-0000A7720000}"/>
    <cellStyle name="40% - Accent5 2 2 2 5 4" xfId="3965" xr:uid="{00000000-0005-0000-0000-0000A8720000}"/>
    <cellStyle name="40% - Accent5 2 2 2 5 4 2" xfId="11071" xr:uid="{00000000-0005-0000-0000-0000A9720000}"/>
    <cellStyle name="40% - Accent5 2 2 2 5 4 3" xfId="18172" xr:uid="{00000000-0005-0000-0000-0000AA720000}"/>
    <cellStyle name="40% - Accent5 2 2 2 5 4 4" xfId="25274" xr:uid="{00000000-0005-0000-0000-0000AB720000}"/>
    <cellStyle name="40% - Accent5 2 2 2 5 4 5" xfId="32376" xr:uid="{00000000-0005-0000-0000-0000AC720000}"/>
    <cellStyle name="40% - Accent5 2 2 2 5 5" xfId="8231" xr:uid="{00000000-0005-0000-0000-0000AD720000}"/>
    <cellStyle name="40% - Accent5 2 2 2 5 6" xfId="15332" xr:uid="{00000000-0005-0000-0000-0000AE720000}"/>
    <cellStyle name="40% - Accent5 2 2 2 5 7" xfId="22434" xr:uid="{00000000-0005-0000-0000-0000AF720000}"/>
    <cellStyle name="40% - Accent5 2 2 2 5 8" xfId="29536" xr:uid="{00000000-0005-0000-0000-0000B0720000}"/>
    <cellStyle name="40% - Accent5 2 2 2 5 9" xfId="39854" xr:uid="{00000000-0005-0000-0000-0000B1720000}"/>
    <cellStyle name="40% - Accent5 2 2 2 6" xfId="1478" xr:uid="{00000000-0005-0000-0000-0000B2720000}"/>
    <cellStyle name="40% - Accent5 2 2 2 6 2" xfId="2969" xr:uid="{00000000-0005-0000-0000-0000B3720000}"/>
    <cellStyle name="40% - Accent5 2 2 2 6 2 2" xfId="7237" xr:uid="{00000000-0005-0000-0000-0000B4720000}"/>
    <cellStyle name="40% - Accent5 2 2 2 6 2 2 2" xfId="14337" xr:uid="{00000000-0005-0000-0000-0000B5720000}"/>
    <cellStyle name="40% - Accent5 2 2 2 6 2 2 3" xfId="21438" xr:uid="{00000000-0005-0000-0000-0000B6720000}"/>
    <cellStyle name="40% - Accent5 2 2 2 6 2 2 4" xfId="28540" xr:uid="{00000000-0005-0000-0000-0000B7720000}"/>
    <cellStyle name="40% - Accent5 2 2 2 6 2 2 5" xfId="35642" xr:uid="{00000000-0005-0000-0000-0000B8720000}"/>
    <cellStyle name="40% - Accent5 2 2 2 6 2 3" xfId="10077" xr:uid="{00000000-0005-0000-0000-0000B9720000}"/>
    <cellStyle name="40% - Accent5 2 2 2 6 2 4" xfId="17178" xr:uid="{00000000-0005-0000-0000-0000BA720000}"/>
    <cellStyle name="40% - Accent5 2 2 2 6 2 5" xfId="24280" xr:uid="{00000000-0005-0000-0000-0000BB720000}"/>
    <cellStyle name="40% - Accent5 2 2 2 6 2 6" xfId="31382" xr:uid="{00000000-0005-0000-0000-0000BC720000}"/>
    <cellStyle name="40% - Accent5 2 2 2 6 2 7" xfId="39855" xr:uid="{00000000-0005-0000-0000-0000BD720000}"/>
    <cellStyle name="40% - Accent5 2 2 2 6 3" xfId="5816" xr:uid="{00000000-0005-0000-0000-0000BE720000}"/>
    <cellStyle name="40% - Accent5 2 2 2 6 3 2" xfId="12917" xr:uid="{00000000-0005-0000-0000-0000BF720000}"/>
    <cellStyle name="40% - Accent5 2 2 2 6 3 3" xfId="20018" xr:uid="{00000000-0005-0000-0000-0000C0720000}"/>
    <cellStyle name="40% - Accent5 2 2 2 6 3 4" xfId="27120" xr:uid="{00000000-0005-0000-0000-0000C1720000}"/>
    <cellStyle name="40% - Accent5 2 2 2 6 3 5" xfId="34222" xr:uid="{00000000-0005-0000-0000-0000C2720000}"/>
    <cellStyle name="40% - Accent5 2 2 2 6 4" xfId="4391" xr:uid="{00000000-0005-0000-0000-0000C3720000}"/>
    <cellStyle name="40% - Accent5 2 2 2 6 4 2" xfId="11497" xr:uid="{00000000-0005-0000-0000-0000C4720000}"/>
    <cellStyle name="40% - Accent5 2 2 2 6 4 3" xfId="18598" xr:uid="{00000000-0005-0000-0000-0000C5720000}"/>
    <cellStyle name="40% - Accent5 2 2 2 6 4 4" xfId="25700" xr:uid="{00000000-0005-0000-0000-0000C6720000}"/>
    <cellStyle name="40% - Accent5 2 2 2 6 4 5" xfId="32802" xr:uid="{00000000-0005-0000-0000-0000C7720000}"/>
    <cellStyle name="40% - Accent5 2 2 2 6 5" xfId="8657" xr:uid="{00000000-0005-0000-0000-0000C8720000}"/>
    <cellStyle name="40% - Accent5 2 2 2 6 6" xfId="15758" xr:uid="{00000000-0005-0000-0000-0000C9720000}"/>
    <cellStyle name="40% - Accent5 2 2 2 6 7" xfId="22860" xr:uid="{00000000-0005-0000-0000-0000CA720000}"/>
    <cellStyle name="40% - Accent5 2 2 2 6 8" xfId="29962" xr:uid="{00000000-0005-0000-0000-0000CB720000}"/>
    <cellStyle name="40% - Accent5 2 2 2 6 9" xfId="39856" xr:uid="{00000000-0005-0000-0000-0000CC720000}"/>
    <cellStyle name="40% - Accent5 2 2 2 7" xfId="1762" xr:uid="{00000000-0005-0000-0000-0000CD720000}"/>
    <cellStyle name="40% - Accent5 2 2 2 7 2" xfId="6030" xr:uid="{00000000-0005-0000-0000-0000CE720000}"/>
    <cellStyle name="40% - Accent5 2 2 2 7 2 2" xfId="13130" xr:uid="{00000000-0005-0000-0000-0000CF720000}"/>
    <cellStyle name="40% - Accent5 2 2 2 7 2 3" xfId="20231" xr:uid="{00000000-0005-0000-0000-0000D0720000}"/>
    <cellStyle name="40% - Accent5 2 2 2 7 2 4" xfId="27333" xr:uid="{00000000-0005-0000-0000-0000D1720000}"/>
    <cellStyle name="40% - Accent5 2 2 2 7 2 5" xfId="34435" xr:uid="{00000000-0005-0000-0000-0000D2720000}"/>
    <cellStyle name="40% - Accent5 2 2 2 7 3" xfId="8870" xr:uid="{00000000-0005-0000-0000-0000D3720000}"/>
    <cellStyle name="40% - Accent5 2 2 2 7 4" xfId="15971" xr:uid="{00000000-0005-0000-0000-0000D4720000}"/>
    <cellStyle name="40% - Accent5 2 2 2 7 5" xfId="23073" xr:uid="{00000000-0005-0000-0000-0000D5720000}"/>
    <cellStyle name="40% - Accent5 2 2 2 7 6" xfId="30175" xr:uid="{00000000-0005-0000-0000-0000D6720000}"/>
    <cellStyle name="40% - Accent5 2 2 2 7 7" xfId="39857" xr:uid="{00000000-0005-0000-0000-0000D7720000}"/>
    <cellStyle name="40% - Accent5 2 2 2 8" xfId="4609" xr:uid="{00000000-0005-0000-0000-0000D8720000}"/>
    <cellStyle name="40% - Accent5 2 2 2 8 2" xfId="11710" xr:uid="{00000000-0005-0000-0000-0000D9720000}"/>
    <cellStyle name="40% - Accent5 2 2 2 8 3" xfId="18811" xr:uid="{00000000-0005-0000-0000-0000DA720000}"/>
    <cellStyle name="40% - Accent5 2 2 2 8 4" xfId="25913" xr:uid="{00000000-0005-0000-0000-0000DB720000}"/>
    <cellStyle name="40% - Accent5 2 2 2 8 5" xfId="33015" xr:uid="{00000000-0005-0000-0000-0000DC720000}"/>
    <cellStyle name="40% - Accent5 2 2 2 9" xfId="3184" xr:uid="{00000000-0005-0000-0000-0000DD720000}"/>
    <cellStyle name="40% - Accent5 2 2 2 9 2" xfId="10290" xr:uid="{00000000-0005-0000-0000-0000DE720000}"/>
    <cellStyle name="40% - Accent5 2 2 2 9 3" xfId="17391" xr:uid="{00000000-0005-0000-0000-0000DF720000}"/>
    <cellStyle name="40% - Accent5 2 2 2 9 4" xfId="24493" xr:uid="{00000000-0005-0000-0000-0000E0720000}"/>
    <cellStyle name="40% - Accent5 2 2 2 9 5" xfId="31595" xr:uid="{00000000-0005-0000-0000-0000E1720000}"/>
    <cellStyle name="40% - Accent5 2 2 3" xfId="200" xr:uid="{00000000-0005-0000-0000-0000E2720000}"/>
    <cellStyle name="40% - Accent5 2 2 3 10" xfId="7379" xr:uid="{00000000-0005-0000-0000-0000E3720000}"/>
    <cellStyle name="40% - Accent5 2 2 3 11" xfId="14480" xr:uid="{00000000-0005-0000-0000-0000E4720000}"/>
    <cellStyle name="40% - Accent5 2 2 3 12" xfId="21582" xr:uid="{00000000-0005-0000-0000-0000E5720000}"/>
    <cellStyle name="40% - Accent5 2 2 3 13" xfId="28684" xr:uid="{00000000-0005-0000-0000-0000E6720000}"/>
    <cellStyle name="40% - Accent5 2 2 3 14" xfId="35786" xr:uid="{00000000-0005-0000-0000-0000E7720000}"/>
    <cellStyle name="40% - Accent5 2 2 3 15" xfId="39858" xr:uid="{00000000-0005-0000-0000-0000E8720000}"/>
    <cellStyle name="40% - Accent5 2 2 3 2" xfId="413" xr:uid="{00000000-0005-0000-0000-0000E9720000}"/>
    <cellStyle name="40% - Accent5 2 2 3 2 2" xfId="1904" xr:uid="{00000000-0005-0000-0000-0000EA720000}"/>
    <cellStyle name="40% - Accent5 2 2 3 2 2 2" xfId="6172" xr:uid="{00000000-0005-0000-0000-0000EB720000}"/>
    <cellStyle name="40% - Accent5 2 2 3 2 2 2 2" xfId="13272" xr:uid="{00000000-0005-0000-0000-0000EC720000}"/>
    <cellStyle name="40% - Accent5 2 2 3 2 2 2 3" xfId="20373" xr:uid="{00000000-0005-0000-0000-0000ED720000}"/>
    <cellStyle name="40% - Accent5 2 2 3 2 2 2 4" xfId="27475" xr:uid="{00000000-0005-0000-0000-0000EE720000}"/>
    <cellStyle name="40% - Accent5 2 2 3 2 2 2 5" xfId="34577" xr:uid="{00000000-0005-0000-0000-0000EF720000}"/>
    <cellStyle name="40% - Accent5 2 2 3 2 2 2 6" xfId="39859" xr:uid="{00000000-0005-0000-0000-0000F0720000}"/>
    <cellStyle name="40% - Accent5 2 2 3 2 2 3" xfId="9012" xr:uid="{00000000-0005-0000-0000-0000F1720000}"/>
    <cellStyle name="40% - Accent5 2 2 3 2 2 4" xfId="16113" xr:uid="{00000000-0005-0000-0000-0000F2720000}"/>
    <cellStyle name="40% - Accent5 2 2 3 2 2 5" xfId="23215" xr:uid="{00000000-0005-0000-0000-0000F3720000}"/>
    <cellStyle name="40% - Accent5 2 2 3 2 2 6" xfId="30317" xr:uid="{00000000-0005-0000-0000-0000F4720000}"/>
    <cellStyle name="40% - Accent5 2 2 3 2 2 7" xfId="39860" xr:uid="{00000000-0005-0000-0000-0000F5720000}"/>
    <cellStyle name="40% - Accent5 2 2 3 2 3" xfId="4751" xr:uid="{00000000-0005-0000-0000-0000F6720000}"/>
    <cellStyle name="40% - Accent5 2 2 3 2 3 2" xfId="11852" xr:uid="{00000000-0005-0000-0000-0000F7720000}"/>
    <cellStyle name="40% - Accent5 2 2 3 2 3 2 2" xfId="39861" xr:uid="{00000000-0005-0000-0000-0000F8720000}"/>
    <cellStyle name="40% - Accent5 2 2 3 2 3 3" xfId="18953" xr:uid="{00000000-0005-0000-0000-0000F9720000}"/>
    <cellStyle name="40% - Accent5 2 2 3 2 3 4" xfId="26055" xr:uid="{00000000-0005-0000-0000-0000FA720000}"/>
    <cellStyle name="40% - Accent5 2 2 3 2 3 5" xfId="33157" xr:uid="{00000000-0005-0000-0000-0000FB720000}"/>
    <cellStyle name="40% - Accent5 2 2 3 2 3 6" xfId="39862" xr:uid="{00000000-0005-0000-0000-0000FC720000}"/>
    <cellStyle name="40% - Accent5 2 2 3 2 4" xfId="3326" xr:uid="{00000000-0005-0000-0000-0000FD720000}"/>
    <cellStyle name="40% - Accent5 2 2 3 2 4 2" xfId="10432" xr:uid="{00000000-0005-0000-0000-0000FE720000}"/>
    <cellStyle name="40% - Accent5 2 2 3 2 4 3" xfId="17533" xr:uid="{00000000-0005-0000-0000-0000FF720000}"/>
    <cellStyle name="40% - Accent5 2 2 3 2 4 4" xfId="24635" xr:uid="{00000000-0005-0000-0000-000000730000}"/>
    <cellStyle name="40% - Accent5 2 2 3 2 4 5" xfId="31737" xr:uid="{00000000-0005-0000-0000-000001730000}"/>
    <cellStyle name="40% - Accent5 2 2 3 2 4 6" xfId="39863" xr:uid="{00000000-0005-0000-0000-000002730000}"/>
    <cellStyle name="40% - Accent5 2 2 3 2 5" xfId="7592" xr:uid="{00000000-0005-0000-0000-000003730000}"/>
    <cellStyle name="40% - Accent5 2 2 3 2 6" xfId="14693" xr:uid="{00000000-0005-0000-0000-000004730000}"/>
    <cellStyle name="40% - Accent5 2 2 3 2 7" xfId="21795" xr:uid="{00000000-0005-0000-0000-000005730000}"/>
    <cellStyle name="40% - Accent5 2 2 3 2 8" xfId="28897" xr:uid="{00000000-0005-0000-0000-000006730000}"/>
    <cellStyle name="40% - Accent5 2 2 3 2 9" xfId="39864" xr:uid="{00000000-0005-0000-0000-000007730000}"/>
    <cellStyle name="40% - Accent5 2 2 3 3" xfId="626" xr:uid="{00000000-0005-0000-0000-000008730000}"/>
    <cellStyle name="40% - Accent5 2 2 3 3 2" xfId="2117" xr:uid="{00000000-0005-0000-0000-000009730000}"/>
    <cellStyle name="40% - Accent5 2 2 3 3 2 2" xfId="6385" xr:uid="{00000000-0005-0000-0000-00000A730000}"/>
    <cellStyle name="40% - Accent5 2 2 3 3 2 2 2" xfId="13485" xr:uid="{00000000-0005-0000-0000-00000B730000}"/>
    <cellStyle name="40% - Accent5 2 2 3 3 2 2 3" xfId="20586" xr:uid="{00000000-0005-0000-0000-00000C730000}"/>
    <cellStyle name="40% - Accent5 2 2 3 3 2 2 4" xfId="27688" xr:uid="{00000000-0005-0000-0000-00000D730000}"/>
    <cellStyle name="40% - Accent5 2 2 3 3 2 2 5" xfId="34790" xr:uid="{00000000-0005-0000-0000-00000E730000}"/>
    <cellStyle name="40% - Accent5 2 2 3 3 2 2 6" xfId="39865" xr:uid="{00000000-0005-0000-0000-00000F730000}"/>
    <cellStyle name="40% - Accent5 2 2 3 3 2 3" xfId="9225" xr:uid="{00000000-0005-0000-0000-000010730000}"/>
    <cellStyle name="40% - Accent5 2 2 3 3 2 4" xfId="16326" xr:uid="{00000000-0005-0000-0000-000011730000}"/>
    <cellStyle name="40% - Accent5 2 2 3 3 2 5" xfId="23428" xr:uid="{00000000-0005-0000-0000-000012730000}"/>
    <cellStyle name="40% - Accent5 2 2 3 3 2 6" xfId="30530" xr:uid="{00000000-0005-0000-0000-000013730000}"/>
    <cellStyle name="40% - Accent5 2 2 3 3 2 7" xfId="39866" xr:uid="{00000000-0005-0000-0000-000014730000}"/>
    <cellStyle name="40% - Accent5 2 2 3 3 3" xfId="4964" xr:uid="{00000000-0005-0000-0000-000015730000}"/>
    <cellStyle name="40% - Accent5 2 2 3 3 3 2" xfId="12065" xr:uid="{00000000-0005-0000-0000-000016730000}"/>
    <cellStyle name="40% - Accent5 2 2 3 3 3 2 2" xfId="39867" xr:uid="{00000000-0005-0000-0000-000017730000}"/>
    <cellStyle name="40% - Accent5 2 2 3 3 3 3" xfId="19166" xr:uid="{00000000-0005-0000-0000-000018730000}"/>
    <cellStyle name="40% - Accent5 2 2 3 3 3 4" xfId="26268" xr:uid="{00000000-0005-0000-0000-000019730000}"/>
    <cellStyle name="40% - Accent5 2 2 3 3 3 5" xfId="33370" xr:uid="{00000000-0005-0000-0000-00001A730000}"/>
    <cellStyle name="40% - Accent5 2 2 3 3 3 6" xfId="39868" xr:uid="{00000000-0005-0000-0000-00001B730000}"/>
    <cellStyle name="40% - Accent5 2 2 3 3 4" xfId="3539" xr:uid="{00000000-0005-0000-0000-00001C730000}"/>
    <cellStyle name="40% - Accent5 2 2 3 3 4 2" xfId="10645" xr:uid="{00000000-0005-0000-0000-00001D730000}"/>
    <cellStyle name="40% - Accent5 2 2 3 3 4 3" xfId="17746" xr:uid="{00000000-0005-0000-0000-00001E730000}"/>
    <cellStyle name="40% - Accent5 2 2 3 3 4 4" xfId="24848" xr:uid="{00000000-0005-0000-0000-00001F730000}"/>
    <cellStyle name="40% - Accent5 2 2 3 3 4 5" xfId="31950" xr:uid="{00000000-0005-0000-0000-000020730000}"/>
    <cellStyle name="40% - Accent5 2 2 3 3 4 6" xfId="39869" xr:uid="{00000000-0005-0000-0000-000021730000}"/>
    <cellStyle name="40% - Accent5 2 2 3 3 5" xfId="7805" xr:uid="{00000000-0005-0000-0000-000022730000}"/>
    <cellStyle name="40% - Accent5 2 2 3 3 6" xfId="14906" xr:uid="{00000000-0005-0000-0000-000023730000}"/>
    <cellStyle name="40% - Accent5 2 2 3 3 7" xfId="22008" xr:uid="{00000000-0005-0000-0000-000024730000}"/>
    <cellStyle name="40% - Accent5 2 2 3 3 8" xfId="29110" xr:uid="{00000000-0005-0000-0000-000025730000}"/>
    <cellStyle name="40% - Accent5 2 2 3 3 9" xfId="39870" xr:uid="{00000000-0005-0000-0000-000026730000}"/>
    <cellStyle name="40% - Accent5 2 2 3 4" xfId="839" xr:uid="{00000000-0005-0000-0000-000027730000}"/>
    <cellStyle name="40% - Accent5 2 2 3 4 2" xfId="2330" xr:uid="{00000000-0005-0000-0000-000028730000}"/>
    <cellStyle name="40% - Accent5 2 2 3 4 2 2" xfId="6598" xr:uid="{00000000-0005-0000-0000-000029730000}"/>
    <cellStyle name="40% - Accent5 2 2 3 4 2 2 2" xfId="13698" xr:uid="{00000000-0005-0000-0000-00002A730000}"/>
    <cellStyle name="40% - Accent5 2 2 3 4 2 2 3" xfId="20799" xr:uid="{00000000-0005-0000-0000-00002B730000}"/>
    <cellStyle name="40% - Accent5 2 2 3 4 2 2 4" xfId="27901" xr:uid="{00000000-0005-0000-0000-00002C730000}"/>
    <cellStyle name="40% - Accent5 2 2 3 4 2 2 5" xfId="35003" xr:uid="{00000000-0005-0000-0000-00002D730000}"/>
    <cellStyle name="40% - Accent5 2 2 3 4 2 2 6" xfId="39871" xr:uid="{00000000-0005-0000-0000-00002E730000}"/>
    <cellStyle name="40% - Accent5 2 2 3 4 2 3" xfId="9438" xr:uid="{00000000-0005-0000-0000-00002F730000}"/>
    <cellStyle name="40% - Accent5 2 2 3 4 2 4" xfId="16539" xr:uid="{00000000-0005-0000-0000-000030730000}"/>
    <cellStyle name="40% - Accent5 2 2 3 4 2 5" xfId="23641" xr:uid="{00000000-0005-0000-0000-000031730000}"/>
    <cellStyle name="40% - Accent5 2 2 3 4 2 6" xfId="30743" xr:uid="{00000000-0005-0000-0000-000032730000}"/>
    <cellStyle name="40% - Accent5 2 2 3 4 2 7" xfId="39872" xr:uid="{00000000-0005-0000-0000-000033730000}"/>
    <cellStyle name="40% - Accent5 2 2 3 4 3" xfId="5177" xr:uid="{00000000-0005-0000-0000-000034730000}"/>
    <cellStyle name="40% - Accent5 2 2 3 4 3 2" xfId="12278" xr:uid="{00000000-0005-0000-0000-000035730000}"/>
    <cellStyle name="40% - Accent5 2 2 3 4 3 2 2" xfId="39873" xr:uid="{00000000-0005-0000-0000-000036730000}"/>
    <cellStyle name="40% - Accent5 2 2 3 4 3 3" xfId="19379" xr:uid="{00000000-0005-0000-0000-000037730000}"/>
    <cellStyle name="40% - Accent5 2 2 3 4 3 4" xfId="26481" xr:uid="{00000000-0005-0000-0000-000038730000}"/>
    <cellStyle name="40% - Accent5 2 2 3 4 3 5" xfId="33583" xr:uid="{00000000-0005-0000-0000-000039730000}"/>
    <cellStyle name="40% - Accent5 2 2 3 4 3 6" xfId="39874" xr:uid="{00000000-0005-0000-0000-00003A730000}"/>
    <cellStyle name="40% - Accent5 2 2 3 4 4" xfId="3752" xr:uid="{00000000-0005-0000-0000-00003B730000}"/>
    <cellStyle name="40% - Accent5 2 2 3 4 4 2" xfId="10858" xr:uid="{00000000-0005-0000-0000-00003C730000}"/>
    <cellStyle name="40% - Accent5 2 2 3 4 4 3" xfId="17959" xr:uid="{00000000-0005-0000-0000-00003D730000}"/>
    <cellStyle name="40% - Accent5 2 2 3 4 4 4" xfId="25061" xr:uid="{00000000-0005-0000-0000-00003E730000}"/>
    <cellStyle name="40% - Accent5 2 2 3 4 4 5" xfId="32163" xr:uid="{00000000-0005-0000-0000-00003F730000}"/>
    <cellStyle name="40% - Accent5 2 2 3 4 4 6" xfId="39875" xr:uid="{00000000-0005-0000-0000-000040730000}"/>
    <cellStyle name="40% - Accent5 2 2 3 4 5" xfId="8018" xr:uid="{00000000-0005-0000-0000-000041730000}"/>
    <cellStyle name="40% - Accent5 2 2 3 4 6" xfId="15119" xr:uid="{00000000-0005-0000-0000-000042730000}"/>
    <cellStyle name="40% - Accent5 2 2 3 4 7" xfId="22221" xr:uid="{00000000-0005-0000-0000-000043730000}"/>
    <cellStyle name="40% - Accent5 2 2 3 4 8" xfId="29323" xr:uid="{00000000-0005-0000-0000-000044730000}"/>
    <cellStyle name="40% - Accent5 2 2 3 4 9" xfId="39876" xr:uid="{00000000-0005-0000-0000-000045730000}"/>
    <cellStyle name="40% - Accent5 2 2 3 5" xfId="1194" xr:uid="{00000000-0005-0000-0000-000046730000}"/>
    <cellStyle name="40% - Accent5 2 2 3 5 2" xfId="2685" xr:uid="{00000000-0005-0000-0000-000047730000}"/>
    <cellStyle name="40% - Accent5 2 2 3 5 2 2" xfId="6953" xr:uid="{00000000-0005-0000-0000-000048730000}"/>
    <cellStyle name="40% - Accent5 2 2 3 5 2 2 2" xfId="14053" xr:uid="{00000000-0005-0000-0000-000049730000}"/>
    <cellStyle name="40% - Accent5 2 2 3 5 2 2 3" xfId="21154" xr:uid="{00000000-0005-0000-0000-00004A730000}"/>
    <cellStyle name="40% - Accent5 2 2 3 5 2 2 4" xfId="28256" xr:uid="{00000000-0005-0000-0000-00004B730000}"/>
    <cellStyle name="40% - Accent5 2 2 3 5 2 2 5" xfId="35358" xr:uid="{00000000-0005-0000-0000-00004C730000}"/>
    <cellStyle name="40% - Accent5 2 2 3 5 2 3" xfId="9793" xr:uid="{00000000-0005-0000-0000-00004D730000}"/>
    <cellStyle name="40% - Accent5 2 2 3 5 2 4" xfId="16894" xr:uid="{00000000-0005-0000-0000-00004E730000}"/>
    <cellStyle name="40% - Accent5 2 2 3 5 2 5" xfId="23996" xr:uid="{00000000-0005-0000-0000-00004F730000}"/>
    <cellStyle name="40% - Accent5 2 2 3 5 2 6" xfId="31098" xr:uid="{00000000-0005-0000-0000-000050730000}"/>
    <cellStyle name="40% - Accent5 2 2 3 5 2 7" xfId="39877" xr:uid="{00000000-0005-0000-0000-000051730000}"/>
    <cellStyle name="40% - Accent5 2 2 3 5 3" xfId="5532" xr:uid="{00000000-0005-0000-0000-000052730000}"/>
    <cellStyle name="40% - Accent5 2 2 3 5 3 2" xfId="12633" xr:uid="{00000000-0005-0000-0000-000053730000}"/>
    <cellStyle name="40% - Accent5 2 2 3 5 3 3" xfId="19734" xr:uid="{00000000-0005-0000-0000-000054730000}"/>
    <cellStyle name="40% - Accent5 2 2 3 5 3 4" xfId="26836" xr:uid="{00000000-0005-0000-0000-000055730000}"/>
    <cellStyle name="40% - Accent5 2 2 3 5 3 5" xfId="33938" xr:uid="{00000000-0005-0000-0000-000056730000}"/>
    <cellStyle name="40% - Accent5 2 2 3 5 4" xfId="4107" xr:uid="{00000000-0005-0000-0000-000057730000}"/>
    <cellStyle name="40% - Accent5 2 2 3 5 4 2" xfId="11213" xr:uid="{00000000-0005-0000-0000-000058730000}"/>
    <cellStyle name="40% - Accent5 2 2 3 5 4 3" xfId="18314" xr:uid="{00000000-0005-0000-0000-000059730000}"/>
    <cellStyle name="40% - Accent5 2 2 3 5 4 4" xfId="25416" xr:uid="{00000000-0005-0000-0000-00005A730000}"/>
    <cellStyle name="40% - Accent5 2 2 3 5 4 5" xfId="32518" xr:uid="{00000000-0005-0000-0000-00005B730000}"/>
    <cellStyle name="40% - Accent5 2 2 3 5 5" xfId="8373" xr:uid="{00000000-0005-0000-0000-00005C730000}"/>
    <cellStyle name="40% - Accent5 2 2 3 5 6" xfId="15474" xr:uid="{00000000-0005-0000-0000-00005D730000}"/>
    <cellStyle name="40% - Accent5 2 2 3 5 7" xfId="22576" xr:uid="{00000000-0005-0000-0000-00005E730000}"/>
    <cellStyle name="40% - Accent5 2 2 3 5 8" xfId="29678" xr:uid="{00000000-0005-0000-0000-00005F730000}"/>
    <cellStyle name="40% - Accent5 2 2 3 5 9" xfId="39878" xr:uid="{00000000-0005-0000-0000-000060730000}"/>
    <cellStyle name="40% - Accent5 2 2 3 6" xfId="1407" xr:uid="{00000000-0005-0000-0000-000061730000}"/>
    <cellStyle name="40% - Accent5 2 2 3 6 2" xfId="2898" xr:uid="{00000000-0005-0000-0000-000062730000}"/>
    <cellStyle name="40% - Accent5 2 2 3 6 2 2" xfId="7166" xr:uid="{00000000-0005-0000-0000-000063730000}"/>
    <cellStyle name="40% - Accent5 2 2 3 6 2 2 2" xfId="14266" xr:uid="{00000000-0005-0000-0000-000064730000}"/>
    <cellStyle name="40% - Accent5 2 2 3 6 2 2 3" xfId="21367" xr:uid="{00000000-0005-0000-0000-000065730000}"/>
    <cellStyle name="40% - Accent5 2 2 3 6 2 2 4" xfId="28469" xr:uid="{00000000-0005-0000-0000-000066730000}"/>
    <cellStyle name="40% - Accent5 2 2 3 6 2 2 5" xfId="35571" xr:uid="{00000000-0005-0000-0000-000067730000}"/>
    <cellStyle name="40% - Accent5 2 2 3 6 2 3" xfId="10006" xr:uid="{00000000-0005-0000-0000-000068730000}"/>
    <cellStyle name="40% - Accent5 2 2 3 6 2 4" xfId="17107" xr:uid="{00000000-0005-0000-0000-000069730000}"/>
    <cellStyle name="40% - Accent5 2 2 3 6 2 5" xfId="24209" xr:uid="{00000000-0005-0000-0000-00006A730000}"/>
    <cellStyle name="40% - Accent5 2 2 3 6 2 6" xfId="31311" xr:uid="{00000000-0005-0000-0000-00006B730000}"/>
    <cellStyle name="40% - Accent5 2 2 3 6 2 7" xfId="39879" xr:uid="{00000000-0005-0000-0000-00006C730000}"/>
    <cellStyle name="40% - Accent5 2 2 3 6 3" xfId="5745" xr:uid="{00000000-0005-0000-0000-00006D730000}"/>
    <cellStyle name="40% - Accent5 2 2 3 6 3 2" xfId="12846" xr:uid="{00000000-0005-0000-0000-00006E730000}"/>
    <cellStyle name="40% - Accent5 2 2 3 6 3 3" xfId="19947" xr:uid="{00000000-0005-0000-0000-00006F730000}"/>
    <cellStyle name="40% - Accent5 2 2 3 6 3 4" xfId="27049" xr:uid="{00000000-0005-0000-0000-000070730000}"/>
    <cellStyle name="40% - Accent5 2 2 3 6 3 5" xfId="34151" xr:uid="{00000000-0005-0000-0000-000071730000}"/>
    <cellStyle name="40% - Accent5 2 2 3 6 4" xfId="4320" xr:uid="{00000000-0005-0000-0000-000072730000}"/>
    <cellStyle name="40% - Accent5 2 2 3 6 4 2" xfId="11426" xr:uid="{00000000-0005-0000-0000-000073730000}"/>
    <cellStyle name="40% - Accent5 2 2 3 6 4 3" xfId="18527" xr:uid="{00000000-0005-0000-0000-000074730000}"/>
    <cellStyle name="40% - Accent5 2 2 3 6 4 4" xfId="25629" xr:uid="{00000000-0005-0000-0000-000075730000}"/>
    <cellStyle name="40% - Accent5 2 2 3 6 4 5" xfId="32731" xr:uid="{00000000-0005-0000-0000-000076730000}"/>
    <cellStyle name="40% - Accent5 2 2 3 6 5" xfId="8586" xr:uid="{00000000-0005-0000-0000-000077730000}"/>
    <cellStyle name="40% - Accent5 2 2 3 6 6" xfId="15687" xr:uid="{00000000-0005-0000-0000-000078730000}"/>
    <cellStyle name="40% - Accent5 2 2 3 6 7" xfId="22789" xr:uid="{00000000-0005-0000-0000-000079730000}"/>
    <cellStyle name="40% - Accent5 2 2 3 6 8" xfId="29891" xr:uid="{00000000-0005-0000-0000-00007A730000}"/>
    <cellStyle name="40% - Accent5 2 2 3 6 9" xfId="39880" xr:uid="{00000000-0005-0000-0000-00007B730000}"/>
    <cellStyle name="40% - Accent5 2 2 3 7" xfId="1691" xr:uid="{00000000-0005-0000-0000-00007C730000}"/>
    <cellStyle name="40% - Accent5 2 2 3 7 2" xfId="5959" xr:uid="{00000000-0005-0000-0000-00007D730000}"/>
    <cellStyle name="40% - Accent5 2 2 3 7 2 2" xfId="13059" xr:uid="{00000000-0005-0000-0000-00007E730000}"/>
    <cellStyle name="40% - Accent5 2 2 3 7 2 3" xfId="20160" xr:uid="{00000000-0005-0000-0000-00007F730000}"/>
    <cellStyle name="40% - Accent5 2 2 3 7 2 4" xfId="27262" xr:uid="{00000000-0005-0000-0000-000080730000}"/>
    <cellStyle name="40% - Accent5 2 2 3 7 2 5" xfId="34364" xr:uid="{00000000-0005-0000-0000-000081730000}"/>
    <cellStyle name="40% - Accent5 2 2 3 7 3" xfId="8799" xr:uid="{00000000-0005-0000-0000-000082730000}"/>
    <cellStyle name="40% - Accent5 2 2 3 7 4" xfId="15900" xr:uid="{00000000-0005-0000-0000-000083730000}"/>
    <cellStyle name="40% - Accent5 2 2 3 7 5" xfId="23002" xr:uid="{00000000-0005-0000-0000-000084730000}"/>
    <cellStyle name="40% - Accent5 2 2 3 7 6" xfId="30104" xr:uid="{00000000-0005-0000-0000-000085730000}"/>
    <cellStyle name="40% - Accent5 2 2 3 7 7" xfId="39881" xr:uid="{00000000-0005-0000-0000-000086730000}"/>
    <cellStyle name="40% - Accent5 2 2 3 8" xfId="4538" xr:uid="{00000000-0005-0000-0000-000087730000}"/>
    <cellStyle name="40% - Accent5 2 2 3 8 2" xfId="11639" xr:uid="{00000000-0005-0000-0000-000088730000}"/>
    <cellStyle name="40% - Accent5 2 2 3 8 3" xfId="18740" xr:uid="{00000000-0005-0000-0000-000089730000}"/>
    <cellStyle name="40% - Accent5 2 2 3 8 4" xfId="25842" xr:uid="{00000000-0005-0000-0000-00008A730000}"/>
    <cellStyle name="40% - Accent5 2 2 3 8 5" xfId="32944" xr:uid="{00000000-0005-0000-0000-00008B730000}"/>
    <cellStyle name="40% - Accent5 2 2 3 9" xfId="3113" xr:uid="{00000000-0005-0000-0000-00008C730000}"/>
    <cellStyle name="40% - Accent5 2 2 3 9 2" xfId="10219" xr:uid="{00000000-0005-0000-0000-00008D730000}"/>
    <cellStyle name="40% - Accent5 2 2 3 9 3" xfId="17320" xr:uid="{00000000-0005-0000-0000-00008E730000}"/>
    <cellStyle name="40% - Accent5 2 2 3 9 4" xfId="24422" xr:uid="{00000000-0005-0000-0000-00008F730000}"/>
    <cellStyle name="40% - Accent5 2 2 3 9 5" xfId="31524" xr:uid="{00000000-0005-0000-0000-000090730000}"/>
    <cellStyle name="40% - Accent5 2 2 4" xfId="342" xr:uid="{00000000-0005-0000-0000-000091730000}"/>
    <cellStyle name="40% - Accent5 2 2 4 10" xfId="39882" xr:uid="{00000000-0005-0000-0000-000092730000}"/>
    <cellStyle name="40% - Accent5 2 2 4 2" xfId="1123" xr:uid="{00000000-0005-0000-0000-000093730000}"/>
    <cellStyle name="40% - Accent5 2 2 4 2 2" xfId="2614" xr:uid="{00000000-0005-0000-0000-000094730000}"/>
    <cellStyle name="40% - Accent5 2 2 4 2 2 2" xfId="6882" xr:uid="{00000000-0005-0000-0000-000095730000}"/>
    <cellStyle name="40% - Accent5 2 2 4 2 2 2 2" xfId="13982" xr:uid="{00000000-0005-0000-0000-000096730000}"/>
    <cellStyle name="40% - Accent5 2 2 4 2 2 2 3" xfId="21083" xr:uid="{00000000-0005-0000-0000-000097730000}"/>
    <cellStyle name="40% - Accent5 2 2 4 2 2 2 4" xfId="28185" xr:uid="{00000000-0005-0000-0000-000098730000}"/>
    <cellStyle name="40% - Accent5 2 2 4 2 2 2 5" xfId="35287" xr:uid="{00000000-0005-0000-0000-000099730000}"/>
    <cellStyle name="40% - Accent5 2 2 4 2 2 3" xfId="9722" xr:uid="{00000000-0005-0000-0000-00009A730000}"/>
    <cellStyle name="40% - Accent5 2 2 4 2 2 4" xfId="16823" xr:uid="{00000000-0005-0000-0000-00009B730000}"/>
    <cellStyle name="40% - Accent5 2 2 4 2 2 5" xfId="23925" xr:uid="{00000000-0005-0000-0000-00009C730000}"/>
    <cellStyle name="40% - Accent5 2 2 4 2 2 6" xfId="31027" xr:uid="{00000000-0005-0000-0000-00009D730000}"/>
    <cellStyle name="40% - Accent5 2 2 4 2 2 7" xfId="39883" xr:uid="{00000000-0005-0000-0000-00009E730000}"/>
    <cellStyle name="40% - Accent5 2 2 4 2 3" xfId="5461" xr:uid="{00000000-0005-0000-0000-00009F730000}"/>
    <cellStyle name="40% - Accent5 2 2 4 2 3 2" xfId="12562" xr:uid="{00000000-0005-0000-0000-0000A0730000}"/>
    <cellStyle name="40% - Accent5 2 2 4 2 3 3" xfId="19663" xr:uid="{00000000-0005-0000-0000-0000A1730000}"/>
    <cellStyle name="40% - Accent5 2 2 4 2 3 4" xfId="26765" xr:uid="{00000000-0005-0000-0000-0000A2730000}"/>
    <cellStyle name="40% - Accent5 2 2 4 2 3 5" xfId="33867" xr:uid="{00000000-0005-0000-0000-0000A3730000}"/>
    <cellStyle name="40% - Accent5 2 2 4 2 4" xfId="4036" xr:uid="{00000000-0005-0000-0000-0000A4730000}"/>
    <cellStyle name="40% - Accent5 2 2 4 2 4 2" xfId="11142" xr:uid="{00000000-0005-0000-0000-0000A5730000}"/>
    <cellStyle name="40% - Accent5 2 2 4 2 4 3" xfId="18243" xr:uid="{00000000-0005-0000-0000-0000A6730000}"/>
    <cellStyle name="40% - Accent5 2 2 4 2 4 4" xfId="25345" xr:uid="{00000000-0005-0000-0000-0000A7730000}"/>
    <cellStyle name="40% - Accent5 2 2 4 2 4 5" xfId="32447" xr:uid="{00000000-0005-0000-0000-0000A8730000}"/>
    <cellStyle name="40% - Accent5 2 2 4 2 5" xfId="8302" xr:uid="{00000000-0005-0000-0000-0000A9730000}"/>
    <cellStyle name="40% - Accent5 2 2 4 2 6" xfId="15403" xr:uid="{00000000-0005-0000-0000-0000AA730000}"/>
    <cellStyle name="40% - Accent5 2 2 4 2 7" xfId="22505" xr:uid="{00000000-0005-0000-0000-0000AB730000}"/>
    <cellStyle name="40% - Accent5 2 2 4 2 8" xfId="29607" xr:uid="{00000000-0005-0000-0000-0000AC730000}"/>
    <cellStyle name="40% - Accent5 2 2 4 2 9" xfId="39884" xr:uid="{00000000-0005-0000-0000-0000AD730000}"/>
    <cellStyle name="40% - Accent5 2 2 4 3" xfId="1833" xr:uid="{00000000-0005-0000-0000-0000AE730000}"/>
    <cellStyle name="40% - Accent5 2 2 4 3 2" xfId="6101" xr:uid="{00000000-0005-0000-0000-0000AF730000}"/>
    <cellStyle name="40% - Accent5 2 2 4 3 2 2" xfId="13201" xr:uid="{00000000-0005-0000-0000-0000B0730000}"/>
    <cellStyle name="40% - Accent5 2 2 4 3 2 3" xfId="20302" xr:uid="{00000000-0005-0000-0000-0000B1730000}"/>
    <cellStyle name="40% - Accent5 2 2 4 3 2 4" xfId="27404" xr:uid="{00000000-0005-0000-0000-0000B2730000}"/>
    <cellStyle name="40% - Accent5 2 2 4 3 2 5" xfId="34506" xr:uid="{00000000-0005-0000-0000-0000B3730000}"/>
    <cellStyle name="40% - Accent5 2 2 4 3 2 6" xfId="39885" xr:uid="{00000000-0005-0000-0000-0000B4730000}"/>
    <cellStyle name="40% - Accent5 2 2 4 3 3" xfId="8941" xr:uid="{00000000-0005-0000-0000-0000B5730000}"/>
    <cellStyle name="40% - Accent5 2 2 4 3 4" xfId="16042" xr:uid="{00000000-0005-0000-0000-0000B6730000}"/>
    <cellStyle name="40% - Accent5 2 2 4 3 5" xfId="23144" xr:uid="{00000000-0005-0000-0000-0000B7730000}"/>
    <cellStyle name="40% - Accent5 2 2 4 3 6" xfId="30246" xr:uid="{00000000-0005-0000-0000-0000B8730000}"/>
    <cellStyle name="40% - Accent5 2 2 4 3 7" xfId="39886" xr:uid="{00000000-0005-0000-0000-0000B9730000}"/>
    <cellStyle name="40% - Accent5 2 2 4 4" xfId="4680" xr:uid="{00000000-0005-0000-0000-0000BA730000}"/>
    <cellStyle name="40% - Accent5 2 2 4 4 2" xfId="11781" xr:uid="{00000000-0005-0000-0000-0000BB730000}"/>
    <cellStyle name="40% - Accent5 2 2 4 4 3" xfId="18882" xr:uid="{00000000-0005-0000-0000-0000BC730000}"/>
    <cellStyle name="40% - Accent5 2 2 4 4 4" xfId="25984" xr:uid="{00000000-0005-0000-0000-0000BD730000}"/>
    <cellStyle name="40% - Accent5 2 2 4 4 5" xfId="33086" xr:uid="{00000000-0005-0000-0000-0000BE730000}"/>
    <cellStyle name="40% - Accent5 2 2 4 4 6" xfId="39887" xr:uid="{00000000-0005-0000-0000-0000BF730000}"/>
    <cellStyle name="40% - Accent5 2 2 4 5" xfId="3255" xr:uid="{00000000-0005-0000-0000-0000C0730000}"/>
    <cellStyle name="40% - Accent5 2 2 4 5 2" xfId="10361" xr:uid="{00000000-0005-0000-0000-0000C1730000}"/>
    <cellStyle name="40% - Accent5 2 2 4 5 3" xfId="17462" xr:uid="{00000000-0005-0000-0000-0000C2730000}"/>
    <cellStyle name="40% - Accent5 2 2 4 5 4" xfId="24564" xr:uid="{00000000-0005-0000-0000-0000C3730000}"/>
    <cellStyle name="40% - Accent5 2 2 4 5 5" xfId="31666" xr:uid="{00000000-0005-0000-0000-0000C4730000}"/>
    <cellStyle name="40% - Accent5 2 2 4 6" xfId="7521" xr:uid="{00000000-0005-0000-0000-0000C5730000}"/>
    <cellStyle name="40% - Accent5 2 2 4 7" xfId="14622" xr:uid="{00000000-0005-0000-0000-0000C6730000}"/>
    <cellStyle name="40% - Accent5 2 2 4 8" xfId="21724" xr:uid="{00000000-0005-0000-0000-0000C7730000}"/>
    <cellStyle name="40% - Accent5 2 2 4 9" xfId="28826" xr:uid="{00000000-0005-0000-0000-0000C8730000}"/>
    <cellStyle name="40% - Accent5 2 2 5" xfId="555" xr:uid="{00000000-0005-0000-0000-0000C9730000}"/>
    <cellStyle name="40% - Accent5 2 2 5 2" xfId="2046" xr:uid="{00000000-0005-0000-0000-0000CA730000}"/>
    <cellStyle name="40% - Accent5 2 2 5 2 2" xfId="6314" xr:uid="{00000000-0005-0000-0000-0000CB730000}"/>
    <cellStyle name="40% - Accent5 2 2 5 2 2 2" xfId="13414" xr:uid="{00000000-0005-0000-0000-0000CC730000}"/>
    <cellStyle name="40% - Accent5 2 2 5 2 2 3" xfId="20515" xr:uid="{00000000-0005-0000-0000-0000CD730000}"/>
    <cellStyle name="40% - Accent5 2 2 5 2 2 4" xfId="27617" xr:uid="{00000000-0005-0000-0000-0000CE730000}"/>
    <cellStyle name="40% - Accent5 2 2 5 2 2 5" xfId="34719" xr:uid="{00000000-0005-0000-0000-0000CF730000}"/>
    <cellStyle name="40% - Accent5 2 2 5 2 2 6" xfId="39888" xr:uid="{00000000-0005-0000-0000-0000D0730000}"/>
    <cellStyle name="40% - Accent5 2 2 5 2 3" xfId="9154" xr:uid="{00000000-0005-0000-0000-0000D1730000}"/>
    <cellStyle name="40% - Accent5 2 2 5 2 4" xfId="16255" xr:uid="{00000000-0005-0000-0000-0000D2730000}"/>
    <cellStyle name="40% - Accent5 2 2 5 2 5" xfId="23357" xr:uid="{00000000-0005-0000-0000-0000D3730000}"/>
    <cellStyle name="40% - Accent5 2 2 5 2 6" xfId="30459" xr:uid="{00000000-0005-0000-0000-0000D4730000}"/>
    <cellStyle name="40% - Accent5 2 2 5 2 7" xfId="39889" xr:uid="{00000000-0005-0000-0000-0000D5730000}"/>
    <cellStyle name="40% - Accent5 2 2 5 3" xfId="4893" xr:uid="{00000000-0005-0000-0000-0000D6730000}"/>
    <cellStyle name="40% - Accent5 2 2 5 3 2" xfId="11994" xr:uid="{00000000-0005-0000-0000-0000D7730000}"/>
    <cellStyle name="40% - Accent5 2 2 5 3 2 2" xfId="39890" xr:uid="{00000000-0005-0000-0000-0000D8730000}"/>
    <cellStyle name="40% - Accent5 2 2 5 3 3" xfId="19095" xr:uid="{00000000-0005-0000-0000-0000D9730000}"/>
    <cellStyle name="40% - Accent5 2 2 5 3 4" xfId="26197" xr:uid="{00000000-0005-0000-0000-0000DA730000}"/>
    <cellStyle name="40% - Accent5 2 2 5 3 5" xfId="33299" xr:uid="{00000000-0005-0000-0000-0000DB730000}"/>
    <cellStyle name="40% - Accent5 2 2 5 3 6" xfId="39891" xr:uid="{00000000-0005-0000-0000-0000DC730000}"/>
    <cellStyle name="40% - Accent5 2 2 5 4" xfId="3468" xr:uid="{00000000-0005-0000-0000-0000DD730000}"/>
    <cellStyle name="40% - Accent5 2 2 5 4 2" xfId="10574" xr:uid="{00000000-0005-0000-0000-0000DE730000}"/>
    <cellStyle name="40% - Accent5 2 2 5 4 3" xfId="17675" xr:uid="{00000000-0005-0000-0000-0000DF730000}"/>
    <cellStyle name="40% - Accent5 2 2 5 4 4" xfId="24777" xr:uid="{00000000-0005-0000-0000-0000E0730000}"/>
    <cellStyle name="40% - Accent5 2 2 5 4 5" xfId="31879" xr:uid="{00000000-0005-0000-0000-0000E1730000}"/>
    <cellStyle name="40% - Accent5 2 2 5 4 6" xfId="39892" xr:uid="{00000000-0005-0000-0000-0000E2730000}"/>
    <cellStyle name="40% - Accent5 2 2 5 5" xfId="7734" xr:uid="{00000000-0005-0000-0000-0000E3730000}"/>
    <cellStyle name="40% - Accent5 2 2 5 6" xfId="14835" xr:uid="{00000000-0005-0000-0000-0000E4730000}"/>
    <cellStyle name="40% - Accent5 2 2 5 7" xfId="21937" xr:uid="{00000000-0005-0000-0000-0000E5730000}"/>
    <cellStyle name="40% - Accent5 2 2 5 8" xfId="29039" xr:uid="{00000000-0005-0000-0000-0000E6730000}"/>
    <cellStyle name="40% - Accent5 2 2 5 9" xfId="39893" xr:uid="{00000000-0005-0000-0000-0000E7730000}"/>
    <cellStyle name="40% - Accent5 2 2 6" xfId="768" xr:uid="{00000000-0005-0000-0000-0000E8730000}"/>
    <cellStyle name="40% - Accent5 2 2 6 2" xfId="2259" xr:uid="{00000000-0005-0000-0000-0000E9730000}"/>
    <cellStyle name="40% - Accent5 2 2 6 2 2" xfId="6527" xr:uid="{00000000-0005-0000-0000-0000EA730000}"/>
    <cellStyle name="40% - Accent5 2 2 6 2 2 2" xfId="13627" xr:uid="{00000000-0005-0000-0000-0000EB730000}"/>
    <cellStyle name="40% - Accent5 2 2 6 2 2 3" xfId="20728" xr:uid="{00000000-0005-0000-0000-0000EC730000}"/>
    <cellStyle name="40% - Accent5 2 2 6 2 2 4" xfId="27830" xr:uid="{00000000-0005-0000-0000-0000ED730000}"/>
    <cellStyle name="40% - Accent5 2 2 6 2 2 5" xfId="34932" xr:uid="{00000000-0005-0000-0000-0000EE730000}"/>
    <cellStyle name="40% - Accent5 2 2 6 2 2 6" xfId="39894" xr:uid="{00000000-0005-0000-0000-0000EF730000}"/>
    <cellStyle name="40% - Accent5 2 2 6 2 3" xfId="9367" xr:uid="{00000000-0005-0000-0000-0000F0730000}"/>
    <cellStyle name="40% - Accent5 2 2 6 2 4" xfId="16468" xr:uid="{00000000-0005-0000-0000-0000F1730000}"/>
    <cellStyle name="40% - Accent5 2 2 6 2 5" xfId="23570" xr:uid="{00000000-0005-0000-0000-0000F2730000}"/>
    <cellStyle name="40% - Accent5 2 2 6 2 6" xfId="30672" xr:uid="{00000000-0005-0000-0000-0000F3730000}"/>
    <cellStyle name="40% - Accent5 2 2 6 2 7" xfId="39895" xr:uid="{00000000-0005-0000-0000-0000F4730000}"/>
    <cellStyle name="40% - Accent5 2 2 6 3" xfId="5106" xr:uid="{00000000-0005-0000-0000-0000F5730000}"/>
    <cellStyle name="40% - Accent5 2 2 6 3 2" xfId="12207" xr:uid="{00000000-0005-0000-0000-0000F6730000}"/>
    <cellStyle name="40% - Accent5 2 2 6 3 2 2" xfId="39896" xr:uid="{00000000-0005-0000-0000-0000F7730000}"/>
    <cellStyle name="40% - Accent5 2 2 6 3 3" xfId="19308" xr:uid="{00000000-0005-0000-0000-0000F8730000}"/>
    <cellStyle name="40% - Accent5 2 2 6 3 4" xfId="26410" xr:uid="{00000000-0005-0000-0000-0000F9730000}"/>
    <cellStyle name="40% - Accent5 2 2 6 3 5" xfId="33512" xr:uid="{00000000-0005-0000-0000-0000FA730000}"/>
    <cellStyle name="40% - Accent5 2 2 6 3 6" xfId="39897" xr:uid="{00000000-0005-0000-0000-0000FB730000}"/>
    <cellStyle name="40% - Accent5 2 2 6 4" xfId="3681" xr:uid="{00000000-0005-0000-0000-0000FC730000}"/>
    <cellStyle name="40% - Accent5 2 2 6 4 2" xfId="10787" xr:uid="{00000000-0005-0000-0000-0000FD730000}"/>
    <cellStyle name="40% - Accent5 2 2 6 4 3" xfId="17888" xr:uid="{00000000-0005-0000-0000-0000FE730000}"/>
    <cellStyle name="40% - Accent5 2 2 6 4 4" xfId="24990" xr:uid="{00000000-0005-0000-0000-0000FF730000}"/>
    <cellStyle name="40% - Accent5 2 2 6 4 5" xfId="32092" xr:uid="{00000000-0005-0000-0000-000000740000}"/>
    <cellStyle name="40% - Accent5 2 2 6 4 6" xfId="39898" xr:uid="{00000000-0005-0000-0000-000001740000}"/>
    <cellStyle name="40% - Accent5 2 2 6 5" xfId="7947" xr:uid="{00000000-0005-0000-0000-000002740000}"/>
    <cellStyle name="40% - Accent5 2 2 6 6" xfId="15048" xr:uid="{00000000-0005-0000-0000-000003740000}"/>
    <cellStyle name="40% - Accent5 2 2 6 7" xfId="22150" xr:uid="{00000000-0005-0000-0000-000004740000}"/>
    <cellStyle name="40% - Accent5 2 2 6 8" xfId="29252" xr:uid="{00000000-0005-0000-0000-000005740000}"/>
    <cellStyle name="40% - Accent5 2 2 6 9" xfId="39899" xr:uid="{00000000-0005-0000-0000-000006740000}"/>
    <cellStyle name="40% - Accent5 2 2 7" xfId="981" xr:uid="{00000000-0005-0000-0000-000007740000}"/>
    <cellStyle name="40% - Accent5 2 2 7 2" xfId="2472" xr:uid="{00000000-0005-0000-0000-000008740000}"/>
    <cellStyle name="40% - Accent5 2 2 7 2 2" xfId="6740" xr:uid="{00000000-0005-0000-0000-000009740000}"/>
    <cellStyle name="40% - Accent5 2 2 7 2 2 2" xfId="13840" xr:uid="{00000000-0005-0000-0000-00000A740000}"/>
    <cellStyle name="40% - Accent5 2 2 7 2 2 3" xfId="20941" xr:uid="{00000000-0005-0000-0000-00000B740000}"/>
    <cellStyle name="40% - Accent5 2 2 7 2 2 4" xfId="28043" xr:uid="{00000000-0005-0000-0000-00000C740000}"/>
    <cellStyle name="40% - Accent5 2 2 7 2 2 5" xfId="35145" xr:uid="{00000000-0005-0000-0000-00000D740000}"/>
    <cellStyle name="40% - Accent5 2 2 7 2 3" xfId="9580" xr:uid="{00000000-0005-0000-0000-00000E740000}"/>
    <cellStyle name="40% - Accent5 2 2 7 2 4" xfId="16681" xr:uid="{00000000-0005-0000-0000-00000F740000}"/>
    <cellStyle name="40% - Accent5 2 2 7 2 5" xfId="23783" xr:uid="{00000000-0005-0000-0000-000010740000}"/>
    <cellStyle name="40% - Accent5 2 2 7 2 6" xfId="30885" xr:uid="{00000000-0005-0000-0000-000011740000}"/>
    <cellStyle name="40% - Accent5 2 2 7 2 7" xfId="39900" xr:uid="{00000000-0005-0000-0000-000012740000}"/>
    <cellStyle name="40% - Accent5 2 2 7 3" xfId="5319" xr:uid="{00000000-0005-0000-0000-000013740000}"/>
    <cellStyle name="40% - Accent5 2 2 7 3 2" xfId="12420" xr:uid="{00000000-0005-0000-0000-000014740000}"/>
    <cellStyle name="40% - Accent5 2 2 7 3 3" xfId="19521" xr:uid="{00000000-0005-0000-0000-000015740000}"/>
    <cellStyle name="40% - Accent5 2 2 7 3 4" xfId="26623" xr:uid="{00000000-0005-0000-0000-000016740000}"/>
    <cellStyle name="40% - Accent5 2 2 7 3 5" xfId="33725" xr:uid="{00000000-0005-0000-0000-000017740000}"/>
    <cellStyle name="40% - Accent5 2 2 7 4" xfId="3894" xr:uid="{00000000-0005-0000-0000-000018740000}"/>
    <cellStyle name="40% - Accent5 2 2 7 4 2" xfId="11000" xr:uid="{00000000-0005-0000-0000-000019740000}"/>
    <cellStyle name="40% - Accent5 2 2 7 4 3" xfId="18101" xr:uid="{00000000-0005-0000-0000-00001A740000}"/>
    <cellStyle name="40% - Accent5 2 2 7 4 4" xfId="25203" xr:uid="{00000000-0005-0000-0000-00001B740000}"/>
    <cellStyle name="40% - Accent5 2 2 7 4 5" xfId="32305" xr:uid="{00000000-0005-0000-0000-00001C740000}"/>
    <cellStyle name="40% - Accent5 2 2 7 5" xfId="8160" xr:uid="{00000000-0005-0000-0000-00001D740000}"/>
    <cellStyle name="40% - Accent5 2 2 7 6" xfId="15261" xr:uid="{00000000-0005-0000-0000-00001E740000}"/>
    <cellStyle name="40% - Accent5 2 2 7 7" xfId="22363" xr:uid="{00000000-0005-0000-0000-00001F740000}"/>
    <cellStyle name="40% - Accent5 2 2 7 8" xfId="29465" xr:uid="{00000000-0005-0000-0000-000020740000}"/>
    <cellStyle name="40% - Accent5 2 2 7 9" xfId="39901" xr:uid="{00000000-0005-0000-0000-000021740000}"/>
    <cellStyle name="40% - Accent5 2 2 8" xfId="1336" xr:uid="{00000000-0005-0000-0000-000022740000}"/>
    <cellStyle name="40% - Accent5 2 2 8 2" xfId="2827" xr:uid="{00000000-0005-0000-0000-000023740000}"/>
    <cellStyle name="40% - Accent5 2 2 8 2 2" xfId="7095" xr:uid="{00000000-0005-0000-0000-000024740000}"/>
    <cellStyle name="40% - Accent5 2 2 8 2 2 2" xfId="14195" xr:uid="{00000000-0005-0000-0000-000025740000}"/>
    <cellStyle name="40% - Accent5 2 2 8 2 2 3" xfId="21296" xr:uid="{00000000-0005-0000-0000-000026740000}"/>
    <cellStyle name="40% - Accent5 2 2 8 2 2 4" xfId="28398" xr:uid="{00000000-0005-0000-0000-000027740000}"/>
    <cellStyle name="40% - Accent5 2 2 8 2 2 5" xfId="35500" xr:uid="{00000000-0005-0000-0000-000028740000}"/>
    <cellStyle name="40% - Accent5 2 2 8 2 3" xfId="9935" xr:uid="{00000000-0005-0000-0000-000029740000}"/>
    <cellStyle name="40% - Accent5 2 2 8 2 4" xfId="17036" xr:uid="{00000000-0005-0000-0000-00002A740000}"/>
    <cellStyle name="40% - Accent5 2 2 8 2 5" xfId="24138" xr:uid="{00000000-0005-0000-0000-00002B740000}"/>
    <cellStyle name="40% - Accent5 2 2 8 2 6" xfId="31240" xr:uid="{00000000-0005-0000-0000-00002C740000}"/>
    <cellStyle name="40% - Accent5 2 2 8 2 7" xfId="39902" xr:uid="{00000000-0005-0000-0000-00002D740000}"/>
    <cellStyle name="40% - Accent5 2 2 8 3" xfId="5674" xr:uid="{00000000-0005-0000-0000-00002E740000}"/>
    <cellStyle name="40% - Accent5 2 2 8 3 2" xfId="12775" xr:uid="{00000000-0005-0000-0000-00002F740000}"/>
    <cellStyle name="40% - Accent5 2 2 8 3 3" xfId="19876" xr:uid="{00000000-0005-0000-0000-000030740000}"/>
    <cellStyle name="40% - Accent5 2 2 8 3 4" xfId="26978" xr:uid="{00000000-0005-0000-0000-000031740000}"/>
    <cellStyle name="40% - Accent5 2 2 8 3 5" xfId="34080" xr:uid="{00000000-0005-0000-0000-000032740000}"/>
    <cellStyle name="40% - Accent5 2 2 8 4" xfId="4249" xr:uid="{00000000-0005-0000-0000-000033740000}"/>
    <cellStyle name="40% - Accent5 2 2 8 4 2" xfId="11355" xr:uid="{00000000-0005-0000-0000-000034740000}"/>
    <cellStyle name="40% - Accent5 2 2 8 4 3" xfId="18456" xr:uid="{00000000-0005-0000-0000-000035740000}"/>
    <cellStyle name="40% - Accent5 2 2 8 4 4" xfId="25558" xr:uid="{00000000-0005-0000-0000-000036740000}"/>
    <cellStyle name="40% - Accent5 2 2 8 4 5" xfId="32660" xr:uid="{00000000-0005-0000-0000-000037740000}"/>
    <cellStyle name="40% - Accent5 2 2 8 5" xfId="8515" xr:uid="{00000000-0005-0000-0000-000038740000}"/>
    <cellStyle name="40% - Accent5 2 2 8 6" xfId="15616" xr:uid="{00000000-0005-0000-0000-000039740000}"/>
    <cellStyle name="40% - Accent5 2 2 8 7" xfId="22718" xr:uid="{00000000-0005-0000-0000-00003A740000}"/>
    <cellStyle name="40% - Accent5 2 2 8 8" xfId="29820" xr:uid="{00000000-0005-0000-0000-00003B740000}"/>
    <cellStyle name="40% - Accent5 2 2 8 9" xfId="39903" xr:uid="{00000000-0005-0000-0000-00003C740000}"/>
    <cellStyle name="40% - Accent5 2 2 9" xfId="1620" xr:uid="{00000000-0005-0000-0000-00003D740000}"/>
    <cellStyle name="40% - Accent5 2 2 9 2" xfId="5888" xr:uid="{00000000-0005-0000-0000-00003E740000}"/>
    <cellStyle name="40% - Accent5 2 2 9 2 2" xfId="12988" xr:uid="{00000000-0005-0000-0000-00003F740000}"/>
    <cellStyle name="40% - Accent5 2 2 9 2 3" xfId="20089" xr:uid="{00000000-0005-0000-0000-000040740000}"/>
    <cellStyle name="40% - Accent5 2 2 9 2 4" xfId="27191" xr:uid="{00000000-0005-0000-0000-000041740000}"/>
    <cellStyle name="40% - Accent5 2 2 9 2 5" xfId="34293" xr:uid="{00000000-0005-0000-0000-000042740000}"/>
    <cellStyle name="40% - Accent5 2 2 9 3" xfId="8728" xr:uid="{00000000-0005-0000-0000-000043740000}"/>
    <cellStyle name="40% - Accent5 2 2 9 4" xfId="15829" xr:uid="{00000000-0005-0000-0000-000044740000}"/>
    <cellStyle name="40% - Accent5 2 2 9 5" xfId="22931" xr:uid="{00000000-0005-0000-0000-000045740000}"/>
    <cellStyle name="40% - Accent5 2 2 9 6" xfId="30033" xr:uid="{00000000-0005-0000-0000-000046740000}"/>
    <cellStyle name="40% - Accent5 2 2 9 7" xfId="39904" xr:uid="{00000000-0005-0000-0000-000047740000}"/>
    <cellStyle name="40% - Accent5 2 3" xfId="240" xr:uid="{00000000-0005-0000-0000-000048740000}"/>
    <cellStyle name="40% - Accent5 2 3 10" xfId="7419" xr:uid="{00000000-0005-0000-0000-000049740000}"/>
    <cellStyle name="40% - Accent5 2 3 11" xfId="14520" xr:uid="{00000000-0005-0000-0000-00004A740000}"/>
    <cellStyle name="40% - Accent5 2 3 12" xfId="21622" xr:uid="{00000000-0005-0000-0000-00004B740000}"/>
    <cellStyle name="40% - Accent5 2 3 13" xfId="28724" xr:uid="{00000000-0005-0000-0000-00004C740000}"/>
    <cellStyle name="40% - Accent5 2 3 14" xfId="35826" xr:uid="{00000000-0005-0000-0000-00004D740000}"/>
    <cellStyle name="40% - Accent5 2 3 15" xfId="39905" xr:uid="{00000000-0005-0000-0000-00004E740000}"/>
    <cellStyle name="40% - Accent5 2 3 2" xfId="453" xr:uid="{00000000-0005-0000-0000-00004F740000}"/>
    <cellStyle name="40% - Accent5 2 3 2 10" xfId="39906" xr:uid="{00000000-0005-0000-0000-000050740000}"/>
    <cellStyle name="40% - Accent5 2 3 2 2" xfId="1234" xr:uid="{00000000-0005-0000-0000-000051740000}"/>
    <cellStyle name="40% - Accent5 2 3 2 2 2" xfId="2725" xr:uid="{00000000-0005-0000-0000-000052740000}"/>
    <cellStyle name="40% - Accent5 2 3 2 2 2 2" xfId="6993" xr:uid="{00000000-0005-0000-0000-000053740000}"/>
    <cellStyle name="40% - Accent5 2 3 2 2 2 2 2" xfId="14093" xr:uid="{00000000-0005-0000-0000-000054740000}"/>
    <cellStyle name="40% - Accent5 2 3 2 2 2 2 3" xfId="21194" xr:uid="{00000000-0005-0000-0000-000055740000}"/>
    <cellStyle name="40% - Accent5 2 3 2 2 2 2 4" xfId="28296" xr:uid="{00000000-0005-0000-0000-000056740000}"/>
    <cellStyle name="40% - Accent5 2 3 2 2 2 2 5" xfId="35398" xr:uid="{00000000-0005-0000-0000-000057740000}"/>
    <cellStyle name="40% - Accent5 2 3 2 2 2 3" xfId="9833" xr:uid="{00000000-0005-0000-0000-000058740000}"/>
    <cellStyle name="40% - Accent5 2 3 2 2 2 4" xfId="16934" xr:uid="{00000000-0005-0000-0000-000059740000}"/>
    <cellStyle name="40% - Accent5 2 3 2 2 2 5" xfId="24036" xr:uid="{00000000-0005-0000-0000-00005A740000}"/>
    <cellStyle name="40% - Accent5 2 3 2 2 2 6" xfId="31138" xr:uid="{00000000-0005-0000-0000-00005B740000}"/>
    <cellStyle name="40% - Accent5 2 3 2 2 2 7" xfId="39907" xr:uid="{00000000-0005-0000-0000-00005C740000}"/>
    <cellStyle name="40% - Accent5 2 3 2 2 3" xfId="5572" xr:uid="{00000000-0005-0000-0000-00005D740000}"/>
    <cellStyle name="40% - Accent5 2 3 2 2 3 2" xfId="12673" xr:uid="{00000000-0005-0000-0000-00005E740000}"/>
    <cellStyle name="40% - Accent5 2 3 2 2 3 3" xfId="19774" xr:uid="{00000000-0005-0000-0000-00005F740000}"/>
    <cellStyle name="40% - Accent5 2 3 2 2 3 4" xfId="26876" xr:uid="{00000000-0005-0000-0000-000060740000}"/>
    <cellStyle name="40% - Accent5 2 3 2 2 3 5" xfId="33978" xr:uid="{00000000-0005-0000-0000-000061740000}"/>
    <cellStyle name="40% - Accent5 2 3 2 2 4" xfId="4147" xr:uid="{00000000-0005-0000-0000-000062740000}"/>
    <cellStyle name="40% - Accent5 2 3 2 2 4 2" xfId="11253" xr:uid="{00000000-0005-0000-0000-000063740000}"/>
    <cellStyle name="40% - Accent5 2 3 2 2 4 3" xfId="18354" xr:uid="{00000000-0005-0000-0000-000064740000}"/>
    <cellStyle name="40% - Accent5 2 3 2 2 4 4" xfId="25456" xr:uid="{00000000-0005-0000-0000-000065740000}"/>
    <cellStyle name="40% - Accent5 2 3 2 2 4 5" xfId="32558" xr:uid="{00000000-0005-0000-0000-000066740000}"/>
    <cellStyle name="40% - Accent5 2 3 2 2 5" xfId="8413" xr:uid="{00000000-0005-0000-0000-000067740000}"/>
    <cellStyle name="40% - Accent5 2 3 2 2 6" xfId="15514" xr:uid="{00000000-0005-0000-0000-000068740000}"/>
    <cellStyle name="40% - Accent5 2 3 2 2 7" xfId="22616" xr:uid="{00000000-0005-0000-0000-000069740000}"/>
    <cellStyle name="40% - Accent5 2 3 2 2 8" xfId="29718" xr:uid="{00000000-0005-0000-0000-00006A740000}"/>
    <cellStyle name="40% - Accent5 2 3 2 2 9" xfId="39908" xr:uid="{00000000-0005-0000-0000-00006B740000}"/>
    <cellStyle name="40% - Accent5 2 3 2 3" xfId="1944" xr:uid="{00000000-0005-0000-0000-00006C740000}"/>
    <cellStyle name="40% - Accent5 2 3 2 3 2" xfId="6212" xr:uid="{00000000-0005-0000-0000-00006D740000}"/>
    <cellStyle name="40% - Accent5 2 3 2 3 2 2" xfId="13312" xr:uid="{00000000-0005-0000-0000-00006E740000}"/>
    <cellStyle name="40% - Accent5 2 3 2 3 2 3" xfId="20413" xr:uid="{00000000-0005-0000-0000-00006F740000}"/>
    <cellStyle name="40% - Accent5 2 3 2 3 2 4" xfId="27515" xr:uid="{00000000-0005-0000-0000-000070740000}"/>
    <cellStyle name="40% - Accent5 2 3 2 3 2 5" xfId="34617" xr:uid="{00000000-0005-0000-0000-000071740000}"/>
    <cellStyle name="40% - Accent5 2 3 2 3 2 6" xfId="39909" xr:uid="{00000000-0005-0000-0000-000072740000}"/>
    <cellStyle name="40% - Accent5 2 3 2 3 3" xfId="9052" xr:uid="{00000000-0005-0000-0000-000073740000}"/>
    <cellStyle name="40% - Accent5 2 3 2 3 4" xfId="16153" xr:uid="{00000000-0005-0000-0000-000074740000}"/>
    <cellStyle name="40% - Accent5 2 3 2 3 5" xfId="23255" xr:uid="{00000000-0005-0000-0000-000075740000}"/>
    <cellStyle name="40% - Accent5 2 3 2 3 6" xfId="30357" xr:uid="{00000000-0005-0000-0000-000076740000}"/>
    <cellStyle name="40% - Accent5 2 3 2 3 7" xfId="39910" xr:uid="{00000000-0005-0000-0000-000077740000}"/>
    <cellStyle name="40% - Accent5 2 3 2 4" xfId="4791" xr:uid="{00000000-0005-0000-0000-000078740000}"/>
    <cellStyle name="40% - Accent5 2 3 2 4 2" xfId="11892" xr:uid="{00000000-0005-0000-0000-000079740000}"/>
    <cellStyle name="40% - Accent5 2 3 2 4 3" xfId="18993" xr:uid="{00000000-0005-0000-0000-00007A740000}"/>
    <cellStyle name="40% - Accent5 2 3 2 4 4" xfId="26095" xr:uid="{00000000-0005-0000-0000-00007B740000}"/>
    <cellStyle name="40% - Accent5 2 3 2 4 5" xfId="33197" xr:uid="{00000000-0005-0000-0000-00007C740000}"/>
    <cellStyle name="40% - Accent5 2 3 2 4 6" xfId="39911" xr:uid="{00000000-0005-0000-0000-00007D740000}"/>
    <cellStyle name="40% - Accent5 2 3 2 5" xfId="3366" xr:uid="{00000000-0005-0000-0000-00007E740000}"/>
    <cellStyle name="40% - Accent5 2 3 2 5 2" xfId="10472" xr:uid="{00000000-0005-0000-0000-00007F740000}"/>
    <cellStyle name="40% - Accent5 2 3 2 5 3" xfId="17573" xr:uid="{00000000-0005-0000-0000-000080740000}"/>
    <cellStyle name="40% - Accent5 2 3 2 5 4" xfId="24675" xr:uid="{00000000-0005-0000-0000-000081740000}"/>
    <cellStyle name="40% - Accent5 2 3 2 5 5" xfId="31777" xr:uid="{00000000-0005-0000-0000-000082740000}"/>
    <cellStyle name="40% - Accent5 2 3 2 6" xfId="7632" xr:uid="{00000000-0005-0000-0000-000083740000}"/>
    <cellStyle name="40% - Accent5 2 3 2 7" xfId="14733" xr:uid="{00000000-0005-0000-0000-000084740000}"/>
    <cellStyle name="40% - Accent5 2 3 2 8" xfId="21835" xr:uid="{00000000-0005-0000-0000-000085740000}"/>
    <cellStyle name="40% - Accent5 2 3 2 9" xfId="28937" xr:uid="{00000000-0005-0000-0000-000086740000}"/>
    <cellStyle name="40% - Accent5 2 3 3" xfId="666" xr:uid="{00000000-0005-0000-0000-000087740000}"/>
    <cellStyle name="40% - Accent5 2 3 3 2" xfId="2157" xr:uid="{00000000-0005-0000-0000-000088740000}"/>
    <cellStyle name="40% - Accent5 2 3 3 2 2" xfId="6425" xr:uid="{00000000-0005-0000-0000-000089740000}"/>
    <cellStyle name="40% - Accent5 2 3 3 2 2 2" xfId="13525" xr:uid="{00000000-0005-0000-0000-00008A740000}"/>
    <cellStyle name="40% - Accent5 2 3 3 2 2 3" xfId="20626" xr:uid="{00000000-0005-0000-0000-00008B740000}"/>
    <cellStyle name="40% - Accent5 2 3 3 2 2 4" xfId="27728" xr:uid="{00000000-0005-0000-0000-00008C740000}"/>
    <cellStyle name="40% - Accent5 2 3 3 2 2 5" xfId="34830" xr:uid="{00000000-0005-0000-0000-00008D740000}"/>
    <cellStyle name="40% - Accent5 2 3 3 2 2 6" xfId="39912" xr:uid="{00000000-0005-0000-0000-00008E740000}"/>
    <cellStyle name="40% - Accent5 2 3 3 2 3" xfId="9265" xr:uid="{00000000-0005-0000-0000-00008F740000}"/>
    <cellStyle name="40% - Accent5 2 3 3 2 4" xfId="16366" xr:uid="{00000000-0005-0000-0000-000090740000}"/>
    <cellStyle name="40% - Accent5 2 3 3 2 5" xfId="23468" xr:uid="{00000000-0005-0000-0000-000091740000}"/>
    <cellStyle name="40% - Accent5 2 3 3 2 6" xfId="30570" xr:uid="{00000000-0005-0000-0000-000092740000}"/>
    <cellStyle name="40% - Accent5 2 3 3 2 7" xfId="39913" xr:uid="{00000000-0005-0000-0000-000093740000}"/>
    <cellStyle name="40% - Accent5 2 3 3 3" xfId="5004" xr:uid="{00000000-0005-0000-0000-000094740000}"/>
    <cellStyle name="40% - Accent5 2 3 3 3 2" xfId="12105" xr:uid="{00000000-0005-0000-0000-000095740000}"/>
    <cellStyle name="40% - Accent5 2 3 3 3 2 2" xfId="39914" xr:uid="{00000000-0005-0000-0000-000096740000}"/>
    <cellStyle name="40% - Accent5 2 3 3 3 3" xfId="19206" xr:uid="{00000000-0005-0000-0000-000097740000}"/>
    <cellStyle name="40% - Accent5 2 3 3 3 4" xfId="26308" xr:uid="{00000000-0005-0000-0000-000098740000}"/>
    <cellStyle name="40% - Accent5 2 3 3 3 5" xfId="33410" xr:uid="{00000000-0005-0000-0000-000099740000}"/>
    <cellStyle name="40% - Accent5 2 3 3 3 6" xfId="39915" xr:uid="{00000000-0005-0000-0000-00009A740000}"/>
    <cellStyle name="40% - Accent5 2 3 3 4" xfId="3579" xr:uid="{00000000-0005-0000-0000-00009B740000}"/>
    <cellStyle name="40% - Accent5 2 3 3 4 2" xfId="10685" xr:uid="{00000000-0005-0000-0000-00009C740000}"/>
    <cellStyle name="40% - Accent5 2 3 3 4 3" xfId="17786" xr:uid="{00000000-0005-0000-0000-00009D740000}"/>
    <cellStyle name="40% - Accent5 2 3 3 4 4" xfId="24888" xr:uid="{00000000-0005-0000-0000-00009E740000}"/>
    <cellStyle name="40% - Accent5 2 3 3 4 5" xfId="31990" xr:uid="{00000000-0005-0000-0000-00009F740000}"/>
    <cellStyle name="40% - Accent5 2 3 3 4 6" xfId="39916" xr:uid="{00000000-0005-0000-0000-0000A0740000}"/>
    <cellStyle name="40% - Accent5 2 3 3 5" xfId="7845" xr:uid="{00000000-0005-0000-0000-0000A1740000}"/>
    <cellStyle name="40% - Accent5 2 3 3 6" xfId="14946" xr:uid="{00000000-0005-0000-0000-0000A2740000}"/>
    <cellStyle name="40% - Accent5 2 3 3 7" xfId="22048" xr:uid="{00000000-0005-0000-0000-0000A3740000}"/>
    <cellStyle name="40% - Accent5 2 3 3 8" xfId="29150" xr:uid="{00000000-0005-0000-0000-0000A4740000}"/>
    <cellStyle name="40% - Accent5 2 3 3 9" xfId="39917" xr:uid="{00000000-0005-0000-0000-0000A5740000}"/>
    <cellStyle name="40% - Accent5 2 3 4" xfId="879" xr:uid="{00000000-0005-0000-0000-0000A6740000}"/>
    <cellStyle name="40% - Accent5 2 3 4 2" xfId="2370" xr:uid="{00000000-0005-0000-0000-0000A7740000}"/>
    <cellStyle name="40% - Accent5 2 3 4 2 2" xfId="6638" xr:uid="{00000000-0005-0000-0000-0000A8740000}"/>
    <cellStyle name="40% - Accent5 2 3 4 2 2 2" xfId="13738" xr:uid="{00000000-0005-0000-0000-0000A9740000}"/>
    <cellStyle name="40% - Accent5 2 3 4 2 2 3" xfId="20839" xr:uid="{00000000-0005-0000-0000-0000AA740000}"/>
    <cellStyle name="40% - Accent5 2 3 4 2 2 4" xfId="27941" xr:uid="{00000000-0005-0000-0000-0000AB740000}"/>
    <cellStyle name="40% - Accent5 2 3 4 2 2 5" xfId="35043" xr:uid="{00000000-0005-0000-0000-0000AC740000}"/>
    <cellStyle name="40% - Accent5 2 3 4 2 2 6" xfId="39918" xr:uid="{00000000-0005-0000-0000-0000AD740000}"/>
    <cellStyle name="40% - Accent5 2 3 4 2 3" xfId="9478" xr:uid="{00000000-0005-0000-0000-0000AE740000}"/>
    <cellStyle name="40% - Accent5 2 3 4 2 4" xfId="16579" xr:uid="{00000000-0005-0000-0000-0000AF740000}"/>
    <cellStyle name="40% - Accent5 2 3 4 2 5" xfId="23681" xr:uid="{00000000-0005-0000-0000-0000B0740000}"/>
    <cellStyle name="40% - Accent5 2 3 4 2 6" xfId="30783" xr:uid="{00000000-0005-0000-0000-0000B1740000}"/>
    <cellStyle name="40% - Accent5 2 3 4 2 7" xfId="39919" xr:uid="{00000000-0005-0000-0000-0000B2740000}"/>
    <cellStyle name="40% - Accent5 2 3 4 3" xfId="5217" xr:uid="{00000000-0005-0000-0000-0000B3740000}"/>
    <cellStyle name="40% - Accent5 2 3 4 3 2" xfId="12318" xr:uid="{00000000-0005-0000-0000-0000B4740000}"/>
    <cellStyle name="40% - Accent5 2 3 4 3 2 2" xfId="39920" xr:uid="{00000000-0005-0000-0000-0000B5740000}"/>
    <cellStyle name="40% - Accent5 2 3 4 3 3" xfId="19419" xr:uid="{00000000-0005-0000-0000-0000B6740000}"/>
    <cellStyle name="40% - Accent5 2 3 4 3 4" xfId="26521" xr:uid="{00000000-0005-0000-0000-0000B7740000}"/>
    <cellStyle name="40% - Accent5 2 3 4 3 5" xfId="33623" xr:uid="{00000000-0005-0000-0000-0000B8740000}"/>
    <cellStyle name="40% - Accent5 2 3 4 3 6" xfId="39921" xr:uid="{00000000-0005-0000-0000-0000B9740000}"/>
    <cellStyle name="40% - Accent5 2 3 4 4" xfId="3792" xr:uid="{00000000-0005-0000-0000-0000BA740000}"/>
    <cellStyle name="40% - Accent5 2 3 4 4 2" xfId="10898" xr:uid="{00000000-0005-0000-0000-0000BB740000}"/>
    <cellStyle name="40% - Accent5 2 3 4 4 3" xfId="17999" xr:uid="{00000000-0005-0000-0000-0000BC740000}"/>
    <cellStyle name="40% - Accent5 2 3 4 4 4" xfId="25101" xr:uid="{00000000-0005-0000-0000-0000BD740000}"/>
    <cellStyle name="40% - Accent5 2 3 4 4 5" xfId="32203" xr:uid="{00000000-0005-0000-0000-0000BE740000}"/>
    <cellStyle name="40% - Accent5 2 3 4 4 6" xfId="39922" xr:uid="{00000000-0005-0000-0000-0000BF740000}"/>
    <cellStyle name="40% - Accent5 2 3 4 5" xfId="8058" xr:uid="{00000000-0005-0000-0000-0000C0740000}"/>
    <cellStyle name="40% - Accent5 2 3 4 6" xfId="15159" xr:uid="{00000000-0005-0000-0000-0000C1740000}"/>
    <cellStyle name="40% - Accent5 2 3 4 7" xfId="22261" xr:uid="{00000000-0005-0000-0000-0000C2740000}"/>
    <cellStyle name="40% - Accent5 2 3 4 8" xfId="29363" xr:uid="{00000000-0005-0000-0000-0000C3740000}"/>
    <cellStyle name="40% - Accent5 2 3 4 9" xfId="39923" xr:uid="{00000000-0005-0000-0000-0000C4740000}"/>
    <cellStyle name="40% - Accent5 2 3 5" xfId="1021" xr:uid="{00000000-0005-0000-0000-0000C5740000}"/>
    <cellStyle name="40% - Accent5 2 3 5 2" xfId="2512" xr:uid="{00000000-0005-0000-0000-0000C6740000}"/>
    <cellStyle name="40% - Accent5 2 3 5 2 2" xfId="6780" xr:uid="{00000000-0005-0000-0000-0000C7740000}"/>
    <cellStyle name="40% - Accent5 2 3 5 2 2 2" xfId="13880" xr:uid="{00000000-0005-0000-0000-0000C8740000}"/>
    <cellStyle name="40% - Accent5 2 3 5 2 2 3" xfId="20981" xr:uid="{00000000-0005-0000-0000-0000C9740000}"/>
    <cellStyle name="40% - Accent5 2 3 5 2 2 4" xfId="28083" xr:uid="{00000000-0005-0000-0000-0000CA740000}"/>
    <cellStyle name="40% - Accent5 2 3 5 2 2 5" xfId="35185" xr:uid="{00000000-0005-0000-0000-0000CB740000}"/>
    <cellStyle name="40% - Accent5 2 3 5 2 3" xfId="9620" xr:uid="{00000000-0005-0000-0000-0000CC740000}"/>
    <cellStyle name="40% - Accent5 2 3 5 2 4" xfId="16721" xr:uid="{00000000-0005-0000-0000-0000CD740000}"/>
    <cellStyle name="40% - Accent5 2 3 5 2 5" xfId="23823" xr:uid="{00000000-0005-0000-0000-0000CE740000}"/>
    <cellStyle name="40% - Accent5 2 3 5 2 6" xfId="30925" xr:uid="{00000000-0005-0000-0000-0000CF740000}"/>
    <cellStyle name="40% - Accent5 2 3 5 2 7" xfId="39924" xr:uid="{00000000-0005-0000-0000-0000D0740000}"/>
    <cellStyle name="40% - Accent5 2 3 5 3" xfId="5359" xr:uid="{00000000-0005-0000-0000-0000D1740000}"/>
    <cellStyle name="40% - Accent5 2 3 5 3 2" xfId="12460" xr:uid="{00000000-0005-0000-0000-0000D2740000}"/>
    <cellStyle name="40% - Accent5 2 3 5 3 3" xfId="19561" xr:uid="{00000000-0005-0000-0000-0000D3740000}"/>
    <cellStyle name="40% - Accent5 2 3 5 3 4" xfId="26663" xr:uid="{00000000-0005-0000-0000-0000D4740000}"/>
    <cellStyle name="40% - Accent5 2 3 5 3 5" xfId="33765" xr:uid="{00000000-0005-0000-0000-0000D5740000}"/>
    <cellStyle name="40% - Accent5 2 3 5 4" xfId="3934" xr:uid="{00000000-0005-0000-0000-0000D6740000}"/>
    <cellStyle name="40% - Accent5 2 3 5 4 2" xfId="11040" xr:uid="{00000000-0005-0000-0000-0000D7740000}"/>
    <cellStyle name="40% - Accent5 2 3 5 4 3" xfId="18141" xr:uid="{00000000-0005-0000-0000-0000D8740000}"/>
    <cellStyle name="40% - Accent5 2 3 5 4 4" xfId="25243" xr:uid="{00000000-0005-0000-0000-0000D9740000}"/>
    <cellStyle name="40% - Accent5 2 3 5 4 5" xfId="32345" xr:uid="{00000000-0005-0000-0000-0000DA740000}"/>
    <cellStyle name="40% - Accent5 2 3 5 5" xfId="8200" xr:uid="{00000000-0005-0000-0000-0000DB740000}"/>
    <cellStyle name="40% - Accent5 2 3 5 6" xfId="15301" xr:uid="{00000000-0005-0000-0000-0000DC740000}"/>
    <cellStyle name="40% - Accent5 2 3 5 7" xfId="22403" xr:uid="{00000000-0005-0000-0000-0000DD740000}"/>
    <cellStyle name="40% - Accent5 2 3 5 8" xfId="29505" xr:uid="{00000000-0005-0000-0000-0000DE740000}"/>
    <cellStyle name="40% - Accent5 2 3 5 9" xfId="39925" xr:uid="{00000000-0005-0000-0000-0000DF740000}"/>
    <cellStyle name="40% - Accent5 2 3 6" xfId="1447" xr:uid="{00000000-0005-0000-0000-0000E0740000}"/>
    <cellStyle name="40% - Accent5 2 3 6 2" xfId="2938" xr:uid="{00000000-0005-0000-0000-0000E1740000}"/>
    <cellStyle name="40% - Accent5 2 3 6 2 2" xfId="7206" xr:uid="{00000000-0005-0000-0000-0000E2740000}"/>
    <cellStyle name="40% - Accent5 2 3 6 2 2 2" xfId="14306" xr:uid="{00000000-0005-0000-0000-0000E3740000}"/>
    <cellStyle name="40% - Accent5 2 3 6 2 2 3" xfId="21407" xr:uid="{00000000-0005-0000-0000-0000E4740000}"/>
    <cellStyle name="40% - Accent5 2 3 6 2 2 4" xfId="28509" xr:uid="{00000000-0005-0000-0000-0000E5740000}"/>
    <cellStyle name="40% - Accent5 2 3 6 2 2 5" xfId="35611" xr:uid="{00000000-0005-0000-0000-0000E6740000}"/>
    <cellStyle name="40% - Accent5 2 3 6 2 3" xfId="10046" xr:uid="{00000000-0005-0000-0000-0000E7740000}"/>
    <cellStyle name="40% - Accent5 2 3 6 2 4" xfId="17147" xr:uid="{00000000-0005-0000-0000-0000E8740000}"/>
    <cellStyle name="40% - Accent5 2 3 6 2 5" xfId="24249" xr:uid="{00000000-0005-0000-0000-0000E9740000}"/>
    <cellStyle name="40% - Accent5 2 3 6 2 6" xfId="31351" xr:uid="{00000000-0005-0000-0000-0000EA740000}"/>
    <cellStyle name="40% - Accent5 2 3 6 2 7" xfId="39926" xr:uid="{00000000-0005-0000-0000-0000EB740000}"/>
    <cellStyle name="40% - Accent5 2 3 6 3" xfId="5785" xr:uid="{00000000-0005-0000-0000-0000EC740000}"/>
    <cellStyle name="40% - Accent5 2 3 6 3 2" xfId="12886" xr:uid="{00000000-0005-0000-0000-0000ED740000}"/>
    <cellStyle name="40% - Accent5 2 3 6 3 3" xfId="19987" xr:uid="{00000000-0005-0000-0000-0000EE740000}"/>
    <cellStyle name="40% - Accent5 2 3 6 3 4" xfId="27089" xr:uid="{00000000-0005-0000-0000-0000EF740000}"/>
    <cellStyle name="40% - Accent5 2 3 6 3 5" xfId="34191" xr:uid="{00000000-0005-0000-0000-0000F0740000}"/>
    <cellStyle name="40% - Accent5 2 3 6 4" xfId="4360" xr:uid="{00000000-0005-0000-0000-0000F1740000}"/>
    <cellStyle name="40% - Accent5 2 3 6 4 2" xfId="11466" xr:uid="{00000000-0005-0000-0000-0000F2740000}"/>
    <cellStyle name="40% - Accent5 2 3 6 4 3" xfId="18567" xr:uid="{00000000-0005-0000-0000-0000F3740000}"/>
    <cellStyle name="40% - Accent5 2 3 6 4 4" xfId="25669" xr:uid="{00000000-0005-0000-0000-0000F4740000}"/>
    <cellStyle name="40% - Accent5 2 3 6 4 5" xfId="32771" xr:uid="{00000000-0005-0000-0000-0000F5740000}"/>
    <cellStyle name="40% - Accent5 2 3 6 5" xfId="8626" xr:uid="{00000000-0005-0000-0000-0000F6740000}"/>
    <cellStyle name="40% - Accent5 2 3 6 6" xfId="15727" xr:uid="{00000000-0005-0000-0000-0000F7740000}"/>
    <cellStyle name="40% - Accent5 2 3 6 7" xfId="22829" xr:uid="{00000000-0005-0000-0000-0000F8740000}"/>
    <cellStyle name="40% - Accent5 2 3 6 8" xfId="29931" xr:uid="{00000000-0005-0000-0000-0000F9740000}"/>
    <cellStyle name="40% - Accent5 2 3 6 9" xfId="39927" xr:uid="{00000000-0005-0000-0000-0000FA740000}"/>
    <cellStyle name="40% - Accent5 2 3 7" xfId="1731" xr:uid="{00000000-0005-0000-0000-0000FB740000}"/>
    <cellStyle name="40% - Accent5 2 3 7 2" xfId="5999" xr:uid="{00000000-0005-0000-0000-0000FC740000}"/>
    <cellStyle name="40% - Accent5 2 3 7 2 2" xfId="13099" xr:uid="{00000000-0005-0000-0000-0000FD740000}"/>
    <cellStyle name="40% - Accent5 2 3 7 2 3" xfId="20200" xr:uid="{00000000-0005-0000-0000-0000FE740000}"/>
    <cellStyle name="40% - Accent5 2 3 7 2 4" xfId="27302" xr:uid="{00000000-0005-0000-0000-0000FF740000}"/>
    <cellStyle name="40% - Accent5 2 3 7 2 5" xfId="34404" xr:uid="{00000000-0005-0000-0000-000000750000}"/>
    <cellStyle name="40% - Accent5 2 3 7 3" xfId="8839" xr:uid="{00000000-0005-0000-0000-000001750000}"/>
    <cellStyle name="40% - Accent5 2 3 7 4" xfId="15940" xr:uid="{00000000-0005-0000-0000-000002750000}"/>
    <cellStyle name="40% - Accent5 2 3 7 5" xfId="23042" xr:uid="{00000000-0005-0000-0000-000003750000}"/>
    <cellStyle name="40% - Accent5 2 3 7 6" xfId="30144" xr:uid="{00000000-0005-0000-0000-000004750000}"/>
    <cellStyle name="40% - Accent5 2 3 7 7" xfId="39928" xr:uid="{00000000-0005-0000-0000-000005750000}"/>
    <cellStyle name="40% - Accent5 2 3 8" xfId="4578" xr:uid="{00000000-0005-0000-0000-000006750000}"/>
    <cellStyle name="40% - Accent5 2 3 8 2" xfId="11679" xr:uid="{00000000-0005-0000-0000-000007750000}"/>
    <cellStyle name="40% - Accent5 2 3 8 3" xfId="18780" xr:uid="{00000000-0005-0000-0000-000008750000}"/>
    <cellStyle name="40% - Accent5 2 3 8 4" xfId="25882" xr:uid="{00000000-0005-0000-0000-000009750000}"/>
    <cellStyle name="40% - Accent5 2 3 8 5" xfId="32984" xr:uid="{00000000-0005-0000-0000-00000A750000}"/>
    <cellStyle name="40% - Accent5 2 3 9" xfId="3153" xr:uid="{00000000-0005-0000-0000-00000B750000}"/>
    <cellStyle name="40% - Accent5 2 3 9 2" xfId="10259" xr:uid="{00000000-0005-0000-0000-00000C750000}"/>
    <cellStyle name="40% - Accent5 2 3 9 3" xfId="17360" xr:uid="{00000000-0005-0000-0000-00000D750000}"/>
    <cellStyle name="40% - Accent5 2 3 9 4" xfId="24462" xr:uid="{00000000-0005-0000-0000-00000E750000}"/>
    <cellStyle name="40% - Accent5 2 3 9 5" xfId="31564" xr:uid="{00000000-0005-0000-0000-00000F750000}"/>
    <cellStyle name="40% - Accent5 2 4" xfId="169" xr:uid="{00000000-0005-0000-0000-000010750000}"/>
    <cellStyle name="40% - Accent5 2 4 10" xfId="7348" xr:uid="{00000000-0005-0000-0000-000011750000}"/>
    <cellStyle name="40% - Accent5 2 4 11" xfId="14449" xr:uid="{00000000-0005-0000-0000-000012750000}"/>
    <cellStyle name="40% - Accent5 2 4 12" xfId="21551" xr:uid="{00000000-0005-0000-0000-000013750000}"/>
    <cellStyle name="40% - Accent5 2 4 13" xfId="28653" xr:uid="{00000000-0005-0000-0000-000014750000}"/>
    <cellStyle name="40% - Accent5 2 4 14" xfId="35755" xr:uid="{00000000-0005-0000-0000-000015750000}"/>
    <cellStyle name="40% - Accent5 2 4 15" xfId="39929" xr:uid="{00000000-0005-0000-0000-000016750000}"/>
    <cellStyle name="40% - Accent5 2 4 2" xfId="382" xr:uid="{00000000-0005-0000-0000-000017750000}"/>
    <cellStyle name="40% - Accent5 2 4 2 2" xfId="1873" xr:uid="{00000000-0005-0000-0000-000018750000}"/>
    <cellStyle name="40% - Accent5 2 4 2 2 2" xfId="6141" xr:uid="{00000000-0005-0000-0000-000019750000}"/>
    <cellStyle name="40% - Accent5 2 4 2 2 2 2" xfId="13241" xr:uid="{00000000-0005-0000-0000-00001A750000}"/>
    <cellStyle name="40% - Accent5 2 4 2 2 2 3" xfId="20342" xr:uid="{00000000-0005-0000-0000-00001B750000}"/>
    <cellStyle name="40% - Accent5 2 4 2 2 2 4" xfId="27444" xr:uid="{00000000-0005-0000-0000-00001C750000}"/>
    <cellStyle name="40% - Accent5 2 4 2 2 2 5" xfId="34546" xr:uid="{00000000-0005-0000-0000-00001D750000}"/>
    <cellStyle name="40% - Accent5 2 4 2 2 2 6" xfId="39930" xr:uid="{00000000-0005-0000-0000-00001E750000}"/>
    <cellStyle name="40% - Accent5 2 4 2 2 3" xfId="8981" xr:uid="{00000000-0005-0000-0000-00001F750000}"/>
    <cellStyle name="40% - Accent5 2 4 2 2 4" xfId="16082" xr:uid="{00000000-0005-0000-0000-000020750000}"/>
    <cellStyle name="40% - Accent5 2 4 2 2 5" xfId="23184" xr:uid="{00000000-0005-0000-0000-000021750000}"/>
    <cellStyle name="40% - Accent5 2 4 2 2 6" xfId="30286" xr:uid="{00000000-0005-0000-0000-000022750000}"/>
    <cellStyle name="40% - Accent5 2 4 2 2 7" xfId="39931" xr:uid="{00000000-0005-0000-0000-000023750000}"/>
    <cellStyle name="40% - Accent5 2 4 2 3" xfId="4720" xr:uid="{00000000-0005-0000-0000-000024750000}"/>
    <cellStyle name="40% - Accent5 2 4 2 3 2" xfId="11821" xr:uid="{00000000-0005-0000-0000-000025750000}"/>
    <cellStyle name="40% - Accent5 2 4 2 3 2 2" xfId="39932" xr:uid="{00000000-0005-0000-0000-000026750000}"/>
    <cellStyle name="40% - Accent5 2 4 2 3 3" xfId="18922" xr:uid="{00000000-0005-0000-0000-000027750000}"/>
    <cellStyle name="40% - Accent5 2 4 2 3 4" xfId="26024" xr:uid="{00000000-0005-0000-0000-000028750000}"/>
    <cellStyle name="40% - Accent5 2 4 2 3 5" xfId="33126" xr:uid="{00000000-0005-0000-0000-000029750000}"/>
    <cellStyle name="40% - Accent5 2 4 2 3 6" xfId="39933" xr:uid="{00000000-0005-0000-0000-00002A750000}"/>
    <cellStyle name="40% - Accent5 2 4 2 4" xfId="3295" xr:uid="{00000000-0005-0000-0000-00002B750000}"/>
    <cellStyle name="40% - Accent5 2 4 2 4 2" xfId="10401" xr:uid="{00000000-0005-0000-0000-00002C750000}"/>
    <cellStyle name="40% - Accent5 2 4 2 4 3" xfId="17502" xr:uid="{00000000-0005-0000-0000-00002D750000}"/>
    <cellStyle name="40% - Accent5 2 4 2 4 4" xfId="24604" xr:uid="{00000000-0005-0000-0000-00002E750000}"/>
    <cellStyle name="40% - Accent5 2 4 2 4 5" xfId="31706" xr:uid="{00000000-0005-0000-0000-00002F750000}"/>
    <cellStyle name="40% - Accent5 2 4 2 4 6" xfId="39934" xr:uid="{00000000-0005-0000-0000-000030750000}"/>
    <cellStyle name="40% - Accent5 2 4 2 5" xfId="7561" xr:uid="{00000000-0005-0000-0000-000031750000}"/>
    <cellStyle name="40% - Accent5 2 4 2 6" xfId="14662" xr:uid="{00000000-0005-0000-0000-000032750000}"/>
    <cellStyle name="40% - Accent5 2 4 2 7" xfId="21764" xr:uid="{00000000-0005-0000-0000-000033750000}"/>
    <cellStyle name="40% - Accent5 2 4 2 8" xfId="28866" xr:uid="{00000000-0005-0000-0000-000034750000}"/>
    <cellStyle name="40% - Accent5 2 4 2 9" xfId="39935" xr:uid="{00000000-0005-0000-0000-000035750000}"/>
    <cellStyle name="40% - Accent5 2 4 3" xfId="595" xr:uid="{00000000-0005-0000-0000-000036750000}"/>
    <cellStyle name="40% - Accent5 2 4 3 2" xfId="2086" xr:uid="{00000000-0005-0000-0000-000037750000}"/>
    <cellStyle name="40% - Accent5 2 4 3 2 2" xfId="6354" xr:uid="{00000000-0005-0000-0000-000038750000}"/>
    <cellStyle name="40% - Accent5 2 4 3 2 2 2" xfId="13454" xr:uid="{00000000-0005-0000-0000-000039750000}"/>
    <cellStyle name="40% - Accent5 2 4 3 2 2 3" xfId="20555" xr:uid="{00000000-0005-0000-0000-00003A750000}"/>
    <cellStyle name="40% - Accent5 2 4 3 2 2 4" xfId="27657" xr:uid="{00000000-0005-0000-0000-00003B750000}"/>
    <cellStyle name="40% - Accent5 2 4 3 2 2 5" xfId="34759" xr:uid="{00000000-0005-0000-0000-00003C750000}"/>
    <cellStyle name="40% - Accent5 2 4 3 2 2 6" xfId="39936" xr:uid="{00000000-0005-0000-0000-00003D750000}"/>
    <cellStyle name="40% - Accent5 2 4 3 2 3" xfId="9194" xr:uid="{00000000-0005-0000-0000-00003E750000}"/>
    <cellStyle name="40% - Accent5 2 4 3 2 4" xfId="16295" xr:uid="{00000000-0005-0000-0000-00003F750000}"/>
    <cellStyle name="40% - Accent5 2 4 3 2 5" xfId="23397" xr:uid="{00000000-0005-0000-0000-000040750000}"/>
    <cellStyle name="40% - Accent5 2 4 3 2 6" xfId="30499" xr:uid="{00000000-0005-0000-0000-000041750000}"/>
    <cellStyle name="40% - Accent5 2 4 3 2 7" xfId="39937" xr:uid="{00000000-0005-0000-0000-000042750000}"/>
    <cellStyle name="40% - Accent5 2 4 3 3" xfId="4933" xr:uid="{00000000-0005-0000-0000-000043750000}"/>
    <cellStyle name="40% - Accent5 2 4 3 3 2" xfId="12034" xr:uid="{00000000-0005-0000-0000-000044750000}"/>
    <cellStyle name="40% - Accent5 2 4 3 3 2 2" xfId="39938" xr:uid="{00000000-0005-0000-0000-000045750000}"/>
    <cellStyle name="40% - Accent5 2 4 3 3 3" xfId="19135" xr:uid="{00000000-0005-0000-0000-000046750000}"/>
    <cellStyle name="40% - Accent5 2 4 3 3 4" xfId="26237" xr:uid="{00000000-0005-0000-0000-000047750000}"/>
    <cellStyle name="40% - Accent5 2 4 3 3 5" xfId="33339" xr:uid="{00000000-0005-0000-0000-000048750000}"/>
    <cellStyle name="40% - Accent5 2 4 3 3 6" xfId="39939" xr:uid="{00000000-0005-0000-0000-000049750000}"/>
    <cellStyle name="40% - Accent5 2 4 3 4" xfId="3508" xr:uid="{00000000-0005-0000-0000-00004A750000}"/>
    <cellStyle name="40% - Accent5 2 4 3 4 2" xfId="10614" xr:uid="{00000000-0005-0000-0000-00004B750000}"/>
    <cellStyle name="40% - Accent5 2 4 3 4 3" xfId="17715" xr:uid="{00000000-0005-0000-0000-00004C750000}"/>
    <cellStyle name="40% - Accent5 2 4 3 4 4" xfId="24817" xr:uid="{00000000-0005-0000-0000-00004D750000}"/>
    <cellStyle name="40% - Accent5 2 4 3 4 5" xfId="31919" xr:uid="{00000000-0005-0000-0000-00004E750000}"/>
    <cellStyle name="40% - Accent5 2 4 3 4 6" xfId="39940" xr:uid="{00000000-0005-0000-0000-00004F750000}"/>
    <cellStyle name="40% - Accent5 2 4 3 5" xfId="7774" xr:uid="{00000000-0005-0000-0000-000050750000}"/>
    <cellStyle name="40% - Accent5 2 4 3 6" xfId="14875" xr:uid="{00000000-0005-0000-0000-000051750000}"/>
    <cellStyle name="40% - Accent5 2 4 3 7" xfId="21977" xr:uid="{00000000-0005-0000-0000-000052750000}"/>
    <cellStyle name="40% - Accent5 2 4 3 8" xfId="29079" xr:uid="{00000000-0005-0000-0000-000053750000}"/>
    <cellStyle name="40% - Accent5 2 4 3 9" xfId="39941" xr:uid="{00000000-0005-0000-0000-000054750000}"/>
    <cellStyle name="40% - Accent5 2 4 4" xfId="808" xr:uid="{00000000-0005-0000-0000-000055750000}"/>
    <cellStyle name="40% - Accent5 2 4 4 2" xfId="2299" xr:uid="{00000000-0005-0000-0000-000056750000}"/>
    <cellStyle name="40% - Accent5 2 4 4 2 2" xfId="6567" xr:uid="{00000000-0005-0000-0000-000057750000}"/>
    <cellStyle name="40% - Accent5 2 4 4 2 2 2" xfId="13667" xr:uid="{00000000-0005-0000-0000-000058750000}"/>
    <cellStyle name="40% - Accent5 2 4 4 2 2 3" xfId="20768" xr:uid="{00000000-0005-0000-0000-000059750000}"/>
    <cellStyle name="40% - Accent5 2 4 4 2 2 4" xfId="27870" xr:uid="{00000000-0005-0000-0000-00005A750000}"/>
    <cellStyle name="40% - Accent5 2 4 4 2 2 5" xfId="34972" xr:uid="{00000000-0005-0000-0000-00005B750000}"/>
    <cellStyle name="40% - Accent5 2 4 4 2 2 6" xfId="39942" xr:uid="{00000000-0005-0000-0000-00005C750000}"/>
    <cellStyle name="40% - Accent5 2 4 4 2 3" xfId="9407" xr:uid="{00000000-0005-0000-0000-00005D750000}"/>
    <cellStyle name="40% - Accent5 2 4 4 2 4" xfId="16508" xr:uid="{00000000-0005-0000-0000-00005E750000}"/>
    <cellStyle name="40% - Accent5 2 4 4 2 5" xfId="23610" xr:uid="{00000000-0005-0000-0000-00005F750000}"/>
    <cellStyle name="40% - Accent5 2 4 4 2 6" xfId="30712" xr:uid="{00000000-0005-0000-0000-000060750000}"/>
    <cellStyle name="40% - Accent5 2 4 4 2 7" xfId="39943" xr:uid="{00000000-0005-0000-0000-000061750000}"/>
    <cellStyle name="40% - Accent5 2 4 4 3" xfId="5146" xr:uid="{00000000-0005-0000-0000-000062750000}"/>
    <cellStyle name="40% - Accent5 2 4 4 3 2" xfId="12247" xr:uid="{00000000-0005-0000-0000-000063750000}"/>
    <cellStyle name="40% - Accent5 2 4 4 3 2 2" xfId="39944" xr:uid="{00000000-0005-0000-0000-000064750000}"/>
    <cellStyle name="40% - Accent5 2 4 4 3 3" xfId="19348" xr:uid="{00000000-0005-0000-0000-000065750000}"/>
    <cellStyle name="40% - Accent5 2 4 4 3 4" xfId="26450" xr:uid="{00000000-0005-0000-0000-000066750000}"/>
    <cellStyle name="40% - Accent5 2 4 4 3 5" xfId="33552" xr:uid="{00000000-0005-0000-0000-000067750000}"/>
    <cellStyle name="40% - Accent5 2 4 4 3 6" xfId="39945" xr:uid="{00000000-0005-0000-0000-000068750000}"/>
    <cellStyle name="40% - Accent5 2 4 4 4" xfId="3721" xr:uid="{00000000-0005-0000-0000-000069750000}"/>
    <cellStyle name="40% - Accent5 2 4 4 4 2" xfId="10827" xr:uid="{00000000-0005-0000-0000-00006A750000}"/>
    <cellStyle name="40% - Accent5 2 4 4 4 3" xfId="17928" xr:uid="{00000000-0005-0000-0000-00006B750000}"/>
    <cellStyle name="40% - Accent5 2 4 4 4 4" xfId="25030" xr:uid="{00000000-0005-0000-0000-00006C750000}"/>
    <cellStyle name="40% - Accent5 2 4 4 4 5" xfId="32132" xr:uid="{00000000-0005-0000-0000-00006D750000}"/>
    <cellStyle name="40% - Accent5 2 4 4 4 6" xfId="39946" xr:uid="{00000000-0005-0000-0000-00006E750000}"/>
    <cellStyle name="40% - Accent5 2 4 4 5" xfId="7987" xr:uid="{00000000-0005-0000-0000-00006F750000}"/>
    <cellStyle name="40% - Accent5 2 4 4 6" xfId="15088" xr:uid="{00000000-0005-0000-0000-000070750000}"/>
    <cellStyle name="40% - Accent5 2 4 4 7" xfId="22190" xr:uid="{00000000-0005-0000-0000-000071750000}"/>
    <cellStyle name="40% - Accent5 2 4 4 8" xfId="29292" xr:uid="{00000000-0005-0000-0000-000072750000}"/>
    <cellStyle name="40% - Accent5 2 4 4 9" xfId="39947" xr:uid="{00000000-0005-0000-0000-000073750000}"/>
    <cellStyle name="40% - Accent5 2 4 5" xfId="1163" xr:uid="{00000000-0005-0000-0000-000074750000}"/>
    <cellStyle name="40% - Accent5 2 4 5 2" xfId="2654" xr:uid="{00000000-0005-0000-0000-000075750000}"/>
    <cellStyle name="40% - Accent5 2 4 5 2 2" xfId="6922" xr:uid="{00000000-0005-0000-0000-000076750000}"/>
    <cellStyle name="40% - Accent5 2 4 5 2 2 2" xfId="14022" xr:uid="{00000000-0005-0000-0000-000077750000}"/>
    <cellStyle name="40% - Accent5 2 4 5 2 2 3" xfId="21123" xr:uid="{00000000-0005-0000-0000-000078750000}"/>
    <cellStyle name="40% - Accent5 2 4 5 2 2 4" xfId="28225" xr:uid="{00000000-0005-0000-0000-000079750000}"/>
    <cellStyle name="40% - Accent5 2 4 5 2 2 5" xfId="35327" xr:uid="{00000000-0005-0000-0000-00007A750000}"/>
    <cellStyle name="40% - Accent5 2 4 5 2 3" xfId="9762" xr:uid="{00000000-0005-0000-0000-00007B750000}"/>
    <cellStyle name="40% - Accent5 2 4 5 2 4" xfId="16863" xr:uid="{00000000-0005-0000-0000-00007C750000}"/>
    <cellStyle name="40% - Accent5 2 4 5 2 5" xfId="23965" xr:uid="{00000000-0005-0000-0000-00007D750000}"/>
    <cellStyle name="40% - Accent5 2 4 5 2 6" xfId="31067" xr:uid="{00000000-0005-0000-0000-00007E750000}"/>
    <cellStyle name="40% - Accent5 2 4 5 2 7" xfId="39948" xr:uid="{00000000-0005-0000-0000-00007F750000}"/>
    <cellStyle name="40% - Accent5 2 4 5 3" xfId="5501" xr:uid="{00000000-0005-0000-0000-000080750000}"/>
    <cellStyle name="40% - Accent5 2 4 5 3 2" xfId="12602" xr:uid="{00000000-0005-0000-0000-000081750000}"/>
    <cellStyle name="40% - Accent5 2 4 5 3 3" xfId="19703" xr:uid="{00000000-0005-0000-0000-000082750000}"/>
    <cellStyle name="40% - Accent5 2 4 5 3 4" xfId="26805" xr:uid="{00000000-0005-0000-0000-000083750000}"/>
    <cellStyle name="40% - Accent5 2 4 5 3 5" xfId="33907" xr:uid="{00000000-0005-0000-0000-000084750000}"/>
    <cellStyle name="40% - Accent5 2 4 5 4" xfId="4076" xr:uid="{00000000-0005-0000-0000-000085750000}"/>
    <cellStyle name="40% - Accent5 2 4 5 4 2" xfId="11182" xr:uid="{00000000-0005-0000-0000-000086750000}"/>
    <cellStyle name="40% - Accent5 2 4 5 4 3" xfId="18283" xr:uid="{00000000-0005-0000-0000-000087750000}"/>
    <cellStyle name="40% - Accent5 2 4 5 4 4" xfId="25385" xr:uid="{00000000-0005-0000-0000-000088750000}"/>
    <cellStyle name="40% - Accent5 2 4 5 4 5" xfId="32487" xr:uid="{00000000-0005-0000-0000-000089750000}"/>
    <cellStyle name="40% - Accent5 2 4 5 5" xfId="8342" xr:uid="{00000000-0005-0000-0000-00008A750000}"/>
    <cellStyle name="40% - Accent5 2 4 5 6" xfId="15443" xr:uid="{00000000-0005-0000-0000-00008B750000}"/>
    <cellStyle name="40% - Accent5 2 4 5 7" xfId="22545" xr:uid="{00000000-0005-0000-0000-00008C750000}"/>
    <cellStyle name="40% - Accent5 2 4 5 8" xfId="29647" xr:uid="{00000000-0005-0000-0000-00008D750000}"/>
    <cellStyle name="40% - Accent5 2 4 5 9" xfId="39949" xr:uid="{00000000-0005-0000-0000-00008E750000}"/>
    <cellStyle name="40% - Accent5 2 4 6" xfId="1376" xr:uid="{00000000-0005-0000-0000-00008F750000}"/>
    <cellStyle name="40% - Accent5 2 4 6 2" xfId="2867" xr:uid="{00000000-0005-0000-0000-000090750000}"/>
    <cellStyle name="40% - Accent5 2 4 6 2 2" xfId="7135" xr:uid="{00000000-0005-0000-0000-000091750000}"/>
    <cellStyle name="40% - Accent5 2 4 6 2 2 2" xfId="14235" xr:uid="{00000000-0005-0000-0000-000092750000}"/>
    <cellStyle name="40% - Accent5 2 4 6 2 2 3" xfId="21336" xr:uid="{00000000-0005-0000-0000-000093750000}"/>
    <cellStyle name="40% - Accent5 2 4 6 2 2 4" xfId="28438" xr:uid="{00000000-0005-0000-0000-000094750000}"/>
    <cellStyle name="40% - Accent5 2 4 6 2 2 5" xfId="35540" xr:uid="{00000000-0005-0000-0000-000095750000}"/>
    <cellStyle name="40% - Accent5 2 4 6 2 3" xfId="9975" xr:uid="{00000000-0005-0000-0000-000096750000}"/>
    <cellStyle name="40% - Accent5 2 4 6 2 4" xfId="17076" xr:uid="{00000000-0005-0000-0000-000097750000}"/>
    <cellStyle name="40% - Accent5 2 4 6 2 5" xfId="24178" xr:uid="{00000000-0005-0000-0000-000098750000}"/>
    <cellStyle name="40% - Accent5 2 4 6 2 6" xfId="31280" xr:uid="{00000000-0005-0000-0000-000099750000}"/>
    <cellStyle name="40% - Accent5 2 4 6 2 7" xfId="39950" xr:uid="{00000000-0005-0000-0000-00009A750000}"/>
    <cellStyle name="40% - Accent5 2 4 6 3" xfId="5714" xr:uid="{00000000-0005-0000-0000-00009B750000}"/>
    <cellStyle name="40% - Accent5 2 4 6 3 2" xfId="12815" xr:uid="{00000000-0005-0000-0000-00009C750000}"/>
    <cellStyle name="40% - Accent5 2 4 6 3 3" xfId="19916" xr:uid="{00000000-0005-0000-0000-00009D750000}"/>
    <cellStyle name="40% - Accent5 2 4 6 3 4" xfId="27018" xr:uid="{00000000-0005-0000-0000-00009E750000}"/>
    <cellStyle name="40% - Accent5 2 4 6 3 5" xfId="34120" xr:uid="{00000000-0005-0000-0000-00009F750000}"/>
    <cellStyle name="40% - Accent5 2 4 6 4" xfId="4289" xr:uid="{00000000-0005-0000-0000-0000A0750000}"/>
    <cellStyle name="40% - Accent5 2 4 6 4 2" xfId="11395" xr:uid="{00000000-0005-0000-0000-0000A1750000}"/>
    <cellStyle name="40% - Accent5 2 4 6 4 3" xfId="18496" xr:uid="{00000000-0005-0000-0000-0000A2750000}"/>
    <cellStyle name="40% - Accent5 2 4 6 4 4" xfId="25598" xr:uid="{00000000-0005-0000-0000-0000A3750000}"/>
    <cellStyle name="40% - Accent5 2 4 6 4 5" xfId="32700" xr:uid="{00000000-0005-0000-0000-0000A4750000}"/>
    <cellStyle name="40% - Accent5 2 4 6 5" xfId="8555" xr:uid="{00000000-0005-0000-0000-0000A5750000}"/>
    <cellStyle name="40% - Accent5 2 4 6 6" xfId="15656" xr:uid="{00000000-0005-0000-0000-0000A6750000}"/>
    <cellStyle name="40% - Accent5 2 4 6 7" xfId="22758" xr:uid="{00000000-0005-0000-0000-0000A7750000}"/>
    <cellStyle name="40% - Accent5 2 4 6 8" xfId="29860" xr:uid="{00000000-0005-0000-0000-0000A8750000}"/>
    <cellStyle name="40% - Accent5 2 4 6 9" xfId="39951" xr:uid="{00000000-0005-0000-0000-0000A9750000}"/>
    <cellStyle name="40% - Accent5 2 4 7" xfId="1660" xr:uid="{00000000-0005-0000-0000-0000AA750000}"/>
    <cellStyle name="40% - Accent5 2 4 7 2" xfId="5928" xr:uid="{00000000-0005-0000-0000-0000AB750000}"/>
    <cellStyle name="40% - Accent5 2 4 7 2 2" xfId="13028" xr:uid="{00000000-0005-0000-0000-0000AC750000}"/>
    <cellStyle name="40% - Accent5 2 4 7 2 3" xfId="20129" xr:uid="{00000000-0005-0000-0000-0000AD750000}"/>
    <cellStyle name="40% - Accent5 2 4 7 2 4" xfId="27231" xr:uid="{00000000-0005-0000-0000-0000AE750000}"/>
    <cellStyle name="40% - Accent5 2 4 7 2 5" xfId="34333" xr:uid="{00000000-0005-0000-0000-0000AF750000}"/>
    <cellStyle name="40% - Accent5 2 4 7 3" xfId="8768" xr:uid="{00000000-0005-0000-0000-0000B0750000}"/>
    <cellStyle name="40% - Accent5 2 4 7 4" xfId="15869" xr:uid="{00000000-0005-0000-0000-0000B1750000}"/>
    <cellStyle name="40% - Accent5 2 4 7 5" xfId="22971" xr:uid="{00000000-0005-0000-0000-0000B2750000}"/>
    <cellStyle name="40% - Accent5 2 4 7 6" xfId="30073" xr:uid="{00000000-0005-0000-0000-0000B3750000}"/>
    <cellStyle name="40% - Accent5 2 4 7 7" xfId="39952" xr:uid="{00000000-0005-0000-0000-0000B4750000}"/>
    <cellStyle name="40% - Accent5 2 4 8" xfId="4507" xr:uid="{00000000-0005-0000-0000-0000B5750000}"/>
    <cellStyle name="40% - Accent5 2 4 8 2" xfId="11608" xr:uid="{00000000-0005-0000-0000-0000B6750000}"/>
    <cellStyle name="40% - Accent5 2 4 8 3" xfId="18709" xr:uid="{00000000-0005-0000-0000-0000B7750000}"/>
    <cellStyle name="40% - Accent5 2 4 8 4" xfId="25811" xr:uid="{00000000-0005-0000-0000-0000B8750000}"/>
    <cellStyle name="40% - Accent5 2 4 8 5" xfId="32913" xr:uid="{00000000-0005-0000-0000-0000B9750000}"/>
    <cellStyle name="40% - Accent5 2 4 9" xfId="3082" xr:uid="{00000000-0005-0000-0000-0000BA750000}"/>
    <cellStyle name="40% - Accent5 2 4 9 2" xfId="10188" xr:uid="{00000000-0005-0000-0000-0000BB750000}"/>
    <cellStyle name="40% - Accent5 2 4 9 3" xfId="17289" xr:uid="{00000000-0005-0000-0000-0000BC750000}"/>
    <cellStyle name="40% - Accent5 2 4 9 4" xfId="24391" xr:uid="{00000000-0005-0000-0000-0000BD750000}"/>
    <cellStyle name="40% - Accent5 2 4 9 5" xfId="31493" xr:uid="{00000000-0005-0000-0000-0000BE750000}"/>
    <cellStyle name="40% - Accent5 2 5" xfId="311" xr:uid="{00000000-0005-0000-0000-0000BF750000}"/>
    <cellStyle name="40% - Accent5 2 5 10" xfId="39953" xr:uid="{00000000-0005-0000-0000-0000C0750000}"/>
    <cellStyle name="40% - Accent5 2 5 2" xfId="1092" xr:uid="{00000000-0005-0000-0000-0000C1750000}"/>
    <cellStyle name="40% - Accent5 2 5 2 2" xfId="2583" xr:uid="{00000000-0005-0000-0000-0000C2750000}"/>
    <cellStyle name="40% - Accent5 2 5 2 2 2" xfId="6851" xr:uid="{00000000-0005-0000-0000-0000C3750000}"/>
    <cellStyle name="40% - Accent5 2 5 2 2 2 2" xfId="13951" xr:uid="{00000000-0005-0000-0000-0000C4750000}"/>
    <cellStyle name="40% - Accent5 2 5 2 2 2 3" xfId="21052" xr:uid="{00000000-0005-0000-0000-0000C5750000}"/>
    <cellStyle name="40% - Accent5 2 5 2 2 2 4" xfId="28154" xr:uid="{00000000-0005-0000-0000-0000C6750000}"/>
    <cellStyle name="40% - Accent5 2 5 2 2 2 5" xfId="35256" xr:uid="{00000000-0005-0000-0000-0000C7750000}"/>
    <cellStyle name="40% - Accent5 2 5 2 2 2 6" xfId="39954" xr:uid="{00000000-0005-0000-0000-0000C8750000}"/>
    <cellStyle name="40% - Accent5 2 5 2 2 3" xfId="9691" xr:uid="{00000000-0005-0000-0000-0000C9750000}"/>
    <cellStyle name="40% - Accent5 2 5 2 2 4" xfId="16792" xr:uid="{00000000-0005-0000-0000-0000CA750000}"/>
    <cellStyle name="40% - Accent5 2 5 2 2 5" xfId="23894" xr:uid="{00000000-0005-0000-0000-0000CB750000}"/>
    <cellStyle name="40% - Accent5 2 5 2 2 6" xfId="30996" xr:uid="{00000000-0005-0000-0000-0000CC750000}"/>
    <cellStyle name="40% - Accent5 2 5 2 2 7" xfId="39955" xr:uid="{00000000-0005-0000-0000-0000CD750000}"/>
    <cellStyle name="40% - Accent5 2 5 2 3" xfId="5430" xr:uid="{00000000-0005-0000-0000-0000CE750000}"/>
    <cellStyle name="40% - Accent5 2 5 2 3 2" xfId="12531" xr:uid="{00000000-0005-0000-0000-0000CF750000}"/>
    <cellStyle name="40% - Accent5 2 5 2 3 2 2" xfId="39956" xr:uid="{00000000-0005-0000-0000-0000D0750000}"/>
    <cellStyle name="40% - Accent5 2 5 2 3 3" xfId="19632" xr:uid="{00000000-0005-0000-0000-0000D1750000}"/>
    <cellStyle name="40% - Accent5 2 5 2 3 4" xfId="26734" xr:uid="{00000000-0005-0000-0000-0000D2750000}"/>
    <cellStyle name="40% - Accent5 2 5 2 3 5" xfId="33836" xr:uid="{00000000-0005-0000-0000-0000D3750000}"/>
    <cellStyle name="40% - Accent5 2 5 2 3 6" xfId="39957" xr:uid="{00000000-0005-0000-0000-0000D4750000}"/>
    <cellStyle name="40% - Accent5 2 5 2 4" xfId="4005" xr:uid="{00000000-0005-0000-0000-0000D5750000}"/>
    <cellStyle name="40% - Accent5 2 5 2 4 2" xfId="11111" xr:uid="{00000000-0005-0000-0000-0000D6750000}"/>
    <cellStyle name="40% - Accent5 2 5 2 4 3" xfId="18212" xr:uid="{00000000-0005-0000-0000-0000D7750000}"/>
    <cellStyle name="40% - Accent5 2 5 2 4 4" xfId="25314" xr:uid="{00000000-0005-0000-0000-0000D8750000}"/>
    <cellStyle name="40% - Accent5 2 5 2 4 5" xfId="32416" xr:uid="{00000000-0005-0000-0000-0000D9750000}"/>
    <cellStyle name="40% - Accent5 2 5 2 4 6" xfId="39958" xr:uid="{00000000-0005-0000-0000-0000DA750000}"/>
    <cellStyle name="40% - Accent5 2 5 2 5" xfId="8271" xr:uid="{00000000-0005-0000-0000-0000DB750000}"/>
    <cellStyle name="40% - Accent5 2 5 2 6" xfId="15372" xr:uid="{00000000-0005-0000-0000-0000DC750000}"/>
    <cellStyle name="40% - Accent5 2 5 2 7" xfId="22474" xr:uid="{00000000-0005-0000-0000-0000DD750000}"/>
    <cellStyle name="40% - Accent5 2 5 2 8" xfId="29576" xr:uid="{00000000-0005-0000-0000-0000DE750000}"/>
    <cellStyle name="40% - Accent5 2 5 2 9" xfId="39959" xr:uid="{00000000-0005-0000-0000-0000DF750000}"/>
    <cellStyle name="40% - Accent5 2 5 3" xfId="1802" xr:uid="{00000000-0005-0000-0000-0000E0750000}"/>
    <cellStyle name="40% - Accent5 2 5 3 2" xfId="6070" xr:uid="{00000000-0005-0000-0000-0000E1750000}"/>
    <cellStyle name="40% - Accent5 2 5 3 2 2" xfId="13170" xr:uid="{00000000-0005-0000-0000-0000E2750000}"/>
    <cellStyle name="40% - Accent5 2 5 3 2 2 2" xfId="39960" xr:uid="{00000000-0005-0000-0000-0000E3750000}"/>
    <cellStyle name="40% - Accent5 2 5 3 2 3" xfId="20271" xr:uid="{00000000-0005-0000-0000-0000E4750000}"/>
    <cellStyle name="40% - Accent5 2 5 3 2 4" xfId="27373" xr:uid="{00000000-0005-0000-0000-0000E5750000}"/>
    <cellStyle name="40% - Accent5 2 5 3 2 5" xfId="34475" xr:uid="{00000000-0005-0000-0000-0000E6750000}"/>
    <cellStyle name="40% - Accent5 2 5 3 2 6" xfId="39961" xr:uid="{00000000-0005-0000-0000-0000E7750000}"/>
    <cellStyle name="40% - Accent5 2 5 3 3" xfId="8910" xr:uid="{00000000-0005-0000-0000-0000E8750000}"/>
    <cellStyle name="40% - Accent5 2 5 3 3 2" xfId="39962" xr:uid="{00000000-0005-0000-0000-0000E9750000}"/>
    <cellStyle name="40% - Accent5 2 5 3 3 3" xfId="39963" xr:uid="{00000000-0005-0000-0000-0000EA750000}"/>
    <cellStyle name="40% - Accent5 2 5 3 4" xfId="16011" xr:uid="{00000000-0005-0000-0000-0000EB750000}"/>
    <cellStyle name="40% - Accent5 2 5 3 4 2" xfId="39964" xr:uid="{00000000-0005-0000-0000-0000EC750000}"/>
    <cellStyle name="40% - Accent5 2 5 3 5" xfId="23113" xr:uid="{00000000-0005-0000-0000-0000ED750000}"/>
    <cellStyle name="40% - Accent5 2 5 3 6" xfId="30215" xr:uid="{00000000-0005-0000-0000-0000EE750000}"/>
    <cellStyle name="40% - Accent5 2 5 3 7" xfId="39965" xr:uid="{00000000-0005-0000-0000-0000EF750000}"/>
    <cellStyle name="40% - Accent5 2 5 4" xfId="4649" xr:uid="{00000000-0005-0000-0000-0000F0750000}"/>
    <cellStyle name="40% - Accent5 2 5 4 2" xfId="11750" xr:uid="{00000000-0005-0000-0000-0000F1750000}"/>
    <cellStyle name="40% - Accent5 2 5 4 2 2" xfId="39966" xr:uid="{00000000-0005-0000-0000-0000F2750000}"/>
    <cellStyle name="40% - Accent5 2 5 4 2 3" xfId="39967" xr:uid="{00000000-0005-0000-0000-0000F3750000}"/>
    <cellStyle name="40% - Accent5 2 5 4 3" xfId="18851" xr:uid="{00000000-0005-0000-0000-0000F4750000}"/>
    <cellStyle name="40% - Accent5 2 5 4 3 2" xfId="39968" xr:uid="{00000000-0005-0000-0000-0000F5750000}"/>
    <cellStyle name="40% - Accent5 2 5 4 3 3" xfId="39969" xr:uid="{00000000-0005-0000-0000-0000F6750000}"/>
    <cellStyle name="40% - Accent5 2 5 4 4" xfId="25953" xr:uid="{00000000-0005-0000-0000-0000F7750000}"/>
    <cellStyle name="40% - Accent5 2 5 4 4 2" xfId="39970" xr:uid="{00000000-0005-0000-0000-0000F8750000}"/>
    <cellStyle name="40% - Accent5 2 5 4 5" xfId="33055" xr:uid="{00000000-0005-0000-0000-0000F9750000}"/>
    <cellStyle name="40% - Accent5 2 5 4 6" xfId="39971" xr:uid="{00000000-0005-0000-0000-0000FA750000}"/>
    <cellStyle name="40% - Accent5 2 5 5" xfId="3224" xr:uid="{00000000-0005-0000-0000-0000FB750000}"/>
    <cellStyle name="40% - Accent5 2 5 5 2" xfId="10330" xr:uid="{00000000-0005-0000-0000-0000FC750000}"/>
    <cellStyle name="40% - Accent5 2 5 5 2 2" xfId="39972" xr:uid="{00000000-0005-0000-0000-0000FD750000}"/>
    <cellStyle name="40% - Accent5 2 5 5 3" xfId="17431" xr:uid="{00000000-0005-0000-0000-0000FE750000}"/>
    <cellStyle name="40% - Accent5 2 5 5 4" xfId="24533" xr:uid="{00000000-0005-0000-0000-0000FF750000}"/>
    <cellStyle name="40% - Accent5 2 5 5 5" xfId="31635" xr:uid="{00000000-0005-0000-0000-000000760000}"/>
    <cellStyle name="40% - Accent5 2 5 5 6" xfId="39973" xr:uid="{00000000-0005-0000-0000-000001760000}"/>
    <cellStyle name="40% - Accent5 2 5 6" xfId="7490" xr:uid="{00000000-0005-0000-0000-000002760000}"/>
    <cellStyle name="40% - Accent5 2 5 6 2" xfId="39974" xr:uid="{00000000-0005-0000-0000-000003760000}"/>
    <cellStyle name="40% - Accent5 2 5 6 3" xfId="39975" xr:uid="{00000000-0005-0000-0000-000004760000}"/>
    <cellStyle name="40% - Accent5 2 5 7" xfId="14591" xr:uid="{00000000-0005-0000-0000-000005760000}"/>
    <cellStyle name="40% - Accent5 2 5 7 2" xfId="39976" xr:uid="{00000000-0005-0000-0000-000006760000}"/>
    <cellStyle name="40% - Accent5 2 5 8" xfId="21693" xr:uid="{00000000-0005-0000-0000-000007760000}"/>
    <cellStyle name="40% - Accent5 2 5 9" xfId="28795" xr:uid="{00000000-0005-0000-0000-000008760000}"/>
    <cellStyle name="40% - Accent5 2 6" xfId="524" xr:uid="{00000000-0005-0000-0000-000009760000}"/>
    <cellStyle name="40% - Accent5 2 6 2" xfId="2015" xr:uid="{00000000-0005-0000-0000-00000A760000}"/>
    <cellStyle name="40% - Accent5 2 6 2 2" xfId="6283" xr:uid="{00000000-0005-0000-0000-00000B760000}"/>
    <cellStyle name="40% - Accent5 2 6 2 2 2" xfId="13383" xr:uid="{00000000-0005-0000-0000-00000C760000}"/>
    <cellStyle name="40% - Accent5 2 6 2 2 3" xfId="20484" xr:uid="{00000000-0005-0000-0000-00000D760000}"/>
    <cellStyle name="40% - Accent5 2 6 2 2 4" xfId="27586" xr:uid="{00000000-0005-0000-0000-00000E760000}"/>
    <cellStyle name="40% - Accent5 2 6 2 2 5" xfId="34688" xr:uid="{00000000-0005-0000-0000-00000F760000}"/>
    <cellStyle name="40% - Accent5 2 6 2 2 6" xfId="39977" xr:uid="{00000000-0005-0000-0000-000010760000}"/>
    <cellStyle name="40% - Accent5 2 6 2 3" xfId="9123" xr:uid="{00000000-0005-0000-0000-000011760000}"/>
    <cellStyle name="40% - Accent5 2 6 2 4" xfId="16224" xr:uid="{00000000-0005-0000-0000-000012760000}"/>
    <cellStyle name="40% - Accent5 2 6 2 5" xfId="23326" xr:uid="{00000000-0005-0000-0000-000013760000}"/>
    <cellStyle name="40% - Accent5 2 6 2 6" xfId="30428" xr:uid="{00000000-0005-0000-0000-000014760000}"/>
    <cellStyle name="40% - Accent5 2 6 2 7" xfId="39978" xr:uid="{00000000-0005-0000-0000-000015760000}"/>
    <cellStyle name="40% - Accent5 2 6 3" xfId="4862" xr:uid="{00000000-0005-0000-0000-000016760000}"/>
    <cellStyle name="40% - Accent5 2 6 3 2" xfId="11963" xr:uid="{00000000-0005-0000-0000-000017760000}"/>
    <cellStyle name="40% - Accent5 2 6 3 2 2" xfId="39979" xr:uid="{00000000-0005-0000-0000-000018760000}"/>
    <cellStyle name="40% - Accent5 2 6 3 3" xfId="19064" xr:uid="{00000000-0005-0000-0000-000019760000}"/>
    <cellStyle name="40% - Accent5 2 6 3 4" xfId="26166" xr:uid="{00000000-0005-0000-0000-00001A760000}"/>
    <cellStyle name="40% - Accent5 2 6 3 5" xfId="33268" xr:uid="{00000000-0005-0000-0000-00001B760000}"/>
    <cellStyle name="40% - Accent5 2 6 3 6" xfId="39980" xr:uid="{00000000-0005-0000-0000-00001C760000}"/>
    <cellStyle name="40% - Accent5 2 6 4" xfId="3437" xr:uid="{00000000-0005-0000-0000-00001D760000}"/>
    <cellStyle name="40% - Accent5 2 6 4 2" xfId="10543" xr:uid="{00000000-0005-0000-0000-00001E760000}"/>
    <cellStyle name="40% - Accent5 2 6 4 3" xfId="17644" xr:uid="{00000000-0005-0000-0000-00001F760000}"/>
    <cellStyle name="40% - Accent5 2 6 4 4" xfId="24746" xr:uid="{00000000-0005-0000-0000-000020760000}"/>
    <cellStyle name="40% - Accent5 2 6 4 5" xfId="31848" xr:uid="{00000000-0005-0000-0000-000021760000}"/>
    <cellStyle name="40% - Accent5 2 6 4 6" xfId="39981" xr:uid="{00000000-0005-0000-0000-000022760000}"/>
    <cellStyle name="40% - Accent5 2 6 5" xfId="7703" xr:uid="{00000000-0005-0000-0000-000023760000}"/>
    <cellStyle name="40% - Accent5 2 6 6" xfId="14804" xr:uid="{00000000-0005-0000-0000-000024760000}"/>
    <cellStyle name="40% - Accent5 2 6 7" xfId="21906" xr:uid="{00000000-0005-0000-0000-000025760000}"/>
    <cellStyle name="40% - Accent5 2 6 8" xfId="29008" xr:uid="{00000000-0005-0000-0000-000026760000}"/>
    <cellStyle name="40% - Accent5 2 6 9" xfId="39982" xr:uid="{00000000-0005-0000-0000-000027760000}"/>
    <cellStyle name="40% - Accent5 2 7" xfId="737" xr:uid="{00000000-0005-0000-0000-000028760000}"/>
    <cellStyle name="40% - Accent5 2 7 2" xfId="2228" xr:uid="{00000000-0005-0000-0000-000029760000}"/>
    <cellStyle name="40% - Accent5 2 7 2 2" xfId="6496" xr:uid="{00000000-0005-0000-0000-00002A760000}"/>
    <cellStyle name="40% - Accent5 2 7 2 2 2" xfId="13596" xr:uid="{00000000-0005-0000-0000-00002B760000}"/>
    <cellStyle name="40% - Accent5 2 7 2 2 3" xfId="20697" xr:uid="{00000000-0005-0000-0000-00002C760000}"/>
    <cellStyle name="40% - Accent5 2 7 2 2 4" xfId="27799" xr:uid="{00000000-0005-0000-0000-00002D760000}"/>
    <cellStyle name="40% - Accent5 2 7 2 2 5" xfId="34901" xr:uid="{00000000-0005-0000-0000-00002E760000}"/>
    <cellStyle name="40% - Accent5 2 7 2 2 6" xfId="39983" xr:uid="{00000000-0005-0000-0000-00002F760000}"/>
    <cellStyle name="40% - Accent5 2 7 2 3" xfId="9336" xr:uid="{00000000-0005-0000-0000-000030760000}"/>
    <cellStyle name="40% - Accent5 2 7 2 4" xfId="16437" xr:uid="{00000000-0005-0000-0000-000031760000}"/>
    <cellStyle name="40% - Accent5 2 7 2 5" xfId="23539" xr:uid="{00000000-0005-0000-0000-000032760000}"/>
    <cellStyle name="40% - Accent5 2 7 2 6" xfId="30641" xr:uid="{00000000-0005-0000-0000-000033760000}"/>
    <cellStyle name="40% - Accent5 2 7 2 7" xfId="39984" xr:uid="{00000000-0005-0000-0000-000034760000}"/>
    <cellStyle name="40% - Accent5 2 7 3" xfId="5075" xr:uid="{00000000-0005-0000-0000-000035760000}"/>
    <cellStyle name="40% - Accent5 2 7 3 2" xfId="12176" xr:uid="{00000000-0005-0000-0000-000036760000}"/>
    <cellStyle name="40% - Accent5 2 7 3 2 2" xfId="39985" xr:uid="{00000000-0005-0000-0000-000037760000}"/>
    <cellStyle name="40% - Accent5 2 7 3 3" xfId="19277" xr:uid="{00000000-0005-0000-0000-000038760000}"/>
    <cellStyle name="40% - Accent5 2 7 3 4" xfId="26379" xr:uid="{00000000-0005-0000-0000-000039760000}"/>
    <cellStyle name="40% - Accent5 2 7 3 5" xfId="33481" xr:uid="{00000000-0005-0000-0000-00003A760000}"/>
    <cellStyle name="40% - Accent5 2 7 3 6" xfId="39986" xr:uid="{00000000-0005-0000-0000-00003B760000}"/>
    <cellStyle name="40% - Accent5 2 7 4" xfId="3650" xr:uid="{00000000-0005-0000-0000-00003C760000}"/>
    <cellStyle name="40% - Accent5 2 7 4 2" xfId="10756" xr:uid="{00000000-0005-0000-0000-00003D760000}"/>
    <cellStyle name="40% - Accent5 2 7 4 3" xfId="17857" xr:uid="{00000000-0005-0000-0000-00003E760000}"/>
    <cellStyle name="40% - Accent5 2 7 4 4" xfId="24959" xr:uid="{00000000-0005-0000-0000-00003F760000}"/>
    <cellStyle name="40% - Accent5 2 7 4 5" xfId="32061" xr:uid="{00000000-0005-0000-0000-000040760000}"/>
    <cellStyle name="40% - Accent5 2 7 4 6" xfId="39987" xr:uid="{00000000-0005-0000-0000-000041760000}"/>
    <cellStyle name="40% - Accent5 2 7 5" xfId="7916" xr:uid="{00000000-0005-0000-0000-000042760000}"/>
    <cellStyle name="40% - Accent5 2 7 6" xfId="15017" xr:uid="{00000000-0005-0000-0000-000043760000}"/>
    <cellStyle name="40% - Accent5 2 7 7" xfId="22119" xr:uid="{00000000-0005-0000-0000-000044760000}"/>
    <cellStyle name="40% - Accent5 2 7 8" xfId="29221" xr:uid="{00000000-0005-0000-0000-000045760000}"/>
    <cellStyle name="40% - Accent5 2 7 9" xfId="39988" xr:uid="{00000000-0005-0000-0000-000046760000}"/>
    <cellStyle name="40% - Accent5 2 8" xfId="950" xr:uid="{00000000-0005-0000-0000-000047760000}"/>
    <cellStyle name="40% - Accent5 2 8 2" xfId="2441" xr:uid="{00000000-0005-0000-0000-000048760000}"/>
    <cellStyle name="40% - Accent5 2 8 2 2" xfId="6709" xr:uid="{00000000-0005-0000-0000-000049760000}"/>
    <cellStyle name="40% - Accent5 2 8 2 2 2" xfId="13809" xr:uid="{00000000-0005-0000-0000-00004A760000}"/>
    <cellStyle name="40% - Accent5 2 8 2 2 3" xfId="20910" xr:uid="{00000000-0005-0000-0000-00004B760000}"/>
    <cellStyle name="40% - Accent5 2 8 2 2 4" xfId="28012" xr:uid="{00000000-0005-0000-0000-00004C760000}"/>
    <cellStyle name="40% - Accent5 2 8 2 2 5" xfId="35114" xr:uid="{00000000-0005-0000-0000-00004D760000}"/>
    <cellStyle name="40% - Accent5 2 8 2 2 6" xfId="39989" xr:uid="{00000000-0005-0000-0000-00004E760000}"/>
    <cellStyle name="40% - Accent5 2 8 2 3" xfId="9549" xr:uid="{00000000-0005-0000-0000-00004F760000}"/>
    <cellStyle name="40% - Accent5 2 8 2 4" xfId="16650" xr:uid="{00000000-0005-0000-0000-000050760000}"/>
    <cellStyle name="40% - Accent5 2 8 2 5" xfId="23752" xr:uid="{00000000-0005-0000-0000-000051760000}"/>
    <cellStyle name="40% - Accent5 2 8 2 6" xfId="30854" xr:uid="{00000000-0005-0000-0000-000052760000}"/>
    <cellStyle name="40% - Accent5 2 8 2 7" xfId="39990" xr:uid="{00000000-0005-0000-0000-000053760000}"/>
    <cellStyle name="40% - Accent5 2 8 3" xfId="5288" xr:uid="{00000000-0005-0000-0000-000054760000}"/>
    <cellStyle name="40% - Accent5 2 8 3 2" xfId="12389" xr:uid="{00000000-0005-0000-0000-000055760000}"/>
    <cellStyle name="40% - Accent5 2 8 3 2 2" xfId="39991" xr:uid="{00000000-0005-0000-0000-000056760000}"/>
    <cellStyle name="40% - Accent5 2 8 3 3" xfId="19490" xr:uid="{00000000-0005-0000-0000-000057760000}"/>
    <cellStyle name="40% - Accent5 2 8 3 4" xfId="26592" xr:uid="{00000000-0005-0000-0000-000058760000}"/>
    <cellStyle name="40% - Accent5 2 8 3 5" xfId="33694" xr:uid="{00000000-0005-0000-0000-000059760000}"/>
    <cellStyle name="40% - Accent5 2 8 3 6" xfId="39992" xr:uid="{00000000-0005-0000-0000-00005A760000}"/>
    <cellStyle name="40% - Accent5 2 8 4" xfId="3863" xr:uid="{00000000-0005-0000-0000-00005B760000}"/>
    <cellStyle name="40% - Accent5 2 8 4 2" xfId="10969" xr:uid="{00000000-0005-0000-0000-00005C760000}"/>
    <cellStyle name="40% - Accent5 2 8 4 3" xfId="18070" xr:uid="{00000000-0005-0000-0000-00005D760000}"/>
    <cellStyle name="40% - Accent5 2 8 4 4" xfId="25172" xr:uid="{00000000-0005-0000-0000-00005E760000}"/>
    <cellStyle name="40% - Accent5 2 8 4 5" xfId="32274" xr:uid="{00000000-0005-0000-0000-00005F760000}"/>
    <cellStyle name="40% - Accent5 2 8 4 6" xfId="39993" xr:uid="{00000000-0005-0000-0000-000060760000}"/>
    <cellStyle name="40% - Accent5 2 8 5" xfId="8129" xr:uid="{00000000-0005-0000-0000-000061760000}"/>
    <cellStyle name="40% - Accent5 2 8 6" xfId="15230" xr:uid="{00000000-0005-0000-0000-000062760000}"/>
    <cellStyle name="40% - Accent5 2 8 7" xfId="22332" xr:uid="{00000000-0005-0000-0000-000063760000}"/>
    <cellStyle name="40% - Accent5 2 8 8" xfId="29434" xr:uid="{00000000-0005-0000-0000-000064760000}"/>
    <cellStyle name="40% - Accent5 2 8 9" xfId="39994" xr:uid="{00000000-0005-0000-0000-000065760000}"/>
    <cellStyle name="40% - Accent5 2 9" xfId="1305" xr:uid="{00000000-0005-0000-0000-000066760000}"/>
    <cellStyle name="40% - Accent5 2 9 2" xfId="2796" xr:uid="{00000000-0005-0000-0000-000067760000}"/>
    <cellStyle name="40% - Accent5 2 9 2 2" xfId="7064" xr:uid="{00000000-0005-0000-0000-000068760000}"/>
    <cellStyle name="40% - Accent5 2 9 2 2 2" xfId="14164" xr:uid="{00000000-0005-0000-0000-000069760000}"/>
    <cellStyle name="40% - Accent5 2 9 2 2 3" xfId="21265" xr:uid="{00000000-0005-0000-0000-00006A760000}"/>
    <cellStyle name="40% - Accent5 2 9 2 2 4" xfId="28367" xr:uid="{00000000-0005-0000-0000-00006B760000}"/>
    <cellStyle name="40% - Accent5 2 9 2 2 5" xfId="35469" xr:uid="{00000000-0005-0000-0000-00006C760000}"/>
    <cellStyle name="40% - Accent5 2 9 2 3" xfId="9904" xr:uid="{00000000-0005-0000-0000-00006D760000}"/>
    <cellStyle name="40% - Accent5 2 9 2 4" xfId="17005" xr:uid="{00000000-0005-0000-0000-00006E760000}"/>
    <cellStyle name="40% - Accent5 2 9 2 5" xfId="24107" xr:uid="{00000000-0005-0000-0000-00006F760000}"/>
    <cellStyle name="40% - Accent5 2 9 2 6" xfId="31209" xr:uid="{00000000-0005-0000-0000-000070760000}"/>
    <cellStyle name="40% - Accent5 2 9 2 7" xfId="39995" xr:uid="{00000000-0005-0000-0000-000071760000}"/>
    <cellStyle name="40% - Accent5 2 9 3" xfId="5643" xr:uid="{00000000-0005-0000-0000-000072760000}"/>
    <cellStyle name="40% - Accent5 2 9 3 2" xfId="12744" xr:uid="{00000000-0005-0000-0000-000073760000}"/>
    <cellStyle name="40% - Accent5 2 9 3 3" xfId="19845" xr:uid="{00000000-0005-0000-0000-000074760000}"/>
    <cellStyle name="40% - Accent5 2 9 3 4" xfId="26947" xr:uid="{00000000-0005-0000-0000-000075760000}"/>
    <cellStyle name="40% - Accent5 2 9 3 5" xfId="34049" xr:uid="{00000000-0005-0000-0000-000076760000}"/>
    <cellStyle name="40% - Accent5 2 9 4" xfId="4218" xr:uid="{00000000-0005-0000-0000-000077760000}"/>
    <cellStyle name="40% - Accent5 2 9 4 2" xfId="11324" xr:uid="{00000000-0005-0000-0000-000078760000}"/>
    <cellStyle name="40% - Accent5 2 9 4 3" xfId="18425" xr:uid="{00000000-0005-0000-0000-000079760000}"/>
    <cellStyle name="40% - Accent5 2 9 4 4" xfId="25527" xr:uid="{00000000-0005-0000-0000-00007A760000}"/>
    <cellStyle name="40% - Accent5 2 9 4 5" xfId="32629" xr:uid="{00000000-0005-0000-0000-00007B760000}"/>
    <cellStyle name="40% - Accent5 2 9 5" xfId="8484" xr:uid="{00000000-0005-0000-0000-00007C760000}"/>
    <cellStyle name="40% - Accent5 2 9 6" xfId="15585" xr:uid="{00000000-0005-0000-0000-00007D760000}"/>
    <cellStyle name="40% - Accent5 2 9 7" xfId="22687" xr:uid="{00000000-0005-0000-0000-00007E760000}"/>
    <cellStyle name="40% - Accent5 2 9 8" xfId="29789" xr:uid="{00000000-0005-0000-0000-00007F760000}"/>
    <cellStyle name="40% - Accent5 2 9 9" xfId="39996" xr:uid="{00000000-0005-0000-0000-000080760000}"/>
    <cellStyle name="40% - Accent5 20" xfId="39997" xr:uid="{00000000-0005-0000-0000-000081760000}"/>
    <cellStyle name="40% - Accent5 21" xfId="39998" xr:uid="{00000000-0005-0000-0000-000082760000}"/>
    <cellStyle name="40% - Accent5 22" xfId="39999" xr:uid="{00000000-0005-0000-0000-000083760000}"/>
    <cellStyle name="40% - Accent5 23" xfId="40000" xr:uid="{00000000-0005-0000-0000-000084760000}"/>
    <cellStyle name="40% - Accent5 24" xfId="40001" xr:uid="{00000000-0005-0000-0000-000085760000}"/>
    <cellStyle name="40% - Accent5 25" xfId="40002" xr:uid="{00000000-0005-0000-0000-000086760000}"/>
    <cellStyle name="40% - Accent5 3" xfId="106" xr:uid="{00000000-0005-0000-0000-000087760000}"/>
    <cellStyle name="40% - Accent5 3 10" xfId="4450" xr:uid="{00000000-0005-0000-0000-000088760000}"/>
    <cellStyle name="40% - Accent5 3 10 2" xfId="11551" xr:uid="{00000000-0005-0000-0000-000089760000}"/>
    <cellStyle name="40% - Accent5 3 10 3" xfId="18652" xr:uid="{00000000-0005-0000-0000-00008A760000}"/>
    <cellStyle name="40% - Accent5 3 10 4" xfId="25754" xr:uid="{00000000-0005-0000-0000-00008B760000}"/>
    <cellStyle name="40% - Accent5 3 10 5" xfId="32856" xr:uid="{00000000-0005-0000-0000-00008C760000}"/>
    <cellStyle name="40% - Accent5 3 11" xfId="3025" xr:uid="{00000000-0005-0000-0000-00008D760000}"/>
    <cellStyle name="40% - Accent5 3 11 2" xfId="10131" xr:uid="{00000000-0005-0000-0000-00008E760000}"/>
    <cellStyle name="40% - Accent5 3 11 3" xfId="17232" xr:uid="{00000000-0005-0000-0000-00008F760000}"/>
    <cellStyle name="40% - Accent5 3 11 4" xfId="24334" xr:uid="{00000000-0005-0000-0000-000090760000}"/>
    <cellStyle name="40% - Accent5 3 11 5" xfId="31436" xr:uid="{00000000-0005-0000-0000-000091760000}"/>
    <cellStyle name="40% - Accent5 3 12" xfId="7291" xr:uid="{00000000-0005-0000-0000-000092760000}"/>
    <cellStyle name="40% - Accent5 3 13" xfId="14392" xr:uid="{00000000-0005-0000-0000-000093760000}"/>
    <cellStyle name="40% - Accent5 3 14" xfId="21494" xr:uid="{00000000-0005-0000-0000-000094760000}"/>
    <cellStyle name="40% - Accent5 3 15" xfId="28596" xr:uid="{00000000-0005-0000-0000-000095760000}"/>
    <cellStyle name="40% - Accent5 3 16" xfId="35698" xr:uid="{00000000-0005-0000-0000-000096760000}"/>
    <cellStyle name="40% - Accent5 3 17" xfId="40003" xr:uid="{00000000-0005-0000-0000-000097760000}"/>
    <cellStyle name="40% - Accent5 3 18" xfId="40004" xr:uid="{00000000-0005-0000-0000-000098760000}"/>
    <cellStyle name="40% - Accent5 3 2" xfId="254" xr:uid="{00000000-0005-0000-0000-000099760000}"/>
    <cellStyle name="40% - Accent5 3 2 10" xfId="7433" xr:uid="{00000000-0005-0000-0000-00009A760000}"/>
    <cellStyle name="40% - Accent5 3 2 11" xfId="14534" xr:uid="{00000000-0005-0000-0000-00009B760000}"/>
    <cellStyle name="40% - Accent5 3 2 12" xfId="21636" xr:uid="{00000000-0005-0000-0000-00009C760000}"/>
    <cellStyle name="40% - Accent5 3 2 13" xfId="28738" xr:uid="{00000000-0005-0000-0000-00009D760000}"/>
    <cellStyle name="40% - Accent5 3 2 14" xfId="35840" xr:uid="{00000000-0005-0000-0000-00009E760000}"/>
    <cellStyle name="40% - Accent5 3 2 15" xfId="40005" xr:uid="{00000000-0005-0000-0000-00009F760000}"/>
    <cellStyle name="40% - Accent5 3 2 2" xfId="467" xr:uid="{00000000-0005-0000-0000-0000A0760000}"/>
    <cellStyle name="40% - Accent5 3 2 2 10" xfId="40006" xr:uid="{00000000-0005-0000-0000-0000A1760000}"/>
    <cellStyle name="40% - Accent5 3 2 2 2" xfId="1248" xr:uid="{00000000-0005-0000-0000-0000A2760000}"/>
    <cellStyle name="40% - Accent5 3 2 2 2 2" xfId="2739" xr:uid="{00000000-0005-0000-0000-0000A3760000}"/>
    <cellStyle name="40% - Accent5 3 2 2 2 2 2" xfId="7007" xr:uid="{00000000-0005-0000-0000-0000A4760000}"/>
    <cellStyle name="40% - Accent5 3 2 2 2 2 2 2" xfId="14107" xr:uid="{00000000-0005-0000-0000-0000A5760000}"/>
    <cellStyle name="40% - Accent5 3 2 2 2 2 2 3" xfId="21208" xr:uid="{00000000-0005-0000-0000-0000A6760000}"/>
    <cellStyle name="40% - Accent5 3 2 2 2 2 2 4" xfId="28310" xr:uid="{00000000-0005-0000-0000-0000A7760000}"/>
    <cellStyle name="40% - Accent5 3 2 2 2 2 2 5" xfId="35412" xr:uid="{00000000-0005-0000-0000-0000A8760000}"/>
    <cellStyle name="40% - Accent5 3 2 2 2 2 3" xfId="9847" xr:uid="{00000000-0005-0000-0000-0000A9760000}"/>
    <cellStyle name="40% - Accent5 3 2 2 2 2 4" xfId="16948" xr:uid="{00000000-0005-0000-0000-0000AA760000}"/>
    <cellStyle name="40% - Accent5 3 2 2 2 2 5" xfId="24050" xr:uid="{00000000-0005-0000-0000-0000AB760000}"/>
    <cellStyle name="40% - Accent5 3 2 2 2 2 6" xfId="31152" xr:uid="{00000000-0005-0000-0000-0000AC760000}"/>
    <cellStyle name="40% - Accent5 3 2 2 2 2 7" xfId="40007" xr:uid="{00000000-0005-0000-0000-0000AD760000}"/>
    <cellStyle name="40% - Accent5 3 2 2 2 3" xfId="5586" xr:uid="{00000000-0005-0000-0000-0000AE760000}"/>
    <cellStyle name="40% - Accent5 3 2 2 2 3 2" xfId="12687" xr:uid="{00000000-0005-0000-0000-0000AF760000}"/>
    <cellStyle name="40% - Accent5 3 2 2 2 3 3" xfId="19788" xr:uid="{00000000-0005-0000-0000-0000B0760000}"/>
    <cellStyle name="40% - Accent5 3 2 2 2 3 4" xfId="26890" xr:uid="{00000000-0005-0000-0000-0000B1760000}"/>
    <cellStyle name="40% - Accent5 3 2 2 2 3 5" xfId="33992" xr:uid="{00000000-0005-0000-0000-0000B2760000}"/>
    <cellStyle name="40% - Accent5 3 2 2 2 4" xfId="4161" xr:uid="{00000000-0005-0000-0000-0000B3760000}"/>
    <cellStyle name="40% - Accent5 3 2 2 2 4 2" xfId="11267" xr:uid="{00000000-0005-0000-0000-0000B4760000}"/>
    <cellStyle name="40% - Accent5 3 2 2 2 4 3" xfId="18368" xr:uid="{00000000-0005-0000-0000-0000B5760000}"/>
    <cellStyle name="40% - Accent5 3 2 2 2 4 4" xfId="25470" xr:uid="{00000000-0005-0000-0000-0000B6760000}"/>
    <cellStyle name="40% - Accent5 3 2 2 2 4 5" xfId="32572" xr:uid="{00000000-0005-0000-0000-0000B7760000}"/>
    <cellStyle name="40% - Accent5 3 2 2 2 5" xfId="8427" xr:uid="{00000000-0005-0000-0000-0000B8760000}"/>
    <cellStyle name="40% - Accent5 3 2 2 2 6" xfId="15528" xr:uid="{00000000-0005-0000-0000-0000B9760000}"/>
    <cellStyle name="40% - Accent5 3 2 2 2 7" xfId="22630" xr:uid="{00000000-0005-0000-0000-0000BA760000}"/>
    <cellStyle name="40% - Accent5 3 2 2 2 8" xfId="29732" xr:uid="{00000000-0005-0000-0000-0000BB760000}"/>
    <cellStyle name="40% - Accent5 3 2 2 2 9" xfId="40008" xr:uid="{00000000-0005-0000-0000-0000BC760000}"/>
    <cellStyle name="40% - Accent5 3 2 2 3" xfId="1958" xr:uid="{00000000-0005-0000-0000-0000BD760000}"/>
    <cellStyle name="40% - Accent5 3 2 2 3 2" xfId="6226" xr:uid="{00000000-0005-0000-0000-0000BE760000}"/>
    <cellStyle name="40% - Accent5 3 2 2 3 2 2" xfId="13326" xr:uid="{00000000-0005-0000-0000-0000BF760000}"/>
    <cellStyle name="40% - Accent5 3 2 2 3 2 3" xfId="20427" xr:uid="{00000000-0005-0000-0000-0000C0760000}"/>
    <cellStyle name="40% - Accent5 3 2 2 3 2 4" xfId="27529" xr:uid="{00000000-0005-0000-0000-0000C1760000}"/>
    <cellStyle name="40% - Accent5 3 2 2 3 2 5" xfId="34631" xr:uid="{00000000-0005-0000-0000-0000C2760000}"/>
    <cellStyle name="40% - Accent5 3 2 2 3 2 6" xfId="40009" xr:uid="{00000000-0005-0000-0000-0000C3760000}"/>
    <cellStyle name="40% - Accent5 3 2 2 3 3" xfId="9066" xr:uid="{00000000-0005-0000-0000-0000C4760000}"/>
    <cellStyle name="40% - Accent5 3 2 2 3 4" xfId="16167" xr:uid="{00000000-0005-0000-0000-0000C5760000}"/>
    <cellStyle name="40% - Accent5 3 2 2 3 5" xfId="23269" xr:uid="{00000000-0005-0000-0000-0000C6760000}"/>
    <cellStyle name="40% - Accent5 3 2 2 3 6" xfId="30371" xr:uid="{00000000-0005-0000-0000-0000C7760000}"/>
    <cellStyle name="40% - Accent5 3 2 2 3 7" xfId="40010" xr:uid="{00000000-0005-0000-0000-0000C8760000}"/>
    <cellStyle name="40% - Accent5 3 2 2 4" xfId="4805" xr:uid="{00000000-0005-0000-0000-0000C9760000}"/>
    <cellStyle name="40% - Accent5 3 2 2 4 2" xfId="11906" xr:uid="{00000000-0005-0000-0000-0000CA760000}"/>
    <cellStyle name="40% - Accent5 3 2 2 4 3" xfId="19007" xr:uid="{00000000-0005-0000-0000-0000CB760000}"/>
    <cellStyle name="40% - Accent5 3 2 2 4 4" xfId="26109" xr:uid="{00000000-0005-0000-0000-0000CC760000}"/>
    <cellStyle name="40% - Accent5 3 2 2 4 5" xfId="33211" xr:uid="{00000000-0005-0000-0000-0000CD760000}"/>
    <cellStyle name="40% - Accent5 3 2 2 4 6" xfId="40011" xr:uid="{00000000-0005-0000-0000-0000CE760000}"/>
    <cellStyle name="40% - Accent5 3 2 2 5" xfId="3380" xr:uid="{00000000-0005-0000-0000-0000CF760000}"/>
    <cellStyle name="40% - Accent5 3 2 2 5 2" xfId="10486" xr:uid="{00000000-0005-0000-0000-0000D0760000}"/>
    <cellStyle name="40% - Accent5 3 2 2 5 3" xfId="17587" xr:uid="{00000000-0005-0000-0000-0000D1760000}"/>
    <cellStyle name="40% - Accent5 3 2 2 5 4" xfId="24689" xr:uid="{00000000-0005-0000-0000-0000D2760000}"/>
    <cellStyle name="40% - Accent5 3 2 2 5 5" xfId="31791" xr:uid="{00000000-0005-0000-0000-0000D3760000}"/>
    <cellStyle name="40% - Accent5 3 2 2 6" xfId="7646" xr:uid="{00000000-0005-0000-0000-0000D4760000}"/>
    <cellStyle name="40% - Accent5 3 2 2 7" xfId="14747" xr:uid="{00000000-0005-0000-0000-0000D5760000}"/>
    <cellStyle name="40% - Accent5 3 2 2 8" xfId="21849" xr:uid="{00000000-0005-0000-0000-0000D6760000}"/>
    <cellStyle name="40% - Accent5 3 2 2 9" xfId="28951" xr:uid="{00000000-0005-0000-0000-0000D7760000}"/>
    <cellStyle name="40% - Accent5 3 2 3" xfId="680" xr:uid="{00000000-0005-0000-0000-0000D8760000}"/>
    <cellStyle name="40% - Accent5 3 2 3 2" xfId="2171" xr:uid="{00000000-0005-0000-0000-0000D9760000}"/>
    <cellStyle name="40% - Accent5 3 2 3 2 2" xfId="6439" xr:uid="{00000000-0005-0000-0000-0000DA760000}"/>
    <cellStyle name="40% - Accent5 3 2 3 2 2 2" xfId="13539" xr:uid="{00000000-0005-0000-0000-0000DB760000}"/>
    <cellStyle name="40% - Accent5 3 2 3 2 2 3" xfId="20640" xr:uid="{00000000-0005-0000-0000-0000DC760000}"/>
    <cellStyle name="40% - Accent5 3 2 3 2 2 4" xfId="27742" xr:uid="{00000000-0005-0000-0000-0000DD760000}"/>
    <cellStyle name="40% - Accent5 3 2 3 2 2 5" xfId="34844" xr:uid="{00000000-0005-0000-0000-0000DE760000}"/>
    <cellStyle name="40% - Accent5 3 2 3 2 2 6" xfId="40012" xr:uid="{00000000-0005-0000-0000-0000DF760000}"/>
    <cellStyle name="40% - Accent5 3 2 3 2 3" xfId="9279" xr:uid="{00000000-0005-0000-0000-0000E0760000}"/>
    <cellStyle name="40% - Accent5 3 2 3 2 4" xfId="16380" xr:uid="{00000000-0005-0000-0000-0000E1760000}"/>
    <cellStyle name="40% - Accent5 3 2 3 2 5" xfId="23482" xr:uid="{00000000-0005-0000-0000-0000E2760000}"/>
    <cellStyle name="40% - Accent5 3 2 3 2 6" xfId="30584" xr:uid="{00000000-0005-0000-0000-0000E3760000}"/>
    <cellStyle name="40% - Accent5 3 2 3 2 7" xfId="40013" xr:uid="{00000000-0005-0000-0000-0000E4760000}"/>
    <cellStyle name="40% - Accent5 3 2 3 3" xfId="5018" xr:uid="{00000000-0005-0000-0000-0000E5760000}"/>
    <cellStyle name="40% - Accent5 3 2 3 3 2" xfId="12119" xr:uid="{00000000-0005-0000-0000-0000E6760000}"/>
    <cellStyle name="40% - Accent5 3 2 3 3 2 2" xfId="40014" xr:uid="{00000000-0005-0000-0000-0000E7760000}"/>
    <cellStyle name="40% - Accent5 3 2 3 3 3" xfId="19220" xr:uid="{00000000-0005-0000-0000-0000E8760000}"/>
    <cellStyle name="40% - Accent5 3 2 3 3 4" xfId="26322" xr:uid="{00000000-0005-0000-0000-0000E9760000}"/>
    <cellStyle name="40% - Accent5 3 2 3 3 5" xfId="33424" xr:uid="{00000000-0005-0000-0000-0000EA760000}"/>
    <cellStyle name="40% - Accent5 3 2 3 3 6" xfId="40015" xr:uid="{00000000-0005-0000-0000-0000EB760000}"/>
    <cellStyle name="40% - Accent5 3 2 3 4" xfId="3593" xr:uid="{00000000-0005-0000-0000-0000EC760000}"/>
    <cellStyle name="40% - Accent5 3 2 3 4 2" xfId="10699" xr:uid="{00000000-0005-0000-0000-0000ED760000}"/>
    <cellStyle name="40% - Accent5 3 2 3 4 3" xfId="17800" xr:uid="{00000000-0005-0000-0000-0000EE760000}"/>
    <cellStyle name="40% - Accent5 3 2 3 4 4" xfId="24902" xr:uid="{00000000-0005-0000-0000-0000EF760000}"/>
    <cellStyle name="40% - Accent5 3 2 3 4 5" xfId="32004" xr:uid="{00000000-0005-0000-0000-0000F0760000}"/>
    <cellStyle name="40% - Accent5 3 2 3 4 6" xfId="40016" xr:uid="{00000000-0005-0000-0000-0000F1760000}"/>
    <cellStyle name="40% - Accent5 3 2 3 5" xfId="7859" xr:uid="{00000000-0005-0000-0000-0000F2760000}"/>
    <cellStyle name="40% - Accent5 3 2 3 6" xfId="14960" xr:uid="{00000000-0005-0000-0000-0000F3760000}"/>
    <cellStyle name="40% - Accent5 3 2 3 7" xfId="22062" xr:uid="{00000000-0005-0000-0000-0000F4760000}"/>
    <cellStyle name="40% - Accent5 3 2 3 8" xfId="29164" xr:uid="{00000000-0005-0000-0000-0000F5760000}"/>
    <cellStyle name="40% - Accent5 3 2 3 9" xfId="40017" xr:uid="{00000000-0005-0000-0000-0000F6760000}"/>
    <cellStyle name="40% - Accent5 3 2 4" xfId="893" xr:uid="{00000000-0005-0000-0000-0000F7760000}"/>
    <cellStyle name="40% - Accent5 3 2 4 2" xfId="2384" xr:uid="{00000000-0005-0000-0000-0000F8760000}"/>
    <cellStyle name="40% - Accent5 3 2 4 2 2" xfId="6652" xr:uid="{00000000-0005-0000-0000-0000F9760000}"/>
    <cellStyle name="40% - Accent5 3 2 4 2 2 2" xfId="13752" xr:uid="{00000000-0005-0000-0000-0000FA760000}"/>
    <cellStyle name="40% - Accent5 3 2 4 2 2 3" xfId="20853" xr:uid="{00000000-0005-0000-0000-0000FB760000}"/>
    <cellStyle name="40% - Accent5 3 2 4 2 2 4" xfId="27955" xr:uid="{00000000-0005-0000-0000-0000FC760000}"/>
    <cellStyle name="40% - Accent5 3 2 4 2 2 5" xfId="35057" xr:uid="{00000000-0005-0000-0000-0000FD760000}"/>
    <cellStyle name="40% - Accent5 3 2 4 2 2 6" xfId="40018" xr:uid="{00000000-0005-0000-0000-0000FE760000}"/>
    <cellStyle name="40% - Accent5 3 2 4 2 3" xfId="9492" xr:uid="{00000000-0005-0000-0000-0000FF760000}"/>
    <cellStyle name="40% - Accent5 3 2 4 2 4" xfId="16593" xr:uid="{00000000-0005-0000-0000-000000770000}"/>
    <cellStyle name="40% - Accent5 3 2 4 2 5" xfId="23695" xr:uid="{00000000-0005-0000-0000-000001770000}"/>
    <cellStyle name="40% - Accent5 3 2 4 2 6" xfId="30797" xr:uid="{00000000-0005-0000-0000-000002770000}"/>
    <cellStyle name="40% - Accent5 3 2 4 2 7" xfId="40019" xr:uid="{00000000-0005-0000-0000-000003770000}"/>
    <cellStyle name="40% - Accent5 3 2 4 3" xfId="5231" xr:uid="{00000000-0005-0000-0000-000004770000}"/>
    <cellStyle name="40% - Accent5 3 2 4 3 2" xfId="12332" xr:uid="{00000000-0005-0000-0000-000005770000}"/>
    <cellStyle name="40% - Accent5 3 2 4 3 2 2" xfId="40020" xr:uid="{00000000-0005-0000-0000-000006770000}"/>
    <cellStyle name="40% - Accent5 3 2 4 3 3" xfId="19433" xr:uid="{00000000-0005-0000-0000-000007770000}"/>
    <cellStyle name="40% - Accent5 3 2 4 3 4" xfId="26535" xr:uid="{00000000-0005-0000-0000-000008770000}"/>
    <cellStyle name="40% - Accent5 3 2 4 3 5" xfId="33637" xr:uid="{00000000-0005-0000-0000-000009770000}"/>
    <cellStyle name="40% - Accent5 3 2 4 3 6" xfId="40021" xr:uid="{00000000-0005-0000-0000-00000A770000}"/>
    <cellStyle name="40% - Accent5 3 2 4 4" xfId="3806" xr:uid="{00000000-0005-0000-0000-00000B770000}"/>
    <cellStyle name="40% - Accent5 3 2 4 4 2" xfId="10912" xr:uid="{00000000-0005-0000-0000-00000C770000}"/>
    <cellStyle name="40% - Accent5 3 2 4 4 3" xfId="18013" xr:uid="{00000000-0005-0000-0000-00000D770000}"/>
    <cellStyle name="40% - Accent5 3 2 4 4 4" xfId="25115" xr:uid="{00000000-0005-0000-0000-00000E770000}"/>
    <cellStyle name="40% - Accent5 3 2 4 4 5" xfId="32217" xr:uid="{00000000-0005-0000-0000-00000F770000}"/>
    <cellStyle name="40% - Accent5 3 2 4 4 6" xfId="40022" xr:uid="{00000000-0005-0000-0000-000010770000}"/>
    <cellStyle name="40% - Accent5 3 2 4 5" xfId="8072" xr:uid="{00000000-0005-0000-0000-000011770000}"/>
    <cellStyle name="40% - Accent5 3 2 4 6" xfId="15173" xr:uid="{00000000-0005-0000-0000-000012770000}"/>
    <cellStyle name="40% - Accent5 3 2 4 7" xfId="22275" xr:uid="{00000000-0005-0000-0000-000013770000}"/>
    <cellStyle name="40% - Accent5 3 2 4 8" xfId="29377" xr:uid="{00000000-0005-0000-0000-000014770000}"/>
    <cellStyle name="40% - Accent5 3 2 4 9" xfId="40023" xr:uid="{00000000-0005-0000-0000-000015770000}"/>
    <cellStyle name="40% - Accent5 3 2 5" xfId="1035" xr:uid="{00000000-0005-0000-0000-000016770000}"/>
    <cellStyle name="40% - Accent5 3 2 5 2" xfId="2526" xr:uid="{00000000-0005-0000-0000-000017770000}"/>
    <cellStyle name="40% - Accent5 3 2 5 2 2" xfId="6794" xr:uid="{00000000-0005-0000-0000-000018770000}"/>
    <cellStyle name="40% - Accent5 3 2 5 2 2 2" xfId="13894" xr:uid="{00000000-0005-0000-0000-000019770000}"/>
    <cellStyle name="40% - Accent5 3 2 5 2 2 3" xfId="20995" xr:uid="{00000000-0005-0000-0000-00001A770000}"/>
    <cellStyle name="40% - Accent5 3 2 5 2 2 4" xfId="28097" xr:uid="{00000000-0005-0000-0000-00001B770000}"/>
    <cellStyle name="40% - Accent5 3 2 5 2 2 5" xfId="35199" xr:uid="{00000000-0005-0000-0000-00001C770000}"/>
    <cellStyle name="40% - Accent5 3 2 5 2 3" xfId="9634" xr:uid="{00000000-0005-0000-0000-00001D770000}"/>
    <cellStyle name="40% - Accent5 3 2 5 2 4" xfId="16735" xr:uid="{00000000-0005-0000-0000-00001E770000}"/>
    <cellStyle name="40% - Accent5 3 2 5 2 5" xfId="23837" xr:uid="{00000000-0005-0000-0000-00001F770000}"/>
    <cellStyle name="40% - Accent5 3 2 5 2 6" xfId="30939" xr:uid="{00000000-0005-0000-0000-000020770000}"/>
    <cellStyle name="40% - Accent5 3 2 5 2 7" xfId="40024" xr:uid="{00000000-0005-0000-0000-000021770000}"/>
    <cellStyle name="40% - Accent5 3 2 5 3" xfId="5373" xr:uid="{00000000-0005-0000-0000-000022770000}"/>
    <cellStyle name="40% - Accent5 3 2 5 3 2" xfId="12474" xr:uid="{00000000-0005-0000-0000-000023770000}"/>
    <cellStyle name="40% - Accent5 3 2 5 3 3" xfId="19575" xr:uid="{00000000-0005-0000-0000-000024770000}"/>
    <cellStyle name="40% - Accent5 3 2 5 3 4" xfId="26677" xr:uid="{00000000-0005-0000-0000-000025770000}"/>
    <cellStyle name="40% - Accent5 3 2 5 3 5" xfId="33779" xr:uid="{00000000-0005-0000-0000-000026770000}"/>
    <cellStyle name="40% - Accent5 3 2 5 4" xfId="3948" xr:uid="{00000000-0005-0000-0000-000027770000}"/>
    <cellStyle name="40% - Accent5 3 2 5 4 2" xfId="11054" xr:uid="{00000000-0005-0000-0000-000028770000}"/>
    <cellStyle name="40% - Accent5 3 2 5 4 3" xfId="18155" xr:uid="{00000000-0005-0000-0000-000029770000}"/>
    <cellStyle name="40% - Accent5 3 2 5 4 4" xfId="25257" xr:uid="{00000000-0005-0000-0000-00002A770000}"/>
    <cellStyle name="40% - Accent5 3 2 5 4 5" xfId="32359" xr:uid="{00000000-0005-0000-0000-00002B770000}"/>
    <cellStyle name="40% - Accent5 3 2 5 5" xfId="8214" xr:uid="{00000000-0005-0000-0000-00002C770000}"/>
    <cellStyle name="40% - Accent5 3 2 5 6" xfId="15315" xr:uid="{00000000-0005-0000-0000-00002D770000}"/>
    <cellStyle name="40% - Accent5 3 2 5 7" xfId="22417" xr:uid="{00000000-0005-0000-0000-00002E770000}"/>
    <cellStyle name="40% - Accent5 3 2 5 8" xfId="29519" xr:uid="{00000000-0005-0000-0000-00002F770000}"/>
    <cellStyle name="40% - Accent5 3 2 5 9" xfId="40025" xr:uid="{00000000-0005-0000-0000-000030770000}"/>
    <cellStyle name="40% - Accent5 3 2 6" xfId="1461" xr:uid="{00000000-0005-0000-0000-000031770000}"/>
    <cellStyle name="40% - Accent5 3 2 6 2" xfId="2952" xr:uid="{00000000-0005-0000-0000-000032770000}"/>
    <cellStyle name="40% - Accent5 3 2 6 2 2" xfId="7220" xr:uid="{00000000-0005-0000-0000-000033770000}"/>
    <cellStyle name="40% - Accent5 3 2 6 2 2 2" xfId="14320" xr:uid="{00000000-0005-0000-0000-000034770000}"/>
    <cellStyle name="40% - Accent5 3 2 6 2 2 3" xfId="21421" xr:uid="{00000000-0005-0000-0000-000035770000}"/>
    <cellStyle name="40% - Accent5 3 2 6 2 2 4" xfId="28523" xr:uid="{00000000-0005-0000-0000-000036770000}"/>
    <cellStyle name="40% - Accent5 3 2 6 2 2 5" xfId="35625" xr:uid="{00000000-0005-0000-0000-000037770000}"/>
    <cellStyle name="40% - Accent5 3 2 6 2 3" xfId="10060" xr:uid="{00000000-0005-0000-0000-000038770000}"/>
    <cellStyle name="40% - Accent5 3 2 6 2 4" xfId="17161" xr:uid="{00000000-0005-0000-0000-000039770000}"/>
    <cellStyle name="40% - Accent5 3 2 6 2 5" xfId="24263" xr:uid="{00000000-0005-0000-0000-00003A770000}"/>
    <cellStyle name="40% - Accent5 3 2 6 2 6" xfId="31365" xr:uid="{00000000-0005-0000-0000-00003B770000}"/>
    <cellStyle name="40% - Accent5 3 2 6 2 7" xfId="40026" xr:uid="{00000000-0005-0000-0000-00003C770000}"/>
    <cellStyle name="40% - Accent5 3 2 6 3" xfId="5799" xr:uid="{00000000-0005-0000-0000-00003D770000}"/>
    <cellStyle name="40% - Accent5 3 2 6 3 2" xfId="12900" xr:uid="{00000000-0005-0000-0000-00003E770000}"/>
    <cellStyle name="40% - Accent5 3 2 6 3 3" xfId="20001" xr:uid="{00000000-0005-0000-0000-00003F770000}"/>
    <cellStyle name="40% - Accent5 3 2 6 3 4" xfId="27103" xr:uid="{00000000-0005-0000-0000-000040770000}"/>
    <cellStyle name="40% - Accent5 3 2 6 3 5" xfId="34205" xr:uid="{00000000-0005-0000-0000-000041770000}"/>
    <cellStyle name="40% - Accent5 3 2 6 4" xfId="4374" xr:uid="{00000000-0005-0000-0000-000042770000}"/>
    <cellStyle name="40% - Accent5 3 2 6 4 2" xfId="11480" xr:uid="{00000000-0005-0000-0000-000043770000}"/>
    <cellStyle name="40% - Accent5 3 2 6 4 3" xfId="18581" xr:uid="{00000000-0005-0000-0000-000044770000}"/>
    <cellStyle name="40% - Accent5 3 2 6 4 4" xfId="25683" xr:uid="{00000000-0005-0000-0000-000045770000}"/>
    <cellStyle name="40% - Accent5 3 2 6 4 5" xfId="32785" xr:uid="{00000000-0005-0000-0000-000046770000}"/>
    <cellStyle name="40% - Accent5 3 2 6 5" xfId="8640" xr:uid="{00000000-0005-0000-0000-000047770000}"/>
    <cellStyle name="40% - Accent5 3 2 6 6" xfId="15741" xr:uid="{00000000-0005-0000-0000-000048770000}"/>
    <cellStyle name="40% - Accent5 3 2 6 7" xfId="22843" xr:uid="{00000000-0005-0000-0000-000049770000}"/>
    <cellStyle name="40% - Accent5 3 2 6 8" xfId="29945" xr:uid="{00000000-0005-0000-0000-00004A770000}"/>
    <cellStyle name="40% - Accent5 3 2 6 9" xfId="40027" xr:uid="{00000000-0005-0000-0000-00004B770000}"/>
    <cellStyle name="40% - Accent5 3 2 7" xfId="1745" xr:uid="{00000000-0005-0000-0000-00004C770000}"/>
    <cellStyle name="40% - Accent5 3 2 7 2" xfId="6013" xr:uid="{00000000-0005-0000-0000-00004D770000}"/>
    <cellStyle name="40% - Accent5 3 2 7 2 2" xfId="13113" xr:uid="{00000000-0005-0000-0000-00004E770000}"/>
    <cellStyle name="40% - Accent5 3 2 7 2 3" xfId="20214" xr:uid="{00000000-0005-0000-0000-00004F770000}"/>
    <cellStyle name="40% - Accent5 3 2 7 2 4" xfId="27316" xr:uid="{00000000-0005-0000-0000-000050770000}"/>
    <cellStyle name="40% - Accent5 3 2 7 2 5" xfId="34418" xr:uid="{00000000-0005-0000-0000-000051770000}"/>
    <cellStyle name="40% - Accent5 3 2 7 3" xfId="8853" xr:uid="{00000000-0005-0000-0000-000052770000}"/>
    <cellStyle name="40% - Accent5 3 2 7 4" xfId="15954" xr:uid="{00000000-0005-0000-0000-000053770000}"/>
    <cellStyle name="40% - Accent5 3 2 7 5" xfId="23056" xr:uid="{00000000-0005-0000-0000-000054770000}"/>
    <cellStyle name="40% - Accent5 3 2 7 6" xfId="30158" xr:uid="{00000000-0005-0000-0000-000055770000}"/>
    <cellStyle name="40% - Accent5 3 2 7 7" xfId="40028" xr:uid="{00000000-0005-0000-0000-000056770000}"/>
    <cellStyle name="40% - Accent5 3 2 8" xfId="4592" xr:uid="{00000000-0005-0000-0000-000057770000}"/>
    <cellStyle name="40% - Accent5 3 2 8 2" xfId="11693" xr:uid="{00000000-0005-0000-0000-000058770000}"/>
    <cellStyle name="40% - Accent5 3 2 8 3" xfId="18794" xr:uid="{00000000-0005-0000-0000-000059770000}"/>
    <cellStyle name="40% - Accent5 3 2 8 4" xfId="25896" xr:uid="{00000000-0005-0000-0000-00005A770000}"/>
    <cellStyle name="40% - Accent5 3 2 8 5" xfId="32998" xr:uid="{00000000-0005-0000-0000-00005B770000}"/>
    <cellStyle name="40% - Accent5 3 2 9" xfId="3167" xr:uid="{00000000-0005-0000-0000-00005C770000}"/>
    <cellStyle name="40% - Accent5 3 2 9 2" xfId="10273" xr:uid="{00000000-0005-0000-0000-00005D770000}"/>
    <cellStyle name="40% - Accent5 3 2 9 3" xfId="17374" xr:uid="{00000000-0005-0000-0000-00005E770000}"/>
    <cellStyle name="40% - Accent5 3 2 9 4" xfId="24476" xr:uid="{00000000-0005-0000-0000-00005F770000}"/>
    <cellStyle name="40% - Accent5 3 2 9 5" xfId="31578" xr:uid="{00000000-0005-0000-0000-000060770000}"/>
    <cellStyle name="40% - Accent5 3 3" xfId="183" xr:uid="{00000000-0005-0000-0000-000061770000}"/>
    <cellStyle name="40% - Accent5 3 3 10" xfId="7362" xr:uid="{00000000-0005-0000-0000-000062770000}"/>
    <cellStyle name="40% - Accent5 3 3 11" xfId="14463" xr:uid="{00000000-0005-0000-0000-000063770000}"/>
    <cellStyle name="40% - Accent5 3 3 12" xfId="21565" xr:uid="{00000000-0005-0000-0000-000064770000}"/>
    <cellStyle name="40% - Accent5 3 3 13" xfId="28667" xr:uid="{00000000-0005-0000-0000-000065770000}"/>
    <cellStyle name="40% - Accent5 3 3 14" xfId="35769" xr:uid="{00000000-0005-0000-0000-000066770000}"/>
    <cellStyle name="40% - Accent5 3 3 15" xfId="40029" xr:uid="{00000000-0005-0000-0000-000067770000}"/>
    <cellStyle name="40% - Accent5 3 3 2" xfId="396" xr:uid="{00000000-0005-0000-0000-000068770000}"/>
    <cellStyle name="40% - Accent5 3 3 2 2" xfId="1887" xr:uid="{00000000-0005-0000-0000-000069770000}"/>
    <cellStyle name="40% - Accent5 3 3 2 2 2" xfId="6155" xr:uid="{00000000-0005-0000-0000-00006A770000}"/>
    <cellStyle name="40% - Accent5 3 3 2 2 2 2" xfId="13255" xr:uid="{00000000-0005-0000-0000-00006B770000}"/>
    <cellStyle name="40% - Accent5 3 3 2 2 2 3" xfId="20356" xr:uid="{00000000-0005-0000-0000-00006C770000}"/>
    <cellStyle name="40% - Accent5 3 3 2 2 2 4" xfId="27458" xr:uid="{00000000-0005-0000-0000-00006D770000}"/>
    <cellStyle name="40% - Accent5 3 3 2 2 2 5" xfId="34560" xr:uid="{00000000-0005-0000-0000-00006E770000}"/>
    <cellStyle name="40% - Accent5 3 3 2 2 2 6" xfId="40030" xr:uid="{00000000-0005-0000-0000-00006F770000}"/>
    <cellStyle name="40% - Accent5 3 3 2 2 3" xfId="8995" xr:uid="{00000000-0005-0000-0000-000070770000}"/>
    <cellStyle name="40% - Accent5 3 3 2 2 4" xfId="16096" xr:uid="{00000000-0005-0000-0000-000071770000}"/>
    <cellStyle name="40% - Accent5 3 3 2 2 5" xfId="23198" xr:uid="{00000000-0005-0000-0000-000072770000}"/>
    <cellStyle name="40% - Accent5 3 3 2 2 6" xfId="30300" xr:uid="{00000000-0005-0000-0000-000073770000}"/>
    <cellStyle name="40% - Accent5 3 3 2 2 7" xfId="40031" xr:uid="{00000000-0005-0000-0000-000074770000}"/>
    <cellStyle name="40% - Accent5 3 3 2 3" xfId="4734" xr:uid="{00000000-0005-0000-0000-000075770000}"/>
    <cellStyle name="40% - Accent5 3 3 2 3 2" xfId="11835" xr:uid="{00000000-0005-0000-0000-000076770000}"/>
    <cellStyle name="40% - Accent5 3 3 2 3 2 2" xfId="40032" xr:uid="{00000000-0005-0000-0000-000077770000}"/>
    <cellStyle name="40% - Accent5 3 3 2 3 3" xfId="18936" xr:uid="{00000000-0005-0000-0000-000078770000}"/>
    <cellStyle name="40% - Accent5 3 3 2 3 4" xfId="26038" xr:uid="{00000000-0005-0000-0000-000079770000}"/>
    <cellStyle name="40% - Accent5 3 3 2 3 5" xfId="33140" xr:uid="{00000000-0005-0000-0000-00007A770000}"/>
    <cellStyle name="40% - Accent5 3 3 2 3 6" xfId="40033" xr:uid="{00000000-0005-0000-0000-00007B770000}"/>
    <cellStyle name="40% - Accent5 3 3 2 4" xfId="3309" xr:uid="{00000000-0005-0000-0000-00007C770000}"/>
    <cellStyle name="40% - Accent5 3 3 2 4 2" xfId="10415" xr:uid="{00000000-0005-0000-0000-00007D770000}"/>
    <cellStyle name="40% - Accent5 3 3 2 4 3" xfId="17516" xr:uid="{00000000-0005-0000-0000-00007E770000}"/>
    <cellStyle name="40% - Accent5 3 3 2 4 4" xfId="24618" xr:uid="{00000000-0005-0000-0000-00007F770000}"/>
    <cellStyle name="40% - Accent5 3 3 2 4 5" xfId="31720" xr:uid="{00000000-0005-0000-0000-000080770000}"/>
    <cellStyle name="40% - Accent5 3 3 2 4 6" xfId="40034" xr:uid="{00000000-0005-0000-0000-000081770000}"/>
    <cellStyle name="40% - Accent5 3 3 2 5" xfId="7575" xr:uid="{00000000-0005-0000-0000-000082770000}"/>
    <cellStyle name="40% - Accent5 3 3 2 6" xfId="14676" xr:uid="{00000000-0005-0000-0000-000083770000}"/>
    <cellStyle name="40% - Accent5 3 3 2 7" xfId="21778" xr:uid="{00000000-0005-0000-0000-000084770000}"/>
    <cellStyle name="40% - Accent5 3 3 2 8" xfId="28880" xr:uid="{00000000-0005-0000-0000-000085770000}"/>
    <cellStyle name="40% - Accent5 3 3 2 9" xfId="40035" xr:uid="{00000000-0005-0000-0000-000086770000}"/>
    <cellStyle name="40% - Accent5 3 3 3" xfId="609" xr:uid="{00000000-0005-0000-0000-000087770000}"/>
    <cellStyle name="40% - Accent5 3 3 3 2" xfId="2100" xr:uid="{00000000-0005-0000-0000-000088770000}"/>
    <cellStyle name="40% - Accent5 3 3 3 2 2" xfId="6368" xr:uid="{00000000-0005-0000-0000-000089770000}"/>
    <cellStyle name="40% - Accent5 3 3 3 2 2 2" xfId="13468" xr:uid="{00000000-0005-0000-0000-00008A770000}"/>
    <cellStyle name="40% - Accent5 3 3 3 2 2 3" xfId="20569" xr:uid="{00000000-0005-0000-0000-00008B770000}"/>
    <cellStyle name="40% - Accent5 3 3 3 2 2 4" xfId="27671" xr:uid="{00000000-0005-0000-0000-00008C770000}"/>
    <cellStyle name="40% - Accent5 3 3 3 2 2 5" xfId="34773" xr:uid="{00000000-0005-0000-0000-00008D770000}"/>
    <cellStyle name="40% - Accent5 3 3 3 2 2 6" xfId="40036" xr:uid="{00000000-0005-0000-0000-00008E770000}"/>
    <cellStyle name="40% - Accent5 3 3 3 2 3" xfId="9208" xr:uid="{00000000-0005-0000-0000-00008F770000}"/>
    <cellStyle name="40% - Accent5 3 3 3 2 4" xfId="16309" xr:uid="{00000000-0005-0000-0000-000090770000}"/>
    <cellStyle name="40% - Accent5 3 3 3 2 5" xfId="23411" xr:uid="{00000000-0005-0000-0000-000091770000}"/>
    <cellStyle name="40% - Accent5 3 3 3 2 6" xfId="30513" xr:uid="{00000000-0005-0000-0000-000092770000}"/>
    <cellStyle name="40% - Accent5 3 3 3 2 7" xfId="40037" xr:uid="{00000000-0005-0000-0000-000093770000}"/>
    <cellStyle name="40% - Accent5 3 3 3 3" xfId="4947" xr:uid="{00000000-0005-0000-0000-000094770000}"/>
    <cellStyle name="40% - Accent5 3 3 3 3 2" xfId="12048" xr:uid="{00000000-0005-0000-0000-000095770000}"/>
    <cellStyle name="40% - Accent5 3 3 3 3 2 2" xfId="40038" xr:uid="{00000000-0005-0000-0000-000096770000}"/>
    <cellStyle name="40% - Accent5 3 3 3 3 3" xfId="19149" xr:uid="{00000000-0005-0000-0000-000097770000}"/>
    <cellStyle name="40% - Accent5 3 3 3 3 4" xfId="26251" xr:uid="{00000000-0005-0000-0000-000098770000}"/>
    <cellStyle name="40% - Accent5 3 3 3 3 5" xfId="33353" xr:uid="{00000000-0005-0000-0000-000099770000}"/>
    <cellStyle name="40% - Accent5 3 3 3 3 6" xfId="40039" xr:uid="{00000000-0005-0000-0000-00009A770000}"/>
    <cellStyle name="40% - Accent5 3 3 3 4" xfId="3522" xr:uid="{00000000-0005-0000-0000-00009B770000}"/>
    <cellStyle name="40% - Accent5 3 3 3 4 2" xfId="10628" xr:uid="{00000000-0005-0000-0000-00009C770000}"/>
    <cellStyle name="40% - Accent5 3 3 3 4 3" xfId="17729" xr:uid="{00000000-0005-0000-0000-00009D770000}"/>
    <cellStyle name="40% - Accent5 3 3 3 4 4" xfId="24831" xr:uid="{00000000-0005-0000-0000-00009E770000}"/>
    <cellStyle name="40% - Accent5 3 3 3 4 5" xfId="31933" xr:uid="{00000000-0005-0000-0000-00009F770000}"/>
    <cellStyle name="40% - Accent5 3 3 3 4 6" xfId="40040" xr:uid="{00000000-0005-0000-0000-0000A0770000}"/>
    <cellStyle name="40% - Accent5 3 3 3 5" xfId="7788" xr:uid="{00000000-0005-0000-0000-0000A1770000}"/>
    <cellStyle name="40% - Accent5 3 3 3 6" xfId="14889" xr:uid="{00000000-0005-0000-0000-0000A2770000}"/>
    <cellStyle name="40% - Accent5 3 3 3 7" xfId="21991" xr:uid="{00000000-0005-0000-0000-0000A3770000}"/>
    <cellStyle name="40% - Accent5 3 3 3 8" xfId="29093" xr:uid="{00000000-0005-0000-0000-0000A4770000}"/>
    <cellStyle name="40% - Accent5 3 3 3 9" xfId="40041" xr:uid="{00000000-0005-0000-0000-0000A5770000}"/>
    <cellStyle name="40% - Accent5 3 3 4" xfId="822" xr:uid="{00000000-0005-0000-0000-0000A6770000}"/>
    <cellStyle name="40% - Accent5 3 3 4 2" xfId="2313" xr:uid="{00000000-0005-0000-0000-0000A7770000}"/>
    <cellStyle name="40% - Accent5 3 3 4 2 2" xfId="6581" xr:uid="{00000000-0005-0000-0000-0000A8770000}"/>
    <cellStyle name="40% - Accent5 3 3 4 2 2 2" xfId="13681" xr:uid="{00000000-0005-0000-0000-0000A9770000}"/>
    <cellStyle name="40% - Accent5 3 3 4 2 2 3" xfId="20782" xr:uid="{00000000-0005-0000-0000-0000AA770000}"/>
    <cellStyle name="40% - Accent5 3 3 4 2 2 4" xfId="27884" xr:uid="{00000000-0005-0000-0000-0000AB770000}"/>
    <cellStyle name="40% - Accent5 3 3 4 2 2 5" xfId="34986" xr:uid="{00000000-0005-0000-0000-0000AC770000}"/>
    <cellStyle name="40% - Accent5 3 3 4 2 2 6" xfId="40042" xr:uid="{00000000-0005-0000-0000-0000AD770000}"/>
    <cellStyle name="40% - Accent5 3 3 4 2 3" xfId="9421" xr:uid="{00000000-0005-0000-0000-0000AE770000}"/>
    <cellStyle name="40% - Accent5 3 3 4 2 4" xfId="16522" xr:uid="{00000000-0005-0000-0000-0000AF770000}"/>
    <cellStyle name="40% - Accent5 3 3 4 2 5" xfId="23624" xr:uid="{00000000-0005-0000-0000-0000B0770000}"/>
    <cellStyle name="40% - Accent5 3 3 4 2 6" xfId="30726" xr:uid="{00000000-0005-0000-0000-0000B1770000}"/>
    <cellStyle name="40% - Accent5 3 3 4 2 7" xfId="40043" xr:uid="{00000000-0005-0000-0000-0000B2770000}"/>
    <cellStyle name="40% - Accent5 3 3 4 3" xfId="5160" xr:uid="{00000000-0005-0000-0000-0000B3770000}"/>
    <cellStyle name="40% - Accent5 3 3 4 3 2" xfId="12261" xr:uid="{00000000-0005-0000-0000-0000B4770000}"/>
    <cellStyle name="40% - Accent5 3 3 4 3 2 2" xfId="40044" xr:uid="{00000000-0005-0000-0000-0000B5770000}"/>
    <cellStyle name="40% - Accent5 3 3 4 3 3" xfId="19362" xr:uid="{00000000-0005-0000-0000-0000B6770000}"/>
    <cellStyle name="40% - Accent5 3 3 4 3 4" xfId="26464" xr:uid="{00000000-0005-0000-0000-0000B7770000}"/>
    <cellStyle name="40% - Accent5 3 3 4 3 5" xfId="33566" xr:uid="{00000000-0005-0000-0000-0000B8770000}"/>
    <cellStyle name="40% - Accent5 3 3 4 3 6" xfId="40045" xr:uid="{00000000-0005-0000-0000-0000B9770000}"/>
    <cellStyle name="40% - Accent5 3 3 4 4" xfId="3735" xr:uid="{00000000-0005-0000-0000-0000BA770000}"/>
    <cellStyle name="40% - Accent5 3 3 4 4 2" xfId="10841" xr:uid="{00000000-0005-0000-0000-0000BB770000}"/>
    <cellStyle name="40% - Accent5 3 3 4 4 3" xfId="17942" xr:uid="{00000000-0005-0000-0000-0000BC770000}"/>
    <cellStyle name="40% - Accent5 3 3 4 4 4" xfId="25044" xr:uid="{00000000-0005-0000-0000-0000BD770000}"/>
    <cellStyle name="40% - Accent5 3 3 4 4 5" xfId="32146" xr:uid="{00000000-0005-0000-0000-0000BE770000}"/>
    <cellStyle name="40% - Accent5 3 3 4 4 6" xfId="40046" xr:uid="{00000000-0005-0000-0000-0000BF770000}"/>
    <cellStyle name="40% - Accent5 3 3 4 5" xfId="8001" xr:uid="{00000000-0005-0000-0000-0000C0770000}"/>
    <cellStyle name="40% - Accent5 3 3 4 6" xfId="15102" xr:uid="{00000000-0005-0000-0000-0000C1770000}"/>
    <cellStyle name="40% - Accent5 3 3 4 7" xfId="22204" xr:uid="{00000000-0005-0000-0000-0000C2770000}"/>
    <cellStyle name="40% - Accent5 3 3 4 8" xfId="29306" xr:uid="{00000000-0005-0000-0000-0000C3770000}"/>
    <cellStyle name="40% - Accent5 3 3 4 9" xfId="40047" xr:uid="{00000000-0005-0000-0000-0000C4770000}"/>
    <cellStyle name="40% - Accent5 3 3 5" xfId="1177" xr:uid="{00000000-0005-0000-0000-0000C5770000}"/>
    <cellStyle name="40% - Accent5 3 3 5 2" xfId="2668" xr:uid="{00000000-0005-0000-0000-0000C6770000}"/>
    <cellStyle name="40% - Accent5 3 3 5 2 2" xfId="6936" xr:uid="{00000000-0005-0000-0000-0000C7770000}"/>
    <cellStyle name="40% - Accent5 3 3 5 2 2 2" xfId="14036" xr:uid="{00000000-0005-0000-0000-0000C8770000}"/>
    <cellStyle name="40% - Accent5 3 3 5 2 2 3" xfId="21137" xr:uid="{00000000-0005-0000-0000-0000C9770000}"/>
    <cellStyle name="40% - Accent5 3 3 5 2 2 4" xfId="28239" xr:uid="{00000000-0005-0000-0000-0000CA770000}"/>
    <cellStyle name="40% - Accent5 3 3 5 2 2 5" xfId="35341" xr:uid="{00000000-0005-0000-0000-0000CB770000}"/>
    <cellStyle name="40% - Accent5 3 3 5 2 3" xfId="9776" xr:uid="{00000000-0005-0000-0000-0000CC770000}"/>
    <cellStyle name="40% - Accent5 3 3 5 2 4" xfId="16877" xr:uid="{00000000-0005-0000-0000-0000CD770000}"/>
    <cellStyle name="40% - Accent5 3 3 5 2 5" xfId="23979" xr:uid="{00000000-0005-0000-0000-0000CE770000}"/>
    <cellStyle name="40% - Accent5 3 3 5 2 6" xfId="31081" xr:uid="{00000000-0005-0000-0000-0000CF770000}"/>
    <cellStyle name="40% - Accent5 3 3 5 2 7" xfId="40048" xr:uid="{00000000-0005-0000-0000-0000D0770000}"/>
    <cellStyle name="40% - Accent5 3 3 5 3" xfId="5515" xr:uid="{00000000-0005-0000-0000-0000D1770000}"/>
    <cellStyle name="40% - Accent5 3 3 5 3 2" xfId="12616" xr:uid="{00000000-0005-0000-0000-0000D2770000}"/>
    <cellStyle name="40% - Accent5 3 3 5 3 3" xfId="19717" xr:uid="{00000000-0005-0000-0000-0000D3770000}"/>
    <cellStyle name="40% - Accent5 3 3 5 3 4" xfId="26819" xr:uid="{00000000-0005-0000-0000-0000D4770000}"/>
    <cellStyle name="40% - Accent5 3 3 5 3 5" xfId="33921" xr:uid="{00000000-0005-0000-0000-0000D5770000}"/>
    <cellStyle name="40% - Accent5 3 3 5 4" xfId="4090" xr:uid="{00000000-0005-0000-0000-0000D6770000}"/>
    <cellStyle name="40% - Accent5 3 3 5 4 2" xfId="11196" xr:uid="{00000000-0005-0000-0000-0000D7770000}"/>
    <cellStyle name="40% - Accent5 3 3 5 4 3" xfId="18297" xr:uid="{00000000-0005-0000-0000-0000D8770000}"/>
    <cellStyle name="40% - Accent5 3 3 5 4 4" xfId="25399" xr:uid="{00000000-0005-0000-0000-0000D9770000}"/>
    <cellStyle name="40% - Accent5 3 3 5 4 5" xfId="32501" xr:uid="{00000000-0005-0000-0000-0000DA770000}"/>
    <cellStyle name="40% - Accent5 3 3 5 5" xfId="8356" xr:uid="{00000000-0005-0000-0000-0000DB770000}"/>
    <cellStyle name="40% - Accent5 3 3 5 6" xfId="15457" xr:uid="{00000000-0005-0000-0000-0000DC770000}"/>
    <cellStyle name="40% - Accent5 3 3 5 7" xfId="22559" xr:uid="{00000000-0005-0000-0000-0000DD770000}"/>
    <cellStyle name="40% - Accent5 3 3 5 8" xfId="29661" xr:uid="{00000000-0005-0000-0000-0000DE770000}"/>
    <cellStyle name="40% - Accent5 3 3 5 9" xfId="40049" xr:uid="{00000000-0005-0000-0000-0000DF770000}"/>
    <cellStyle name="40% - Accent5 3 3 6" xfId="1390" xr:uid="{00000000-0005-0000-0000-0000E0770000}"/>
    <cellStyle name="40% - Accent5 3 3 6 2" xfId="2881" xr:uid="{00000000-0005-0000-0000-0000E1770000}"/>
    <cellStyle name="40% - Accent5 3 3 6 2 2" xfId="7149" xr:uid="{00000000-0005-0000-0000-0000E2770000}"/>
    <cellStyle name="40% - Accent5 3 3 6 2 2 2" xfId="14249" xr:uid="{00000000-0005-0000-0000-0000E3770000}"/>
    <cellStyle name="40% - Accent5 3 3 6 2 2 3" xfId="21350" xr:uid="{00000000-0005-0000-0000-0000E4770000}"/>
    <cellStyle name="40% - Accent5 3 3 6 2 2 4" xfId="28452" xr:uid="{00000000-0005-0000-0000-0000E5770000}"/>
    <cellStyle name="40% - Accent5 3 3 6 2 2 5" xfId="35554" xr:uid="{00000000-0005-0000-0000-0000E6770000}"/>
    <cellStyle name="40% - Accent5 3 3 6 2 3" xfId="9989" xr:uid="{00000000-0005-0000-0000-0000E7770000}"/>
    <cellStyle name="40% - Accent5 3 3 6 2 4" xfId="17090" xr:uid="{00000000-0005-0000-0000-0000E8770000}"/>
    <cellStyle name="40% - Accent5 3 3 6 2 5" xfId="24192" xr:uid="{00000000-0005-0000-0000-0000E9770000}"/>
    <cellStyle name="40% - Accent5 3 3 6 2 6" xfId="31294" xr:uid="{00000000-0005-0000-0000-0000EA770000}"/>
    <cellStyle name="40% - Accent5 3 3 6 2 7" xfId="40050" xr:uid="{00000000-0005-0000-0000-0000EB770000}"/>
    <cellStyle name="40% - Accent5 3 3 6 3" xfId="5728" xr:uid="{00000000-0005-0000-0000-0000EC770000}"/>
    <cellStyle name="40% - Accent5 3 3 6 3 2" xfId="12829" xr:uid="{00000000-0005-0000-0000-0000ED770000}"/>
    <cellStyle name="40% - Accent5 3 3 6 3 3" xfId="19930" xr:uid="{00000000-0005-0000-0000-0000EE770000}"/>
    <cellStyle name="40% - Accent5 3 3 6 3 4" xfId="27032" xr:uid="{00000000-0005-0000-0000-0000EF770000}"/>
    <cellStyle name="40% - Accent5 3 3 6 3 5" xfId="34134" xr:uid="{00000000-0005-0000-0000-0000F0770000}"/>
    <cellStyle name="40% - Accent5 3 3 6 4" xfId="4303" xr:uid="{00000000-0005-0000-0000-0000F1770000}"/>
    <cellStyle name="40% - Accent5 3 3 6 4 2" xfId="11409" xr:uid="{00000000-0005-0000-0000-0000F2770000}"/>
    <cellStyle name="40% - Accent5 3 3 6 4 3" xfId="18510" xr:uid="{00000000-0005-0000-0000-0000F3770000}"/>
    <cellStyle name="40% - Accent5 3 3 6 4 4" xfId="25612" xr:uid="{00000000-0005-0000-0000-0000F4770000}"/>
    <cellStyle name="40% - Accent5 3 3 6 4 5" xfId="32714" xr:uid="{00000000-0005-0000-0000-0000F5770000}"/>
    <cellStyle name="40% - Accent5 3 3 6 5" xfId="8569" xr:uid="{00000000-0005-0000-0000-0000F6770000}"/>
    <cellStyle name="40% - Accent5 3 3 6 6" xfId="15670" xr:uid="{00000000-0005-0000-0000-0000F7770000}"/>
    <cellStyle name="40% - Accent5 3 3 6 7" xfId="22772" xr:uid="{00000000-0005-0000-0000-0000F8770000}"/>
    <cellStyle name="40% - Accent5 3 3 6 8" xfId="29874" xr:uid="{00000000-0005-0000-0000-0000F9770000}"/>
    <cellStyle name="40% - Accent5 3 3 6 9" xfId="40051" xr:uid="{00000000-0005-0000-0000-0000FA770000}"/>
    <cellStyle name="40% - Accent5 3 3 7" xfId="1674" xr:uid="{00000000-0005-0000-0000-0000FB770000}"/>
    <cellStyle name="40% - Accent5 3 3 7 2" xfId="5942" xr:uid="{00000000-0005-0000-0000-0000FC770000}"/>
    <cellStyle name="40% - Accent5 3 3 7 2 2" xfId="13042" xr:uid="{00000000-0005-0000-0000-0000FD770000}"/>
    <cellStyle name="40% - Accent5 3 3 7 2 3" xfId="20143" xr:uid="{00000000-0005-0000-0000-0000FE770000}"/>
    <cellStyle name="40% - Accent5 3 3 7 2 4" xfId="27245" xr:uid="{00000000-0005-0000-0000-0000FF770000}"/>
    <cellStyle name="40% - Accent5 3 3 7 2 5" xfId="34347" xr:uid="{00000000-0005-0000-0000-000000780000}"/>
    <cellStyle name="40% - Accent5 3 3 7 3" xfId="8782" xr:uid="{00000000-0005-0000-0000-000001780000}"/>
    <cellStyle name="40% - Accent5 3 3 7 4" xfId="15883" xr:uid="{00000000-0005-0000-0000-000002780000}"/>
    <cellStyle name="40% - Accent5 3 3 7 5" xfId="22985" xr:uid="{00000000-0005-0000-0000-000003780000}"/>
    <cellStyle name="40% - Accent5 3 3 7 6" xfId="30087" xr:uid="{00000000-0005-0000-0000-000004780000}"/>
    <cellStyle name="40% - Accent5 3 3 7 7" xfId="40052" xr:uid="{00000000-0005-0000-0000-000005780000}"/>
    <cellStyle name="40% - Accent5 3 3 8" xfId="4521" xr:uid="{00000000-0005-0000-0000-000006780000}"/>
    <cellStyle name="40% - Accent5 3 3 8 2" xfId="11622" xr:uid="{00000000-0005-0000-0000-000007780000}"/>
    <cellStyle name="40% - Accent5 3 3 8 3" xfId="18723" xr:uid="{00000000-0005-0000-0000-000008780000}"/>
    <cellStyle name="40% - Accent5 3 3 8 4" xfId="25825" xr:uid="{00000000-0005-0000-0000-000009780000}"/>
    <cellStyle name="40% - Accent5 3 3 8 5" xfId="32927" xr:uid="{00000000-0005-0000-0000-00000A780000}"/>
    <cellStyle name="40% - Accent5 3 3 9" xfId="3096" xr:uid="{00000000-0005-0000-0000-00000B780000}"/>
    <cellStyle name="40% - Accent5 3 3 9 2" xfId="10202" xr:uid="{00000000-0005-0000-0000-00000C780000}"/>
    <cellStyle name="40% - Accent5 3 3 9 3" xfId="17303" xr:uid="{00000000-0005-0000-0000-00000D780000}"/>
    <cellStyle name="40% - Accent5 3 3 9 4" xfId="24405" xr:uid="{00000000-0005-0000-0000-00000E780000}"/>
    <cellStyle name="40% - Accent5 3 3 9 5" xfId="31507" xr:uid="{00000000-0005-0000-0000-00000F780000}"/>
    <cellStyle name="40% - Accent5 3 4" xfId="325" xr:uid="{00000000-0005-0000-0000-000010780000}"/>
    <cellStyle name="40% - Accent5 3 4 10" xfId="40053" xr:uid="{00000000-0005-0000-0000-000011780000}"/>
    <cellStyle name="40% - Accent5 3 4 2" xfId="1106" xr:uid="{00000000-0005-0000-0000-000012780000}"/>
    <cellStyle name="40% - Accent5 3 4 2 2" xfId="2597" xr:uid="{00000000-0005-0000-0000-000013780000}"/>
    <cellStyle name="40% - Accent5 3 4 2 2 2" xfId="6865" xr:uid="{00000000-0005-0000-0000-000014780000}"/>
    <cellStyle name="40% - Accent5 3 4 2 2 2 2" xfId="13965" xr:uid="{00000000-0005-0000-0000-000015780000}"/>
    <cellStyle name="40% - Accent5 3 4 2 2 2 3" xfId="21066" xr:uid="{00000000-0005-0000-0000-000016780000}"/>
    <cellStyle name="40% - Accent5 3 4 2 2 2 4" xfId="28168" xr:uid="{00000000-0005-0000-0000-000017780000}"/>
    <cellStyle name="40% - Accent5 3 4 2 2 2 5" xfId="35270" xr:uid="{00000000-0005-0000-0000-000018780000}"/>
    <cellStyle name="40% - Accent5 3 4 2 2 3" xfId="9705" xr:uid="{00000000-0005-0000-0000-000019780000}"/>
    <cellStyle name="40% - Accent5 3 4 2 2 4" xfId="16806" xr:uid="{00000000-0005-0000-0000-00001A780000}"/>
    <cellStyle name="40% - Accent5 3 4 2 2 5" xfId="23908" xr:uid="{00000000-0005-0000-0000-00001B780000}"/>
    <cellStyle name="40% - Accent5 3 4 2 2 6" xfId="31010" xr:uid="{00000000-0005-0000-0000-00001C780000}"/>
    <cellStyle name="40% - Accent5 3 4 2 2 7" xfId="40054" xr:uid="{00000000-0005-0000-0000-00001D780000}"/>
    <cellStyle name="40% - Accent5 3 4 2 3" xfId="5444" xr:uid="{00000000-0005-0000-0000-00001E780000}"/>
    <cellStyle name="40% - Accent5 3 4 2 3 2" xfId="12545" xr:uid="{00000000-0005-0000-0000-00001F780000}"/>
    <cellStyle name="40% - Accent5 3 4 2 3 3" xfId="19646" xr:uid="{00000000-0005-0000-0000-000020780000}"/>
    <cellStyle name="40% - Accent5 3 4 2 3 4" xfId="26748" xr:uid="{00000000-0005-0000-0000-000021780000}"/>
    <cellStyle name="40% - Accent5 3 4 2 3 5" xfId="33850" xr:uid="{00000000-0005-0000-0000-000022780000}"/>
    <cellStyle name="40% - Accent5 3 4 2 4" xfId="4019" xr:uid="{00000000-0005-0000-0000-000023780000}"/>
    <cellStyle name="40% - Accent5 3 4 2 4 2" xfId="11125" xr:uid="{00000000-0005-0000-0000-000024780000}"/>
    <cellStyle name="40% - Accent5 3 4 2 4 3" xfId="18226" xr:uid="{00000000-0005-0000-0000-000025780000}"/>
    <cellStyle name="40% - Accent5 3 4 2 4 4" xfId="25328" xr:uid="{00000000-0005-0000-0000-000026780000}"/>
    <cellStyle name="40% - Accent5 3 4 2 4 5" xfId="32430" xr:uid="{00000000-0005-0000-0000-000027780000}"/>
    <cellStyle name="40% - Accent5 3 4 2 5" xfId="8285" xr:uid="{00000000-0005-0000-0000-000028780000}"/>
    <cellStyle name="40% - Accent5 3 4 2 6" xfId="15386" xr:uid="{00000000-0005-0000-0000-000029780000}"/>
    <cellStyle name="40% - Accent5 3 4 2 7" xfId="22488" xr:uid="{00000000-0005-0000-0000-00002A780000}"/>
    <cellStyle name="40% - Accent5 3 4 2 8" xfId="29590" xr:uid="{00000000-0005-0000-0000-00002B780000}"/>
    <cellStyle name="40% - Accent5 3 4 2 9" xfId="40055" xr:uid="{00000000-0005-0000-0000-00002C780000}"/>
    <cellStyle name="40% - Accent5 3 4 3" xfId="1816" xr:uid="{00000000-0005-0000-0000-00002D780000}"/>
    <cellStyle name="40% - Accent5 3 4 3 2" xfId="6084" xr:uid="{00000000-0005-0000-0000-00002E780000}"/>
    <cellStyle name="40% - Accent5 3 4 3 2 2" xfId="13184" xr:uid="{00000000-0005-0000-0000-00002F780000}"/>
    <cellStyle name="40% - Accent5 3 4 3 2 3" xfId="20285" xr:uid="{00000000-0005-0000-0000-000030780000}"/>
    <cellStyle name="40% - Accent5 3 4 3 2 4" xfId="27387" xr:uid="{00000000-0005-0000-0000-000031780000}"/>
    <cellStyle name="40% - Accent5 3 4 3 2 5" xfId="34489" xr:uid="{00000000-0005-0000-0000-000032780000}"/>
    <cellStyle name="40% - Accent5 3 4 3 2 6" xfId="40056" xr:uid="{00000000-0005-0000-0000-000033780000}"/>
    <cellStyle name="40% - Accent5 3 4 3 3" xfId="8924" xr:uid="{00000000-0005-0000-0000-000034780000}"/>
    <cellStyle name="40% - Accent5 3 4 3 4" xfId="16025" xr:uid="{00000000-0005-0000-0000-000035780000}"/>
    <cellStyle name="40% - Accent5 3 4 3 5" xfId="23127" xr:uid="{00000000-0005-0000-0000-000036780000}"/>
    <cellStyle name="40% - Accent5 3 4 3 6" xfId="30229" xr:uid="{00000000-0005-0000-0000-000037780000}"/>
    <cellStyle name="40% - Accent5 3 4 3 7" xfId="40057" xr:uid="{00000000-0005-0000-0000-000038780000}"/>
    <cellStyle name="40% - Accent5 3 4 4" xfId="4663" xr:uid="{00000000-0005-0000-0000-000039780000}"/>
    <cellStyle name="40% - Accent5 3 4 4 2" xfId="11764" xr:uid="{00000000-0005-0000-0000-00003A780000}"/>
    <cellStyle name="40% - Accent5 3 4 4 3" xfId="18865" xr:uid="{00000000-0005-0000-0000-00003B780000}"/>
    <cellStyle name="40% - Accent5 3 4 4 4" xfId="25967" xr:uid="{00000000-0005-0000-0000-00003C780000}"/>
    <cellStyle name="40% - Accent5 3 4 4 5" xfId="33069" xr:uid="{00000000-0005-0000-0000-00003D780000}"/>
    <cellStyle name="40% - Accent5 3 4 4 6" xfId="40058" xr:uid="{00000000-0005-0000-0000-00003E780000}"/>
    <cellStyle name="40% - Accent5 3 4 5" xfId="3238" xr:uid="{00000000-0005-0000-0000-00003F780000}"/>
    <cellStyle name="40% - Accent5 3 4 5 2" xfId="10344" xr:uid="{00000000-0005-0000-0000-000040780000}"/>
    <cellStyle name="40% - Accent5 3 4 5 3" xfId="17445" xr:uid="{00000000-0005-0000-0000-000041780000}"/>
    <cellStyle name="40% - Accent5 3 4 5 4" xfId="24547" xr:uid="{00000000-0005-0000-0000-000042780000}"/>
    <cellStyle name="40% - Accent5 3 4 5 5" xfId="31649" xr:uid="{00000000-0005-0000-0000-000043780000}"/>
    <cellStyle name="40% - Accent5 3 4 6" xfId="7504" xr:uid="{00000000-0005-0000-0000-000044780000}"/>
    <cellStyle name="40% - Accent5 3 4 7" xfId="14605" xr:uid="{00000000-0005-0000-0000-000045780000}"/>
    <cellStyle name="40% - Accent5 3 4 8" xfId="21707" xr:uid="{00000000-0005-0000-0000-000046780000}"/>
    <cellStyle name="40% - Accent5 3 4 9" xfId="28809" xr:uid="{00000000-0005-0000-0000-000047780000}"/>
    <cellStyle name="40% - Accent5 3 5" xfId="538" xr:uid="{00000000-0005-0000-0000-000048780000}"/>
    <cellStyle name="40% - Accent5 3 5 2" xfId="2029" xr:uid="{00000000-0005-0000-0000-000049780000}"/>
    <cellStyle name="40% - Accent5 3 5 2 2" xfId="6297" xr:uid="{00000000-0005-0000-0000-00004A780000}"/>
    <cellStyle name="40% - Accent5 3 5 2 2 2" xfId="13397" xr:uid="{00000000-0005-0000-0000-00004B780000}"/>
    <cellStyle name="40% - Accent5 3 5 2 2 3" xfId="20498" xr:uid="{00000000-0005-0000-0000-00004C780000}"/>
    <cellStyle name="40% - Accent5 3 5 2 2 4" xfId="27600" xr:uid="{00000000-0005-0000-0000-00004D780000}"/>
    <cellStyle name="40% - Accent5 3 5 2 2 5" xfId="34702" xr:uid="{00000000-0005-0000-0000-00004E780000}"/>
    <cellStyle name="40% - Accent5 3 5 2 2 6" xfId="40059" xr:uid="{00000000-0005-0000-0000-00004F780000}"/>
    <cellStyle name="40% - Accent5 3 5 2 3" xfId="9137" xr:uid="{00000000-0005-0000-0000-000050780000}"/>
    <cellStyle name="40% - Accent5 3 5 2 4" xfId="16238" xr:uid="{00000000-0005-0000-0000-000051780000}"/>
    <cellStyle name="40% - Accent5 3 5 2 5" xfId="23340" xr:uid="{00000000-0005-0000-0000-000052780000}"/>
    <cellStyle name="40% - Accent5 3 5 2 6" xfId="30442" xr:uid="{00000000-0005-0000-0000-000053780000}"/>
    <cellStyle name="40% - Accent5 3 5 2 7" xfId="40060" xr:uid="{00000000-0005-0000-0000-000054780000}"/>
    <cellStyle name="40% - Accent5 3 5 3" xfId="4876" xr:uid="{00000000-0005-0000-0000-000055780000}"/>
    <cellStyle name="40% - Accent5 3 5 3 2" xfId="11977" xr:uid="{00000000-0005-0000-0000-000056780000}"/>
    <cellStyle name="40% - Accent5 3 5 3 2 2" xfId="40061" xr:uid="{00000000-0005-0000-0000-000057780000}"/>
    <cellStyle name="40% - Accent5 3 5 3 3" xfId="19078" xr:uid="{00000000-0005-0000-0000-000058780000}"/>
    <cellStyle name="40% - Accent5 3 5 3 4" xfId="26180" xr:uid="{00000000-0005-0000-0000-000059780000}"/>
    <cellStyle name="40% - Accent5 3 5 3 5" xfId="33282" xr:uid="{00000000-0005-0000-0000-00005A780000}"/>
    <cellStyle name="40% - Accent5 3 5 3 6" xfId="40062" xr:uid="{00000000-0005-0000-0000-00005B780000}"/>
    <cellStyle name="40% - Accent5 3 5 4" xfId="3451" xr:uid="{00000000-0005-0000-0000-00005C780000}"/>
    <cellStyle name="40% - Accent5 3 5 4 2" xfId="10557" xr:uid="{00000000-0005-0000-0000-00005D780000}"/>
    <cellStyle name="40% - Accent5 3 5 4 3" xfId="17658" xr:uid="{00000000-0005-0000-0000-00005E780000}"/>
    <cellStyle name="40% - Accent5 3 5 4 4" xfId="24760" xr:uid="{00000000-0005-0000-0000-00005F780000}"/>
    <cellStyle name="40% - Accent5 3 5 4 5" xfId="31862" xr:uid="{00000000-0005-0000-0000-000060780000}"/>
    <cellStyle name="40% - Accent5 3 5 4 6" xfId="40063" xr:uid="{00000000-0005-0000-0000-000061780000}"/>
    <cellStyle name="40% - Accent5 3 5 5" xfId="7717" xr:uid="{00000000-0005-0000-0000-000062780000}"/>
    <cellStyle name="40% - Accent5 3 5 6" xfId="14818" xr:uid="{00000000-0005-0000-0000-000063780000}"/>
    <cellStyle name="40% - Accent5 3 5 7" xfId="21920" xr:uid="{00000000-0005-0000-0000-000064780000}"/>
    <cellStyle name="40% - Accent5 3 5 8" xfId="29022" xr:uid="{00000000-0005-0000-0000-000065780000}"/>
    <cellStyle name="40% - Accent5 3 5 9" xfId="40064" xr:uid="{00000000-0005-0000-0000-000066780000}"/>
    <cellStyle name="40% - Accent5 3 6" xfId="751" xr:uid="{00000000-0005-0000-0000-000067780000}"/>
    <cellStyle name="40% - Accent5 3 6 2" xfId="2242" xr:uid="{00000000-0005-0000-0000-000068780000}"/>
    <cellStyle name="40% - Accent5 3 6 2 2" xfId="6510" xr:uid="{00000000-0005-0000-0000-000069780000}"/>
    <cellStyle name="40% - Accent5 3 6 2 2 2" xfId="13610" xr:uid="{00000000-0005-0000-0000-00006A780000}"/>
    <cellStyle name="40% - Accent5 3 6 2 2 3" xfId="20711" xr:uid="{00000000-0005-0000-0000-00006B780000}"/>
    <cellStyle name="40% - Accent5 3 6 2 2 4" xfId="27813" xr:uid="{00000000-0005-0000-0000-00006C780000}"/>
    <cellStyle name="40% - Accent5 3 6 2 2 5" xfId="34915" xr:uid="{00000000-0005-0000-0000-00006D780000}"/>
    <cellStyle name="40% - Accent5 3 6 2 2 6" xfId="40065" xr:uid="{00000000-0005-0000-0000-00006E780000}"/>
    <cellStyle name="40% - Accent5 3 6 2 3" xfId="9350" xr:uid="{00000000-0005-0000-0000-00006F780000}"/>
    <cellStyle name="40% - Accent5 3 6 2 4" xfId="16451" xr:uid="{00000000-0005-0000-0000-000070780000}"/>
    <cellStyle name="40% - Accent5 3 6 2 5" xfId="23553" xr:uid="{00000000-0005-0000-0000-000071780000}"/>
    <cellStyle name="40% - Accent5 3 6 2 6" xfId="30655" xr:uid="{00000000-0005-0000-0000-000072780000}"/>
    <cellStyle name="40% - Accent5 3 6 2 7" xfId="40066" xr:uid="{00000000-0005-0000-0000-000073780000}"/>
    <cellStyle name="40% - Accent5 3 6 3" xfId="5089" xr:uid="{00000000-0005-0000-0000-000074780000}"/>
    <cellStyle name="40% - Accent5 3 6 3 2" xfId="12190" xr:uid="{00000000-0005-0000-0000-000075780000}"/>
    <cellStyle name="40% - Accent5 3 6 3 2 2" xfId="40067" xr:uid="{00000000-0005-0000-0000-000076780000}"/>
    <cellStyle name="40% - Accent5 3 6 3 3" xfId="19291" xr:uid="{00000000-0005-0000-0000-000077780000}"/>
    <cellStyle name="40% - Accent5 3 6 3 4" xfId="26393" xr:uid="{00000000-0005-0000-0000-000078780000}"/>
    <cellStyle name="40% - Accent5 3 6 3 5" xfId="33495" xr:uid="{00000000-0005-0000-0000-000079780000}"/>
    <cellStyle name="40% - Accent5 3 6 3 6" xfId="40068" xr:uid="{00000000-0005-0000-0000-00007A780000}"/>
    <cellStyle name="40% - Accent5 3 6 4" xfId="3664" xr:uid="{00000000-0005-0000-0000-00007B780000}"/>
    <cellStyle name="40% - Accent5 3 6 4 2" xfId="10770" xr:uid="{00000000-0005-0000-0000-00007C780000}"/>
    <cellStyle name="40% - Accent5 3 6 4 3" xfId="17871" xr:uid="{00000000-0005-0000-0000-00007D780000}"/>
    <cellStyle name="40% - Accent5 3 6 4 4" xfId="24973" xr:uid="{00000000-0005-0000-0000-00007E780000}"/>
    <cellStyle name="40% - Accent5 3 6 4 5" xfId="32075" xr:uid="{00000000-0005-0000-0000-00007F780000}"/>
    <cellStyle name="40% - Accent5 3 6 4 6" xfId="40069" xr:uid="{00000000-0005-0000-0000-000080780000}"/>
    <cellStyle name="40% - Accent5 3 6 5" xfId="7930" xr:uid="{00000000-0005-0000-0000-000081780000}"/>
    <cellStyle name="40% - Accent5 3 6 6" xfId="15031" xr:uid="{00000000-0005-0000-0000-000082780000}"/>
    <cellStyle name="40% - Accent5 3 6 7" xfId="22133" xr:uid="{00000000-0005-0000-0000-000083780000}"/>
    <cellStyle name="40% - Accent5 3 6 8" xfId="29235" xr:uid="{00000000-0005-0000-0000-000084780000}"/>
    <cellStyle name="40% - Accent5 3 6 9" xfId="40070" xr:uid="{00000000-0005-0000-0000-000085780000}"/>
    <cellStyle name="40% - Accent5 3 7" xfId="964" xr:uid="{00000000-0005-0000-0000-000086780000}"/>
    <cellStyle name="40% - Accent5 3 7 2" xfId="2455" xr:uid="{00000000-0005-0000-0000-000087780000}"/>
    <cellStyle name="40% - Accent5 3 7 2 2" xfId="6723" xr:uid="{00000000-0005-0000-0000-000088780000}"/>
    <cellStyle name="40% - Accent5 3 7 2 2 2" xfId="13823" xr:uid="{00000000-0005-0000-0000-000089780000}"/>
    <cellStyle name="40% - Accent5 3 7 2 2 3" xfId="20924" xr:uid="{00000000-0005-0000-0000-00008A780000}"/>
    <cellStyle name="40% - Accent5 3 7 2 2 4" xfId="28026" xr:uid="{00000000-0005-0000-0000-00008B780000}"/>
    <cellStyle name="40% - Accent5 3 7 2 2 5" xfId="35128" xr:uid="{00000000-0005-0000-0000-00008C780000}"/>
    <cellStyle name="40% - Accent5 3 7 2 3" xfId="9563" xr:uid="{00000000-0005-0000-0000-00008D780000}"/>
    <cellStyle name="40% - Accent5 3 7 2 4" xfId="16664" xr:uid="{00000000-0005-0000-0000-00008E780000}"/>
    <cellStyle name="40% - Accent5 3 7 2 5" xfId="23766" xr:uid="{00000000-0005-0000-0000-00008F780000}"/>
    <cellStyle name="40% - Accent5 3 7 2 6" xfId="30868" xr:uid="{00000000-0005-0000-0000-000090780000}"/>
    <cellStyle name="40% - Accent5 3 7 2 7" xfId="40071" xr:uid="{00000000-0005-0000-0000-000091780000}"/>
    <cellStyle name="40% - Accent5 3 7 3" xfId="5302" xr:uid="{00000000-0005-0000-0000-000092780000}"/>
    <cellStyle name="40% - Accent5 3 7 3 2" xfId="12403" xr:uid="{00000000-0005-0000-0000-000093780000}"/>
    <cellStyle name="40% - Accent5 3 7 3 3" xfId="19504" xr:uid="{00000000-0005-0000-0000-000094780000}"/>
    <cellStyle name="40% - Accent5 3 7 3 4" xfId="26606" xr:uid="{00000000-0005-0000-0000-000095780000}"/>
    <cellStyle name="40% - Accent5 3 7 3 5" xfId="33708" xr:uid="{00000000-0005-0000-0000-000096780000}"/>
    <cellStyle name="40% - Accent5 3 7 4" xfId="3877" xr:uid="{00000000-0005-0000-0000-000097780000}"/>
    <cellStyle name="40% - Accent5 3 7 4 2" xfId="10983" xr:uid="{00000000-0005-0000-0000-000098780000}"/>
    <cellStyle name="40% - Accent5 3 7 4 3" xfId="18084" xr:uid="{00000000-0005-0000-0000-000099780000}"/>
    <cellStyle name="40% - Accent5 3 7 4 4" xfId="25186" xr:uid="{00000000-0005-0000-0000-00009A780000}"/>
    <cellStyle name="40% - Accent5 3 7 4 5" xfId="32288" xr:uid="{00000000-0005-0000-0000-00009B780000}"/>
    <cellStyle name="40% - Accent5 3 7 5" xfId="8143" xr:uid="{00000000-0005-0000-0000-00009C780000}"/>
    <cellStyle name="40% - Accent5 3 7 6" xfId="15244" xr:uid="{00000000-0005-0000-0000-00009D780000}"/>
    <cellStyle name="40% - Accent5 3 7 7" xfId="22346" xr:uid="{00000000-0005-0000-0000-00009E780000}"/>
    <cellStyle name="40% - Accent5 3 7 8" xfId="29448" xr:uid="{00000000-0005-0000-0000-00009F780000}"/>
    <cellStyle name="40% - Accent5 3 7 9" xfId="40072" xr:uid="{00000000-0005-0000-0000-0000A0780000}"/>
    <cellStyle name="40% - Accent5 3 8" xfId="1319" xr:uid="{00000000-0005-0000-0000-0000A1780000}"/>
    <cellStyle name="40% - Accent5 3 8 2" xfId="2810" xr:uid="{00000000-0005-0000-0000-0000A2780000}"/>
    <cellStyle name="40% - Accent5 3 8 2 2" xfId="7078" xr:uid="{00000000-0005-0000-0000-0000A3780000}"/>
    <cellStyle name="40% - Accent5 3 8 2 2 2" xfId="14178" xr:uid="{00000000-0005-0000-0000-0000A4780000}"/>
    <cellStyle name="40% - Accent5 3 8 2 2 3" xfId="21279" xr:uid="{00000000-0005-0000-0000-0000A5780000}"/>
    <cellStyle name="40% - Accent5 3 8 2 2 4" xfId="28381" xr:uid="{00000000-0005-0000-0000-0000A6780000}"/>
    <cellStyle name="40% - Accent5 3 8 2 2 5" xfId="35483" xr:uid="{00000000-0005-0000-0000-0000A7780000}"/>
    <cellStyle name="40% - Accent5 3 8 2 3" xfId="9918" xr:uid="{00000000-0005-0000-0000-0000A8780000}"/>
    <cellStyle name="40% - Accent5 3 8 2 4" xfId="17019" xr:uid="{00000000-0005-0000-0000-0000A9780000}"/>
    <cellStyle name="40% - Accent5 3 8 2 5" xfId="24121" xr:uid="{00000000-0005-0000-0000-0000AA780000}"/>
    <cellStyle name="40% - Accent5 3 8 2 6" xfId="31223" xr:uid="{00000000-0005-0000-0000-0000AB780000}"/>
    <cellStyle name="40% - Accent5 3 8 2 7" xfId="40073" xr:uid="{00000000-0005-0000-0000-0000AC780000}"/>
    <cellStyle name="40% - Accent5 3 8 3" xfId="5657" xr:uid="{00000000-0005-0000-0000-0000AD780000}"/>
    <cellStyle name="40% - Accent5 3 8 3 2" xfId="12758" xr:uid="{00000000-0005-0000-0000-0000AE780000}"/>
    <cellStyle name="40% - Accent5 3 8 3 3" xfId="19859" xr:uid="{00000000-0005-0000-0000-0000AF780000}"/>
    <cellStyle name="40% - Accent5 3 8 3 4" xfId="26961" xr:uid="{00000000-0005-0000-0000-0000B0780000}"/>
    <cellStyle name="40% - Accent5 3 8 3 5" xfId="34063" xr:uid="{00000000-0005-0000-0000-0000B1780000}"/>
    <cellStyle name="40% - Accent5 3 8 4" xfId="4232" xr:uid="{00000000-0005-0000-0000-0000B2780000}"/>
    <cellStyle name="40% - Accent5 3 8 4 2" xfId="11338" xr:uid="{00000000-0005-0000-0000-0000B3780000}"/>
    <cellStyle name="40% - Accent5 3 8 4 3" xfId="18439" xr:uid="{00000000-0005-0000-0000-0000B4780000}"/>
    <cellStyle name="40% - Accent5 3 8 4 4" xfId="25541" xr:uid="{00000000-0005-0000-0000-0000B5780000}"/>
    <cellStyle name="40% - Accent5 3 8 4 5" xfId="32643" xr:uid="{00000000-0005-0000-0000-0000B6780000}"/>
    <cellStyle name="40% - Accent5 3 8 5" xfId="8498" xr:uid="{00000000-0005-0000-0000-0000B7780000}"/>
    <cellStyle name="40% - Accent5 3 8 6" xfId="15599" xr:uid="{00000000-0005-0000-0000-0000B8780000}"/>
    <cellStyle name="40% - Accent5 3 8 7" xfId="22701" xr:uid="{00000000-0005-0000-0000-0000B9780000}"/>
    <cellStyle name="40% - Accent5 3 8 8" xfId="29803" xr:uid="{00000000-0005-0000-0000-0000BA780000}"/>
    <cellStyle name="40% - Accent5 3 8 9" xfId="40074" xr:uid="{00000000-0005-0000-0000-0000BB780000}"/>
    <cellStyle name="40% - Accent5 3 9" xfId="1601" xr:uid="{00000000-0005-0000-0000-0000BC780000}"/>
    <cellStyle name="40% - Accent5 3 9 2" xfId="5871" xr:uid="{00000000-0005-0000-0000-0000BD780000}"/>
    <cellStyle name="40% - Accent5 3 9 2 2" xfId="12971" xr:uid="{00000000-0005-0000-0000-0000BE780000}"/>
    <cellStyle name="40% - Accent5 3 9 2 3" xfId="20072" xr:uid="{00000000-0005-0000-0000-0000BF780000}"/>
    <cellStyle name="40% - Accent5 3 9 2 4" xfId="27174" xr:uid="{00000000-0005-0000-0000-0000C0780000}"/>
    <cellStyle name="40% - Accent5 3 9 2 5" xfId="34276" xr:uid="{00000000-0005-0000-0000-0000C1780000}"/>
    <cellStyle name="40% - Accent5 3 9 3" xfId="8711" xr:uid="{00000000-0005-0000-0000-0000C2780000}"/>
    <cellStyle name="40% - Accent5 3 9 4" xfId="15812" xr:uid="{00000000-0005-0000-0000-0000C3780000}"/>
    <cellStyle name="40% - Accent5 3 9 5" xfId="22914" xr:uid="{00000000-0005-0000-0000-0000C4780000}"/>
    <cellStyle name="40% - Accent5 3 9 6" xfId="30016" xr:uid="{00000000-0005-0000-0000-0000C5780000}"/>
    <cellStyle name="40% - Accent5 3 9 7" xfId="40075" xr:uid="{00000000-0005-0000-0000-0000C6780000}"/>
    <cellStyle name="40% - Accent5 4" xfId="141" xr:uid="{00000000-0005-0000-0000-0000C7780000}"/>
    <cellStyle name="40% - Accent5 4 10" xfId="4481" xr:uid="{00000000-0005-0000-0000-0000C8780000}"/>
    <cellStyle name="40% - Accent5 4 10 2" xfId="11582" xr:uid="{00000000-0005-0000-0000-0000C9780000}"/>
    <cellStyle name="40% - Accent5 4 10 3" xfId="18683" xr:uid="{00000000-0005-0000-0000-0000CA780000}"/>
    <cellStyle name="40% - Accent5 4 10 4" xfId="25785" xr:uid="{00000000-0005-0000-0000-0000CB780000}"/>
    <cellStyle name="40% - Accent5 4 10 5" xfId="32887" xr:uid="{00000000-0005-0000-0000-0000CC780000}"/>
    <cellStyle name="40% - Accent5 4 11" xfId="3056" xr:uid="{00000000-0005-0000-0000-0000CD780000}"/>
    <cellStyle name="40% - Accent5 4 11 2" xfId="10162" xr:uid="{00000000-0005-0000-0000-0000CE780000}"/>
    <cellStyle name="40% - Accent5 4 11 3" xfId="17263" xr:uid="{00000000-0005-0000-0000-0000CF780000}"/>
    <cellStyle name="40% - Accent5 4 11 4" xfId="24365" xr:uid="{00000000-0005-0000-0000-0000D0780000}"/>
    <cellStyle name="40% - Accent5 4 11 5" xfId="31467" xr:uid="{00000000-0005-0000-0000-0000D1780000}"/>
    <cellStyle name="40% - Accent5 4 12" xfId="7322" xr:uid="{00000000-0005-0000-0000-0000D2780000}"/>
    <cellStyle name="40% - Accent5 4 13" xfId="14423" xr:uid="{00000000-0005-0000-0000-0000D3780000}"/>
    <cellStyle name="40% - Accent5 4 14" xfId="21525" xr:uid="{00000000-0005-0000-0000-0000D4780000}"/>
    <cellStyle name="40% - Accent5 4 15" xfId="28627" xr:uid="{00000000-0005-0000-0000-0000D5780000}"/>
    <cellStyle name="40% - Accent5 4 16" xfId="35729" xr:uid="{00000000-0005-0000-0000-0000D6780000}"/>
    <cellStyle name="40% - Accent5 4 17" xfId="40076" xr:uid="{00000000-0005-0000-0000-0000D7780000}"/>
    <cellStyle name="40% - Accent5 4 18" xfId="40077" xr:uid="{00000000-0005-0000-0000-0000D8780000}"/>
    <cellStyle name="40% - Accent5 4 2" xfId="285" xr:uid="{00000000-0005-0000-0000-0000D9780000}"/>
    <cellStyle name="40% - Accent5 4 2 10" xfId="7464" xr:uid="{00000000-0005-0000-0000-0000DA780000}"/>
    <cellStyle name="40% - Accent5 4 2 11" xfId="14565" xr:uid="{00000000-0005-0000-0000-0000DB780000}"/>
    <cellStyle name="40% - Accent5 4 2 12" xfId="21667" xr:uid="{00000000-0005-0000-0000-0000DC780000}"/>
    <cellStyle name="40% - Accent5 4 2 13" xfId="28769" xr:uid="{00000000-0005-0000-0000-0000DD780000}"/>
    <cellStyle name="40% - Accent5 4 2 14" xfId="35871" xr:uid="{00000000-0005-0000-0000-0000DE780000}"/>
    <cellStyle name="40% - Accent5 4 2 15" xfId="40078" xr:uid="{00000000-0005-0000-0000-0000DF780000}"/>
    <cellStyle name="40% - Accent5 4 2 2" xfId="498" xr:uid="{00000000-0005-0000-0000-0000E0780000}"/>
    <cellStyle name="40% - Accent5 4 2 2 10" xfId="40079" xr:uid="{00000000-0005-0000-0000-0000E1780000}"/>
    <cellStyle name="40% - Accent5 4 2 2 2" xfId="1279" xr:uid="{00000000-0005-0000-0000-0000E2780000}"/>
    <cellStyle name="40% - Accent5 4 2 2 2 2" xfId="2770" xr:uid="{00000000-0005-0000-0000-0000E3780000}"/>
    <cellStyle name="40% - Accent5 4 2 2 2 2 2" xfId="7038" xr:uid="{00000000-0005-0000-0000-0000E4780000}"/>
    <cellStyle name="40% - Accent5 4 2 2 2 2 2 2" xfId="14138" xr:uid="{00000000-0005-0000-0000-0000E5780000}"/>
    <cellStyle name="40% - Accent5 4 2 2 2 2 2 3" xfId="21239" xr:uid="{00000000-0005-0000-0000-0000E6780000}"/>
    <cellStyle name="40% - Accent5 4 2 2 2 2 2 4" xfId="28341" xr:uid="{00000000-0005-0000-0000-0000E7780000}"/>
    <cellStyle name="40% - Accent5 4 2 2 2 2 2 5" xfId="35443" xr:uid="{00000000-0005-0000-0000-0000E8780000}"/>
    <cellStyle name="40% - Accent5 4 2 2 2 2 3" xfId="9878" xr:uid="{00000000-0005-0000-0000-0000E9780000}"/>
    <cellStyle name="40% - Accent5 4 2 2 2 2 4" xfId="16979" xr:uid="{00000000-0005-0000-0000-0000EA780000}"/>
    <cellStyle name="40% - Accent5 4 2 2 2 2 5" xfId="24081" xr:uid="{00000000-0005-0000-0000-0000EB780000}"/>
    <cellStyle name="40% - Accent5 4 2 2 2 2 6" xfId="31183" xr:uid="{00000000-0005-0000-0000-0000EC780000}"/>
    <cellStyle name="40% - Accent5 4 2 2 2 2 7" xfId="40080" xr:uid="{00000000-0005-0000-0000-0000ED780000}"/>
    <cellStyle name="40% - Accent5 4 2 2 2 3" xfId="5617" xr:uid="{00000000-0005-0000-0000-0000EE780000}"/>
    <cellStyle name="40% - Accent5 4 2 2 2 3 2" xfId="12718" xr:uid="{00000000-0005-0000-0000-0000EF780000}"/>
    <cellStyle name="40% - Accent5 4 2 2 2 3 3" xfId="19819" xr:uid="{00000000-0005-0000-0000-0000F0780000}"/>
    <cellStyle name="40% - Accent5 4 2 2 2 3 4" xfId="26921" xr:uid="{00000000-0005-0000-0000-0000F1780000}"/>
    <cellStyle name="40% - Accent5 4 2 2 2 3 5" xfId="34023" xr:uid="{00000000-0005-0000-0000-0000F2780000}"/>
    <cellStyle name="40% - Accent5 4 2 2 2 4" xfId="4192" xr:uid="{00000000-0005-0000-0000-0000F3780000}"/>
    <cellStyle name="40% - Accent5 4 2 2 2 4 2" xfId="11298" xr:uid="{00000000-0005-0000-0000-0000F4780000}"/>
    <cellStyle name="40% - Accent5 4 2 2 2 4 3" xfId="18399" xr:uid="{00000000-0005-0000-0000-0000F5780000}"/>
    <cellStyle name="40% - Accent5 4 2 2 2 4 4" xfId="25501" xr:uid="{00000000-0005-0000-0000-0000F6780000}"/>
    <cellStyle name="40% - Accent5 4 2 2 2 4 5" xfId="32603" xr:uid="{00000000-0005-0000-0000-0000F7780000}"/>
    <cellStyle name="40% - Accent5 4 2 2 2 5" xfId="8458" xr:uid="{00000000-0005-0000-0000-0000F8780000}"/>
    <cellStyle name="40% - Accent5 4 2 2 2 6" xfId="15559" xr:uid="{00000000-0005-0000-0000-0000F9780000}"/>
    <cellStyle name="40% - Accent5 4 2 2 2 7" xfId="22661" xr:uid="{00000000-0005-0000-0000-0000FA780000}"/>
    <cellStyle name="40% - Accent5 4 2 2 2 8" xfId="29763" xr:uid="{00000000-0005-0000-0000-0000FB780000}"/>
    <cellStyle name="40% - Accent5 4 2 2 2 9" xfId="40081" xr:uid="{00000000-0005-0000-0000-0000FC780000}"/>
    <cellStyle name="40% - Accent5 4 2 2 3" xfId="1989" xr:uid="{00000000-0005-0000-0000-0000FD780000}"/>
    <cellStyle name="40% - Accent5 4 2 2 3 2" xfId="6257" xr:uid="{00000000-0005-0000-0000-0000FE780000}"/>
    <cellStyle name="40% - Accent5 4 2 2 3 2 2" xfId="13357" xr:uid="{00000000-0005-0000-0000-0000FF780000}"/>
    <cellStyle name="40% - Accent5 4 2 2 3 2 3" xfId="20458" xr:uid="{00000000-0005-0000-0000-000000790000}"/>
    <cellStyle name="40% - Accent5 4 2 2 3 2 4" xfId="27560" xr:uid="{00000000-0005-0000-0000-000001790000}"/>
    <cellStyle name="40% - Accent5 4 2 2 3 2 5" xfId="34662" xr:uid="{00000000-0005-0000-0000-000002790000}"/>
    <cellStyle name="40% - Accent5 4 2 2 3 2 6" xfId="40082" xr:uid="{00000000-0005-0000-0000-000003790000}"/>
    <cellStyle name="40% - Accent5 4 2 2 3 3" xfId="9097" xr:uid="{00000000-0005-0000-0000-000004790000}"/>
    <cellStyle name="40% - Accent5 4 2 2 3 4" xfId="16198" xr:uid="{00000000-0005-0000-0000-000005790000}"/>
    <cellStyle name="40% - Accent5 4 2 2 3 5" xfId="23300" xr:uid="{00000000-0005-0000-0000-000006790000}"/>
    <cellStyle name="40% - Accent5 4 2 2 3 6" xfId="30402" xr:uid="{00000000-0005-0000-0000-000007790000}"/>
    <cellStyle name="40% - Accent5 4 2 2 3 7" xfId="40083" xr:uid="{00000000-0005-0000-0000-000008790000}"/>
    <cellStyle name="40% - Accent5 4 2 2 4" xfId="4836" xr:uid="{00000000-0005-0000-0000-000009790000}"/>
    <cellStyle name="40% - Accent5 4 2 2 4 2" xfId="11937" xr:uid="{00000000-0005-0000-0000-00000A790000}"/>
    <cellStyle name="40% - Accent5 4 2 2 4 3" xfId="19038" xr:uid="{00000000-0005-0000-0000-00000B790000}"/>
    <cellStyle name="40% - Accent5 4 2 2 4 4" xfId="26140" xr:uid="{00000000-0005-0000-0000-00000C790000}"/>
    <cellStyle name="40% - Accent5 4 2 2 4 5" xfId="33242" xr:uid="{00000000-0005-0000-0000-00000D790000}"/>
    <cellStyle name="40% - Accent5 4 2 2 4 6" xfId="40084" xr:uid="{00000000-0005-0000-0000-00000E790000}"/>
    <cellStyle name="40% - Accent5 4 2 2 5" xfId="3411" xr:uid="{00000000-0005-0000-0000-00000F790000}"/>
    <cellStyle name="40% - Accent5 4 2 2 5 2" xfId="10517" xr:uid="{00000000-0005-0000-0000-000010790000}"/>
    <cellStyle name="40% - Accent5 4 2 2 5 3" xfId="17618" xr:uid="{00000000-0005-0000-0000-000011790000}"/>
    <cellStyle name="40% - Accent5 4 2 2 5 4" xfId="24720" xr:uid="{00000000-0005-0000-0000-000012790000}"/>
    <cellStyle name="40% - Accent5 4 2 2 5 5" xfId="31822" xr:uid="{00000000-0005-0000-0000-000013790000}"/>
    <cellStyle name="40% - Accent5 4 2 2 6" xfId="7677" xr:uid="{00000000-0005-0000-0000-000014790000}"/>
    <cellStyle name="40% - Accent5 4 2 2 7" xfId="14778" xr:uid="{00000000-0005-0000-0000-000015790000}"/>
    <cellStyle name="40% - Accent5 4 2 2 8" xfId="21880" xr:uid="{00000000-0005-0000-0000-000016790000}"/>
    <cellStyle name="40% - Accent5 4 2 2 9" xfId="28982" xr:uid="{00000000-0005-0000-0000-000017790000}"/>
    <cellStyle name="40% - Accent5 4 2 3" xfId="711" xr:uid="{00000000-0005-0000-0000-000018790000}"/>
    <cellStyle name="40% - Accent5 4 2 3 2" xfId="2202" xr:uid="{00000000-0005-0000-0000-000019790000}"/>
    <cellStyle name="40% - Accent5 4 2 3 2 2" xfId="6470" xr:uid="{00000000-0005-0000-0000-00001A790000}"/>
    <cellStyle name="40% - Accent5 4 2 3 2 2 2" xfId="13570" xr:uid="{00000000-0005-0000-0000-00001B790000}"/>
    <cellStyle name="40% - Accent5 4 2 3 2 2 3" xfId="20671" xr:uid="{00000000-0005-0000-0000-00001C790000}"/>
    <cellStyle name="40% - Accent5 4 2 3 2 2 4" xfId="27773" xr:uid="{00000000-0005-0000-0000-00001D790000}"/>
    <cellStyle name="40% - Accent5 4 2 3 2 2 5" xfId="34875" xr:uid="{00000000-0005-0000-0000-00001E790000}"/>
    <cellStyle name="40% - Accent5 4 2 3 2 2 6" xfId="40085" xr:uid="{00000000-0005-0000-0000-00001F790000}"/>
    <cellStyle name="40% - Accent5 4 2 3 2 3" xfId="9310" xr:uid="{00000000-0005-0000-0000-000020790000}"/>
    <cellStyle name="40% - Accent5 4 2 3 2 4" xfId="16411" xr:uid="{00000000-0005-0000-0000-000021790000}"/>
    <cellStyle name="40% - Accent5 4 2 3 2 5" xfId="23513" xr:uid="{00000000-0005-0000-0000-000022790000}"/>
    <cellStyle name="40% - Accent5 4 2 3 2 6" xfId="30615" xr:uid="{00000000-0005-0000-0000-000023790000}"/>
    <cellStyle name="40% - Accent5 4 2 3 2 7" xfId="40086" xr:uid="{00000000-0005-0000-0000-000024790000}"/>
    <cellStyle name="40% - Accent5 4 2 3 3" xfId="5049" xr:uid="{00000000-0005-0000-0000-000025790000}"/>
    <cellStyle name="40% - Accent5 4 2 3 3 2" xfId="12150" xr:uid="{00000000-0005-0000-0000-000026790000}"/>
    <cellStyle name="40% - Accent5 4 2 3 3 2 2" xfId="40087" xr:uid="{00000000-0005-0000-0000-000027790000}"/>
    <cellStyle name="40% - Accent5 4 2 3 3 3" xfId="19251" xr:uid="{00000000-0005-0000-0000-000028790000}"/>
    <cellStyle name="40% - Accent5 4 2 3 3 4" xfId="26353" xr:uid="{00000000-0005-0000-0000-000029790000}"/>
    <cellStyle name="40% - Accent5 4 2 3 3 5" xfId="33455" xr:uid="{00000000-0005-0000-0000-00002A790000}"/>
    <cellStyle name="40% - Accent5 4 2 3 3 6" xfId="40088" xr:uid="{00000000-0005-0000-0000-00002B790000}"/>
    <cellStyle name="40% - Accent5 4 2 3 4" xfId="3624" xr:uid="{00000000-0005-0000-0000-00002C790000}"/>
    <cellStyle name="40% - Accent5 4 2 3 4 2" xfId="10730" xr:uid="{00000000-0005-0000-0000-00002D790000}"/>
    <cellStyle name="40% - Accent5 4 2 3 4 3" xfId="17831" xr:uid="{00000000-0005-0000-0000-00002E790000}"/>
    <cellStyle name="40% - Accent5 4 2 3 4 4" xfId="24933" xr:uid="{00000000-0005-0000-0000-00002F790000}"/>
    <cellStyle name="40% - Accent5 4 2 3 4 5" xfId="32035" xr:uid="{00000000-0005-0000-0000-000030790000}"/>
    <cellStyle name="40% - Accent5 4 2 3 4 6" xfId="40089" xr:uid="{00000000-0005-0000-0000-000031790000}"/>
    <cellStyle name="40% - Accent5 4 2 3 5" xfId="7890" xr:uid="{00000000-0005-0000-0000-000032790000}"/>
    <cellStyle name="40% - Accent5 4 2 3 6" xfId="14991" xr:uid="{00000000-0005-0000-0000-000033790000}"/>
    <cellStyle name="40% - Accent5 4 2 3 7" xfId="22093" xr:uid="{00000000-0005-0000-0000-000034790000}"/>
    <cellStyle name="40% - Accent5 4 2 3 8" xfId="29195" xr:uid="{00000000-0005-0000-0000-000035790000}"/>
    <cellStyle name="40% - Accent5 4 2 3 9" xfId="40090" xr:uid="{00000000-0005-0000-0000-000036790000}"/>
    <cellStyle name="40% - Accent5 4 2 4" xfId="924" xr:uid="{00000000-0005-0000-0000-000037790000}"/>
    <cellStyle name="40% - Accent5 4 2 4 2" xfId="2415" xr:uid="{00000000-0005-0000-0000-000038790000}"/>
    <cellStyle name="40% - Accent5 4 2 4 2 2" xfId="6683" xr:uid="{00000000-0005-0000-0000-000039790000}"/>
    <cellStyle name="40% - Accent5 4 2 4 2 2 2" xfId="13783" xr:uid="{00000000-0005-0000-0000-00003A790000}"/>
    <cellStyle name="40% - Accent5 4 2 4 2 2 3" xfId="20884" xr:uid="{00000000-0005-0000-0000-00003B790000}"/>
    <cellStyle name="40% - Accent5 4 2 4 2 2 4" xfId="27986" xr:uid="{00000000-0005-0000-0000-00003C790000}"/>
    <cellStyle name="40% - Accent5 4 2 4 2 2 5" xfId="35088" xr:uid="{00000000-0005-0000-0000-00003D790000}"/>
    <cellStyle name="40% - Accent5 4 2 4 2 2 6" xfId="40091" xr:uid="{00000000-0005-0000-0000-00003E790000}"/>
    <cellStyle name="40% - Accent5 4 2 4 2 3" xfId="9523" xr:uid="{00000000-0005-0000-0000-00003F790000}"/>
    <cellStyle name="40% - Accent5 4 2 4 2 4" xfId="16624" xr:uid="{00000000-0005-0000-0000-000040790000}"/>
    <cellStyle name="40% - Accent5 4 2 4 2 5" xfId="23726" xr:uid="{00000000-0005-0000-0000-000041790000}"/>
    <cellStyle name="40% - Accent5 4 2 4 2 6" xfId="30828" xr:uid="{00000000-0005-0000-0000-000042790000}"/>
    <cellStyle name="40% - Accent5 4 2 4 2 7" xfId="40092" xr:uid="{00000000-0005-0000-0000-000043790000}"/>
    <cellStyle name="40% - Accent5 4 2 4 3" xfId="5262" xr:uid="{00000000-0005-0000-0000-000044790000}"/>
    <cellStyle name="40% - Accent5 4 2 4 3 2" xfId="12363" xr:uid="{00000000-0005-0000-0000-000045790000}"/>
    <cellStyle name="40% - Accent5 4 2 4 3 2 2" xfId="40093" xr:uid="{00000000-0005-0000-0000-000046790000}"/>
    <cellStyle name="40% - Accent5 4 2 4 3 3" xfId="19464" xr:uid="{00000000-0005-0000-0000-000047790000}"/>
    <cellStyle name="40% - Accent5 4 2 4 3 4" xfId="26566" xr:uid="{00000000-0005-0000-0000-000048790000}"/>
    <cellStyle name="40% - Accent5 4 2 4 3 5" xfId="33668" xr:uid="{00000000-0005-0000-0000-000049790000}"/>
    <cellStyle name="40% - Accent5 4 2 4 3 6" xfId="40094" xr:uid="{00000000-0005-0000-0000-00004A790000}"/>
    <cellStyle name="40% - Accent5 4 2 4 4" xfId="3837" xr:uid="{00000000-0005-0000-0000-00004B790000}"/>
    <cellStyle name="40% - Accent5 4 2 4 4 2" xfId="10943" xr:uid="{00000000-0005-0000-0000-00004C790000}"/>
    <cellStyle name="40% - Accent5 4 2 4 4 3" xfId="18044" xr:uid="{00000000-0005-0000-0000-00004D790000}"/>
    <cellStyle name="40% - Accent5 4 2 4 4 4" xfId="25146" xr:uid="{00000000-0005-0000-0000-00004E790000}"/>
    <cellStyle name="40% - Accent5 4 2 4 4 5" xfId="32248" xr:uid="{00000000-0005-0000-0000-00004F790000}"/>
    <cellStyle name="40% - Accent5 4 2 4 4 6" xfId="40095" xr:uid="{00000000-0005-0000-0000-000050790000}"/>
    <cellStyle name="40% - Accent5 4 2 4 5" xfId="8103" xr:uid="{00000000-0005-0000-0000-000051790000}"/>
    <cellStyle name="40% - Accent5 4 2 4 6" xfId="15204" xr:uid="{00000000-0005-0000-0000-000052790000}"/>
    <cellStyle name="40% - Accent5 4 2 4 7" xfId="22306" xr:uid="{00000000-0005-0000-0000-000053790000}"/>
    <cellStyle name="40% - Accent5 4 2 4 8" xfId="29408" xr:uid="{00000000-0005-0000-0000-000054790000}"/>
    <cellStyle name="40% - Accent5 4 2 4 9" xfId="40096" xr:uid="{00000000-0005-0000-0000-000055790000}"/>
    <cellStyle name="40% - Accent5 4 2 5" xfId="1066" xr:uid="{00000000-0005-0000-0000-000056790000}"/>
    <cellStyle name="40% - Accent5 4 2 5 2" xfId="2557" xr:uid="{00000000-0005-0000-0000-000057790000}"/>
    <cellStyle name="40% - Accent5 4 2 5 2 2" xfId="6825" xr:uid="{00000000-0005-0000-0000-000058790000}"/>
    <cellStyle name="40% - Accent5 4 2 5 2 2 2" xfId="13925" xr:uid="{00000000-0005-0000-0000-000059790000}"/>
    <cellStyle name="40% - Accent5 4 2 5 2 2 3" xfId="21026" xr:uid="{00000000-0005-0000-0000-00005A790000}"/>
    <cellStyle name="40% - Accent5 4 2 5 2 2 4" xfId="28128" xr:uid="{00000000-0005-0000-0000-00005B790000}"/>
    <cellStyle name="40% - Accent5 4 2 5 2 2 5" xfId="35230" xr:uid="{00000000-0005-0000-0000-00005C790000}"/>
    <cellStyle name="40% - Accent5 4 2 5 2 3" xfId="9665" xr:uid="{00000000-0005-0000-0000-00005D790000}"/>
    <cellStyle name="40% - Accent5 4 2 5 2 4" xfId="16766" xr:uid="{00000000-0005-0000-0000-00005E790000}"/>
    <cellStyle name="40% - Accent5 4 2 5 2 5" xfId="23868" xr:uid="{00000000-0005-0000-0000-00005F790000}"/>
    <cellStyle name="40% - Accent5 4 2 5 2 6" xfId="30970" xr:uid="{00000000-0005-0000-0000-000060790000}"/>
    <cellStyle name="40% - Accent5 4 2 5 2 7" xfId="40097" xr:uid="{00000000-0005-0000-0000-000061790000}"/>
    <cellStyle name="40% - Accent5 4 2 5 3" xfId="5404" xr:uid="{00000000-0005-0000-0000-000062790000}"/>
    <cellStyle name="40% - Accent5 4 2 5 3 2" xfId="12505" xr:uid="{00000000-0005-0000-0000-000063790000}"/>
    <cellStyle name="40% - Accent5 4 2 5 3 3" xfId="19606" xr:uid="{00000000-0005-0000-0000-000064790000}"/>
    <cellStyle name="40% - Accent5 4 2 5 3 4" xfId="26708" xr:uid="{00000000-0005-0000-0000-000065790000}"/>
    <cellStyle name="40% - Accent5 4 2 5 3 5" xfId="33810" xr:uid="{00000000-0005-0000-0000-000066790000}"/>
    <cellStyle name="40% - Accent5 4 2 5 4" xfId="3979" xr:uid="{00000000-0005-0000-0000-000067790000}"/>
    <cellStyle name="40% - Accent5 4 2 5 4 2" xfId="11085" xr:uid="{00000000-0005-0000-0000-000068790000}"/>
    <cellStyle name="40% - Accent5 4 2 5 4 3" xfId="18186" xr:uid="{00000000-0005-0000-0000-000069790000}"/>
    <cellStyle name="40% - Accent5 4 2 5 4 4" xfId="25288" xr:uid="{00000000-0005-0000-0000-00006A790000}"/>
    <cellStyle name="40% - Accent5 4 2 5 4 5" xfId="32390" xr:uid="{00000000-0005-0000-0000-00006B790000}"/>
    <cellStyle name="40% - Accent5 4 2 5 5" xfId="8245" xr:uid="{00000000-0005-0000-0000-00006C790000}"/>
    <cellStyle name="40% - Accent5 4 2 5 6" xfId="15346" xr:uid="{00000000-0005-0000-0000-00006D790000}"/>
    <cellStyle name="40% - Accent5 4 2 5 7" xfId="22448" xr:uid="{00000000-0005-0000-0000-00006E790000}"/>
    <cellStyle name="40% - Accent5 4 2 5 8" xfId="29550" xr:uid="{00000000-0005-0000-0000-00006F790000}"/>
    <cellStyle name="40% - Accent5 4 2 5 9" xfId="40098" xr:uid="{00000000-0005-0000-0000-000070790000}"/>
    <cellStyle name="40% - Accent5 4 2 6" xfId="1492" xr:uid="{00000000-0005-0000-0000-000071790000}"/>
    <cellStyle name="40% - Accent5 4 2 6 2" xfId="2983" xr:uid="{00000000-0005-0000-0000-000072790000}"/>
    <cellStyle name="40% - Accent5 4 2 6 2 2" xfId="7251" xr:uid="{00000000-0005-0000-0000-000073790000}"/>
    <cellStyle name="40% - Accent5 4 2 6 2 2 2" xfId="14351" xr:uid="{00000000-0005-0000-0000-000074790000}"/>
    <cellStyle name="40% - Accent5 4 2 6 2 2 3" xfId="21452" xr:uid="{00000000-0005-0000-0000-000075790000}"/>
    <cellStyle name="40% - Accent5 4 2 6 2 2 4" xfId="28554" xr:uid="{00000000-0005-0000-0000-000076790000}"/>
    <cellStyle name="40% - Accent5 4 2 6 2 2 5" xfId="35656" xr:uid="{00000000-0005-0000-0000-000077790000}"/>
    <cellStyle name="40% - Accent5 4 2 6 2 3" xfId="10091" xr:uid="{00000000-0005-0000-0000-000078790000}"/>
    <cellStyle name="40% - Accent5 4 2 6 2 4" xfId="17192" xr:uid="{00000000-0005-0000-0000-000079790000}"/>
    <cellStyle name="40% - Accent5 4 2 6 2 5" xfId="24294" xr:uid="{00000000-0005-0000-0000-00007A790000}"/>
    <cellStyle name="40% - Accent5 4 2 6 2 6" xfId="31396" xr:uid="{00000000-0005-0000-0000-00007B790000}"/>
    <cellStyle name="40% - Accent5 4 2 6 2 7" xfId="40099" xr:uid="{00000000-0005-0000-0000-00007C790000}"/>
    <cellStyle name="40% - Accent5 4 2 6 3" xfId="5830" xr:uid="{00000000-0005-0000-0000-00007D790000}"/>
    <cellStyle name="40% - Accent5 4 2 6 3 2" xfId="12931" xr:uid="{00000000-0005-0000-0000-00007E790000}"/>
    <cellStyle name="40% - Accent5 4 2 6 3 3" xfId="20032" xr:uid="{00000000-0005-0000-0000-00007F790000}"/>
    <cellStyle name="40% - Accent5 4 2 6 3 4" xfId="27134" xr:uid="{00000000-0005-0000-0000-000080790000}"/>
    <cellStyle name="40% - Accent5 4 2 6 3 5" xfId="34236" xr:uid="{00000000-0005-0000-0000-000081790000}"/>
    <cellStyle name="40% - Accent5 4 2 6 4" xfId="4405" xr:uid="{00000000-0005-0000-0000-000082790000}"/>
    <cellStyle name="40% - Accent5 4 2 6 4 2" xfId="11511" xr:uid="{00000000-0005-0000-0000-000083790000}"/>
    <cellStyle name="40% - Accent5 4 2 6 4 3" xfId="18612" xr:uid="{00000000-0005-0000-0000-000084790000}"/>
    <cellStyle name="40% - Accent5 4 2 6 4 4" xfId="25714" xr:uid="{00000000-0005-0000-0000-000085790000}"/>
    <cellStyle name="40% - Accent5 4 2 6 4 5" xfId="32816" xr:uid="{00000000-0005-0000-0000-000086790000}"/>
    <cellStyle name="40% - Accent5 4 2 6 5" xfId="8671" xr:uid="{00000000-0005-0000-0000-000087790000}"/>
    <cellStyle name="40% - Accent5 4 2 6 6" xfId="15772" xr:uid="{00000000-0005-0000-0000-000088790000}"/>
    <cellStyle name="40% - Accent5 4 2 6 7" xfId="22874" xr:uid="{00000000-0005-0000-0000-000089790000}"/>
    <cellStyle name="40% - Accent5 4 2 6 8" xfId="29976" xr:uid="{00000000-0005-0000-0000-00008A790000}"/>
    <cellStyle name="40% - Accent5 4 2 6 9" xfId="40100" xr:uid="{00000000-0005-0000-0000-00008B790000}"/>
    <cellStyle name="40% - Accent5 4 2 7" xfId="1776" xr:uid="{00000000-0005-0000-0000-00008C790000}"/>
    <cellStyle name="40% - Accent5 4 2 7 2" xfId="6044" xr:uid="{00000000-0005-0000-0000-00008D790000}"/>
    <cellStyle name="40% - Accent5 4 2 7 2 2" xfId="13144" xr:uid="{00000000-0005-0000-0000-00008E790000}"/>
    <cellStyle name="40% - Accent5 4 2 7 2 3" xfId="20245" xr:uid="{00000000-0005-0000-0000-00008F790000}"/>
    <cellStyle name="40% - Accent5 4 2 7 2 4" xfId="27347" xr:uid="{00000000-0005-0000-0000-000090790000}"/>
    <cellStyle name="40% - Accent5 4 2 7 2 5" xfId="34449" xr:uid="{00000000-0005-0000-0000-000091790000}"/>
    <cellStyle name="40% - Accent5 4 2 7 3" xfId="8884" xr:uid="{00000000-0005-0000-0000-000092790000}"/>
    <cellStyle name="40% - Accent5 4 2 7 4" xfId="15985" xr:uid="{00000000-0005-0000-0000-000093790000}"/>
    <cellStyle name="40% - Accent5 4 2 7 5" xfId="23087" xr:uid="{00000000-0005-0000-0000-000094790000}"/>
    <cellStyle name="40% - Accent5 4 2 7 6" xfId="30189" xr:uid="{00000000-0005-0000-0000-000095790000}"/>
    <cellStyle name="40% - Accent5 4 2 7 7" xfId="40101" xr:uid="{00000000-0005-0000-0000-000096790000}"/>
    <cellStyle name="40% - Accent5 4 2 8" xfId="4623" xr:uid="{00000000-0005-0000-0000-000097790000}"/>
    <cellStyle name="40% - Accent5 4 2 8 2" xfId="11724" xr:uid="{00000000-0005-0000-0000-000098790000}"/>
    <cellStyle name="40% - Accent5 4 2 8 3" xfId="18825" xr:uid="{00000000-0005-0000-0000-000099790000}"/>
    <cellStyle name="40% - Accent5 4 2 8 4" xfId="25927" xr:uid="{00000000-0005-0000-0000-00009A790000}"/>
    <cellStyle name="40% - Accent5 4 2 8 5" xfId="33029" xr:uid="{00000000-0005-0000-0000-00009B790000}"/>
    <cellStyle name="40% - Accent5 4 2 9" xfId="3198" xr:uid="{00000000-0005-0000-0000-00009C790000}"/>
    <cellStyle name="40% - Accent5 4 2 9 2" xfId="10304" xr:uid="{00000000-0005-0000-0000-00009D790000}"/>
    <cellStyle name="40% - Accent5 4 2 9 3" xfId="17405" xr:uid="{00000000-0005-0000-0000-00009E790000}"/>
    <cellStyle name="40% - Accent5 4 2 9 4" xfId="24507" xr:uid="{00000000-0005-0000-0000-00009F790000}"/>
    <cellStyle name="40% - Accent5 4 2 9 5" xfId="31609" xr:uid="{00000000-0005-0000-0000-0000A0790000}"/>
    <cellStyle name="40% - Accent5 4 3" xfId="214" xr:uid="{00000000-0005-0000-0000-0000A1790000}"/>
    <cellStyle name="40% - Accent5 4 3 10" xfId="7393" xr:uid="{00000000-0005-0000-0000-0000A2790000}"/>
    <cellStyle name="40% - Accent5 4 3 11" xfId="14494" xr:uid="{00000000-0005-0000-0000-0000A3790000}"/>
    <cellStyle name="40% - Accent5 4 3 12" xfId="21596" xr:uid="{00000000-0005-0000-0000-0000A4790000}"/>
    <cellStyle name="40% - Accent5 4 3 13" xfId="28698" xr:uid="{00000000-0005-0000-0000-0000A5790000}"/>
    <cellStyle name="40% - Accent5 4 3 14" xfId="35800" xr:uid="{00000000-0005-0000-0000-0000A6790000}"/>
    <cellStyle name="40% - Accent5 4 3 15" xfId="40102" xr:uid="{00000000-0005-0000-0000-0000A7790000}"/>
    <cellStyle name="40% - Accent5 4 3 2" xfId="427" xr:uid="{00000000-0005-0000-0000-0000A8790000}"/>
    <cellStyle name="40% - Accent5 4 3 2 2" xfId="1918" xr:uid="{00000000-0005-0000-0000-0000A9790000}"/>
    <cellStyle name="40% - Accent5 4 3 2 2 2" xfId="6186" xr:uid="{00000000-0005-0000-0000-0000AA790000}"/>
    <cellStyle name="40% - Accent5 4 3 2 2 2 2" xfId="13286" xr:uid="{00000000-0005-0000-0000-0000AB790000}"/>
    <cellStyle name="40% - Accent5 4 3 2 2 2 3" xfId="20387" xr:uid="{00000000-0005-0000-0000-0000AC790000}"/>
    <cellStyle name="40% - Accent5 4 3 2 2 2 4" xfId="27489" xr:uid="{00000000-0005-0000-0000-0000AD790000}"/>
    <cellStyle name="40% - Accent5 4 3 2 2 2 5" xfId="34591" xr:uid="{00000000-0005-0000-0000-0000AE790000}"/>
    <cellStyle name="40% - Accent5 4 3 2 2 2 6" xfId="40103" xr:uid="{00000000-0005-0000-0000-0000AF790000}"/>
    <cellStyle name="40% - Accent5 4 3 2 2 3" xfId="9026" xr:uid="{00000000-0005-0000-0000-0000B0790000}"/>
    <cellStyle name="40% - Accent5 4 3 2 2 4" xfId="16127" xr:uid="{00000000-0005-0000-0000-0000B1790000}"/>
    <cellStyle name="40% - Accent5 4 3 2 2 5" xfId="23229" xr:uid="{00000000-0005-0000-0000-0000B2790000}"/>
    <cellStyle name="40% - Accent5 4 3 2 2 6" xfId="30331" xr:uid="{00000000-0005-0000-0000-0000B3790000}"/>
    <cellStyle name="40% - Accent5 4 3 2 2 7" xfId="40104" xr:uid="{00000000-0005-0000-0000-0000B4790000}"/>
    <cellStyle name="40% - Accent5 4 3 2 3" xfId="4765" xr:uid="{00000000-0005-0000-0000-0000B5790000}"/>
    <cellStyle name="40% - Accent5 4 3 2 3 2" xfId="11866" xr:uid="{00000000-0005-0000-0000-0000B6790000}"/>
    <cellStyle name="40% - Accent5 4 3 2 3 2 2" xfId="40105" xr:uid="{00000000-0005-0000-0000-0000B7790000}"/>
    <cellStyle name="40% - Accent5 4 3 2 3 3" xfId="18967" xr:uid="{00000000-0005-0000-0000-0000B8790000}"/>
    <cellStyle name="40% - Accent5 4 3 2 3 4" xfId="26069" xr:uid="{00000000-0005-0000-0000-0000B9790000}"/>
    <cellStyle name="40% - Accent5 4 3 2 3 5" xfId="33171" xr:uid="{00000000-0005-0000-0000-0000BA790000}"/>
    <cellStyle name="40% - Accent5 4 3 2 3 6" xfId="40106" xr:uid="{00000000-0005-0000-0000-0000BB790000}"/>
    <cellStyle name="40% - Accent5 4 3 2 4" xfId="3340" xr:uid="{00000000-0005-0000-0000-0000BC790000}"/>
    <cellStyle name="40% - Accent5 4 3 2 4 2" xfId="10446" xr:uid="{00000000-0005-0000-0000-0000BD790000}"/>
    <cellStyle name="40% - Accent5 4 3 2 4 3" xfId="17547" xr:uid="{00000000-0005-0000-0000-0000BE790000}"/>
    <cellStyle name="40% - Accent5 4 3 2 4 4" xfId="24649" xr:uid="{00000000-0005-0000-0000-0000BF790000}"/>
    <cellStyle name="40% - Accent5 4 3 2 4 5" xfId="31751" xr:uid="{00000000-0005-0000-0000-0000C0790000}"/>
    <cellStyle name="40% - Accent5 4 3 2 4 6" xfId="40107" xr:uid="{00000000-0005-0000-0000-0000C1790000}"/>
    <cellStyle name="40% - Accent5 4 3 2 5" xfId="7606" xr:uid="{00000000-0005-0000-0000-0000C2790000}"/>
    <cellStyle name="40% - Accent5 4 3 2 6" xfId="14707" xr:uid="{00000000-0005-0000-0000-0000C3790000}"/>
    <cellStyle name="40% - Accent5 4 3 2 7" xfId="21809" xr:uid="{00000000-0005-0000-0000-0000C4790000}"/>
    <cellStyle name="40% - Accent5 4 3 2 8" xfId="28911" xr:uid="{00000000-0005-0000-0000-0000C5790000}"/>
    <cellStyle name="40% - Accent5 4 3 2 9" xfId="40108" xr:uid="{00000000-0005-0000-0000-0000C6790000}"/>
    <cellStyle name="40% - Accent5 4 3 3" xfId="640" xr:uid="{00000000-0005-0000-0000-0000C7790000}"/>
    <cellStyle name="40% - Accent5 4 3 3 2" xfId="2131" xr:uid="{00000000-0005-0000-0000-0000C8790000}"/>
    <cellStyle name="40% - Accent5 4 3 3 2 2" xfId="6399" xr:uid="{00000000-0005-0000-0000-0000C9790000}"/>
    <cellStyle name="40% - Accent5 4 3 3 2 2 2" xfId="13499" xr:uid="{00000000-0005-0000-0000-0000CA790000}"/>
    <cellStyle name="40% - Accent5 4 3 3 2 2 3" xfId="20600" xr:uid="{00000000-0005-0000-0000-0000CB790000}"/>
    <cellStyle name="40% - Accent5 4 3 3 2 2 4" xfId="27702" xr:uid="{00000000-0005-0000-0000-0000CC790000}"/>
    <cellStyle name="40% - Accent5 4 3 3 2 2 5" xfId="34804" xr:uid="{00000000-0005-0000-0000-0000CD790000}"/>
    <cellStyle name="40% - Accent5 4 3 3 2 2 6" xfId="40109" xr:uid="{00000000-0005-0000-0000-0000CE790000}"/>
    <cellStyle name="40% - Accent5 4 3 3 2 3" xfId="9239" xr:uid="{00000000-0005-0000-0000-0000CF790000}"/>
    <cellStyle name="40% - Accent5 4 3 3 2 4" xfId="16340" xr:uid="{00000000-0005-0000-0000-0000D0790000}"/>
    <cellStyle name="40% - Accent5 4 3 3 2 5" xfId="23442" xr:uid="{00000000-0005-0000-0000-0000D1790000}"/>
    <cellStyle name="40% - Accent5 4 3 3 2 6" xfId="30544" xr:uid="{00000000-0005-0000-0000-0000D2790000}"/>
    <cellStyle name="40% - Accent5 4 3 3 2 7" xfId="40110" xr:uid="{00000000-0005-0000-0000-0000D3790000}"/>
    <cellStyle name="40% - Accent5 4 3 3 3" xfId="4978" xr:uid="{00000000-0005-0000-0000-0000D4790000}"/>
    <cellStyle name="40% - Accent5 4 3 3 3 2" xfId="12079" xr:uid="{00000000-0005-0000-0000-0000D5790000}"/>
    <cellStyle name="40% - Accent5 4 3 3 3 2 2" xfId="40111" xr:uid="{00000000-0005-0000-0000-0000D6790000}"/>
    <cellStyle name="40% - Accent5 4 3 3 3 3" xfId="19180" xr:uid="{00000000-0005-0000-0000-0000D7790000}"/>
    <cellStyle name="40% - Accent5 4 3 3 3 4" xfId="26282" xr:uid="{00000000-0005-0000-0000-0000D8790000}"/>
    <cellStyle name="40% - Accent5 4 3 3 3 5" xfId="33384" xr:uid="{00000000-0005-0000-0000-0000D9790000}"/>
    <cellStyle name="40% - Accent5 4 3 3 3 6" xfId="40112" xr:uid="{00000000-0005-0000-0000-0000DA790000}"/>
    <cellStyle name="40% - Accent5 4 3 3 4" xfId="3553" xr:uid="{00000000-0005-0000-0000-0000DB790000}"/>
    <cellStyle name="40% - Accent5 4 3 3 4 2" xfId="10659" xr:uid="{00000000-0005-0000-0000-0000DC790000}"/>
    <cellStyle name="40% - Accent5 4 3 3 4 3" xfId="17760" xr:uid="{00000000-0005-0000-0000-0000DD790000}"/>
    <cellStyle name="40% - Accent5 4 3 3 4 4" xfId="24862" xr:uid="{00000000-0005-0000-0000-0000DE790000}"/>
    <cellStyle name="40% - Accent5 4 3 3 4 5" xfId="31964" xr:uid="{00000000-0005-0000-0000-0000DF790000}"/>
    <cellStyle name="40% - Accent5 4 3 3 4 6" xfId="40113" xr:uid="{00000000-0005-0000-0000-0000E0790000}"/>
    <cellStyle name="40% - Accent5 4 3 3 5" xfId="7819" xr:uid="{00000000-0005-0000-0000-0000E1790000}"/>
    <cellStyle name="40% - Accent5 4 3 3 6" xfId="14920" xr:uid="{00000000-0005-0000-0000-0000E2790000}"/>
    <cellStyle name="40% - Accent5 4 3 3 7" xfId="22022" xr:uid="{00000000-0005-0000-0000-0000E3790000}"/>
    <cellStyle name="40% - Accent5 4 3 3 8" xfId="29124" xr:uid="{00000000-0005-0000-0000-0000E4790000}"/>
    <cellStyle name="40% - Accent5 4 3 3 9" xfId="40114" xr:uid="{00000000-0005-0000-0000-0000E5790000}"/>
    <cellStyle name="40% - Accent5 4 3 4" xfId="853" xr:uid="{00000000-0005-0000-0000-0000E6790000}"/>
    <cellStyle name="40% - Accent5 4 3 4 2" xfId="2344" xr:uid="{00000000-0005-0000-0000-0000E7790000}"/>
    <cellStyle name="40% - Accent5 4 3 4 2 2" xfId="6612" xr:uid="{00000000-0005-0000-0000-0000E8790000}"/>
    <cellStyle name="40% - Accent5 4 3 4 2 2 2" xfId="13712" xr:uid="{00000000-0005-0000-0000-0000E9790000}"/>
    <cellStyle name="40% - Accent5 4 3 4 2 2 3" xfId="20813" xr:uid="{00000000-0005-0000-0000-0000EA790000}"/>
    <cellStyle name="40% - Accent5 4 3 4 2 2 4" xfId="27915" xr:uid="{00000000-0005-0000-0000-0000EB790000}"/>
    <cellStyle name="40% - Accent5 4 3 4 2 2 5" xfId="35017" xr:uid="{00000000-0005-0000-0000-0000EC790000}"/>
    <cellStyle name="40% - Accent5 4 3 4 2 2 6" xfId="40115" xr:uid="{00000000-0005-0000-0000-0000ED790000}"/>
    <cellStyle name="40% - Accent5 4 3 4 2 3" xfId="9452" xr:uid="{00000000-0005-0000-0000-0000EE790000}"/>
    <cellStyle name="40% - Accent5 4 3 4 2 4" xfId="16553" xr:uid="{00000000-0005-0000-0000-0000EF790000}"/>
    <cellStyle name="40% - Accent5 4 3 4 2 5" xfId="23655" xr:uid="{00000000-0005-0000-0000-0000F0790000}"/>
    <cellStyle name="40% - Accent5 4 3 4 2 6" xfId="30757" xr:uid="{00000000-0005-0000-0000-0000F1790000}"/>
    <cellStyle name="40% - Accent5 4 3 4 2 7" xfId="40116" xr:uid="{00000000-0005-0000-0000-0000F2790000}"/>
    <cellStyle name="40% - Accent5 4 3 4 3" xfId="5191" xr:uid="{00000000-0005-0000-0000-0000F3790000}"/>
    <cellStyle name="40% - Accent5 4 3 4 3 2" xfId="12292" xr:uid="{00000000-0005-0000-0000-0000F4790000}"/>
    <cellStyle name="40% - Accent5 4 3 4 3 2 2" xfId="40117" xr:uid="{00000000-0005-0000-0000-0000F5790000}"/>
    <cellStyle name="40% - Accent5 4 3 4 3 3" xfId="19393" xr:uid="{00000000-0005-0000-0000-0000F6790000}"/>
    <cellStyle name="40% - Accent5 4 3 4 3 4" xfId="26495" xr:uid="{00000000-0005-0000-0000-0000F7790000}"/>
    <cellStyle name="40% - Accent5 4 3 4 3 5" xfId="33597" xr:uid="{00000000-0005-0000-0000-0000F8790000}"/>
    <cellStyle name="40% - Accent5 4 3 4 3 6" xfId="40118" xr:uid="{00000000-0005-0000-0000-0000F9790000}"/>
    <cellStyle name="40% - Accent5 4 3 4 4" xfId="3766" xr:uid="{00000000-0005-0000-0000-0000FA790000}"/>
    <cellStyle name="40% - Accent5 4 3 4 4 2" xfId="10872" xr:uid="{00000000-0005-0000-0000-0000FB790000}"/>
    <cellStyle name="40% - Accent5 4 3 4 4 3" xfId="17973" xr:uid="{00000000-0005-0000-0000-0000FC790000}"/>
    <cellStyle name="40% - Accent5 4 3 4 4 4" xfId="25075" xr:uid="{00000000-0005-0000-0000-0000FD790000}"/>
    <cellStyle name="40% - Accent5 4 3 4 4 5" xfId="32177" xr:uid="{00000000-0005-0000-0000-0000FE790000}"/>
    <cellStyle name="40% - Accent5 4 3 4 4 6" xfId="40119" xr:uid="{00000000-0005-0000-0000-0000FF790000}"/>
    <cellStyle name="40% - Accent5 4 3 4 5" xfId="8032" xr:uid="{00000000-0005-0000-0000-0000007A0000}"/>
    <cellStyle name="40% - Accent5 4 3 4 6" xfId="15133" xr:uid="{00000000-0005-0000-0000-0000017A0000}"/>
    <cellStyle name="40% - Accent5 4 3 4 7" xfId="22235" xr:uid="{00000000-0005-0000-0000-0000027A0000}"/>
    <cellStyle name="40% - Accent5 4 3 4 8" xfId="29337" xr:uid="{00000000-0005-0000-0000-0000037A0000}"/>
    <cellStyle name="40% - Accent5 4 3 4 9" xfId="40120" xr:uid="{00000000-0005-0000-0000-0000047A0000}"/>
    <cellStyle name="40% - Accent5 4 3 5" xfId="1208" xr:uid="{00000000-0005-0000-0000-0000057A0000}"/>
    <cellStyle name="40% - Accent5 4 3 5 2" xfId="2699" xr:uid="{00000000-0005-0000-0000-0000067A0000}"/>
    <cellStyle name="40% - Accent5 4 3 5 2 2" xfId="6967" xr:uid="{00000000-0005-0000-0000-0000077A0000}"/>
    <cellStyle name="40% - Accent5 4 3 5 2 2 2" xfId="14067" xr:uid="{00000000-0005-0000-0000-0000087A0000}"/>
    <cellStyle name="40% - Accent5 4 3 5 2 2 3" xfId="21168" xr:uid="{00000000-0005-0000-0000-0000097A0000}"/>
    <cellStyle name="40% - Accent5 4 3 5 2 2 4" xfId="28270" xr:uid="{00000000-0005-0000-0000-00000A7A0000}"/>
    <cellStyle name="40% - Accent5 4 3 5 2 2 5" xfId="35372" xr:uid="{00000000-0005-0000-0000-00000B7A0000}"/>
    <cellStyle name="40% - Accent5 4 3 5 2 3" xfId="9807" xr:uid="{00000000-0005-0000-0000-00000C7A0000}"/>
    <cellStyle name="40% - Accent5 4 3 5 2 4" xfId="16908" xr:uid="{00000000-0005-0000-0000-00000D7A0000}"/>
    <cellStyle name="40% - Accent5 4 3 5 2 5" xfId="24010" xr:uid="{00000000-0005-0000-0000-00000E7A0000}"/>
    <cellStyle name="40% - Accent5 4 3 5 2 6" xfId="31112" xr:uid="{00000000-0005-0000-0000-00000F7A0000}"/>
    <cellStyle name="40% - Accent5 4 3 5 2 7" xfId="40121" xr:uid="{00000000-0005-0000-0000-0000107A0000}"/>
    <cellStyle name="40% - Accent5 4 3 5 3" xfId="5546" xr:uid="{00000000-0005-0000-0000-0000117A0000}"/>
    <cellStyle name="40% - Accent5 4 3 5 3 2" xfId="12647" xr:uid="{00000000-0005-0000-0000-0000127A0000}"/>
    <cellStyle name="40% - Accent5 4 3 5 3 3" xfId="19748" xr:uid="{00000000-0005-0000-0000-0000137A0000}"/>
    <cellStyle name="40% - Accent5 4 3 5 3 4" xfId="26850" xr:uid="{00000000-0005-0000-0000-0000147A0000}"/>
    <cellStyle name="40% - Accent5 4 3 5 3 5" xfId="33952" xr:uid="{00000000-0005-0000-0000-0000157A0000}"/>
    <cellStyle name="40% - Accent5 4 3 5 4" xfId="4121" xr:uid="{00000000-0005-0000-0000-0000167A0000}"/>
    <cellStyle name="40% - Accent5 4 3 5 4 2" xfId="11227" xr:uid="{00000000-0005-0000-0000-0000177A0000}"/>
    <cellStyle name="40% - Accent5 4 3 5 4 3" xfId="18328" xr:uid="{00000000-0005-0000-0000-0000187A0000}"/>
    <cellStyle name="40% - Accent5 4 3 5 4 4" xfId="25430" xr:uid="{00000000-0005-0000-0000-0000197A0000}"/>
    <cellStyle name="40% - Accent5 4 3 5 4 5" xfId="32532" xr:uid="{00000000-0005-0000-0000-00001A7A0000}"/>
    <cellStyle name="40% - Accent5 4 3 5 5" xfId="8387" xr:uid="{00000000-0005-0000-0000-00001B7A0000}"/>
    <cellStyle name="40% - Accent5 4 3 5 6" xfId="15488" xr:uid="{00000000-0005-0000-0000-00001C7A0000}"/>
    <cellStyle name="40% - Accent5 4 3 5 7" xfId="22590" xr:uid="{00000000-0005-0000-0000-00001D7A0000}"/>
    <cellStyle name="40% - Accent5 4 3 5 8" xfId="29692" xr:uid="{00000000-0005-0000-0000-00001E7A0000}"/>
    <cellStyle name="40% - Accent5 4 3 5 9" xfId="40122" xr:uid="{00000000-0005-0000-0000-00001F7A0000}"/>
    <cellStyle name="40% - Accent5 4 3 6" xfId="1421" xr:uid="{00000000-0005-0000-0000-0000207A0000}"/>
    <cellStyle name="40% - Accent5 4 3 6 2" xfId="2912" xr:uid="{00000000-0005-0000-0000-0000217A0000}"/>
    <cellStyle name="40% - Accent5 4 3 6 2 2" xfId="7180" xr:uid="{00000000-0005-0000-0000-0000227A0000}"/>
    <cellStyle name="40% - Accent5 4 3 6 2 2 2" xfId="14280" xr:uid="{00000000-0005-0000-0000-0000237A0000}"/>
    <cellStyle name="40% - Accent5 4 3 6 2 2 3" xfId="21381" xr:uid="{00000000-0005-0000-0000-0000247A0000}"/>
    <cellStyle name="40% - Accent5 4 3 6 2 2 4" xfId="28483" xr:uid="{00000000-0005-0000-0000-0000257A0000}"/>
    <cellStyle name="40% - Accent5 4 3 6 2 2 5" xfId="35585" xr:uid="{00000000-0005-0000-0000-0000267A0000}"/>
    <cellStyle name="40% - Accent5 4 3 6 2 3" xfId="10020" xr:uid="{00000000-0005-0000-0000-0000277A0000}"/>
    <cellStyle name="40% - Accent5 4 3 6 2 4" xfId="17121" xr:uid="{00000000-0005-0000-0000-0000287A0000}"/>
    <cellStyle name="40% - Accent5 4 3 6 2 5" xfId="24223" xr:uid="{00000000-0005-0000-0000-0000297A0000}"/>
    <cellStyle name="40% - Accent5 4 3 6 2 6" xfId="31325" xr:uid="{00000000-0005-0000-0000-00002A7A0000}"/>
    <cellStyle name="40% - Accent5 4 3 6 2 7" xfId="40123" xr:uid="{00000000-0005-0000-0000-00002B7A0000}"/>
    <cellStyle name="40% - Accent5 4 3 6 3" xfId="5759" xr:uid="{00000000-0005-0000-0000-00002C7A0000}"/>
    <cellStyle name="40% - Accent5 4 3 6 3 2" xfId="12860" xr:uid="{00000000-0005-0000-0000-00002D7A0000}"/>
    <cellStyle name="40% - Accent5 4 3 6 3 3" xfId="19961" xr:uid="{00000000-0005-0000-0000-00002E7A0000}"/>
    <cellStyle name="40% - Accent5 4 3 6 3 4" xfId="27063" xr:uid="{00000000-0005-0000-0000-00002F7A0000}"/>
    <cellStyle name="40% - Accent5 4 3 6 3 5" xfId="34165" xr:uid="{00000000-0005-0000-0000-0000307A0000}"/>
    <cellStyle name="40% - Accent5 4 3 6 4" xfId="4334" xr:uid="{00000000-0005-0000-0000-0000317A0000}"/>
    <cellStyle name="40% - Accent5 4 3 6 4 2" xfId="11440" xr:uid="{00000000-0005-0000-0000-0000327A0000}"/>
    <cellStyle name="40% - Accent5 4 3 6 4 3" xfId="18541" xr:uid="{00000000-0005-0000-0000-0000337A0000}"/>
    <cellStyle name="40% - Accent5 4 3 6 4 4" xfId="25643" xr:uid="{00000000-0005-0000-0000-0000347A0000}"/>
    <cellStyle name="40% - Accent5 4 3 6 4 5" xfId="32745" xr:uid="{00000000-0005-0000-0000-0000357A0000}"/>
    <cellStyle name="40% - Accent5 4 3 6 5" xfId="8600" xr:uid="{00000000-0005-0000-0000-0000367A0000}"/>
    <cellStyle name="40% - Accent5 4 3 6 6" xfId="15701" xr:uid="{00000000-0005-0000-0000-0000377A0000}"/>
    <cellStyle name="40% - Accent5 4 3 6 7" xfId="22803" xr:uid="{00000000-0005-0000-0000-0000387A0000}"/>
    <cellStyle name="40% - Accent5 4 3 6 8" xfId="29905" xr:uid="{00000000-0005-0000-0000-0000397A0000}"/>
    <cellStyle name="40% - Accent5 4 3 6 9" xfId="40124" xr:uid="{00000000-0005-0000-0000-00003A7A0000}"/>
    <cellStyle name="40% - Accent5 4 3 7" xfId="1705" xr:uid="{00000000-0005-0000-0000-00003B7A0000}"/>
    <cellStyle name="40% - Accent5 4 3 7 2" xfId="5973" xr:uid="{00000000-0005-0000-0000-00003C7A0000}"/>
    <cellStyle name="40% - Accent5 4 3 7 2 2" xfId="13073" xr:uid="{00000000-0005-0000-0000-00003D7A0000}"/>
    <cellStyle name="40% - Accent5 4 3 7 2 3" xfId="20174" xr:uid="{00000000-0005-0000-0000-00003E7A0000}"/>
    <cellStyle name="40% - Accent5 4 3 7 2 4" xfId="27276" xr:uid="{00000000-0005-0000-0000-00003F7A0000}"/>
    <cellStyle name="40% - Accent5 4 3 7 2 5" xfId="34378" xr:uid="{00000000-0005-0000-0000-0000407A0000}"/>
    <cellStyle name="40% - Accent5 4 3 7 3" xfId="8813" xr:uid="{00000000-0005-0000-0000-0000417A0000}"/>
    <cellStyle name="40% - Accent5 4 3 7 4" xfId="15914" xr:uid="{00000000-0005-0000-0000-0000427A0000}"/>
    <cellStyle name="40% - Accent5 4 3 7 5" xfId="23016" xr:uid="{00000000-0005-0000-0000-0000437A0000}"/>
    <cellStyle name="40% - Accent5 4 3 7 6" xfId="30118" xr:uid="{00000000-0005-0000-0000-0000447A0000}"/>
    <cellStyle name="40% - Accent5 4 3 7 7" xfId="40125" xr:uid="{00000000-0005-0000-0000-0000457A0000}"/>
    <cellStyle name="40% - Accent5 4 3 8" xfId="4552" xr:uid="{00000000-0005-0000-0000-0000467A0000}"/>
    <cellStyle name="40% - Accent5 4 3 8 2" xfId="11653" xr:uid="{00000000-0005-0000-0000-0000477A0000}"/>
    <cellStyle name="40% - Accent5 4 3 8 3" xfId="18754" xr:uid="{00000000-0005-0000-0000-0000487A0000}"/>
    <cellStyle name="40% - Accent5 4 3 8 4" xfId="25856" xr:uid="{00000000-0005-0000-0000-0000497A0000}"/>
    <cellStyle name="40% - Accent5 4 3 8 5" xfId="32958" xr:uid="{00000000-0005-0000-0000-00004A7A0000}"/>
    <cellStyle name="40% - Accent5 4 3 9" xfId="3127" xr:uid="{00000000-0005-0000-0000-00004B7A0000}"/>
    <cellStyle name="40% - Accent5 4 3 9 2" xfId="10233" xr:uid="{00000000-0005-0000-0000-00004C7A0000}"/>
    <cellStyle name="40% - Accent5 4 3 9 3" xfId="17334" xr:uid="{00000000-0005-0000-0000-00004D7A0000}"/>
    <cellStyle name="40% - Accent5 4 3 9 4" xfId="24436" xr:uid="{00000000-0005-0000-0000-00004E7A0000}"/>
    <cellStyle name="40% - Accent5 4 3 9 5" xfId="31538" xr:uid="{00000000-0005-0000-0000-00004F7A0000}"/>
    <cellStyle name="40% - Accent5 4 4" xfId="356" xr:uid="{00000000-0005-0000-0000-0000507A0000}"/>
    <cellStyle name="40% - Accent5 4 4 10" xfId="40126" xr:uid="{00000000-0005-0000-0000-0000517A0000}"/>
    <cellStyle name="40% - Accent5 4 4 2" xfId="1137" xr:uid="{00000000-0005-0000-0000-0000527A0000}"/>
    <cellStyle name="40% - Accent5 4 4 2 2" xfId="2628" xr:uid="{00000000-0005-0000-0000-0000537A0000}"/>
    <cellStyle name="40% - Accent5 4 4 2 2 2" xfId="6896" xr:uid="{00000000-0005-0000-0000-0000547A0000}"/>
    <cellStyle name="40% - Accent5 4 4 2 2 2 2" xfId="13996" xr:uid="{00000000-0005-0000-0000-0000557A0000}"/>
    <cellStyle name="40% - Accent5 4 4 2 2 2 3" xfId="21097" xr:uid="{00000000-0005-0000-0000-0000567A0000}"/>
    <cellStyle name="40% - Accent5 4 4 2 2 2 4" xfId="28199" xr:uid="{00000000-0005-0000-0000-0000577A0000}"/>
    <cellStyle name="40% - Accent5 4 4 2 2 2 5" xfId="35301" xr:uid="{00000000-0005-0000-0000-0000587A0000}"/>
    <cellStyle name="40% - Accent5 4 4 2 2 3" xfId="9736" xr:uid="{00000000-0005-0000-0000-0000597A0000}"/>
    <cellStyle name="40% - Accent5 4 4 2 2 4" xfId="16837" xr:uid="{00000000-0005-0000-0000-00005A7A0000}"/>
    <cellStyle name="40% - Accent5 4 4 2 2 5" xfId="23939" xr:uid="{00000000-0005-0000-0000-00005B7A0000}"/>
    <cellStyle name="40% - Accent5 4 4 2 2 6" xfId="31041" xr:uid="{00000000-0005-0000-0000-00005C7A0000}"/>
    <cellStyle name="40% - Accent5 4 4 2 2 7" xfId="40127" xr:uid="{00000000-0005-0000-0000-00005D7A0000}"/>
    <cellStyle name="40% - Accent5 4 4 2 3" xfId="5475" xr:uid="{00000000-0005-0000-0000-00005E7A0000}"/>
    <cellStyle name="40% - Accent5 4 4 2 3 2" xfId="12576" xr:uid="{00000000-0005-0000-0000-00005F7A0000}"/>
    <cellStyle name="40% - Accent5 4 4 2 3 3" xfId="19677" xr:uid="{00000000-0005-0000-0000-0000607A0000}"/>
    <cellStyle name="40% - Accent5 4 4 2 3 4" xfId="26779" xr:uid="{00000000-0005-0000-0000-0000617A0000}"/>
    <cellStyle name="40% - Accent5 4 4 2 3 5" xfId="33881" xr:uid="{00000000-0005-0000-0000-0000627A0000}"/>
    <cellStyle name="40% - Accent5 4 4 2 4" xfId="4050" xr:uid="{00000000-0005-0000-0000-0000637A0000}"/>
    <cellStyle name="40% - Accent5 4 4 2 4 2" xfId="11156" xr:uid="{00000000-0005-0000-0000-0000647A0000}"/>
    <cellStyle name="40% - Accent5 4 4 2 4 3" xfId="18257" xr:uid="{00000000-0005-0000-0000-0000657A0000}"/>
    <cellStyle name="40% - Accent5 4 4 2 4 4" xfId="25359" xr:uid="{00000000-0005-0000-0000-0000667A0000}"/>
    <cellStyle name="40% - Accent5 4 4 2 4 5" xfId="32461" xr:uid="{00000000-0005-0000-0000-0000677A0000}"/>
    <cellStyle name="40% - Accent5 4 4 2 5" xfId="8316" xr:uid="{00000000-0005-0000-0000-0000687A0000}"/>
    <cellStyle name="40% - Accent5 4 4 2 6" xfId="15417" xr:uid="{00000000-0005-0000-0000-0000697A0000}"/>
    <cellStyle name="40% - Accent5 4 4 2 7" xfId="22519" xr:uid="{00000000-0005-0000-0000-00006A7A0000}"/>
    <cellStyle name="40% - Accent5 4 4 2 8" xfId="29621" xr:uid="{00000000-0005-0000-0000-00006B7A0000}"/>
    <cellStyle name="40% - Accent5 4 4 2 9" xfId="40128" xr:uid="{00000000-0005-0000-0000-00006C7A0000}"/>
    <cellStyle name="40% - Accent5 4 4 3" xfId="1847" xr:uid="{00000000-0005-0000-0000-00006D7A0000}"/>
    <cellStyle name="40% - Accent5 4 4 3 2" xfId="6115" xr:uid="{00000000-0005-0000-0000-00006E7A0000}"/>
    <cellStyle name="40% - Accent5 4 4 3 2 2" xfId="13215" xr:uid="{00000000-0005-0000-0000-00006F7A0000}"/>
    <cellStyle name="40% - Accent5 4 4 3 2 3" xfId="20316" xr:uid="{00000000-0005-0000-0000-0000707A0000}"/>
    <cellStyle name="40% - Accent5 4 4 3 2 4" xfId="27418" xr:uid="{00000000-0005-0000-0000-0000717A0000}"/>
    <cellStyle name="40% - Accent5 4 4 3 2 5" xfId="34520" xr:uid="{00000000-0005-0000-0000-0000727A0000}"/>
    <cellStyle name="40% - Accent5 4 4 3 2 6" xfId="40129" xr:uid="{00000000-0005-0000-0000-0000737A0000}"/>
    <cellStyle name="40% - Accent5 4 4 3 3" xfId="8955" xr:uid="{00000000-0005-0000-0000-0000747A0000}"/>
    <cellStyle name="40% - Accent5 4 4 3 4" xfId="16056" xr:uid="{00000000-0005-0000-0000-0000757A0000}"/>
    <cellStyle name="40% - Accent5 4 4 3 5" xfId="23158" xr:uid="{00000000-0005-0000-0000-0000767A0000}"/>
    <cellStyle name="40% - Accent5 4 4 3 6" xfId="30260" xr:uid="{00000000-0005-0000-0000-0000777A0000}"/>
    <cellStyle name="40% - Accent5 4 4 3 7" xfId="40130" xr:uid="{00000000-0005-0000-0000-0000787A0000}"/>
    <cellStyle name="40% - Accent5 4 4 4" xfId="4694" xr:uid="{00000000-0005-0000-0000-0000797A0000}"/>
    <cellStyle name="40% - Accent5 4 4 4 2" xfId="11795" xr:uid="{00000000-0005-0000-0000-00007A7A0000}"/>
    <cellStyle name="40% - Accent5 4 4 4 3" xfId="18896" xr:uid="{00000000-0005-0000-0000-00007B7A0000}"/>
    <cellStyle name="40% - Accent5 4 4 4 4" xfId="25998" xr:uid="{00000000-0005-0000-0000-00007C7A0000}"/>
    <cellStyle name="40% - Accent5 4 4 4 5" xfId="33100" xr:uid="{00000000-0005-0000-0000-00007D7A0000}"/>
    <cellStyle name="40% - Accent5 4 4 4 6" xfId="40131" xr:uid="{00000000-0005-0000-0000-00007E7A0000}"/>
    <cellStyle name="40% - Accent5 4 4 5" xfId="3269" xr:uid="{00000000-0005-0000-0000-00007F7A0000}"/>
    <cellStyle name="40% - Accent5 4 4 5 2" xfId="10375" xr:uid="{00000000-0005-0000-0000-0000807A0000}"/>
    <cellStyle name="40% - Accent5 4 4 5 3" xfId="17476" xr:uid="{00000000-0005-0000-0000-0000817A0000}"/>
    <cellStyle name="40% - Accent5 4 4 5 4" xfId="24578" xr:uid="{00000000-0005-0000-0000-0000827A0000}"/>
    <cellStyle name="40% - Accent5 4 4 5 5" xfId="31680" xr:uid="{00000000-0005-0000-0000-0000837A0000}"/>
    <cellStyle name="40% - Accent5 4 4 6" xfId="7535" xr:uid="{00000000-0005-0000-0000-0000847A0000}"/>
    <cellStyle name="40% - Accent5 4 4 7" xfId="14636" xr:uid="{00000000-0005-0000-0000-0000857A0000}"/>
    <cellStyle name="40% - Accent5 4 4 8" xfId="21738" xr:uid="{00000000-0005-0000-0000-0000867A0000}"/>
    <cellStyle name="40% - Accent5 4 4 9" xfId="28840" xr:uid="{00000000-0005-0000-0000-0000877A0000}"/>
    <cellStyle name="40% - Accent5 4 5" xfId="569" xr:uid="{00000000-0005-0000-0000-0000887A0000}"/>
    <cellStyle name="40% - Accent5 4 5 2" xfId="2060" xr:uid="{00000000-0005-0000-0000-0000897A0000}"/>
    <cellStyle name="40% - Accent5 4 5 2 2" xfId="6328" xr:uid="{00000000-0005-0000-0000-00008A7A0000}"/>
    <cellStyle name="40% - Accent5 4 5 2 2 2" xfId="13428" xr:uid="{00000000-0005-0000-0000-00008B7A0000}"/>
    <cellStyle name="40% - Accent5 4 5 2 2 3" xfId="20529" xr:uid="{00000000-0005-0000-0000-00008C7A0000}"/>
    <cellStyle name="40% - Accent5 4 5 2 2 4" xfId="27631" xr:uid="{00000000-0005-0000-0000-00008D7A0000}"/>
    <cellStyle name="40% - Accent5 4 5 2 2 5" xfId="34733" xr:uid="{00000000-0005-0000-0000-00008E7A0000}"/>
    <cellStyle name="40% - Accent5 4 5 2 2 6" xfId="40132" xr:uid="{00000000-0005-0000-0000-00008F7A0000}"/>
    <cellStyle name="40% - Accent5 4 5 2 3" xfId="9168" xr:uid="{00000000-0005-0000-0000-0000907A0000}"/>
    <cellStyle name="40% - Accent5 4 5 2 4" xfId="16269" xr:uid="{00000000-0005-0000-0000-0000917A0000}"/>
    <cellStyle name="40% - Accent5 4 5 2 5" xfId="23371" xr:uid="{00000000-0005-0000-0000-0000927A0000}"/>
    <cellStyle name="40% - Accent5 4 5 2 6" xfId="30473" xr:uid="{00000000-0005-0000-0000-0000937A0000}"/>
    <cellStyle name="40% - Accent5 4 5 2 7" xfId="40133" xr:uid="{00000000-0005-0000-0000-0000947A0000}"/>
    <cellStyle name="40% - Accent5 4 5 3" xfId="4907" xr:uid="{00000000-0005-0000-0000-0000957A0000}"/>
    <cellStyle name="40% - Accent5 4 5 3 2" xfId="12008" xr:uid="{00000000-0005-0000-0000-0000967A0000}"/>
    <cellStyle name="40% - Accent5 4 5 3 2 2" xfId="40134" xr:uid="{00000000-0005-0000-0000-0000977A0000}"/>
    <cellStyle name="40% - Accent5 4 5 3 3" xfId="19109" xr:uid="{00000000-0005-0000-0000-0000987A0000}"/>
    <cellStyle name="40% - Accent5 4 5 3 4" xfId="26211" xr:uid="{00000000-0005-0000-0000-0000997A0000}"/>
    <cellStyle name="40% - Accent5 4 5 3 5" xfId="33313" xr:uid="{00000000-0005-0000-0000-00009A7A0000}"/>
    <cellStyle name="40% - Accent5 4 5 3 6" xfId="40135" xr:uid="{00000000-0005-0000-0000-00009B7A0000}"/>
    <cellStyle name="40% - Accent5 4 5 4" xfId="3482" xr:uid="{00000000-0005-0000-0000-00009C7A0000}"/>
    <cellStyle name="40% - Accent5 4 5 4 2" xfId="10588" xr:uid="{00000000-0005-0000-0000-00009D7A0000}"/>
    <cellStyle name="40% - Accent5 4 5 4 3" xfId="17689" xr:uid="{00000000-0005-0000-0000-00009E7A0000}"/>
    <cellStyle name="40% - Accent5 4 5 4 4" xfId="24791" xr:uid="{00000000-0005-0000-0000-00009F7A0000}"/>
    <cellStyle name="40% - Accent5 4 5 4 5" xfId="31893" xr:uid="{00000000-0005-0000-0000-0000A07A0000}"/>
    <cellStyle name="40% - Accent5 4 5 4 6" xfId="40136" xr:uid="{00000000-0005-0000-0000-0000A17A0000}"/>
    <cellStyle name="40% - Accent5 4 5 5" xfId="7748" xr:uid="{00000000-0005-0000-0000-0000A27A0000}"/>
    <cellStyle name="40% - Accent5 4 5 6" xfId="14849" xr:uid="{00000000-0005-0000-0000-0000A37A0000}"/>
    <cellStyle name="40% - Accent5 4 5 7" xfId="21951" xr:uid="{00000000-0005-0000-0000-0000A47A0000}"/>
    <cellStyle name="40% - Accent5 4 5 8" xfId="29053" xr:uid="{00000000-0005-0000-0000-0000A57A0000}"/>
    <cellStyle name="40% - Accent5 4 5 9" xfId="40137" xr:uid="{00000000-0005-0000-0000-0000A67A0000}"/>
    <cellStyle name="40% - Accent5 4 6" xfId="782" xr:uid="{00000000-0005-0000-0000-0000A77A0000}"/>
    <cellStyle name="40% - Accent5 4 6 2" xfId="2273" xr:uid="{00000000-0005-0000-0000-0000A87A0000}"/>
    <cellStyle name="40% - Accent5 4 6 2 2" xfId="6541" xr:uid="{00000000-0005-0000-0000-0000A97A0000}"/>
    <cellStyle name="40% - Accent5 4 6 2 2 2" xfId="13641" xr:uid="{00000000-0005-0000-0000-0000AA7A0000}"/>
    <cellStyle name="40% - Accent5 4 6 2 2 3" xfId="20742" xr:uid="{00000000-0005-0000-0000-0000AB7A0000}"/>
    <cellStyle name="40% - Accent5 4 6 2 2 4" xfId="27844" xr:uid="{00000000-0005-0000-0000-0000AC7A0000}"/>
    <cellStyle name="40% - Accent5 4 6 2 2 5" xfId="34946" xr:uid="{00000000-0005-0000-0000-0000AD7A0000}"/>
    <cellStyle name="40% - Accent5 4 6 2 2 6" xfId="40138" xr:uid="{00000000-0005-0000-0000-0000AE7A0000}"/>
    <cellStyle name="40% - Accent5 4 6 2 3" xfId="9381" xr:uid="{00000000-0005-0000-0000-0000AF7A0000}"/>
    <cellStyle name="40% - Accent5 4 6 2 4" xfId="16482" xr:uid="{00000000-0005-0000-0000-0000B07A0000}"/>
    <cellStyle name="40% - Accent5 4 6 2 5" xfId="23584" xr:uid="{00000000-0005-0000-0000-0000B17A0000}"/>
    <cellStyle name="40% - Accent5 4 6 2 6" xfId="30686" xr:uid="{00000000-0005-0000-0000-0000B27A0000}"/>
    <cellStyle name="40% - Accent5 4 6 2 7" xfId="40139" xr:uid="{00000000-0005-0000-0000-0000B37A0000}"/>
    <cellStyle name="40% - Accent5 4 6 3" xfId="5120" xr:uid="{00000000-0005-0000-0000-0000B47A0000}"/>
    <cellStyle name="40% - Accent5 4 6 3 2" xfId="12221" xr:uid="{00000000-0005-0000-0000-0000B57A0000}"/>
    <cellStyle name="40% - Accent5 4 6 3 2 2" xfId="40140" xr:uid="{00000000-0005-0000-0000-0000B67A0000}"/>
    <cellStyle name="40% - Accent5 4 6 3 3" xfId="19322" xr:uid="{00000000-0005-0000-0000-0000B77A0000}"/>
    <cellStyle name="40% - Accent5 4 6 3 4" xfId="26424" xr:uid="{00000000-0005-0000-0000-0000B87A0000}"/>
    <cellStyle name="40% - Accent5 4 6 3 5" xfId="33526" xr:uid="{00000000-0005-0000-0000-0000B97A0000}"/>
    <cellStyle name="40% - Accent5 4 6 3 6" xfId="40141" xr:uid="{00000000-0005-0000-0000-0000BA7A0000}"/>
    <cellStyle name="40% - Accent5 4 6 4" xfId="3695" xr:uid="{00000000-0005-0000-0000-0000BB7A0000}"/>
    <cellStyle name="40% - Accent5 4 6 4 2" xfId="10801" xr:uid="{00000000-0005-0000-0000-0000BC7A0000}"/>
    <cellStyle name="40% - Accent5 4 6 4 3" xfId="17902" xr:uid="{00000000-0005-0000-0000-0000BD7A0000}"/>
    <cellStyle name="40% - Accent5 4 6 4 4" xfId="25004" xr:uid="{00000000-0005-0000-0000-0000BE7A0000}"/>
    <cellStyle name="40% - Accent5 4 6 4 5" xfId="32106" xr:uid="{00000000-0005-0000-0000-0000BF7A0000}"/>
    <cellStyle name="40% - Accent5 4 6 4 6" xfId="40142" xr:uid="{00000000-0005-0000-0000-0000C07A0000}"/>
    <cellStyle name="40% - Accent5 4 6 5" xfId="7961" xr:uid="{00000000-0005-0000-0000-0000C17A0000}"/>
    <cellStyle name="40% - Accent5 4 6 6" xfId="15062" xr:uid="{00000000-0005-0000-0000-0000C27A0000}"/>
    <cellStyle name="40% - Accent5 4 6 7" xfId="22164" xr:uid="{00000000-0005-0000-0000-0000C37A0000}"/>
    <cellStyle name="40% - Accent5 4 6 8" xfId="29266" xr:uid="{00000000-0005-0000-0000-0000C47A0000}"/>
    <cellStyle name="40% - Accent5 4 6 9" xfId="40143" xr:uid="{00000000-0005-0000-0000-0000C57A0000}"/>
    <cellStyle name="40% - Accent5 4 7" xfId="995" xr:uid="{00000000-0005-0000-0000-0000C67A0000}"/>
    <cellStyle name="40% - Accent5 4 7 2" xfId="2486" xr:uid="{00000000-0005-0000-0000-0000C77A0000}"/>
    <cellStyle name="40% - Accent5 4 7 2 2" xfId="6754" xr:uid="{00000000-0005-0000-0000-0000C87A0000}"/>
    <cellStyle name="40% - Accent5 4 7 2 2 2" xfId="13854" xr:uid="{00000000-0005-0000-0000-0000C97A0000}"/>
    <cellStyle name="40% - Accent5 4 7 2 2 3" xfId="20955" xr:uid="{00000000-0005-0000-0000-0000CA7A0000}"/>
    <cellStyle name="40% - Accent5 4 7 2 2 4" xfId="28057" xr:uid="{00000000-0005-0000-0000-0000CB7A0000}"/>
    <cellStyle name="40% - Accent5 4 7 2 2 5" xfId="35159" xr:uid="{00000000-0005-0000-0000-0000CC7A0000}"/>
    <cellStyle name="40% - Accent5 4 7 2 3" xfId="9594" xr:uid="{00000000-0005-0000-0000-0000CD7A0000}"/>
    <cellStyle name="40% - Accent5 4 7 2 4" xfId="16695" xr:uid="{00000000-0005-0000-0000-0000CE7A0000}"/>
    <cellStyle name="40% - Accent5 4 7 2 5" xfId="23797" xr:uid="{00000000-0005-0000-0000-0000CF7A0000}"/>
    <cellStyle name="40% - Accent5 4 7 2 6" xfId="30899" xr:uid="{00000000-0005-0000-0000-0000D07A0000}"/>
    <cellStyle name="40% - Accent5 4 7 2 7" xfId="40144" xr:uid="{00000000-0005-0000-0000-0000D17A0000}"/>
    <cellStyle name="40% - Accent5 4 7 3" xfId="5333" xr:uid="{00000000-0005-0000-0000-0000D27A0000}"/>
    <cellStyle name="40% - Accent5 4 7 3 2" xfId="12434" xr:uid="{00000000-0005-0000-0000-0000D37A0000}"/>
    <cellStyle name="40% - Accent5 4 7 3 3" xfId="19535" xr:uid="{00000000-0005-0000-0000-0000D47A0000}"/>
    <cellStyle name="40% - Accent5 4 7 3 4" xfId="26637" xr:uid="{00000000-0005-0000-0000-0000D57A0000}"/>
    <cellStyle name="40% - Accent5 4 7 3 5" xfId="33739" xr:uid="{00000000-0005-0000-0000-0000D67A0000}"/>
    <cellStyle name="40% - Accent5 4 7 4" xfId="3908" xr:uid="{00000000-0005-0000-0000-0000D77A0000}"/>
    <cellStyle name="40% - Accent5 4 7 4 2" xfId="11014" xr:uid="{00000000-0005-0000-0000-0000D87A0000}"/>
    <cellStyle name="40% - Accent5 4 7 4 3" xfId="18115" xr:uid="{00000000-0005-0000-0000-0000D97A0000}"/>
    <cellStyle name="40% - Accent5 4 7 4 4" xfId="25217" xr:uid="{00000000-0005-0000-0000-0000DA7A0000}"/>
    <cellStyle name="40% - Accent5 4 7 4 5" xfId="32319" xr:uid="{00000000-0005-0000-0000-0000DB7A0000}"/>
    <cellStyle name="40% - Accent5 4 7 5" xfId="8174" xr:uid="{00000000-0005-0000-0000-0000DC7A0000}"/>
    <cellStyle name="40% - Accent5 4 7 6" xfId="15275" xr:uid="{00000000-0005-0000-0000-0000DD7A0000}"/>
    <cellStyle name="40% - Accent5 4 7 7" xfId="22377" xr:uid="{00000000-0005-0000-0000-0000DE7A0000}"/>
    <cellStyle name="40% - Accent5 4 7 8" xfId="29479" xr:uid="{00000000-0005-0000-0000-0000DF7A0000}"/>
    <cellStyle name="40% - Accent5 4 7 9" xfId="40145" xr:uid="{00000000-0005-0000-0000-0000E07A0000}"/>
    <cellStyle name="40% - Accent5 4 8" xfId="1350" xr:uid="{00000000-0005-0000-0000-0000E17A0000}"/>
    <cellStyle name="40% - Accent5 4 8 2" xfId="2841" xr:uid="{00000000-0005-0000-0000-0000E27A0000}"/>
    <cellStyle name="40% - Accent5 4 8 2 2" xfId="7109" xr:uid="{00000000-0005-0000-0000-0000E37A0000}"/>
    <cellStyle name="40% - Accent5 4 8 2 2 2" xfId="14209" xr:uid="{00000000-0005-0000-0000-0000E47A0000}"/>
    <cellStyle name="40% - Accent5 4 8 2 2 3" xfId="21310" xr:uid="{00000000-0005-0000-0000-0000E57A0000}"/>
    <cellStyle name="40% - Accent5 4 8 2 2 4" xfId="28412" xr:uid="{00000000-0005-0000-0000-0000E67A0000}"/>
    <cellStyle name="40% - Accent5 4 8 2 2 5" xfId="35514" xr:uid="{00000000-0005-0000-0000-0000E77A0000}"/>
    <cellStyle name="40% - Accent5 4 8 2 3" xfId="9949" xr:uid="{00000000-0005-0000-0000-0000E87A0000}"/>
    <cellStyle name="40% - Accent5 4 8 2 4" xfId="17050" xr:uid="{00000000-0005-0000-0000-0000E97A0000}"/>
    <cellStyle name="40% - Accent5 4 8 2 5" xfId="24152" xr:uid="{00000000-0005-0000-0000-0000EA7A0000}"/>
    <cellStyle name="40% - Accent5 4 8 2 6" xfId="31254" xr:uid="{00000000-0005-0000-0000-0000EB7A0000}"/>
    <cellStyle name="40% - Accent5 4 8 2 7" xfId="40146" xr:uid="{00000000-0005-0000-0000-0000EC7A0000}"/>
    <cellStyle name="40% - Accent5 4 8 3" xfId="5688" xr:uid="{00000000-0005-0000-0000-0000ED7A0000}"/>
    <cellStyle name="40% - Accent5 4 8 3 2" xfId="12789" xr:uid="{00000000-0005-0000-0000-0000EE7A0000}"/>
    <cellStyle name="40% - Accent5 4 8 3 3" xfId="19890" xr:uid="{00000000-0005-0000-0000-0000EF7A0000}"/>
    <cellStyle name="40% - Accent5 4 8 3 4" xfId="26992" xr:uid="{00000000-0005-0000-0000-0000F07A0000}"/>
    <cellStyle name="40% - Accent5 4 8 3 5" xfId="34094" xr:uid="{00000000-0005-0000-0000-0000F17A0000}"/>
    <cellStyle name="40% - Accent5 4 8 4" xfId="4263" xr:uid="{00000000-0005-0000-0000-0000F27A0000}"/>
    <cellStyle name="40% - Accent5 4 8 4 2" xfId="11369" xr:uid="{00000000-0005-0000-0000-0000F37A0000}"/>
    <cellStyle name="40% - Accent5 4 8 4 3" xfId="18470" xr:uid="{00000000-0005-0000-0000-0000F47A0000}"/>
    <cellStyle name="40% - Accent5 4 8 4 4" xfId="25572" xr:uid="{00000000-0005-0000-0000-0000F57A0000}"/>
    <cellStyle name="40% - Accent5 4 8 4 5" xfId="32674" xr:uid="{00000000-0005-0000-0000-0000F67A0000}"/>
    <cellStyle name="40% - Accent5 4 8 5" xfId="8529" xr:uid="{00000000-0005-0000-0000-0000F77A0000}"/>
    <cellStyle name="40% - Accent5 4 8 6" xfId="15630" xr:uid="{00000000-0005-0000-0000-0000F87A0000}"/>
    <cellStyle name="40% - Accent5 4 8 7" xfId="22732" xr:uid="{00000000-0005-0000-0000-0000F97A0000}"/>
    <cellStyle name="40% - Accent5 4 8 8" xfId="29834" xr:uid="{00000000-0005-0000-0000-0000FA7A0000}"/>
    <cellStyle name="40% - Accent5 4 8 9" xfId="40147" xr:uid="{00000000-0005-0000-0000-0000FB7A0000}"/>
    <cellStyle name="40% - Accent5 4 9" xfId="1634" xr:uid="{00000000-0005-0000-0000-0000FC7A0000}"/>
    <cellStyle name="40% - Accent5 4 9 2" xfId="5902" xr:uid="{00000000-0005-0000-0000-0000FD7A0000}"/>
    <cellStyle name="40% - Accent5 4 9 2 2" xfId="13002" xr:uid="{00000000-0005-0000-0000-0000FE7A0000}"/>
    <cellStyle name="40% - Accent5 4 9 2 3" xfId="20103" xr:uid="{00000000-0005-0000-0000-0000FF7A0000}"/>
    <cellStyle name="40% - Accent5 4 9 2 4" xfId="27205" xr:uid="{00000000-0005-0000-0000-0000007B0000}"/>
    <cellStyle name="40% - Accent5 4 9 2 5" xfId="34307" xr:uid="{00000000-0005-0000-0000-0000017B0000}"/>
    <cellStyle name="40% - Accent5 4 9 3" xfId="8742" xr:uid="{00000000-0005-0000-0000-0000027B0000}"/>
    <cellStyle name="40% - Accent5 4 9 4" xfId="15843" xr:uid="{00000000-0005-0000-0000-0000037B0000}"/>
    <cellStyle name="40% - Accent5 4 9 5" xfId="22945" xr:uid="{00000000-0005-0000-0000-0000047B0000}"/>
    <cellStyle name="40% - Accent5 4 9 6" xfId="30047" xr:uid="{00000000-0005-0000-0000-0000057B0000}"/>
    <cellStyle name="40% - Accent5 4 9 7" xfId="40148" xr:uid="{00000000-0005-0000-0000-0000067B0000}"/>
    <cellStyle name="40% - Accent5 5" xfId="226" xr:uid="{00000000-0005-0000-0000-0000077B0000}"/>
    <cellStyle name="40% - Accent5 5 10" xfId="7405" xr:uid="{00000000-0005-0000-0000-0000087B0000}"/>
    <cellStyle name="40% - Accent5 5 11" xfId="14506" xr:uid="{00000000-0005-0000-0000-0000097B0000}"/>
    <cellStyle name="40% - Accent5 5 12" xfId="21608" xr:uid="{00000000-0005-0000-0000-00000A7B0000}"/>
    <cellStyle name="40% - Accent5 5 13" xfId="28710" xr:uid="{00000000-0005-0000-0000-00000B7B0000}"/>
    <cellStyle name="40% - Accent5 5 14" xfId="35812" xr:uid="{00000000-0005-0000-0000-00000C7B0000}"/>
    <cellStyle name="40% - Accent5 5 15" xfId="40149" xr:uid="{00000000-0005-0000-0000-00000D7B0000}"/>
    <cellStyle name="40% - Accent5 5 2" xfId="439" xr:uid="{00000000-0005-0000-0000-00000E7B0000}"/>
    <cellStyle name="40% - Accent5 5 2 10" xfId="40150" xr:uid="{00000000-0005-0000-0000-00000F7B0000}"/>
    <cellStyle name="40% - Accent5 5 2 2" xfId="1220" xr:uid="{00000000-0005-0000-0000-0000107B0000}"/>
    <cellStyle name="40% - Accent5 5 2 2 2" xfId="2711" xr:uid="{00000000-0005-0000-0000-0000117B0000}"/>
    <cellStyle name="40% - Accent5 5 2 2 2 2" xfId="6979" xr:uid="{00000000-0005-0000-0000-0000127B0000}"/>
    <cellStyle name="40% - Accent5 5 2 2 2 2 2" xfId="14079" xr:uid="{00000000-0005-0000-0000-0000137B0000}"/>
    <cellStyle name="40% - Accent5 5 2 2 2 2 3" xfId="21180" xr:uid="{00000000-0005-0000-0000-0000147B0000}"/>
    <cellStyle name="40% - Accent5 5 2 2 2 2 4" xfId="28282" xr:uid="{00000000-0005-0000-0000-0000157B0000}"/>
    <cellStyle name="40% - Accent5 5 2 2 2 2 5" xfId="35384" xr:uid="{00000000-0005-0000-0000-0000167B0000}"/>
    <cellStyle name="40% - Accent5 5 2 2 2 3" xfId="9819" xr:uid="{00000000-0005-0000-0000-0000177B0000}"/>
    <cellStyle name="40% - Accent5 5 2 2 2 4" xfId="16920" xr:uid="{00000000-0005-0000-0000-0000187B0000}"/>
    <cellStyle name="40% - Accent5 5 2 2 2 5" xfId="24022" xr:uid="{00000000-0005-0000-0000-0000197B0000}"/>
    <cellStyle name="40% - Accent5 5 2 2 2 6" xfId="31124" xr:uid="{00000000-0005-0000-0000-00001A7B0000}"/>
    <cellStyle name="40% - Accent5 5 2 2 2 7" xfId="40151" xr:uid="{00000000-0005-0000-0000-00001B7B0000}"/>
    <cellStyle name="40% - Accent5 5 2 2 3" xfId="5558" xr:uid="{00000000-0005-0000-0000-00001C7B0000}"/>
    <cellStyle name="40% - Accent5 5 2 2 3 2" xfId="12659" xr:uid="{00000000-0005-0000-0000-00001D7B0000}"/>
    <cellStyle name="40% - Accent5 5 2 2 3 3" xfId="19760" xr:uid="{00000000-0005-0000-0000-00001E7B0000}"/>
    <cellStyle name="40% - Accent5 5 2 2 3 4" xfId="26862" xr:uid="{00000000-0005-0000-0000-00001F7B0000}"/>
    <cellStyle name="40% - Accent5 5 2 2 3 5" xfId="33964" xr:uid="{00000000-0005-0000-0000-0000207B0000}"/>
    <cellStyle name="40% - Accent5 5 2 2 4" xfId="4133" xr:uid="{00000000-0005-0000-0000-0000217B0000}"/>
    <cellStyle name="40% - Accent5 5 2 2 4 2" xfId="11239" xr:uid="{00000000-0005-0000-0000-0000227B0000}"/>
    <cellStyle name="40% - Accent5 5 2 2 4 3" xfId="18340" xr:uid="{00000000-0005-0000-0000-0000237B0000}"/>
    <cellStyle name="40% - Accent5 5 2 2 4 4" xfId="25442" xr:uid="{00000000-0005-0000-0000-0000247B0000}"/>
    <cellStyle name="40% - Accent5 5 2 2 4 5" xfId="32544" xr:uid="{00000000-0005-0000-0000-0000257B0000}"/>
    <cellStyle name="40% - Accent5 5 2 2 5" xfId="8399" xr:uid="{00000000-0005-0000-0000-0000267B0000}"/>
    <cellStyle name="40% - Accent5 5 2 2 6" xfId="15500" xr:uid="{00000000-0005-0000-0000-0000277B0000}"/>
    <cellStyle name="40% - Accent5 5 2 2 7" xfId="22602" xr:uid="{00000000-0005-0000-0000-0000287B0000}"/>
    <cellStyle name="40% - Accent5 5 2 2 8" xfId="29704" xr:uid="{00000000-0005-0000-0000-0000297B0000}"/>
    <cellStyle name="40% - Accent5 5 2 2 9" xfId="40152" xr:uid="{00000000-0005-0000-0000-00002A7B0000}"/>
    <cellStyle name="40% - Accent5 5 2 3" xfId="1930" xr:uid="{00000000-0005-0000-0000-00002B7B0000}"/>
    <cellStyle name="40% - Accent5 5 2 3 2" xfId="6198" xr:uid="{00000000-0005-0000-0000-00002C7B0000}"/>
    <cellStyle name="40% - Accent5 5 2 3 2 2" xfId="13298" xr:uid="{00000000-0005-0000-0000-00002D7B0000}"/>
    <cellStyle name="40% - Accent5 5 2 3 2 3" xfId="20399" xr:uid="{00000000-0005-0000-0000-00002E7B0000}"/>
    <cellStyle name="40% - Accent5 5 2 3 2 4" xfId="27501" xr:uid="{00000000-0005-0000-0000-00002F7B0000}"/>
    <cellStyle name="40% - Accent5 5 2 3 2 5" xfId="34603" xr:uid="{00000000-0005-0000-0000-0000307B0000}"/>
    <cellStyle name="40% - Accent5 5 2 3 2 6" xfId="40153" xr:uid="{00000000-0005-0000-0000-0000317B0000}"/>
    <cellStyle name="40% - Accent5 5 2 3 3" xfId="9038" xr:uid="{00000000-0005-0000-0000-0000327B0000}"/>
    <cellStyle name="40% - Accent5 5 2 3 4" xfId="16139" xr:uid="{00000000-0005-0000-0000-0000337B0000}"/>
    <cellStyle name="40% - Accent5 5 2 3 5" xfId="23241" xr:uid="{00000000-0005-0000-0000-0000347B0000}"/>
    <cellStyle name="40% - Accent5 5 2 3 6" xfId="30343" xr:uid="{00000000-0005-0000-0000-0000357B0000}"/>
    <cellStyle name="40% - Accent5 5 2 3 7" xfId="40154" xr:uid="{00000000-0005-0000-0000-0000367B0000}"/>
    <cellStyle name="40% - Accent5 5 2 4" xfId="4777" xr:uid="{00000000-0005-0000-0000-0000377B0000}"/>
    <cellStyle name="40% - Accent5 5 2 4 2" xfId="11878" xr:uid="{00000000-0005-0000-0000-0000387B0000}"/>
    <cellStyle name="40% - Accent5 5 2 4 3" xfId="18979" xr:uid="{00000000-0005-0000-0000-0000397B0000}"/>
    <cellStyle name="40% - Accent5 5 2 4 4" xfId="26081" xr:uid="{00000000-0005-0000-0000-00003A7B0000}"/>
    <cellStyle name="40% - Accent5 5 2 4 5" xfId="33183" xr:uid="{00000000-0005-0000-0000-00003B7B0000}"/>
    <cellStyle name="40% - Accent5 5 2 4 6" xfId="40155" xr:uid="{00000000-0005-0000-0000-00003C7B0000}"/>
    <cellStyle name="40% - Accent5 5 2 5" xfId="3352" xr:uid="{00000000-0005-0000-0000-00003D7B0000}"/>
    <cellStyle name="40% - Accent5 5 2 5 2" xfId="10458" xr:uid="{00000000-0005-0000-0000-00003E7B0000}"/>
    <cellStyle name="40% - Accent5 5 2 5 3" xfId="17559" xr:uid="{00000000-0005-0000-0000-00003F7B0000}"/>
    <cellStyle name="40% - Accent5 5 2 5 4" xfId="24661" xr:uid="{00000000-0005-0000-0000-0000407B0000}"/>
    <cellStyle name="40% - Accent5 5 2 5 5" xfId="31763" xr:uid="{00000000-0005-0000-0000-0000417B0000}"/>
    <cellStyle name="40% - Accent5 5 2 6" xfId="7618" xr:uid="{00000000-0005-0000-0000-0000427B0000}"/>
    <cellStyle name="40% - Accent5 5 2 7" xfId="14719" xr:uid="{00000000-0005-0000-0000-0000437B0000}"/>
    <cellStyle name="40% - Accent5 5 2 8" xfId="21821" xr:uid="{00000000-0005-0000-0000-0000447B0000}"/>
    <cellStyle name="40% - Accent5 5 2 9" xfId="28923" xr:uid="{00000000-0005-0000-0000-0000457B0000}"/>
    <cellStyle name="40% - Accent5 5 3" xfId="652" xr:uid="{00000000-0005-0000-0000-0000467B0000}"/>
    <cellStyle name="40% - Accent5 5 3 2" xfId="2143" xr:uid="{00000000-0005-0000-0000-0000477B0000}"/>
    <cellStyle name="40% - Accent5 5 3 2 2" xfId="6411" xr:uid="{00000000-0005-0000-0000-0000487B0000}"/>
    <cellStyle name="40% - Accent5 5 3 2 2 2" xfId="13511" xr:uid="{00000000-0005-0000-0000-0000497B0000}"/>
    <cellStyle name="40% - Accent5 5 3 2 2 3" xfId="20612" xr:uid="{00000000-0005-0000-0000-00004A7B0000}"/>
    <cellStyle name="40% - Accent5 5 3 2 2 4" xfId="27714" xr:uid="{00000000-0005-0000-0000-00004B7B0000}"/>
    <cellStyle name="40% - Accent5 5 3 2 2 5" xfId="34816" xr:uid="{00000000-0005-0000-0000-00004C7B0000}"/>
    <cellStyle name="40% - Accent5 5 3 2 2 6" xfId="40156" xr:uid="{00000000-0005-0000-0000-00004D7B0000}"/>
    <cellStyle name="40% - Accent5 5 3 2 3" xfId="9251" xr:uid="{00000000-0005-0000-0000-00004E7B0000}"/>
    <cellStyle name="40% - Accent5 5 3 2 4" xfId="16352" xr:uid="{00000000-0005-0000-0000-00004F7B0000}"/>
    <cellStyle name="40% - Accent5 5 3 2 5" xfId="23454" xr:uid="{00000000-0005-0000-0000-0000507B0000}"/>
    <cellStyle name="40% - Accent5 5 3 2 6" xfId="30556" xr:uid="{00000000-0005-0000-0000-0000517B0000}"/>
    <cellStyle name="40% - Accent5 5 3 2 7" xfId="40157" xr:uid="{00000000-0005-0000-0000-0000527B0000}"/>
    <cellStyle name="40% - Accent5 5 3 3" xfId="4990" xr:uid="{00000000-0005-0000-0000-0000537B0000}"/>
    <cellStyle name="40% - Accent5 5 3 3 2" xfId="12091" xr:uid="{00000000-0005-0000-0000-0000547B0000}"/>
    <cellStyle name="40% - Accent5 5 3 3 2 2" xfId="40158" xr:uid="{00000000-0005-0000-0000-0000557B0000}"/>
    <cellStyle name="40% - Accent5 5 3 3 3" xfId="19192" xr:uid="{00000000-0005-0000-0000-0000567B0000}"/>
    <cellStyle name="40% - Accent5 5 3 3 4" xfId="26294" xr:uid="{00000000-0005-0000-0000-0000577B0000}"/>
    <cellStyle name="40% - Accent5 5 3 3 5" xfId="33396" xr:uid="{00000000-0005-0000-0000-0000587B0000}"/>
    <cellStyle name="40% - Accent5 5 3 3 6" xfId="40159" xr:uid="{00000000-0005-0000-0000-0000597B0000}"/>
    <cellStyle name="40% - Accent5 5 3 4" xfId="3565" xr:uid="{00000000-0005-0000-0000-00005A7B0000}"/>
    <cellStyle name="40% - Accent5 5 3 4 2" xfId="10671" xr:uid="{00000000-0005-0000-0000-00005B7B0000}"/>
    <cellStyle name="40% - Accent5 5 3 4 3" xfId="17772" xr:uid="{00000000-0005-0000-0000-00005C7B0000}"/>
    <cellStyle name="40% - Accent5 5 3 4 4" xfId="24874" xr:uid="{00000000-0005-0000-0000-00005D7B0000}"/>
    <cellStyle name="40% - Accent5 5 3 4 5" xfId="31976" xr:uid="{00000000-0005-0000-0000-00005E7B0000}"/>
    <cellStyle name="40% - Accent5 5 3 4 6" xfId="40160" xr:uid="{00000000-0005-0000-0000-00005F7B0000}"/>
    <cellStyle name="40% - Accent5 5 3 5" xfId="7831" xr:uid="{00000000-0005-0000-0000-0000607B0000}"/>
    <cellStyle name="40% - Accent5 5 3 6" xfId="14932" xr:uid="{00000000-0005-0000-0000-0000617B0000}"/>
    <cellStyle name="40% - Accent5 5 3 7" xfId="22034" xr:uid="{00000000-0005-0000-0000-0000627B0000}"/>
    <cellStyle name="40% - Accent5 5 3 8" xfId="29136" xr:uid="{00000000-0005-0000-0000-0000637B0000}"/>
    <cellStyle name="40% - Accent5 5 3 9" xfId="40161" xr:uid="{00000000-0005-0000-0000-0000647B0000}"/>
    <cellStyle name="40% - Accent5 5 4" xfId="865" xr:uid="{00000000-0005-0000-0000-0000657B0000}"/>
    <cellStyle name="40% - Accent5 5 4 2" xfId="2356" xr:uid="{00000000-0005-0000-0000-0000667B0000}"/>
    <cellStyle name="40% - Accent5 5 4 2 2" xfId="6624" xr:uid="{00000000-0005-0000-0000-0000677B0000}"/>
    <cellStyle name="40% - Accent5 5 4 2 2 2" xfId="13724" xr:uid="{00000000-0005-0000-0000-0000687B0000}"/>
    <cellStyle name="40% - Accent5 5 4 2 2 3" xfId="20825" xr:uid="{00000000-0005-0000-0000-0000697B0000}"/>
    <cellStyle name="40% - Accent5 5 4 2 2 4" xfId="27927" xr:uid="{00000000-0005-0000-0000-00006A7B0000}"/>
    <cellStyle name="40% - Accent5 5 4 2 2 5" xfId="35029" xr:uid="{00000000-0005-0000-0000-00006B7B0000}"/>
    <cellStyle name="40% - Accent5 5 4 2 2 6" xfId="40162" xr:uid="{00000000-0005-0000-0000-00006C7B0000}"/>
    <cellStyle name="40% - Accent5 5 4 2 3" xfId="9464" xr:uid="{00000000-0005-0000-0000-00006D7B0000}"/>
    <cellStyle name="40% - Accent5 5 4 2 4" xfId="16565" xr:uid="{00000000-0005-0000-0000-00006E7B0000}"/>
    <cellStyle name="40% - Accent5 5 4 2 5" xfId="23667" xr:uid="{00000000-0005-0000-0000-00006F7B0000}"/>
    <cellStyle name="40% - Accent5 5 4 2 6" xfId="30769" xr:uid="{00000000-0005-0000-0000-0000707B0000}"/>
    <cellStyle name="40% - Accent5 5 4 2 7" xfId="40163" xr:uid="{00000000-0005-0000-0000-0000717B0000}"/>
    <cellStyle name="40% - Accent5 5 4 3" xfId="5203" xr:uid="{00000000-0005-0000-0000-0000727B0000}"/>
    <cellStyle name="40% - Accent5 5 4 3 2" xfId="12304" xr:uid="{00000000-0005-0000-0000-0000737B0000}"/>
    <cellStyle name="40% - Accent5 5 4 3 2 2" xfId="40164" xr:uid="{00000000-0005-0000-0000-0000747B0000}"/>
    <cellStyle name="40% - Accent5 5 4 3 3" xfId="19405" xr:uid="{00000000-0005-0000-0000-0000757B0000}"/>
    <cellStyle name="40% - Accent5 5 4 3 4" xfId="26507" xr:uid="{00000000-0005-0000-0000-0000767B0000}"/>
    <cellStyle name="40% - Accent5 5 4 3 5" xfId="33609" xr:uid="{00000000-0005-0000-0000-0000777B0000}"/>
    <cellStyle name="40% - Accent5 5 4 3 6" xfId="40165" xr:uid="{00000000-0005-0000-0000-0000787B0000}"/>
    <cellStyle name="40% - Accent5 5 4 4" xfId="3778" xr:uid="{00000000-0005-0000-0000-0000797B0000}"/>
    <cellStyle name="40% - Accent5 5 4 4 2" xfId="10884" xr:uid="{00000000-0005-0000-0000-00007A7B0000}"/>
    <cellStyle name="40% - Accent5 5 4 4 3" xfId="17985" xr:uid="{00000000-0005-0000-0000-00007B7B0000}"/>
    <cellStyle name="40% - Accent5 5 4 4 4" xfId="25087" xr:uid="{00000000-0005-0000-0000-00007C7B0000}"/>
    <cellStyle name="40% - Accent5 5 4 4 5" xfId="32189" xr:uid="{00000000-0005-0000-0000-00007D7B0000}"/>
    <cellStyle name="40% - Accent5 5 4 4 6" xfId="40166" xr:uid="{00000000-0005-0000-0000-00007E7B0000}"/>
    <cellStyle name="40% - Accent5 5 4 5" xfId="8044" xr:uid="{00000000-0005-0000-0000-00007F7B0000}"/>
    <cellStyle name="40% - Accent5 5 4 6" xfId="15145" xr:uid="{00000000-0005-0000-0000-0000807B0000}"/>
    <cellStyle name="40% - Accent5 5 4 7" xfId="22247" xr:uid="{00000000-0005-0000-0000-0000817B0000}"/>
    <cellStyle name="40% - Accent5 5 4 8" xfId="29349" xr:uid="{00000000-0005-0000-0000-0000827B0000}"/>
    <cellStyle name="40% - Accent5 5 4 9" xfId="40167" xr:uid="{00000000-0005-0000-0000-0000837B0000}"/>
    <cellStyle name="40% - Accent5 5 5" xfId="1007" xr:uid="{00000000-0005-0000-0000-0000847B0000}"/>
    <cellStyle name="40% - Accent5 5 5 2" xfId="2498" xr:uid="{00000000-0005-0000-0000-0000857B0000}"/>
    <cellStyle name="40% - Accent5 5 5 2 2" xfId="6766" xr:uid="{00000000-0005-0000-0000-0000867B0000}"/>
    <cellStyle name="40% - Accent5 5 5 2 2 2" xfId="13866" xr:uid="{00000000-0005-0000-0000-0000877B0000}"/>
    <cellStyle name="40% - Accent5 5 5 2 2 3" xfId="20967" xr:uid="{00000000-0005-0000-0000-0000887B0000}"/>
    <cellStyle name="40% - Accent5 5 5 2 2 4" xfId="28069" xr:uid="{00000000-0005-0000-0000-0000897B0000}"/>
    <cellStyle name="40% - Accent5 5 5 2 2 5" xfId="35171" xr:uid="{00000000-0005-0000-0000-00008A7B0000}"/>
    <cellStyle name="40% - Accent5 5 5 2 3" xfId="9606" xr:uid="{00000000-0005-0000-0000-00008B7B0000}"/>
    <cellStyle name="40% - Accent5 5 5 2 4" xfId="16707" xr:uid="{00000000-0005-0000-0000-00008C7B0000}"/>
    <cellStyle name="40% - Accent5 5 5 2 5" xfId="23809" xr:uid="{00000000-0005-0000-0000-00008D7B0000}"/>
    <cellStyle name="40% - Accent5 5 5 2 6" xfId="30911" xr:uid="{00000000-0005-0000-0000-00008E7B0000}"/>
    <cellStyle name="40% - Accent5 5 5 2 7" xfId="40168" xr:uid="{00000000-0005-0000-0000-00008F7B0000}"/>
    <cellStyle name="40% - Accent5 5 5 3" xfId="5345" xr:uid="{00000000-0005-0000-0000-0000907B0000}"/>
    <cellStyle name="40% - Accent5 5 5 3 2" xfId="12446" xr:uid="{00000000-0005-0000-0000-0000917B0000}"/>
    <cellStyle name="40% - Accent5 5 5 3 3" xfId="19547" xr:uid="{00000000-0005-0000-0000-0000927B0000}"/>
    <cellStyle name="40% - Accent5 5 5 3 4" xfId="26649" xr:uid="{00000000-0005-0000-0000-0000937B0000}"/>
    <cellStyle name="40% - Accent5 5 5 3 5" xfId="33751" xr:uid="{00000000-0005-0000-0000-0000947B0000}"/>
    <cellStyle name="40% - Accent5 5 5 4" xfId="3920" xr:uid="{00000000-0005-0000-0000-0000957B0000}"/>
    <cellStyle name="40% - Accent5 5 5 4 2" xfId="11026" xr:uid="{00000000-0005-0000-0000-0000967B0000}"/>
    <cellStyle name="40% - Accent5 5 5 4 3" xfId="18127" xr:uid="{00000000-0005-0000-0000-0000977B0000}"/>
    <cellStyle name="40% - Accent5 5 5 4 4" xfId="25229" xr:uid="{00000000-0005-0000-0000-0000987B0000}"/>
    <cellStyle name="40% - Accent5 5 5 4 5" xfId="32331" xr:uid="{00000000-0005-0000-0000-0000997B0000}"/>
    <cellStyle name="40% - Accent5 5 5 5" xfId="8186" xr:uid="{00000000-0005-0000-0000-00009A7B0000}"/>
    <cellStyle name="40% - Accent5 5 5 6" xfId="15287" xr:uid="{00000000-0005-0000-0000-00009B7B0000}"/>
    <cellStyle name="40% - Accent5 5 5 7" xfId="22389" xr:uid="{00000000-0005-0000-0000-00009C7B0000}"/>
    <cellStyle name="40% - Accent5 5 5 8" xfId="29491" xr:uid="{00000000-0005-0000-0000-00009D7B0000}"/>
    <cellStyle name="40% - Accent5 5 5 9" xfId="40169" xr:uid="{00000000-0005-0000-0000-00009E7B0000}"/>
    <cellStyle name="40% - Accent5 5 6" xfId="1433" xr:uid="{00000000-0005-0000-0000-00009F7B0000}"/>
    <cellStyle name="40% - Accent5 5 6 2" xfId="2924" xr:uid="{00000000-0005-0000-0000-0000A07B0000}"/>
    <cellStyle name="40% - Accent5 5 6 2 2" xfId="7192" xr:uid="{00000000-0005-0000-0000-0000A17B0000}"/>
    <cellStyle name="40% - Accent5 5 6 2 2 2" xfId="14292" xr:uid="{00000000-0005-0000-0000-0000A27B0000}"/>
    <cellStyle name="40% - Accent5 5 6 2 2 3" xfId="21393" xr:uid="{00000000-0005-0000-0000-0000A37B0000}"/>
    <cellStyle name="40% - Accent5 5 6 2 2 4" xfId="28495" xr:uid="{00000000-0005-0000-0000-0000A47B0000}"/>
    <cellStyle name="40% - Accent5 5 6 2 2 5" xfId="35597" xr:uid="{00000000-0005-0000-0000-0000A57B0000}"/>
    <cellStyle name="40% - Accent5 5 6 2 3" xfId="10032" xr:uid="{00000000-0005-0000-0000-0000A67B0000}"/>
    <cellStyle name="40% - Accent5 5 6 2 4" xfId="17133" xr:uid="{00000000-0005-0000-0000-0000A77B0000}"/>
    <cellStyle name="40% - Accent5 5 6 2 5" xfId="24235" xr:uid="{00000000-0005-0000-0000-0000A87B0000}"/>
    <cellStyle name="40% - Accent5 5 6 2 6" xfId="31337" xr:uid="{00000000-0005-0000-0000-0000A97B0000}"/>
    <cellStyle name="40% - Accent5 5 6 2 7" xfId="40170" xr:uid="{00000000-0005-0000-0000-0000AA7B0000}"/>
    <cellStyle name="40% - Accent5 5 6 3" xfId="5771" xr:uid="{00000000-0005-0000-0000-0000AB7B0000}"/>
    <cellStyle name="40% - Accent5 5 6 3 2" xfId="12872" xr:uid="{00000000-0005-0000-0000-0000AC7B0000}"/>
    <cellStyle name="40% - Accent5 5 6 3 3" xfId="19973" xr:uid="{00000000-0005-0000-0000-0000AD7B0000}"/>
    <cellStyle name="40% - Accent5 5 6 3 4" xfId="27075" xr:uid="{00000000-0005-0000-0000-0000AE7B0000}"/>
    <cellStyle name="40% - Accent5 5 6 3 5" xfId="34177" xr:uid="{00000000-0005-0000-0000-0000AF7B0000}"/>
    <cellStyle name="40% - Accent5 5 6 4" xfId="4346" xr:uid="{00000000-0005-0000-0000-0000B07B0000}"/>
    <cellStyle name="40% - Accent5 5 6 4 2" xfId="11452" xr:uid="{00000000-0005-0000-0000-0000B17B0000}"/>
    <cellStyle name="40% - Accent5 5 6 4 3" xfId="18553" xr:uid="{00000000-0005-0000-0000-0000B27B0000}"/>
    <cellStyle name="40% - Accent5 5 6 4 4" xfId="25655" xr:uid="{00000000-0005-0000-0000-0000B37B0000}"/>
    <cellStyle name="40% - Accent5 5 6 4 5" xfId="32757" xr:uid="{00000000-0005-0000-0000-0000B47B0000}"/>
    <cellStyle name="40% - Accent5 5 6 5" xfId="8612" xr:uid="{00000000-0005-0000-0000-0000B57B0000}"/>
    <cellStyle name="40% - Accent5 5 6 6" xfId="15713" xr:uid="{00000000-0005-0000-0000-0000B67B0000}"/>
    <cellStyle name="40% - Accent5 5 6 7" xfId="22815" xr:uid="{00000000-0005-0000-0000-0000B77B0000}"/>
    <cellStyle name="40% - Accent5 5 6 8" xfId="29917" xr:uid="{00000000-0005-0000-0000-0000B87B0000}"/>
    <cellStyle name="40% - Accent5 5 6 9" xfId="40171" xr:uid="{00000000-0005-0000-0000-0000B97B0000}"/>
    <cellStyle name="40% - Accent5 5 7" xfId="1717" xr:uid="{00000000-0005-0000-0000-0000BA7B0000}"/>
    <cellStyle name="40% - Accent5 5 7 2" xfId="5985" xr:uid="{00000000-0005-0000-0000-0000BB7B0000}"/>
    <cellStyle name="40% - Accent5 5 7 2 2" xfId="13085" xr:uid="{00000000-0005-0000-0000-0000BC7B0000}"/>
    <cellStyle name="40% - Accent5 5 7 2 3" xfId="20186" xr:uid="{00000000-0005-0000-0000-0000BD7B0000}"/>
    <cellStyle name="40% - Accent5 5 7 2 4" xfId="27288" xr:uid="{00000000-0005-0000-0000-0000BE7B0000}"/>
    <cellStyle name="40% - Accent5 5 7 2 5" xfId="34390" xr:uid="{00000000-0005-0000-0000-0000BF7B0000}"/>
    <cellStyle name="40% - Accent5 5 7 3" xfId="8825" xr:uid="{00000000-0005-0000-0000-0000C07B0000}"/>
    <cellStyle name="40% - Accent5 5 7 4" xfId="15926" xr:uid="{00000000-0005-0000-0000-0000C17B0000}"/>
    <cellStyle name="40% - Accent5 5 7 5" xfId="23028" xr:uid="{00000000-0005-0000-0000-0000C27B0000}"/>
    <cellStyle name="40% - Accent5 5 7 6" xfId="30130" xr:uid="{00000000-0005-0000-0000-0000C37B0000}"/>
    <cellStyle name="40% - Accent5 5 7 7" xfId="40172" xr:uid="{00000000-0005-0000-0000-0000C47B0000}"/>
    <cellStyle name="40% - Accent5 5 8" xfId="4564" xr:uid="{00000000-0005-0000-0000-0000C57B0000}"/>
    <cellStyle name="40% - Accent5 5 8 2" xfId="11665" xr:uid="{00000000-0005-0000-0000-0000C67B0000}"/>
    <cellStyle name="40% - Accent5 5 8 3" xfId="18766" xr:uid="{00000000-0005-0000-0000-0000C77B0000}"/>
    <cellStyle name="40% - Accent5 5 8 4" xfId="25868" xr:uid="{00000000-0005-0000-0000-0000C87B0000}"/>
    <cellStyle name="40% - Accent5 5 8 5" xfId="32970" xr:uid="{00000000-0005-0000-0000-0000C97B0000}"/>
    <cellStyle name="40% - Accent5 5 9" xfId="3139" xr:uid="{00000000-0005-0000-0000-0000CA7B0000}"/>
    <cellStyle name="40% - Accent5 5 9 2" xfId="10245" xr:uid="{00000000-0005-0000-0000-0000CB7B0000}"/>
    <cellStyle name="40% - Accent5 5 9 3" xfId="17346" xr:uid="{00000000-0005-0000-0000-0000CC7B0000}"/>
    <cellStyle name="40% - Accent5 5 9 4" xfId="24448" xr:uid="{00000000-0005-0000-0000-0000CD7B0000}"/>
    <cellStyle name="40% - Accent5 5 9 5" xfId="31550" xr:uid="{00000000-0005-0000-0000-0000CE7B0000}"/>
    <cellStyle name="40% - Accent5 6" xfId="154" xr:uid="{00000000-0005-0000-0000-0000CF7B0000}"/>
    <cellStyle name="40% - Accent5 6 10" xfId="7334" xr:uid="{00000000-0005-0000-0000-0000D07B0000}"/>
    <cellStyle name="40% - Accent5 6 11" xfId="14435" xr:uid="{00000000-0005-0000-0000-0000D17B0000}"/>
    <cellStyle name="40% - Accent5 6 12" xfId="21537" xr:uid="{00000000-0005-0000-0000-0000D27B0000}"/>
    <cellStyle name="40% - Accent5 6 13" xfId="28639" xr:uid="{00000000-0005-0000-0000-0000D37B0000}"/>
    <cellStyle name="40% - Accent5 6 14" xfId="35741" xr:uid="{00000000-0005-0000-0000-0000D47B0000}"/>
    <cellStyle name="40% - Accent5 6 15" xfId="40173" xr:uid="{00000000-0005-0000-0000-0000D57B0000}"/>
    <cellStyle name="40% - Accent5 6 2" xfId="368" xr:uid="{00000000-0005-0000-0000-0000D67B0000}"/>
    <cellStyle name="40% - Accent5 6 2 2" xfId="1859" xr:uid="{00000000-0005-0000-0000-0000D77B0000}"/>
    <cellStyle name="40% - Accent5 6 2 2 2" xfId="6127" xr:uid="{00000000-0005-0000-0000-0000D87B0000}"/>
    <cellStyle name="40% - Accent5 6 2 2 2 2" xfId="13227" xr:uid="{00000000-0005-0000-0000-0000D97B0000}"/>
    <cellStyle name="40% - Accent5 6 2 2 2 3" xfId="20328" xr:uid="{00000000-0005-0000-0000-0000DA7B0000}"/>
    <cellStyle name="40% - Accent5 6 2 2 2 4" xfId="27430" xr:uid="{00000000-0005-0000-0000-0000DB7B0000}"/>
    <cellStyle name="40% - Accent5 6 2 2 2 5" xfId="34532" xr:uid="{00000000-0005-0000-0000-0000DC7B0000}"/>
    <cellStyle name="40% - Accent5 6 2 2 2 6" xfId="40174" xr:uid="{00000000-0005-0000-0000-0000DD7B0000}"/>
    <cellStyle name="40% - Accent5 6 2 2 3" xfId="8967" xr:uid="{00000000-0005-0000-0000-0000DE7B0000}"/>
    <cellStyle name="40% - Accent5 6 2 2 4" xfId="16068" xr:uid="{00000000-0005-0000-0000-0000DF7B0000}"/>
    <cellStyle name="40% - Accent5 6 2 2 5" xfId="23170" xr:uid="{00000000-0005-0000-0000-0000E07B0000}"/>
    <cellStyle name="40% - Accent5 6 2 2 6" xfId="30272" xr:uid="{00000000-0005-0000-0000-0000E17B0000}"/>
    <cellStyle name="40% - Accent5 6 2 2 7" xfId="40175" xr:uid="{00000000-0005-0000-0000-0000E27B0000}"/>
    <cellStyle name="40% - Accent5 6 2 3" xfId="4706" xr:uid="{00000000-0005-0000-0000-0000E37B0000}"/>
    <cellStyle name="40% - Accent5 6 2 3 2" xfId="11807" xr:uid="{00000000-0005-0000-0000-0000E47B0000}"/>
    <cellStyle name="40% - Accent5 6 2 3 2 2" xfId="40176" xr:uid="{00000000-0005-0000-0000-0000E57B0000}"/>
    <cellStyle name="40% - Accent5 6 2 3 3" xfId="18908" xr:uid="{00000000-0005-0000-0000-0000E67B0000}"/>
    <cellStyle name="40% - Accent5 6 2 3 4" xfId="26010" xr:uid="{00000000-0005-0000-0000-0000E77B0000}"/>
    <cellStyle name="40% - Accent5 6 2 3 5" xfId="33112" xr:uid="{00000000-0005-0000-0000-0000E87B0000}"/>
    <cellStyle name="40% - Accent5 6 2 3 6" xfId="40177" xr:uid="{00000000-0005-0000-0000-0000E97B0000}"/>
    <cellStyle name="40% - Accent5 6 2 4" xfId="3281" xr:uid="{00000000-0005-0000-0000-0000EA7B0000}"/>
    <cellStyle name="40% - Accent5 6 2 4 2" xfId="10387" xr:uid="{00000000-0005-0000-0000-0000EB7B0000}"/>
    <cellStyle name="40% - Accent5 6 2 4 3" xfId="17488" xr:uid="{00000000-0005-0000-0000-0000EC7B0000}"/>
    <cellStyle name="40% - Accent5 6 2 4 4" xfId="24590" xr:uid="{00000000-0005-0000-0000-0000ED7B0000}"/>
    <cellStyle name="40% - Accent5 6 2 4 5" xfId="31692" xr:uid="{00000000-0005-0000-0000-0000EE7B0000}"/>
    <cellStyle name="40% - Accent5 6 2 4 6" xfId="40178" xr:uid="{00000000-0005-0000-0000-0000EF7B0000}"/>
    <cellStyle name="40% - Accent5 6 2 5" xfId="7547" xr:uid="{00000000-0005-0000-0000-0000F07B0000}"/>
    <cellStyle name="40% - Accent5 6 2 6" xfId="14648" xr:uid="{00000000-0005-0000-0000-0000F17B0000}"/>
    <cellStyle name="40% - Accent5 6 2 7" xfId="21750" xr:uid="{00000000-0005-0000-0000-0000F27B0000}"/>
    <cellStyle name="40% - Accent5 6 2 8" xfId="28852" xr:uid="{00000000-0005-0000-0000-0000F37B0000}"/>
    <cellStyle name="40% - Accent5 6 2 9" xfId="40179" xr:uid="{00000000-0005-0000-0000-0000F47B0000}"/>
    <cellStyle name="40% - Accent5 6 3" xfId="581" xr:uid="{00000000-0005-0000-0000-0000F57B0000}"/>
    <cellStyle name="40% - Accent5 6 3 2" xfId="2072" xr:uid="{00000000-0005-0000-0000-0000F67B0000}"/>
    <cellStyle name="40% - Accent5 6 3 2 2" xfId="6340" xr:uid="{00000000-0005-0000-0000-0000F77B0000}"/>
    <cellStyle name="40% - Accent5 6 3 2 2 2" xfId="13440" xr:uid="{00000000-0005-0000-0000-0000F87B0000}"/>
    <cellStyle name="40% - Accent5 6 3 2 2 3" xfId="20541" xr:uid="{00000000-0005-0000-0000-0000F97B0000}"/>
    <cellStyle name="40% - Accent5 6 3 2 2 4" xfId="27643" xr:uid="{00000000-0005-0000-0000-0000FA7B0000}"/>
    <cellStyle name="40% - Accent5 6 3 2 2 5" xfId="34745" xr:uid="{00000000-0005-0000-0000-0000FB7B0000}"/>
    <cellStyle name="40% - Accent5 6 3 2 2 6" xfId="40180" xr:uid="{00000000-0005-0000-0000-0000FC7B0000}"/>
    <cellStyle name="40% - Accent5 6 3 2 3" xfId="9180" xr:uid="{00000000-0005-0000-0000-0000FD7B0000}"/>
    <cellStyle name="40% - Accent5 6 3 2 4" xfId="16281" xr:uid="{00000000-0005-0000-0000-0000FE7B0000}"/>
    <cellStyle name="40% - Accent5 6 3 2 5" xfId="23383" xr:uid="{00000000-0005-0000-0000-0000FF7B0000}"/>
    <cellStyle name="40% - Accent5 6 3 2 6" xfId="30485" xr:uid="{00000000-0005-0000-0000-0000007C0000}"/>
    <cellStyle name="40% - Accent5 6 3 2 7" xfId="40181" xr:uid="{00000000-0005-0000-0000-0000017C0000}"/>
    <cellStyle name="40% - Accent5 6 3 3" xfId="4919" xr:uid="{00000000-0005-0000-0000-0000027C0000}"/>
    <cellStyle name="40% - Accent5 6 3 3 2" xfId="12020" xr:uid="{00000000-0005-0000-0000-0000037C0000}"/>
    <cellStyle name="40% - Accent5 6 3 3 2 2" xfId="40182" xr:uid="{00000000-0005-0000-0000-0000047C0000}"/>
    <cellStyle name="40% - Accent5 6 3 3 3" xfId="19121" xr:uid="{00000000-0005-0000-0000-0000057C0000}"/>
    <cellStyle name="40% - Accent5 6 3 3 4" xfId="26223" xr:uid="{00000000-0005-0000-0000-0000067C0000}"/>
    <cellStyle name="40% - Accent5 6 3 3 5" xfId="33325" xr:uid="{00000000-0005-0000-0000-0000077C0000}"/>
    <cellStyle name="40% - Accent5 6 3 3 6" xfId="40183" xr:uid="{00000000-0005-0000-0000-0000087C0000}"/>
    <cellStyle name="40% - Accent5 6 3 4" xfId="3494" xr:uid="{00000000-0005-0000-0000-0000097C0000}"/>
    <cellStyle name="40% - Accent5 6 3 4 2" xfId="10600" xr:uid="{00000000-0005-0000-0000-00000A7C0000}"/>
    <cellStyle name="40% - Accent5 6 3 4 3" xfId="17701" xr:uid="{00000000-0005-0000-0000-00000B7C0000}"/>
    <cellStyle name="40% - Accent5 6 3 4 4" xfId="24803" xr:uid="{00000000-0005-0000-0000-00000C7C0000}"/>
    <cellStyle name="40% - Accent5 6 3 4 5" xfId="31905" xr:uid="{00000000-0005-0000-0000-00000D7C0000}"/>
    <cellStyle name="40% - Accent5 6 3 4 6" xfId="40184" xr:uid="{00000000-0005-0000-0000-00000E7C0000}"/>
    <cellStyle name="40% - Accent5 6 3 5" xfId="7760" xr:uid="{00000000-0005-0000-0000-00000F7C0000}"/>
    <cellStyle name="40% - Accent5 6 3 6" xfId="14861" xr:uid="{00000000-0005-0000-0000-0000107C0000}"/>
    <cellStyle name="40% - Accent5 6 3 7" xfId="21963" xr:uid="{00000000-0005-0000-0000-0000117C0000}"/>
    <cellStyle name="40% - Accent5 6 3 8" xfId="29065" xr:uid="{00000000-0005-0000-0000-0000127C0000}"/>
    <cellStyle name="40% - Accent5 6 3 9" xfId="40185" xr:uid="{00000000-0005-0000-0000-0000137C0000}"/>
    <cellStyle name="40% - Accent5 6 4" xfId="794" xr:uid="{00000000-0005-0000-0000-0000147C0000}"/>
    <cellStyle name="40% - Accent5 6 4 2" xfId="2285" xr:uid="{00000000-0005-0000-0000-0000157C0000}"/>
    <cellStyle name="40% - Accent5 6 4 2 2" xfId="6553" xr:uid="{00000000-0005-0000-0000-0000167C0000}"/>
    <cellStyle name="40% - Accent5 6 4 2 2 2" xfId="13653" xr:uid="{00000000-0005-0000-0000-0000177C0000}"/>
    <cellStyle name="40% - Accent5 6 4 2 2 3" xfId="20754" xr:uid="{00000000-0005-0000-0000-0000187C0000}"/>
    <cellStyle name="40% - Accent5 6 4 2 2 4" xfId="27856" xr:uid="{00000000-0005-0000-0000-0000197C0000}"/>
    <cellStyle name="40% - Accent5 6 4 2 2 5" xfId="34958" xr:uid="{00000000-0005-0000-0000-00001A7C0000}"/>
    <cellStyle name="40% - Accent5 6 4 2 2 6" xfId="40186" xr:uid="{00000000-0005-0000-0000-00001B7C0000}"/>
    <cellStyle name="40% - Accent5 6 4 2 3" xfId="9393" xr:uid="{00000000-0005-0000-0000-00001C7C0000}"/>
    <cellStyle name="40% - Accent5 6 4 2 4" xfId="16494" xr:uid="{00000000-0005-0000-0000-00001D7C0000}"/>
    <cellStyle name="40% - Accent5 6 4 2 5" xfId="23596" xr:uid="{00000000-0005-0000-0000-00001E7C0000}"/>
    <cellStyle name="40% - Accent5 6 4 2 6" xfId="30698" xr:uid="{00000000-0005-0000-0000-00001F7C0000}"/>
    <cellStyle name="40% - Accent5 6 4 2 7" xfId="40187" xr:uid="{00000000-0005-0000-0000-0000207C0000}"/>
    <cellStyle name="40% - Accent5 6 4 3" xfId="5132" xr:uid="{00000000-0005-0000-0000-0000217C0000}"/>
    <cellStyle name="40% - Accent5 6 4 3 2" xfId="12233" xr:uid="{00000000-0005-0000-0000-0000227C0000}"/>
    <cellStyle name="40% - Accent5 6 4 3 2 2" xfId="40188" xr:uid="{00000000-0005-0000-0000-0000237C0000}"/>
    <cellStyle name="40% - Accent5 6 4 3 3" xfId="19334" xr:uid="{00000000-0005-0000-0000-0000247C0000}"/>
    <cellStyle name="40% - Accent5 6 4 3 4" xfId="26436" xr:uid="{00000000-0005-0000-0000-0000257C0000}"/>
    <cellStyle name="40% - Accent5 6 4 3 5" xfId="33538" xr:uid="{00000000-0005-0000-0000-0000267C0000}"/>
    <cellStyle name="40% - Accent5 6 4 3 6" xfId="40189" xr:uid="{00000000-0005-0000-0000-0000277C0000}"/>
    <cellStyle name="40% - Accent5 6 4 4" xfId="3707" xr:uid="{00000000-0005-0000-0000-0000287C0000}"/>
    <cellStyle name="40% - Accent5 6 4 4 2" xfId="10813" xr:uid="{00000000-0005-0000-0000-0000297C0000}"/>
    <cellStyle name="40% - Accent5 6 4 4 3" xfId="17914" xr:uid="{00000000-0005-0000-0000-00002A7C0000}"/>
    <cellStyle name="40% - Accent5 6 4 4 4" xfId="25016" xr:uid="{00000000-0005-0000-0000-00002B7C0000}"/>
    <cellStyle name="40% - Accent5 6 4 4 5" xfId="32118" xr:uid="{00000000-0005-0000-0000-00002C7C0000}"/>
    <cellStyle name="40% - Accent5 6 4 4 6" xfId="40190" xr:uid="{00000000-0005-0000-0000-00002D7C0000}"/>
    <cellStyle name="40% - Accent5 6 4 5" xfId="7973" xr:uid="{00000000-0005-0000-0000-00002E7C0000}"/>
    <cellStyle name="40% - Accent5 6 4 6" xfId="15074" xr:uid="{00000000-0005-0000-0000-00002F7C0000}"/>
    <cellStyle name="40% - Accent5 6 4 7" xfId="22176" xr:uid="{00000000-0005-0000-0000-0000307C0000}"/>
    <cellStyle name="40% - Accent5 6 4 8" xfId="29278" xr:uid="{00000000-0005-0000-0000-0000317C0000}"/>
    <cellStyle name="40% - Accent5 6 4 9" xfId="40191" xr:uid="{00000000-0005-0000-0000-0000327C0000}"/>
    <cellStyle name="40% - Accent5 6 5" xfId="1149" xr:uid="{00000000-0005-0000-0000-0000337C0000}"/>
    <cellStyle name="40% - Accent5 6 5 2" xfId="2640" xr:uid="{00000000-0005-0000-0000-0000347C0000}"/>
    <cellStyle name="40% - Accent5 6 5 2 2" xfId="6908" xr:uid="{00000000-0005-0000-0000-0000357C0000}"/>
    <cellStyle name="40% - Accent5 6 5 2 2 2" xfId="14008" xr:uid="{00000000-0005-0000-0000-0000367C0000}"/>
    <cellStyle name="40% - Accent5 6 5 2 2 3" xfId="21109" xr:uid="{00000000-0005-0000-0000-0000377C0000}"/>
    <cellStyle name="40% - Accent5 6 5 2 2 4" xfId="28211" xr:uid="{00000000-0005-0000-0000-0000387C0000}"/>
    <cellStyle name="40% - Accent5 6 5 2 2 5" xfId="35313" xr:uid="{00000000-0005-0000-0000-0000397C0000}"/>
    <cellStyle name="40% - Accent5 6 5 2 3" xfId="9748" xr:uid="{00000000-0005-0000-0000-00003A7C0000}"/>
    <cellStyle name="40% - Accent5 6 5 2 4" xfId="16849" xr:uid="{00000000-0005-0000-0000-00003B7C0000}"/>
    <cellStyle name="40% - Accent5 6 5 2 5" xfId="23951" xr:uid="{00000000-0005-0000-0000-00003C7C0000}"/>
    <cellStyle name="40% - Accent5 6 5 2 6" xfId="31053" xr:uid="{00000000-0005-0000-0000-00003D7C0000}"/>
    <cellStyle name="40% - Accent5 6 5 2 7" xfId="40192" xr:uid="{00000000-0005-0000-0000-00003E7C0000}"/>
    <cellStyle name="40% - Accent5 6 5 3" xfId="5487" xr:uid="{00000000-0005-0000-0000-00003F7C0000}"/>
    <cellStyle name="40% - Accent5 6 5 3 2" xfId="12588" xr:uid="{00000000-0005-0000-0000-0000407C0000}"/>
    <cellStyle name="40% - Accent5 6 5 3 3" xfId="19689" xr:uid="{00000000-0005-0000-0000-0000417C0000}"/>
    <cellStyle name="40% - Accent5 6 5 3 4" xfId="26791" xr:uid="{00000000-0005-0000-0000-0000427C0000}"/>
    <cellStyle name="40% - Accent5 6 5 3 5" xfId="33893" xr:uid="{00000000-0005-0000-0000-0000437C0000}"/>
    <cellStyle name="40% - Accent5 6 5 4" xfId="4062" xr:uid="{00000000-0005-0000-0000-0000447C0000}"/>
    <cellStyle name="40% - Accent5 6 5 4 2" xfId="11168" xr:uid="{00000000-0005-0000-0000-0000457C0000}"/>
    <cellStyle name="40% - Accent5 6 5 4 3" xfId="18269" xr:uid="{00000000-0005-0000-0000-0000467C0000}"/>
    <cellStyle name="40% - Accent5 6 5 4 4" xfId="25371" xr:uid="{00000000-0005-0000-0000-0000477C0000}"/>
    <cellStyle name="40% - Accent5 6 5 4 5" xfId="32473" xr:uid="{00000000-0005-0000-0000-0000487C0000}"/>
    <cellStyle name="40% - Accent5 6 5 5" xfId="8328" xr:uid="{00000000-0005-0000-0000-0000497C0000}"/>
    <cellStyle name="40% - Accent5 6 5 6" xfId="15429" xr:uid="{00000000-0005-0000-0000-00004A7C0000}"/>
    <cellStyle name="40% - Accent5 6 5 7" xfId="22531" xr:uid="{00000000-0005-0000-0000-00004B7C0000}"/>
    <cellStyle name="40% - Accent5 6 5 8" xfId="29633" xr:uid="{00000000-0005-0000-0000-00004C7C0000}"/>
    <cellStyle name="40% - Accent5 6 5 9" xfId="40193" xr:uid="{00000000-0005-0000-0000-00004D7C0000}"/>
    <cellStyle name="40% - Accent5 6 6" xfId="1362" xr:uid="{00000000-0005-0000-0000-00004E7C0000}"/>
    <cellStyle name="40% - Accent5 6 6 2" xfId="2853" xr:uid="{00000000-0005-0000-0000-00004F7C0000}"/>
    <cellStyle name="40% - Accent5 6 6 2 2" xfId="7121" xr:uid="{00000000-0005-0000-0000-0000507C0000}"/>
    <cellStyle name="40% - Accent5 6 6 2 2 2" xfId="14221" xr:uid="{00000000-0005-0000-0000-0000517C0000}"/>
    <cellStyle name="40% - Accent5 6 6 2 2 3" xfId="21322" xr:uid="{00000000-0005-0000-0000-0000527C0000}"/>
    <cellStyle name="40% - Accent5 6 6 2 2 4" xfId="28424" xr:uid="{00000000-0005-0000-0000-0000537C0000}"/>
    <cellStyle name="40% - Accent5 6 6 2 2 5" xfId="35526" xr:uid="{00000000-0005-0000-0000-0000547C0000}"/>
    <cellStyle name="40% - Accent5 6 6 2 3" xfId="9961" xr:uid="{00000000-0005-0000-0000-0000557C0000}"/>
    <cellStyle name="40% - Accent5 6 6 2 4" xfId="17062" xr:uid="{00000000-0005-0000-0000-0000567C0000}"/>
    <cellStyle name="40% - Accent5 6 6 2 5" xfId="24164" xr:uid="{00000000-0005-0000-0000-0000577C0000}"/>
    <cellStyle name="40% - Accent5 6 6 2 6" xfId="31266" xr:uid="{00000000-0005-0000-0000-0000587C0000}"/>
    <cellStyle name="40% - Accent5 6 6 2 7" xfId="40194" xr:uid="{00000000-0005-0000-0000-0000597C0000}"/>
    <cellStyle name="40% - Accent5 6 6 3" xfId="5700" xr:uid="{00000000-0005-0000-0000-00005A7C0000}"/>
    <cellStyle name="40% - Accent5 6 6 3 2" xfId="12801" xr:uid="{00000000-0005-0000-0000-00005B7C0000}"/>
    <cellStyle name="40% - Accent5 6 6 3 3" xfId="19902" xr:uid="{00000000-0005-0000-0000-00005C7C0000}"/>
    <cellStyle name="40% - Accent5 6 6 3 4" xfId="27004" xr:uid="{00000000-0005-0000-0000-00005D7C0000}"/>
    <cellStyle name="40% - Accent5 6 6 3 5" xfId="34106" xr:uid="{00000000-0005-0000-0000-00005E7C0000}"/>
    <cellStyle name="40% - Accent5 6 6 4" xfId="4275" xr:uid="{00000000-0005-0000-0000-00005F7C0000}"/>
    <cellStyle name="40% - Accent5 6 6 4 2" xfId="11381" xr:uid="{00000000-0005-0000-0000-0000607C0000}"/>
    <cellStyle name="40% - Accent5 6 6 4 3" xfId="18482" xr:uid="{00000000-0005-0000-0000-0000617C0000}"/>
    <cellStyle name="40% - Accent5 6 6 4 4" xfId="25584" xr:uid="{00000000-0005-0000-0000-0000627C0000}"/>
    <cellStyle name="40% - Accent5 6 6 4 5" xfId="32686" xr:uid="{00000000-0005-0000-0000-0000637C0000}"/>
    <cellStyle name="40% - Accent5 6 6 5" xfId="8541" xr:uid="{00000000-0005-0000-0000-0000647C0000}"/>
    <cellStyle name="40% - Accent5 6 6 6" xfId="15642" xr:uid="{00000000-0005-0000-0000-0000657C0000}"/>
    <cellStyle name="40% - Accent5 6 6 7" xfId="22744" xr:uid="{00000000-0005-0000-0000-0000667C0000}"/>
    <cellStyle name="40% - Accent5 6 6 8" xfId="29846" xr:uid="{00000000-0005-0000-0000-0000677C0000}"/>
    <cellStyle name="40% - Accent5 6 6 9" xfId="40195" xr:uid="{00000000-0005-0000-0000-0000687C0000}"/>
    <cellStyle name="40% - Accent5 6 7" xfId="1646" xr:uid="{00000000-0005-0000-0000-0000697C0000}"/>
    <cellStyle name="40% - Accent5 6 7 2" xfId="5914" xr:uid="{00000000-0005-0000-0000-00006A7C0000}"/>
    <cellStyle name="40% - Accent5 6 7 2 2" xfId="13014" xr:uid="{00000000-0005-0000-0000-00006B7C0000}"/>
    <cellStyle name="40% - Accent5 6 7 2 3" xfId="20115" xr:uid="{00000000-0005-0000-0000-00006C7C0000}"/>
    <cellStyle name="40% - Accent5 6 7 2 4" xfId="27217" xr:uid="{00000000-0005-0000-0000-00006D7C0000}"/>
    <cellStyle name="40% - Accent5 6 7 2 5" xfId="34319" xr:uid="{00000000-0005-0000-0000-00006E7C0000}"/>
    <cellStyle name="40% - Accent5 6 7 3" xfId="8754" xr:uid="{00000000-0005-0000-0000-00006F7C0000}"/>
    <cellStyle name="40% - Accent5 6 7 4" xfId="15855" xr:uid="{00000000-0005-0000-0000-0000707C0000}"/>
    <cellStyle name="40% - Accent5 6 7 5" xfId="22957" xr:uid="{00000000-0005-0000-0000-0000717C0000}"/>
    <cellStyle name="40% - Accent5 6 7 6" xfId="30059" xr:uid="{00000000-0005-0000-0000-0000727C0000}"/>
    <cellStyle name="40% - Accent5 6 7 7" xfId="40196" xr:uid="{00000000-0005-0000-0000-0000737C0000}"/>
    <cellStyle name="40% - Accent5 6 8" xfId="4493" xr:uid="{00000000-0005-0000-0000-0000747C0000}"/>
    <cellStyle name="40% - Accent5 6 8 2" xfId="11594" xr:uid="{00000000-0005-0000-0000-0000757C0000}"/>
    <cellStyle name="40% - Accent5 6 8 3" xfId="18695" xr:uid="{00000000-0005-0000-0000-0000767C0000}"/>
    <cellStyle name="40% - Accent5 6 8 4" xfId="25797" xr:uid="{00000000-0005-0000-0000-0000777C0000}"/>
    <cellStyle name="40% - Accent5 6 8 5" xfId="32899" xr:uid="{00000000-0005-0000-0000-0000787C0000}"/>
    <cellStyle name="40% - Accent5 6 9" xfId="3068" xr:uid="{00000000-0005-0000-0000-0000797C0000}"/>
    <cellStyle name="40% - Accent5 6 9 2" xfId="10174" xr:uid="{00000000-0005-0000-0000-00007A7C0000}"/>
    <cellStyle name="40% - Accent5 6 9 3" xfId="17275" xr:uid="{00000000-0005-0000-0000-00007B7C0000}"/>
    <cellStyle name="40% - Accent5 6 9 4" xfId="24377" xr:uid="{00000000-0005-0000-0000-00007C7C0000}"/>
    <cellStyle name="40% - Accent5 6 9 5" xfId="31479" xr:uid="{00000000-0005-0000-0000-00007D7C0000}"/>
    <cellStyle name="40% - Accent5 7" xfId="297" xr:uid="{00000000-0005-0000-0000-00007E7C0000}"/>
    <cellStyle name="40% - Accent5 7 10" xfId="40197" xr:uid="{00000000-0005-0000-0000-00007F7C0000}"/>
    <cellStyle name="40% - Accent5 7 2" xfId="1078" xr:uid="{00000000-0005-0000-0000-0000807C0000}"/>
    <cellStyle name="40% - Accent5 7 2 2" xfId="2569" xr:uid="{00000000-0005-0000-0000-0000817C0000}"/>
    <cellStyle name="40% - Accent5 7 2 2 2" xfId="6837" xr:uid="{00000000-0005-0000-0000-0000827C0000}"/>
    <cellStyle name="40% - Accent5 7 2 2 2 2" xfId="13937" xr:uid="{00000000-0005-0000-0000-0000837C0000}"/>
    <cellStyle name="40% - Accent5 7 2 2 2 3" xfId="21038" xr:uid="{00000000-0005-0000-0000-0000847C0000}"/>
    <cellStyle name="40% - Accent5 7 2 2 2 4" xfId="28140" xr:uid="{00000000-0005-0000-0000-0000857C0000}"/>
    <cellStyle name="40% - Accent5 7 2 2 2 5" xfId="35242" xr:uid="{00000000-0005-0000-0000-0000867C0000}"/>
    <cellStyle name="40% - Accent5 7 2 2 3" xfId="9677" xr:uid="{00000000-0005-0000-0000-0000877C0000}"/>
    <cellStyle name="40% - Accent5 7 2 2 4" xfId="16778" xr:uid="{00000000-0005-0000-0000-0000887C0000}"/>
    <cellStyle name="40% - Accent5 7 2 2 5" xfId="23880" xr:uid="{00000000-0005-0000-0000-0000897C0000}"/>
    <cellStyle name="40% - Accent5 7 2 2 6" xfId="30982" xr:uid="{00000000-0005-0000-0000-00008A7C0000}"/>
    <cellStyle name="40% - Accent5 7 2 2 7" xfId="40198" xr:uid="{00000000-0005-0000-0000-00008B7C0000}"/>
    <cellStyle name="40% - Accent5 7 2 3" xfId="5416" xr:uid="{00000000-0005-0000-0000-00008C7C0000}"/>
    <cellStyle name="40% - Accent5 7 2 3 2" xfId="12517" xr:uid="{00000000-0005-0000-0000-00008D7C0000}"/>
    <cellStyle name="40% - Accent5 7 2 3 3" xfId="19618" xr:uid="{00000000-0005-0000-0000-00008E7C0000}"/>
    <cellStyle name="40% - Accent5 7 2 3 4" xfId="26720" xr:uid="{00000000-0005-0000-0000-00008F7C0000}"/>
    <cellStyle name="40% - Accent5 7 2 3 5" xfId="33822" xr:uid="{00000000-0005-0000-0000-0000907C0000}"/>
    <cellStyle name="40% - Accent5 7 2 4" xfId="3991" xr:uid="{00000000-0005-0000-0000-0000917C0000}"/>
    <cellStyle name="40% - Accent5 7 2 4 2" xfId="11097" xr:uid="{00000000-0005-0000-0000-0000927C0000}"/>
    <cellStyle name="40% - Accent5 7 2 4 3" xfId="18198" xr:uid="{00000000-0005-0000-0000-0000937C0000}"/>
    <cellStyle name="40% - Accent5 7 2 4 4" xfId="25300" xr:uid="{00000000-0005-0000-0000-0000947C0000}"/>
    <cellStyle name="40% - Accent5 7 2 4 5" xfId="32402" xr:uid="{00000000-0005-0000-0000-0000957C0000}"/>
    <cellStyle name="40% - Accent5 7 2 5" xfId="8257" xr:uid="{00000000-0005-0000-0000-0000967C0000}"/>
    <cellStyle name="40% - Accent5 7 2 6" xfId="15358" xr:uid="{00000000-0005-0000-0000-0000977C0000}"/>
    <cellStyle name="40% - Accent5 7 2 7" xfId="22460" xr:uid="{00000000-0005-0000-0000-0000987C0000}"/>
    <cellStyle name="40% - Accent5 7 2 8" xfId="29562" xr:uid="{00000000-0005-0000-0000-0000997C0000}"/>
    <cellStyle name="40% - Accent5 7 2 9" xfId="40199" xr:uid="{00000000-0005-0000-0000-00009A7C0000}"/>
    <cellStyle name="40% - Accent5 7 3" xfId="1788" xr:uid="{00000000-0005-0000-0000-00009B7C0000}"/>
    <cellStyle name="40% - Accent5 7 3 2" xfId="6056" xr:uid="{00000000-0005-0000-0000-00009C7C0000}"/>
    <cellStyle name="40% - Accent5 7 3 2 2" xfId="13156" xr:uid="{00000000-0005-0000-0000-00009D7C0000}"/>
    <cellStyle name="40% - Accent5 7 3 2 3" xfId="20257" xr:uid="{00000000-0005-0000-0000-00009E7C0000}"/>
    <cellStyle name="40% - Accent5 7 3 2 4" xfId="27359" xr:uid="{00000000-0005-0000-0000-00009F7C0000}"/>
    <cellStyle name="40% - Accent5 7 3 2 5" xfId="34461" xr:uid="{00000000-0005-0000-0000-0000A07C0000}"/>
    <cellStyle name="40% - Accent5 7 3 2 6" xfId="40200" xr:uid="{00000000-0005-0000-0000-0000A17C0000}"/>
    <cellStyle name="40% - Accent5 7 3 3" xfId="8896" xr:uid="{00000000-0005-0000-0000-0000A27C0000}"/>
    <cellStyle name="40% - Accent5 7 3 4" xfId="15997" xr:uid="{00000000-0005-0000-0000-0000A37C0000}"/>
    <cellStyle name="40% - Accent5 7 3 5" xfId="23099" xr:uid="{00000000-0005-0000-0000-0000A47C0000}"/>
    <cellStyle name="40% - Accent5 7 3 6" xfId="30201" xr:uid="{00000000-0005-0000-0000-0000A57C0000}"/>
    <cellStyle name="40% - Accent5 7 3 7" xfId="40201" xr:uid="{00000000-0005-0000-0000-0000A67C0000}"/>
    <cellStyle name="40% - Accent5 7 4" xfId="4635" xr:uid="{00000000-0005-0000-0000-0000A77C0000}"/>
    <cellStyle name="40% - Accent5 7 4 2" xfId="11736" xr:uid="{00000000-0005-0000-0000-0000A87C0000}"/>
    <cellStyle name="40% - Accent5 7 4 3" xfId="18837" xr:uid="{00000000-0005-0000-0000-0000A97C0000}"/>
    <cellStyle name="40% - Accent5 7 4 4" xfId="25939" xr:uid="{00000000-0005-0000-0000-0000AA7C0000}"/>
    <cellStyle name="40% - Accent5 7 4 5" xfId="33041" xr:uid="{00000000-0005-0000-0000-0000AB7C0000}"/>
    <cellStyle name="40% - Accent5 7 4 6" xfId="40202" xr:uid="{00000000-0005-0000-0000-0000AC7C0000}"/>
    <cellStyle name="40% - Accent5 7 5" xfId="3210" xr:uid="{00000000-0005-0000-0000-0000AD7C0000}"/>
    <cellStyle name="40% - Accent5 7 5 2" xfId="10316" xr:uid="{00000000-0005-0000-0000-0000AE7C0000}"/>
    <cellStyle name="40% - Accent5 7 5 3" xfId="17417" xr:uid="{00000000-0005-0000-0000-0000AF7C0000}"/>
    <cellStyle name="40% - Accent5 7 5 4" xfId="24519" xr:uid="{00000000-0005-0000-0000-0000B07C0000}"/>
    <cellStyle name="40% - Accent5 7 5 5" xfId="31621" xr:uid="{00000000-0005-0000-0000-0000B17C0000}"/>
    <cellStyle name="40% - Accent5 7 6" xfId="7476" xr:uid="{00000000-0005-0000-0000-0000B27C0000}"/>
    <cellStyle name="40% - Accent5 7 7" xfId="14577" xr:uid="{00000000-0005-0000-0000-0000B37C0000}"/>
    <cellStyle name="40% - Accent5 7 8" xfId="21679" xr:uid="{00000000-0005-0000-0000-0000B47C0000}"/>
    <cellStyle name="40% - Accent5 7 9" xfId="28781" xr:uid="{00000000-0005-0000-0000-0000B57C0000}"/>
    <cellStyle name="40% - Accent5 8" xfId="510" xr:uid="{00000000-0005-0000-0000-0000B67C0000}"/>
    <cellStyle name="40% - Accent5 8 2" xfId="2001" xr:uid="{00000000-0005-0000-0000-0000B77C0000}"/>
    <cellStyle name="40% - Accent5 8 2 2" xfId="6269" xr:uid="{00000000-0005-0000-0000-0000B87C0000}"/>
    <cellStyle name="40% - Accent5 8 2 2 2" xfId="13369" xr:uid="{00000000-0005-0000-0000-0000B97C0000}"/>
    <cellStyle name="40% - Accent5 8 2 2 3" xfId="20470" xr:uid="{00000000-0005-0000-0000-0000BA7C0000}"/>
    <cellStyle name="40% - Accent5 8 2 2 4" xfId="27572" xr:uid="{00000000-0005-0000-0000-0000BB7C0000}"/>
    <cellStyle name="40% - Accent5 8 2 2 5" xfId="34674" xr:uid="{00000000-0005-0000-0000-0000BC7C0000}"/>
    <cellStyle name="40% - Accent5 8 2 2 6" xfId="40203" xr:uid="{00000000-0005-0000-0000-0000BD7C0000}"/>
    <cellStyle name="40% - Accent5 8 2 3" xfId="9109" xr:uid="{00000000-0005-0000-0000-0000BE7C0000}"/>
    <cellStyle name="40% - Accent5 8 2 4" xfId="16210" xr:uid="{00000000-0005-0000-0000-0000BF7C0000}"/>
    <cellStyle name="40% - Accent5 8 2 5" xfId="23312" xr:uid="{00000000-0005-0000-0000-0000C07C0000}"/>
    <cellStyle name="40% - Accent5 8 2 6" xfId="30414" xr:uid="{00000000-0005-0000-0000-0000C17C0000}"/>
    <cellStyle name="40% - Accent5 8 2 7" xfId="40204" xr:uid="{00000000-0005-0000-0000-0000C27C0000}"/>
    <cellStyle name="40% - Accent5 8 3" xfId="4848" xr:uid="{00000000-0005-0000-0000-0000C37C0000}"/>
    <cellStyle name="40% - Accent5 8 3 2" xfId="11949" xr:uid="{00000000-0005-0000-0000-0000C47C0000}"/>
    <cellStyle name="40% - Accent5 8 3 2 2" xfId="40205" xr:uid="{00000000-0005-0000-0000-0000C57C0000}"/>
    <cellStyle name="40% - Accent5 8 3 3" xfId="19050" xr:uid="{00000000-0005-0000-0000-0000C67C0000}"/>
    <cellStyle name="40% - Accent5 8 3 4" xfId="26152" xr:uid="{00000000-0005-0000-0000-0000C77C0000}"/>
    <cellStyle name="40% - Accent5 8 3 5" xfId="33254" xr:uid="{00000000-0005-0000-0000-0000C87C0000}"/>
    <cellStyle name="40% - Accent5 8 3 6" xfId="40206" xr:uid="{00000000-0005-0000-0000-0000C97C0000}"/>
    <cellStyle name="40% - Accent5 8 4" xfId="3423" xr:uid="{00000000-0005-0000-0000-0000CA7C0000}"/>
    <cellStyle name="40% - Accent5 8 4 2" xfId="10529" xr:uid="{00000000-0005-0000-0000-0000CB7C0000}"/>
    <cellStyle name="40% - Accent5 8 4 3" xfId="17630" xr:uid="{00000000-0005-0000-0000-0000CC7C0000}"/>
    <cellStyle name="40% - Accent5 8 4 4" xfId="24732" xr:uid="{00000000-0005-0000-0000-0000CD7C0000}"/>
    <cellStyle name="40% - Accent5 8 4 5" xfId="31834" xr:uid="{00000000-0005-0000-0000-0000CE7C0000}"/>
    <cellStyle name="40% - Accent5 8 4 6" xfId="40207" xr:uid="{00000000-0005-0000-0000-0000CF7C0000}"/>
    <cellStyle name="40% - Accent5 8 5" xfId="7689" xr:uid="{00000000-0005-0000-0000-0000D07C0000}"/>
    <cellStyle name="40% - Accent5 8 6" xfId="14790" xr:uid="{00000000-0005-0000-0000-0000D17C0000}"/>
    <cellStyle name="40% - Accent5 8 7" xfId="21892" xr:uid="{00000000-0005-0000-0000-0000D27C0000}"/>
    <cellStyle name="40% - Accent5 8 8" xfId="28994" xr:uid="{00000000-0005-0000-0000-0000D37C0000}"/>
    <cellStyle name="40% - Accent5 8 9" xfId="40208" xr:uid="{00000000-0005-0000-0000-0000D47C0000}"/>
    <cellStyle name="40% - Accent5 9" xfId="723" xr:uid="{00000000-0005-0000-0000-0000D57C0000}"/>
    <cellStyle name="40% - Accent5 9 2" xfId="2214" xr:uid="{00000000-0005-0000-0000-0000D67C0000}"/>
    <cellStyle name="40% - Accent5 9 2 2" xfId="6482" xr:uid="{00000000-0005-0000-0000-0000D77C0000}"/>
    <cellStyle name="40% - Accent5 9 2 2 2" xfId="13582" xr:uid="{00000000-0005-0000-0000-0000D87C0000}"/>
    <cellStyle name="40% - Accent5 9 2 2 3" xfId="20683" xr:uid="{00000000-0005-0000-0000-0000D97C0000}"/>
    <cellStyle name="40% - Accent5 9 2 2 4" xfId="27785" xr:uid="{00000000-0005-0000-0000-0000DA7C0000}"/>
    <cellStyle name="40% - Accent5 9 2 2 5" xfId="34887" xr:uid="{00000000-0005-0000-0000-0000DB7C0000}"/>
    <cellStyle name="40% - Accent5 9 2 2 6" xfId="40209" xr:uid="{00000000-0005-0000-0000-0000DC7C0000}"/>
    <cellStyle name="40% - Accent5 9 2 3" xfId="9322" xr:uid="{00000000-0005-0000-0000-0000DD7C0000}"/>
    <cellStyle name="40% - Accent5 9 2 4" xfId="16423" xr:uid="{00000000-0005-0000-0000-0000DE7C0000}"/>
    <cellStyle name="40% - Accent5 9 2 5" xfId="23525" xr:uid="{00000000-0005-0000-0000-0000DF7C0000}"/>
    <cellStyle name="40% - Accent5 9 2 6" xfId="30627" xr:uid="{00000000-0005-0000-0000-0000E07C0000}"/>
    <cellStyle name="40% - Accent5 9 2 7" xfId="40210" xr:uid="{00000000-0005-0000-0000-0000E17C0000}"/>
    <cellStyle name="40% - Accent5 9 3" xfId="5061" xr:uid="{00000000-0005-0000-0000-0000E27C0000}"/>
    <cellStyle name="40% - Accent5 9 3 2" xfId="12162" xr:uid="{00000000-0005-0000-0000-0000E37C0000}"/>
    <cellStyle name="40% - Accent5 9 3 2 2" xfId="40211" xr:uid="{00000000-0005-0000-0000-0000E47C0000}"/>
    <cellStyle name="40% - Accent5 9 3 3" xfId="19263" xr:uid="{00000000-0005-0000-0000-0000E57C0000}"/>
    <cellStyle name="40% - Accent5 9 3 4" xfId="26365" xr:uid="{00000000-0005-0000-0000-0000E67C0000}"/>
    <cellStyle name="40% - Accent5 9 3 5" xfId="33467" xr:uid="{00000000-0005-0000-0000-0000E77C0000}"/>
    <cellStyle name="40% - Accent5 9 3 6" xfId="40212" xr:uid="{00000000-0005-0000-0000-0000E87C0000}"/>
    <cellStyle name="40% - Accent5 9 4" xfId="3636" xr:uid="{00000000-0005-0000-0000-0000E97C0000}"/>
    <cellStyle name="40% - Accent5 9 4 2" xfId="10742" xr:uid="{00000000-0005-0000-0000-0000EA7C0000}"/>
    <cellStyle name="40% - Accent5 9 4 3" xfId="17843" xr:uid="{00000000-0005-0000-0000-0000EB7C0000}"/>
    <cellStyle name="40% - Accent5 9 4 4" xfId="24945" xr:uid="{00000000-0005-0000-0000-0000EC7C0000}"/>
    <cellStyle name="40% - Accent5 9 4 5" xfId="32047" xr:uid="{00000000-0005-0000-0000-0000ED7C0000}"/>
    <cellStyle name="40% - Accent5 9 4 6" xfId="40213" xr:uid="{00000000-0005-0000-0000-0000EE7C0000}"/>
    <cellStyle name="40% - Accent5 9 5" xfId="7902" xr:uid="{00000000-0005-0000-0000-0000EF7C0000}"/>
    <cellStyle name="40% - Accent5 9 6" xfId="15003" xr:uid="{00000000-0005-0000-0000-0000F07C0000}"/>
    <cellStyle name="40% - Accent5 9 7" xfId="22105" xr:uid="{00000000-0005-0000-0000-0000F17C0000}"/>
    <cellStyle name="40% - Accent5 9 8" xfId="29207" xr:uid="{00000000-0005-0000-0000-0000F27C0000}"/>
    <cellStyle name="40% - Accent5 9 9" xfId="40214" xr:uid="{00000000-0005-0000-0000-0000F37C0000}"/>
    <cellStyle name="40% - Accent6" xfId="63" builtinId="51" customBuiltin="1"/>
    <cellStyle name="40% - Accent6 10" xfId="938" xr:uid="{00000000-0005-0000-0000-0000F57C0000}"/>
    <cellStyle name="40% - Accent6 10 2" xfId="2429" xr:uid="{00000000-0005-0000-0000-0000F67C0000}"/>
    <cellStyle name="40% - Accent6 10 2 2" xfId="6697" xr:uid="{00000000-0005-0000-0000-0000F77C0000}"/>
    <cellStyle name="40% - Accent6 10 2 2 2" xfId="13797" xr:uid="{00000000-0005-0000-0000-0000F87C0000}"/>
    <cellStyle name="40% - Accent6 10 2 2 3" xfId="20898" xr:uid="{00000000-0005-0000-0000-0000F97C0000}"/>
    <cellStyle name="40% - Accent6 10 2 2 4" xfId="28000" xr:uid="{00000000-0005-0000-0000-0000FA7C0000}"/>
    <cellStyle name="40% - Accent6 10 2 2 5" xfId="35102" xr:uid="{00000000-0005-0000-0000-0000FB7C0000}"/>
    <cellStyle name="40% - Accent6 10 2 3" xfId="9537" xr:uid="{00000000-0005-0000-0000-0000FC7C0000}"/>
    <cellStyle name="40% - Accent6 10 2 4" xfId="16638" xr:uid="{00000000-0005-0000-0000-0000FD7C0000}"/>
    <cellStyle name="40% - Accent6 10 2 5" xfId="23740" xr:uid="{00000000-0005-0000-0000-0000FE7C0000}"/>
    <cellStyle name="40% - Accent6 10 2 6" xfId="30842" xr:uid="{00000000-0005-0000-0000-0000FF7C0000}"/>
    <cellStyle name="40% - Accent6 10 2 7" xfId="40215" xr:uid="{00000000-0005-0000-0000-0000007D0000}"/>
    <cellStyle name="40% - Accent6 10 3" xfId="5276" xr:uid="{00000000-0005-0000-0000-0000017D0000}"/>
    <cellStyle name="40% - Accent6 10 3 2" xfId="12377" xr:uid="{00000000-0005-0000-0000-0000027D0000}"/>
    <cellStyle name="40% - Accent6 10 3 3" xfId="19478" xr:uid="{00000000-0005-0000-0000-0000037D0000}"/>
    <cellStyle name="40% - Accent6 10 3 4" xfId="26580" xr:uid="{00000000-0005-0000-0000-0000047D0000}"/>
    <cellStyle name="40% - Accent6 10 3 5" xfId="33682" xr:uid="{00000000-0005-0000-0000-0000057D0000}"/>
    <cellStyle name="40% - Accent6 10 4" xfId="3851" xr:uid="{00000000-0005-0000-0000-0000067D0000}"/>
    <cellStyle name="40% - Accent6 10 4 2" xfId="10957" xr:uid="{00000000-0005-0000-0000-0000077D0000}"/>
    <cellStyle name="40% - Accent6 10 4 3" xfId="18058" xr:uid="{00000000-0005-0000-0000-0000087D0000}"/>
    <cellStyle name="40% - Accent6 10 4 4" xfId="25160" xr:uid="{00000000-0005-0000-0000-0000097D0000}"/>
    <cellStyle name="40% - Accent6 10 4 5" xfId="32262" xr:uid="{00000000-0005-0000-0000-00000A7D0000}"/>
    <cellStyle name="40% - Accent6 10 5" xfId="8117" xr:uid="{00000000-0005-0000-0000-00000B7D0000}"/>
    <cellStyle name="40% - Accent6 10 6" xfId="15218" xr:uid="{00000000-0005-0000-0000-00000C7D0000}"/>
    <cellStyle name="40% - Accent6 10 7" xfId="22320" xr:uid="{00000000-0005-0000-0000-00000D7D0000}"/>
    <cellStyle name="40% - Accent6 10 8" xfId="29422" xr:uid="{00000000-0005-0000-0000-00000E7D0000}"/>
    <cellStyle name="40% - Accent6 10 9" xfId="40216" xr:uid="{00000000-0005-0000-0000-00000F7D0000}"/>
    <cellStyle name="40% - Accent6 11" xfId="1293" xr:uid="{00000000-0005-0000-0000-0000107D0000}"/>
    <cellStyle name="40% - Accent6 11 2" xfId="2784" xr:uid="{00000000-0005-0000-0000-0000117D0000}"/>
    <cellStyle name="40% - Accent6 11 2 2" xfId="7052" xr:uid="{00000000-0005-0000-0000-0000127D0000}"/>
    <cellStyle name="40% - Accent6 11 2 2 2" xfId="14152" xr:uid="{00000000-0005-0000-0000-0000137D0000}"/>
    <cellStyle name="40% - Accent6 11 2 2 3" xfId="21253" xr:uid="{00000000-0005-0000-0000-0000147D0000}"/>
    <cellStyle name="40% - Accent6 11 2 2 4" xfId="28355" xr:uid="{00000000-0005-0000-0000-0000157D0000}"/>
    <cellStyle name="40% - Accent6 11 2 2 5" xfId="35457" xr:uid="{00000000-0005-0000-0000-0000167D0000}"/>
    <cellStyle name="40% - Accent6 11 2 3" xfId="9892" xr:uid="{00000000-0005-0000-0000-0000177D0000}"/>
    <cellStyle name="40% - Accent6 11 2 4" xfId="16993" xr:uid="{00000000-0005-0000-0000-0000187D0000}"/>
    <cellStyle name="40% - Accent6 11 2 5" xfId="24095" xr:uid="{00000000-0005-0000-0000-0000197D0000}"/>
    <cellStyle name="40% - Accent6 11 2 6" xfId="31197" xr:uid="{00000000-0005-0000-0000-00001A7D0000}"/>
    <cellStyle name="40% - Accent6 11 2 7" xfId="40217" xr:uid="{00000000-0005-0000-0000-00001B7D0000}"/>
    <cellStyle name="40% - Accent6 11 3" xfId="5631" xr:uid="{00000000-0005-0000-0000-00001C7D0000}"/>
    <cellStyle name="40% - Accent6 11 3 2" xfId="12732" xr:uid="{00000000-0005-0000-0000-00001D7D0000}"/>
    <cellStyle name="40% - Accent6 11 3 3" xfId="19833" xr:uid="{00000000-0005-0000-0000-00001E7D0000}"/>
    <cellStyle name="40% - Accent6 11 3 4" xfId="26935" xr:uid="{00000000-0005-0000-0000-00001F7D0000}"/>
    <cellStyle name="40% - Accent6 11 3 5" xfId="34037" xr:uid="{00000000-0005-0000-0000-0000207D0000}"/>
    <cellStyle name="40% - Accent6 11 4" xfId="4206" xr:uid="{00000000-0005-0000-0000-0000217D0000}"/>
    <cellStyle name="40% - Accent6 11 4 2" xfId="11312" xr:uid="{00000000-0005-0000-0000-0000227D0000}"/>
    <cellStyle name="40% - Accent6 11 4 3" xfId="18413" xr:uid="{00000000-0005-0000-0000-0000237D0000}"/>
    <cellStyle name="40% - Accent6 11 4 4" xfId="25515" xr:uid="{00000000-0005-0000-0000-0000247D0000}"/>
    <cellStyle name="40% - Accent6 11 4 5" xfId="32617" xr:uid="{00000000-0005-0000-0000-0000257D0000}"/>
    <cellStyle name="40% - Accent6 11 5" xfId="8472" xr:uid="{00000000-0005-0000-0000-0000267D0000}"/>
    <cellStyle name="40% - Accent6 11 6" xfId="15573" xr:uid="{00000000-0005-0000-0000-0000277D0000}"/>
    <cellStyle name="40% - Accent6 11 7" xfId="22675" xr:uid="{00000000-0005-0000-0000-0000287D0000}"/>
    <cellStyle name="40% - Accent6 11 8" xfId="29777" xr:uid="{00000000-0005-0000-0000-0000297D0000}"/>
    <cellStyle name="40% - Accent6 11 9" xfId="40218" xr:uid="{00000000-0005-0000-0000-00002A7D0000}"/>
    <cellStyle name="40% - Accent6 12" xfId="1561" xr:uid="{00000000-0005-0000-0000-00002B7D0000}"/>
    <cellStyle name="40% - Accent6 12 2" xfId="5844" xr:uid="{00000000-0005-0000-0000-00002C7D0000}"/>
    <cellStyle name="40% - Accent6 12 2 2" xfId="12945" xr:uid="{00000000-0005-0000-0000-00002D7D0000}"/>
    <cellStyle name="40% - Accent6 12 2 3" xfId="20046" xr:uid="{00000000-0005-0000-0000-00002E7D0000}"/>
    <cellStyle name="40% - Accent6 12 2 4" xfId="27148" xr:uid="{00000000-0005-0000-0000-00002F7D0000}"/>
    <cellStyle name="40% - Accent6 12 2 5" xfId="34250" xr:uid="{00000000-0005-0000-0000-0000307D0000}"/>
    <cellStyle name="40% - Accent6 12 3" xfId="8685" xr:uid="{00000000-0005-0000-0000-0000317D0000}"/>
    <cellStyle name="40% - Accent6 12 4" xfId="15786" xr:uid="{00000000-0005-0000-0000-0000327D0000}"/>
    <cellStyle name="40% - Accent6 12 5" xfId="22888" xr:uid="{00000000-0005-0000-0000-0000337D0000}"/>
    <cellStyle name="40% - Accent6 12 6" xfId="29990" xr:uid="{00000000-0005-0000-0000-0000347D0000}"/>
    <cellStyle name="40% - Accent6 12 7" xfId="40219" xr:uid="{00000000-0005-0000-0000-0000357D0000}"/>
    <cellStyle name="40% - Accent6 13" xfId="4424" xr:uid="{00000000-0005-0000-0000-0000367D0000}"/>
    <cellStyle name="40% - Accent6 13 2" xfId="11525" xr:uid="{00000000-0005-0000-0000-0000377D0000}"/>
    <cellStyle name="40% - Accent6 13 3" xfId="18626" xr:uid="{00000000-0005-0000-0000-0000387D0000}"/>
    <cellStyle name="40% - Accent6 13 4" xfId="25728" xr:uid="{00000000-0005-0000-0000-0000397D0000}"/>
    <cellStyle name="40% - Accent6 13 5" xfId="32830" xr:uid="{00000000-0005-0000-0000-00003A7D0000}"/>
    <cellStyle name="40% - Accent6 14" xfId="2999" xr:uid="{00000000-0005-0000-0000-00003B7D0000}"/>
    <cellStyle name="40% - Accent6 14 2" xfId="10105" xr:uid="{00000000-0005-0000-0000-00003C7D0000}"/>
    <cellStyle name="40% - Accent6 14 3" xfId="17206" xr:uid="{00000000-0005-0000-0000-00003D7D0000}"/>
    <cellStyle name="40% - Accent6 14 4" xfId="24308" xr:uid="{00000000-0005-0000-0000-00003E7D0000}"/>
    <cellStyle name="40% - Accent6 14 5" xfId="31410" xr:uid="{00000000-0005-0000-0000-00003F7D0000}"/>
    <cellStyle name="40% - Accent6 15" xfId="7265" xr:uid="{00000000-0005-0000-0000-0000407D0000}"/>
    <cellStyle name="40% - Accent6 16" xfId="14366" xr:uid="{00000000-0005-0000-0000-0000417D0000}"/>
    <cellStyle name="40% - Accent6 17" xfId="21468" xr:uid="{00000000-0005-0000-0000-0000427D0000}"/>
    <cellStyle name="40% - Accent6 18" xfId="28570" xr:uid="{00000000-0005-0000-0000-0000437D0000}"/>
    <cellStyle name="40% - Accent6 19" xfId="35672" xr:uid="{00000000-0005-0000-0000-0000447D0000}"/>
    <cellStyle name="40% - Accent6 2" xfId="84" xr:uid="{00000000-0005-0000-0000-0000457D0000}"/>
    <cellStyle name="40% - Accent6 2 10" xfId="1585" xr:uid="{00000000-0005-0000-0000-0000467D0000}"/>
    <cellStyle name="40% - Accent6 2 10 2" xfId="5859" xr:uid="{00000000-0005-0000-0000-0000477D0000}"/>
    <cellStyle name="40% - Accent6 2 10 2 2" xfId="12959" xr:uid="{00000000-0005-0000-0000-0000487D0000}"/>
    <cellStyle name="40% - Accent6 2 10 2 3" xfId="20060" xr:uid="{00000000-0005-0000-0000-0000497D0000}"/>
    <cellStyle name="40% - Accent6 2 10 2 4" xfId="27162" xr:uid="{00000000-0005-0000-0000-00004A7D0000}"/>
    <cellStyle name="40% - Accent6 2 10 2 5" xfId="34264" xr:uid="{00000000-0005-0000-0000-00004B7D0000}"/>
    <cellStyle name="40% - Accent6 2 10 2 6" xfId="40220" xr:uid="{00000000-0005-0000-0000-00004C7D0000}"/>
    <cellStyle name="40% - Accent6 2 10 3" xfId="8699" xr:uid="{00000000-0005-0000-0000-00004D7D0000}"/>
    <cellStyle name="40% - Accent6 2 10 4" xfId="15800" xr:uid="{00000000-0005-0000-0000-00004E7D0000}"/>
    <cellStyle name="40% - Accent6 2 10 5" xfId="22902" xr:uid="{00000000-0005-0000-0000-00004F7D0000}"/>
    <cellStyle name="40% - Accent6 2 10 6" xfId="30004" xr:uid="{00000000-0005-0000-0000-0000507D0000}"/>
    <cellStyle name="40% - Accent6 2 10 7" xfId="40221" xr:uid="{00000000-0005-0000-0000-0000517D0000}"/>
    <cellStyle name="40% - Accent6 2 11" xfId="4438" xr:uid="{00000000-0005-0000-0000-0000527D0000}"/>
    <cellStyle name="40% - Accent6 2 11 2" xfId="11539" xr:uid="{00000000-0005-0000-0000-0000537D0000}"/>
    <cellStyle name="40% - Accent6 2 11 3" xfId="18640" xr:uid="{00000000-0005-0000-0000-0000547D0000}"/>
    <cellStyle name="40% - Accent6 2 11 4" xfId="25742" xr:uid="{00000000-0005-0000-0000-0000557D0000}"/>
    <cellStyle name="40% - Accent6 2 11 5" xfId="32844" xr:uid="{00000000-0005-0000-0000-0000567D0000}"/>
    <cellStyle name="40% - Accent6 2 11 6" xfId="40222" xr:uid="{00000000-0005-0000-0000-0000577D0000}"/>
    <cellStyle name="40% - Accent6 2 12" xfId="3013" xr:uid="{00000000-0005-0000-0000-0000587D0000}"/>
    <cellStyle name="40% - Accent6 2 12 2" xfId="10119" xr:uid="{00000000-0005-0000-0000-0000597D0000}"/>
    <cellStyle name="40% - Accent6 2 12 3" xfId="17220" xr:uid="{00000000-0005-0000-0000-00005A7D0000}"/>
    <cellStyle name="40% - Accent6 2 12 4" xfId="24322" xr:uid="{00000000-0005-0000-0000-00005B7D0000}"/>
    <cellStyle name="40% - Accent6 2 12 5" xfId="31424" xr:uid="{00000000-0005-0000-0000-00005C7D0000}"/>
    <cellStyle name="40% - Accent6 2 13" xfId="7279" xr:uid="{00000000-0005-0000-0000-00005D7D0000}"/>
    <cellStyle name="40% - Accent6 2 14" xfId="14380" xr:uid="{00000000-0005-0000-0000-00005E7D0000}"/>
    <cellStyle name="40% - Accent6 2 15" xfId="21482" xr:uid="{00000000-0005-0000-0000-00005F7D0000}"/>
    <cellStyle name="40% - Accent6 2 16" xfId="28584" xr:uid="{00000000-0005-0000-0000-0000607D0000}"/>
    <cellStyle name="40% - Accent6 2 17" xfId="35686" xr:uid="{00000000-0005-0000-0000-0000617D0000}"/>
    <cellStyle name="40% - Accent6 2 18" xfId="40223" xr:uid="{00000000-0005-0000-0000-0000627D0000}"/>
    <cellStyle name="40% - Accent6 2 19" xfId="40224" xr:uid="{00000000-0005-0000-0000-0000637D0000}"/>
    <cellStyle name="40% - Accent6 2 2" xfId="129" xr:uid="{00000000-0005-0000-0000-0000647D0000}"/>
    <cellStyle name="40% - Accent6 2 2 10" xfId="4469" xr:uid="{00000000-0005-0000-0000-0000657D0000}"/>
    <cellStyle name="40% - Accent6 2 2 10 2" xfId="11570" xr:uid="{00000000-0005-0000-0000-0000667D0000}"/>
    <cellStyle name="40% - Accent6 2 2 10 3" xfId="18671" xr:uid="{00000000-0005-0000-0000-0000677D0000}"/>
    <cellStyle name="40% - Accent6 2 2 10 4" xfId="25773" xr:uid="{00000000-0005-0000-0000-0000687D0000}"/>
    <cellStyle name="40% - Accent6 2 2 10 5" xfId="32875" xr:uid="{00000000-0005-0000-0000-0000697D0000}"/>
    <cellStyle name="40% - Accent6 2 2 11" xfId="3044" xr:uid="{00000000-0005-0000-0000-00006A7D0000}"/>
    <cellStyle name="40% - Accent6 2 2 11 2" xfId="10150" xr:uid="{00000000-0005-0000-0000-00006B7D0000}"/>
    <cellStyle name="40% - Accent6 2 2 11 3" xfId="17251" xr:uid="{00000000-0005-0000-0000-00006C7D0000}"/>
    <cellStyle name="40% - Accent6 2 2 11 4" xfId="24353" xr:uid="{00000000-0005-0000-0000-00006D7D0000}"/>
    <cellStyle name="40% - Accent6 2 2 11 5" xfId="31455" xr:uid="{00000000-0005-0000-0000-00006E7D0000}"/>
    <cellStyle name="40% - Accent6 2 2 12" xfId="7310" xr:uid="{00000000-0005-0000-0000-00006F7D0000}"/>
    <cellStyle name="40% - Accent6 2 2 13" xfId="14411" xr:uid="{00000000-0005-0000-0000-0000707D0000}"/>
    <cellStyle name="40% - Accent6 2 2 14" xfId="21513" xr:uid="{00000000-0005-0000-0000-0000717D0000}"/>
    <cellStyle name="40% - Accent6 2 2 15" xfId="28615" xr:uid="{00000000-0005-0000-0000-0000727D0000}"/>
    <cellStyle name="40% - Accent6 2 2 16" xfId="35717" xr:uid="{00000000-0005-0000-0000-0000737D0000}"/>
    <cellStyle name="40% - Accent6 2 2 17" xfId="40225" xr:uid="{00000000-0005-0000-0000-0000747D0000}"/>
    <cellStyle name="40% - Accent6 2 2 18" xfId="40226" xr:uid="{00000000-0005-0000-0000-0000757D0000}"/>
    <cellStyle name="40% - Accent6 2 2 2" xfId="273" xr:uid="{00000000-0005-0000-0000-0000767D0000}"/>
    <cellStyle name="40% - Accent6 2 2 2 10" xfId="7452" xr:uid="{00000000-0005-0000-0000-0000777D0000}"/>
    <cellStyle name="40% - Accent6 2 2 2 11" xfId="14553" xr:uid="{00000000-0005-0000-0000-0000787D0000}"/>
    <cellStyle name="40% - Accent6 2 2 2 12" xfId="21655" xr:uid="{00000000-0005-0000-0000-0000797D0000}"/>
    <cellStyle name="40% - Accent6 2 2 2 13" xfId="28757" xr:uid="{00000000-0005-0000-0000-00007A7D0000}"/>
    <cellStyle name="40% - Accent6 2 2 2 14" xfId="35859" xr:uid="{00000000-0005-0000-0000-00007B7D0000}"/>
    <cellStyle name="40% - Accent6 2 2 2 15" xfId="40227" xr:uid="{00000000-0005-0000-0000-00007C7D0000}"/>
    <cellStyle name="40% - Accent6 2 2 2 2" xfId="486" xr:uid="{00000000-0005-0000-0000-00007D7D0000}"/>
    <cellStyle name="40% - Accent6 2 2 2 2 10" xfId="40228" xr:uid="{00000000-0005-0000-0000-00007E7D0000}"/>
    <cellStyle name="40% - Accent6 2 2 2 2 2" xfId="1267" xr:uid="{00000000-0005-0000-0000-00007F7D0000}"/>
    <cellStyle name="40% - Accent6 2 2 2 2 2 2" xfId="2758" xr:uid="{00000000-0005-0000-0000-0000807D0000}"/>
    <cellStyle name="40% - Accent6 2 2 2 2 2 2 2" xfId="7026" xr:uid="{00000000-0005-0000-0000-0000817D0000}"/>
    <cellStyle name="40% - Accent6 2 2 2 2 2 2 2 2" xfId="14126" xr:uid="{00000000-0005-0000-0000-0000827D0000}"/>
    <cellStyle name="40% - Accent6 2 2 2 2 2 2 2 3" xfId="21227" xr:uid="{00000000-0005-0000-0000-0000837D0000}"/>
    <cellStyle name="40% - Accent6 2 2 2 2 2 2 2 4" xfId="28329" xr:uid="{00000000-0005-0000-0000-0000847D0000}"/>
    <cellStyle name="40% - Accent6 2 2 2 2 2 2 2 5" xfId="35431" xr:uid="{00000000-0005-0000-0000-0000857D0000}"/>
    <cellStyle name="40% - Accent6 2 2 2 2 2 2 3" xfId="9866" xr:uid="{00000000-0005-0000-0000-0000867D0000}"/>
    <cellStyle name="40% - Accent6 2 2 2 2 2 2 4" xfId="16967" xr:uid="{00000000-0005-0000-0000-0000877D0000}"/>
    <cellStyle name="40% - Accent6 2 2 2 2 2 2 5" xfId="24069" xr:uid="{00000000-0005-0000-0000-0000887D0000}"/>
    <cellStyle name="40% - Accent6 2 2 2 2 2 2 6" xfId="31171" xr:uid="{00000000-0005-0000-0000-0000897D0000}"/>
    <cellStyle name="40% - Accent6 2 2 2 2 2 2 7" xfId="40229" xr:uid="{00000000-0005-0000-0000-00008A7D0000}"/>
    <cellStyle name="40% - Accent6 2 2 2 2 2 3" xfId="5605" xr:uid="{00000000-0005-0000-0000-00008B7D0000}"/>
    <cellStyle name="40% - Accent6 2 2 2 2 2 3 2" xfId="12706" xr:uid="{00000000-0005-0000-0000-00008C7D0000}"/>
    <cellStyle name="40% - Accent6 2 2 2 2 2 3 3" xfId="19807" xr:uid="{00000000-0005-0000-0000-00008D7D0000}"/>
    <cellStyle name="40% - Accent6 2 2 2 2 2 3 4" xfId="26909" xr:uid="{00000000-0005-0000-0000-00008E7D0000}"/>
    <cellStyle name="40% - Accent6 2 2 2 2 2 3 5" xfId="34011" xr:uid="{00000000-0005-0000-0000-00008F7D0000}"/>
    <cellStyle name="40% - Accent6 2 2 2 2 2 4" xfId="4180" xr:uid="{00000000-0005-0000-0000-0000907D0000}"/>
    <cellStyle name="40% - Accent6 2 2 2 2 2 4 2" xfId="11286" xr:uid="{00000000-0005-0000-0000-0000917D0000}"/>
    <cellStyle name="40% - Accent6 2 2 2 2 2 4 3" xfId="18387" xr:uid="{00000000-0005-0000-0000-0000927D0000}"/>
    <cellStyle name="40% - Accent6 2 2 2 2 2 4 4" xfId="25489" xr:uid="{00000000-0005-0000-0000-0000937D0000}"/>
    <cellStyle name="40% - Accent6 2 2 2 2 2 4 5" xfId="32591" xr:uid="{00000000-0005-0000-0000-0000947D0000}"/>
    <cellStyle name="40% - Accent6 2 2 2 2 2 5" xfId="8446" xr:uid="{00000000-0005-0000-0000-0000957D0000}"/>
    <cellStyle name="40% - Accent6 2 2 2 2 2 6" xfId="15547" xr:uid="{00000000-0005-0000-0000-0000967D0000}"/>
    <cellStyle name="40% - Accent6 2 2 2 2 2 7" xfId="22649" xr:uid="{00000000-0005-0000-0000-0000977D0000}"/>
    <cellStyle name="40% - Accent6 2 2 2 2 2 8" xfId="29751" xr:uid="{00000000-0005-0000-0000-0000987D0000}"/>
    <cellStyle name="40% - Accent6 2 2 2 2 2 9" xfId="40230" xr:uid="{00000000-0005-0000-0000-0000997D0000}"/>
    <cellStyle name="40% - Accent6 2 2 2 2 3" xfId="1977" xr:uid="{00000000-0005-0000-0000-00009A7D0000}"/>
    <cellStyle name="40% - Accent6 2 2 2 2 3 2" xfId="6245" xr:uid="{00000000-0005-0000-0000-00009B7D0000}"/>
    <cellStyle name="40% - Accent6 2 2 2 2 3 2 2" xfId="13345" xr:uid="{00000000-0005-0000-0000-00009C7D0000}"/>
    <cellStyle name="40% - Accent6 2 2 2 2 3 2 3" xfId="20446" xr:uid="{00000000-0005-0000-0000-00009D7D0000}"/>
    <cellStyle name="40% - Accent6 2 2 2 2 3 2 4" xfId="27548" xr:uid="{00000000-0005-0000-0000-00009E7D0000}"/>
    <cellStyle name="40% - Accent6 2 2 2 2 3 2 5" xfId="34650" xr:uid="{00000000-0005-0000-0000-00009F7D0000}"/>
    <cellStyle name="40% - Accent6 2 2 2 2 3 2 6" xfId="40231" xr:uid="{00000000-0005-0000-0000-0000A07D0000}"/>
    <cellStyle name="40% - Accent6 2 2 2 2 3 3" xfId="9085" xr:uid="{00000000-0005-0000-0000-0000A17D0000}"/>
    <cellStyle name="40% - Accent6 2 2 2 2 3 4" xfId="16186" xr:uid="{00000000-0005-0000-0000-0000A27D0000}"/>
    <cellStyle name="40% - Accent6 2 2 2 2 3 5" xfId="23288" xr:uid="{00000000-0005-0000-0000-0000A37D0000}"/>
    <cellStyle name="40% - Accent6 2 2 2 2 3 6" xfId="30390" xr:uid="{00000000-0005-0000-0000-0000A47D0000}"/>
    <cellStyle name="40% - Accent6 2 2 2 2 3 7" xfId="40232" xr:uid="{00000000-0005-0000-0000-0000A57D0000}"/>
    <cellStyle name="40% - Accent6 2 2 2 2 4" xfId="4824" xr:uid="{00000000-0005-0000-0000-0000A67D0000}"/>
    <cellStyle name="40% - Accent6 2 2 2 2 4 2" xfId="11925" xr:uid="{00000000-0005-0000-0000-0000A77D0000}"/>
    <cellStyle name="40% - Accent6 2 2 2 2 4 3" xfId="19026" xr:uid="{00000000-0005-0000-0000-0000A87D0000}"/>
    <cellStyle name="40% - Accent6 2 2 2 2 4 4" xfId="26128" xr:uid="{00000000-0005-0000-0000-0000A97D0000}"/>
    <cellStyle name="40% - Accent6 2 2 2 2 4 5" xfId="33230" xr:uid="{00000000-0005-0000-0000-0000AA7D0000}"/>
    <cellStyle name="40% - Accent6 2 2 2 2 4 6" xfId="40233" xr:uid="{00000000-0005-0000-0000-0000AB7D0000}"/>
    <cellStyle name="40% - Accent6 2 2 2 2 5" xfId="3399" xr:uid="{00000000-0005-0000-0000-0000AC7D0000}"/>
    <cellStyle name="40% - Accent6 2 2 2 2 5 2" xfId="10505" xr:uid="{00000000-0005-0000-0000-0000AD7D0000}"/>
    <cellStyle name="40% - Accent6 2 2 2 2 5 3" xfId="17606" xr:uid="{00000000-0005-0000-0000-0000AE7D0000}"/>
    <cellStyle name="40% - Accent6 2 2 2 2 5 4" xfId="24708" xr:uid="{00000000-0005-0000-0000-0000AF7D0000}"/>
    <cellStyle name="40% - Accent6 2 2 2 2 5 5" xfId="31810" xr:uid="{00000000-0005-0000-0000-0000B07D0000}"/>
    <cellStyle name="40% - Accent6 2 2 2 2 6" xfId="7665" xr:uid="{00000000-0005-0000-0000-0000B17D0000}"/>
    <cellStyle name="40% - Accent6 2 2 2 2 7" xfId="14766" xr:uid="{00000000-0005-0000-0000-0000B27D0000}"/>
    <cellStyle name="40% - Accent6 2 2 2 2 8" xfId="21868" xr:uid="{00000000-0005-0000-0000-0000B37D0000}"/>
    <cellStyle name="40% - Accent6 2 2 2 2 9" xfId="28970" xr:uid="{00000000-0005-0000-0000-0000B47D0000}"/>
    <cellStyle name="40% - Accent6 2 2 2 3" xfId="699" xr:uid="{00000000-0005-0000-0000-0000B57D0000}"/>
    <cellStyle name="40% - Accent6 2 2 2 3 2" xfId="2190" xr:uid="{00000000-0005-0000-0000-0000B67D0000}"/>
    <cellStyle name="40% - Accent6 2 2 2 3 2 2" xfId="6458" xr:uid="{00000000-0005-0000-0000-0000B77D0000}"/>
    <cellStyle name="40% - Accent6 2 2 2 3 2 2 2" xfId="13558" xr:uid="{00000000-0005-0000-0000-0000B87D0000}"/>
    <cellStyle name="40% - Accent6 2 2 2 3 2 2 3" xfId="20659" xr:uid="{00000000-0005-0000-0000-0000B97D0000}"/>
    <cellStyle name="40% - Accent6 2 2 2 3 2 2 4" xfId="27761" xr:uid="{00000000-0005-0000-0000-0000BA7D0000}"/>
    <cellStyle name="40% - Accent6 2 2 2 3 2 2 5" xfId="34863" xr:uid="{00000000-0005-0000-0000-0000BB7D0000}"/>
    <cellStyle name="40% - Accent6 2 2 2 3 2 2 6" xfId="40234" xr:uid="{00000000-0005-0000-0000-0000BC7D0000}"/>
    <cellStyle name="40% - Accent6 2 2 2 3 2 3" xfId="9298" xr:uid="{00000000-0005-0000-0000-0000BD7D0000}"/>
    <cellStyle name="40% - Accent6 2 2 2 3 2 4" xfId="16399" xr:uid="{00000000-0005-0000-0000-0000BE7D0000}"/>
    <cellStyle name="40% - Accent6 2 2 2 3 2 5" xfId="23501" xr:uid="{00000000-0005-0000-0000-0000BF7D0000}"/>
    <cellStyle name="40% - Accent6 2 2 2 3 2 6" xfId="30603" xr:uid="{00000000-0005-0000-0000-0000C07D0000}"/>
    <cellStyle name="40% - Accent6 2 2 2 3 2 7" xfId="40235" xr:uid="{00000000-0005-0000-0000-0000C17D0000}"/>
    <cellStyle name="40% - Accent6 2 2 2 3 3" xfId="5037" xr:uid="{00000000-0005-0000-0000-0000C27D0000}"/>
    <cellStyle name="40% - Accent6 2 2 2 3 3 2" xfId="12138" xr:uid="{00000000-0005-0000-0000-0000C37D0000}"/>
    <cellStyle name="40% - Accent6 2 2 2 3 3 2 2" xfId="40236" xr:uid="{00000000-0005-0000-0000-0000C47D0000}"/>
    <cellStyle name="40% - Accent6 2 2 2 3 3 3" xfId="19239" xr:uid="{00000000-0005-0000-0000-0000C57D0000}"/>
    <cellStyle name="40% - Accent6 2 2 2 3 3 4" xfId="26341" xr:uid="{00000000-0005-0000-0000-0000C67D0000}"/>
    <cellStyle name="40% - Accent6 2 2 2 3 3 5" xfId="33443" xr:uid="{00000000-0005-0000-0000-0000C77D0000}"/>
    <cellStyle name="40% - Accent6 2 2 2 3 3 6" xfId="40237" xr:uid="{00000000-0005-0000-0000-0000C87D0000}"/>
    <cellStyle name="40% - Accent6 2 2 2 3 4" xfId="3612" xr:uid="{00000000-0005-0000-0000-0000C97D0000}"/>
    <cellStyle name="40% - Accent6 2 2 2 3 4 2" xfId="10718" xr:uid="{00000000-0005-0000-0000-0000CA7D0000}"/>
    <cellStyle name="40% - Accent6 2 2 2 3 4 3" xfId="17819" xr:uid="{00000000-0005-0000-0000-0000CB7D0000}"/>
    <cellStyle name="40% - Accent6 2 2 2 3 4 4" xfId="24921" xr:uid="{00000000-0005-0000-0000-0000CC7D0000}"/>
    <cellStyle name="40% - Accent6 2 2 2 3 4 5" xfId="32023" xr:uid="{00000000-0005-0000-0000-0000CD7D0000}"/>
    <cellStyle name="40% - Accent6 2 2 2 3 4 6" xfId="40238" xr:uid="{00000000-0005-0000-0000-0000CE7D0000}"/>
    <cellStyle name="40% - Accent6 2 2 2 3 5" xfId="7878" xr:uid="{00000000-0005-0000-0000-0000CF7D0000}"/>
    <cellStyle name="40% - Accent6 2 2 2 3 6" xfId="14979" xr:uid="{00000000-0005-0000-0000-0000D07D0000}"/>
    <cellStyle name="40% - Accent6 2 2 2 3 7" xfId="22081" xr:uid="{00000000-0005-0000-0000-0000D17D0000}"/>
    <cellStyle name="40% - Accent6 2 2 2 3 8" xfId="29183" xr:uid="{00000000-0005-0000-0000-0000D27D0000}"/>
    <cellStyle name="40% - Accent6 2 2 2 3 9" xfId="40239" xr:uid="{00000000-0005-0000-0000-0000D37D0000}"/>
    <cellStyle name="40% - Accent6 2 2 2 4" xfId="912" xr:uid="{00000000-0005-0000-0000-0000D47D0000}"/>
    <cellStyle name="40% - Accent6 2 2 2 4 2" xfId="2403" xr:uid="{00000000-0005-0000-0000-0000D57D0000}"/>
    <cellStyle name="40% - Accent6 2 2 2 4 2 2" xfId="6671" xr:uid="{00000000-0005-0000-0000-0000D67D0000}"/>
    <cellStyle name="40% - Accent6 2 2 2 4 2 2 2" xfId="13771" xr:uid="{00000000-0005-0000-0000-0000D77D0000}"/>
    <cellStyle name="40% - Accent6 2 2 2 4 2 2 3" xfId="20872" xr:uid="{00000000-0005-0000-0000-0000D87D0000}"/>
    <cellStyle name="40% - Accent6 2 2 2 4 2 2 4" xfId="27974" xr:uid="{00000000-0005-0000-0000-0000D97D0000}"/>
    <cellStyle name="40% - Accent6 2 2 2 4 2 2 5" xfId="35076" xr:uid="{00000000-0005-0000-0000-0000DA7D0000}"/>
    <cellStyle name="40% - Accent6 2 2 2 4 2 2 6" xfId="40240" xr:uid="{00000000-0005-0000-0000-0000DB7D0000}"/>
    <cellStyle name="40% - Accent6 2 2 2 4 2 3" xfId="9511" xr:uid="{00000000-0005-0000-0000-0000DC7D0000}"/>
    <cellStyle name="40% - Accent6 2 2 2 4 2 4" xfId="16612" xr:uid="{00000000-0005-0000-0000-0000DD7D0000}"/>
    <cellStyle name="40% - Accent6 2 2 2 4 2 5" xfId="23714" xr:uid="{00000000-0005-0000-0000-0000DE7D0000}"/>
    <cellStyle name="40% - Accent6 2 2 2 4 2 6" xfId="30816" xr:uid="{00000000-0005-0000-0000-0000DF7D0000}"/>
    <cellStyle name="40% - Accent6 2 2 2 4 2 7" xfId="40241" xr:uid="{00000000-0005-0000-0000-0000E07D0000}"/>
    <cellStyle name="40% - Accent6 2 2 2 4 3" xfId="5250" xr:uid="{00000000-0005-0000-0000-0000E17D0000}"/>
    <cellStyle name="40% - Accent6 2 2 2 4 3 2" xfId="12351" xr:uid="{00000000-0005-0000-0000-0000E27D0000}"/>
    <cellStyle name="40% - Accent6 2 2 2 4 3 2 2" xfId="40242" xr:uid="{00000000-0005-0000-0000-0000E37D0000}"/>
    <cellStyle name="40% - Accent6 2 2 2 4 3 3" xfId="19452" xr:uid="{00000000-0005-0000-0000-0000E47D0000}"/>
    <cellStyle name="40% - Accent6 2 2 2 4 3 4" xfId="26554" xr:uid="{00000000-0005-0000-0000-0000E57D0000}"/>
    <cellStyle name="40% - Accent6 2 2 2 4 3 5" xfId="33656" xr:uid="{00000000-0005-0000-0000-0000E67D0000}"/>
    <cellStyle name="40% - Accent6 2 2 2 4 3 6" xfId="40243" xr:uid="{00000000-0005-0000-0000-0000E77D0000}"/>
    <cellStyle name="40% - Accent6 2 2 2 4 4" xfId="3825" xr:uid="{00000000-0005-0000-0000-0000E87D0000}"/>
    <cellStyle name="40% - Accent6 2 2 2 4 4 2" xfId="10931" xr:uid="{00000000-0005-0000-0000-0000E97D0000}"/>
    <cellStyle name="40% - Accent6 2 2 2 4 4 3" xfId="18032" xr:uid="{00000000-0005-0000-0000-0000EA7D0000}"/>
    <cellStyle name="40% - Accent6 2 2 2 4 4 4" xfId="25134" xr:uid="{00000000-0005-0000-0000-0000EB7D0000}"/>
    <cellStyle name="40% - Accent6 2 2 2 4 4 5" xfId="32236" xr:uid="{00000000-0005-0000-0000-0000EC7D0000}"/>
    <cellStyle name="40% - Accent6 2 2 2 4 4 6" xfId="40244" xr:uid="{00000000-0005-0000-0000-0000ED7D0000}"/>
    <cellStyle name="40% - Accent6 2 2 2 4 5" xfId="8091" xr:uid="{00000000-0005-0000-0000-0000EE7D0000}"/>
    <cellStyle name="40% - Accent6 2 2 2 4 6" xfId="15192" xr:uid="{00000000-0005-0000-0000-0000EF7D0000}"/>
    <cellStyle name="40% - Accent6 2 2 2 4 7" xfId="22294" xr:uid="{00000000-0005-0000-0000-0000F07D0000}"/>
    <cellStyle name="40% - Accent6 2 2 2 4 8" xfId="29396" xr:uid="{00000000-0005-0000-0000-0000F17D0000}"/>
    <cellStyle name="40% - Accent6 2 2 2 4 9" xfId="40245" xr:uid="{00000000-0005-0000-0000-0000F27D0000}"/>
    <cellStyle name="40% - Accent6 2 2 2 5" xfId="1054" xr:uid="{00000000-0005-0000-0000-0000F37D0000}"/>
    <cellStyle name="40% - Accent6 2 2 2 5 2" xfId="2545" xr:uid="{00000000-0005-0000-0000-0000F47D0000}"/>
    <cellStyle name="40% - Accent6 2 2 2 5 2 2" xfId="6813" xr:uid="{00000000-0005-0000-0000-0000F57D0000}"/>
    <cellStyle name="40% - Accent6 2 2 2 5 2 2 2" xfId="13913" xr:uid="{00000000-0005-0000-0000-0000F67D0000}"/>
    <cellStyle name="40% - Accent6 2 2 2 5 2 2 3" xfId="21014" xr:uid="{00000000-0005-0000-0000-0000F77D0000}"/>
    <cellStyle name="40% - Accent6 2 2 2 5 2 2 4" xfId="28116" xr:uid="{00000000-0005-0000-0000-0000F87D0000}"/>
    <cellStyle name="40% - Accent6 2 2 2 5 2 2 5" xfId="35218" xr:uid="{00000000-0005-0000-0000-0000F97D0000}"/>
    <cellStyle name="40% - Accent6 2 2 2 5 2 3" xfId="9653" xr:uid="{00000000-0005-0000-0000-0000FA7D0000}"/>
    <cellStyle name="40% - Accent6 2 2 2 5 2 4" xfId="16754" xr:uid="{00000000-0005-0000-0000-0000FB7D0000}"/>
    <cellStyle name="40% - Accent6 2 2 2 5 2 5" xfId="23856" xr:uid="{00000000-0005-0000-0000-0000FC7D0000}"/>
    <cellStyle name="40% - Accent6 2 2 2 5 2 6" xfId="30958" xr:uid="{00000000-0005-0000-0000-0000FD7D0000}"/>
    <cellStyle name="40% - Accent6 2 2 2 5 2 7" xfId="40246" xr:uid="{00000000-0005-0000-0000-0000FE7D0000}"/>
    <cellStyle name="40% - Accent6 2 2 2 5 3" xfId="5392" xr:uid="{00000000-0005-0000-0000-0000FF7D0000}"/>
    <cellStyle name="40% - Accent6 2 2 2 5 3 2" xfId="12493" xr:uid="{00000000-0005-0000-0000-0000007E0000}"/>
    <cellStyle name="40% - Accent6 2 2 2 5 3 3" xfId="19594" xr:uid="{00000000-0005-0000-0000-0000017E0000}"/>
    <cellStyle name="40% - Accent6 2 2 2 5 3 4" xfId="26696" xr:uid="{00000000-0005-0000-0000-0000027E0000}"/>
    <cellStyle name="40% - Accent6 2 2 2 5 3 5" xfId="33798" xr:uid="{00000000-0005-0000-0000-0000037E0000}"/>
    <cellStyle name="40% - Accent6 2 2 2 5 4" xfId="3967" xr:uid="{00000000-0005-0000-0000-0000047E0000}"/>
    <cellStyle name="40% - Accent6 2 2 2 5 4 2" xfId="11073" xr:uid="{00000000-0005-0000-0000-0000057E0000}"/>
    <cellStyle name="40% - Accent6 2 2 2 5 4 3" xfId="18174" xr:uid="{00000000-0005-0000-0000-0000067E0000}"/>
    <cellStyle name="40% - Accent6 2 2 2 5 4 4" xfId="25276" xr:uid="{00000000-0005-0000-0000-0000077E0000}"/>
    <cellStyle name="40% - Accent6 2 2 2 5 4 5" xfId="32378" xr:uid="{00000000-0005-0000-0000-0000087E0000}"/>
    <cellStyle name="40% - Accent6 2 2 2 5 5" xfId="8233" xr:uid="{00000000-0005-0000-0000-0000097E0000}"/>
    <cellStyle name="40% - Accent6 2 2 2 5 6" xfId="15334" xr:uid="{00000000-0005-0000-0000-00000A7E0000}"/>
    <cellStyle name="40% - Accent6 2 2 2 5 7" xfId="22436" xr:uid="{00000000-0005-0000-0000-00000B7E0000}"/>
    <cellStyle name="40% - Accent6 2 2 2 5 8" xfId="29538" xr:uid="{00000000-0005-0000-0000-00000C7E0000}"/>
    <cellStyle name="40% - Accent6 2 2 2 5 9" xfId="40247" xr:uid="{00000000-0005-0000-0000-00000D7E0000}"/>
    <cellStyle name="40% - Accent6 2 2 2 6" xfId="1480" xr:uid="{00000000-0005-0000-0000-00000E7E0000}"/>
    <cellStyle name="40% - Accent6 2 2 2 6 2" xfId="2971" xr:uid="{00000000-0005-0000-0000-00000F7E0000}"/>
    <cellStyle name="40% - Accent6 2 2 2 6 2 2" xfId="7239" xr:uid="{00000000-0005-0000-0000-0000107E0000}"/>
    <cellStyle name="40% - Accent6 2 2 2 6 2 2 2" xfId="14339" xr:uid="{00000000-0005-0000-0000-0000117E0000}"/>
    <cellStyle name="40% - Accent6 2 2 2 6 2 2 3" xfId="21440" xr:uid="{00000000-0005-0000-0000-0000127E0000}"/>
    <cellStyle name="40% - Accent6 2 2 2 6 2 2 4" xfId="28542" xr:uid="{00000000-0005-0000-0000-0000137E0000}"/>
    <cellStyle name="40% - Accent6 2 2 2 6 2 2 5" xfId="35644" xr:uid="{00000000-0005-0000-0000-0000147E0000}"/>
    <cellStyle name="40% - Accent6 2 2 2 6 2 3" xfId="10079" xr:uid="{00000000-0005-0000-0000-0000157E0000}"/>
    <cellStyle name="40% - Accent6 2 2 2 6 2 4" xfId="17180" xr:uid="{00000000-0005-0000-0000-0000167E0000}"/>
    <cellStyle name="40% - Accent6 2 2 2 6 2 5" xfId="24282" xr:uid="{00000000-0005-0000-0000-0000177E0000}"/>
    <cellStyle name="40% - Accent6 2 2 2 6 2 6" xfId="31384" xr:uid="{00000000-0005-0000-0000-0000187E0000}"/>
    <cellStyle name="40% - Accent6 2 2 2 6 2 7" xfId="40248" xr:uid="{00000000-0005-0000-0000-0000197E0000}"/>
    <cellStyle name="40% - Accent6 2 2 2 6 3" xfId="5818" xr:uid="{00000000-0005-0000-0000-00001A7E0000}"/>
    <cellStyle name="40% - Accent6 2 2 2 6 3 2" xfId="12919" xr:uid="{00000000-0005-0000-0000-00001B7E0000}"/>
    <cellStyle name="40% - Accent6 2 2 2 6 3 3" xfId="20020" xr:uid="{00000000-0005-0000-0000-00001C7E0000}"/>
    <cellStyle name="40% - Accent6 2 2 2 6 3 4" xfId="27122" xr:uid="{00000000-0005-0000-0000-00001D7E0000}"/>
    <cellStyle name="40% - Accent6 2 2 2 6 3 5" xfId="34224" xr:uid="{00000000-0005-0000-0000-00001E7E0000}"/>
    <cellStyle name="40% - Accent6 2 2 2 6 4" xfId="4393" xr:uid="{00000000-0005-0000-0000-00001F7E0000}"/>
    <cellStyle name="40% - Accent6 2 2 2 6 4 2" xfId="11499" xr:uid="{00000000-0005-0000-0000-0000207E0000}"/>
    <cellStyle name="40% - Accent6 2 2 2 6 4 3" xfId="18600" xr:uid="{00000000-0005-0000-0000-0000217E0000}"/>
    <cellStyle name="40% - Accent6 2 2 2 6 4 4" xfId="25702" xr:uid="{00000000-0005-0000-0000-0000227E0000}"/>
    <cellStyle name="40% - Accent6 2 2 2 6 4 5" xfId="32804" xr:uid="{00000000-0005-0000-0000-0000237E0000}"/>
    <cellStyle name="40% - Accent6 2 2 2 6 5" xfId="8659" xr:uid="{00000000-0005-0000-0000-0000247E0000}"/>
    <cellStyle name="40% - Accent6 2 2 2 6 6" xfId="15760" xr:uid="{00000000-0005-0000-0000-0000257E0000}"/>
    <cellStyle name="40% - Accent6 2 2 2 6 7" xfId="22862" xr:uid="{00000000-0005-0000-0000-0000267E0000}"/>
    <cellStyle name="40% - Accent6 2 2 2 6 8" xfId="29964" xr:uid="{00000000-0005-0000-0000-0000277E0000}"/>
    <cellStyle name="40% - Accent6 2 2 2 6 9" xfId="40249" xr:uid="{00000000-0005-0000-0000-0000287E0000}"/>
    <cellStyle name="40% - Accent6 2 2 2 7" xfId="1764" xr:uid="{00000000-0005-0000-0000-0000297E0000}"/>
    <cellStyle name="40% - Accent6 2 2 2 7 2" xfId="6032" xr:uid="{00000000-0005-0000-0000-00002A7E0000}"/>
    <cellStyle name="40% - Accent6 2 2 2 7 2 2" xfId="13132" xr:uid="{00000000-0005-0000-0000-00002B7E0000}"/>
    <cellStyle name="40% - Accent6 2 2 2 7 2 3" xfId="20233" xr:uid="{00000000-0005-0000-0000-00002C7E0000}"/>
    <cellStyle name="40% - Accent6 2 2 2 7 2 4" xfId="27335" xr:uid="{00000000-0005-0000-0000-00002D7E0000}"/>
    <cellStyle name="40% - Accent6 2 2 2 7 2 5" xfId="34437" xr:uid="{00000000-0005-0000-0000-00002E7E0000}"/>
    <cellStyle name="40% - Accent6 2 2 2 7 3" xfId="8872" xr:uid="{00000000-0005-0000-0000-00002F7E0000}"/>
    <cellStyle name="40% - Accent6 2 2 2 7 4" xfId="15973" xr:uid="{00000000-0005-0000-0000-0000307E0000}"/>
    <cellStyle name="40% - Accent6 2 2 2 7 5" xfId="23075" xr:uid="{00000000-0005-0000-0000-0000317E0000}"/>
    <cellStyle name="40% - Accent6 2 2 2 7 6" xfId="30177" xr:uid="{00000000-0005-0000-0000-0000327E0000}"/>
    <cellStyle name="40% - Accent6 2 2 2 7 7" xfId="40250" xr:uid="{00000000-0005-0000-0000-0000337E0000}"/>
    <cellStyle name="40% - Accent6 2 2 2 8" xfId="4611" xr:uid="{00000000-0005-0000-0000-0000347E0000}"/>
    <cellStyle name="40% - Accent6 2 2 2 8 2" xfId="11712" xr:uid="{00000000-0005-0000-0000-0000357E0000}"/>
    <cellStyle name="40% - Accent6 2 2 2 8 3" xfId="18813" xr:uid="{00000000-0005-0000-0000-0000367E0000}"/>
    <cellStyle name="40% - Accent6 2 2 2 8 4" xfId="25915" xr:uid="{00000000-0005-0000-0000-0000377E0000}"/>
    <cellStyle name="40% - Accent6 2 2 2 8 5" xfId="33017" xr:uid="{00000000-0005-0000-0000-0000387E0000}"/>
    <cellStyle name="40% - Accent6 2 2 2 9" xfId="3186" xr:uid="{00000000-0005-0000-0000-0000397E0000}"/>
    <cellStyle name="40% - Accent6 2 2 2 9 2" xfId="10292" xr:uid="{00000000-0005-0000-0000-00003A7E0000}"/>
    <cellStyle name="40% - Accent6 2 2 2 9 3" xfId="17393" xr:uid="{00000000-0005-0000-0000-00003B7E0000}"/>
    <cellStyle name="40% - Accent6 2 2 2 9 4" xfId="24495" xr:uid="{00000000-0005-0000-0000-00003C7E0000}"/>
    <cellStyle name="40% - Accent6 2 2 2 9 5" xfId="31597" xr:uid="{00000000-0005-0000-0000-00003D7E0000}"/>
    <cellStyle name="40% - Accent6 2 2 3" xfId="202" xr:uid="{00000000-0005-0000-0000-00003E7E0000}"/>
    <cellStyle name="40% - Accent6 2 2 3 10" xfId="7381" xr:uid="{00000000-0005-0000-0000-00003F7E0000}"/>
    <cellStyle name="40% - Accent6 2 2 3 11" xfId="14482" xr:uid="{00000000-0005-0000-0000-0000407E0000}"/>
    <cellStyle name="40% - Accent6 2 2 3 12" xfId="21584" xr:uid="{00000000-0005-0000-0000-0000417E0000}"/>
    <cellStyle name="40% - Accent6 2 2 3 13" xfId="28686" xr:uid="{00000000-0005-0000-0000-0000427E0000}"/>
    <cellStyle name="40% - Accent6 2 2 3 14" xfId="35788" xr:uid="{00000000-0005-0000-0000-0000437E0000}"/>
    <cellStyle name="40% - Accent6 2 2 3 15" xfId="40251" xr:uid="{00000000-0005-0000-0000-0000447E0000}"/>
    <cellStyle name="40% - Accent6 2 2 3 2" xfId="415" xr:uid="{00000000-0005-0000-0000-0000457E0000}"/>
    <cellStyle name="40% - Accent6 2 2 3 2 2" xfId="1906" xr:uid="{00000000-0005-0000-0000-0000467E0000}"/>
    <cellStyle name="40% - Accent6 2 2 3 2 2 2" xfId="6174" xr:uid="{00000000-0005-0000-0000-0000477E0000}"/>
    <cellStyle name="40% - Accent6 2 2 3 2 2 2 2" xfId="13274" xr:uid="{00000000-0005-0000-0000-0000487E0000}"/>
    <cellStyle name="40% - Accent6 2 2 3 2 2 2 3" xfId="20375" xr:uid="{00000000-0005-0000-0000-0000497E0000}"/>
    <cellStyle name="40% - Accent6 2 2 3 2 2 2 4" xfId="27477" xr:uid="{00000000-0005-0000-0000-00004A7E0000}"/>
    <cellStyle name="40% - Accent6 2 2 3 2 2 2 5" xfId="34579" xr:uid="{00000000-0005-0000-0000-00004B7E0000}"/>
    <cellStyle name="40% - Accent6 2 2 3 2 2 2 6" xfId="40252" xr:uid="{00000000-0005-0000-0000-00004C7E0000}"/>
    <cellStyle name="40% - Accent6 2 2 3 2 2 3" xfId="9014" xr:uid="{00000000-0005-0000-0000-00004D7E0000}"/>
    <cellStyle name="40% - Accent6 2 2 3 2 2 4" xfId="16115" xr:uid="{00000000-0005-0000-0000-00004E7E0000}"/>
    <cellStyle name="40% - Accent6 2 2 3 2 2 5" xfId="23217" xr:uid="{00000000-0005-0000-0000-00004F7E0000}"/>
    <cellStyle name="40% - Accent6 2 2 3 2 2 6" xfId="30319" xr:uid="{00000000-0005-0000-0000-0000507E0000}"/>
    <cellStyle name="40% - Accent6 2 2 3 2 2 7" xfId="40253" xr:uid="{00000000-0005-0000-0000-0000517E0000}"/>
    <cellStyle name="40% - Accent6 2 2 3 2 3" xfId="4753" xr:uid="{00000000-0005-0000-0000-0000527E0000}"/>
    <cellStyle name="40% - Accent6 2 2 3 2 3 2" xfId="11854" xr:uid="{00000000-0005-0000-0000-0000537E0000}"/>
    <cellStyle name="40% - Accent6 2 2 3 2 3 2 2" xfId="40254" xr:uid="{00000000-0005-0000-0000-0000547E0000}"/>
    <cellStyle name="40% - Accent6 2 2 3 2 3 3" xfId="18955" xr:uid="{00000000-0005-0000-0000-0000557E0000}"/>
    <cellStyle name="40% - Accent6 2 2 3 2 3 4" xfId="26057" xr:uid="{00000000-0005-0000-0000-0000567E0000}"/>
    <cellStyle name="40% - Accent6 2 2 3 2 3 5" xfId="33159" xr:uid="{00000000-0005-0000-0000-0000577E0000}"/>
    <cellStyle name="40% - Accent6 2 2 3 2 3 6" xfId="40255" xr:uid="{00000000-0005-0000-0000-0000587E0000}"/>
    <cellStyle name="40% - Accent6 2 2 3 2 4" xfId="3328" xr:uid="{00000000-0005-0000-0000-0000597E0000}"/>
    <cellStyle name="40% - Accent6 2 2 3 2 4 2" xfId="10434" xr:uid="{00000000-0005-0000-0000-00005A7E0000}"/>
    <cellStyle name="40% - Accent6 2 2 3 2 4 3" xfId="17535" xr:uid="{00000000-0005-0000-0000-00005B7E0000}"/>
    <cellStyle name="40% - Accent6 2 2 3 2 4 4" xfId="24637" xr:uid="{00000000-0005-0000-0000-00005C7E0000}"/>
    <cellStyle name="40% - Accent6 2 2 3 2 4 5" xfId="31739" xr:uid="{00000000-0005-0000-0000-00005D7E0000}"/>
    <cellStyle name="40% - Accent6 2 2 3 2 4 6" xfId="40256" xr:uid="{00000000-0005-0000-0000-00005E7E0000}"/>
    <cellStyle name="40% - Accent6 2 2 3 2 5" xfId="7594" xr:uid="{00000000-0005-0000-0000-00005F7E0000}"/>
    <cellStyle name="40% - Accent6 2 2 3 2 6" xfId="14695" xr:uid="{00000000-0005-0000-0000-0000607E0000}"/>
    <cellStyle name="40% - Accent6 2 2 3 2 7" xfId="21797" xr:uid="{00000000-0005-0000-0000-0000617E0000}"/>
    <cellStyle name="40% - Accent6 2 2 3 2 8" xfId="28899" xr:uid="{00000000-0005-0000-0000-0000627E0000}"/>
    <cellStyle name="40% - Accent6 2 2 3 2 9" xfId="40257" xr:uid="{00000000-0005-0000-0000-0000637E0000}"/>
    <cellStyle name="40% - Accent6 2 2 3 3" xfId="628" xr:uid="{00000000-0005-0000-0000-0000647E0000}"/>
    <cellStyle name="40% - Accent6 2 2 3 3 2" xfId="2119" xr:uid="{00000000-0005-0000-0000-0000657E0000}"/>
    <cellStyle name="40% - Accent6 2 2 3 3 2 2" xfId="6387" xr:uid="{00000000-0005-0000-0000-0000667E0000}"/>
    <cellStyle name="40% - Accent6 2 2 3 3 2 2 2" xfId="13487" xr:uid="{00000000-0005-0000-0000-0000677E0000}"/>
    <cellStyle name="40% - Accent6 2 2 3 3 2 2 3" xfId="20588" xr:uid="{00000000-0005-0000-0000-0000687E0000}"/>
    <cellStyle name="40% - Accent6 2 2 3 3 2 2 4" xfId="27690" xr:uid="{00000000-0005-0000-0000-0000697E0000}"/>
    <cellStyle name="40% - Accent6 2 2 3 3 2 2 5" xfId="34792" xr:uid="{00000000-0005-0000-0000-00006A7E0000}"/>
    <cellStyle name="40% - Accent6 2 2 3 3 2 2 6" xfId="40258" xr:uid="{00000000-0005-0000-0000-00006B7E0000}"/>
    <cellStyle name="40% - Accent6 2 2 3 3 2 3" xfId="9227" xr:uid="{00000000-0005-0000-0000-00006C7E0000}"/>
    <cellStyle name="40% - Accent6 2 2 3 3 2 4" xfId="16328" xr:uid="{00000000-0005-0000-0000-00006D7E0000}"/>
    <cellStyle name="40% - Accent6 2 2 3 3 2 5" xfId="23430" xr:uid="{00000000-0005-0000-0000-00006E7E0000}"/>
    <cellStyle name="40% - Accent6 2 2 3 3 2 6" xfId="30532" xr:uid="{00000000-0005-0000-0000-00006F7E0000}"/>
    <cellStyle name="40% - Accent6 2 2 3 3 2 7" xfId="40259" xr:uid="{00000000-0005-0000-0000-0000707E0000}"/>
    <cellStyle name="40% - Accent6 2 2 3 3 3" xfId="4966" xr:uid="{00000000-0005-0000-0000-0000717E0000}"/>
    <cellStyle name="40% - Accent6 2 2 3 3 3 2" xfId="12067" xr:uid="{00000000-0005-0000-0000-0000727E0000}"/>
    <cellStyle name="40% - Accent6 2 2 3 3 3 2 2" xfId="40260" xr:uid="{00000000-0005-0000-0000-0000737E0000}"/>
    <cellStyle name="40% - Accent6 2 2 3 3 3 3" xfId="19168" xr:uid="{00000000-0005-0000-0000-0000747E0000}"/>
    <cellStyle name="40% - Accent6 2 2 3 3 3 4" xfId="26270" xr:uid="{00000000-0005-0000-0000-0000757E0000}"/>
    <cellStyle name="40% - Accent6 2 2 3 3 3 5" xfId="33372" xr:uid="{00000000-0005-0000-0000-0000767E0000}"/>
    <cellStyle name="40% - Accent6 2 2 3 3 3 6" xfId="40261" xr:uid="{00000000-0005-0000-0000-0000777E0000}"/>
    <cellStyle name="40% - Accent6 2 2 3 3 4" xfId="3541" xr:uid="{00000000-0005-0000-0000-0000787E0000}"/>
    <cellStyle name="40% - Accent6 2 2 3 3 4 2" xfId="10647" xr:uid="{00000000-0005-0000-0000-0000797E0000}"/>
    <cellStyle name="40% - Accent6 2 2 3 3 4 3" xfId="17748" xr:uid="{00000000-0005-0000-0000-00007A7E0000}"/>
    <cellStyle name="40% - Accent6 2 2 3 3 4 4" xfId="24850" xr:uid="{00000000-0005-0000-0000-00007B7E0000}"/>
    <cellStyle name="40% - Accent6 2 2 3 3 4 5" xfId="31952" xr:uid="{00000000-0005-0000-0000-00007C7E0000}"/>
    <cellStyle name="40% - Accent6 2 2 3 3 4 6" xfId="40262" xr:uid="{00000000-0005-0000-0000-00007D7E0000}"/>
    <cellStyle name="40% - Accent6 2 2 3 3 5" xfId="7807" xr:uid="{00000000-0005-0000-0000-00007E7E0000}"/>
    <cellStyle name="40% - Accent6 2 2 3 3 6" xfId="14908" xr:uid="{00000000-0005-0000-0000-00007F7E0000}"/>
    <cellStyle name="40% - Accent6 2 2 3 3 7" xfId="22010" xr:uid="{00000000-0005-0000-0000-0000807E0000}"/>
    <cellStyle name="40% - Accent6 2 2 3 3 8" xfId="29112" xr:uid="{00000000-0005-0000-0000-0000817E0000}"/>
    <cellStyle name="40% - Accent6 2 2 3 3 9" xfId="40263" xr:uid="{00000000-0005-0000-0000-0000827E0000}"/>
    <cellStyle name="40% - Accent6 2 2 3 4" xfId="841" xr:uid="{00000000-0005-0000-0000-0000837E0000}"/>
    <cellStyle name="40% - Accent6 2 2 3 4 2" xfId="2332" xr:uid="{00000000-0005-0000-0000-0000847E0000}"/>
    <cellStyle name="40% - Accent6 2 2 3 4 2 2" xfId="6600" xr:uid="{00000000-0005-0000-0000-0000857E0000}"/>
    <cellStyle name="40% - Accent6 2 2 3 4 2 2 2" xfId="13700" xr:uid="{00000000-0005-0000-0000-0000867E0000}"/>
    <cellStyle name="40% - Accent6 2 2 3 4 2 2 3" xfId="20801" xr:uid="{00000000-0005-0000-0000-0000877E0000}"/>
    <cellStyle name="40% - Accent6 2 2 3 4 2 2 4" xfId="27903" xr:uid="{00000000-0005-0000-0000-0000887E0000}"/>
    <cellStyle name="40% - Accent6 2 2 3 4 2 2 5" xfId="35005" xr:uid="{00000000-0005-0000-0000-0000897E0000}"/>
    <cellStyle name="40% - Accent6 2 2 3 4 2 2 6" xfId="40264" xr:uid="{00000000-0005-0000-0000-00008A7E0000}"/>
    <cellStyle name="40% - Accent6 2 2 3 4 2 3" xfId="9440" xr:uid="{00000000-0005-0000-0000-00008B7E0000}"/>
    <cellStyle name="40% - Accent6 2 2 3 4 2 4" xfId="16541" xr:uid="{00000000-0005-0000-0000-00008C7E0000}"/>
    <cellStyle name="40% - Accent6 2 2 3 4 2 5" xfId="23643" xr:uid="{00000000-0005-0000-0000-00008D7E0000}"/>
    <cellStyle name="40% - Accent6 2 2 3 4 2 6" xfId="30745" xr:uid="{00000000-0005-0000-0000-00008E7E0000}"/>
    <cellStyle name="40% - Accent6 2 2 3 4 2 7" xfId="40265" xr:uid="{00000000-0005-0000-0000-00008F7E0000}"/>
    <cellStyle name="40% - Accent6 2 2 3 4 3" xfId="5179" xr:uid="{00000000-0005-0000-0000-0000907E0000}"/>
    <cellStyle name="40% - Accent6 2 2 3 4 3 2" xfId="12280" xr:uid="{00000000-0005-0000-0000-0000917E0000}"/>
    <cellStyle name="40% - Accent6 2 2 3 4 3 2 2" xfId="40266" xr:uid="{00000000-0005-0000-0000-0000927E0000}"/>
    <cellStyle name="40% - Accent6 2 2 3 4 3 3" xfId="19381" xr:uid="{00000000-0005-0000-0000-0000937E0000}"/>
    <cellStyle name="40% - Accent6 2 2 3 4 3 4" xfId="26483" xr:uid="{00000000-0005-0000-0000-0000947E0000}"/>
    <cellStyle name="40% - Accent6 2 2 3 4 3 5" xfId="33585" xr:uid="{00000000-0005-0000-0000-0000957E0000}"/>
    <cellStyle name="40% - Accent6 2 2 3 4 3 6" xfId="40267" xr:uid="{00000000-0005-0000-0000-0000967E0000}"/>
    <cellStyle name="40% - Accent6 2 2 3 4 4" xfId="3754" xr:uid="{00000000-0005-0000-0000-0000977E0000}"/>
    <cellStyle name="40% - Accent6 2 2 3 4 4 2" xfId="10860" xr:uid="{00000000-0005-0000-0000-0000987E0000}"/>
    <cellStyle name="40% - Accent6 2 2 3 4 4 3" xfId="17961" xr:uid="{00000000-0005-0000-0000-0000997E0000}"/>
    <cellStyle name="40% - Accent6 2 2 3 4 4 4" xfId="25063" xr:uid="{00000000-0005-0000-0000-00009A7E0000}"/>
    <cellStyle name="40% - Accent6 2 2 3 4 4 5" xfId="32165" xr:uid="{00000000-0005-0000-0000-00009B7E0000}"/>
    <cellStyle name="40% - Accent6 2 2 3 4 4 6" xfId="40268" xr:uid="{00000000-0005-0000-0000-00009C7E0000}"/>
    <cellStyle name="40% - Accent6 2 2 3 4 5" xfId="8020" xr:uid="{00000000-0005-0000-0000-00009D7E0000}"/>
    <cellStyle name="40% - Accent6 2 2 3 4 6" xfId="15121" xr:uid="{00000000-0005-0000-0000-00009E7E0000}"/>
    <cellStyle name="40% - Accent6 2 2 3 4 7" xfId="22223" xr:uid="{00000000-0005-0000-0000-00009F7E0000}"/>
    <cellStyle name="40% - Accent6 2 2 3 4 8" xfId="29325" xr:uid="{00000000-0005-0000-0000-0000A07E0000}"/>
    <cellStyle name="40% - Accent6 2 2 3 4 9" xfId="40269" xr:uid="{00000000-0005-0000-0000-0000A17E0000}"/>
    <cellStyle name="40% - Accent6 2 2 3 5" xfId="1196" xr:uid="{00000000-0005-0000-0000-0000A27E0000}"/>
    <cellStyle name="40% - Accent6 2 2 3 5 2" xfId="2687" xr:uid="{00000000-0005-0000-0000-0000A37E0000}"/>
    <cellStyle name="40% - Accent6 2 2 3 5 2 2" xfId="6955" xr:uid="{00000000-0005-0000-0000-0000A47E0000}"/>
    <cellStyle name="40% - Accent6 2 2 3 5 2 2 2" xfId="14055" xr:uid="{00000000-0005-0000-0000-0000A57E0000}"/>
    <cellStyle name="40% - Accent6 2 2 3 5 2 2 3" xfId="21156" xr:uid="{00000000-0005-0000-0000-0000A67E0000}"/>
    <cellStyle name="40% - Accent6 2 2 3 5 2 2 4" xfId="28258" xr:uid="{00000000-0005-0000-0000-0000A77E0000}"/>
    <cellStyle name="40% - Accent6 2 2 3 5 2 2 5" xfId="35360" xr:uid="{00000000-0005-0000-0000-0000A87E0000}"/>
    <cellStyle name="40% - Accent6 2 2 3 5 2 3" xfId="9795" xr:uid="{00000000-0005-0000-0000-0000A97E0000}"/>
    <cellStyle name="40% - Accent6 2 2 3 5 2 4" xfId="16896" xr:uid="{00000000-0005-0000-0000-0000AA7E0000}"/>
    <cellStyle name="40% - Accent6 2 2 3 5 2 5" xfId="23998" xr:uid="{00000000-0005-0000-0000-0000AB7E0000}"/>
    <cellStyle name="40% - Accent6 2 2 3 5 2 6" xfId="31100" xr:uid="{00000000-0005-0000-0000-0000AC7E0000}"/>
    <cellStyle name="40% - Accent6 2 2 3 5 2 7" xfId="40270" xr:uid="{00000000-0005-0000-0000-0000AD7E0000}"/>
    <cellStyle name="40% - Accent6 2 2 3 5 3" xfId="5534" xr:uid="{00000000-0005-0000-0000-0000AE7E0000}"/>
    <cellStyle name="40% - Accent6 2 2 3 5 3 2" xfId="12635" xr:uid="{00000000-0005-0000-0000-0000AF7E0000}"/>
    <cellStyle name="40% - Accent6 2 2 3 5 3 3" xfId="19736" xr:uid="{00000000-0005-0000-0000-0000B07E0000}"/>
    <cellStyle name="40% - Accent6 2 2 3 5 3 4" xfId="26838" xr:uid="{00000000-0005-0000-0000-0000B17E0000}"/>
    <cellStyle name="40% - Accent6 2 2 3 5 3 5" xfId="33940" xr:uid="{00000000-0005-0000-0000-0000B27E0000}"/>
    <cellStyle name="40% - Accent6 2 2 3 5 4" xfId="4109" xr:uid="{00000000-0005-0000-0000-0000B37E0000}"/>
    <cellStyle name="40% - Accent6 2 2 3 5 4 2" xfId="11215" xr:uid="{00000000-0005-0000-0000-0000B47E0000}"/>
    <cellStyle name="40% - Accent6 2 2 3 5 4 3" xfId="18316" xr:uid="{00000000-0005-0000-0000-0000B57E0000}"/>
    <cellStyle name="40% - Accent6 2 2 3 5 4 4" xfId="25418" xr:uid="{00000000-0005-0000-0000-0000B67E0000}"/>
    <cellStyle name="40% - Accent6 2 2 3 5 4 5" xfId="32520" xr:uid="{00000000-0005-0000-0000-0000B77E0000}"/>
    <cellStyle name="40% - Accent6 2 2 3 5 5" xfId="8375" xr:uid="{00000000-0005-0000-0000-0000B87E0000}"/>
    <cellStyle name="40% - Accent6 2 2 3 5 6" xfId="15476" xr:uid="{00000000-0005-0000-0000-0000B97E0000}"/>
    <cellStyle name="40% - Accent6 2 2 3 5 7" xfId="22578" xr:uid="{00000000-0005-0000-0000-0000BA7E0000}"/>
    <cellStyle name="40% - Accent6 2 2 3 5 8" xfId="29680" xr:uid="{00000000-0005-0000-0000-0000BB7E0000}"/>
    <cellStyle name="40% - Accent6 2 2 3 5 9" xfId="40271" xr:uid="{00000000-0005-0000-0000-0000BC7E0000}"/>
    <cellStyle name="40% - Accent6 2 2 3 6" xfId="1409" xr:uid="{00000000-0005-0000-0000-0000BD7E0000}"/>
    <cellStyle name="40% - Accent6 2 2 3 6 2" xfId="2900" xr:uid="{00000000-0005-0000-0000-0000BE7E0000}"/>
    <cellStyle name="40% - Accent6 2 2 3 6 2 2" xfId="7168" xr:uid="{00000000-0005-0000-0000-0000BF7E0000}"/>
    <cellStyle name="40% - Accent6 2 2 3 6 2 2 2" xfId="14268" xr:uid="{00000000-0005-0000-0000-0000C07E0000}"/>
    <cellStyle name="40% - Accent6 2 2 3 6 2 2 3" xfId="21369" xr:uid="{00000000-0005-0000-0000-0000C17E0000}"/>
    <cellStyle name="40% - Accent6 2 2 3 6 2 2 4" xfId="28471" xr:uid="{00000000-0005-0000-0000-0000C27E0000}"/>
    <cellStyle name="40% - Accent6 2 2 3 6 2 2 5" xfId="35573" xr:uid="{00000000-0005-0000-0000-0000C37E0000}"/>
    <cellStyle name="40% - Accent6 2 2 3 6 2 3" xfId="10008" xr:uid="{00000000-0005-0000-0000-0000C47E0000}"/>
    <cellStyle name="40% - Accent6 2 2 3 6 2 4" xfId="17109" xr:uid="{00000000-0005-0000-0000-0000C57E0000}"/>
    <cellStyle name="40% - Accent6 2 2 3 6 2 5" xfId="24211" xr:uid="{00000000-0005-0000-0000-0000C67E0000}"/>
    <cellStyle name="40% - Accent6 2 2 3 6 2 6" xfId="31313" xr:uid="{00000000-0005-0000-0000-0000C77E0000}"/>
    <cellStyle name="40% - Accent6 2 2 3 6 2 7" xfId="40272" xr:uid="{00000000-0005-0000-0000-0000C87E0000}"/>
    <cellStyle name="40% - Accent6 2 2 3 6 3" xfId="5747" xr:uid="{00000000-0005-0000-0000-0000C97E0000}"/>
    <cellStyle name="40% - Accent6 2 2 3 6 3 2" xfId="12848" xr:uid="{00000000-0005-0000-0000-0000CA7E0000}"/>
    <cellStyle name="40% - Accent6 2 2 3 6 3 3" xfId="19949" xr:uid="{00000000-0005-0000-0000-0000CB7E0000}"/>
    <cellStyle name="40% - Accent6 2 2 3 6 3 4" xfId="27051" xr:uid="{00000000-0005-0000-0000-0000CC7E0000}"/>
    <cellStyle name="40% - Accent6 2 2 3 6 3 5" xfId="34153" xr:uid="{00000000-0005-0000-0000-0000CD7E0000}"/>
    <cellStyle name="40% - Accent6 2 2 3 6 4" xfId="4322" xr:uid="{00000000-0005-0000-0000-0000CE7E0000}"/>
    <cellStyle name="40% - Accent6 2 2 3 6 4 2" xfId="11428" xr:uid="{00000000-0005-0000-0000-0000CF7E0000}"/>
    <cellStyle name="40% - Accent6 2 2 3 6 4 3" xfId="18529" xr:uid="{00000000-0005-0000-0000-0000D07E0000}"/>
    <cellStyle name="40% - Accent6 2 2 3 6 4 4" xfId="25631" xr:uid="{00000000-0005-0000-0000-0000D17E0000}"/>
    <cellStyle name="40% - Accent6 2 2 3 6 4 5" xfId="32733" xr:uid="{00000000-0005-0000-0000-0000D27E0000}"/>
    <cellStyle name="40% - Accent6 2 2 3 6 5" xfId="8588" xr:uid="{00000000-0005-0000-0000-0000D37E0000}"/>
    <cellStyle name="40% - Accent6 2 2 3 6 6" xfId="15689" xr:uid="{00000000-0005-0000-0000-0000D47E0000}"/>
    <cellStyle name="40% - Accent6 2 2 3 6 7" xfId="22791" xr:uid="{00000000-0005-0000-0000-0000D57E0000}"/>
    <cellStyle name="40% - Accent6 2 2 3 6 8" xfId="29893" xr:uid="{00000000-0005-0000-0000-0000D67E0000}"/>
    <cellStyle name="40% - Accent6 2 2 3 6 9" xfId="40273" xr:uid="{00000000-0005-0000-0000-0000D77E0000}"/>
    <cellStyle name="40% - Accent6 2 2 3 7" xfId="1693" xr:uid="{00000000-0005-0000-0000-0000D87E0000}"/>
    <cellStyle name="40% - Accent6 2 2 3 7 2" xfId="5961" xr:uid="{00000000-0005-0000-0000-0000D97E0000}"/>
    <cellStyle name="40% - Accent6 2 2 3 7 2 2" xfId="13061" xr:uid="{00000000-0005-0000-0000-0000DA7E0000}"/>
    <cellStyle name="40% - Accent6 2 2 3 7 2 3" xfId="20162" xr:uid="{00000000-0005-0000-0000-0000DB7E0000}"/>
    <cellStyle name="40% - Accent6 2 2 3 7 2 4" xfId="27264" xr:uid="{00000000-0005-0000-0000-0000DC7E0000}"/>
    <cellStyle name="40% - Accent6 2 2 3 7 2 5" xfId="34366" xr:uid="{00000000-0005-0000-0000-0000DD7E0000}"/>
    <cellStyle name="40% - Accent6 2 2 3 7 3" xfId="8801" xr:uid="{00000000-0005-0000-0000-0000DE7E0000}"/>
    <cellStyle name="40% - Accent6 2 2 3 7 4" xfId="15902" xr:uid="{00000000-0005-0000-0000-0000DF7E0000}"/>
    <cellStyle name="40% - Accent6 2 2 3 7 5" xfId="23004" xr:uid="{00000000-0005-0000-0000-0000E07E0000}"/>
    <cellStyle name="40% - Accent6 2 2 3 7 6" xfId="30106" xr:uid="{00000000-0005-0000-0000-0000E17E0000}"/>
    <cellStyle name="40% - Accent6 2 2 3 7 7" xfId="40274" xr:uid="{00000000-0005-0000-0000-0000E27E0000}"/>
    <cellStyle name="40% - Accent6 2 2 3 8" xfId="4540" xr:uid="{00000000-0005-0000-0000-0000E37E0000}"/>
    <cellStyle name="40% - Accent6 2 2 3 8 2" xfId="11641" xr:uid="{00000000-0005-0000-0000-0000E47E0000}"/>
    <cellStyle name="40% - Accent6 2 2 3 8 3" xfId="18742" xr:uid="{00000000-0005-0000-0000-0000E57E0000}"/>
    <cellStyle name="40% - Accent6 2 2 3 8 4" xfId="25844" xr:uid="{00000000-0005-0000-0000-0000E67E0000}"/>
    <cellStyle name="40% - Accent6 2 2 3 8 5" xfId="32946" xr:uid="{00000000-0005-0000-0000-0000E77E0000}"/>
    <cellStyle name="40% - Accent6 2 2 3 9" xfId="3115" xr:uid="{00000000-0005-0000-0000-0000E87E0000}"/>
    <cellStyle name="40% - Accent6 2 2 3 9 2" xfId="10221" xr:uid="{00000000-0005-0000-0000-0000E97E0000}"/>
    <cellStyle name="40% - Accent6 2 2 3 9 3" xfId="17322" xr:uid="{00000000-0005-0000-0000-0000EA7E0000}"/>
    <cellStyle name="40% - Accent6 2 2 3 9 4" xfId="24424" xr:uid="{00000000-0005-0000-0000-0000EB7E0000}"/>
    <cellStyle name="40% - Accent6 2 2 3 9 5" xfId="31526" xr:uid="{00000000-0005-0000-0000-0000EC7E0000}"/>
    <cellStyle name="40% - Accent6 2 2 4" xfId="344" xr:uid="{00000000-0005-0000-0000-0000ED7E0000}"/>
    <cellStyle name="40% - Accent6 2 2 4 10" xfId="40275" xr:uid="{00000000-0005-0000-0000-0000EE7E0000}"/>
    <cellStyle name="40% - Accent6 2 2 4 2" xfId="1125" xr:uid="{00000000-0005-0000-0000-0000EF7E0000}"/>
    <cellStyle name="40% - Accent6 2 2 4 2 2" xfId="2616" xr:uid="{00000000-0005-0000-0000-0000F07E0000}"/>
    <cellStyle name="40% - Accent6 2 2 4 2 2 2" xfId="6884" xr:uid="{00000000-0005-0000-0000-0000F17E0000}"/>
    <cellStyle name="40% - Accent6 2 2 4 2 2 2 2" xfId="13984" xr:uid="{00000000-0005-0000-0000-0000F27E0000}"/>
    <cellStyle name="40% - Accent6 2 2 4 2 2 2 3" xfId="21085" xr:uid="{00000000-0005-0000-0000-0000F37E0000}"/>
    <cellStyle name="40% - Accent6 2 2 4 2 2 2 4" xfId="28187" xr:uid="{00000000-0005-0000-0000-0000F47E0000}"/>
    <cellStyle name="40% - Accent6 2 2 4 2 2 2 5" xfId="35289" xr:uid="{00000000-0005-0000-0000-0000F57E0000}"/>
    <cellStyle name="40% - Accent6 2 2 4 2 2 3" xfId="9724" xr:uid="{00000000-0005-0000-0000-0000F67E0000}"/>
    <cellStyle name="40% - Accent6 2 2 4 2 2 4" xfId="16825" xr:uid="{00000000-0005-0000-0000-0000F77E0000}"/>
    <cellStyle name="40% - Accent6 2 2 4 2 2 5" xfId="23927" xr:uid="{00000000-0005-0000-0000-0000F87E0000}"/>
    <cellStyle name="40% - Accent6 2 2 4 2 2 6" xfId="31029" xr:uid="{00000000-0005-0000-0000-0000F97E0000}"/>
    <cellStyle name="40% - Accent6 2 2 4 2 2 7" xfId="40276" xr:uid="{00000000-0005-0000-0000-0000FA7E0000}"/>
    <cellStyle name="40% - Accent6 2 2 4 2 3" xfId="5463" xr:uid="{00000000-0005-0000-0000-0000FB7E0000}"/>
    <cellStyle name="40% - Accent6 2 2 4 2 3 2" xfId="12564" xr:uid="{00000000-0005-0000-0000-0000FC7E0000}"/>
    <cellStyle name="40% - Accent6 2 2 4 2 3 3" xfId="19665" xr:uid="{00000000-0005-0000-0000-0000FD7E0000}"/>
    <cellStyle name="40% - Accent6 2 2 4 2 3 4" xfId="26767" xr:uid="{00000000-0005-0000-0000-0000FE7E0000}"/>
    <cellStyle name="40% - Accent6 2 2 4 2 3 5" xfId="33869" xr:uid="{00000000-0005-0000-0000-0000FF7E0000}"/>
    <cellStyle name="40% - Accent6 2 2 4 2 4" xfId="4038" xr:uid="{00000000-0005-0000-0000-0000007F0000}"/>
    <cellStyle name="40% - Accent6 2 2 4 2 4 2" xfId="11144" xr:uid="{00000000-0005-0000-0000-0000017F0000}"/>
    <cellStyle name="40% - Accent6 2 2 4 2 4 3" xfId="18245" xr:uid="{00000000-0005-0000-0000-0000027F0000}"/>
    <cellStyle name="40% - Accent6 2 2 4 2 4 4" xfId="25347" xr:uid="{00000000-0005-0000-0000-0000037F0000}"/>
    <cellStyle name="40% - Accent6 2 2 4 2 4 5" xfId="32449" xr:uid="{00000000-0005-0000-0000-0000047F0000}"/>
    <cellStyle name="40% - Accent6 2 2 4 2 5" xfId="8304" xr:uid="{00000000-0005-0000-0000-0000057F0000}"/>
    <cellStyle name="40% - Accent6 2 2 4 2 6" xfId="15405" xr:uid="{00000000-0005-0000-0000-0000067F0000}"/>
    <cellStyle name="40% - Accent6 2 2 4 2 7" xfId="22507" xr:uid="{00000000-0005-0000-0000-0000077F0000}"/>
    <cellStyle name="40% - Accent6 2 2 4 2 8" xfId="29609" xr:uid="{00000000-0005-0000-0000-0000087F0000}"/>
    <cellStyle name="40% - Accent6 2 2 4 2 9" xfId="40277" xr:uid="{00000000-0005-0000-0000-0000097F0000}"/>
    <cellStyle name="40% - Accent6 2 2 4 3" xfId="1835" xr:uid="{00000000-0005-0000-0000-00000A7F0000}"/>
    <cellStyle name="40% - Accent6 2 2 4 3 2" xfId="6103" xr:uid="{00000000-0005-0000-0000-00000B7F0000}"/>
    <cellStyle name="40% - Accent6 2 2 4 3 2 2" xfId="13203" xr:uid="{00000000-0005-0000-0000-00000C7F0000}"/>
    <cellStyle name="40% - Accent6 2 2 4 3 2 3" xfId="20304" xr:uid="{00000000-0005-0000-0000-00000D7F0000}"/>
    <cellStyle name="40% - Accent6 2 2 4 3 2 4" xfId="27406" xr:uid="{00000000-0005-0000-0000-00000E7F0000}"/>
    <cellStyle name="40% - Accent6 2 2 4 3 2 5" xfId="34508" xr:uid="{00000000-0005-0000-0000-00000F7F0000}"/>
    <cellStyle name="40% - Accent6 2 2 4 3 2 6" xfId="40278" xr:uid="{00000000-0005-0000-0000-0000107F0000}"/>
    <cellStyle name="40% - Accent6 2 2 4 3 3" xfId="8943" xr:uid="{00000000-0005-0000-0000-0000117F0000}"/>
    <cellStyle name="40% - Accent6 2 2 4 3 4" xfId="16044" xr:uid="{00000000-0005-0000-0000-0000127F0000}"/>
    <cellStyle name="40% - Accent6 2 2 4 3 5" xfId="23146" xr:uid="{00000000-0005-0000-0000-0000137F0000}"/>
    <cellStyle name="40% - Accent6 2 2 4 3 6" xfId="30248" xr:uid="{00000000-0005-0000-0000-0000147F0000}"/>
    <cellStyle name="40% - Accent6 2 2 4 3 7" xfId="40279" xr:uid="{00000000-0005-0000-0000-0000157F0000}"/>
    <cellStyle name="40% - Accent6 2 2 4 4" xfId="4682" xr:uid="{00000000-0005-0000-0000-0000167F0000}"/>
    <cellStyle name="40% - Accent6 2 2 4 4 2" xfId="11783" xr:uid="{00000000-0005-0000-0000-0000177F0000}"/>
    <cellStyle name="40% - Accent6 2 2 4 4 3" xfId="18884" xr:uid="{00000000-0005-0000-0000-0000187F0000}"/>
    <cellStyle name="40% - Accent6 2 2 4 4 4" xfId="25986" xr:uid="{00000000-0005-0000-0000-0000197F0000}"/>
    <cellStyle name="40% - Accent6 2 2 4 4 5" xfId="33088" xr:uid="{00000000-0005-0000-0000-00001A7F0000}"/>
    <cellStyle name="40% - Accent6 2 2 4 4 6" xfId="40280" xr:uid="{00000000-0005-0000-0000-00001B7F0000}"/>
    <cellStyle name="40% - Accent6 2 2 4 5" xfId="3257" xr:uid="{00000000-0005-0000-0000-00001C7F0000}"/>
    <cellStyle name="40% - Accent6 2 2 4 5 2" xfId="10363" xr:uid="{00000000-0005-0000-0000-00001D7F0000}"/>
    <cellStyle name="40% - Accent6 2 2 4 5 3" xfId="17464" xr:uid="{00000000-0005-0000-0000-00001E7F0000}"/>
    <cellStyle name="40% - Accent6 2 2 4 5 4" xfId="24566" xr:uid="{00000000-0005-0000-0000-00001F7F0000}"/>
    <cellStyle name="40% - Accent6 2 2 4 5 5" xfId="31668" xr:uid="{00000000-0005-0000-0000-0000207F0000}"/>
    <cellStyle name="40% - Accent6 2 2 4 6" xfId="7523" xr:uid="{00000000-0005-0000-0000-0000217F0000}"/>
    <cellStyle name="40% - Accent6 2 2 4 7" xfId="14624" xr:uid="{00000000-0005-0000-0000-0000227F0000}"/>
    <cellStyle name="40% - Accent6 2 2 4 8" xfId="21726" xr:uid="{00000000-0005-0000-0000-0000237F0000}"/>
    <cellStyle name="40% - Accent6 2 2 4 9" xfId="28828" xr:uid="{00000000-0005-0000-0000-0000247F0000}"/>
    <cellStyle name="40% - Accent6 2 2 5" xfId="557" xr:uid="{00000000-0005-0000-0000-0000257F0000}"/>
    <cellStyle name="40% - Accent6 2 2 5 2" xfId="2048" xr:uid="{00000000-0005-0000-0000-0000267F0000}"/>
    <cellStyle name="40% - Accent6 2 2 5 2 2" xfId="6316" xr:uid="{00000000-0005-0000-0000-0000277F0000}"/>
    <cellStyle name="40% - Accent6 2 2 5 2 2 2" xfId="13416" xr:uid="{00000000-0005-0000-0000-0000287F0000}"/>
    <cellStyle name="40% - Accent6 2 2 5 2 2 3" xfId="20517" xr:uid="{00000000-0005-0000-0000-0000297F0000}"/>
    <cellStyle name="40% - Accent6 2 2 5 2 2 4" xfId="27619" xr:uid="{00000000-0005-0000-0000-00002A7F0000}"/>
    <cellStyle name="40% - Accent6 2 2 5 2 2 5" xfId="34721" xr:uid="{00000000-0005-0000-0000-00002B7F0000}"/>
    <cellStyle name="40% - Accent6 2 2 5 2 2 6" xfId="40281" xr:uid="{00000000-0005-0000-0000-00002C7F0000}"/>
    <cellStyle name="40% - Accent6 2 2 5 2 3" xfId="9156" xr:uid="{00000000-0005-0000-0000-00002D7F0000}"/>
    <cellStyle name="40% - Accent6 2 2 5 2 4" xfId="16257" xr:uid="{00000000-0005-0000-0000-00002E7F0000}"/>
    <cellStyle name="40% - Accent6 2 2 5 2 5" xfId="23359" xr:uid="{00000000-0005-0000-0000-00002F7F0000}"/>
    <cellStyle name="40% - Accent6 2 2 5 2 6" xfId="30461" xr:uid="{00000000-0005-0000-0000-0000307F0000}"/>
    <cellStyle name="40% - Accent6 2 2 5 2 7" xfId="40282" xr:uid="{00000000-0005-0000-0000-0000317F0000}"/>
    <cellStyle name="40% - Accent6 2 2 5 3" xfId="4895" xr:uid="{00000000-0005-0000-0000-0000327F0000}"/>
    <cellStyle name="40% - Accent6 2 2 5 3 2" xfId="11996" xr:uid="{00000000-0005-0000-0000-0000337F0000}"/>
    <cellStyle name="40% - Accent6 2 2 5 3 2 2" xfId="40283" xr:uid="{00000000-0005-0000-0000-0000347F0000}"/>
    <cellStyle name="40% - Accent6 2 2 5 3 3" xfId="19097" xr:uid="{00000000-0005-0000-0000-0000357F0000}"/>
    <cellStyle name="40% - Accent6 2 2 5 3 4" xfId="26199" xr:uid="{00000000-0005-0000-0000-0000367F0000}"/>
    <cellStyle name="40% - Accent6 2 2 5 3 5" xfId="33301" xr:uid="{00000000-0005-0000-0000-0000377F0000}"/>
    <cellStyle name="40% - Accent6 2 2 5 3 6" xfId="40284" xr:uid="{00000000-0005-0000-0000-0000387F0000}"/>
    <cellStyle name="40% - Accent6 2 2 5 4" xfId="3470" xr:uid="{00000000-0005-0000-0000-0000397F0000}"/>
    <cellStyle name="40% - Accent6 2 2 5 4 2" xfId="10576" xr:uid="{00000000-0005-0000-0000-00003A7F0000}"/>
    <cellStyle name="40% - Accent6 2 2 5 4 3" xfId="17677" xr:uid="{00000000-0005-0000-0000-00003B7F0000}"/>
    <cellStyle name="40% - Accent6 2 2 5 4 4" xfId="24779" xr:uid="{00000000-0005-0000-0000-00003C7F0000}"/>
    <cellStyle name="40% - Accent6 2 2 5 4 5" xfId="31881" xr:uid="{00000000-0005-0000-0000-00003D7F0000}"/>
    <cellStyle name="40% - Accent6 2 2 5 4 6" xfId="40285" xr:uid="{00000000-0005-0000-0000-00003E7F0000}"/>
    <cellStyle name="40% - Accent6 2 2 5 5" xfId="7736" xr:uid="{00000000-0005-0000-0000-00003F7F0000}"/>
    <cellStyle name="40% - Accent6 2 2 5 6" xfId="14837" xr:uid="{00000000-0005-0000-0000-0000407F0000}"/>
    <cellStyle name="40% - Accent6 2 2 5 7" xfId="21939" xr:uid="{00000000-0005-0000-0000-0000417F0000}"/>
    <cellStyle name="40% - Accent6 2 2 5 8" xfId="29041" xr:uid="{00000000-0005-0000-0000-0000427F0000}"/>
    <cellStyle name="40% - Accent6 2 2 5 9" xfId="40286" xr:uid="{00000000-0005-0000-0000-0000437F0000}"/>
    <cellStyle name="40% - Accent6 2 2 6" xfId="770" xr:uid="{00000000-0005-0000-0000-0000447F0000}"/>
    <cellStyle name="40% - Accent6 2 2 6 2" xfId="2261" xr:uid="{00000000-0005-0000-0000-0000457F0000}"/>
    <cellStyle name="40% - Accent6 2 2 6 2 2" xfId="6529" xr:uid="{00000000-0005-0000-0000-0000467F0000}"/>
    <cellStyle name="40% - Accent6 2 2 6 2 2 2" xfId="13629" xr:uid="{00000000-0005-0000-0000-0000477F0000}"/>
    <cellStyle name="40% - Accent6 2 2 6 2 2 3" xfId="20730" xr:uid="{00000000-0005-0000-0000-0000487F0000}"/>
    <cellStyle name="40% - Accent6 2 2 6 2 2 4" xfId="27832" xr:uid="{00000000-0005-0000-0000-0000497F0000}"/>
    <cellStyle name="40% - Accent6 2 2 6 2 2 5" xfId="34934" xr:uid="{00000000-0005-0000-0000-00004A7F0000}"/>
    <cellStyle name="40% - Accent6 2 2 6 2 2 6" xfId="40287" xr:uid="{00000000-0005-0000-0000-00004B7F0000}"/>
    <cellStyle name="40% - Accent6 2 2 6 2 3" xfId="9369" xr:uid="{00000000-0005-0000-0000-00004C7F0000}"/>
    <cellStyle name="40% - Accent6 2 2 6 2 4" xfId="16470" xr:uid="{00000000-0005-0000-0000-00004D7F0000}"/>
    <cellStyle name="40% - Accent6 2 2 6 2 5" xfId="23572" xr:uid="{00000000-0005-0000-0000-00004E7F0000}"/>
    <cellStyle name="40% - Accent6 2 2 6 2 6" xfId="30674" xr:uid="{00000000-0005-0000-0000-00004F7F0000}"/>
    <cellStyle name="40% - Accent6 2 2 6 2 7" xfId="40288" xr:uid="{00000000-0005-0000-0000-0000507F0000}"/>
    <cellStyle name="40% - Accent6 2 2 6 3" xfId="5108" xr:uid="{00000000-0005-0000-0000-0000517F0000}"/>
    <cellStyle name="40% - Accent6 2 2 6 3 2" xfId="12209" xr:uid="{00000000-0005-0000-0000-0000527F0000}"/>
    <cellStyle name="40% - Accent6 2 2 6 3 2 2" xfId="40289" xr:uid="{00000000-0005-0000-0000-0000537F0000}"/>
    <cellStyle name="40% - Accent6 2 2 6 3 3" xfId="19310" xr:uid="{00000000-0005-0000-0000-0000547F0000}"/>
    <cellStyle name="40% - Accent6 2 2 6 3 4" xfId="26412" xr:uid="{00000000-0005-0000-0000-0000557F0000}"/>
    <cellStyle name="40% - Accent6 2 2 6 3 5" xfId="33514" xr:uid="{00000000-0005-0000-0000-0000567F0000}"/>
    <cellStyle name="40% - Accent6 2 2 6 3 6" xfId="40290" xr:uid="{00000000-0005-0000-0000-0000577F0000}"/>
    <cellStyle name="40% - Accent6 2 2 6 4" xfId="3683" xr:uid="{00000000-0005-0000-0000-0000587F0000}"/>
    <cellStyle name="40% - Accent6 2 2 6 4 2" xfId="10789" xr:uid="{00000000-0005-0000-0000-0000597F0000}"/>
    <cellStyle name="40% - Accent6 2 2 6 4 3" xfId="17890" xr:uid="{00000000-0005-0000-0000-00005A7F0000}"/>
    <cellStyle name="40% - Accent6 2 2 6 4 4" xfId="24992" xr:uid="{00000000-0005-0000-0000-00005B7F0000}"/>
    <cellStyle name="40% - Accent6 2 2 6 4 5" xfId="32094" xr:uid="{00000000-0005-0000-0000-00005C7F0000}"/>
    <cellStyle name="40% - Accent6 2 2 6 4 6" xfId="40291" xr:uid="{00000000-0005-0000-0000-00005D7F0000}"/>
    <cellStyle name="40% - Accent6 2 2 6 5" xfId="7949" xr:uid="{00000000-0005-0000-0000-00005E7F0000}"/>
    <cellStyle name="40% - Accent6 2 2 6 6" xfId="15050" xr:uid="{00000000-0005-0000-0000-00005F7F0000}"/>
    <cellStyle name="40% - Accent6 2 2 6 7" xfId="22152" xr:uid="{00000000-0005-0000-0000-0000607F0000}"/>
    <cellStyle name="40% - Accent6 2 2 6 8" xfId="29254" xr:uid="{00000000-0005-0000-0000-0000617F0000}"/>
    <cellStyle name="40% - Accent6 2 2 6 9" xfId="40292" xr:uid="{00000000-0005-0000-0000-0000627F0000}"/>
    <cellStyle name="40% - Accent6 2 2 7" xfId="983" xr:uid="{00000000-0005-0000-0000-0000637F0000}"/>
    <cellStyle name="40% - Accent6 2 2 7 2" xfId="2474" xr:uid="{00000000-0005-0000-0000-0000647F0000}"/>
    <cellStyle name="40% - Accent6 2 2 7 2 2" xfId="6742" xr:uid="{00000000-0005-0000-0000-0000657F0000}"/>
    <cellStyle name="40% - Accent6 2 2 7 2 2 2" xfId="13842" xr:uid="{00000000-0005-0000-0000-0000667F0000}"/>
    <cellStyle name="40% - Accent6 2 2 7 2 2 3" xfId="20943" xr:uid="{00000000-0005-0000-0000-0000677F0000}"/>
    <cellStyle name="40% - Accent6 2 2 7 2 2 4" xfId="28045" xr:uid="{00000000-0005-0000-0000-0000687F0000}"/>
    <cellStyle name="40% - Accent6 2 2 7 2 2 5" xfId="35147" xr:uid="{00000000-0005-0000-0000-0000697F0000}"/>
    <cellStyle name="40% - Accent6 2 2 7 2 3" xfId="9582" xr:uid="{00000000-0005-0000-0000-00006A7F0000}"/>
    <cellStyle name="40% - Accent6 2 2 7 2 4" xfId="16683" xr:uid="{00000000-0005-0000-0000-00006B7F0000}"/>
    <cellStyle name="40% - Accent6 2 2 7 2 5" xfId="23785" xr:uid="{00000000-0005-0000-0000-00006C7F0000}"/>
    <cellStyle name="40% - Accent6 2 2 7 2 6" xfId="30887" xr:uid="{00000000-0005-0000-0000-00006D7F0000}"/>
    <cellStyle name="40% - Accent6 2 2 7 2 7" xfId="40293" xr:uid="{00000000-0005-0000-0000-00006E7F0000}"/>
    <cellStyle name="40% - Accent6 2 2 7 3" xfId="5321" xr:uid="{00000000-0005-0000-0000-00006F7F0000}"/>
    <cellStyle name="40% - Accent6 2 2 7 3 2" xfId="12422" xr:uid="{00000000-0005-0000-0000-0000707F0000}"/>
    <cellStyle name="40% - Accent6 2 2 7 3 3" xfId="19523" xr:uid="{00000000-0005-0000-0000-0000717F0000}"/>
    <cellStyle name="40% - Accent6 2 2 7 3 4" xfId="26625" xr:uid="{00000000-0005-0000-0000-0000727F0000}"/>
    <cellStyle name="40% - Accent6 2 2 7 3 5" xfId="33727" xr:uid="{00000000-0005-0000-0000-0000737F0000}"/>
    <cellStyle name="40% - Accent6 2 2 7 4" xfId="3896" xr:uid="{00000000-0005-0000-0000-0000747F0000}"/>
    <cellStyle name="40% - Accent6 2 2 7 4 2" xfId="11002" xr:uid="{00000000-0005-0000-0000-0000757F0000}"/>
    <cellStyle name="40% - Accent6 2 2 7 4 3" xfId="18103" xr:uid="{00000000-0005-0000-0000-0000767F0000}"/>
    <cellStyle name="40% - Accent6 2 2 7 4 4" xfId="25205" xr:uid="{00000000-0005-0000-0000-0000777F0000}"/>
    <cellStyle name="40% - Accent6 2 2 7 4 5" xfId="32307" xr:uid="{00000000-0005-0000-0000-0000787F0000}"/>
    <cellStyle name="40% - Accent6 2 2 7 5" xfId="8162" xr:uid="{00000000-0005-0000-0000-0000797F0000}"/>
    <cellStyle name="40% - Accent6 2 2 7 6" xfId="15263" xr:uid="{00000000-0005-0000-0000-00007A7F0000}"/>
    <cellStyle name="40% - Accent6 2 2 7 7" xfId="22365" xr:uid="{00000000-0005-0000-0000-00007B7F0000}"/>
    <cellStyle name="40% - Accent6 2 2 7 8" xfId="29467" xr:uid="{00000000-0005-0000-0000-00007C7F0000}"/>
    <cellStyle name="40% - Accent6 2 2 7 9" xfId="40294" xr:uid="{00000000-0005-0000-0000-00007D7F0000}"/>
    <cellStyle name="40% - Accent6 2 2 8" xfId="1338" xr:uid="{00000000-0005-0000-0000-00007E7F0000}"/>
    <cellStyle name="40% - Accent6 2 2 8 2" xfId="2829" xr:uid="{00000000-0005-0000-0000-00007F7F0000}"/>
    <cellStyle name="40% - Accent6 2 2 8 2 2" xfId="7097" xr:uid="{00000000-0005-0000-0000-0000807F0000}"/>
    <cellStyle name="40% - Accent6 2 2 8 2 2 2" xfId="14197" xr:uid="{00000000-0005-0000-0000-0000817F0000}"/>
    <cellStyle name="40% - Accent6 2 2 8 2 2 3" xfId="21298" xr:uid="{00000000-0005-0000-0000-0000827F0000}"/>
    <cellStyle name="40% - Accent6 2 2 8 2 2 4" xfId="28400" xr:uid="{00000000-0005-0000-0000-0000837F0000}"/>
    <cellStyle name="40% - Accent6 2 2 8 2 2 5" xfId="35502" xr:uid="{00000000-0005-0000-0000-0000847F0000}"/>
    <cellStyle name="40% - Accent6 2 2 8 2 3" xfId="9937" xr:uid="{00000000-0005-0000-0000-0000857F0000}"/>
    <cellStyle name="40% - Accent6 2 2 8 2 4" xfId="17038" xr:uid="{00000000-0005-0000-0000-0000867F0000}"/>
    <cellStyle name="40% - Accent6 2 2 8 2 5" xfId="24140" xr:uid="{00000000-0005-0000-0000-0000877F0000}"/>
    <cellStyle name="40% - Accent6 2 2 8 2 6" xfId="31242" xr:uid="{00000000-0005-0000-0000-0000887F0000}"/>
    <cellStyle name="40% - Accent6 2 2 8 2 7" xfId="40295" xr:uid="{00000000-0005-0000-0000-0000897F0000}"/>
    <cellStyle name="40% - Accent6 2 2 8 3" xfId="5676" xr:uid="{00000000-0005-0000-0000-00008A7F0000}"/>
    <cellStyle name="40% - Accent6 2 2 8 3 2" xfId="12777" xr:uid="{00000000-0005-0000-0000-00008B7F0000}"/>
    <cellStyle name="40% - Accent6 2 2 8 3 3" xfId="19878" xr:uid="{00000000-0005-0000-0000-00008C7F0000}"/>
    <cellStyle name="40% - Accent6 2 2 8 3 4" xfId="26980" xr:uid="{00000000-0005-0000-0000-00008D7F0000}"/>
    <cellStyle name="40% - Accent6 2 2 8 3 5" xfId="34082" xr:uid="{00000000-0005-0000-0000-00008E7F0000}"/>
    <cellStyle name="40% - Accent6 2 2 8 4" xfId="4251" xr:uid="{00000000-0005-0000-0000-00008F7F0000}"/>
    <cellStyle name="40% - Accent6 2 2 8 4 2" xfId="11357" xr:uid="{00000000-0005-0000-0000-0000907F0000}"/>
    <cellStyle name="40% - Accent6 2 2 8 4 3" xfId="18458" xr:uid="{00000000-0005-0000-0000-0000917F0000}"/>
    <cellStyle name="40% - Accent6 2 2 8 4 4" xfId="25560" xr:uid="{00000000-0005-0000-0000-0000927F0000}"/>
    <cellStyle name="40% - Accent6 2 2 8 4 5" xfId="32662" xr:uid="{00000000-0005-0000-0000-0000937F0000}"/>
    <cellStyle name="40% - Accent6 2 2 8 5" xfId="8517" xr:uid="{00000000-0005-0000-0000-0000947F0000}"/>
    <cellStyle name="40% - Accent6 2 2 8 6" xfId="15618" xr:uid="{00000000-0005-0000-0000-0000957F0000}"/>
    <cellStyle name="40% - Accent6 2 2 8 7" xfId="22720" xr:uid="{00000000-0005-0000-0000-0000967F0000}"/>
    <cellStyle name="40% - Accent6 2 2 8 8" xfId="29822" xr:uid="{00000000-0005-0000-0000-0000977F0000}"/>
    <cellStyle name="40% - Accent6 2 2 8 9" xfId="40296" xr:uid="{00000000-0005-0000-0000-0000987F0000}"/>
    <cellStyle name="40% - Accent6 2 2 9" xfId="1622" xr:uid="{00000000-0005-0000-0000-0000997F0000}"/>
    <cellStyle name="40% - Accent6 2 2 9 2" xfId="5890" xr:uid="{00000000-0005-0000-0000-00009A7F0000}"/>
    <cellStyle name="40% - Accent6 2 2 9 2 2" xfId="12990" xr:uid="{00000000-0005-0000-0000-00009B7F0000}"/>
    <cellStyle name="40% - Accent6 2 2 9 2 3" xfId="20091" xr:uid="{00000000-0005-0000-0000-00009C7F0000}"/>
    <cellStyle name="40% - Accent6 2 2 9 2 4" xfId="27193" xr:uid="{00000000-0005-0000-0000-00009D7F0000}"/>
    <cellStyle name="40% - Accent6 2 2 9 2 5" xfId="34295" xr:uid="{00000000-0005-0000-0000-00009E7F0000}"/>
    <cellStyle name="40% - Accent6 2 2 9 3" xfId="8730" xr:uid="{00000000-0005-0000-0000-00009F7F0000}"/>
    <cellStyle name="40% - Accent6 2 2 9 4" xfId="15831" xr:uid="{00000000-0005-0000-0000-0000A07F0000}"/>
    <cellStyle name="40% - Accent6 2 2 9 5" xfId="22933" xr:uid="{00000000-0005-0000-0000-0000A17F0000}"/>
    <cellStyle name="40% - Accent6 2 2 9 6" xfId="30035" xr:uid="{00000000-0005-0000-0000-0000A27F0000}"/>
    <cellStyle name="40% - Accent6 2 2 9 7" xfId="40297" xr:uid="{00000000-0005-0000-0000-0000A37F0000}"/>
    <cellStyle name="40% - Accent6 2 3" xfId="242" xr:uid="{00000000-0005-0000-0000-0000A47F0000}"/>
    <cellStyle name="40% - Accent6 2 3 10" xfId="7421" xr:uid="{00000000-0005-0000-0000-0000A57F0000}"/>
    <cellStyle name="40% - Accent6 2 3 11" xfId="14522" xr:uid="{00000000-0005-0000-0000-0000A67F0000}"/>
    <cellStyle name="40% - Accent6 2 3 12" xfId="21624" xr:uid="{00000000-0005-0000-0000-0000A77F0000}"/>
    <cellStyle name="40% - Accent6 2 3 13" xfId="28726" xr:uid="{00000000-0005-0000-0000-0000A87F0000}"/>
    <cellStyle name="40% - Accent6 2 3 14" xfId="35828" xr:uid="{00000000-0005-0000-0000-0000A97F0000}"/>
    <cellStyle name="40% - Accent6 2 3 15" xfId="40298" xr:uid="{00000000-0005-0000-0000-0000AA7F0000}"/>
    <cellStyle name="40% - Accent6 2 3 2" xfId="455" xr:uid="{00000000-0005-0000-0000-0000AB7F0000}"/>
    <cellStyle name="40% - Accent6 2 3 2 10" xfId="40299" xr:uid="{00000000-0005-0000-0000-0000AC7F0000}"/>
    <cellStyle name="40% - Accent6 2 3 2 2" xfId="1236" xr:uid="{00000000-0005-0000-0000-0000AD7F0000}"/>
    <cellStyle name="40% - Accent6 2 3 2 2 2" xfId="2727" xr:uid="{00000000-0005-0000-0000-0000AE7F0000}"/>
    <cellStyle name="40% - Accent6 2 3 2 2 2 2" xfId="6995" xr:uid="{00000000-0005-0000-0000-0000AF7F0000}"/>
    <cellStyle name="40% - Accent6 2 3 2 2 2 2 2" xfId="14095" xr:uid="{00000000-0005-0000-0000-0000B07F0000}"/>
    <cellStyle name="40% - Accent6 2 3 2 2 2 2 3" xfId="21196" xr:uid="{00000000-0005-0000-0000-0000B17F0000}"/>
    <cellStyle name="40% - Accent6 2 3 2 2 2 2 4" xfId="28298" xr:uid="{00000000-0005-0000-0000-0000B27F0000}"/>
    <cellStyle name="40% - Accent6 2 3 2 2 2 2 5" xfId="35400" xr:uid="{00000000-0005-0000-0000-0000B37F0000}"/>
    <cellStyle name="40% - Accent6 2 3 2 2 2 3" xfId="9835" xr:uid="{00000000-0005-0000-0000-0000B47F0000}"/>
    <cellStyle name="40% - Accent6 2 3 2 2 2 4" xfId="16936" xr:uid="{00000000-0005-0000-0000-0000B57F0000}"/>
    <cellStyle name="40% - Accent6 2 3 2 2 2 5" xfId="24038" xr:uid="{00000000-0005-0000-0000-0000B67F0000}"/>
    <cellStyle name="40% - Accent6 2 3 2 2 2 6" xfId="31140" xr:uid="{00000000-0005-0000-0000-0000B77F0000}"/>
    <cellStyle name="40% - Accent6 2 3 2 2 2 7" xfId="40300" xr:uid="{00000000-0005-0000-0000-0000B87F0000}"/>
    <cellStyle name="40% - Accent6 2 3 2 2 3" xfId="5574" xr:uid="{00000000-0005-0000-0000-0000B97F0000}"/>
    <cellStyle name="40% - Accent6 2 3 2 2 3 2" xfId="12675" xr:uid="{00000000-0005-0000-0000-0000BA7F0000}"/>
    <cellStyle name="40% - Accent6 2 3 2 2 3 3" xfId="19776" xr:uid="{00000000-0005-0000-0000-0000BB7F0000}"/>
    <cellStyle name="40% - Accent6 2 3 2 2 3 4" xfId="26878" xr:uid="{00000000-0005-0000-0000-0000BC7F0000}"/>
    <cellStyle name="40% - Accent6 2 3 2 2 3 5" xfId="33980" xr:uid="{00000000-0005-0000-0000-0000BD7F0000}"/>
    <cellStyle name="40% - Accent6 2 3 2 2 4" xfId="4149" xr:uid="{00000000-0005-0000-0000-0000BE7F0000}"/>
    <cellStyle name="40% - Accent6 2 3 2 2 4 2" xfId="11255" xr:uid="{00000000-0005-0000-0000-0000BF7F0000}"/>
    <cellStyle name="40% - Accent6 2 3 2 2 4 3" xfId="18356" xr:uid="{00000000-0005-0000-0000-0000C07F0000}"/>
    <cellStyle name="40% - Accent6 2 3 2 2 4 4" xfId="25458" xr:uid="{00000000-0005-0000-0000-0000C17F0000}"/>
    <cellStyle name="40% - Accent6 2 3 2 2 4 5" xfId="32560" xr:uid="{00000000-0005-0000-0000-0000C27F0000}"/>
    <cellStyle name="40% - Accent6 2 3 2 2 5" xfId="8415" xr:uid="{00000000-0005-0000-0000-0000C37F0000}"/>
    <cellStyle name="40% - Accent6 2 3 2 2 6" xfId="15516" xr:uid="{00000000-0005-0000-0000-0000C47F0000}"/>
    <cellStyle name="40% - Accent6 2 3 2 2 7" xfId="22618" xr:uid="{00000000-0005-0000-0000-0000C57F0000}"/>
    <cellStyle name="40% - Accent6 2 3 2 2 8" xfId="29720" xr:uid="{00000000-0005-0000-0000-0000C67F0000}"/>
    <cellStyle name="40% - Accent6 2 3 2 2 9" xfId="40301" xr:uid="{00000000-0005-0000-0000-0000C77F0000}"/>
    <cellStyle name="40% - Accent6 2 3 2 3" xfId="1946" xr:uid="{00000000-0005-0000-0000-0000C87F0000}"/>
    <cellStyle name="40% - Accent6 2 3 2 3 2" xfId="6214" xr:uid="{00000000-0005-0000-0000-0000C97F0000}"/>
    <cellStyle name="40% - Accent6 2 3 2 3 2 2" xfId="13314" xr:uid="{00000000-0005-0000-0000-0000CA7F0000}"/>
    <cellStyle name="40% - Accent6 2 3 2 3 2 3" xfId="20415" xr:uid="{00000000-0005-0000-0000-0000CB7F0000}"/>
    <cellStyle name="40% - Accent6 2 3 2 3 2 4" xfId="27517" xr:uid="{00000000-0005-0000-0000-0000CC7F0000}"/>
    <cellStyle name="40% - Accent6 2 3 2 3 2 5" xfId="34619" xr:uid="{00000000-0005-0000-0000-0000CD7F0000}"/>
    <cellStyle name="40% - Accent6 2 3 2 3 2 6" xfId="40302" xr:uid="{00000000-0005-0000-0000-0000CE7F0000}"/>
    <cellStyle name="40% - Accent6 2 3 2 3 3" xfId="9054" xr:uid="{00000000-0005-0000-0000-0000CF7F0000}"/>
    <cellStyle name="40% - Accent6 2 3 2 3 4" xfId="16155" xr:uid="{00000000-0005-0000-0000-0000D07F0000}"/>
    <cellStyle name="40% - Accent6 2 3 2 3 5" xfId="23257" xr:uid="{00000000-0005-0000-0000-0000D17F0000}"/>
    <cellStyle name="40% - Accent6 2 3 2 3 6" xfId="30359" xr:uid="{00000000-0005-0000-0000-0000D27F0000}"/>
    <cellStyle name="40% - Accent6 2 3 2 3 7" xfId="40303" xr:uid="{00000000-0005-0000-0000-0000D37F0000}"/>
    <cellStyle name="40% - Accent6 2 3 2 4" xfId="4793" xr:uid="{00000000-0005-0000-0000-0000D47F0000}"/>
    <cellStyle name="40% - Accent6 2 3 2 4 2" xfId="11894" xr:uid="{00000000-0005-0000-0000-0000D57F0000}"/>
    <cellStyle name="40% - Accent6 2 3 2 4 3" xfId="18995" xr:uid="{00000000-0005-0000-0000-0000D67F0000}"/>
    <cellStyle name="40% - Accent6 2 3 2 4 4" xfId="26097" xr:uid="{00000000-0005-0000-0000-0000D77F0000}"/>
    <cellStyle name="40% - Accent6 2 3 2 4 5" xfId="33199" xr:uid="{00000000-0005-0000-0000-0000D87F0000}"/>
    <cellStyle name="40% - Accent6 2 3 2 4 6" xfId="40304" xr:uid="{00000000-0005-0000-0000-0000D97F0000}"/>
    <cellStyle name="40% - Accent6 2 3 2 5" xfId="3368" xr:uid="{00000000-0005-0000-0000-0000DA7F0000}"/>
    <cellStyle name="40% - Accent6 2 3 2 5 2" xfId="10474" xr:uid="{00000000-0005-0000-0000-0000DB7F0000}"/>
    <cellStyle name="40% - Accent6 2 3 2 5 3" xfId="17575" xr:uid="{00000000-0005-0000-0000-0000DC7F0000}"/>
    <cellStyle name="40% - Accent6 2 3 2 5 4" xfId="24677" xr:uid="{00000000-0005-0000-0000-0000DD7F0000}"/>
    <cellStyle name="40% - Accent6 2 3 2 5 5" xfId="31779" xr:uid="{00000000-0005-0000-0000-0000DE7F0000}"/>
    <cellStyle name="40% - Accent6 2 3 2 6" xfId="7634" xr:uid="{00000000-0005-0000-0000-0000DF7F0000}"/>
    <cellStyle name="40% - Accent6 2 3 2 7" xfId="14735" xr:uid="{00000000-0005-0000-0000-0000E07F0000}"/>
    <cellStyle name="40% - Accent6 2 3 2 8" xfId="21837" xr:uid="{00000000-0005-0000-0000-0000E17F0000}"/>
    <cellStyle name="40% - Accent6 2 3 2 9" xfId="28939" xr:uid="{00000000-0005-0000-0000-0000E27F0000}"/>
    <cellStyle name="40% - Accent6 2 3 3" xfId="668" xr:uid="{00000000-0005-0000-0000-0000E37F0000}"/>
    <cellStyle name="40% - Accent6 2 3 3 2" xfId="2159" xr:uid="{00000000-0005-0000-0000-0000E47F0000}"/>
    <cellStyle name="40% - Accent6 2 3 3 2 2" xfId="6427" xr:uid="{00000000-0005-0000-0000-0000E57F0000}"/>
    <cellStyle name="40% - Accent6 2 3 3 2 2 2" xfId="13527" xr:uid="{00000000-0005-0000-0000-0000E67F0000}"/>
    <cellStyle name="40% - Accent6 2 3 3 2 2 3" xfId="20628" xr:uid="{00000000-0005-0000-0000-0000E77F0000}"/>
    <cellStyle name="40% - Accent6 2 3 3 2 2 4" xfId="27730" xr:uid="{00000000-0005-0000-0000-0000E87F0000}"/>
    <cellStyle name="40% - Accent6 2 3 3 2 2 5" xfId="34832" xr:uid="{00000000-0005-0000-0000-0000E97F0000}"/>
    <cellStyle name="40% - Accent6 2 3 3 2 2 6" xfId="40305" xr:uid="{00000000-0005-0000-0000-0000EA7F0000}"/>
    <cellStyle name="40% - Accent6 2 3 3 2 3" xfId="9267" xr:uid="{00000000-0005-0000-0000-0000EB7F0000}"/>
    <cellStyle name="40% - Accent6 2 3 3 2 4" xfId="16368" xr:uid="{00000000-0005-0000-0000-0000EC7F0000}"/>
    <cellStyle name="40% - Accent6 2 3 3 2 5" xfId="23470" xr:uid="{00000000-0005-0000-0000-0000ED7F0000}"/>
    <cellStyle name="40% - Accent6 2 3 3 2 6" xfId="30572" xr:uid="{00000000-0005-0000-0000-0000EE7F0000}"/>
    <cellStyle name="40% - Accent6 2 3 3 2 7" xfId="40306" xr:uid="{00000000-0005-0000-0000-0000EF7F0000}"/>
    <cellStyle name="40% - Accent6 2 3 3 3" xfId="5006" xr:uid="{00000000-0005-0000-0000-0000F07F0000}"/>
    <cellStyle name="40% - Accent6 2 3 3 3 2" xfId="12107" xr:uid="{00000000-0005-0000-0000-0000F17F0000}"/>
    <cellStyle name="40% - Accent6 2 3 3 3 2 2" xfId="40307" xr:uid="{00000000-0005-0000-0000-0000F27F0000}"/>
    <cellStyle name="40% - Accent6 2 3 3 3 3" xfId="19208" xr:uid="{00000000-0005-0000-0000-0000F37F0000}"/>
    <cellStyle name="40% - Accent6 2 3 3 3 4" xfId="26310" xr:uid="{00000000-0005-0000-0000-0000F47F0000}"/>
    <cellStyle name="40% - Accent6 2 3 3 3 5" xfId="33412" xr:uid="{00000000-0005-0000-0000-0000F57F0000}"/>
    <cellStyle name="40% - Accent6 2 3 3 3 6" xfId="40308" xr:uid="{00000000-0005-0000-0000-0000F67F0000}"/>
    <cellStyle name="40% - Accent6 2 3 3 4" xfId="3581" xr:uid="{00000000-0005-0000-0000-0000F77F0000}"/>
    <cellStyle name="40% - Accent6 2 3 3 4 2" xfId="10687" xr:uid="{00000000-0005-0000-0000-0000F87F0000}"/>
    <cellStyle name="40% - Accent6 2 3 3 4 3" xfId="17788" xr:uid="{00000000-0005-0000-0000-0000F97F0000}"/>
    <cellStyle name="40% - Accent6 2 3 3 4 4" xfId="24890" xr:uid="{00000000-0005-0000-0000-0000FA7F0000}"/>
    <cellStyle name="40% - Accent6 2 3 3 4 5" xfId="31992" xr:uid="{00000000-0005-0000-0000-0000FB7F0000}"/>
    <cellStyle name="40% - Accent6 2 3 3 4 6" xfId="40309" xr:uid="{00000000-0005-0000-0000-0000FC7F0000}"/>
    <cellStyle name="40% - Accent6 2 3 3 5" xfId="7847" xr:uid="{00000000-0005-0000-0000-0000FD7F0000}"/>
    <cellStyle name="40% - Accent6 2 3 3 6" xfId="14948" xr:uid="{00000000-0005-0000-0000-0000FE7F0000}"/>
    <cellStyle name="40% - Accent6 2 3 3 7" xfId="22050" xr:uid="{00000000-0005-0000-0000-0000FF7F0000}"/>
    <cellStyle name="40% - Accent6 2 3 3 8" xfId="29152" xr:uid="{00000000-0005-0000-0000-000000800000}"/>
    <cellStyle name="40% - Accent6 2 3 3 9" xfId="40310" xr:uid="{00000000-0005-0000-0000-000001800000}"/>
    <cellStyle name="40% - Accent6 2 3 4" xfId="881" xr:uid="{00000000-0005-0000-0000-000002800000}"/>
    <cellStyle name="40% - Accent6 2 3 4 2" xfId="2372" xr:uid="{00000000-0005-0000-0000-000003800000}"/>
    <cellStyle name="40% - Accent6 2 3 4 2 2" xfId="6640" xr:uid="{00000000-0005-0000-0000-000004800000}"/>
    <cellStyle name="40% - Accent6 2 3 4 2 2 2" xfId="13740" xr:uid="{00000000-0005-0000-0000-000005800000}"/>
    <cellStyle name="40% - Accent6 2 3 4 2 2 3" xfId="20841" xr:uid="{00000000-0005-0000-0000-000006800000}"/>
    <cellStyle name="40% - Accent6 2 3 4 2 2 4" xfId="27943" xr:uid="{00000000-0005-0000-0000-000007800000}"/>
    <cellStyle name="40% - Accent6 2 3 4 2 2 5" xfId="35045" xr:uid="{00000000-0005-0000-0000-000008800000}"/>
    <cellStyle name="40% - Accent6 2 3 4 2 2 6" xfId="40311" xr:uid="{00000000-0005-0000-0000-000009800000}"/>
    <cellStyle name="40% - Accent6 2 3 4 2 3" xfId="9480" xr:uid="{00000000-0005-0000-0000-00000A800000}"/>
    <cellStyle name="40% - Accent6 2 3 4 2 4" xfId="16581" xr:uid="{00000000-0005-0000-0000-00000B800000}"/>
    <cellStyle name="40% - Accent6 2 3 4 2 5" xfId="23683" xr:uid="{00000000-0005-0000-0000-00000C800000}"/>
    <cellStyle name="40% - Accent6 2 3 4 2 6" xfId="30785" xr:uid="{00000000-0005-0000-0000-00000D800000}"/>
    <cellStyle name="40% - Accent6 2 3 4 2 7" xfId="40312" xr:uid="{00000000-0005-0000-0000-00000E800000}"/>
    <cellStyle name="40% - Accent6 2 3 4 3" xfId="5219" xr:uid="{00000000-0005-0000-0000-00000F800000}"/>
    <cellStyle name="40% - Accent6 2 3 4 3 2" xfId="12320" xr:uid="{00000000-0005-0000-0000-000010800000}"/>
    <cellStyle name="40% - Accent6 2 3 4 3 2 2" xfId="40313" xr:uid="{00000000-0005-0000-0000-000011800000}"/>
    <cellStyle name="40% - Accent6 2 3 4 3 3" xfId="19421" xr:uid="{00000000-0005-0000-0000-000012800000}"/>
    <cellStyle name="40% - Accent6 2 3 4 3 4" xfId="26523" xr:uid="{00000000-0005-0000-0000-000013800000}"/>
    <cellStyle name="40% - Accent6 2 3 4 3 5" xfId="33625" xr:uid="{00000000-0005-0000-0000-000014800000}"/>
    <cellStyle name="40% - Accent6 2 3 4 3 6" xfId="40314" xr:uid="{00000000-0005-0000-0000-000015800000}"/>
    <cellStyle name="40% - Accent6 2 3 4 4" xfId="3794" xr:uid="{00000000-0005-0000-0000-000016800000}"/>
    <cellStyle name="40% - Accent6 2 3 4 4 2" xfId="10900" xr:uid="{00000000-0005-0000-0000-000017800000}"/>
    <cellStyle name="40% - Accent6 2 3 4 4 3" xfId="18001" xr:uid="{00000000-0005-0000-0000-000018800000}"/>
    <cellStyle name="40% - Accent6 2 3 4 4 4" xfId="25103" xr:uid="{00000000-0005-0000-0000-000019800000}"/>
    <cellStyle name="40% - Accent6 2 3 4 4 5" xfId="32205" xr:uid="{00000000-0005-0000-0000-00001A800000}"/>
    <cellStyle name="40% - Accent6 2 3 4 4 6" xfId="40315" xr:uid="{00000000-0005-0000-0000-00001B800000}"/>
    <cellStyle name="40% - Accent6 2 3 4 5" xfId="8060" xr:uid="{00000000-0005-0000-0000-00001C800000}"/>
    <cellStyle name="40% - Accent6 2 3 4 6" xfId="15161" xr:uid="{00000000-0005-0000-0000-00001D800000}"/>
    <cellStyle name="40% - Accent6 2 3 4 7" xfId="22263" xr:uid="{00000000-0005-0000-0000-00001E800000}"/>
    <cellStyle name="40% - Accent6 2 3 4 8" xfId="29365" xr:uid="{00000000-0005-0000-0000-00001F800000}"/>
    <cellStyle name="40% - Accent6 2 3 4 9" xfId="40316" xr:uid="{00000000-0005-0000-0000-000020800000}"/>
    <cellStyle name="40% - Accent6 2 3 5" xfId="1023" xr:uid="{00000000-0005-0000-0000-000021800000}"/>
    <cellStyle name="40% - Accent6 2 3 5 2" xfId="2514" xr:uid="{00000000-0005-0000-0000-000022800000}"/>
    <cellStyle name="40% - Accent6 2 3 5 2 2" xfId="6782" xr:uid="{00000000-0005-0000-0000-000023800000}"/>
    <cellStyle name="40% - Accent6 2 3 5 2 2 2" xfId="13882" xr:uid="{00000000-0005-0000-0000-000024800000}"/>
    <cellStyle name="40% - Accent6 2 3 5 2 2 3" xfId="20983" xr:uid="{00000000-0005-0000-0000-000025800000}"/>
    <cellStyle name="40% - Accent6 2 3 5 2 2 4" xfId="28085" xr:uid="{00000000-0005-0000-0000-000026800000}"/>
    <cellStyle name="40% - Accent6 2 3 5 2 2 5" xfId="35187" xr:uid="{00000000-0005-0000-0000-000027800000}"/>
    <cellStyle name="40% - Accent6 2 3 5 2 3" xfId="9622" xr:uid="{00000000-0005-0000-0000-000028800000}"/>
    <cellStyle name="40% - Accent6 2 3 5 2 4" xfId="16723" xr:uid="{00000000-0005-0000-0000-000029800000}"/>
    <cellStyle name="40% - Accent6 2 3 5 2 5" xfId="23825" xr:uid="{00000000-0005-0000-0000-00002A800000}"/>
    <cellStyle name="40% - Accent6 2 3 5 2 6" xfId="30927" xr:uid="{00000000-0005-0000-0000-00002B800000}"/>
    <cellStyle name="40% - Accent6 2 3 5 2 7" xfId="40317" xr:uid="{00000000-0005-0000-0000-00002C800000}"/>
    <cellStyle name="40% - Accent6 2 3 5 3" xfId="5361" xr:uid="{00000000-0005-0000-0000-00002D800000}"/>
    <cellStyle name="40% - Accent6 2 3 5 3 2" xfId="12462" xr:uid="{00000000-0005-0000-0000-00002E800000}"/>
    <cellStyle name="40% - Accent6 2 3 5 3 3" xfId="19563" xr:uid="{00000000-0005-0000-0000-00002F800000}"/>
    <cellStyle name="40% - Accent6 2 3 5 3 4" xfId="26665" xr:uid="{00000000-0005-0000-0000-000030800000}"/>
    <cellStyle name="40% - Accent6 2 3 5 3 5" xfId="33767" xr:uid="{00000000-0005-0000-0000-000031800000}"/>
    <cellStyle name="40% - Accent6 2 3 5 4" xfId="3936" xr:uid="{00000000-0005-0000-0000-000032800000}"/>
    <cellStyle name="40% - Accent6 2 3 5 4 2" xfId="11042" xr:uid="{00000000-0005-0000-0000-000033800000}"/>
    <cellStyle name="40% - Accent6 2 3 5 4 3" xfId="18143" xr:uid="{00000000-0005-0000-0000-000034800000}"/>
    <cellStyle name="40% - Accent6 2 3 5 4 4" xfId="25245" xr:uid="{00000000-0005-0000-0000-000035800000}"/>
    <cellStyle name="40% - Accent6 2 3 5 4 5" xfId="32347" xr:uid="{00000000-0005-0000-0000-000036800000}"/>
    <cellStyle name="40% - Accent6 2 3 5 5" xfId="8202" xr:uid="{00000000-0005-0000-0000-000037800000}"/>
    <cellStyle name="40% - Accent6 2 3 5 6" xfId="15303" xr:uid="{00000000-0005-0000-0000-000038800000}"/>
    <cellStyle name="40% - Accent6 2 3 5 7" xfId="22405" xr:uid="{00000000-0005-0000-0000-000039800000}"/>
    <cellStyle name="40% - Accent6 2 3 5 8" xfId="29507" xr:uid="{00000000-0005-0000-0000-00003A800000}"/>
    <cellStyle name="40% - Accent6 2 3 5 9" xfId="40318" xr:uid="{00000000-0005-0000-0000-00003B800000}"/>
    <cellStyle name="40% - Accent6 2 3 6" xfId="1449" xr:uid="{00000000-0005-0000-0000-00003C800000}"/>
    <cellStyle name="40% - Accent6 2 3 6 2" xfId="2940" xr:uid="{00000000-0005-0000-0000-00003D800000}"/>
    <cellStyle name="40% - Accent6 2 3 6 2 2" xfId="7208" xr:uid="{00000000-0005-0000-0000-00003E800000}"/>
    <cellStyle name="40% - Accent6 2 3 6 2 2 2" xfId="14308" xr:uid="{00000000-0005-0000-0000-00003F800000}"/>
    <cellStyle name="40% - Accent6 2 3 6 2 2 3" xfId="21409" xr:uid="{00000000-0005-0000-0000-000040800000}"/>
    <cellStyle name="40% - Accent6 2 3 6 2 2 4" xfId="28511" xr:uid="{00000000-0005-0000-0000-000041800000}"/>
    <cellStyle name="40% - Accent6 2 3 6 2 2 5" xfId="35613" xr:uid="{00000000-0005-0000-0000-000042800000}"/>
    <cellStyle name="40% - Accent6 2 3 6 2 3" xfId="10048" xr:uid="{00000000-0005-0000-0000-000043800000}"/>
    <cellStyle name="40% - Accent6 2 3 6 2 4" xfId="17149" xr:uid="{00000000-0005-0000-0000-000044800000}"/>
    <cellStyle name="40% - Accent6 2 3 6 2 5" xfId="24251" xr:uid="{00000000-0005-0000-0000-000045800000}"/>
    <cellStyle name="40% - Accent6 2 3 6 2 6" xfId="31353" xr:uid="{00000000-0005-0000-0000-000046800000}"/>
    <cellStyle name="40% - Accent6 2 3 6 2 7" xfId="40319" xr:uid="{00000000-0005-0000-0000-000047800000}"/>
    <cellStyle name="40% - Accent6 2 3 6 3" xfId="5787" xr:uid="{00000000-0005-0000-0000-000048800000}"/>
    <cellStyle name="40% - Accent6 2 3 6 3 2" xfId="12888" xr:uid="{00000000-0005-0000-0000-000049800000}"/>
    <cellStyle name="40% - Accent6 2 3 6 3 3" xfId="19989" xr:uid="{00000000-0005-0000-0000-00004A800000}"/>
    <cellStyle name="40% - Accent6 2 3 6 3 4" xfId="27091" xr:uid="{00000000-0005-0000-0000-00004B800000}"/>
    <cellStyle name="40% - Accent6 2 3 6 3 5" xfId="34193" xr:uid="{00000000-0005-0000-0000-00004C800000}"/>
    <cellStyle name="40% - Accent6 2 3 6 4" xfId="4362" xr:uid="{00000000-0005-0000-0000-00004D800000}"/>
    <cellStyle name="40% - Accent6 2 3 6 4 2" xfId="11468" xr:uid="{00000000-0005-0000-0000-00004E800000}"/>
    <cellStyle name="40% - Accent6 2 3 6 4 3" xfId="18569" xr:uid="{00000000-0005-0000-0000-00004F800000}"/>
    <cellStyle name="40% - Accent6 2 3 6 4 4" xfId="25671" xr:uid="{00000000-0005-0000-0000-000050800000}"/>
    <cellStyle name="40% - Accent6 2 3 6 4 5" xfId="32773" xr:uid="{00000000-0005-0000-0000-000051800000}"/>
    <cellStyle name="40% - Accent6 2 3 6 5" xfId="8628" xr:uid="{00000000-0005-0000-0000-000052800000}"/>
    <cellStyle name="40% - Accent6 2 3 6 6" xfId="15729" xr:uid="{00000000-0005-0000-0000-000053800000}"/>
    <cellStyle name="40% - Accent6 2 3 6 7" xfId="22831" xr:uid="{00000000-0005-0000-0000-000054800000}"/>
    <cellStyle name="40% - Accent6 2 3 6 8" xfId="29933" xr:uid="{00000000-0005-0000-0000-000055800000}"/>
    <cellStyle name="40% - Accent6 2 3 6 9" xfId="40320" xr:uid="{00000000-0005-0000-0000-000056800000}"/>
    <cellStyle name="40% - Accent6 2 3 7" xfId="1733" xr:uid="{00000000-0005-0000-0000-000057800000}"/>
    <cellStyle name="40% - Accent6 2 3 7 2" xfId="6001" xr:uid="{00000000-0005-0000-0000-000058800000}"/>
    <cellStyle name="40% - Accent6 2 3 7 2 2" xfId="13101" xr:uid="{00000000-0005-0000-0000-000059800000}"/>
    <cellStyle name="40% - Accent6 2 3 7 2 3" xfId="20202" xr:uid="{00000000-0005-0000-0000-00005A800000}"/>
    <cellStyle name="40% - Accent6 2 3 7 2 4" xfId="27304" xr:uid="{00000000-0005-0000-0000-00005B800000}"/>
    <cellStyle name="40% - Accent6 2 3 7 2 5" xfId="34406" xr:uid="{00000000-0005-0000-0000-00005C800000}"/>
    <cellStyle name="40% - Accent6 2 3 7 3" xfId="8841" xr:uid="{00000000-0005-0000-0000-00005D800000}"/>
    <cellStyle name="40% - Accent6 2 3 7 4" xfId="15942" xr:uid="{00000000-0005-0000-0000-00005E800000}"/>
    <cellStyle name="40% - Accent6 2 3 7 5" xfId="23044" xr:uid="{00000000-0005-0000-0000-00005F800000}"/>
    <cellStyle name="40% - Accent6 2 3 7 6" xfId="30146" xr:uid="{00000000-0005-0000-0000-000060800000}"/>
    <cellStyle name="40% - Accent6 2 3 7 7" xfId="40321" xr:uid="{00000000-0005-0000-0000-000061800000}"/>
    <cellStyle name="40% - Accent6 2 3 8" xfId="4580" xr:uid="{00000000-0005-0000-0000-000062800000}"/>
    <cellStyle name="40% - Accent6 2 3 8 2" xfId="11681" xr:uid="{00000000-0005-0000-0000-000063800000}"/>
    <cellStyle name="40% - Accent6 2 3 8 3" xfId="18782" xr:uid="{00000000-0005-0000-0000-000064800000}"/>
    <cellStyle name="40% - Accent6 2 3 8 4" xfId="25884" xr:uid="{00000000-0005-0000-0000-000065800000}"/>
    <cellStyle name="40% - Accent6 2 3 8 5" xfId="32986" xr:uid="{00000000-0005-0000-0000-000066800000}"/>
    <cellStyle name="40% - Accent6 2 3 9" xfId="3155" xr:uid="{00000000-0005-0000-0000-000067800000}"/>
    <cellStyle name="40% - Accent6 2 3 9 2" xfId="10261" xr:uid="{00000000-0005-0000-0000-000068800000}"/>
    <cellStyle name="40% - Accent6 2 3 9 3" xfId="17362" xr:uid="{00000000-0005-0000-0000-000069800000}"/>
    <cellStyle name="40% - Accent6 2 3 9 4" xfId="24464" xr:uid="{00000000-0005-0000-0000-00006A800000}"/>
    <cellStyle name="40% - Accent6 2 3 9 5" xfId="31566" xr:uid="{00000000-0005-0000-0000-00006B800000}"/>
    <cellStyle name="40% - Accent6 2 4" xfId="171" xr:uid="{00000000-0005-0000-0000-00006C800000}"/>
    <cellStyle name="40% - Accent6 2 4 10" xfId="7350" xr:uid="{00000000-0005-0000-0000-00006D800000}"/>
    <cellStyle name="40% - Accent6 2 4 11" xfId="14451" xr:uid="{00000000-0005-0000-0000-00006E800000}"/>
    <cellStyle name="40% - Accent6 2 4 12" xfId="21553" xr:uid="{00000000-0005-0000-0000-00006F800000}"/>
    <cellStyle name="40% - Accent6 2 4 13" xfId="28655" xr:uid="{00000000-0005-0000-0000-000070800000}"/>
    <cellStyle name="40% - Accent6 2 4 14" xfId="35757" xr:uid="{00000000-0005-0000-0000-000071800000}"/>
    <cellStyle name="40% - Accent6 2 4 15" xfId="40322" xr:uid="{00000000-0005-0000-0000-000072800000}"/>
    <cellStyle name="40% - Accent6 2 4 2" xfId="384" xr:uid="{00000000-0005-0000-0000-000073800000}"/>
    <cellStyle name="40% - Accent6 2 4 2 2" xfId="1875" xr:uid="{00000000-0005-0000-0000-000074800000}"/>
    <cellStyle name="40% - Accent6 2 4 2 2 2" xfId="6143" xr:uid="{00000000-0005-0000-0000-000075800000}"/>
    <cellStyle name="40% - Accent6 2 4 2 2 2 2" xfId="13243" xr:uid="{00000000-0005-0000-0000-000076800000}"/>
    <cellStyle name="40% - Accent6 2 4 2 2 2 3" xfId="20344" xr:uid="{00000000-0005-0000-0000-000077800000}"/>
    <cellStyle name="40% - Accent6 2 4 2 2 2 4" xfId="27446" xr:uid="{00000000-0005-0000-0000-000078800000}"/>
    <cellStyle name="40% - Accent6 2 4 2 2 2 5" xfId="34548" xr:uid="{00000000-0005-0000-0000-000079800000}"/>
    <cellStyle name="40% - Accent6 2 4 2 2 2 6" xfId="40323" xr:uid="{00000000-0005-0000-0000-00007A800000}"/>
    <cellStyle name="40% - Accent6 2 4 2 2 3" xfId="8983" xr:uid="{00000000-0005-0000-0000-00007B800000}"/>
    <cellStyle name="40% - Accent6 2 4 2 2 4" xfId="16084" xr:uid="{00000000-0005-0000-0000-00007C800000}"/>
    <cellStyle name="40% - Accent6 2 4 2 2 5" xfId="23186" xr:uid="{00000000-0005-0000-0000-00007D800000}"/>
    <cellStyle name="40% - Accent6 2 4 2 2 6" xfId="30288" xr:uid="{00000000-0005-0000-0000-00007E800000}"/>
    <cellStyle name="40% - Accent6 2 4 2 2 7" xfId="40324" xr:uid="{00000000-0005-0000-0000-00007F800000}"/>
    <cellStyle name="40% - Accent6 2 4 2 3" xfId="4722" xr:uid="{00000000-0005-0000-0000-000080800000}"/>
    <cellStyle name="40% - Accent6 2 4 2 3 2" xfId="11823" xr:uid="{00000000-0005-0000-0000-000081800000}"/>
    <cellStyle name="40% - Accent6 2 4 2 3 2 2" xfId="40325" xr:uid="{00000000-0005-0000-0000-000082800000}"/>
    <cellStyle name="40% - Accent6 2 4 2 3 3" xfId="18924" xr:uid="{00000000-0005-0000-0000-000083800000}"/>
    <cellStyle name="40% - Accent6 2 4 2 3 4" xfId="26026" xr:uid="{00000000-0005-0000-0000-000084800000}"/>
    <cellStyle name="40% - Accent6 2 4 2 3 5" xfId="33128" xr:uid="{00000000-0005-0000-0000-000085800000}"/>
    <cellStyle name="40% - Accent6 2 4 2 3 6" xfId="40326" xr:uid="{00000000-0005-0000-0000-000086800000}"/>
    <cellStyle name="40% - Accent6 2 4 2 4" xfId="3297" xr:uid="{00000000-0005-0000-0000-000087800000}"/>
    <cellStyle name="40% - Accent6 2 4 2 4 2" xfId="10403" xr:uid="{00000000-0005-0000-0000-000088800000}"/>
    <cellStyle name="40% - Accent6 2 4 2 4 3" xfId="17504" xr:uid="{00000000-0005-0000-0000-000089800000}"/>
    <cellStyle name="40% - Accent6 2 4 2 4 4" xfId="24606" xr:uid="{00000000-0005-0000-0000-00008A800000}"/>
    <cellStyle name="40% - Accent6 2 4 2 4 5" xfId="31708" xr:uid="{00000000-0005-0000-0000-00008B800000}"/>
    <cellStyle name="40% - Accent6 2 4 2 4 6" xfId="40327" xr:uid="{00000000-0005-0000-0000-00008C800000}"/>
    <cellStyle name="40% - Accent6 2 4 2 5" xfId="7563" xr:uid="{00000000-0005-0000-0000-00008D800000}"/>
    <cellStyle name="40% - Accent6 2 4 2 6" xfId="14664" xr:uid="{00000000-0005-0000-0000-00008E800000}"/>
    <cellStyle name="40% - Accent6 2 4 2 7" xfId="21766" xr:uid="{00000000-0005-0000-0000-00008F800000}"/>
    <cellStyle name="40% - Accent6 2 4 2 8" xfId="28868" xr:uid="{00000000-0005-0000-0000-000090800000}"/>
    <cellStyle name="40% - Accent6 2 4 2 9" xfId="40328" xr:uid="{00000000-0005-0000-0000-000091800000}"/>
    <cellStyle name="40% - Accent6 2 4 3" xfId="597" xr:uid="{00000000-0005-0000-0000-000092800000}"/>
    <cellStyle name="40% - Accent6 2 4 3 2" xfId="2088" xr:uid="{00000000-0005-0000-0000-000093800000}"/>
    <cellStyle name="40% - Accent6 2 4 3 2 2" xfId="6356" xr:uid="{00000000-0005-0000-0000-000094800000}"/>
    <cellStyle name="40% - Accent6 2 4 3 2 2 2" xfId="13456" xr:uid="{00000000-0005-0000-0000-000095800000}"/>
    <cellStyle name="40% - Accent6 2 4 3 2 2 3" xfId="20557" xr:uid="{00000000-0005-0000-0000-000096800000}"/>
    <cellStyle name="40% - Accent6 2 4 3 2 2 4" xfId="27659" xr:uid="{00000000-0005-0000-0000-000097800000}"/>
    <cellStyle name="40% - Accent6 2 4 3 2 2 5" xfId="34761" xr:uid="{00000000-0005-0000-0000-000098800000}"/>
    <cellStyle name="40% - Accent6 2 4 3 2 2 6" xfId="40329" xr:uid="{00000000-0005-0000-0000-000099800000}"/>
    <cellStyle name="40% - Accent6 2 4 3 2 3" xfId="9196" xr:uid="{00000000-0005-0000-0000-00009A800000}"/>
    <cellStyle name="40% - Accent6 2 4 3 2 4" xfId="16297" xr:uid="{00000000-0005-0000-0000-00009B800000}"/>
    <cellStyle name="40% - Accent6 2 4 3 2 5" xfId="23399" xr:uid="{00000000-0005-0000-0000-00009C800000}"/>
    <cellStyle name="40% - Accent6 2 4 3 2 6" xfId="30501" xr:uid="{00000000-0005-0000-0000-00009D800000}"/>
    <cellStyle name="40% - Accent6 2 4 3 2 7" xfId="40330" xr:uid="{00000000-0005-0000-0000-00009E800000}"/>
    <cellStyle name="40% - Accent6 2 4 3 3" xfId="4935" xr:uid="{00000000-0005-0000-0000-00009F800000}"/>
    <cellStyle name="40% - Accent6 2 4 3 3 2" xfId="12036" xr:uid="{00000000-0005-0000-0000-0000A0800000}"/>
    <cellStyle name="40% - Accent6 2 4 3 3 2 2" xfId="40331" xr:uid="{00000000-0005-0000-0000-0000A1800000}"/>
    <cellStyle name="40% - Accent6 2 4 3 3 3" xfId="19137" xr:uid="{00000000-0005-0000-0000-0000A2800000}"/>
    <cellStyle name="40% - Accent6 2 4 3 3 4" xfId="26239" xr:uid="{00000000-0005-0000-0000-0000A3800000}"/>
    <cellStyle name="40% - Accent6 2 4 3 3 5" xfId="33341" xr:uid="{00000000-0005-0000-0000-0000A4800000}"/>
    <cellStyle name="40% - Accent6 2 4 3 3 6" xfId="40332" xr:uid="{00000000-0005-0000-0000-0000A5800000}"/>
    <cellStyle name="40% - Accent6 2 4 3 4" xfId="3510" xr:uid="{00000000-0005-0000-0000-0000A6800000}"/>
    <cellStyle name="40% - Accent6 2 4 3 4 2" xfId="10616" xr:uid="{00000000-0005-0000-0000-0000A7800000}"/>
    <cellStyle name="40% - Accent6 2 4 3 4 3" xfId="17717" xr:uid="{00000000-0005-0000-0000-0000A8800000}"/>
    <cellStyle name="40% - Accent6 2 4 3 4 4" xfId="24819" xr:uid="{00000000-0005-0000-0000-0000A9800000}"/>
    <cellStyle name="40% - Accent6 2 4 3 4 5" xfId="31921" xr:uid="{00000000-0005-0000-0000-0000AA800000}"/>
    <cellStyle name="40% - Accent6 2 4 3 4 6" xfId="40333" xr:uid="{00000000-0005-0000-0000-0000AB800000}"/>
    <cellStyle name="40% - Accent6 2 4 3 5" xfId="7776" xr:uid="{00000000-0005-0000-0000-0000AC800000}"/>
    <cellStyle name="40% - Accent6 2 4 3 6" xfId="14877" xr:uid="{00000000-0005-0000-0000-0000AD800000}"/>
    <cellStyle name="40% - Accent6 2 4 3 7" xfId="21979" xr:uid="{00000000-0005-0000-0000-0000AE800000}"/>
    <cellStyle name="40% - Accent6 2 4 3 8" xfId="29081" xr:uid="{00000000-0005-0000-0000-0000AF800000}"/>
    <cellStyle name="40% - Accent6 2 4 3 9" xfId="40334" xr:uid="{00000000-0005-0000-0000-0000B0800000}"/>
    <cellStyle name="40% - Accent6 2 4 4" xfId="810" xr:uid="{00000000-0005-0000-0000-0000B1800000}"/>
    <cellStyle name="40% - Accent6 2 4 4 2" xfId="2301" xr:uid="{00000000-0005-0000-0000-0000B2800000}"/>
    <cellStyle name="40% - Accent6 2 4 4 2 2" xfId="6569" xr:uid="{00000000-0005-0000-0000-0000B3800000}"/>
    <cellStyle name="40% - Accent6 2 4 4 2 2 2" xfId="13669" xr:uid="{00000000-0005-0000-0000-0000B4800000}"/>
    <cellStyle name="40% - Accent6 2 4 4 2 2 3" xfId="20770" xr:uid="{00000000-0005-0000-0000-0000B5800000}"/>
    <cellStyle name="40% - Accent6 2 4 4 2 2 4" xfId="27872" xr:uid="{00000000-0005-0000-0000-0000B6800000}"/>
    <cellStyle name="40% - Accent6 2 4 4 2 2 5" xfId="34974" xr:uid="{00000000-0005-0000-0000-0000B7800000}"/>
    <cellStyle name="40% - Accent6 2 4 4 2 2 6" xfId="40335" xr:uid="{00000000-0005-0000-0000-0000B8800000}"/>
    <cellStyle name="40% - Accent6 2 4 4 2 3" xfId="9409" xr:uid="{00000000-0005-0000-0000-0000B9800000}"/>
    <cellStyle name="40% - Accent6 2 4 4 2 4" xfId="16510" xr:uid="{00000000-0005-0000-0000-0000BA800000}"/>
    <cellStyle name="40% - Accent6 2 4 4 2 5" xfId="23612" xr:uid="{00000000-0005-0000-0000-0000BB800000}"/>
    <cellStyle name="40% - Accent6 2 4 4 2 6" xfId="30714" xr:uid="{00000000-0005-0000-0000-0000BC800000}"/>
    <cellStyle name="40% - Accent6 2 4 4 2 7" xfId="40336" xr:uid="{00000000-0005-0000-0000-0000BD800000}"/>
    <cellStyle name="40% - Accent6 2 4 4 3" xfId="5148" xr:uid="{00000000-0005-0000-0000-0000BE800000}"/>
    <cellStyle name="40% - Accent6 2 4 4 3 2" xfId="12249" xr:uid="{00000000-0005-0000-0000-0000BF800000}"/>
    <cellStyle name="40% - Accent6 2 4 4 3 2 2" xfId="40337" xr:uid="{00000000-0005-0000-0000-0000C0800000}"/>
    <cellStyle name="40% - Accent6 2 4 4 3 3" xfId="19350" xr:uid="{00000000-0005-0000-0000-0000C1800000}"/>
    <cellStyle name="40% - Accent6 2 4 4 3 4" xfId="26452" xr:uid="{00000000-0005-0000-0000-0000C2800000}"/>
    <cellStyle name="40% - Accent6 2 4 4 3 5" xfId="33554" xr:uid="{00000000-0005-0000-0000-0000C3800000}"/>
    <cellStyle name="40% - Accent6 2 4 4 3 6" xfId="40338" xr:uid="{00000000-0005-0000-0000-0000C4800000}"/>
    <cellStyle name="40% - Accent6 2 4 4 4" xfId="3723" xr:uid="{00000000-0005-0000-0000-0000C5800000}"/>
    <cellStyle name="40% - Accent6 2 4 4 4 2" xfId="10829" xr:uid="{00000000-0005-0000-0000-0000C6800000}"/>
    <cellStyle name="40% - Accent6 2 4 4 4 3" xfId="17930" xr:uid="{00000000-0005-0000-0000-0000C7800000}"/>
    <cellStyle name="40% - Accent6 2 4 4 4 4" xfId="25032" xr:uid="{00000000-0005-0000-0000-0000C8800000}"/>
    <cellStyle name="40% - Accent6 2 4 4 4 5" xfId="32134" xr:uid="{00000000-0005-0000-0000-0000C9800000}"/>
    <cellStyle name="40% - Accent6 2 4 4 4 6" xfId="40339" xr:uid="{00000000-0005-0000-0000-0000CA800000}"/>
    <cellStyle name="40% - Accent6 2 4 4 5" xfId="7989" xr:uid="{00000000-0005-0000-0000-0000CB800000}"/>
    <cellStyle name="40% - Accent6 2 4 4 6" xfId="15090" xr:uid="{00000000-0005-0000-0000-0000CC800000}"/>
    <cellStyle name="40% - Accent6 2 4 4 7" xfId="22192" xr:uid="{00000000-0005-0000-0000-0000CD800000}"/>
    <cellStyle name="40% - Accent6 2 4 4 8" xfId="29294" xr:uid="{00000000-0005-0000-0000-0000CE800000}"/>
    <cellStyle name="40% - Accent6 2 4 4 9" xfId="40340" xr:uid="{00000000-0005-0000-0000-0000CF800000}"/>
    <cellStyle name="40% - Accent6 2 4 5" xfId="1165" xr:uid="{00000000-0005-0000-0000-0000D0800000}"/>
    <cellStyle name="40% - Accent6 2 4 5 2" xfId="2656" xr:uid="{00000000-0005-0000-0000-0000D1800000}"/>
    <cellStyle name="40% - Accent6 2 4 5 2 2" xfId="6924" xr:uid="{00000000-0005-0000-0000-0000D2800000}"/>
    <cellStyle name="40% - Accent6 2 4 5 2 2 2" xfId="14024" xr:uid="{00000000-0005-0000-0000-0000D3800000}"/>
    <cellStyle name="40% - Accent6 2 4 5 2 2 3" xfId="21125" xr:uid="{00000000-0005-0000-0000-0000D4800000}"/>
    <cellStyle name="40% - Accent6 2 4 5 2 2 4" xfId="28227" xr:uid="{00000000-0005-0000-0000-0000D5800000}"/>
    <cellStyle name="40% - Accent6 2 4 5 2 2 5" xfId="35329" xr:uid="{00000000-0005-0000-0000-0000D6800000}"/>
    <cellStyle name="40% - Accent6 2 4 5 2 3" xfId="9764" xr:uid="{00000000-0005-0000-0000-0000D7800000}"/>
    <cellStyle name="40% - Accent6 2 4 5 2 4" xfId="16865" xr:uid="{00000000-0005-0000-0000-0000D8800000}"/>
    <cellStyle name="40% - Accent6 2 4 5 2 5" xfId="23967" xr:uid="{00000000-0005-0000-0000-0000D9800000}"/>
    <cellStyle name="40% - Accent6 2 4 5 2 6" xfId="31069" xr:uid="{00000000-0005-0000-0000-0000DA800000}"/>
    <cellStyle name="40% - Accent6 2 4 5 2 7" xfId="40341" xr:uid="{00000000-0005-0000-0000-0000DB800000}"/>
    <cellStyle name="40% - Accent6 2 4 5 3" xfId="5503" xr:uid="{00000000-0005-0000-0000-0000DC800000}"/>
    <cellStyle name="40% - Accent6 2 4 5 3 2" xfId="12604" xr:uid="{00000000-0005-0000-0000-0000DD800000}"/>
    <cellStyle name="40% - Accent6 2 4 5 3 3" xfId="19705" xr:uid="{00000000-0005-0000-0000-0000DE800000}"/>
    <cellStyle name="40% - Accent6 2 4 5 3 4" xfId="26807" xr:uid="{00000000-0005-0000-0000-0000DF800000}"/>
    <cellStyle name="40% - Accent6 2 4 5 3 5" xfId="33909" xr:uid="{00000000-0005-0000-0000-0000E0800000}"/>
    <cellStyle name="40% - Accent6 2 4 5 4" xfId="4078" xr:uid="{00000000-0005-0000-0000-0000E1800000}"/>
    <cellStyle name="40% - Accent6 2 4 5 4 2" xfId="11184" xr:uid="{00000000-0005-0000-0000-0000E2800000}"/>
    <cellStyle name="40% - Accent6 2 4 5 4 3" xfId="18285" xr:uid="{00000000-0005-0000-0000-0000E3800000}"/>
    <cellStyle name="40% - Accent6 2 4 5 4 4" xfId="25387" xr:uid="{00000000-0005-0000-0000-0000E4800000}"/>
    <cellStyle name="40% - Accent6 2 4 5 4 5" xfId="32489" xr:uid="{00000000-0005-0000-0000-0000E5800000}"/>
    <cellStyle name="40% - Accent6 2 4 5 5" xfId="8344" xr:uid="{00000000-0005-0000-0000-0000E6800000}"/>
    <cellStyle name="40% - Accent6 2 4 5 6" xfId="15445" xr:uid="{00000000-0005-0000-0000-0000E7800000}"/>
    <cellStyle name="40% - Accent6 2 4 5 7" xfId="22547" xr:uid="{00000000-0005-0000-0000-0000E8800000}"/>
    <cellStyle name="40% - Accent6 2 4 5 8" xfId="29649" xr:uid="{00000000-0005-0000-0000-0000E9800000}"/>
    <cellStyle name="40% - Accent6 2 4 5 9" xfId="40342" xr:uid="{00000000-0005-0000-0000-0000EA800000}"/>
    <cellStyle name="40% - Accent6 2 4 6" xfId="1378" xr:uid="{00000000-0005-0000-0000-0000EB800000}"/>
    <cellStyle name="40% - Accent6 2 4 6 2" xfId="2869" xr:uid="{00000000-0005-0000-0000-0000EC800000}"/>
    <cellStyle name="40% - Accent6 2 4 6 2 2" xfId="7137" xr:uid="{00000000-0005-0000-0000-0000ED800000}"/>
    <cellStyle name="40% - Accent6 2 4 6 2 2 2" xfId="14237" xr:uid="{00000000-0005-0000-0000-0000EE800000}"/>
    <cellStyle name="40% - Accent6 2 4 6 2 2 3" xfId="21338" xr:uid="{00000000-0005-0000-0000-0000EF800000}"/>
    <cellStyle name="40% - Accent6 2 4 6 2 2 4" xfId="28440" xr:uid="{00000000-0005-0000-0000-0000F0800000}"/>
    <cellStyle name="40% - Accent6 2 4 6 2 2 5" xfId="35542" xr:uid="{00000000-0005-0000-0000-0000F1800000}"/>
    <cellStyle name="40% - Accent6 2 4 6 2 3" xfId="9977" xr:uid="{00000000-0005-0000-0000-0000F2800000}"/>
    <cellStyle name="40% - Accent6 2 4 6 2 4" xfId="17078" xr:uid="{00000000-0005-0000-0000-0000F3800000}"/>
    <cellStyle name="40% - Accent6 2 4 6 2 5" xfId="24180" xr:uid="{00000000-0005-0000-0000-0000F4800000}"/>
    <cellStyle name="40% - Accent6 2 4 6 2 6" xfId="31282" xr:uid="{00000000-0005-0000-0000-0000F5800000}"/>
    <cellStyle name="40% - Accent6 2 4 6 2 7" xfId="40343" xr:uid="{00000000-0005-0000-0000-0000F6800000}"/>
    <cellStyle name="40% - Accent6 2 4 6 3" xfId="5716" xr:uid="{00000000-0005-0000-0000-0000F7800000}"/>
    <cellStyle name="40% - Accent6 2 4 6 3 2" xfId="12817" xr:uid="{00000000-0005-0000-0000-0000F8800000}"/>
    <cellStyle name="40% - Accent6 2 4 6 3 3" xfId="19918" xr:uid="{00000000-0005-0000-0000-0000F9800000}"/>
    <cellStyle name="40% - Accent6 2 4 6 3 4" xfId="27020" xr:uid="{00000000-0005-0000-0000-0000FA800000}"/>
    <cellStyle name="40% - Accent6 2 4 6 3 5" xfId="34122" xr:uid="{00000000-0005-0000-0000-0000FB800000}"/>
    <cellStyle name="40% - Accent6 2 4 6 4" xfId="4291" xr:uid="{00000000-0005-0000-0000-0000FC800000}"/>
    <cellStyle name="40% - Accent6 2 4 6 4 2" xfId="11397" xr:uid="{00000000-0005-0000-0000-0000FD800000}"/>
    <cellStyle name="40% - Accent6 2 4 6 4 3" xfId="18498" xr:uid="{00000000-0005-0000-0000-0000FE800000}"/>
    <cellStyle name="40% - Accent6 2 4 6 4 4" xfId="25600" xr:uid="{00000000-0005-0000-0000-0000FF800000}"/>
    <cellStyle name="40% - Accent6 2 4 6 4 5" xfId="32702" xr:uid="{00000000-0005-0000-0000-000000810000}"/>
    <cellStyle name="40% - Accent6 2 4 6 5" xfId="8557" xr:uid="{00000000-0005-0000-0000-000001810000}"/>
    <cellStyle name="40% - Accent6 2 4 6 6" xfId="15658" xr:uid="{00000000-0005-0000-0000-000002810000}"/>
    <cellStyle name="40% - Accent6 2 4 6 7" xfId="22760" xr:uid="{00000000-0005-0000-0000-000003810000}"/>
    <cellStyle name="40% - Accent6 2 4 6 8" xfId="29862" xr:uid="{00000000-0005-0000-0000-000004810000}"/>
    <cellStyle name="40% - Accent6 2 4 6 9" xfId="40344" xr:uid="{00000000-0005-0000-0000-000005810000}"/>
    <cellStyle name="40% - Accent6 2 4 7" xfId="1662" xr:uid="{00000000-0005-0000-0000-000006810000}"/>
    <cellStyle name="40% - Accent6 2 4 7 2" xfId="5930" xr:uid="{00000000-0005-0000-0000-000007810000}"/>
    <cellStyle name="40% - Accent6 2 4 7 2 2" xfId="13030" xr:uid="{00000000-0005-0000-0000-000008810000}"/>
    <cellStyle name="40% - Accent6 2 4 7 2 3" xfId="20131" xr:uid="{00000000-0005-0000-0000-000009810000}"/>
    <cellStyle name="40% - Accent6 2 4 7 2 4" xfId="27233" xr:uid="{00000000-0005-0000-0000-00000A810000}"/>
    <cellStyle name="40% - Accent6 2 4 7 2 5" xfId="34335" xr:uid="{00000000-0005-0000-0000-00000B810000}"/>
    <cellStyle name="40% - Accent6 2 4 7 3" xfId="8770" xr:uid="{00000000-0005-0000-0000-00000C810000}"/>
    <cellStyle name="40% - Accent6 2 4 7 4" xfId="15871" xr:uid="{00000000-0005-0000-0000-00000D810000}"/>
    <cellStyle name="40% - Accent6 2 4 7 5" xfId="22973" xr:uid="{00000000-0005-0000-0000-00000E810000}"/>
    <cellStyle name="40% - Accent6 2 4 7 6" xfId="30075" xr:uid="{00000000-0005-0000-0000-00000F810000}"/>
    <cellStyle name="40% - Accent6 2 4 7 7" xfId="40345" xr:uid="{00000000-0005-0000-0000-000010810000}"/>
    <cellStyle name="40% - Accent6 2 4 8" xfId="4509" xr:uid="{00000000-0005-0000-0000-000011810000}"/>
    <cellStyle name="40% - Accent6 2 4 8 2" xfId="11610" xr:uid="{00000000-0005-0000-0000-000012810000}"/>
    <cellStyle name="40% - Accent6 2 4 8 3" xfId="18711" xr:uid="{00000000-0005-0000-0000-000013810000}"/>
    <cellStyle name="40% - Accent6 2 4 8 4" xfId="25813" xr:uid="{00000000-0005-0000-0000-000014810000}"/>
    <cellStyle name="40% - Accent6 2 4 8 5" xfId="32915" xr:uid="{00000000-0005-0000-0000-000015810000}"/>
    <cellStyle name="40% - Accent6 2 4 9" xfId="3084" xr:uid="{00000000-0005-0000-0000-000016810000}"/>
    <cellStyle name="40% - Accent6 2 4 9 2" xfId="10190" xr:uid="{00000000-0005-0000-0000-000017810000}"/>
    <cellStyle name="40% - Accent6 2 4 9 3" xfId="17291" xr:uid="{00000000-0005-0000-0000-000018810000}"/>
    <cellStyle name="40% - Accent6 2 4 9 4" xfId="24393" xr:uid="{00000000-0005-0000-0000-000019810000}"/>
    <cellStyle name="40% - Accent6 2 4 9 5" xfId="31495" xr:uid="{00000000-0005-0000-0000-00001A810000}"/>
    <cellStyle name="40% - Accent6 2 5" xfId="313" xr:uid="{00000000-0005-0000-0000-00001B810000}"/>
    <cellStyle name="40% - Accent6 2 5 10" xfId="40346" xr:uid="{00000000-0005-0000-0000-00001C810000}"/>
    <cellStyle name="40% - Accent6 2 5 2" xfId="1094" xr:uid="{00000000-0005-0000-0000-00001D810000}"/>
    <cellStyle name="40% - Accent6 2 5 2 2" xfId="2585" xr:uid="{00000000-0005-0000-0000-00001E810000}"/>
    <cellStyle name="40% - Accent6 2 5 2 2 2" xfId="6853" xr:uid="{00000000-0005-0000-0000-00001F810000}"/>
    <cellStyle name="40% - Accent6 2 5 2 2 2 2" xfId="13953" xr:uid="{00000000-0005-0000-0000-000020810000}"/>
    <cellStyle name="40% - Accent6 2 5 2 2 2 3" xfId="21054" xr:uid="{00000000-0005-0000-0000-000021810000}"/>
    <cellStyle name="40% - Accent6 2 5 2 2 2 4" xfId="28156" xr:uid="{00000000-0005-0000-0000-000022810000}"/>
    <cellStyle name="40% - Accent6 2 5 2 2 2 5" xfId="35258" xr:uid="{00000000-0005-0000-0000-000023810000}"/>
    <cellStyle name="40% - Accent6 2 5 2 2 2 6" xfId="40347" xr:uid="{00000000-0005-0000-0000-000024810000}"/>
    <cellStyle name="40% - Accent6 2 5 2 2 3" xfId="9693" xr:uid="{00000000-0005-0000-0000-000025810000}"/>
    <cellStyle name="40% - Accent6 2 5 2 2 4" xfId="16794" xr:uid="{00000000-0005-0000-0000-000026810000}"/>
    <cellStyle name="40% - Accent6 2 5 2 2 5" xfId="23896" xr:uid="{00000000-0005-0000-0000-000027810000}"/>
    <cellStyle name="40% - Accent6 2 5 2 2 6" xfId="30998" xr:uid="{00000000-0005-0000-0000-000028810000}"/>
    <cellStyle name="40% - Accent6 2 5 2 2 7" xfId="40348" xr:uid="{00000000-0005-0000-0000-000029810000}"/>
    <cellStyle name="40% - Accent6 2 5 2 3" xfId="5432" xr:uid="{00000000-0005-0000-0000-00002A810000}"/>
    <cellStyle name="40% - Accent6 2 5 2 3 2" xfId="12533" xr:uid="{00000000-0005-0000-0000-00002B810000}"/>
    <cellStyle name="40% - Accent6 2 5 2 3 2 2" xfId="40349" xr:uid="{00000000-0005-0000-0000-00002C810000}"/>
    <cellStyle name="40% - Accent6 2 5 2 3 3" xfId="19634" xr:uid="{00000000-0005-0000-0000-00002D810000}"/>
    <cellStyle name="40% - Accent6 2 5 2 3 4" xfId="26736" xr:uid="{00000000-0005-0000-0000-00002E810000}"/>
    <cellStyle name="40% - Accent6 2 5 2 3 5" xfId="33838" xr:uid="{00000000-0005-0000-0000-00002F810000}"/>
    <cellStyle name="40% - Accent6 2 5 2 3 6" xfId="40350" xr:uid="{00000000-0005-0000-0000-000030810000}"/>
    <cellStyle name="40% - Accent6 2 5 2 4" xfId="4007" xr:uid="{00000000-0005-0000-0000-000031810000}"/>
    <cellStyle name="40% - Accent6 2 5 2 4 2" xfId="11113" xr:uid="{00000000-0005-0000-0000-000032810000}"/>
    <cellStyle name="40% - Accent6 2 5 2 4 3" xfId="18214" xr:uid="{00000000-0005-0000-0000-000033810000}"/>
    <cellStyle name="40% - Accent6 2 5 2 4 4" xfId="25316" xr:uid="{00000000-0005-0000-0000-000034810000}"/>
    <cellStyle name="40% - Accent6 2 5 2 4 5" xfId="32418" xr:uid="{00000000-0005-0000-0000-000035810000}"/>
    <cellStyle name="40% - Accent6 2 5 2 4 6" xfId="40351" xr:uid="{00000000-0005-0000-0000-000036810000}"/>
    <cellStyle name="40% - Accent6 2 5 2 5" xfId="8273" xr:uid="{00000000-0005-0000-0000-000037810000}"/>
    <cellStyle name="40% - Accent6 2 5 2 6" xfId="15374" xr:uid="{00000000-0005-0000-0000-000038810000}"/>
    <cellStyle name="40% - Accent6 2 5 2 7" xfId="22476" xr:uid="{00000000-0005-0000-0000-000039810000}"/>
    <cellStyle name="40% - Accent6 2 5 2 8" xfId="29578" xr:uid="{00000000-0005-0000-0000-00003A810000}"/>
    <cellStyle name="40% - Accent6 2 5 2 9" xfId="40352" xr:uid="{00000000-0005-0000-0000-00003B810000}"/>
    <cellStyle name="40% - Accent6 2 5 3" xfId="1804" xr:uid="{00000000-0005-0000-0000-00003C810000}"/>
    <cellStyle name="40% - Accent6 2 5 3 2" xfId="6072" xr:uid="{00000000-0005-0000-0000-00003D810000}"/>
    <cellStyle name="40% - Accent6 2 5 3 2 2" xfId="13172" xr:uid="{00000000-0005-0000-0000-00003E810000}"/>
    <cellStyle name="40% - Accent6 2 5 3 2 2 2" xfId="40353" xr:uid="{00000000-0005-0000-0000-00003F810000}"/>
    <cellStyle name="40% - Accent6 2 5 3 2 3" xfId="20273" xr:uid="{00000000-0005-0000-0000-000040810000}"/>
    <cellStyle name="40% - Accent6 2 5 3 2 4" xfId="27375" xr:uid="{00000000-0005-0000-0000-000041810000}"/>
    <cellStyle name="40% - Accent6 2 5 3 2 5" xfId="34477" xr:uid="{00000000-0005-0000-0000-000042810000}"/>
    <cellStyle name="40% - Accent6 2 5 3 2 6" xfId="40354" xr:uid="{00000000-0005-0000-0000-000043810000}"/>
    <cellStyle name="40% - Accent6 2 5 3 3" xfId="8912" xr:uid="{00000000-0005-0000-0000-000044810000}"/>
    <cellStyle name="40% - Accent6 2 5 3 3 2" xfId="40355" xr:uid="{00000000-0005-0000-0000-000045810000}"/>
    <cellStyle name="40% - Accent6 2 5 3 3 3" xfId="40356" xr:uid="{00000000-0005-0000-0000-000046810000}"/>
    <cellStyle name="40% - Accent6 2 5 3 4" xfId="16013" xr:uid="{00000000-0005-0000-0000-000047810000}"/>
    <cellStyle name="40% - Accent6 2 5 3 4 2" xfId="40357" xr:uid="{00000000-0005-0000-0000-000048810000}"/>
    <cellStyle name="40% - Accent6 2 5 3 5" xfId="23115" xr:uid="{00000000-0005-0000-0000-000049810000}"/>
    <cellStyle name="40% - Accent6 2 5 3 6" xfId="30217" xr:uid="{00000000-0005-0000-0000-00004A810000}"/>
    <cellStyle name="40% - Accent6 2 5 3 7" xfId="40358" xr:uid="{00000000-0005-0000-0000-00004B810000}"/>
    <cellStyle name="40% - Accent6 2 5 4" xfId="4651" xr:uid="{00000000-0005-0000-0000-00004C810000}"/>
    <cellStyle name="40% - Accent6 2 5 4 2" xfId="11752" xr:uid="{00000000-0005-0000-0000-00004D810000}"/>
    <cellStyle name="40% - Accent6 2 5 4 2 2" xfId="40359" xr:uid="{00000000-0005-0000-0000-00004E810000}"/>
    <cellStyle name="40% - Accent6 2 5 4 2 3" xfId="40360" xr:uid="{00000000-0005-0000-0000-00004F810000}"/>
    <cellStyle name="40% - Accent6 2 5 4 3" xfId="18853" xr:uid="{00000000-0005-0000-0000-000050810000}"/>
    <cellStyle name="40% - Accent6 2 5 4 3 2" xfId="40361" xr:uid="{00000000-0005-0000-0000-000051810000}"/>
    <cellStyle name="40% - Accent6 2 5 4 3 3" xfId="40362" xr:uid="{00000000-0005-0000-0000-000052810000}"/>
    <cellStyle name="40% - Accent6 2 5 4 4" xfId="25955" xr:uid="{00000000-0005-0000-0000-000053810000}"/>
    <cellStyle name="40% - Accent6 2 5 4 4 2" xfId="40363" xr:uid="{00000000-0005-0000-0000-000054810000}"/>
    <cellStyle name="40% - Accent6 2 5 4 5" xfId="33057" xr:uid="{00000000-0005-0000-0000-000055810000}"/>
    <cellStyle name="40% - Accent6 2 5 4 6" xfId="40364" xr:uid="{00000000-0005-0000-0000-000056810000}"/>
    <cellStyle name="40% - Accent6 2 5 5" xfId="3226" xr:uid="{00000000-0005-0000-0000-000057810000}"/>
    <cellStyle name="40% - Accent6 2 5 5 2" xfId="10332" xr:uid="{00000000-0005-0000-0000-000058810000}"/>
    <cellStyle name="40% - Accent6 2 5 5 2 2" xfId="40365" xr:uid="{00000000-0005-0000-0000-000059810000}"/>
    <cellStyle name="40% - Accent6 2 5 5 3" xfId="17433" xr:uid="{00000000-0005-0000-0000-00005A810000}"/>
    <cellStyle name="40% - Accent6 2 5 5 4" xfId="24535" xr:uid="{00000000-0005-0000-0000-00005B810000}"/>
    <cellStyle name="40% - Accent6 2 5 5 5" xfId="31637" xr:uid="{00000000-0005-0000-0000-00005C810000}"/>
    <cellStyle name="40% - Accent6 2 5 5 6" xfId="40366" xr:uid="{00000000-0005-0000-0000-00005D810000}"/>
    <cellStyle name="40% - Accent6 2 5 6" xfId="7492" xr:uid="{00000000-0005-0000-0000-00005E810000}"/>
    <cellStyle name="40% - Accent6 2 5 6 2" xfId="40367" xr:uid="{00000000-0005-0000-0000-00005F810000}"/>
    <cellStyle name="40% - Accent6 2 5 6 3" xfId="40368" xr:uid="{00000000-0005-0000-0000-000060810000}"/>
    <cellStyle name="40% - Accent6 2 5 7" xfId="14593" xr:uid="{00000000-0005-0000-0000-000061810000}"/>
    <cellStyle name="40% - Accent6 2 5 7 2" xfId="40369" xr:uid="{00000000-0005-0000-0000-000062810000}"/>
    <cellStyle name="40% - Accent6 2 5 8" xfId="21695" xr:uid="{00000000-0005-0000-0000-000063810000}"/>
    <cellStyle name="40% - Accent6 2 5 9" xfId="28797" xr:uid="{00000000-0005-0000-0000-000064810000}"/>
    <cellStyle name="40% - Accent6 2 6" xfId="526" xr:uid="{00000000-0005-0000-0000-000065810000}"/>
    <cellStyle name="40% - Accent6 2 6 2" xfId="2017" xr:uid="{00000000-0005-0000-0000-000066810000}"/>
    <cellStyle name="40% - Accent6 2 6 2 2" xfId="6285" xr:uid="{00000000-0005-0000-0000-000067810000}"/>
    <cellStyle name="40% - Accent6 2 6 2 2 2" xfId="13385" xr:uid="{00000000-0005-0000-0000-000068810000}"/>
    <cellStyle name="40% - Accent6 2 6 2 2 3" xfId="20486" xr:uid="{00000000-0005-0000-0000-000069810000}"/>
    <cellStyle name="40% - Accent6 2 6 2 2 4" xfId="27588" xr:uid="{00000000-0005-0000-0000-00006A810000}"/>
    <cellStyle name="40% - Accent6 2 6 2 2 5" xfId="34690" xr:uid="{00000000-0005-0000-0000-00006B810000}"/>
    <cellStyle name="40% - Accent6 2 6 2 2 6" xfId="40370" xr:uid="{00000000-0005-0000-0000-00006C810000}"/>
    <cellStyle name="40% - Accent6 2 6 2 3" xfId="9125" xr:uid="{00000000-0005-0000-0000-00006D810000}"/>
    <cellStyle name="40% - Accent6 2 6 2 4" xfId="16226" xr:uid="{00000000-0005-0000-0000-00006E810000}"/>
    <cellStyle name="40% - Accent6 2 6 2 5" xfId="23328" xr:uid="{00000000-0005-0000-0000-00006F810000}"/>
    <cellStyle name="40% - Accent6 2 6 2 6" xfId="30430" xr:uid="{00000000-0005-0000-0000-000070810000}"/>
    <cellStyle name="40% - Accent6 2 6 2 7" xfId="40371" xr:uid="{00000000-0005-0000-0000-000071810000}"/>
    <cellStyle name="40% - Accent6 2 6 3" xfId="4864" xr:uid="{00000000-0005-0000-0000-000072810000}"/>
    <cellStyle name="40% - Accent6 2 6 3 2" xfId="11965" xr:uid="{00000000-0005-0000-0000-000073810000}"/>
    <cellStyle name="40% - Accent6 2 6 3 2 2" xfId="40372" xr:uid="{00000000-0005-0000-0000-000074810000}"/>
    <cellStyle name="40% - Accent6 2 6 3 3" xfId="19066" xr:uid="{00000000-0005-0000-0000-000075810000}"/>
    <cellStyle name="40% - Accent6 2 6 3 4" xfId="26168" xr:uid="{00000000-0005-0000-0000-000076810000}"/>
    <cellStyle name="40% - Accent6 2 6 3 5" xfId="33270" xr:uid="{00000000-0005-0000-0000-000077810000}"/>
    <cellStyle name="40% - Accent6 2 6 3 6" xfId="40373" xr:uid="{00000000-0005-0000-0000-000078810000}"/>
    <cellStyle name="40% - Accent6 2 6 4" xfId="3439" xr:uid="{00000000-0005-0000-0000-000079810000}"/>
    <cellStyle name="40% - Accent6 2 6 4 2" xfId="10545" xr:uid="{00000000-0005-0000-0000-00007A810000}"/>
    <cellStyle name="40% - Accent6 2 6 4 3" xfId="17646" xr:uid="{00000000-0005-0000-0000-00007B810000}"/>
    <cellStyle name="40% - Accent6 2 6 4 4" xfId="24748" xr:uid="{00000000-0005-0000-0000-00007C810000}"/>
    <cellStyle name="40% - Accent6 2 6 4 5" xfId="31850" xr:uid="{00000000-0005-0000-0000-00007D810000}"/>
    <cellStyle name="40% - Accent6 2 6 4 6" xfId="40374" xr:uid="{00000000-0005-0000-0000-00007E810000}"/>
    <cellStyle name="40% - Accent6 2 6 5" xfId="7705" xr:uid="{00000000-0005-0000-0000-00007F810000}"/>
    <cellStyle name="40% - Accent6 2 6 6" xfId="14806" xr:uid="{00000000-0005-0000-0000-000080810000}"/>
    <cellStyle name="40% - Accent6 2 6 7" xfId="21908" xr:uid="{00000000-0005-0000-0000-000081810000}"/>
    <cellStyle name="40% - Accent6 2 6 8" xfId="29010" xr:uid="{00000000-0005-0000-0000-000082810000}"/>
    <cellStyle name="40% - Accent6 2 6 9" xfId="40375" xr:uid="{00000000-0005-0000-0000-000083810000}"/>
    <cellStyle name="40% - Accent6 2 7" xfId="739" xr:uid="{00000000-0005-0000-0000-000084810000}"/>
    <cellStyle name="40% - Accent6 2 7 2" xfId="2230" xr:uid="{00000000-0005-0000-0000-000085810000}"/>
    <cellStyle name="40% - Accent6 2 7 2 2" xfId="6498" xr:uid="{00000000-0005-0000-0000-000086810000}"/>
    <cellStyle name="40% - Accent6 2 7 2 2 2" xfId="13598" xr:uid="{00000000-0005-0000-0000-000087810000}"/>
    <cellStyle name="40% - Accent6 2 7 2 2 3" xfId="20699" xr:uid="{00000000-0005-0000-0000-000088810000}"/>
    <cellStyle name="40% - Accent6 2 7 2 2 4" xfId="27801" xr:uid="{00000000-0005-0000-0000-000089810000}"/>
    <cellStyle name="40% - Accent6 2 7 2 2 5" xfId="34903" xr:uid="{00000000-0005-0000-0000-00008A810000}"/>
    <cellStyle name="40% - Accent6 2 7 2 2 6" xfId="40376" xr:uid="{00000000-0005-0000-0000-00008B810000}"/>
    <cellStyle name="40% - Accent6 2 7 2 3" xfId="9338" xr:uid="{00000000-0005-0000-0000-00008C810000}"/>
    <cellStyle name="40% - Accent6 2 7 2 4" xfId="16439" xr:uid="{00000000-0005-0000-0000-00008D810000}"/>
    <cellStyle name="40% - Accent6 2 7 2 5" xfId="23541" xr:uid="{00000000-0005-0000-0000-00008E810000}"/>
    <cellStyle name="40% - Accent6 2 7 2 6" xfId="30643" xr:uid="{00000000-0005-0000-0000-00008F810000}"/>
    <cellStyle name="40% - Accent6 2 7 2 7" xfId="40377" xr:uid="{00000000-0005-0000-0000-000090810000}"/>
    <cellStyle name="40% - Accent6 2 7 3" xfId="5077" xr:uid="{00000000-0005-0000-0000-000091810000}"/>
    <cellStyle name="40% - Accent6 2 7 3 2" xfId="12178" xr:uid="{00000000-0005-0000-0000-000092810000}"/>
    <cellStyle name="40% - Accent6 2 7 3 2 2" xfId="40378" xr:uid="{00000000-0005-0000-0000-000093810000}"/>
    <cellStyle name="40% - Accent6 2 7 3 3" xfId="19279" xr:uid="{00000000-0005-0000-0000-000094810000}"/>
    <cellStyle name="40% - Accent6 2 7 3 4" xfId="26381" xr:uid="{00000000-0005-0000-0000-000095810000}"/>
    <cellStyle name="40% - Accent6 2 7 3 5" xfId="33483" xr:uid="{00000000-0005-0000-0000-000096810000}"/>
    <cellStyle name="40% - Accent6 2 7 3 6" xfId="40379" xr:uid="{00000000-0005-0000-0000-000097810000}"/>
    <cellStyle name="40% - Accent6 2 7 4" xfId="3652" xr:uid="{00000000-0005-0000-0000-000098810000}"/>
    <cellStyle name="40% - Accent6 2 7 4 2" xfId="10758" xr:uid="{00000000-0005-0000-0000-000099810000}"/>
    <cellStyle name="40% - Accent6 2 7 4 3" xfId="17859" xr:uid="{00000000-0005-0000-0000-00009A810000}"/>
    <cellStyle name="40% - Accent6 2 7 4 4" xfId="24961" xr:uid="{00000000-0005-0000-0000-00009B810000}"/>
    <cellStyle name="40% - Accent6 2 7 4 5" xfId="32063" xr:uid="{00000000-0005-0000-0000-00009C810000}"/>
    <cellStyle name="40% - Accent6 2 7 4 6" xfId="40380" xr:uid="{00000000-0005-0000-0000-00009D810000}"/>
    <cellStyle name="40% - Accent6 2 7 5" xfId="7918" xr:uid="{00000000-0005-0000-0000-00009E810000}"/>
    <cellStyle name="40% - Accent6 2 7 6" xfId="15019" xr:uid="{00000000-0005-0000-0000-00009F810000}"/>
    <cellStyle name="40% - Accent6 2 7 7" xfId="22121" xr:uid="{00000000-0005-0000-0000-0000A0810000}"/>
    <cellStyle name="40% - Accent6 2 7 8" xfId="29223" xr:uid="{00000000-0005-0000-0000-0000A1810000}"/>
    <cellStyle name="40% - Accent6 2 7 9" xfId="40381" xr:uid="{00000000-0005-0000-0000-0000A2810000}"/>
    <cellStyle name="40% - Accent6 2 8" xfId="952" xr:uid="{00000000-0005-0000-0000-0000A3810000}"/>
    <cellStyle name="40% - Accent6 2 8 2" xfId="2443" xr:uid="{00000000-0005-0000-0000-0000A4810000}"/>
    <cellStyle name="40% - Accent6 2 8 2 2" xfId="6711" xr:uid="{00000000-0005-0000-0000-0000A5810000}"/>
    <cellStyle name="40% - Accent6 2 8 2 2 2" xfId="13811" xr:uid="{00000000-0005-0000-0000-0000A6810000}"/>
    <cellStyle name="40% - Accent6 2 8 2 2 3" xfId="20912" xr:uid="{00000000-0005-0000-0000-0000A7810000}"/>
    <cellStyle name="40% - Accent6 2 8 2 2 4" xfId="28014" xr:uid="{00000000-0005-0000-0000-0000A8810000}"/>
    <cellStyle name="40% - Accent6 2 8 2 2 5" xfId="35116" xr:uid="{00000000-0005-0000-0000-0000A9810000}"/>
    <cellStyle name="40% - Accent6 2 8 2 2 6" xfId="40382" xr:uid="{00000000-0005-0000-0000-0000AA810000}"/>
    <cellStyle name="40% - Accent6 2 8 2 3" xfId="9551" xr:uid="{00000000-0005-0000-0000-0000AB810000}"/>
    <cellStyle name="40% - Accent6 2 8 2 4" xfId="16652" xr:uid="{00000000-0005-0000-0000-0000AC810000}"/>
    <cellStyle name="40% - Accent6 2 8 2 5" xfId="23754" xr:uid="{00000000-0005-0000-0000-0000AD810000}"/>
    <cellStyle name="40% - Accent6 2 8 2 6" xfId="30856" xr:uid="{00000000-0005-0000-0000-0000AE810000}"/>
    <cellStyle name="40% - Accent6 2 8 2 7" xfId="40383" xr:uid="{00000000-0005-0000-0000-0000AF810000}"/>
    <cellStyle name="40% - Accent6 2 8 3" xfId="5290" xr:uid="{00000000-0005-0000-0000-0000B0810000}"/>
    <cellStyle name="40% - Accent6 2 8 3 2" xfId="12391" xr:uid="{00000000-0005-0000-0000-0000B1810000}"/>
    <cellStyle name="40% - Accent6 2 8 3 2 2" xfId="40384" xr:uid="{00000000-0005-0000-0000-0000B2810000}"/>
    <cellStyle name="40% - Accent6 2 8 3 3" xfId="19492" xr:uid="{00000000-0005-0000-0000-0000B3810000}"/>
    <cellStyle name="40% - Accent6 2 8 3 4" xfId="26594" xr:uid="{00000000-0005-0000-0000-0000B4810000}"/>
    <cellStyle name="40% - Accent6 2 8 3 5" xfId="33696" xr:uid="{00000000-0005-0000-0000-0000B5810000}"/>
    <cellStyle name="40% - Accent6 2 8 3 6" xfId="40385" xr:uid="{00000000-0005-0000-0000-0000B6810000}"/>
    <cellStyle name="40% - Accent6 2 8 4" xfId="3865" xr:uid="{00000000-0005-0000-0000-0000B7810000}"/>
    <cellStyle name="40% - Accent6 2 8 4 2" xfId="10971" xr:uid="{00000000-0005-0000-0000-0000B8810000}"/>
    <cellStyle name="40% - Accent6 2 8 4 3" xfId="18072" xr:uid="{00000000-0005-0000-0000-0000B9810000}"/>
    <cellStyle name="40% - Accent6 2 8 4 4" xfId="25174" xr:uid="{00000000-0005-0000-0000-0000BA810000}"/>
    <cellStyle name="40% - Accent6 2 8 4 5" xfId="32276" xr:uid="{00000000-0005-0000-0000-0000BB810000}"/>
    <cellStyle name="40% - Accent6 2 8 4 6" xfId="40386" xr:uid="{00000000-0005-0000-0000-0000BC810000}"/>
    <cellStyle name="40% - Accent6 2 8 5" xfId="8131" xr:uid="{00000000-0005-0000-0000-0000BD810000}"/>
    <cellStyle name="40% - Accent6 2 8 6" xfId="15232" xr:uid="{00000000-0005-0000-0000-0000BE810000}"/>
    <cellStyle name="40% - Accent6 2 8 7" xfId="22334" xr:uid="{00000000-0005-0000-0000-0000BF810000}"/>
    <cellStyle name="40% - Accent6 2 8 8" xfId="29436" xr:uid="{00000000-0005-0000-0000-0000C0810000}"/>
    <cellStyle name="40% - Accent6 2 8 9" xfId="40387" xr:uid="{00000000-0005-0000-0000-0000C1810000}"/>
    <cellStyle name="40% - Accent6 2 9" xfId="1307" xr:uid="{00000000-0005-0000-0000-0000C2810000}"/>
    <cellStyle name="40% - Accent6 2 9 2" xfId="2798" xr:uid="{00000000-0005-0000-0000-0000C3810000}"/>
    <cellStyle name="40% - Accent6 2 9 2 2" xfId="7066" xr:uid="{00000000-0005-0000-0000-0000C4810000}"/>
    <cellStyle name="40% - Accent6 2 9 2 2 2" xfId="14166" xr:uid="{00000000-0005-0000-0000-0000C5810000}"/>
    <cellStyle name="40% - Accent6 2 9 2 2 3" xfId="21267" xr:uid="{00000000-0005-0000-0000-0000C6810000}"/>
    <cellStyle name="40% - Accent6 2 9 2 2 4" xfId="28369" xr:uid="{00000000-0005-0000-0000-0000C7810000}"/>
    <cellStyle name="40% - Accent6 2 9 2 2 5" xfId="35471" xr:uid="{00000000-0005-0000-0000-0000C8810000}"/>
    <cellStyle name="40% - Accent6 2 9 2 3" xfId="9906" xr:uid="{00000000-0005-0000-0000-0000C9810000}"/>
    <cellStyle name="40% - Accent6 2 9 2 4" xfId="17007" xr:uid="{00000000-0005-0000-0000-0000CA810000}"/>
    <cellStyle name="40% - Accent6 2 9 2 5" xfId="24109" xr:uid="{00000000-0005-0000-0000-0000CB810000}"/>
    <cellStyle name="40% - Accent6 2 9 2 6" xfId="31211" xr:uid="{00000000-0005-0000-0000-0000CC810000}"/>
    <cellStyle name="40% - Accent6 2 9 2 7" xfId="40388" xr:uid="{00000000-0005-0000-0000-0000CD810000}"/>
    <cellStyle name="40% - Accent6 2 9 3" xfId="5645" xr:uid="{00000000-0005-0000-0000-0000CE810000}"/>
    <cellStyle name="40% - Accent6 2 9 3 2" xfId="12746" xr:uid="{00000000-0005-0000-0000-0000CF810000}"/>
    <cellStyle name="40% - Accent6 2 9 3 3" xfId="19847" xr:uid="{00000000-0005-0000-0000-0000D0810000}"/>
    <cellStyle name="40% - Accent6 2 9 3 4" xfId="26949" xr:uid="{00000000-0005-0000-0000-0000D1810000}"/>
    <cellStyle name="40% - Accent6 2 9 3 5" xfId="34051" xr:uid="{00000000-0005-0000-0000-0000D2810000}"/>
    <cellStyle name="40% - Accent6 2 9 4" xfId="4220" xr:uid="{00000000-0005-0000-0000-0000D3810000}"/>
    <cellStyle name="40% - Accent6 2 9 4 2" xfId="11326" xr:uid="{00000000-0005-0000-0000-0000D4810000}"/>
    <cellStyle name="40% - Accent6 2 9 4 3" xfId="18427" xr:uid="{00000000-0005-0000-0000-0000D5810000}"/>
    <cellStyle name="40% - Accent6 2 9 4 4" xfId="25529" xr:uid="{00000000-0005-0000-0000-0000D6810000}"/>
    <cellStyle name="40% - Accent6 2 9 4 5" xfId="32631" xr:uid="{00000000-0005-0000-0000-0000D7810000}"/>
    <cellStyle name="40% - Accent6 2 9 5" xfId="8486" xr:uid="{00000000-0005-0000-0000-0000D8810000}"/>
    <cellStyle name="40% - Accent6 2 9 6" xfId="15587" xr:uid="{00000000-0005-0000-0000-0000D9810000}"/>
    <cellStyle name="40% - Accent6 2 9 7" xfId="22689" xr:uid="{00000000-0005-0000-0000-0000DA810000}"/>
    <cellStyle name="40% - Accent6 2 9 8" xfId="29791" xr:uid="{00000000-0005-0000-0000-0000DB810000}"/>
    <cellStyle name="40% - Accent6 2 9 9" xfId="40389" xr:uid="{00000000-0005-0000-0000-0000DC810000}"/>
    <cellStyle name="40% - Accent6 20" xfId="40390" xr:uid="{00000000-0005-0000-0000-0000DD810000}"/>
    <cellStyle name="40% - Accent6 21" xfId="40391" xr:uid="{00000000-0005-0000-0000-0000DE810000}"/>
    <cellStyle name="40% - Accent6 22" xfId="40392" xr:uid="{00000000-0005-0000-0000-0000DF810000}"/>
    <cellStyle name="40% - Accent6 23" xfId="40393" xr:uid="{00000000-0005-0000-0000-0000E0810000}"/>
    <cellStyle name="40% - Accent6 24" xfId="40394" xr:uid="{00000000-0005-0000-0000-0000E1810000}"/>
    <cellStyle name="40% - Accent6 25" xfId="40395" xr:uid="{00000000-0005-0000-0000-0000E2810000}"/>
    <cellStyle name="40% - Accent6 3" xfId="108" xr:uid="{00000000-0005-0000-0000-0000E3810000}"/>
    <cellStyle name="40% - Accent6 3 10" xfId="4452" xr:uid="{00000000-0005-0000-0000-0000E4810000}"/>
    <cellStyle name="40% - Accent6 3 10 2" xfId="11553" xr:uid="{00000000-0005-0000-0000-0000E5810000}"/>
    <cellStyle name="40% - Accent6 3 10 3" xfId="18654" xr:uid="{00000000-0005-0000-0000-0000E6810000}"/>
    <cellStyle name="40% - Accent6 3 10 4" xfId="25756" xr:uid="{00000000-0005-0000-0000-0000E7810000}"/>
    <cellStyle name="40% - Accent6 3 10 5" xfId="32858" xr:uid="{00000000-0005-0000-0000-0000E8810000}"/>
    <cellStyle name="40% - Accent6 3 11" xfId="3027" xr:uid="{00000000-0005-0000-0000-0000E9810000}"/>
    <cellStyle name="40% - Accent6 3 11 2" xfId="10133" xr:uid="{00000000-0005-0000-0000-0000EA810000}"/>
    <cellStyle name="40% - Accent6 3 11 3" xfId="17234" xr:uid="{00000000-0005-0000-0000-0000EB810000}"/>
    <cellStyle name="40% - Accent6 3 11 4" xfId="24336" xr:uid="{00000000-0005-0000-0000-0000EC810000}"/>
    <cellStyle name="40% - Accent6 3 11 5" xfId="31438" xr:uid="{00000000-0005-0000-0000-0000ED810000}"/>
    <cellStyle name="40% - Accent6 3 12" xfId="7293" xr:uid="{00000000-0005-0000-0000-0000EE810000}"/>
    <cellStyle name="40% - Accent6 3 13" xfId="14394" xr:uid="{00000000-0005-0000-0000-0000EF810000}"/>
    <cellStyle name="40% - Accent6 3 14" xfId="21496" xr:uid="{00000000-0005-0000-0000-0000F0810000}"/>
    <cellStyle name="40% - Accent6 3 15" xfId="28598" xr:uid="{00000000-0005-0000-0000-0000F1810000}"/>
    <cellStyle name="40% - Accent6 3 16" xfId="35700" xr:uid="{00000000-0005-0000-0000-0000F2810000}"/>
    <cellStyle name="40% - Accent6 3 17" xfId="40396" xr:uid="{00000000-0005-0000-0000-0000F3810000}"/>
    <cellStyle name="40% - Accent6 3 18" xfId="40397" xr:uid="{00000000-0005-0000-0000-0000F4810000}"/>
    <cellStyle name="40% - Accent6 3 2" xfId="256" xr:uid="{00000000-0005-0000-0000-0000F5810000}"/>
    <cellStyle name="40% - Accent6 3 2 10" xfId="7435" xr:uid="{00000000-0005-0000-0000-0000F6810000}"/>
    <cellStyle name="40% - Accent6 3 2 11" xfId="14536" xr:uid="{00000000-0005-0000-0000-0000F7810000}"/>
    <cellStyle name="40% - Accent6 3 2 12" xfId="21638" xr:uid="{00000000-0005-0000-0000-0000F8810000}"/>
    <cellStyle name="40% - Accent6 3 2 13" xfId="28740" xr:uid="{00000000-0005-0000-0000-0000F9810000}"/>
    <cellStyle name="40% - Accent6 3 2 14" xfId="35842" xr:uid="{00000000-0005-0000-0000-0000FA810000}"/>
    <cellStyle name="40% - Accent6 3 2 15" xfId="40398" xr:uid="{00000000-0005-0000-0000-0000FB810000}"/>
    <cellStyle name="40% - Accent6 3 2 2" xfId="469" xr:uid="{00000000-0005-0000-0000-0000FC810000}"/>
    <cellStyle name="40% - Accent6 3 2 2 10" xfId="40399" xr:uid="{00000000-0005-0000-0000-0000FD810000}"/>
    <cellStyle name="40% - Accent6 3 2 2 2" xfId="1250" xr:uid="{00000000-0005-0000-0000-0000FE810000}"/>
    <cellStyle name="40% - Accent6 3 2 2 2 2" xfId="2741" xr:uid="{00000000-0005-0000-0000-0000FF810000}"/>
    <cellStyle name="40% - Accent6 3 2 2 2 2 2" xfId="7009" xr:uid="{00000000-0005-0000-0000-000000820000}"/>
    <cellStyle name="40% - Accent6 3 2 2 2 2 2 2" xfId="14109" xr:uid="{00000000-0005-0000-0000-000001820000}"/>
    <cellStyle name="40% - Accent6 3 2 2 2 2 2 3" xfId="21210" xr:uid="{00000000-0005-0000-0000-000002820000}"/>
    <cellStyle name="40% - Accent6 3 2 2 2 2 2 4" xfId="28312" xr:uid="{00000000-0005-0000-0000-000003820000}"/>
    <cellStyle name="40% - Accent6 3 2 2 2 2 2 5" xfId="35414" xr:uid="{00000000-0005-0000-0000-000004820000}"/>
    <cellStyle name="40% - Accent6 3 2 2 2 2 3" xfId="9849" xr:uid="{00000000-0005-0000-0000-000005820000}"/>
    <cellStyle name="40% - Accent6 3 2 2 2 2 4" xfId="16950" xr:uid="{00000000-0005-0000-0000-000006820000}"/>
    <cellStyle name="40% - Accent6 3 2 2 2 2 5" xfId="24052" xr:uid="{00000000-0005-0000-0000-000007820000}"/>
    <cellStyle name="40% - Accent6 3 2 2 2 2 6" xfId="31154" xr:uid="{00000000-0005-0000-0000-000008820000}"/>
    <cellStyle name="40% - Accent6 3 2 2 2 2 7" xfId="40400" xr:uid="{00000000-0005-0000-0000-000009820000}"/>
    <cellStyle name="40% - Accent6 3 2 2 2 3" xfId="5588" xr:uid="{00000000-0005-0000-0000-00000A820000}"/>
    <cellStyle name="40% - Accent6 3 2 2 2 3 2" xfId="12689" xr:uid="{00000000-0005-0000-0000-00000B820000}"/>
    <cellStyle name="40% - Accent6 3 2 2 2 3 3" xfId="19790" xr:uid="{00000000-0005-0000-0000-00000C820000}"/>
    <cellStyle name="40% - Accent6 3 2 2 2 3 4" xfId="26892" xr:uid="{00000000-0005-0000-0000-00000D820000}"/>
    <cellStyle name="40% - Accent6 3 2 2 2 3 5" xfId="33994" xr:uid="{00000000-0005-0000-0000-00000E820000}"/>
    <cellStyle name="40% - Accent6 3 2 2 2 4" xfId="4163" xr:uid="{00000000-0005-0000-0000-00000F820000}"/>
    <cellStyle name="40% - Accent6 3 2 2 2 4 2" xfId="11269" xr:uid="{00000000-0005-0000-0000-000010820000}"/>
    <cellStyle name="40% - Accent6 3 2 2 2 4 3" xfId="18370" xr:uid="{00000000-0005-0000-0000-000011820000}"/>
    <cellStyle name="40% - Accent6 3 2 2 2 4 4" xfId="25472" xr:uid="{00000000-0005-0000-0000-000012820000}"/>
    <cellStyle name="40% - Accent6 3 2 2 2 4 5" xfId="32574" xr:uid="{00000000-0005-0000-0000-000013820000}"/>
    <cellStyle name="40% - Accent6 3 2 2 2 5" xfId="8429" xr:uid="{00000000-0005-0000-0000-000014820000}"/>
    <cellStyle name="40% - Accent6 3 2 2 2 6" xfId="15530" xr:uid="{00000000-0005-0000-0000-000015820000}"/>
    <cellStyle name="40% - Accent6 3 2 2 2 7" xfId="22632" xr:uid="{00000000-0005-0000-0000-000016820000}"/>
    <cellStyle name="40% - Accent6 3 2 2 2 8" xfId="29734" xr:uid="{00000000-0005-0000-0000-000017820000}"/>
    <cellStyle name="40% - Accent6 3 2 2 2 9" xfId="40401" xr:uid="{00000000-0005-0000-0000-000018820000}"/>
    <cellStyle name="40% - Accent6 3 2 2 3" xfId="1960" xr:uid="{00000000-0005-0000-0000-000019820000}"/>
    <cellStyle name="40% - Accent6 3 2 2 3 2" xfId="6228" xr:uid="{00000000-0005-0000-0000-00001A820000}"/>
    <cellStyle name="40% - Accent6 3 2 2 3 2 2" xfId="13328" xr:uid="{00000000-0005-0000-0000-00001B820000}"/>
    <cellStyle name="40% - Accent6 3 2 2 3 2 3" xfId="20429" xr:uid="{00000000-0005-0000-0000-00001C820000}"/>
    <cellStyle name="40% - Accent6 3 2 2 3 2 4" xfId="27531" xr:uid="{00000000-0005-0000-0000-00001D820000}"/>
    <cellStyle name="40% - Accent6 3 2 2 3 2 5" xfId="34633" xr:uid="{00000000-0005-0000-0000-00001E820000}"/>
    <cellStyle name="40% - Accent6 3 2 2 3 2 6" xfId="40402" xr:uid="{00000000-0005-0000-0000-00001F820000}"/>
    <cellStyle name="40% - Accent6 3 2 2 3 3" xfId="9068" xr:uid="{00000000-0005-0000-0000-000020820000}"/>
    <cellStyle name="40% - Accent6 3 2 2 3 4" xfId="16169" xr:uid="{00000000-0005-0000-0000-000021820000}"/>
    <cellStyle name="40% - Accent6 3 2 2 3 5" xfId="23271" xr:uid="{00000000-0005-0000-0000-000022820000}"/>
    <cellStyle name="40% - Accent6 3 2 2 3 6" xfId="30373" xr:uid="{00000000-0005-0000-0000-000023820000}"/>
    <cellStyle name="40% - Accent6 3 2 2 3 7" xfId="40403" xr:uid="{00000000-0005-0000-0000-000024820000}"/>
    <cellStyle name="40% - Accent6 3 2 2 4" xfId="4807" xr:uid="{00000000-0005-0000-0000-000025820000}"/>
    <cellStyle name="40% - Accent6 3 2 2 4 2" xfId="11908" xr:uid="{00000000-0005-0000-0000-000026820000}"/>
    <cellStyle name="40% - Accent6 3 2 2 4 3" xfId="19009" xr:uid="{00000000-0005-0000-0000-000027820000}"/>
    <cellStyle name="40% - Accent6 3 2 2 4 4" xfId="26111" xr:uid="{00000000-0005-0000-0000-000028820000}"/>
    <cellStyle name="40% - Accent6 3 2 2 4 5" xfId="33213" xr:uid="{00000000-0005-0000-0000-000029820000}"/>
    <cellStyle name="40% - Accent6 3 2 2 4 6" xfId="40404" xr:uid="{00000000-0005-0000-0000-00002A820000}"/>
    <cellStyle name="40% - Accent6 3 2 2 5" xfId="3382" xr:uid="{00000000-0005-0000-0000-00002B820000}"/>
    <cellStyle name="40% - Accent6 3 2 2 5 2" xfId="10488" xr:uid="{00000000-0005-0000-0000-00002C820000}"/>
    <cellStyle name="40% - Accent6 3 2 2 5 3" xfId="17589" xr:uid="{00000000-0005-0000-0000-00002D820000}"/>
    <cellStyle name="40% - Accent6 3 2 2 5 4" xfId="24691" xr:uid="{00000000-0005-0000-0000-00002E820000}"/>
    <cellStyle name="40% - Accent6 3 2 2 5 5" xfId="31793" xr:uid="{00000000-0005-0000-0000-00002F820000}"/>
    <cellStyle name="40% - Accent6 3 2 2 6" xfId="7648" xr:uid="{00000000-0005-0000-0000-000030820000}"/>
    <cellStyle name="40% - Accent6 3 2 2 7" xfId="14749" xr:uid="{00000000-0005-0000-0000-000031820000}"/>
    <cellStyle name="40% - Accent6 3 2 2 8" xfId="21851" xr:uid="{00000000-0005-0000-0000-000032820000}"/>
    <cellStyle name="40% - Accent6 3 2 2 9" xfId="28953" xr:uid="{00000000-0005-0000-0000-000033820000}"/>
    <cellStyle name="40% - Accent6 3 2 3" xfId="682" xr:uid="{00000000-0005-0000-0000-000034820000}"/>
    <cellStyle name="40% - Accent6 3 2 3 2" xfId="2173" xr:uid="{00000000-0005-0000-0000-000035820000}"/>
    <cellStyle name="40% - Accent6 3 2 3 2 2" xfId="6441" xr:uid="{00000000-0005-0000-0000-000036820000}"/>
    <cellStyle name="40% - Accent6 3 2 3 2 2 2" xfId="13541" xr:uid="{00000000-0005-0000-0000-000037820000}"/>
    <cellStyle name="40% - Accent6 3 2 3 2 2 3" xfId="20642" xr:uid="{00000000-0005-0000-0000-000038820000}"/>
    <cellStyle name="40% - Accent6 3 2 3 2 2 4" xfId="27744" xr:uid="{00000000-0005-0000-0000-000039820000}"/>
    <cellStyle name="40% - Accent6 3 2 3 2 2 5" xfId="34846" xr:uid="{00000000-0005-0000-0000-00003A820000}"/>
    <cellStyle name="40% - Accent6 3 2 3 2 2 6" xfId="40405" xr:uid="{00000000-0005-0000-0000-00003B820000}"/>
    <cellStyle name="40% - Accent6 3 2 3 2 3" xfId="9281" xr:uid="{00000000-0005-0000-0000-00003C820000}"/>
    <cellStyle name="40% - Accent6 3 2 3 2 4" xfId="16382" xr:uid="{00000000-0005-0000-0000-00003D820000}"/>
    <cellStyle name="40% - Accent6 3 2 3 2 5" xfId="23484" xr:uid="{00000000-0005-0000-0000-00003E820000}"/>
    <cellStyle name="40% - Accent6 3 2 3 2 6" xfId="30586" xr:uid="{00000000-0005-0000-0000-00003F820000}"/>
    <cellStyle name="40% - Accent6 3 2 3 2 7" xfId="40406" xr:uid="{00000000-0005-0000-0000-000040820000}"/>
    <cellStyle name="40% - Accent6 3 2 3 3" xfId="5020" xr:uid="{00000000-0005-0000-0000-000041820000}"/>
    <cellStyle name="40% - Accent6 3 2 3 3 2" xfId="12121" xr:uid="{00000000-0005-0000-0000-000042820000}"/>
    <cellStyle name="40% - Accent6 3 2 3 3 2 2" xfId="40407" xr:uid="{00000000-0005-0000-0000-000043820000}"/>
    <cellStyle name="40% - Accent6 3 2 3 3 3" xfId="19222" xr:uid="{00000000-0005-0000-0000-000044820000}"/>
    <cellStyle name="40% - Accent6 3 2 3 3 4" xfId="26324" xr:uid="{00000000-0005-0000-0000-000045820000}"/>
    <cellStyle name="40% - Accent6 3 2 3 3 5" xfId="33426" xr:uid="{00000000-0005-0000-0000-000046820000}"/>
    <cellStyle name="40% - Accent6 3 2 3 3 6" xfId="40408" xr:uid="{00000000-0005-0000-0000-000047820000}"/>
    <cellStyle name="40% - Accent6 3 2 3 4" xfId="3595" xr:uid="{00000000-0005-0000-0000-000048820000}"/>
    <cellStyle name="40% - Accent6 3 2 3 4 2" xfId="10701" xr:uid="{00000000-0005-0000-0000-000049820000}"/>
    <cellStyle name="40% - Accent6 3 2 3 4 3" xfId="17802" xr:uid="{00000000-0005-0000-0000-00004A820000}"/>
    <cellStyle name="40% - Accent6 3 2 3 4 4" xfId="24904" xr:uid="{00000000-0005-0000-0000-00004B820000}"/>
    <cellStyle name="40% - Accent6 3 2 3 4 5" xfId="32006" xr:uid="{00000000-0005-0000-0000-00004C820000}"/>
    <cellStyle name="40% - Accent6 3 2 3 4 6" xfId="40409" xr:uid="{00000000-0005-0000-0000-00004D820000}"/>
    <cellStyle name="40% - Accent6 3 2 3 5" xfId="7861" xr:uid="{00000000-0005-0000-0000-00004E820000}"/>
    <cellStyle name="40% - Accent6 3 2 3 6" xfId="14962" xr:uid="{00000000-0005-0000-0000-00004F820000}"/>
    <cellStyle name="40% - Accent6 3 2 3 7" xfId="22064" xr:uid="{00000000-0005-0000-0000-000050820000}"/>
    <cellStyle name="40% - Accent6 3 2 3 8" xfId="29166" xr:uid="{00000000-0005-0000-0000-000051820000}"/>
    <cellStyle name="40% - Accent6 3 2 3 9" xfId="40410" xr:uid="{00000000-0005-0000-0000-000052820000}"/>
    <cellStyle name="40% - Accent6 3 2 4" xfId="895" xr:uid="{00000000-0005-0000-0000-000053820000}"/>
    <cellStyle name="40% - Accent6 3 2 4 2" xfId="2386" xr:uid="{00000000-0005-0000-0000-000054820000}"/>
    <cellStyle name="40% - Accent6 3 2 4 2 2" xfId="6654" xr:uid="{00000000-0005-0000-0000-000055820000}"/>
    <cellStyle name="40% - Accent6 3 2 4 2 2 2" xfId="13754" xr:uid="{00000000-0005-0000-0000-000056820000}"/>
    <cellStyle name="40% - Accent6 3 2 4 2 2 3" xfId="20855" xr:uid="{00000000-0005-0000-0000-000057820000}"/>
    <cellStyle name="40% - Accent6 3 2 4 2 2 4" xfId="27957" xr:uid="{00000000-0005-0000-0000-000058820000}"/>
    <cellStyle name="40% - Accent6 3 2 4 2 2 5" xfId="35059" xr:uid="{00000000-0005-0000-0000-000059820000}"/>
    <cellStyle name="40% - Accent6 3 2 4 2 2 6" xfId="40411" xr:uid="{00000000-0005-0000-0000-00005A820000}"/>
    <cellStyle name="40% - Accent6 3 2 4 2 3" xfId="9494" xr:uid="{00000000-0005-0000-0000-00005B820000}"/>
    <cellStyle name="40% - Accent6 3 2 4 2 4" xfId="16595" xr:uid="{00000000-0005-0000-0000-00005C820000}"/>
    <cellStyle name="40% - Accent6 3 2 4 2 5" xfId="23697" xr:uid="{00000000-0005-0000-0000-00005D820000}"/>
    <cellStyle name="40% - Accent6 3 2 4 2 6" xfId="30799" xr:uid="{00000000-0005-0000-0000-00005E820000}"/>
    <cellStyle name="40% - Accent6 3 2 4 2 7" xfId="40412" xr:uid="{00000000-0005-0000-0000-00005F820000}"/>
    <cellStyle name="40% - Accent6 3 2 4 3" xfId="5233" xr:uid="{00000000-0005-0000-0000-000060820000}"/>
    <cellStyle name="40% - Accent6 3 2 4 3 2" xfId="12334" xr:uid="{00000000-0005-0000-0000-000061820000}"/>
    <cellStyle name="40% - Accent6 3 2 4 3 2 2" xfId="40413" xr:uid="{00000000-0005-0000-0000-000062820000}"/>
    <cellStyle name="40% - Accent6 3 2 4 3 3" xfId="19435" xr:uid="{00000000-0005-0000-0000-000063820000}"/>
    <cellStyle name="40% - Accent6 3 2 4 3 4" xfId="26537" xr:uid="{00000000-0005-0000-0000-000064820000}"/>
    <cellStyle name="40% - Accent6 3 2 4 3 5" xfId="33639" xr:uid="{00000000-0005-0000-0000-000065820000}"/>
    <cellStyle name="40% - Accent6 3 2 4 3 6" xfId="40414" xr:uid="{00000000-0005-0000-0000-000066820000}"/>
    <cellStyle name="40% - Accent6 3 2 4 4" xfId="3808" xr:uid="{00000000-0005-0000-0000-000067820000}"/>
    <cellStyle name="40% - Accent6 3 2 4 4 2" xfId="10914" xr:uid="{00000000-0005-0000-0000-000068820000}"/>
    <cellStyle name="40% - Accent6 3 2 4 4 3" xfId="18015" xr:uid="{00000000-0005-0000-0000-000069820000}"/>
    <cellStyle name="40% - Accent6 3 2 4 4 4" xfId="25117" xr:uid="{00000000-0005-0000-0000-00006A820000}"/>
    <cellStyle name="40% - Accent6 3 2 4 4 5" xfId="32219" xr:uid="{00000000-0005-0000-0000-00006B820000}"/>
    <cellStyle name="40% - Accent6 3 2 4 4 6" xfId="40415" xr:uid="{00000000-0005-0000-0000-00006C820000}"/>
    <cellStyle name="40% - Accent6 3 2 4 5" xfId="8074" xr:uid="{00000000-0005-0000-0000-00006D820000}"/>
    <cellStyle name="40% - Accent6 3 2 4 6" xfId="15175" xr:uid="{00000000-0005-0000-0000-00006E820000}"/>
    <cellStyle name="40% - Accent6 3 2 4 7" xfId="22277" xr:uid="{00000000-0005-0000-0000-00006F820000}"/>
    <cellStyle name="40% - Accent6 3 2 4 8" xfId="29379" xr:uid="{00000000-0005-0000-0000-000070820000}"/>
    <cellStyle name="40% - Accent6 3 2 4 9" xfId="40416" xr:uid="{00000000-0005-0000-0000-000071820000}"/>
    <cellStyle name="40% - Accent6 3 2 5" xfId="1037" xr:uid="{00000000-0005-0000-0000-000072820000}"/>
    <cellStyle name="40% - Accent6 3 2 5 2" xfId="2528" xr:uid="{00000000-0005-0000-0000-000073820000}"/>
    <cellStyle name="40% - Accent6 3 2 5 2 2" xfId="6796" xr:uid="{00000000-0005-0000-0000-000074820000}"/>
    <cellStyle name="40% - Accent6 3 2 5 2 2 2" xfId="13896" xr:uid="{00000000-0005-0000-0000-000075820000}"/>
    <cellStyle name="40% - Accent6 3 2 5 2 2 3" xfId="20997" xr:uid="{00000000-0005-0000-0000-000076820000}"/>
    <cellStyle name="40% - Accent6 3 2 5 2 2 4" xfId="28099" xr:uid="{00000000-0005-0000-0000-000077820000}"/>
    <cellStyle name="40% - Accent6 3 2 5 2 2 5" xfId="35201" xr:uid="{00000000-0005-0000-0000-000078820000}"/>
    <cellStyle name="40% - Accent6 3 2 5 2 3" xfId="9636" xr:uid="{00000000-0005-0000-0000-000079820000}"/>
    <cellStyle name="40% - Accent6 3 2 5 2 4" xfId="16737" xr:uid="{00000000-0005-0000-0000-00007A820000}"/>
    <cellStyle name="40% - Accent6 3 2 5 2 5" xfId="23839" xr:uid="{00000000-0005-0000-0000-00007B820000}"/>
    <cellStyle name="40% - Accent6 3 2 5 2 6" xfId="30941" xr:uid="{00000000-0005-0000-0000-00007C820000}"/>
    <cellStyle name="40% - Accent6 3 2 5 2 7" xfId="40417" xr:uid="{00000000-0005-0000-0000-00007D820000}"/>
    <cellStyle name="40% - Accent6 3 2 5 3" xfId="5375" xr:uid="{00000000-0005-0000-0000-00007E820000}"/>
    <cellStyle name="40% - Accent6 3 2 5 3 2" xfId="12476" xr:uid="{00000000-0005-0000-0000-00007F820000}"/>
    <cellStyle name="40% - Accent6 3 2 5 3 3" xfId="19577" xr:uid="{00000000-0005-0000-0000-000080820000}"/>
    <cellStyle name="40% - Accent6 3 2 5 3 4" xfId="26679" xr:uid="{00000000-0005-0000-0000-000081820000}"/>
    <cellStyle name="40% - Accent6 3 2 5 3 5" xfId="33781" xr:uid="{00000000-0005-0000-0000-000082820000}"/>
    <cellStyle name="40% - Accent6 3 2 5 4" xfId="3950" xr:uid="{00000000-0005-0000-0000-000083820000}"/>
    <cellStyle name="40% - Accent6 3 2 5 4 2" xfId="11056" xr:uid="{00000000-0005-0000-0000-000084820000}"/>
    <cellStyle name="40% - Accent6 3 2 5 4 3" xfId="18157" xr:uid="{00000000-0005-0000-0000-000085820000}"/>
    <cellStyle name="40% - Accent6 3 2 5 4 4" xfId="25259" xr:uid="{00000000-0005-0000-0000-000086820000}"/>
    <cellStyle name="40% - Accent6 3 2 5 4 5" xfId="32361" xr:uid="{00000000-0005-0000-0000-000087820000}"/>
    <cellStyle name="40% - Accent6 3 2 5 5" xfId="8216" xr:uid="{00000000-0005-0000-0000-000088820000}"/>
    <cellStyle name="40% - Accent6 3 2 5 6" xfId="15317" xr:uid="{00000000-0005-0000-0000-000089820000}"/>
    <cellStyle name="40% - Accent6 3 2 5 7" xfId="22419" xr:uid="{00000000-0005-0000-0000-00008A820000}"/>
    <cellStyle name="40% - Accent6 3 2 5 8" xfId="29521" xr:uid="{00000000-0005-0000-0000-00008B820000}"/>
    <cellStyle name="40% - Accent6 3 2 5 9" xfId="40418" xr:uid="{00000000-0005-0000-0000-00008C820000}"/>
    <cellStyle name="40% - Accent6 3 2 6" xfId="1463" xr:uid="{00000000-0005-0000-0000-00008D820000}"/>
    <cellStyle name="40% - Accent6 3 2 6 2" xfId="2954" xr:uid="{00000000-0005-0000-0000-00008E820000}"/>
    <cellStyle name="40% - Accent6 3 2 6 2 2" xfId="7222" xr:uid="{00000000-0005-0000-0000-00008F820000}"/>
    <cellStyle name="40% - Accent6 3 2 6 2 2 2" xfId="14322" xr:uid="{00000000-0005-0000-0000-000090820000}"/>
    <cellStyle name="40% - Accent6 3 2 6 2 2 3" xfId="21423" xr:uid="{00000000-0005-0000-0000-000091820000}"/>
    <cellStyle name="40% - Accent6 3 2 6 2 2 4" xfId="28525" xr:uid="{00000000-0005-0000-0000-000092820000}"/>
    <cellStyle name="40% - Accent6 3 2 6 2 2 5" xfId="35627" xr:uid="{00000000-0005-0000-0000-000093820000}"/>
    <cellStyle name="40% - Accent6 3 2 6 2 3" xfId="10062" xr:uid="{00000000-0005-0000-0000-000094820000}"/>
    <cellStyle name="40% - Accent6 3 2 6 2 4" xfId="17163" xr:uid="{00000000-0005-0000-0000-000095820000}"/>
    <cellStyle name="40% - Accent6 3 2 6 2 5" xfId="24265" xr:uid="{00000000-0005-0000-0000-000096820000}"/>
    <cellStyle name="40% - Accent6 3 2 6 2 6" xfId="31367" xr:uid="{00000000-0005-0000-0000-000097820000}"/>
    <cellStyle name="40% - Accent6 3 2 6 2 7" xfId="40419" xr:uid="{00000000-0005-0000-0000-000098820000}"/>
    <cellStyle name="40% - Accent6 3 2 6 3" xfId="5801" xr:uid="{00000000-0005-0000-0000-000099820000}"/>
    <cellStyle name="40% - Accent6 3 2 6 3 2" xfId="12902" xr:uid="{00000000-0005-0000-0000-00009A820000}"/>
    <cellStyle name="40% - Accent6 3 2 6 3 3" xfId="20003" xr:uid="{00000000-0005-0000-0000-00009B820000}"/>
    <cellStyle name="40% - Accent6 3 2 6 3 4" xfId="27105" xr:uid="{00000000-0005-0000-0000-00009C820000}"/>
    <cellStyle name="40% - Accent6 3 2 6 3 5" xfId="34207" xr:uid="{00000000-0005-0000-0000-00009D820000}"/>
    <cellStyle name="40% - Accent6 3 2 6 4" xfId="4376" xr:uid="{00000000-0005-0000-0000-00009E820000}"/>
    <cellStyle name="40% - Accent6 3 2 6 4 2" xfId="11482" xr:uid="{00000000-0005-0000-0000-00009F820000}"/>
    <cellStyle name="40% - Accent6 3 2 6 4 3" xfId="18583" xr:uid="{00000000-0005-0000-0000-0000A0820000}"/>
    <cellStyle name="40% - Accent6 3 2 6 4 4" xfId="25685" xr:uid="{00000000-0005-0000-0000-0000A1820000}"/>
    <cellStyle name="40% - Accent6 3 2 6 4 5" xfId="32787" xr:uid="{00000000-0005-0000-0000-0000A2820000}"/>
    <cellStyle name="40% - Accent6 3 2 6 5" xfId="8642" xr:uid="{00000000-0005-0000-0000-0000A3820000}"/>
    <cellStyle name="40% - Accent6 3 2 6 6" xfId="15743" xr:uid="{00000000-0005-0000-0000-0000A4820000}"/>
    <cellStyle name="40% - Accent6 3 2 6 7" xfId="22845" xr:uid="{00000000-0005-0000-0000-0000A5820000}"/>
    <cellStyle name="40% - Accent6 3 2 6 8" xfId="29947" xr:uid="{00000000-0005-0000-0000-0000A6820000}"/>
    <cellStyle name="40% - Accent6 3 2 6 9" xfId="40420" xr:uid="{00000000-0005-0000-0000-0000A7820000}"/>
    <cellStyle name="40% - Accent6 3 2 7" xfId="1747" xr:uid="{00000000-0005-0000-0000-0000A8820000}"/>
    <cellStyle name="40% - Accent6 3 2 7 2" xfId="6015" xr:uid="{00000000-0005-0000-0000-0000A9820000}"/>
    <cellStyle name="40% - Accent6 3 2 7 2 2" xfId="13115" xr:uid="{00000000-0005-0000-0000-0000AA820000}"/>
    <cellStyle name="40% - Accent6 3 2 7 2 3" xfId="20216" xr:uid="{00000000-0005-0000-0000-0000AB820000}"/>
    <cellStyle name="40% - Accent6 3 2 7 2 4" xfId="27318" xr:uid="{00000000-0005-0000-0000-0000AC820000}"/>
    <cellStyle name="40% - Accent6 3 2 7 2 5" xfId="34420" xr:uid="{00000000-0005-0000-0000-0000AD820000}"/>
    <cellStyle name="40% - Accent6 3 2 7 3" xfId="8855" xr:uid="{00000000-0005-0000-0000-0000AE820000}"/>
    <cellStyle name="40% - Accent6 3 2 7 4" xfId="15956" xr:uid="{00000000-0005-0000-0000-0000AF820000}"/>
    <cellStyle name="40% - Accent6 3 2 7 5" xfId="23058" xr:uid="{00000000-0005-0000-0000-0000B0820000}"/>
    <cellStyle name="40% - Accent6 3 2 7 6" xfId="30160" xr:uid="{00000000-0005-0000-0000-0000B1820000}"/>
    <cellStyle name="40% - Accent6 3 2 7 7" xfId="40421" xr:uid="{00000000-0005-0000-0000-0000B2820000}"/>
    <cellStyle name="40% - Accent6 3 2 8" xfId="4594" xr:uid="{00000000-0005-0000-0000-0000B3820000}"/>
    <cellStyle name="40% - Accent6 3 2 8 2" xfId="11695" xr:uid="{00000000-0005-0000-0000-0000B4820000}"/>
    <cellStyle name="40% - Accent6 3 2 8 3" xfId="18796" xr:uid="{00000000-0005-0000-0000-0000B5820000}"/>
    <cellStyle name="40% - Accent6 3 2 8 4" xfId="25898" xr:uid="{00000000-0005-0000-0000-0000B6820000}"/>
    <cellStyle name="40% - Accent6 3 2 8 5" xfId="33000" xr:uid="{00000000-0005-0000-0000-0000B7820000}"/>
    <cellStyle name="40% - Accent6 3 2 9" xfId="3169" xr:uid="{00000000-0005-0000-0000-0000B8820000}"/>
    <cellStyle name="40% - Accent6 3 2 9 2" xfId="10275" xr:uid="{00000000-0005-0000-0000-0000B9820000}"/>
    <cellStyle name="40% - Accent6 3 2 9 3" xfId="17376" xr:uid="{00000000-0005-0000-0000-0000BA820000}"/>
    <cellStyle name="40% - Accent6 3 2 9 4" xfId="24478" xr:uid="{00000000-0005-0000-0000-0000BB820000}"/>
    <cellStyle name="40% - Accent6 3 2 9 5" xfId="31580" xr:uid="{00000000-0005-0000-0000-0000BC820000}"/>
    <cellStyle name="40% - Accent6 3 3" xfId="185" xr:uid="{00000000-0005-0000-0000-0000BD820000}"/>
    <cellStyle name="40% - Accent6 3 3 10" xfId="7364" xr:uid="{00000000-0005-0000-0000-0000BE820000}"/>
    <cellStyle name="40% - Accent6 3 3 11" xfId="14465" xr:uid="{00000000-0005-0000-0000-0000BF820000}"/>
    <cellStyle name="40% - Accent6 3 3 12" xfId="21567" xr:uid="{00000000-0005-0000-0000-0000C0820000}"/>
    <cellStyle name="40% - Accent6 3 3 13" xfId="28669" xr:uid="{00000000-0005-0000-0000-0000C1820000}"/>
    <cellStyle name="40% - Accent6 3 3 14" xfId="35771" xr:uid="{00000000-0005-0000-0000-0000C2820000}"/>
    <cellStyle name="40% - Accent6 3 3 15" xfId="40422" xr:uid="{00000000-0005-0000-0000-0000C3820000}"/>
    <cellStyle name="40% - Accent6 3 3 2" xfId="398" xr:uid="{00000000-0005-0000-0000-0000C4820000}"/>
    <cellStyle name="40% - Accent6 3 3 2 2" xfId="1889" xr:uid="{00000000-0005-0000-0000-0000C5820000}"/>
    <cellStyle name="40% - Accent6 3 3 2 2 2" xfId="6157" xr:uid="{00000000-0005-0000-0000-0000C6820000}"/>
    <cellStyle name="40% - Accent6 3 3 2 2 2 2" xfId="13257" xr:uid="{00000000-0005-0000-0000-0000C7820000}"/>
    <cellStyle name="40% - Accent6 3 3 2 2 2 3" xfId="20358" xr:uid="{00000000-0005-0000-0000-0000C8820000}"/>
    <cellStyle name="40% - Accent6 3 3 2 2 2 4" xfId="27460" xr:uid="{00000000-0005-0000-0000-0000C9820000}"/>
    <cellStyle name="40% - Accent6 3 3 2 2 2 5" xfId="34562" xr:uid="{00000000-0005-0000-0000-0000CA820000}"/>
    <cellStyle name="40% - Accent6 3 3 2 2 2 6" xfId="40423" xr:uid="{00000000-0005-0000-0000-0000CB820000}"/>
    <cellStyle name="40% - Accent6 3 3 2 2 3" xfId="8997" xr:uid="{00000000-0005-0000-0000-0000CC820000}"/>
    <cellStyle name="40% - Accent6 3 3 2 2 4" xfId="16098" xr:uid="{00000000-0005-0000-0000-0000CD820000}"/>
    <cellStyle name="40% - Accent6 3 3 2 2 5" xfId="23200" xr:uid="{00000000-0005-0000-0000-0000CE820000}"/>
    <cellStyle name="40% - Accent6 3 3 2 2 6" xfId="30302" xr:uid="{00000000-0005-0000-0000-0000CF820000}"/>
    <cellStyle name="40% - Accent6 3 3 2 2 7" xfId="40424" xr:uid="{00000000-0005-0000-0000-0000D0820000}"/>
    <cellStyle name="40% - Accent6 3 3 2 3" xfId="4736" xr:uid="{00000000-0005-0000-0000-0000D1820000}"/>
    <cellStyle name="40% - Accent6 3 3 2 3 2" xfId="11837" xr:uid="{00000000-0005-0000-0000-0000D2820000}"/>
    <cellStyle name="40% - Accent6 3 3 2 3 2 2" xfId="40425" xr:uid="{00000000-0005-0000-0000-0000D3820000}"/>
    <cellStyle name="40% - Accent6 3 3 2 3 3" xfId="18938" xr:uid="{00000000-0005-0000-0000-0000D4820000}"/>
    <cellStyle name="40% - Accent6 3 3 2 3 4" xfId="26040" xr:uid="{00000000-0005-0000-0000-0000D5820000}"/>
    <cellStyle name="40% - Accent6 3 3 2 3 5" xfId="33142" xr:uid="{00000000-0005-0000-0000-0000D6820000}"/>
    <cellStyle name="40% - Accent6 3 3 2 3 6" xfId="40426" xr:uid="{00000000-0005-0000-0000-0000D7820000}"/>
    <cellStyle name="40% - Accent6 3 3 2 4" xfId="3311" xr:uid="{00000000-0005-0000-0000-0000D8820000}"/>
    <cellStyle name="40% - Accent6 3 3 2 4 2" xfId="10417" xr:uid="{00000000-0005-0000-0000-0000D9820000}"/>
    <cellStyle name="40% - Accent6 3 3 2 4 3" xfId="17518" xr:uid="{00000000-0005-0000-0000-0000DA820000}"/>
    <cellStyle name="40% - Accent6 3 3 2 4 4" xfId="24620" xr:uid="{00000000-0005-0000-0000-0000DB820000}"/>
    <cellStyle name="40% - Accent6 3 3 2 4 5" xfId="31722" xr:uid="{00000000-0005-0000-0000-0000DC820000}"/>
    <cellStyle name="40% - Accent6 3 3 2 4 6" xfId="40427" xr:uid="{00000000-0005-0000-0000-0000DD820000}"/>
    <cellStyle name="40% - Accent6 3 3 2 5" xfId="7577" xr:uid="{00000000-0005-0000-0000-0000DE820000}"/>
    <cellStyle name="40% - Accent6 3 3 2 6" xfId="14678" xr:uid="{00000000-0005-0000-0000-0000DF820000}"/>
    <cellStyle name="40% - Accent6 3 3 2 7" xfId="21780" xr:uid="{00000000-0005-0000-0000-0000E0820000}"/>
    <cellStyle name="40% - Accent6 3 3 2 8" xfId="28882" xr:uid="{00000000-0005-0000-0000-0000E1820000}"/>
    <cellStyle name="40% - Accent6 3 3 2 9" xfId="40428" xr:uid="{00000000-0005-0000-0000-0000E2820000}"/>
    <cellStyle name="40% - Accent6 3 3 3" xfId="611" xr:uid="{00000000-0005-0000-0000-0000E3820000}"/>
    <cellStyle name="40% - Accent6 3 3 3 2" xfId="2102" xr:uid="{00000000-0005-0000-0000-0000E4820000}"/>
    <cellStyle name="40% - Accent6 3 3 3 2 2" xfId="6370" xr:uid="{00000000-0005-0000-0000-0000E5820000}"/>
    <cellStyle name="40% - Accent6 3 3 3 2 2 2" xfId="13470" xr:uid="{00000000-0005-0000-0000-0000E6820000}"/>
    <cellStyle name="40% - Accent6 3 3 3 2 2 3" xfId="20571" xr:uid="{00000000-0005-0000-0000-0000E7820000}"/>
    <cellStyle name="40% - Accent6 3 3 3 2 2 4" xfId="27673" xr:uid="{00000000-0005-0000-0000-0000E8820000}"/>
    <cellStyle name="40% - Accent6 3 3 3 2 2 5" xfId="34775" xr:uid="{00000000-0005-0000-0000-0000E9820000}"/>
    <cellStyle name="40% - Accent6 3 3 3 2 2 6" xfId="40429" xr:uid="{00000000-0005-0000-0000-0000EA820000}"/>
    <cellStyle name="40% - Accent6 3 3 3 2 3" xfId="9210" xr:uid="{00000000-0005-0000-0000-0000EB820000}"/>
    <cellStyle name="40% - Accent6 3 3 3 2 4" xfId="16311" xr:uid="{00000000-0005-0000-0000-0000EC820000}"/>
    <cellStyle name="40% - Accent6 3 3 3 2 5" xfId="23413" xr:uid="{00000000-0005-0000-0000-0000ED820000}"/>
    <cellStyle name="40% - Accent6 3 3 3 2 6" xfId="30515" xr:uid="{00000000-0005-0000-0000-0000EE820000}"/>
    <cellStyle name="40% - Accent6 3 3 3 2 7" xfId="40430" xr:uid="{00000000-0005-0000-0000-0000EF820000}"/>
    <cellStyle name="40% - Accent6 3 3 3 3" xfId="4949" xr:uid="{00000000-0005-0000-0000-0000F0820000}"/>
    <cellStyle name="40% - Accent6 3 3 3 3 2" xfId="12050" xr:uid="{00000000-0005-0000-0000-0000F1820000}"/>
    <cellStyle name="40% - Accent6 3 3 3 3 2 2" xfId="40431" xr:uid="{00000000-0005-0000-0000-0000F2820000}"/>
    <cellStyle name="40% - Accent6 3 3 3 3 3" xfId="19151" xr:uid="{00000000-0005-0000-0000-0000F3820000}"/>
    <cellStyle name="40% - Accent6 3 3 3 3 4" xfId="26253" xr:uid="{00000000-0005-0000-0000-0000F4820000}"/>
    <cellStyle name="40% - Accent6 3 3 3 3 5" xfId="33355" xr:uid="{00000000-0005-0000-0000-0000F5820000}"/>
    <cellStyle name="40% - Accent6 3 3 3 3 6" xfId="40432" xr:uid="{00000000-0005-0000-0000-0000F6820000}"/>
    <cellStyle name="40% - Accent6 3 3 3 4" xfId="3524" xr:uid="{00000000-0005-0000-0000-0000F7820000}"/>
    <cellStyle name="40% - Accent6 3 3 3 4 2" xfId="10630" xr:uid="{00000000-0005-0000-0000-0000F8820000}"/>
    <cellStyle name="40% - Accent6 3 3 3 4 3" xfId="17731" xr:uid="{00000000-0005-0000-0000-0000F9820000}"/>
    <cellStyle name="40% - Accent6 3 3 3 4 4" xfId="24833" xr:uid="{00000000-0005-0000-0000-0000FA820000}"/>
    <cellStyle name="40% - Accent6 3 3 3 4 5" xfId="31935" xr:uid="{00000000-0005-0000-0000-0000FB820000}"/>
    <cellStyle name="40% - Accent6 3 3 3 4 6" xfId="40433" xr:uid="{00000000-0005-0000-0000-0000FC820000}"/>
    <cellStyle name="40% - Accent6 3 3 3 5" xfId="7790" xr:uid="{00000000-0005-0000-0000-0000FD820000}"/>
    <cellStyle name="40% - Accent6 3 3 3 6" xfId="14891" xr:uid="{00000000-0005-0000-0000-0000FE820000}"/>
    <cellStyle name="40% - Accent6 3 3 3 7" xfId="21993" xr:uid="{00000000-0005-0000-0000-0000FF820000}"/>
    <cellStyle name="40% - Accent6 3 3 3 8" xfId="29095" xr:uid="{00000000-0005-0000-0000-000000830000}"/>
    <cellStyle name="40% - Accent6 3 3 3 9" xfId="40434" xr:uid="{00000000-0005-0000-0000-000001830000}"/>
    <cellStyle name="40% - Accent6 3 3 4" xfId="824" xr:uid="{00000000-0005-0000-0000-000002830000}"/>
    <cellStyle name="40% - Accent6 3 3 4 2" xfId="2315" xr:uid="{00000000-0005-0000-0000-000003830000}"/>
    <cellStyle name="40% - Accent6 3 3 4 2 2" xfId="6583" xr:uid="{00000000-0005-0000-0000-000004830000}"/>
    <cellStyle name="40% - Accent6 3 3 4 2 2 2" xfId="13683" xr:uid="{00000000-0005-0000-0000-000005830000}"/>
    <cellStyle name="40% - Accent6 3 3 4 2 2 3" xfId="20784" xr:uid="{00000000-0005-0000-0000-000006830000}"/>
    <cellStyle name="40% - Accent6 3 3 4 2 2 4" xfId="27886" xr:uid="{00000000-0005-0000-0000-000007830000}"/>
    <cellStyle name="40% - Accent6 3 3 4 2 2 5" xfId="34988" xr:uid="{00000000-0005-0000-0000-000008830000}"/>
    <cellStyle name="40% - Accent6 3 3 4 2 2 6" xfId="40435" xr:uid="{00000000-0005-0000-0000-000009830000}"/>
    <cellStyle name="40% - Accent6 3 3 4 2 3" xfId="9423" xr:uid="{00000000-0005-0000-0000-00000A830000}"/>
    <cellStyle name="40% - Accent6 3 3 4 2 4" xfId="16524" xr:uid="{00000000-0005-0000-0000-00000B830000}"/>
    <cellStyle name="40% - Accent6 3 3 4 2 5" xfId="23626" xr:uid="{00000000-0005-0000-0000-00000C830000}"/>
    <cellStyle name="40% - Accent6 3 3 4 2 6" xfId="30728" xr:uid="{00000000-0005-0000-0000-00000D830000}"/>
    <cellStyle name="40% - Accent6 3 3 4 2 7" xfId="40436" xr:uid="{00000000-0005-0000-0000-00000E830000}"/>
    <cellStyle name="40% - Accent6 3 3 4 3" xfId="5162" xr:uid="{00000000-0005-0000-0000-00000F830000}"/>
    <cellStyle name="40% - Accent6 3 3 4 3 2" xfId="12263" xr:uid="{00000000-0005-0000-0000-000010830000}"/>
    <cellStyle name="40% - Accent6 3 3 4 3 2 2" xfId="40437" xr:uid="{00000000-0005-0000-0000-000011830000}"/>
    <cellStyle name="40% - Accent6 3 3 4 3 3" xfId="19364" xr:uid="{00000000-0005-0000-0000-000012830000}"/>
    <cellStyle name="40% - Accent6 3 3 4 3 4" xfId="26466" xr:uid="{00000000-0005-0000-0000-000013830000}"/>
    <cellStyle name="40% - Accent6 3 3 4 3 5" xfId="33568" xr:uid="{00000000-0005-0000-0000-000014830000}"/>
    <cellStyle name="40% - Accent6 3 3 4 3 6" xfId="40438" xr:uid="{00000000-0005-0000-0000-000015830000}"/>
    <cellStyle name="40% - Accent6 3 3 4 4" xfId="3737" xr:uid="{00000000-0005-0000-0000-000016830000}"/>
    <cellStyle name="40% - Accent6 3 3 4 4 2" xfId="10843" xr:uid="{00000000-0005-0000-0000-000017830000}"/>
    <cellStyle name="40% - Accent6 3 3 4 4 3" xfId="17944" xr:uid="{00000000-0005-0000-0000-000018830000}"/>
    <cellStyle name="40% - Accent6 3 3 4 4 4" xfId="25046" xr:uid="{00000000-0005-0000-0000-000019830000}"/>
    <cellStyle name="40% - Accent6 3 3 4 4 5" xfId="32148" xr:uid="{00000000-0005-0000-0000-00001A830000}"/>
    <cellStyle name="40% - Accent6 3 3 4 4 6" xfId="40439" xr:uid="{00000000-0005-0000-0000-00001B830000}"/>
    <cellStyle name="40% - Accent6 3 3 4 5" xfId="8003" xr:uid="{00000000-0005-0000-0000-00001C830000}"/>
    <cellStyle name="40% - Accent6 3 3 4 6" xfId="15104" xr:uid="{00000000-0005-0000-0000-00001D830000}"/>
    <cellStyle name="40% - Accent6 3 3 4 7" xfId="22206" xr:uid="{00000000-0005-0000-0000-00001E830000}"/>
    <cellStyle name="40% - Accent6 3 3 4 8" xfId="29308" xr:uid="{00000000-0005-0000-0000-00001F830000}"/>
    <cellStyle name="40% - Accent6 3 3 4 9" xfId="40440" xr:uid="{00000000-0005-0000-0000-000020830000}"/>
    <cellStyle name="40% - Accent6 3 3 5" xfId="1179" xr:uid="{00000000-0005-0000-0000-000021830000}"/>
    <cellStyle name="40% - Accent6 3 3 5 2" xfId="2670" xr:uid="{00000000-0005-0000-0000-000022830000}"/>
    <cellStyle name="40% - Accent6 3 3 5 2 2" xfId="6938" xr:uid="{00000000-0005-0000-0000-000023830000}"/>
    <cellStyle name="40% - Accent6 3 3 5 2 2 2" xfId="14038" xr:uid="{00000000-0005-0000-0000-000024830000}"/>
    <cellStyle name="40% - Accent6 3 3 5 2 2 3" xfId="21139" xr:uid="{00000000-0005-0000-0000-000025830000}"/>
    <cellStyle name="40% - Accent6 3 3 5 2 2 4" xfId="28241" xr:uid="{00000000-0005-0000-0000-000026830000}"/>
    <cellStyle name="40% - Accent6 3 3 5 2 2 5" xfId="35343" xr:uid="{00000000-0005-0000-0000-000027830000}"/>
    <cellStyle name="40% - Accent6 3 3 5 2 3" xfId="9778" xr:uid="{00000000-0005-0000-0000-000028830000}"/>
    <cellStyle name="40% - Accent6 3 3 5 2 4" xfId="16879" xr:uid="{00000000-0005-0000-0000-000029830000}"/>
    <cellStyle name="40% - Accent6 3 3 5 2 5" xfId="23981" xr:uid="{00000000-0005-0000-0000-00002A830000}"/>
    <cellStyle name="40% - Accent6 3 3 5 2 6" xfId="31083" xr:uid="{00000000-0005-0000-0000-00002B830000}"/>
    <cellStyle name="40% - Accent6 3 3 5 2 7" xfId="40441" xr:uid="{00000000-0005-0000-0000-00002C830000}"/>
    <cellStyle name="40% - Accent6 3 3 5 3" xfId="5517" xr:uid="{00000000-0005-0000-0000-00002D830000}"/>
    <cellStyle name="40% - Accent6 3 3 5 3 2" xfId="12618" xr:uid="{00000000-0005-0000-0000-00002E830000}"/>
    <cellStyle name="40% - Accent6 3 3 5 3 3" xfId="19719" xr:uid="{00000000-0005-0000-0000-00002F830000}"/>
    <cellStyle name="40% - Accent6 3 3 5 3 4" xfId="26821" xr:uid="{00000000-0005-0000-0000-000030830000}"/>
    <cellStyle name="40% - Accent6 3 3 5 3 5" xfId="33923" xr:uid="{00000000-0005-0000-0000-000031830000}"/>
    <cellStyle name="40% - Accent6 3 3 5 4" xfId="4092" xr:uid="{00000000-0005-0000-0000-000032830000}"/>
    <cellStyle name="40% - Accent6 3 3 5 4 2" xfId="11198" xr:uid="{00000000-0005-0000-0000-000033830000}"/>
    <cellStyle name="40% - Accent6 3 3 5 4 3" xfId="18299" xr:uid="{00000000-0005-0000-0000-000034830000}"/>
    <cellStyle name="40% - Accent6 3 3 5 4 4" xfId="25401" xr:uid="{00000000-0005-0000-0000-000035830000}"/>
    <cellStyle name="40% - Accent6 3 3 5 4 5" xfId="32503" xr:uid="{00000000-0005-0000-0000-000036830000}"/>
    <cellStyle name="40% - Accent6 3 3 5 5" xfId="8358" xr:uid="{00000000-0005-0000-0000-000037830000}"/>
    <cellStyle name="40% - Accent6 3 3 5 6" xfId="15459" xr:uid="{00000000-0005-0000-0000-000038830000}"/>
    <cellStyle name="40% - Accent6 3 3 5 7" xfId="22561" xr:uid="{00000000-0005-0000-0000-000039830000}"/>
    <cellStyle name="40% - Accent6 3 3 5 8" xfId="29663" xr:uid="{00000000-0005-0000-0000-00003A830000}"/>
    <cellStyle name="40% - Accent6 3 3 5 9" xfId="40442" xr:uid="{00000000-0005-0000-0000-00003B830000}"/>
    <cellStyle name="40% - Accent6 3 3 6" xfId="1392" xr:uid="{00000000-0005-0000-0000-00003C830000}"/>
    <cellStyle name="40% - Accent6 3 3 6 2" xfId="2883" xr:uid="{00000000-0005-0000-0000-00003D830000}"/>
    <cellStyle name="40% - Accent6 3 3 6 2 2" xfId="7151" xr:uid="{00000000-0005-0000-0000-00003E830000}"/>
    <cellStyle name="40% - Accent6 3 3 6 2 2 2" xfId="14251" xr:uid="{00000000-0005-0000-0000-00003F830000}"/>
    <cellStyle name="40% - Accent6 3 3 6 2 2 3" xfId="21352" xr:uid="{00000000-0005-0000-0000-000040830000}"/>
    <cellStyle name="40% - Accent6 3 3 6 2 2 4" xfId="28454" xr:uid="{00000000-0005-0000-0000-000041830000}"/>
    <cellStyle name="40% - Accent6 3 3 6 2 2 5" xfId="35556" xr:uid="{00000000-0005-0000-0000-000042830000}"/>
    <cellStyle name="40% - Accent6 3 3 6 2 3" xfId="9991" xr:uid="{00000000-0005-0000-0000-000043830000}"/>
    <cellStyle name="40% - Accent6 3 3 6 2 4" xfId="17092" xr:uid="{00000000-0005-0000-0000-000044830000}"/>
    <cellStyle name="40% - Accent6 3 3 6 2 5" xfId="24194" xr:uid="{00000000-0005-0000-0000-000045830000}"/>
    <cellStyle name="40% - Accent6 3 3 6 2 6" xfId="31296" xr:uid="{00000000-0005-0000-0000-000046830000}"/>
    <cellStyle name="40% - Accent6 3 3 6 2 7" xfId="40443" xr:uid="{00000000-0005-0000-0000-000047830000}"/>
    <cellStyle name="40% - Accent6 3 3 6 3" xfId="5730" xr:uid="{00000000-0005-0000-0000-000048830000}"/>
    <cellStyle name="40% - Accent6 3 3 6 3 2" xfId="12831" xr:uid="{00000000-0005-0000-0000-000049830000}"/>
    <cellStyle name="40% - Accent6 3 3 6 3 3" xfId="19932" xr:uid="{00000000-0005-0000-0000-00004A830000}"/>
    <cellStyle name="40% - Accent6 3 3 6 3 4" xfId="27034" xr:uid="{00000000-0005-0000-0000-00004B830000}"/>
    <cellStyle name="40% - Accent6 3 3 6 3 5" xfId="34136" xr:uid="{00000000-0005-0000-0000-00004C830000}"/>
    <cellStyle name="40% - Accent6 3 3 6 4" xfId="4305" xr:uid="{00000000-0005-0000-0000-00004D830000}"/>
    <cellStyle name="40% - Accent6 3 3 6 4 2" xfId="11411" xr:uid="{00000000-0005-0000-0000-00004E830000}"/>
    <cellStyle name="40% - Accent6 3 3 6 4 3" xfId="18512" xr:uid="{00000000-0005-0000-0000-00004F830000}"/>
    <cellStyle name="40% - Accent6 3 3 6 4 4" xfId="25614" xr:uid="{00000000-0005-0000-0000-000050830000}"/>
    <cellStyle name="40% - Accent6 3 3 6 4 5" xfId="32716" xr:uid="{00000000-0005-0000-0000-000051830000}"/>
    <cellStyle name="40% - Accent6 3 3 6 5" xfId="8571" xr:uid="{00000000-0005-0000-0000-000052830000}"/>
    <cellStyle name="40% - Accent6 3 3 6 6" xfId="15672" xr:uid="{00000000-0005-0000-0000-000053830000}"/>
    <cellStyle name="40% - Accent6 3 3 6 7" xfId="22774" xr:uid="{00000000-0005-0000-0000-000054830000}"/>
    <cellStyle name="40% - Accent6 3 3 6 8" xfId="29876" xr:uid="{00000000-0005-0000-0000-000055830000}"/>
    <cellStyle name="40% - Accent6 3 3 6 9" xfId="40444" xr:uid="{00000000-0005-0000-0000-000056830000}"/>
    <cellStyle name="40% - Accent6 3 3 7" xfId="1676" xr:uid="{00000000-0005-0000-0000-000057830000}"/>
    <cellStyle name="40% - Accent6 3 3 7 2" xfId="5944" xr:uid="{00000000-0005-0000-0000-000058830000}"/>
    <cellStyle name="40% - Accent6 3 3 7 2 2" xfId="13044" xr:uid="{00000000-0005-0000-0000-000059830000}"/>
    <cellStyle name="40% - Accent6 3 3 7 2 3" xfId="20145" xr:uid="{00000000-0005-0000-0000-00005A830000}"/>
    <cellStyle name="40% - Accent6 3 3 7 2 4" xfId="27247" xr:uid="{00000000-0005-0000-0000-00005B830000}"/>
    <cellStyle name="40% - Accent6 3 3 7 2 5" xfId="34349" xr:uid="{00000000-0005-0000-0000-00005C830000}"/>
    <cellStyle name="40% - Accent6 3 3 7 3" xfId="8784" xr:uid="{00000000-0005-0000-0000-00005D830000}"/>
    <cellStyle name="40% - Accent6 3 3 7 4" xfId="15885" xr:uid="{00000000-0005-0000-0000-00005E830000}"/>
    <cellStyle name="40% - Accent6 3 3 7 5" xfId="22987" xr:uid="{00000000-0005-0000-0000-00005F830000}"/>
    <cellStyle name="40% - Accent6 3 3 7 6" xfId="30089" xr:uid="{00000000-0005-0000-0000-000060830000}"/>
    <cellStyle name="40% - Accent6 3 3 7 7" xfId="40445" xr:uid="{00000000-0005-0000-0000-000061830000}"/>
    <cellStyle name="40% - Accent6 3 3 8" xfId="4523" xr:uid="{00000000-0005-0000-0000-000062830000}"/>
    <cellStyle name="40% - Accent6 3 3 8 2" xfId="11624" xr:uid="{00000000-0005-0000-0000-000063830000}"/>
    <cellStyle name="40% - Accent6 3 3 8 3" xfId="18725" xr:uid="{00000000-0005-0000-0000-000064830000}"/>
    <cellStyle name="40% - Accent6 3 3 8 4" xfId="25827" xr:uid="{00000000-0005-0000-0000-000065830000}"/>
    <cellStyle name="40% - Accent6 3 3 8 5" xfId="32929" xr:uid="{00000000-0005-0000-0000-000066830000}"/>
    <cellStyle name="40% - Accent6 3 3 9" xfId="3098" xr:uid="{00000000-0005-0000-0000-000067830000}"/>
    <cellStyle name="40% - Accent6 3 3 9 2" xfId="10204" xr:uid="{00000000-0005-0000-0000-000068830000}"/>
    <cellStyle name="40% - Accent6 3 3 9 3" xfId="17305" xr:uid="{00000000-0005-0000-0000-000069830000}"/>
    <cellStyle name="40% - Accent6 3 3 9 4" xfId="24407" xr:uid="{00000000-0005-0000-0000-00006A830000}"/>
    <cellStyle name="40% - Accent6 3 3 9 5" xfId="31509" xr:uid="{00000000-0005-0000-0000-00006B830000}"/>
    <cellStyle name="40% - Accent6 3 4" xfId="327" xr:uid="{00000000-0005-0000-0000-00006C830000}"/>
    <cellStyle name="40% - Accent6 3 4 10" xfId="40446" xr:uid="{00000000-0005-0000-0000-00006D830000}"/>
    <cellStyle name="40% - Accent6 3 4 2" xfId="1108" xr:uid="{00000000-0005-0000-0000-00006E830000}"/>
    <cellStyle name="40% - Accent6 3 4 2 2" xfId="2599" xr:uid="{00000000-0005-0000-0000-00006F830000}"/>
    <cellStyle name="40% - Accent6 3 4 2 2 2" xfId="6867" xr:uid="{00000000-0005-0000-0000-000070830000}"/>
    <cellStyle name="40% - Accent6 3 4 2 2 2 2" xfId="13967" xr:uid="{00000000-0005-0000-0000-000071830000}"/>
    <cellStyle name="40% - Accent6 3 4 2 2 2 3" xfId="21068" xr:uid="{00000000-0005-0000-0000-000072830000}"/>
    <cellStyle name="40% - Accent6 3 4 2 2 2 4" xfId="28170" xr:uid="{00000000-0005-0000-0000-000073830000}"/>
    <cellStyle name="40% - Accent6 3 4 2 2 2 5" xfId="35272" xr:uid="{00000000-0005-0000-0000-000074830000}"/>
    <cellStyle name="40% - Accent6 3 4 2 2 3" xfId="9707" xr:uid="{00000000-0005-0000-0000-000075830000}"/>
    <cellStyle name="40% - Accent6 3 4 2 2 4" xfId="16808" xr:uid="{00000000-0005-0000-0000-000076830000}"/>
    <cellStyle name="40% - Accent6 3 4 2 2 5" xfId="23910" xr:uid="{00000000-0005-0000-0000-000077830000}"/>
    <cellStyle name="40% - Accent6 3 4 2 2 6" xfId="31012" xr:uid="{00000000-0005-0000-0000-000078830000}"/>
    <cellStyle name="40% - Accent6 3 4 2 2 7" xfId="40447" xr:uid="{00000000-0005-0000-0000-000079830000}"/>
    <cellStyle name="40% - Accent6 3 4 2 3" xfId="5446" xr:uid="{00000000-0005-0000-0000-00007A830000}"/>
    <cellStyle name="40% - Accent6 3 4 2 3 2" xfId="12547" xr:uid="{00000000-0005-0000-0000-00007B830000}"/>
    <cellStyle name="40% - Accent6 3 4 2 3 3" xfId="19648" xr:uid="{00000000-0005-0000-0000-00007C830000}"/>
    <cellStyle name="40% - Accent6 3 4 2 3 4" xfId="26750" xr:uid="{00000000-0005-0000-0000-00007D830000}"/>
    <cellStyle name="40% - Accent6 3 4 2 3 5" xfId="33852" xr:uid="{00000000-0005-0000-0000-00007E830000}"/>
    <cellStyle name="40% - Accent6 3 4 2 4" xfId="4021" xr:uid="{00000000-0005-0000-0000-00007F830000}"/>
    <cellStyle name="40% - Accent6 3 4 2 4 2" xfId="11127" xr:uid="{00000000-0005-0000-0000-000080830000}"/>
    <cellStyle name="40% - Accent6 3 4 2 4 3" xfId="18228" xr:uid="{00000000-0005-0000-0000-000081830000}"/>
    <cellStyle name="40% - Accent6 3 4 2 4 4" xfId="25330" xr:uid="{00000000-0005-0000-0000-000082830000}"/>
    <cellStyle name="40% - Accent6 3 4 2 4 5" xfId="32432" xr:uid="{00000000-0005-0000-0000-000083830000}"/>
    <cellStyle name="40% - Accent6 3 4 2 5" xfId="8287" xr:uid="{00000000-0005-0000-0000-000084830000}"/>
    <cellStyle name="40% - Accent6 3 4 2 6" xfId="15388" xr:uid="{00000000-0005-0000-0000-000085830000}"/>
    <cellStyle name="40% - Accent6 3 4 2 7" xfId="22490" xr:uid="{00000000-0005-0000-0000-000086830000}"/>
    <cellStyle name="40% - Accent6 3 4 2 8" xfId="29592" xr:uid="{00000000-0005-0000-0000-000087830000}"/>
    <cellStyle name="40% - Accent6 3 4 2 9" xfId="40448" xr:uid="{00000000-0005-0000-0000-000088830000}"/>
    <cellStyle name="40% - Accent6 3 4 3" xfId="1818" xr:uid="{00000000-0005-0000-0000-000089830000}"/>
    <cellStyle name="40% - Accent6 3 4 3 2" xfId="6086" xr:uid="{00000000-0005-0000-0000-00008A830000}"/>
    <cellStyle name="40% - Accent6 3 4 3 2 2" xfId="13186" xr:uid="{00000000-0005-0000-0000-00008B830000}"/>
    <cellStyle name="40% - Accent6 3 4 3 2 3" xfId="20287" xr:uid="{00000000-0005-0000-0000-00008C830000}"/>
    <cellStyle name="40% - Accent6 3 4 3 2 4" xfId="27389" xr:uid="{00000000-0005-0000-0000-00008D830000}"/>
    <cellStyle name="40% - Accent6 3 4 3 2 5" xfId="34491" xr:uid="{00000000-0005-0000-0000-00008E830000}"/>
    <cellStyle name="40% - Accent6 3 4 3 2 6" xfId="40449" xr:uid="{00000000-0005-0000-0000-00008F830000}"/>
    <cellStyle name="40% - Accent6 3 4 3 3" xfId="8926" xr:uid="{00000000-0005-0000-0000-000090830000}"/>
    <cellStyle name="40% - Accent6 3 4 3 4" xfId="16027" xr:uid="{00000000-0005-0000-0000-000091830000}"/>
    <cellStyle name="40% - Accent6 3 4 3 5" xfId="23129" xr:uid="{00000000-0005-0000-0000-000092830000}"/>
    <cellStyle name="40% - Accent6 3 4 3 6" xfId="30231" xr:uid="{00000000-0005-0000-0000-000093830000}"/>
    <cellStyle name="40% - Accent6 3 4 3 7" xfId="40450" xr:uid="{00000000-0005-0000-0000-000094830000}"/>
    <cellStyle name="40% - Accent6 3 4 4" xfId="4665" xr:uid="{00000000-0005-0000-0000-000095830000}"/>
    <cellStyle name="40% - Accent6 3 4 4 2" xfId="11766" xr:uid="{00000000-0005-0000-0000-000096830000}"/>
    <cellStyle name="40% - Accent6 3 4 4 3" xfId="18867" xr:uid="{00000000-0005-0000-0000-000097830000}"/>
    <cellStyle name="40% - Accent6 3 4 4 4" xfId="25969" xr:uid="{00000000-0005-0000-0000-000098830000}"/>
    <cellStyle name="40% - Accent6 3 4 4 5" xfId="33071" xr:uid="{00000000-0005-0000-0000-000099830000}"/>
    <cellStyle name="40% - Accent6 3 4 4 6" xfId="40451" xr:uid="{00000000-0005-0000-0000-00009A830000}"/>
    <cellStyle name="40% - Accent6 3 4 5" xfId="3240" xr:uid="{00000000-0005-0000-0000-00009B830000}"/>
    <cellStyle name="40% - Accent6 3 4 5 2" xfId="10346" xr:uid="{00000000-0005-0000-0000-00009C830000}"/>
    <cellStyle name="40% - Accent6 3 4 5 3" xfId="17447" xr:uid="{00000000-0005-0000-0000-00009D830000}"/>
    <cellStyle name="40% - Accent6 3 4 5 4" xfId="24549" xr:uid="{00000000-0005-0000-0000-00009E830000}"/>
    <cellStyle name="40% - Accent6 3 4 5 5" xfId="31651" xr:uid="{00000000-0005-0000-0000-00009F830000}"/>
    <cellStyle name="40% - Accent6 3 4 6" xfId="7506" xr:uid="{00000000-0005-0000-0000-0000A0830000}"/>
    <cellStyle name="40% - Accent6 3 4 7" xfId="14607" xr:uid="{00000000-0005-0000-0000-0000A1830000}"/>
    <cellStyle name="40% - Accent6 3 4 8" xfId="21709" xr:uid="{00000000-0005-0000-0000-0000A2830000}"/>
    <cellStyle name="40% - Accent6 3 4 9" xfId="28811" xr:uid="{00000000-0005-0000-0000-0000A3830000}"/>
    <cellStyle name="40% - Accent6 3 5" xfId="540" xr:uid="{00000000-0005-0000-0000-0000A4830000}"/>
    <cellStyle name="40% - Accent6 3 5 2" xfId="2031" xr:uid="{00000000-0005-0000-0000-0000A5830000}"/>
    <cellStyle name="40% - Accent6 3 5 2 2" xfId="6299" xr:uid="{00000000-0005-0000-0000-0000A6830000}"/>
    <cellStyle name="40% - Accent6 3 5 2 2 2" xfId="13399" xr:uid="{00000000-0005-0000-0000-0000A7830000}"/>
    <cellStyle name="40% - Accent6 3 5 2 2 3" xfId="20500" xr:uid="{00000000-0005-0000-0000-0000A8830000}"/>
    <cellStyle name="40% - Accent6 3 5 2 2 4" xfId="27602" xr:uid="{00000000-0005-0000-0000-0000A9830000}"/>
    <cellStyle name="40% - Accent6 3 5 2 2 5" xfId="34704" xr:uid="{00000000-0005-0000-0000-0000AA830000}"/>
    <cellStyle name="40% - Accent6 3 5 2 2 6" xfId="40452" xr:uid="{00000000-0005-0000-0000-0000AB830000}"/>
    <cellStyle name="40% - Accent6 3 5 2 3" xfId="9139" xr:uid="{00000000-0005-0000-0000-0000AC830000}"/>
    <cellStyle name="40% - Accent6 3 5 2 4" xfId="16240" xr:uid="{00000000-0005-0000-0000-0000AD830000}"/>
    <cellStyle name="40% - Accent6 3 5 2 5" xfId="23342" xr:uid="{00000000-0005-0000-0000-0000AE830000}"/>
    <cellStyle name="40% - Accent6 3 5 2 6" xfId="30444" xr:uid="{00000000-0005-0000-0000-0000AF830000}"/>
    <cellStyle name="40% - Accent6 3 5 2 7" xfId="40453" xr:uid="{00000000-0005-0000-0000-0000B0830000}"/>
    <cellStyle name="40% - Accent6 3 5 3" xfId="4878" xr:uid="{00000000-0005-0000-0000-0000B1830000}"/>
    <cellStyle name="40% - Accent6 3 5 3 2" xfId="11979" xr:uid="{00000000-0005-0000-0000-0000B2830000}"/>
    <cellStyle name="40% - Accent6 3 5 3 2 2" xfId="40454" xr:uid="{00000000-0005-0000-0000-0000B3830000}"/>
    <cellStyle name="40% - Accent6 3 5 3 3" xfId="19080" xr:uid="{00000000-0005-0000-0000-0000B4830000}"/>
    <cellStyle name="40% - Accent6 3 5 3 4" xfId="26182" xr:uid="{00000000-0005-0000-0000-0000B5830000}"/>
    <cellStyle name="40% - Accent6 3 5 3 5" xfId="33284" xr:uid="{00000000-0005-0000-0000-0000B6830000}"/>
    <cellStyle name="40% - Accent6 3 5 3 6" xfId="40455" xr:uid="{00000000-0005-0000-0000-0000B7830000}"/>
    <cellStyle name="40% - Accent6 3 5 4" xfId="3453" xr:uid="{00000000-0005-0000-0000-0000B8830000}"/>
    <cellStyle name="40% - Accent6 3 5 4 2" xfId="10559" xr:uid="{00000000-0005-0000-0000-0000B9830000}"/>
    <cellStyle name="40% - Accent6 3 5 4 3" xfId="17660" xr:uid="{00000000-0005-0000-0000-0000BA830000}"/>
    <cellStyle name="40% - Accent6 3 5 4 4" xfId="24762" xr:uid="{00000000-0005-0000-0000-0000BB830000}"/>
    <cellStyle name="40% - Accent6 3 5 4 5" xfId="31864" xr:uid="{00000000-0005-0000-0000-0000BC830000}"/>
    <cellStyle name="40% - Accent6 3 5 4 6" xfId="40456" xr:uid="{00000000-0005-0000-0000-0000BD830000}"/>
    <cellStyle name="40% - Accent6 3 5 5" xfId="7719" xr:uid="{00000000-0005-0000-0000-0000BE830000}"/>
    <cellStyle name="40% - Accent6 3 5 6" xfId="14820" xr:uid="{00000000-0005-0000-0000-0000BF830000}"/>
    <cellStyle name="40% - Accent6 3 5 7" xfId="21922" xr:uid="{00000000-0005-0000-0000-0000C0830000}"/>
    <cellStyle name="40% - Accent6 3 5 8" xfId="29024" xr:uid="{00000000-0005-0000-0000-0000C1830000}"/>
    <cellStyle name="40% - Accent6 3 5 9" xfId="40457" xr:uid="{00000000-0005-0000-0000-0000C2830000}"/>
    <cellStyle name="40% - Accent6 3 6" xfId="753" xr:uid="{00000000-0005-0000-0000-0000C3830000}"/>
    <cellStyle name="40% - Accent6 3 6 2" xfId="2244" xr:uid="{00000000-0005-0000-0000-0000C4830000}"/>
    <cellStyle name="40% - Accent6 3 6 2 2" xfId="6512" xr:uid="{00000000-0005-0000-0000-0000C5830000}"/>
    <cellStyle name="40% - Accent6 3 6 2 2 2" xfId="13612" xr:uid="{00000000-0005-0000-0000-0000C6830000}"/>
    <cellStyle name="40% - Accent6 3 6 2 2 3" xfId="20713" xr:uid="{00000000-0005-0000-0000-0000C7830000}"/>
    <cellStyle name="40% - Accent6 3 6 2 2 4" xfId="27815" xr:uid="{00000000-0005-0000-0000-0000C8830000}"/>
    <cellStyle name="40% - Accent6 3 6 2 2 5" xfId="34917" xr:uid="{00000000-0005-0000-0000-0000C9830000}"/>
    <cellStyle name="40% - Accent6 3 6 2 2 6" xfId="40458" xr:uid="{00000000-0005-0000-0000-0000CA830000}"/>
    <cellStyle name="40% - Accent6 3 6 2 3" xfId="9352" xr:uid="{00000000-0005-0000-0000-0000CB830000}"/>
    <cellStyle name="40% - Accent6 3 6 2 4" xfId="16453" xr:uid="{00000000-0005-0000-0000-0000CC830000}"/>
    <cellStyle name="40% - Accent6 3 6 2 5" xfId="23555" xr:uid="{00000000-0005-0000-0000-0000CD830000}"/>
    <cellStyle name="40% - Accent6 3 6 2 6" xfId="30657" xr:uid="{00000000-0005-0000-0000-0000CE830000}"/>
    <cellStyle name="40% - Accent6 3 6 2 7" xfId="40459" xr:uid="{00000000-0005-0000-0000-0000CF830000}"/>
    <cellStyle name="40% - Accent6 3 6 3" xfId="5091" xr:uid="{00000000-0005-0000-0000-0000D0830000}"/>
    <cellStyle name="40% - Accent6 3 6 3 2" xfId="12192" xr:uid="{00000000-0005-0000-0000-0000D1830000}"/>
    <cellStyle name="40% - Accent6 3 6 3 2 2" xfId="40460" xr:uid="{00000000-0005-0000-0000-0000D2830000}"/>
    <cellStyle name="40% - Accent6 3 6 3 3" xfId="19293" xr:uid="{00000000-0005-0000-0000-0000D3830000}"/>
    <cellStyle name="40% - Accent6 3 6 3 4" xfId="26395" xr:uid="{00000000-0005-0000-0000-0000D4830000}"/>
    <cellStyle name="40% - Accent6 3 6 3 5" xfId="33497" xr:uid="{00000000-0005-0000-0000-0000D5830000}"/>
    <cellStyle name="40% - Accent6 3 6 3 6" xfId="40461" xr:uid="{00000000-0005-0000-0000-0000D6830000}"/>
    <cellStyle name="40% - Accent6 3 6 4" xfId="3666" xr:uid="{00000000-0005-0000-0000-0000D7830000}"/>
    <cellStyle name="40% - Accent6 3 6 4 2" xfId="10772" xr:uid="{00000000-0005-0000-0000-0000D8830000}"/>
    <cellStyle name="40% - Accent6 3 6 4 3" xfId="17873" xr:uid="{00000000-0005-0000-0000-0000D9830000}"/>
    <cellStyle name="40% - Accent6 3 6 4 4" xfId="24975" xr:uid="{00000000-0005-0000-0000-0000DA830000}"/>
    <cellStyle name="40% - Accent6 3 6 4 5" xfId="32077" xr:uid="{00000000-0005-0000-0000-0000DB830000}"/>
    <cellStyle name="40% - Accent6 3 6 4 6" xfId="40462" xr:uid="{00000000-0005-0000-0000-0000DC830000}"/>
    <cellStyle name="40% - Accent6 3 6 5" xfId="7932" xr:uid="{00000000-0005-0000-0000-0000DD830000}"/>
    <cellStyle name="40% - Accent6 3 6 6" xfId="15033" xr:uid="{00000000-0005-0000-0000-0000DE830000}"/>
    <cellStyle name="40% - Accent6 3 6 7" xfId="22135" xr:uid="{00000000-0005-0000-0000-0000DF830000}"/>
    <cellStyle name="40% - Accent6 3 6 8" xfId="29237" xr:uid="{00000000-0005-0000-0000-0000E0830000}"/>
    <cellStyle name="40% - Accent6 3 6 9" xfId="40463" xr:uid="{00000000-0005-0000-0000-0000E1830000}"/>
    <cellStyle name="40% - Accent6 3 7" xfId="966" xr:uid="{00000000-0005-0000-0000-0000E2830000}"/>
    <cellStyle name="40% - Accent6 3 7 2" xfId="2457" xr:uid="{00000000-0005-0000-0000-0000E3830000}"/>
    <cellStyle name="40% - Accent6 3 7 2 2" xfId="6725" xr:uid="{00000000-0005-0000-0000-0000E4830000}"/>
    <cellStyle name="40% - Accent6 3 7 2 2 2" xfId="13825" xr:uid="{00000000-0005-0000-0000-0000E5830000}"/>
    <cellStyle name="40% - Accent6 3 7 2 2 3" xfId="20926" xr:uid="{00000000-0005-0000-0000-0000E6830000}"/>
    <cellStyle name="40% - Accent6 3 7 2 2 4" xfId="28028" xr:uid="{00000000-0005-0000-0000-0000E7830000}"/>
    <cellStyle name="40% - Accent6 3 7 2 2 5" xfId="35130" xr:uid="{00000000-0005-0000-0000-0000E8830000}"/>
    <cellStyle name="40% - Accent6 3 7 2 3" xfId="9565" xr:uid="{00000000-0005-0000-0000-0000E9830000}"/>
    <cellStyle name="40% - Accent6 3 7 2 4" xfId="16666" xr:uid="{00000000-0005-0000-0000-0000EA830000}"/>
    <cellStyle name="40% - Accent6 3 7 2 5" xfId="23768" xr:uid="{00000000-0005-0000-0000-0000EB830000}"/>
    <cellStyle name="40% - Accent6 3 7 2 6" xfId="30870" xr:uid="{00000000-0005-0000-0000-0000EC830000}"/>
    <cellStyle name="40% - Accent6 3 7 2 7" xfId="40464" xr:uid="{00000000-0005-0000-0000-0000ED830000}"/>
    <cellStyle name="40% - Accent6 3 7 3" xfId="5304" xr:uid="{00000000-0005-0000-0000-0000EE830000}"/>
    <cellStyle name="40% - Accent6 3 7 3 2" xfId="12405" xr:uid="{00000000-0005-0000-0000-0000EF830000}"/>
    <cellStyle name="40% - Accent6 3 7 3 3" xfId="19506" xr:uid="{00000000-0005-0000-0000-0000F0830000}"/>
    <cellStyle name="40% - Accent6 3 7 3 4" xfId="26608" xr:uid="{00000000-0005-0000-0000-0000F1830000}"/>
    <cellStyle name="40% - Accent6 3 7 3 5" xfId="33710" xr:uid="{00000000-0005-0000-0000-0000F2830000}"/>
    <cellStyle name="40% - Accent6 3 7 4" xfId="3879" xr:uid="{00000000-0005-0000-0000-0000F3830000}"/>
    <cellStyle name="40% - Accent6 3 7 4 2" xfId="10985" xr:uid="{00000000-0005-0000-0000-0000F4830000}"/>
    <cellStyle name="40% - Accent6 3 7 4 3" xfId="18086" xr:uid="{00000000-0005-0000-0000-0000F5830000}"/>
    <cellStyle name="40% - Accent6 3 7 4 4" xfId="25188" xr:uid="{00000000-0005-0000-0000-0000F6830000}"/>
    <cellStyle name="40% - Accent6 3 7 4 5" xfId="32290" xr:uid="{00000000-0005-0000-0000-0000F7830000}"/>
    <cellStyle name="40% - Accent6 3 7 5" xfId="8145" xr:uid="{00000000-0005-0000-0000-0000F8830000}"/>
    <cellStyle name="40% - Accent6 3 7 6" xfId="15246" xr:uid="{00000000-0005-0000-0000-0000F9830000}"/>
    <cellStyle name="40% - Accent6 3 7 7" xfId="22348" xr:uid="{00000000-0005-0000-0000-0000FA830000}"/>
    <cellStyle name="40% - Accent6 3 7 8" xfId="29450" xr:uid="{00000000-0005-0000-0000-0000FB830000}"/>
    <cellStyle name="40% - Accent6 3 7 9" xfId="40465" xr:uid="{00000000-0005-0000-0000-0000FC830000}"/>
    <cellStyle name="40% - Accent6 3 8" xfId="1321" xr:uid="{00000000-0005-0000-0000-0000FD830000}"/>
    <cellStyle name="40% - Accent6 3 8 2" xfId="2812" xr:uid="{00000000-0005-0000-0000-0000FE830000}"/>
    <cellStyle name="40% - Accent6 3 8 2 2" xfId="7080" xr:uid="{00000000-0005-0000-0000-0000FF830000}"/>
    <cellStyle name="40% - Accent6 3 8 2 2 2" xfId="14180" xr:uid="{00000000-0005-0000-0000-000000840000}"/>
    <cellStyle name="40% - Accent6 3 8 2 2 3" xfId="21281" xr:uid="{00000000-0005-0000-0000-000001840000}"/>
    <cellStyle name="40% - Accent6 3 8 2 2 4" xfId="28383" xr:uid="{00000000-0005-0000-0000-000002840000}"/>
    <cellStyle name="40% - Accent6 3 8 2 2 5" xfId="35485" xr:uid="{00000000-0005-0000-0000-000003840000}"/>
    <cellStyle name="40% - Accent6 3 8 2 3" xfId="9920" xr:uid="{00000000-0005-0000-0000-000004840000}"/>
    <cellStyle name="40% - Accent6 3 8 2 4" xfId="17021" xr:uid="{00000000-0005-0000-0000-000005840000}"/>
    <cellStyle name="40% - Accent6 3 8 2 5" xfId="24123" xr:uid="{00000000-0005-0000-0000-000006840000}"/>
    <cellStyle name="40% - Accent6 3 8 2 6" xfId="31225" xr:uid="{00000000-0005-0000-0000-000007840000}"/>
    <cellStyle name="40% - Accent6 3 8 2 7" xfId="40466" xr:uid="{00000000-0005-0000-0000-000008840000}"/>
    <cellStyle name="40% - Accent6 3 8 3" xfId="5659" xr:uid="{00000000-0005-0000-0000-000009840000}"/>
    <cellStyle name="40% - Accent6 3 8 3 2" xfId="12760" xr:uid="{00000000-0005-0000-0000-00000A840000}"/>
    <cellStyle name="40% - Accent6 3 8 3 3" xfId="19861" xr:uid="{00000000-0005-0000-0000-00000B840000}"/>
    <cellStyle name="40% - Accent6 3 8 3 4" xfId="26963" xr:uid="{00000000-0005-0000-0000-00000C840000}"/>
    <cellStyle name="40% - Accent6 3 8 3 5" xfId="34065" xr:uid="{00000000-0005-0000-0000-00000D840000}"/>
    <cellStyle name="40% - Accent6 3 8 4" xfId="4234" xr:uid="{00000000-0005-0000-0000-00000E840000}"/>
    <cellStyle name="40% - Accent6 3 8 4 2" xfId="11340" xr:uid="{00000000-0005-0000-0000-00000F840000}"/>
    <cellStyle name="40% - Accent6 3 8 4 3" xfId="18441" xr:uid="{00000000-0005-0000-0000-000010840000}"/>
    <cellStyle name="40% - Accent6 3 8 4 4" xfId="25543" xr:uid="{00000000-0005-0000-0000-000011840000}"/>
    <cellStyle name="40% - Accent6 3 8 4 5" xfId="32645" xr:uid="{00000000-0005-0000-0000-000012840000}"/>
    <cellStyle name="40% - Accent6 3 8 5" xfId="8500" xr:uid="{00000000-0005-0000-0000-000013840000}"/>
    <cellStyle name="40% - Accent6 3 8 6" xfId="15601" xr:uid="{00000000-0005-0000-0000-000014840000}"/>
    <cellStyle name="40% - Accent6 3 8 7" xfId="22703" xr:uid="{00000000-0005-0000-0000-000015840000}"/>
    <cellStyle name="40% - Accent6 3 8 8" xfId="29805" xr:uid="{00000000-0005-0000-0000-000016840000}"/>
    <cellStyle name="40% - Accent6 3 8 9" xfId="40467" xr:uid="{00000000-0005-0000-0000-000017840000}"/>
    <cellStyle name="40% - Accent6 3 9" xfId="1603" xr:uid="{00000000-0005-0000-0000-000018840000}"/>
    <cellStyle name="40% - Accent6 3 9 2" xfId="5873" xr:uid="{00000000-0005-0000-0000-000019840000}"/>
    <cellStyle name="40% - Accent6 3 9 2 2" xfId="12973" xr:uid="{00000000-0005-0000-0000-00001A840000}"/>
    <cellStyle name="40% - Accent6 3 9 2 3" xfId="20074" xr:uid="{00000000-0005-0000-0000-00001B840000}"/>
    <cellStyle name="40% - Accent6 3 9 2 4" xfId="27176" xr:uid="{00000000-0005-0000-0000-00001C840000}"/>
    <cellStyle name="40% - Accent6 3 9 2 5" xfId="34278" xr:uid="{00000000-0005-0000-0000-00001D840000}"/>
    <cellStyle name="40% - Accent6 3 9 3" xfId="8713" xr:uid="{00000000-0005-0000-0000-00001E840000}"/>
    <cellStyle name="40% - Accent6 3 9 4" xfId="15814" xr:uid="{00000000-0005-0000-0000-00001F840000}"/>
    <cellStyle name="40% - Accent6 3 9 5" xfId="22916" xr:uid="{00000000-0005-0000-0000-000020840000}"/>
    <cellStyle name="40% - Accent6 3 9 6" xfId="30018" xr:uid="{00000000-0005-0000-0000-000021840000}"/>
    <cellStyle name="40% - Accent6 3 9 7" xfId="40468" xr:uid="{00000000-0005-0000-0000-000022840000}"/>
    <cellStyle name="40% - Accent6 4" xfId="143" xr:uid="{00000000-0005-0000-0000-000023840000}"/>
    <cellStyle name="40% - Accent6 4 10" xfId="4483" xr:uid="{00000000-0005-0000-0000-000024840000}"/>
    <cellStyle name="40% - Accent6 4 10 2" xfId="11584" xr:uid="{00000000-0005-0000-0000-000025840000}"/>
    <cellStyle name="40% - Accent6 4 10 3" xfId="18685" xr:uid="{00000000-0005-0000-0000-000026840000}"/>
    <cellStyle name="40% - Accent6 4 10 4" xfId="25787" xr:uid="{00000000-0005-0000-0000-000027840000}"/>
    <cellStyle name="40% - Accent6 4 10 5" xfId="32889" xr:uid="{00000000-0005-0000-0000-000028840000}"/>
    <cellStyle name="40% - Accent6 4 11" xfId="3058" xr:uid="{00000000-0005-0000-0000-000029840000}"/>
    <cellStyle name="40% - Accent6 4 11 2" xfId="10164" xr:uid="{00000000-0005-0000-0000-00002A840000}"/>
    <cellStyle name="40% - Accent6 4 11 3" xfId="17265" xr:uid="{00000000-0005-0000-0000-00002B840000}"/>
    <cellStyle name="40% - Accent6 4 11 4" xfId="24367" xr:uid="{00000000-0005-0000-0000-00002C840000}"/>
    <cellStyle name="40% - Accent6 4 11 5" xfId="31469" xr:uid="{00000000-0005-0000-0000-00002D840000}"/>
    <cellStyle name="40% - Accent6 4 12" xfId="7324" xr:uid="{00000000-0005-0000-0000-00002E840000}"/>
    <cellStyle name="40% - Accent6 4 13" xfId="14425" xr:uid="{00000000-0005-0000-0000-00002F840000}"/>
    <cellStyle name="40% - Accent6 4 14" xfId="21527" xr:uid="{00000000-0005-0000-0000-000030840000}"/>
    <cellStyle name="40% - Accent6 4 15" xfId="28629" xr:uid="{00000000-0005-0000-0000-000031840000}"/>
    <cellStyle name="40% - Accent6 4 16" xfId="35731" xr:uid="{00000000-0005-0000-0000-000032840000}"/>
    <cellStyle name="40% - Accent6 4 17" xfId="40469" xr:uid="{00000000-0005-0000-0000-000033840000}"/>
    <cellStyle name="40% - Accent6 4 18" xfId="40470" xr:uid="{00000000-0005-0000-0000-000034840000}"/>
    <cellStyle name="40% - Accent6 4 2" xfId="287" xr:uid="{00000000-0005-0000-0000-000035840000}"/>
    <cellStyle name="40% - Accent6 4 2 10" xfId="7466" xr:uid="{00000000-0005-0000-0000-000036840000}"/>
    <cellStyle name="40% - Accent6 4 2 11" xfId="14567" xr:uid="{00000000-0005-0000-0000-000037840000}"/>
    <cellStyle name="40% - Accent6 4 2 12" xfId="21669" xr:uid="{00000000-0005-0000-0000-000038840000}"/>
    <cellStyle name="40% - Accent6 4 2 13" xfId="28771" xr:uid="{00000000-0005-0000-0000-000039840000}"/>
    <cellStyle name="40% - Accent6 4 2 14" xfId="35873" xr:uid="{00000000-0005-0000-0000-00003A840000}"/>
    <cellStyle name="40% - Accent6 4 2 15" xfId="40471" xr:uid="{00000000-0005-0000-0000-00003B840000}"/>
    <cellStyle name="40% - Accent6 4 2 2" xfId="500" xr:uid="{00000000-0005-0000-0000-00003C840000}"/>
    <cellStyle name="40% - Accent6 4 2 2 10" xfId="40472" xr:uid="{00000000-0005-0000-0000-00003D840000}"/>
    <cellStyle name="40% - Accent6 4 2 2 2" xfId="1281" xr:uid="{00000000-0005-0000-0000-00003E840000}"/>
    <cellStyle name="40% - Accent6 4 2 2 2 2" xfId="2772" xr:uid="{00000000-0005-0000-0000-00003F840000}"/>
    <cellStyle name="40% - Accent6 4 2 2 2 2 2" xfId="7040" xr:uid="{00000000-0005-0000-0000-000040840000}"/>
    <cellStyle name="40% - Accent6 4 2 2 2 2 2 2" xfId="14140" xr:uid="{00000000-0005-0000-0000-000041840000}"/>
    <cellStyle name="40% - Accent6 4 2 2 2 2 2 3" xfId="21241" xr:uid="{00000000-0005-0000-0000-000042840000}"/>
    <cellStyle name="40% - Accent6 4 2 2 2 2 2 4" xfId="28343" xr:uid="{00000000-0005-0000-0000-000043840000}"/>
    <cellStyle name="40% - Accent6 4 2 2 2 2 2 5" xfId="35445" xr:uid="{00000000-0005-0000-0000-000044840000}"/>
    <cellStyle name="40% - Accent6 4 2 2 2 2 3" xfId="9880" xr:uid="{00000000-0005-0000-0000-000045840000}"/>
    <cellStyle name="40% - Accent6 4 2 2 2 2 4" xfId="16981" xr:uid="{00000000-0005-0000-0000-000046840000}"/>
    <cellStyle name="40% - Accent6 4 2 2 2 2 5" xfId="24083" xr:uid="{00000000-0005-0000-0000-000047840000}"/>
    <cellStyle name="40% - Accent6 4 2 2 2 2 6" xfId="31185" xr:uid="{00000000-0005-0000-0000-000048840000}"/>
    <cellStyle name="40% - Accent6 4 2 2 2 2 7" xfId="40473" xr:uid="{00000000-0005-0000-0000-000049840000}"/>
    <cellStyle name="40% - Accent6 4 2 2 2 3" xfId="5619" xr:uid="{00000000-0005-0000-0000-00004A840000}"/>
    <cellStyle name="40% - Accent6 4 2 2 2 3 2" xfId="12720" xr:uid="{00000000-0005-0000-0000-00004B840000}"/>
    <cellStyle name="40% - Accent6 4 2 2 2 3 3" xfId="19821" xr:uid="{00000000-0005-0000-0000-00004C840000}"/>
    <cellStyle name="40% - Accent6 4 2 2 2 3 4" xfId="26923" xr:uid="{00000000-0005-0000-0000-00004D840000}"/>
    <cellStyle name="40% - Accent6 4 2 2 2 3 5" xfId="34025" xr:uid="{00000000-0005-0000-0000-00004E840000}"/>
    <cellStyle name="40% - Accent6 4 2 2 2 4" xfId="4194" xr:uid="{00000000-0005-0000-0000-00004F840000}"/>
    <cellStyle name="40% - Accent6 4 2 2 2 4 2" xfId="11300" xr:uid="{00000000-0005-0000-0000-000050840000}"/>
    <cellStyle name="40% - Accent6 4 2 2 2 4 3" xfId="18401" xr:uid="{00000000-0005-0000-0000-000051840000}"/>
    <cellStyle name="40% - Accent6 4 2 2 2 4 4" xfId="25503" xr:uid="{00000000-0005-0000-0000-000052840000}"/>
    <cellStyle name="40% - Accent6 4 2 2 2 4 5" xfId="32605" xr:uid="{00000000-0005-0000-0000-000053840000}"/>
    <cellStyle name="40% - Accent6 4 2 2 2 5" xfId="8460" xr:uid="{00000000-0005-0000-0000-000054840000}"/>
    <cellStyle name="40% - Accent6 4 2 2 2 6" xfId="15561" xr:uid="{00000000-0005-0000-0000-000055840000}"/>
    <cellStyle name="40% - Accent6 4 2 2 2 7" xfId="22663" xr:uid="{00000000-0005-0000-0000-000056840000}"/>
    <cellStyle name="40% - Accent6 4 2 2 2 8" xfId="29765" xr:uid="{00000000-0005-0000-0000-000057840000}"/>
    <cellStyle name="40% - Accent6 4 2 2 2 9" xfId="40474" xr:uid="{00000000-0005-0000-0000-000058840000}"/>
    <cellStyle name="40% - Accent6 4 2 2 3" xfId="1991" xr:uid="{00000000-0005-0000-0000-000059840000}"/>
    <cellStyle name="40% - Accent6 4 2 2 3 2" xfId="6259" xr:uid="{00000000-0005-0000-0000-00005A840000}"/>
    <cellStyle name="40% - Accent6 4 2 2 3 2 2" xfId="13359" xr:uid="{00000000-0005-0000-0000-00005B840000}"/>
    <cellStyle name="40% - Accent6 4 2 2 3 2 3" xfId="20460" xr:uid="{00000000-0005-0000-0000-00005C840000}"/>
    <cellStyle name="40% - Accent6 4 2 2 3 2 4" xfId="27562" xr:uid="{00000000-0005-0000-0000-00005D840000}"/>
    <cellStyle name="40% - Accent6 4 2 2 3 2 5" xfId="34664" xr:uid="{00000000-0005-0000-0000-00005E840000}"/>
    <cellStyle name="40% - Accent6 4 2 2 3 2 6" xfId="40475" xr:uid="{00000000-0005-0000-0000-00005F840000}"/>
    <cellStyle name="40% - Accent6 4 2 2 3 3" xfId="9099" xr:uid="{00000000-0005-0000-0000-000060840000}"/>
    <cellStyle name="40% - Accent6 4 2 2 3 4" xfId="16200" xr:uid="{00000000-0005-0000-0000-000061840000}"/>
    <cellStyle name="40% - Accent6 4 2 2 3 5" xfId="23302" xr:uid="{00000000-0005-0000-0000-000062840000}"/>
    <cellStyle name="40% - Accent6 4 2 2 3 6" xfId="30404" xr:uid="{00000000-0005-0000-0000-000063840000}"/>
    <cellStyle name="40% - Accent6 4 2 2 3 7" xfId="40476" xr:uid="{00000000-0005-0000-0000-000064840000}"/>
    <cellStyle name="40% - Accent6 4 2 2 4" xfId="4838" xr:uid="{00000000-0005-0000-0000-000065840000}"/>
    <cellStyle name="40% - Accent6 4 2 2 4 2" xfId="11939" xr:uid="{00000000-0005-0000-0000-000066840000}"/>
    <cellStyle name="40% - Accent6 4 2 2 4 3" xfId="19040" xr:uid="{00000000-0005-0000-0000-000067840000}"/>
    <cellStyle name="40% - Accent6 4 2 2 4 4" xfId="26142" xr:uid="{00000000-0005-0000-0000-000068840000}"/>
    <cellStyle name="40% - Accent6 4 2 2 4 5" xfId="33244" xr:uid="{00000000-0005-0000-0000-000069840000}"/>
    <cellStyle name="40% - Accent6 4 2 2 4 6" xfId="40477" xr:uid="{00000000-0005-0000-0000-00006A840000}"/>
    <cellStyle name="40% - Accent6 4 2 2 5" xfId="3413" xr:uid="{00000000-0005-0000-0000-00006B840000}"/>
    <cellStyle name="40% - Accent6 4 2 2 5 2" xfId="10519" xr:uid="{00000000-0005-0000-0000-00006C840000}"/>
    <cellStyle name="40% - Accent6 4 2 2 5 3" xfId="17620" xr:uid="{00000000-0005-0000-0000-00006D840000}"/>
    <cellStyle name="40% - Accent6 4 2 2 5 4" xfId="24722" xr:uid="{00000000-0005-0000-0000-00006E840000}"/>
    <cellStyle name="40% - Accent6 4 2 2 5 5" xfId="31824" xr:uid="{00000000-0005-0000-0000-00006F840000}"/>
    <cellStyle name="40% - Accent6 4 2 2 6" xfId="7679" xr:uid="{00000000-0005-0000-0000-000070840000}"/>
    <cellStyle name="40% - Accent6 4 2 2 7" xfId="14780" xr:uid="{00000000-0005-0000-0000-000071840000}"/>
    <cellStyle name="40% - Accent6 4 2 2 8" xfId="21882" xr:uid="{00000000-0005-0000-0000-000072840000}"/>
    <cellStyle name="40% - Accent6 4 2 2 9" xfId="28984" xr:uid="{00000000-0005-0000-0000-000073840000}"/>
    <cellStyle name="40% - Accent6 4 2 3" xfId="713" xr:uid="{00000000-0005-0000-0000-000074840000}"/>
    <cellStyle name="40% - Accent6 4 2 3 2" xfId="2204" xr:uid="{00000000-0005-0000-0000-000075840000}"/>
    <cellStyle name="40% - Accent6 4 2 3 2 2" xfId="6472" xr:uid="{00000000-0005-0000-0000-000076840000}"/>
    <cellStyle name="40% - Accent6 4 2 3 2 2 2" xfId="13572" xr:uid="{00000000-0005-0000-0000-000077840000}"/>
    <cellStyle name="40% - Accent6 4 2 3 2 2 3" xfId="20673" xr:uid="{00000000-0005-0000-0000-000078840000}"/>
    <cellStyle name="40% - Accent6 4 2 3 2 2 4" xfId="27775" xr:uid="{00000000-0005-0000-0000-000079840000}"/>
    <cellStyle name="40% - Accent6 4 2 3 2 2 5" xfId="34877" xr:uid="{00000000-0005-0000-0000-00007A840000}"/>
    <cellStyle name="40% - Accent6 4 2 3 2 2 6" xfId="40478" xr:uid="{00000000-0005-0000-0000-00007B840000}"/>
    <cellStyle name="40% - Accent6 4 2 3 2 3" xfId="9312" xr:uid="{00000000-0005-0000-0000-00007C840000}"/>
    <cellStyle name="40% - Accent6 4 2 3 2 4" xfId="16413" xr:uid="{00000000-0005-0000-0000-00007D840000}"/>
    <cellStyle name="40% - Accent6 4 2 3 2 5" xfId="23515" xr:uid="{00000000-0005-0000-0000-00007E840000}"/>
    <cellStyle name="40% - Accent6 4 2 3 2 6" xfId="30617" xr:uid="{00000000-0005-0000-0000-00007F840000}"/>
    <cellStyle name="40% - Accent6 4 2 3 2 7" xfId="40479" xr:uid="{00000000-0005-0000-0000-000080840000}"/>
    <cellStyle name="40% - Accent6 4 2 3 3" xfId="5051" xr:uid="{00000000-0005-0000-0000-000081840000}"/>
    <cellStyle name="40% - Accent6 4 2 3 3 2" xfId="12152" xr:uid="{00000000-0005-0000-0000-000082840000}"/>
    <cellStyle name="40% - Accent6 4 2 3 3 2 2" xfId="40480" xr:uid="{00000000-0005-0000-0000-000083840000}"/>
    <cellStyle name="40% - Accent6 4 2 3 3 3" xfId="19253" xr:uid="{00000000-0005-0000-0000-000084840000}"/>
    <cellStyle name="40% - Accent6 4 2 3 3 4" xfId="26355" xr:uid="{00000000-0005-0000-0000-000085840000}"/>
    <cellStyle name="40% - Accent6 4 2 3 3 5" xfId="33457" xr:uid="{00000000-0005-0000-0000-000086840000}"/>
    <cellStyle name="40% - Accent6 4 2 3 3 6" xfId="40481" xr:uid="{00000000-0005-0000-0000-000087840000}"/>
    <cellStyle name="40% - Accent6 4 2 3 4" xfId="3626" xr:uid="{00000000-0005-0000-0000-000088840000}"/>
    <cellStyle name="40% - Accent6 4 2 3 4 2" xfId="10732" xr:uid="{00000000-0005-0000-0000-000089840000}"/>
    <cellStyle name="40% - Accent6 4 2 3 4 3" xfId="17833" xr:uid="{00000000-0005-0000-0000-00008A840000}"/>
    <cellStyle name="40% - Accent6 4 2 3 4 4" xfId="24935" xr:uid="{00000000-0005-0000-0000-00008B840000}"/>
    <cellStyle name="40% - Accent6 4 2 3 4 5" xfId="32037" xr:uid="{00000000-0005-0000-0000-00008C840000}"/>
    <cellStyle name="40% - Accent6 4 2 3 4 6" xfId="40482" xr:uid="{00000000-0005-0000-0000-00008D840000}"/>
    <cellStyle name="40% - Accent6 4 2 3 5" xfId="7892" xr:uid="{00000000-0005-0000-0000-00008E840000}"/>
    <cellStyle name="40% - Accent6 4 2 3 6" xfId="14993" xr:uid="{00000000-0005-0000-0000-00008F840000}"/>
    <cellStyle name="40% - Accent6 4 2 3 7" xfId="22095" xr:uid="{00000000-0005-0000-0000-000090840000}"/>
    <cellStyle name="40% - Accent6 4 2 3 8" xfId="29197" xr:uid="{00000000-0005-0000-0000-000091840000}"/>
    <cellStyle name="40% - Accent6 4 2 3 9" xfId="40483" xr:uid="{00000000-0005-0000-0000-000092840000}"/>
    <cellStyle name="40% - Accent6 4 2 4" xfId="926" xr:uid="{00000000-0005-0000-0000-000093840000}"/>
    <cellStyle name="40% - Accent6 4 2 4 2" xfId="2417" xr:uid="{00000000-0005-0000-0000-000094840000}"/>
    <cellStyle name="40% - Accent6 4 2 4 2 2" xfId="6685" xr:uid="{00000000-0005-0000-0000-000095840000}"/>
    <cellStyle name="40% - Accent6 4 2 4 2 2 2" xfId="13785" xr:uid="{00000000-0005-0000-0000-000096840000}"/>
    <cellStyle name="40% - Accent6 4 2 4 2 2 3" xfId="20886" xr:uid="{00000000-0005-0000-0000-000097840000}"/>
    <cellStyle name="40% - Accent6 4 2 4 2 2 4" xfId="27988" xr:uid="{00000000-0005-0000-0000-000098840000}"/>
    <cellStyle name="40% - Accent6 4 2 4 2 2 5" xfId="35090" xr:uid="{00000000-0005-0000-0000-000099840000}"/>
    <cellStyle name="40% - Accent6 4 2 4 2 2 6" xfId="40484" xr:uid="{00000000-0005-0000-0000-00009A840000}"/>
    <cellStyle name="40% - Accent6 4 2 4 2 3" xfId="9525" xr:uid="{00000000-0005-0000-0000-00009B840000}"/>
    <cellStyle name="40% - Accent6 4 2 4 2 4" xfId="16626" xr:uid="{00000000-0005-0000-0000-00009C840000}"/>
    <cellStyle name="40% - Accent6 4 2 4 2 5" xfId="23728" xr:uid="{00000000-0005-0000-0000-00009D840000}"/>
    <cellStyle name="40% - Accent6 4 2 4 2 6" xfId="30830" xr:uid="{00000000-0005-0000-0000-00009E840000}"/>
    <cellStyle name="40% - Accent6 4 2 4 2 7" xfId="40485" xr:uid="{00000000-0005-0000-0000-00009F840000}"/>
    <cellStyle name="40% - Accent6 4 2 4 3" xfId="5264" xr:uid="{00000000-0005-0000-0000-0000A0840000}"/>
    <cellStyle name="40% - Accent6 4 2 4 3 2" xfId="12365" xr:uid="{00000000-0005-0000-0000-0000A1840000}"/>
    <cellStyle name="40% - Accent6 4 2 4 3 2 2" xfId="40486" xr:uid="{00000000-0005-0000-0000-0000A2840000}"/>
    <cellStyle name="40% - Accent6 4 2 4 3 3" xfId="19466" xr:uid="{00000000-0005-0000-0000-0000A3840000}"/>
    <cellStyle name="40% - Accent6 4 2 4 3 4" xfId="26568" xr:uid="{00000000-0005-0000-0000-0000A4840000}"/>
    <cellStyle name="40% - Accent6 4 2 4 3 5" xfId="33670" xr:uid="{00000000-0005-0000-0000-0000A5840000}"/>
    <cellStyle name="40% - Accent6 4 2 4 3 6" xfId="40487" xr:uid="{00000000-0005-0000-0000-0000A6840000}"/>
    <cellStyle name="40% - Accent6 4 2 4 4" xfId="3839" xr:uid="{00000000-0005-0000-0000-0000A7840000}"/>
    <cellStyle name="40% - Accent6 4 2 4 4 2" xfId="10945" xr:uid="{00000000-0005-0000-0000-0000A8840000}"/>
    <cellStyle name="40% - Accent6 4 2 4 4 3" xfId="18046" xr:uid="{00000000-0005-0000-0000-0000A9840000}"/>
    <cellStyle name="40% - Accent6 4 2 4 4 4" xfId="25148" xr:uid="{00000000-0005-0000-0000-0000AA840000}"/>
    <cellStyle name="40% - Accent6 4 2 4 4 5" xfId="32250" xr:uid="{00000000-0005-0000-0000-0000AB840000}"/>
    <cellStyle name="40% - Accent6 4 2 4 4 6" xfId="40488" xr:uid="{00000000-0005-0000-0000-0000AC840000}"/>
    <cellStyle name="40% - Accent6 4 2 4 5" xfId="8105" xr:uid="{00000000-0005-0000-0000-0000AD840000}"/>
    <cellStyle name="40% - Accent6 4 2 4 6" xfId="15206" xr:uid="{00000000-0005-0000-0000-0000AE840000}"/>
    <cellStyle name="40% - Accent6 4 2 4 7" xfId="22308" xr:uid="{00000000-0005-0000-0000-0000AF840000}"/>
    <cellStyle name="40% - Accent6 4 2 4 8" xfId="29410" xr:uid="{00000000-0005-0000-0000-0000B0840000}"/>
    <cellStyle name="40% - Accent6 4 2 4 9" xfId="40489" xr:uid="{00000000-0005-0000-0000-0000B1840000}"/>
    <cellStyle name="40% - Accent6 4 2 5" xfId="1068" xr:uid="{00000000-0005-0000-0000-0000B2840000}"/>
    <cellStyle name="40% - Accent6 4 2 5 2" xfId="2559" xr:uid="{00000000-0005-0000-0000-0000B3840000}"/>
    <cellStyle name="40% - Accent6 4 2 5 2 2" xfId="6827" xr:uid="{00000000-0005-0000-0000-0000B4840000}"/>
    <cellStyle name="40% - Accent6 4 2 5 2 2 2" xfId="13927" xr:uid="{00000000-0005-0000-0000-0000B5840000}"/>
    <cellStyle name="40% - Accent6 4 2 5 2 2 3" xfId="21028" xr:uid="{00000000-0005-0000-0000-0000B6840000}"/>
    <cellStyle name="40% - Accent6 4 2 5 2 2 4" xfId="28130" xr:uid="{00000000-0005-0000-0000-0000B7840000}"/>
    <cellStyle name="40% - Accent6 4 2 5 2 2 5" xfId="35232" xr:uid="{00000000-0005-0000-0000-0000B8840000}"/>
    <cellStyle name="40% - Accent6 4 2 5 2 3" xfId="9667" xr:uid="{00000000-0005-0000-0000-0000B9840000}"/>
    <cellStyle name="40% - Accent6 4 2 5 2 4" xfId="16768" xr:uid="{00000000-0005-0000-0000-0000BA840000}"/>
    <cellStyle name="40% - Accent6 4 2 5 2 5" xfId="23870" xr:uid="{00000000-0005-0000-0000-0000BB840000}"/>
    <cellStyle name="40% - Accent6 4 2 5 2 6" xfId="30972" xr:uid="{00000000-0005-0000-0000-0000BC840000}"/>
    <cellStyle name="40% - Accent6 4 2 5 2 7" xfId="40490" xr:uid="{00000000-0005-0000-0000-0000BD840000}"/>
    <cellStyle name="40% - Accent6 4 2 5 3" xfId="5406" xr:uid="{00000000-0005-0000-0000-0000BE840000}"/>
    <cellStyle name="40% - Accent6 4 2 5 3 2" xfId="12507" xr:uid="{00000000-0005-0000-0000-0000BF840000}"/>
    <cellStyle name="40% - Accent6 4 2 5 3 3" xfId="19608" xr:uid="{00000000-0005-0000-0000-0000C0840000}"/>
    <cellStyle name="40% - Accent6 4 2 5 3 4" xfId="26710" xr:uid="{00000000-0005-0000-0000-0000C1840000}"/>
    <cellStyle name="40% - Accent6 4 2 5 3 5" xfId="33812" xr:uid="{00000000-0005-0000-0000-0000C2840000}"/>
    <cellStyle name="40% - Accent6 4 2 5 4" xfId="3981" xr:uid="{00000000-0005-0000-0000-0000C3840000}"/>
    <cellStyle name="40% - Accent6 4 2 5 4 2" xfId="11087" xr:uid="{00000000-0005-0000-0000-0000C4840000}"/>
    <cellStyle name="40% - Accent6 4 2 5 4 3" xfId="18188" xr:uid="{00000000-0005-0000-0000-0000C5840000}"/>
    <cellStyle name="40% - Accent6 4 2 5 4 4" xfId="25290" xr:uid="{00000000-0005-0000-0000-0000C6840000}"/>
    <cellStyle name="40% - Accent6 4 2 5 4 5" xfId="32392" xr:uid="{00000000-0005-0000-0000-0000C7840000}"/>
    <cellStyle name="40% - Accent6 4 2 5 5" xfId="8247" xr:uid="{00000000-0005-0000-0000-0000C8840000}"/>
    <cellStyle name="40% - Accent6 4 2 5 6" xfId="15348" xr:uid="{00000000-0005-0000-0000-0000C9840000}"/>
    <cellStyle name="40% - Accent6 4 2 5 7" xfId="22450" xr:uid="{00000000-0005-0000-0000-0000CA840000}"/>
    <cellStyle name="40% - Accent6 4 2 5 8" xfId="29552" xr:uid="{00000000-0005-0000-0000-0000CB840000}"/>
    <cellStyle name="40% - Accent6 4 2 5 9" xfId="40491" xr:uid="{00000000-0005-0000-0000-0000CC840000}"/>
    <cellStyle name="40% - Accent6 4 2 6" xfId="1494" xr:uid="{00000000-0005-0000-0000-0000CD840000}"/>
    <cellStyle name="40% - Accent6 4 2 6 2" xfId="2985" xr:uid="{00000000-0005-0000-0000-0000CE840000}"/>
    <cellStyle name="40% - Accent6 4 2 6 2 2" xfId="7253" xr:uid="{00000000-0005-0000-0000-0000CF840000}"/>
    <cellStyle name="40% - Accent6 4 2 6 2 2 2" xfId="14353" xr:uid="{00000000-0005-0000-0000-0000D0840000}"/>
    <cellStyle name="40% - Accent6 4 2 6 2 2 3" xfId="21454" xr:uid="{00000000-0005-0000-0000-0000D1840000}"/>
    <cellStyle name="40% - Accent6 4 2 6 2 2 4" xfId="28556" xr:uid="{00000000-0005-0000-0000-0000D2840000}"/>
    <cellStyle name="40% - Accent6 4 2 6 2 2 5" xfId="35658" xr:uid="{00000000-0005-0000-0000-0000D3840000}"/>
    <cellStyle name="40% - Accent6 4 2 6 2 3" xfId="10093" xr:uid="{00000000-0005-0000-0000-0000D4840000}"/>
    <cellStyle name="40% - Accent6 4 2 6 2 4" xfId="17194" xr:uid="{00000000-0005-0000-0000-0000D5840000}"/>
    <cellStyle name="40% - Accent6 4 2 6 2 5" xfId="24296" xr:uid="{00000000-0005-0000-0000-0000D6840000}"/>
    <cellStyle name="40% - Accent6 4 2 6 2 6" xfId="31398" xr:uid="{00000000-0005-0000-0000-0000D7840000}"/>
    <cellStyle name="40% - Accent6 4 2 6 2 7" xfId="40492" xr:uid="{00000000-0005-0000-0000-0000D8840000}"/>
    <cellStyle name="40% - Accent6 4 2 6 3" xfId="5832" xr:uid="{00000000-0005-0000-0000-0000D9840000}"/>
    <cellStyle name="40% - Accent6 4 2 6 3 2" xfId="12933" xr:uid="{00000000-0005-0000-0000-0000DA840000}"/>
    <cellStyle name="40% - Accent6 4 2 6 3 3" xfId="20034" xr:uid="{00000000-0005-0000-0000-0000DB840000}"/>
    <cellStyle name="40% - Accent6 4 2 6 3 4" xfId="27136" xr:uid="{00000000-0005-0000-0000-0000DC840000}"/>
    <cellStyle name="40% - Accent6 4 2 6 3 5" xfId="34238" xr:uid="{00000000-0005-0000-0000-0000DD840000}"/>
    <cellStyle name="40% - Accent6 4 2 6 4" xfId="4407" xr:uid="{00000000-0005-0000-0000-0000DE840000}"/>
    <cellStyle name="40% - Accent6 4 2 6 4 2" xfId="11513" xr:uid="{00000000-0005-0000-0000-0000DF840000}"/>
    <cellStyle name="40% - Accent6 4 2 6 4 3" xfId="18614" xr:uid="{00000000-0005-0000-0000-0000E0840000}"/>
    <cellStyle name="40% - Accent6 4 2 6 4 4" xfId="25716" xr:uid="{00000000-0005-0000-0000-0000E1840000}"/>
    <cellStyle name="40% - Accent6 4 2 6 4 5" xfId="32818" xr:uid="{00000000-0005-0000-0000-0000E2840000}"/>
    <cellStyle name="40% - Accent6 4 2 6 5" xfId="8673" xr:uid="{00000000-0005-0000-0000-0000E3840000}"/>
    <cellStyle name="40% - Accent6 4 2 6 6" xfId="15774" xr:uid="{00000000-0005-0000-0000-0000E4840000}"/>
    <cellStyle name="40% - Accent6 4 2 6 7" xfId="22876" xr:uid="{00000000-0005-0000-0000-0000E5840000}"/>
    <cellStyle name="40% - Accent6 4 2 6 8" xfId="29978" xr:uid="{00000000-0005-0000-0000-0000E6840000}"/>
    <cellStyle name="40% - Accent6 4 2 6 9" xfId="40493" xr:uid="{00000000-0005-0000-0000-0000E7840000}"/>
    <cellStyle name="40% - Accent6 4 2 7" xfId="1778" xr:uid="{00000000-0005-0000-0000-0000E8840000}"/>
    <cellStyle name="40% - Accent6 4 2 7 2" xfId="6046" xr:uid="{00000000-0005-0000-0000-0000E9840000}"/>
    <cellStyle name="40% - Accent6 4 2 7 2 2" xfId="13146" xr:uid="{00000000-0005-0000-0000-0000EA840000}"/>
    <cellStyle name="40% - Accent6 4 2 7 2 3" xfId="20247" xr:uid="{00000000-0005-0000-0000-0000EB840000}"/>
    <cellStyle name="40% - Accent6 4 2 7 2 4" xfId="27349" xr:uid="{00000000-0005-0000-0000-0000EC840000}"/>
    <cellStyle name="40% - Accent6 4 2 7 2 5" xfId="34451" xr:uid="{00000000-0005-0000-0000-0000ED840000}"/>
    <cellStyle name="40% - Accent6 4 2 7 3" xfId="8886" xr:uid="{00000000-0005-0000-0000-0000EE840000}"/>
    <cellStyle name="40% - Accent6 4 2 7 4" xfId="15987" xr:uid="{00000000-0005-0000-0000-0000EF840000}"/>
    <cellStyle name="40% - Accent6 4 2 7 5" xfId="23089" xr:uid="{00000000-0005-0000-0000-0000F0840000}"/>
    <cellStyle name="40% - Accent6 4 2 7 6" xfId="30191" xr:uid="{00000000-0005-0000-0000-0000F1840000}"/>
    <cellStyle name="40% - Accent6 4 2 7 7" xfId="40494" xr:uid="{00000000-0005-0000-0000-0000F2840000}"/>
    <cellStyle name="40% - Accent6 4 2 8" xfId="4625" xr:uid="{00000000-0005-0000-0000-0000F3840000}"/>
    <cellStyle name="40% - Accent6 4 2 8 2" xfId="11726" xr:uid="{00000000-0005-0000-0000-0000F4840000}"/>
    <cellStyle name="40% - Accent6 4 2 8 3" xfId="18827" xr:uid="{00000000-0005-0000-0000-0000F5840000}"/>
    <cellStyle name="40% - Accent6 4 2 8 4" xfId="25929" xr:uid="{00000000-0005-0000-0000-0000F6840000}"/>
    <cellStyle name="40% - Accent6 4 2 8 5" xfId="33031" xr:uid="{00000000-0005-0000-0000-0000F7840000}"/>
    <cellStyle name="40% - Accent6 4 2 9" xfId="3200" xr:uid="{00000000-0005-0000-0000-0000F8840000}"/>
    <cellStyle name="40% - Accent6 4 2 9 2" xfId="10306" xr:uid="{00000000-0005-0000-0000-0000F9840000}"/>
    <cellStyle name="40% - Accent6 4 2 9 3" xfId="17407" xr:uid="{00000000-0005-0000-0000-0000FA840000}"/>
    <cellStyle name="40% - Accent6 4 2 9 4" xfId="24509" xr:uid="{00000000-0005-0000-0000-0000FB840000}"/>
    <cellStyle name="40% - Accent6 4 2 9 5" xfId="31611" xr:uid="{00000000-0005-0000-0000-0000FC840000}"/>
    <cellStyle name="40% - Accent6 4 3" xfId="216" xr:uid="{00000000-0005-0000-0000-0000FD840000}"/>
    <cellStyle name="40% - Accent6 4 3 10" xfId="7395" xr:uid="{00000000-0005-0000-0000-0000FE840000}"/>
    <cellStyle name="40% - Accent6 4 3 11" xfId="14496" xr:uid="{00000000-0005-0000-0000-0000FF840000}"/>
    <cellStyle name="40% - Accent6 4 3 12" xfId="21598" xr:uid="{00000000-0005-0000-0000-000000850000}"/>
    <cellStyle name="40% - Accent6 4 3 13" xfId="28700" xr:uid="{00000000-0005-0000-0000-000001850000}"/>
    <cellStyle name="40% - Accent6 4 3 14" xfId="35802" xr:uid="{00000000-0005-0000-0000-000002850000}"/>
    <cellStyle name="40% - Accent6 4 3 15" xfId="40495" xr:uid="{00000000-0005-0000-0000-000003850000}"/>
    <cellStyle name="40% - Accent6 4 3 2" xfId="429" xr:uid="{00000000-0005-0000-0000-000004850000}"/>
    <cellStyle name="40% - Accent6 4 3 2 2" xfId="1920" xr:uid="{00000000-0005-0000-0000-000005850000}"/>
    <cellStyle name="40% - Accent6 4 3 2 2 2" xfId="6188" xr:uid="{00000000-0005-0000-0000-000006850000}"/>
    <cellStyle name="40% - Accent6 4 3 2 2 2 2" xfId="13288" xr:uid="{00000000-0005-0000-0000-000007850000}"/>
    <cellStyle name="40% - Accent6 4 3 2 2 2 3" xfId="20389" xr:uid="{00000000-0005-0000-0000-000008850000}"/>
    <cellStyle name="40% - Accent6 4 3 2 2 2 4" xfId="27491" xr:uid="{00000000-0005-0000-0000-000009850000}"/>
    <cellStyle name="40% - Accent6 4 3 2 2 2 5" xfId="34593" xr:uid="{00000000-0005-0000-0000-00000A850000}"/>
    <cellStyle name="40% - Accent6 4 3 2 2 2 6" xfId="40496" xr:uid="{00000000-0005-0000-0000-00000B850000}"/>
    <cellStyle name="40% - Accent6 4 3 2 2 3" xfId="9028" xr:uid="{00000000-0005-0000-0000-00000C850000}"/>
    <cellStyle name="40% - Accent6 4 3 2 2 4" xfId="16129" xr:uid="{00000000-0005-0000-0000-00000D850000}"/>
    <cellStyle name="40% - Accent6 4 3 2 2 5" xfId="23231" xr:uid="{00000000-0005-0000-0000-00000E850000}"/>
    <cellStyle name="40% - Accent6 4 3 2 2 6" xfId="30333" xr:uid="{00000000-0005-0000-0000-00000F850000}"/>
    <cellStyle name="40% - Accent6 4 3 2 2 7" xfId="40497" xr:uid="{00000000-0005-0000-0000-000010850000}"/>
    <cellStyle name="40% - Accent6 4 3 2 3" xfId="4767" xr:uid="{00000000-0005-0000-0000-000011850000}"/>
    <cellStyle name="40% - Accent6 4 3 2 3 2" xfId="11868" xr:uid="{00000000-0005-0000-0000-000012850000}"/>
    <cellStyle name="40% - Accent6 4 3 2 3 2 2" xfId="40498" xr:uid="{00000000-0005-0000-0000-000013850000}"/>
    <cellStyle name="40% - Accent6 4 3 2 3 3" xfId="18969" xr:uid="{00000000-0005-0000-0000-000014850000}"/>
    <cellStyle name="40% - Accent6 4 3 2 3 4" xfId="26071" xr:uid="{00000000-0005-0000-0000-000015850000}"/>
    <cellStyle name="40% - Accent6 4 3 2 3 5" xfId="33173" xr:uid="{00000000-0005-0000-0000-000016850000}"/>
    <cellStyle name="40% - Accent6 4 3 2 3 6" xfId="40499" xr:uid="{00000000-0005-0000-0000-000017850000}"/>
    <cellStyle name="40% - Accent6 4 3 2 4" xfId="3342" xr:uid="{00000000-0005-0000-0000-000018850000}"/>
    <cellStyle name="40% - Accent6 4 3 2 4 2" xfId="10448" xr:uid="{00000000-0005-0000-0000-000019850000}"/>
    <cellStyle name="40% - Accent6 4 3 2 4 3" xfId="17549" xr:uid="{00000000-0005-0000-0000-00001A850000}"/>
    <cellStyle name="40% - Accent6 4 3 2 4 4" xfId="24651" xr:uid="{00000000-0005-0000-0000-00001B850000}"/>
    <cellStyle name="40% - Accent6 4 3 2 4 5" xfId="31753" xr:uid="{00000000-0005-0000-0000-00001C850000}"/>
    <cellStyle name="40% - Accent6 4 3 2 4 6" xfId="40500" xr:uid="{00000000-0005-0000-0000-00001D850000}"/>
    <cellStyle name="40% - Accent6 4 3 2 5" xfId="7608" xr:uid="{00000000-0005-0000-0000-00001E850000}"/>
    <cellStyle name="40% - Accent6 4 3 2 6" xfId="14709" xr:uid="{00000000-0005-0000-0000-00001F850000}"/>
    <cellStyle name="40% - Accent6 4 3 2 7" xfId="21811" xr:uid="{00000000-0005-0000-0000-000020850000}"/>
    <cellStyle name="40% - Accent6 4 3 2 8" xfId="28913" xr:uid="{00000000-0005-0000-0000-000021850000}"/>
    <cellStyle name="40% - Accent6 4 3 2 9" xfId="40501" xr:uid="{00000000-0005-0000-0000-000022850000}"/>
    <cellStyle name="40% - Accent6 4 3 3" xfId="642" xr:uid="{00000000-0005-0000-0000-000023850000}"/>
    <cellStyle name="40% - Accent6 4 3 3 2" xfId="2133" xr:uid="{00000000-0005-0000-0000-000024850000}"/>
    <cellStyle name="40% - Accent6 4 3 3 2 2" xfId="6401" xr:uid="{00000000-0005-0000-0000-000025850000}"/>
    <cellStyle name="40% - Accent6 4 3 3 2 2 2" xfId="13501" xr:uid="{00000000-0005-0000-0000-000026850000}"/>
    <cellStyle name="40% - Accent6 4 3 3 2 2 3" xfId="20602" xr:uid="{00000000-0005-0000-0000-000027850000}"/>
    <cellStyle name="40% - Accent6 4 3 3 2 2 4" xfId="27704" xr:uid="{00000000-0005-0000-0000-000028850000}"/>
    <cellStyle name="40% - Accent6 4 3 3 2 2 5" xfId="34806" xr:uid="{00000000-0005-0000-0000-000029850000}"/>
    <cellStyle name="40% - Accent6 4 3 3 2 2 6" xfId="40502" xr:uid="{00000000-0005-0000-0000-00002A850000}"/>
    <cellStyle name="40% - Accent6 4 3 3 2 3" xfId="9241" xr:uid="{00000000-0005-0000-0000-00002B850000}"/>
    <cellStyle name="40% - Accent6 4 3 3 2 4" xfId="16342" xr:uid="{00000000-0005-0000-0000-00002C850000}"/>
    <cellStyle name="40% - Accent6 4 3 3 2 5" xfId="23444" xr:uid="{00000000-0005-0000-0000-00002D850000}"/>
    <cellStyle name="40% - Accent6 4 3 3 2 6" xfId="30546" xr:uid="{00000000-0005-0000-0000-00002E850000}"/>
    <cellStyle name="40% - Accent6 4 3 3 2 7" xfId="40503" xr:uid="{00000000-0005-0000-0000-00002F850000}"/>
    <cellStyle name="40% - Accent6 4 3 3 3" xfId="4980" xr:uid="{00000000-0005-0000-0000-000030850000}"/>
    <cellStyle name="40% - Accent6 4 3 3 3 2" xfId="12081" xr:uid="{00000000-0005-0000-0000-000031850000}"/>
    <cellStyle name="40% - Accent6 4 3 3 3 2 2" xfId="40504" xr:uid="{00000000-0005-0000-0000-000032850000}"/>
    <cellStyle name="40% - Accent6 4 3 3 3 3" xfId="19182" xr:uid="{00000000-0005-0000-0000-000033850000}"/>
    <cellStyle name="40% - Accent6 4 3 3 3 4" xfId="26284" xr:uid="{00000000-0005-0000-0000-000034850000}"/>
    <cellStyle name="40% - Accent6 4 3 3 3 5" xfId="33386" xr:uid="{00000000-0005-0000-0000-000035850000}"/>
    <cellStyle name="40% - Accent6 4 3 3 3 6" xfId="40505" xr:uid="{00000000-0005-0000-0000-000036850000}"/>
    <cellStyle name="40% - Accent6 4 3 3 4" xfId="3555" xr:uid="{00000000-0005-0000-0000-000037850000}"/>
    <cellStyle name="40% - Accent6 4 3 3 4 2" xfId="10661" xr:uid="{00000000-0005-0000-0000-000038850000}"/>
    <cellStyle name="40% - Accent6 4 3 3 4 3" xfId="17762" xr:uid="{00000000-0005-0000-0000-000039850000}"/>
    <cellStyle name="40% - Accent6 4 3 3 4 4" xfId="24864" xr:uid="{00000000-0005-0000-0000-00003A850000}"/>
    <cellStyle name="40% - Accent6 4 3 3 4 5" xfId="31966" xr:uid="{00000000-0005-0000-0000-00003B850000}"/>
    <cellStyle name="40% - Accent6 4 3 3 4 6" xfId="40506" xr:uid="{00000000-0005-0000-0000-00003C850000}"/>
    <cellStyle name="40% - Accent6 4 3 3 5" xfId="7821" xr:uid="{00000000-0005-0000-0000-00003D850000}"/>
    <cellStyle name="40% - Accent6 4 3 3 6" xfId="14922" xr:uid="{00000000-0005-0000-0000-00003E850000}"/>
    <cellStyle name="40% - Accent6 4 3 3 7" xfId="22024" xr:uid="{00000000-0005-0000-0000-00003F850000}"/>
    <cellStyle name="40% - Accent6 4 3 3 8" xfId="29126" xr:uid="{00000000-0005-0000-0000-000040850000}"/>
    <cellStyle name="40% - Accent6 4 3 3 9" xfId="40507" xr:uid="{00000000-0005-0000-0000-000041850000}"/>
    <cellStyle name="40% - Accent6 4 3 4" xfId="855" xr:uid="{00000000-0005-0000-0000-000042850000}"/>
    <cellStyle name="40% - Accent6 4 3 4 2" xfId="2346" xr:uid="{00000000-0005-0000-0000-000043850000}"/>
    <cellStyle name="40% - Accent6 4 3 4 2 2" xfId="6614" xr:uid="{00000000-0005-0000-0000-000044850000}"/>
    <cellStyle name="40% - Accent6 4 3 4 2 2 2" xfId="13714" xr:uid="{00000000-0005-0000-0000-000045850000}"/>
    <cellStyle name="40% - Accent6 4 3 4 2 2 3" xfId="20815" xr:uid="{00000000-0005-0000-0000-000046850000}"/>
    <cellStyle name="40% - Accent6 4 3 4 2 2 4" xfId="27917" xr:uid="{00000000-0005-0000-0000-000047850000}"/>
    <cellStyle name="40% - Accent6 4 3 4 2 2 5" xfId="35019" xr:uid="{00000000-0005-0000-0000-000048850000}"/>
    <cellStyle name="40% - Accent6 4 3 4 2 2 6" xfId="40508" xr:uid="{00000000-0005-0000-0000-000049850000}"/>
    <cellStyle name="40% - Accent6 4 3 4 2 3" xfId="9454" xr:uid="{00000000-0005-0000-0000-00004A850000}"/>
    <cellStyle name="40% - Accent6 4 3 4 2 4" xfId="16555" xr:uid="{00000000-0005-0000-0000-00004B850000}"/>
    <cellStyle name="40% - Accent6 4 3 4 2 5" xfId="23657" xr:uid="{00000000-0005-0000-0000-00004C850000}"/>
    <cellStyle name="40% - Accent6 4 3 4 2 6" xfId="30759" xr:uid="{00000000-0005-0000-0000-00004D850000}"/>
    <cellStyle name="40% - Accent6 4 3 4 2 7" xfId="40509" xr:uid="{00000000-0005-0000-0000-00004E850000}"/>
    <cellStyle name="40% - Accent6 4 3 4 3" xfId="5193" xr:uid="{00000000-0005-0000-0000-00004F850000}"/>
    <cellStyle name="40% - Accent6 4 3 4 3 2" xfId="12294" xr:uid="{00000000-0005-0000-0000-000050850000}"/>
    <cellStyle name="40% - Accent6 4 3 4 3 2 2" xfId="40510" xr:uid="{00000000-0005-0000-0000-000051850000}"/>
    <cellStyle name="40% - Accent6 4 3 4 3 3" xfId="19395" xr:uid="{00000000-0005-0000-0000-000052850000}"/>
    <cellStyle name="40% - Accent6 4 3 4 3 4" xfId="26497" xr:uid="{00000000-0005-0000-0000-000053850000}"/>
    <cellStyle name="40% - Accent6 4 3 4 3 5" xfId="33599" xr:uid="{00000000-0005-0000-0000-000054850000}"/>
    <cellStyle name="40% - Accent6 4 3 4 3 6" xfId="40511" xr:uid="{00000000-0005-0000-0000-000055850000}"/>
    <cellStyle name="40% - Accent6 4 3 4 4" xfId="3768" xr:uid="{00000000-0005-0000-0000-000056850000}"/>
    <cellStyle name="40% - Accent6 4 3 4 4 2" xfId="10874" xr:uid="{00000000-0005-0000-0000-000057850000}"/>
    <cellStyle name="40% - Accent6 4 3 4 4 3" xfId="17975" xr:uid="{00000000-0005-0000-0000-000058850000}"/>
    <cellStyle name="40% - Accent6 4 3 4 4 4" xfId="25077" xr:uid="{00000000-0005-0000-0000-000059850000}"/>
    <cellStyle name="40% - Accent6 4 3 4 4 5" xfId="32179" xr:uid="{00000000-0005-0000-0000-00005A850000}"/>
    <cellStyle name="40% - Accent6 4 3 4 4 6" xfId="40512" xr:uid="{00000000-0005-0000-0000-00005B850000}"/>
    <cellStyle name="40% - Accent6 4 3 4 5" xfId="8034" xr:uid="{00000000-0005-0000-0000-00005C850000}"/>
    <cellStyle name="40% - Accent6 4 3 4 6" xfId="15135" xr:uid="{00000000-0005-0000-0000-00005D850000}"/>
    <cellStyle name="40% - Accent6 4 3 4 7" xfId="22237" xr:uid="{00000000-0005-0000-0000-00005E850000}"/>
    <cellStyle name="40% - Accent6 4 3 4 8" xfId="29339" xr:uid="{00000000-0005-0000-0000-00005F850000}"/>
    <cellStyle name="40% - Accent6 4 3 4 9" xfId="40513" xr:uid="{00000000-0005-0000-0000-000060850000}"/>
    <cellStyle name="40% - Accent6 4 3 5" xfId="1210" xr:uid="{00000000-0005-0000-0000-000061850000}"/>
    <cellStyle name="40% - Accent6 4 3 5 2" xfId="2701" xr:uid="{00000000-0005-0000-0000-000062850000}"/>
    <cellStyle name="40% - Accent6 4 3 5 2 2" xfId="6969" xr:uid="{00000000-0005-0000-0000-000063850000}"/>
    <cellStyle name="40% - Accent6 4 3 5 2 2 2" xfId="14069" xr:uid="{00000000-0005-0000-0000-000064850000}"/>
    <cellStyle name="40% - Accent6 4 3 5 2 2 3" xfId="21170" xr:uid="{00000000-0005-0000-0000-000065850000}"/>
    <cellStyle name="40% - Accent6 4 3 5 2 2 4" xfId="28272" xr:uid="{00000000-0005-0000-0000-000066850000}"/>
    <cellStyle name="40% - Accent6 4 3 5 2 2 5" xfId="35374" xr:uid="{00000000-0005-0000-0000-000067850000}"/>
    <cellStyle name="40% - Accent6 4 3 5 2 3" xfId="9809" xr:uid="{00000000-0005-0000-0000-000068850000}"/>
    <cellStyle name="40% - Accent6 4 3 5 2 4" xfId="16910" xr:uid="{00000000-0005-0000-0000-000069850000}"/>
    <cellStyle name="40% - Accent6 4 3 5 2 5" xfId="24012" xr:uid="{00000000-0005-0000-0000-00006A850000}"/>
    <cellStyle name="40% - Accent6 4 3 5 2 6" xfId="31114" xr:uid="{00000000-0005-0000-0000-00006B850000}"/>
    <cellStyle name="40% - Accent6 4 3 5 2 7" xfId="40514" xr:uid="{00000000-0005-0000-0000-00006C850000}"/>
    <cellStyle name="40% - Accent6 4 3 5 3" xfId="5548" xr:uid="{00000000-0005-0000-0000-00006D850000}"/>
    <cellStyle name="40% - Accent6 4 3 5 3 2" xfId="12649" xr:uid="{00000000-0005-0000-0000-00006E850000}"/>
    <cellStyle name="40% - Accent6 4 3 5 3 3" xfId="19750" xr:uid="{00000000-0005-0000-0000-00006F850000}"/>
    <cellStyle name="40% - Accent6 4 3 5 3 4" xfId="26852" xr:uid="{00000000-0005-0000-0000-000070850000}"/>
    <cellStyle name="40% - Accent6 4 3 5 3 5" xfId="33954" xr:uid="{00000000-0005-0000-0000-000071850000}"/>
    <cellStyle name="40% - Accent6 4 3 5 4" xfId="4123" xr:uid="{00000000-0005-0000-0000-000072850000}"/>
    <cellStyle name="40% - Accent6 4 3 5 4 2" xfId="11229" xr:uid="{00000000-0005-0000-0000-000073850000}"/>
    <cellStyle name="40% - Accent6 4 3 5 4 3" xfId="18330" xr:uid="{00000000-0005-0000-0000-000074850000}"/>
    <cellStyle name="40% - Accent6 4 3 5 4 4" xfId="25432" xr:uid="{00000000-0005-0000-0000-000075850000}"/>
    <cellStyle name="40% - Accent6 4 3 5 4 5" xfId="32534" xr:uid="{00000000-0005-0000-0000-000076850000}"/>
    <cellStyle name="40% - Accent6 4 3 5 5" xfId="8389" xr:uid="{00000000-0005-0000-0000-000077850000}"/>
    <cellStyle name="40% - Accent6 4 3 5 6" xfId="15490" xr:uid="{00000000-0005-0000-0000-000078850000}"/>
    <cellStyle name="40% - Accent6 4 3 5 7" xfId="22592" xr:uid="{00000000-0005-0000-0000-000079850000}"/>
    <cellStyle name="40% - Accent6 4 3 5 8" xfId="29694" xr:uid="{00000000-0005-0000-0000-00007A850000}"/>
    <cellStyle name="40% - Accent6 4 3 5 9" xfId="40515" xr:uid="{00000000-0005-0000-0000-00007B850000}"/>
    <cellStyle name="40% - Accent6 4 3 6" xfId="1423" xr:uid="{00000000-0005-0000-0000-00007C850000}"/>
    <cellStyle name="40% - Accent6 4 3 6 2" xfId="2914" xr:uid="{00000000-0005-0000-0000-00007D850000}"/>
    <cellStyle name="40% - Accent6 4 3 6 2 2" xfId="7182" xr:uid="{00000000-0005-0000-0000-00007E850000}"/>
    <cellStyle name="40% - Accent6 4 3 6 2 2 2" xfId="14282" xr:uid="{00000000-0005-0000-0000-00007F850000}"/>
    <cellStyle name="40% - Accent6 4 3 6 2 2 3" xfId="21383" xr:uid="{00000000-0005-0000-0000-000080850000}"/>
    <cellStyle name="40% - Accent6 4 3 6 2 2 4" xfId="28485" xr:uid="{00000000-0005-0000-0000-000081850000}"/>
    <cellStyle name="40% - Accent6 4 3 6 2 2 5" xfId="35587" xr:uid="{00000000-0005-0000-0000-000082850000}"/>
    <cellStyle name="40% - Accent6 4 3 6 2 3" xfId="10022" xr:uid="{00000000-0005-0000-0000-000083850000}"/>
    <cellStyle name="40% - Accent6 4 3 6 2 4" xfId="17123" xr:uid="{00000000-0005-0000-0000-000084850000}"/>
    <cellStyle name="40% - Accent6 4 3 6 2 5" xfId="24225" xr:uid="{00000000-0005-0000-0000-000085850000}"/>
    <cellStyle name="40% - Accent6 4 3 6 2 6" xfId="31327" xr:uid="{00000000-0005-0000-0000-000086850000}"/>
    <cellStyle name="40% - Accent6 4 3 6 2 7" xfId="40516" xr:uid="{00000000-0005-0000-0000-000087850000}"/>
    <cellStyle name="40% - Accent6 4 3 6 3" xfId="5761" xr:uid="{00000000-0005-0000-0000-000088850000}"/>
    <cellStyle name="40% - Accent6 4 3 6 3 2" xfId="12862" xr:uid="{00000000-0005-0000-0000-000089850000}"/>
    <cellStyle name="40% - Accent6 4 3 6 3 3" xfId="19963" xr:uid="{00000000-0005-0000-0000-00008A850000}"/>
    <cellStyle name="40% - Accent6 4 3 6 3 4" xfId="27065" xr:uid="{00000000-0005-0000-0000-00008B850000}"/>
    <cellStyle name="40% - Accent6 4 3 6 3 5" xfId="34167" xr:uid="{00000000-0005-0000-0000-00008C850000}"/>
    <cellStyle name="40% - Accent6 4 3 6 4" xfId="4336" xr:uid="{00000000-0005-0000-0000-00008D850000}"/>
    <cellStyle name="40% - Accent6 4 3 6 4 2" xfId="11442" xr:uid="{00000000-0005-0000-0000-00008E850000}"/>
    <cellStyle name="40% - Accent6 4 3 6 4 3" xfId="18543" xr:uid="{00000000-0005-0000-0000-00008F850000}"/>
    <cellStyle name="40% - Accent6 4 3 6 4 4" xfId="25645" xr:uid="{00000000-0005-0000-0000-000090850000}"/>
    <cellStyle name="40% - Accent6 4 3 6 4 5" xfId="32747" xr:uid="{00000000-0005-0000-0000-000091850000}"/>
    <cellStyle name="40% - Accent6 4 3 6 5" xfId="8602" xr:uid="{00000000-0005-0000-0000-000092850000}"/>
    <cellStyle name="40% - Accent6 4 3 6 6" xfId="15703" xr:uid="{00000000-0005-0000-0000-000093850000}"/>
    <cellStyle name="40% - Accent6 4 3 6 7" xfId="22805" xr:uid="{00000000-0005-0000-0000-000094850000}"/>
    <cellStyle name="40% - Accent6 4 3 6 8" xfId="29907" xr:uid="{00000000-0005-0000-0000-000095850000}"/>
    <cellStyle name="40% - Accent6 4 3 6 9" xfId="40517" xr:uid="{00000000-0005-0000-0000-000096850000}"/>
    <cellStyle name="40% - Accent6 4 3 7" xfId="1707" xr:uid="{00000000-0005-0000-0000-000097850000}"/>
    <cellStyle name="40% - Accent6 4 3 7 2" xfId="5975" xr:uid="{00000000-0005-0000-0000-000098850000}"/>
    <cellStyle name="40% - Accent6 4 3 7 2 2" xfId="13075" xr:uid="{00000000-0005-0000-0000-000099850000}"/>
    <cellStyle name="40% - Accent6 4 3 7 2 3" xfId="20176" xr:uid="{00000000-0005-0000-0000-00009A850000}"/>
    <cellStyle name="40% - Accent6 4 3 7 2 4" xfId="27278" xr:uid="{00000000-0005-0000-0000-00009B850000}"/>
    <cellStyle name="40% - Accent6 4 3 7 2 5" xfId="34380" xr:uid="{00000000-0005-0000-0000-00009C850000}"/>
    <cellStyle name="40% - Accent6 4 3 7 3" xfId="8815" xr:uid="{00000000-0005-0000-0000-00009D850000}"/>
    <cellStyle name="40% - Accent6 4 3 7 4" xfId="15916" xr:uid="{00000000-0005-0000-0000-00009E850000}"/>
    <cellStyle name="40% - Accent6 4 3 7 5" xfId="23018" xr:uid="{00000000-0005-0000-0000-00009F850000}"/>
    <cellStyle name="40% - Accent6 4 3 7 6" xfId="30120" xr:uid="{00000000-0005-0000-0000-0000A0850000}"/>
    <cellStyle name="40% - Accent6 4 3 7 7" xfId="40518" xr:uid="{00000000-0005-0000-0000-0000A1850000}"/>
    <cellStyle name="40% - Accent6 4 3 8" xfId="4554" xr:uid="{00000000-0005-0000-0000-0000A2850000}"/>
    <cellStyle name="40% - Accent6 4 3 8 2" xfId="11655" xr:uid="{00000000-0005-0000-0000-0000A3850000}"/>
    <cellStyle name="40% - Accent6 4 3 8 3" xfId="18756" xr:uid="{00000000-0005-0000-0000-0000A4850000}"/>
    <cellStyle name="40% - Accent6 4 3 8 4" xfId="25858" xr:uid="{00000000-0005-0000-0000-0000A5850000}"/>
    <cellStyle name="40% - Accent6 4 3 8 5" xfId="32960" xr:uid="{00000000-0005-0000-0000-0000A6850000}"/>
    <cellStyle name="40% - Accent6 4 3 9" xfId="3129" xr:uid="{00000000-0005-0000-0000-0000A7850000}"/>
    <cellStyle name="40% - Accent6 4 3 9 2" xfId="10235" xr:uid="{00000000-0005-0000-0000-0000A8850000}"/>
    <cellStyle name="40% - Accent6 4 3 9 3" xfId="17336" xr:uid="{00000000-0005-0000-0000-0000A9850000}"/>
    <cellStyle name="40% - Accent6 4 3 9 4" xfId="24438" xr:uid="{00000000-0005-0000-0000-0000AA850000}"/>
    <cellStyle name="40% - Accent6 4 3 9 5" xfId="31540" xr:uid="{00000000-0005-0000-0000-0000AB850000}"/>
    <cellStyle name="40% - Accent6 4 4" xfId="358" xr:uid="{00000000-0005-0000-0000-0000AC850000}"/>
    <cellStyle name="40% - Accent6 4 4 10" xfId="40519" xr:uid="{00000000-0005-0000-0000-0000AD850000}"/>
    <cellStyle name="40% - Accent6 4 4 2" xfId="1139" xr:uid="{00000000-0005-0000-0000-0000AE850000}"/>
    <cellStyle name="40% - Accent6 4 4 2 2" xfId="2630" xr:uid="{00000000-0005-0000-0000-0000AF850000}"/>
    <cellStyle name="40% - Accent6 4 4 2 2 2" xfId="6898" xr:uid="{00000000-0005-0000-0000-0000B0850000}"/>
    <cellStyle name="40% - Accent6 4 4 2 2 2 2" xfId="13998" xr:uid="{00000000-0005-0000-0000-0000B1850000}"/>
    <cellStyle name="40% - Accent6 4 4 2 2 2 3" xfId="21099" xr:uid="{00000000-0005-0000-0000-0000B2850000}"/>
    <cellStyle name="40% - Accent6 4 4 2 2 2 4" xfId="28201" xr:uid="{00000000-0005-0000-0000-0000B3850000}"/>
    <cellStyle name="40% - Accent6 4 4 2 2 2 5" xfId="35303" xr:uid="{00000000-0005-0000-0000-0000B4850000}"/>
    <cellStyle name="40% - Accent6 4 4 2 2 3" xfId="9738" xr:uid="{00000000-0005-0000-0000-0000B5850000}"/>
    <cellStyle name="40% - Accent6 4 4 2 2 4" xfId="16839" xr:uid="{00000000-0005-0000-0000-0000B6850000}"/>
    <cellStyle name="40% - Accent6 4 4 2 2 5" xfId="23941" xr:uid="{00000000-0005-0000-0000-0000B7850000}"/>
    <cellStyle name="40% - Accent6 4 4 2 2 6" xfId="31043" xr:uid="{00000000-0005-0000-0000-0000B8850000}"/>
    <cellStyle name="40% - Accent6 4 4 2 2 7" xfId="40520" xr:uid="{00000000-0005-0000-0000-0000B9850000}"/>
    <cellStyle name="40% - Accent6 4 4 2 3" xfId="5477" xr:uid="{00000000-0005-0000-0000-0000BA850000}"/>
    <cellStyle name="40% - Accent6 4 4 2 3 2" xfId="12578" xr:uid="{00000000-0005-0000-0000-0000BB850000}"/>
    <cellStyle name="40% - Accent6 4 4 2 3 3" xfId="19679" xr:uid="{00000000-0005-0000-0000-0000BC850000}"/>
    <cellStyle name="40% - Accent6 4 4 2 3 4" xfId="26781" xr:uid="{00000000-0005-0000-0000-0000BD850000}"/>
    <cellStyle name="40% - Accent6 4 4 2 3 5" xfId="33883" xr:uid="{00000000-0005-0000-0000-0000BE850000}"/>
    <cellStyle name="40% - Accent6 4 4 2 4" xfId="4052" xr:uid="{00000000-0005-0000-0000-0000BF850000}"/>
    <cellStyle name="40% - Accent6 4 4 2 4 2" xfId="11158" xr:uid="{00000000-0005-0000-0000-0000C0850000}"/>
    <cellStyle name="40% - Accent6 4 4 2 4 3" xfId="18259" xr:uid="{00000000-0005-0000-0000-0000C1850000}"/>
    <cellStyle name="40% - Accent6 4 4 2 4 4" xfId="25361" xr:uid="{00000000-0005-0000-0000-0000C2850000}"/>
    <cellStyle name="40% - Accent6 4 4 2 4 5" xfId="32463" xr:uid="{00000000-0005-0000-0000-0000C3850000}"/>
    <cellStyle name="40% - Accent6 4 4 2 5" xfId="8318" xr:uid="{00000000-0005-0000-0000-0000C4850000}"/>
    <cellStyle name="40% - Accent6 4 4 2 6" xfId="15419" xr:uid="{00000000-0005-0000-0000-0000C5850000}"/>
    <cellStyle name="40% - Accent6 4 4 2 7" xfId="22521" xr:uid="{00000000-0005-0000-0000-0000C6850000}"/>
    <cellStyle name="40% - Accent6 4 4 2 8" xfId="29623" xr:uid="{00000000-0005-0000-0000-0000C7850000}"/>
    <cellStyle name="40% - Accent6 4 4 2 9" xfId="40521" xr:uid="{00000000-0005-0000-0000-0000C8850000}"/>
    <cellStyle name="40% - Accent6 4 4 3" xfId="1849" xr:uid="{00000000-0005-0000-0000-0000C9850000}"/>
    <cellStyle name="40% - Accent6 4 4 3 2" xfId="6117" xr:uid="{00000000-0005-0000-0000-0000CA850000}"/>
    <cellStyle name="40% - Accent6 4 4 3 2 2" xfId="13217" xr:uid="{00000000-0005-0000-0000-0000CB850000}"/>
    <cellStyle name="40% - Accent6 4 4 3 2 3" xfId="20318" xr:uid="{00000000-0005-0000-0000-0000CC850000}"/>
    <cellStyle name="40% - Accent6 4 4 3 2 4" xfId="27420" xr:uid="{00000000-0005-0000-0000-0000CD850000}"/>
    <cellStyle name="40% - Accent6 4 4 3 2 5" xfId="34522" xr:uid="{00000000-0005-0000-0000-0000CE850000}"/>
    <cellStyle name="40% - Accent6 4 4 3 2 6" xfId="40522" xr:uid="{00000000-0005-0000-0000-0000CF850000}"/>
    <cellStyle name="40% - Accent6 4 4 3 3" xfId="8957" xr:uid="{00000000-0005-0000-0000-0000D0850000}"/>
    <cellStyle name="40% - Accent6 4 4 3 4" xfId="16058" xr:uid="{00000000-0005-0000-0000-0000D1850000}"/>
    <cellStyle name="40% - Accent6 4 4 3 5" xfId="23160" xr:uid="{00000000-0005-0000-0000-0000D2850000}"/>
    <cellStyle name="40% - Accent6 4 4 3 6" xfId="30262" xr:uid="{00000000-0005-0000-0000-0000D3850000}"/>
    <cellStyle name="40% - Accent6 4 4 3 7" xfId="40523" xr:uid="{00000000-0005-0000-0000-0000D4850000}"/>
    <cellStyle name="40% - Accent6 4 4 4" xfId="4696" xr:uid="{00000000-0005-0000-0000-0000D5850000}"/>
    <cellStyle name="40% - Accent6 4 4 4 2" xfId="11797" xr:uid="{00000000-0005-0000-0000-0000D6850000}"/>
    <cellStyle name="40% - Accent6 4 4 4 3" xfId="18898" xr:uid="{00000000-0005-0000-0000-0000D7850000}"/>
    <cellStyle name="40% - Accent6 4 4 4 4" xfId="26000" xr:uid="{00000000-0005-0000-0000-0000D8850000}"/>
    <cellStyle name="40% - Accent6 4 4 4 5" xfId="33102" xr:uid="{00000000-0005-0000-0000-0000D9850000}"/>
    <cellStyle name="40% - Accent6 4 4 4 6" xfId="40524" xr:uid="{00000000-0005-0000-0000-0000DA850000}"/>
    <cellStyle name="40% - Accent6 4 4 5" xfId="3271" xr:uid="{00000000-0005-0000-0000-0000DB850000}"/>
    <cellStyle name="40% - Accent6 4 4 5 2" xfId="10377" xr:uid="{00000000-0005-0000-0000-0000DC850000}"/>
    <cellStyle name="40% - Accent6 4 4 5 3" xfId="17478" xr:uid="{00000000-0005-0000-0000-0000DD850000}"/>
    <cellStyle name="40% - Accent6 4 4 5 4" xfId="24580" xr:uid="{00000000-0005-0000-0000-0000DE850000}"/>
    <cellStyle name="40% - Accent6 4 4 5 5" xfId="31682" xr:uid="{00000000-0005-0000-0000-0000DF850000}"/>
    <cellStyle name="40% - Accent6 4 4 6" xfId="7537" xr:uid="{00000000-0005-0000-0000-0000E0850000}"/>
    <cellStyle name="40% - Accent6 4 4 7" xfId="14638" xr:uid="{00000000-0005-0000-0000-0000E1850000}"/>
    <cellStyle name="40% - Accent6 4 4 8" xfId="21740" xr:uid="{00000000-0005-0000-0000-0000E2850000}"/>
    <cellStyle name="40% - Accent6 4 4 9" xfId="28842" xr:uid="{00000000-0005-0000-0000-0000E3850000}"/>
    <cellStyle name="40% - Accent6 4 5" xfId="571" xr:uid="{00000000-0005-0000-0000-0000E4850000}"/>
    <cellStyle name="40% - Accent6 4 5 2" xfId="2062" xr:uid="{00000000-0005-0000-0000-0000E5850000}"/>
    <cellStyle name="40% - Accent6 4 5 2 2" xfId="6330" xr:uid="{00000000-0005-0000-0000-0000E6850000}"/>
    <cellStyle name="40% - Accent6 4 5 2 2 2" xfId="13430" xr:uid="{00000000-0005-0000-0000-0000E7850000}"/>
    <cellStyle name="40% - Accent6 4 5 2 2 3" xfId="20531" xr:uid="{00000000-0005-0000-0000-0000E8850000}"/>
    <cellStyle name="40% - Accent6 4 5 2 2 4" xfId="27633" xr:uid="{00000000-0005-0000-0000-0000E9850000}"/>
    <cellStyle name="40% - Accent6 4 5 2 2 5" xfId="34735" xr:uid="{00000000-0005-0000-0000-0000EA850000}"/>
    <cellStyle name="40% - Accent6 4 5 2 2 6" xfId="40525" xr:uid="{00000000-0005-0000-0000-0000EB850000}"/>
    <cellStyle name="40% - Accent6 4 5 2 3" xfId="9170" xr:uid="{00000000-0005-0000-0000-0000EC850000}"/>
    <cellStyle name="40% - Accent6 4 5 2 4" xfId="16271" xr:uid="{00000000-0005-0000-0000-0000ED850000}"/>
    <cellStyle name="40% - Accent6 4 5 2 5" xfId="23373" xr:uid="{00000000-0005-0000-0000-0000EE850000}"/>
    <cellStyle name="40% - Accent6 4 5 2 6" xfId="30475" xr:uid="{00000000-0005-0000-0000-0000EF850000}"/>
    <cellStyle name="40% - Accent6 4 5 2 7" xfId="40526" xr:uid="{00000000-0005-0000-0000-0000F0850000}"/>
    <cellStyle name="40% - Accent6 4 5 3" xfId="4909" xr:uid="{00000000-0005-0000-0000-0000F1850000}"/>
    <cellStyle name="40% - Accent6 4 5 3 2" xfId="12010" xr:uid="{00000000-0005-0000-0000-0000F2850000}"/>
    <cellStyle name="40% - Accent6 4 5 3 2 2" xfId="40527" xr:uid="{00000000-0005-0000-0000-0000F3850000}"/>
    <cellStyle name="40% - Accent6 4 5 3 3" xfId="19111" xr:uid="{00000000-0005-0000-0000-0000F4850000}"/>
    <cellStyle name="40% - Accent6 4 5 3 4" xfId="26213" xr:uid="{00000000-0005-0000-0000-0000F5850000}"/>
    <cellStyle name="40% - Accent6 4 5 3 5" xfId="33315" xr:uid="{00000000-0005-0000-0000-0000F6850000}"/>
    <cellStyle name="40% - Accent6 4 5 3 6" xfId="40528" xr:uid="{00000000-0005-0000-0000-0000F7850000}"/>
    <cellStyle name="40% - Accent6 4 5 4" xfId="3484" xr:uid="{00000000-0005-0000-0000-0000F8850000}"/>
    <cellStyle name="40% - Accent6 4 5 4 2" xfId="10590" xr:uid="{00000000-0005-0000-0000-0000F9850000}"/>
    <cellStyle name="40% - Accent6 4 5 4 3" xfId="17691" xr:uid="{00000000-0005-0000-0000-0000FA850000}"/>
    <cellStyle name="40% - Accent6 4 5 4 4" xfId="24793" xr:uid="{00000000-0005-0000-0000-0000FB850000}"/>
    <cellStyle name="40% - Accent6 4 5 4 5" xfId="31895" xr:uid="{00000000-0005-0000-0000-0000FC850000}"/>
    <cellStyle name="40% - Accent6 4 5 4 6" xfId="40529" xr:uid="{00000000-0005-0000-0000-0000FD850000}"/>
    <cellStyle name="40% - Accent6 4 5 5" xfId="7750" xr:uid="{00000000-0005-0000-0000-0000FE850000}"/>
    <cellStyle name="40% - Accent6 4 5 6" xfId="14851" xr:uid="{00000000-0005-0000-0000-0000FF850000}"/>
    <cellStyle name="40% - Accent6 4 5 7" xfId="21953" xr:uid="{00000000-0005-0000-0000-000000860000}"/>
    <cellStyle name="40% - Accent6 4 5 8" xfId="29055" xr:uid="{00000000-0005-0000-0000-000001860000}"/>
    <cellStyle name="40% - Accent6 4 5 9" xfId="40530" xr:uid="{00000000-0005-0000-0000-000002860000}"/>
    <cellStyle name="40% - Accent6 4 6" xfId="784" xr:uid="{00000000-0005-0000-0000-000003860000}"/>
    <cellStyle name="40% - Accent6 4 6 2" xfId="2275" xr:uid="{00000000-0005-0000-0000-000004860000}"/>
    <cellStyle name="40% - Accent6 4 6 2 2" xfId="6543" xr:uid="{00000000-0005-0000-0000-000005860000}"/>
    <cellStyle name="40% - Accent6 4 6 2 2 2" xfId="13643" xr:uid="{00000000-0005-0000-0000-000006860000}"/>
    <cellStyle name="40% - Accent6 4 6 2 2 3" xfId="20744" xr:uid="{00000000-0005-0000-0000-000007860000}"/>
    <cellStyle name="40% - Accent6 4 6 2 2 4" xfId="27846" xr:uid="{00000000-0005-0000-0000-000008860000}"/>
    <cellStyle name="40% - Accent6 4 6 2 2 5" xfId="34948" xr:uid="{00000000-0005-0000-0000-000009860000}"/>
    <cellStyle name="40% - Accent6 4 6 2 2 6" xfId="40531" xr:uid="{00000000-0005-0000-0000-00000A860000}"/>
    <cellStyle name="40% - Accent6 4 6 2 3" xfId="9383" xr:uid="{00000000-0005-0000-0000-00000B860000}"/>
    <cellStyle name="40% - Accent6 4 6 2 4" xfId="16484" xr:uid="{00000000-0005-0000-0000-00000C860000}"/>
    <cellStyle name="40% - Accent6 4 6 2 5" xfId="23586" xr:uid="{00000000-0005-0000-0000-00000D860000}"/>
    <cellStyle name="40% - Accent6 4 6 2 6" xfId="30688" xr:uid="{00000000-0005-0000-0000-00000E860000}"/>
    <cellStyle name="40% - Accent6 4 6 2 7" xfId="40532" xr:uid="{00000000-0005-0000-0000-00000F860000}"/>
    <cellStyle name="40% - Accent6 4 6 3" xfId="5122" xr:uid="{00000000-0005-0000-0000-000010860000}"/>
    <cellStyle name="40% - Accent6 4 6 3 2" xfId="12223" xr:uid="{00000000-0005-0000-0000-000011860000}"/>
    <cellStyle name="40% - Accent6 4 6 3 2 2" xfId="40533" xr:uid="{00000000-0005-0000-0000-000012860000}"/>
    <cellStyle name="40% - Accent6 4 6 3 3" xfId="19324" xr:uid="{00000000-0005-0000-0000-000013860000}"/>
    <cellStyle name="40% - Accent6 4 6 3 4" xfId="26426" xr:uid="{00000000-0005-0000-0000-000014860000}"/>
    <cellStyle name="40% - Accent6 4 6 3 5" xfId="33528" xr:uid="{00000000-0005-0000-0000-000015860000}"/>
    <cellStyle name="40% - Accent6 4 6 3 6" xfId="40534" xr:uid="{00000000-0005-0000-0000-000016860000}"/>
    <cellStyle name="40% - Accent6 4 6 4" xfId="3697" xr:uid="{00000000-0005-0000-0000-000017860000}"/>
    <cellStyle name="40% - Accent6 4 6 4 2" xfId="10803" xr:uid="{00000000-0005-0000-0000-000018860000}"/>
    <cellStyle name="40% - Accent6 4 6 4 3" xfId="17904" xr:uid="{00000000-0005-0000-0000-000019860000}"/>
    <cellStyle name="40% - Accent6 4 6 4 4" xfId="25006" xr:uid="{00000000-0005-0000-0000-00001A860000}"/>
    <cellStyle name="40% - Accent6 4 6 4 5" xfId="32108" xr:uid="{00000000-0005-0000-0000-00001B860000}"/>
    <cellStyle name="40% - Accent6 4 6 4 6" xfId="40535" xr:uid="{00000000-0005-0000-0000-00001C860000}"/>
    <cellStyle name="40% - Accent6 4 6 5" xfId="7963" xr:uid="{00000000-0005-0000-0000-00001D860000}"/>
    <cellStyle name="40% - Accent6 4 6 6" xfId="15064" xr:uid="{00000000-0005-0000-0000-00001E860000}"/>
    <cellStyle name="40% - Accent6 4 6 7" xfId="22166" xr:uid="{00000000-0005-0000-0000-00001F860000}"/>
    <cellStyle name="40% - Accent6 4 6 8" xfId="29268" xr:uid="{00000000-0005-0000-0000-000020860000}"/>
    <cellStyle name="40% - Accent6 4 6 9" xfId="40536" xr:uid="{00000000-0005-0000-0000-000021860000}"/>
    <cellStyle name="40% - Accent6 4 7" xfId="997" xr:uid="{00000000-0005-0000-0000-000022860000}"/>
    <cellStyle name="40% - Accent6 4 7 2" xfId="2488" xr:uid="{00000000-0005-0000-0000-000023860000}"/>
    <cellStyle name="40% - Accent6 4 7 2 2" xfId="6756" xr:uid="{00000000-0005-0000-0000-000024860000}"/>
    <cellStyle name="40% - Accent6 4 7 2 2 2" xfId="13856" xr:uid="{00000000-0005-0000-0000-000025860000}"/>
    <cellStyle name="40% - Accent6 4 7 2 2 3" xfId="20957" xr:uid="{00000000-0005-0000-0000-000026860000}"/>
    <cellStyle name="40% - Accent6 4 7 2 2 4" xfId="28059" xr:uid="{00000000-0005-0000-0000-000027860000}"/>
    <cellStyle name="40% - Accent6 4 7 2 2 5" xfId="35161" xr:uid="{00000000-0005-0000-0000-000028860000}"/>
    <cellStyle name="40% - Accent6 4 7 2 3" xfId="9596" xr:uid="{00000000-0005-0000-0000-000029860000}"/>
    <cellStyle name="40% - Accent6 4 7 2 4" xfId="16697" xr:uid="{00000000-0005-0000-0000-00002A860000}"/>
    <cellStyle name="40% - Accent6 4 7 2 5" xfId="23799" xr:uid="{00000000-0005-0000-0000-00002B860000}"/>
    <cellStyle name="40% - Accent6 4 7 2 6" xfId="30901" xr:uid="{00000000-0005-0000-0000-00002C860000}"/>
    <cellStyle name="40% - Accent6 4 7 2 7" xfId="40537" xr:uid="{00000000-0005-0000-0000-00002D860000}"/>
    <cellStyle name="40% - Accent6 4 7 3" xfId="5335" xr:uid="{00000000-0005-0000-0000-00002E860000}"/>
    <cellStyle name="40% - Accent6 4 7 3 2" xfId="12436" xr:uid="{00000000-0005-0000-0000-00002F860000}"/>
    <cellStyle name="40% - Accent6 4 7 3 3" xfId="19537" xr:uid="{00000000-0005-0000-0000-000030860000}"/>
    <cellStyle name="40% - Accent6 4 7 3 4" xfId="26639" xr:uid="{00000000-0005-0000-0000-000031860000}"/>
    <cellStyle name="40% - Accent6 4 7 3 5" xfId="33741" xr:uid="{00000000-0005-0000-0000-000032860000}"/>
    <cellStyle name="40% - Accent6 4 7 4" xfId="3910" xr:uid="{00000000-0005-0000-0000-000033860000}"/>
    <cellStyle name="40% - Accent6 4 7 4 2" xfId="11016" xr:uid="{00000000-0005-0000-0000-000034860000}"/>
    <cellStyle name="40% - Accent6 4 7 4 3" xfId="18117" xr:uid="{00000000-0005-0000-0000-000035860000}"/>
    <cellStyle name="40% - Accent6 4 7 4 4" xfId="25219" xr:uid="{00000000-0005-0000-0000-000036860000}"/>
    <cellStyle name="40% - Accent6 4 7 4 5" xfId="32321" xr:uid="{00000000-0005-0000-0000-000037860000}"/>
    <cellStyle name="40% - Accent6 4 7 5" xfId="8176" xr:uid="{00000000-0005-0000-0000-000038860000}"/>
    <cellStyle name="40% - Accent6 4 7 6" xfId="15277" xr:uid="{00000000-0005-0000-0000-000039860000}"/>
    <cellStyle name="40% - Accent6 4 7 7" xfId="22379" xr:uid="{00000000-0005-0000-0000-00003A860000}"/>
    <cellStyle name="40% - Accent6 4 7 8" xfId="29481" xr:uid="{00000000-0005-0000-0000-00003B860000}"/>
    <cellStyle name="40% - Accent6 4 7 9" xfId="40538" xr:uid="{00000000-0005-0000-0000-00003C860000}"/>
    <cellStyle name="40% - Accent6 4 8" xfId="1352" xr:uid="{00000000-0005-0000-0000-00003D860000}"/>
    <cellStyle name="40% - Accent6 4 8 2" xfId="2843" xr:uid="{00000000-0005-0000-0000-00003E860000}"/>
    <cellStyle name="40% - Accent6 4 8 2 2" xfId="7111" xr:uid="{00000000-0005-0000-0000-00003F860000}"/>
    <cellStyle name="40% - Accent6 4 8 2 2 2" xfId="14211" xr:uid="{00000000-0005-0000-0000-000040860000}"/>
    <cellStyle name="40% - Accent6 4 8 2 2 3" xfId="21312" xr:uid="{00000000-0005-0000-0000-000041860000}"/>
    <cellStyle name="40% - Accent6 4 8 2 2 4" xfId="28414" xr:uid="{00000000-0005-0000-0000-000042860000}"/>
    <cellStyle name="40% - Accent6 4 8 2 2 5" xfId="35516" xr:uid="{00000000-0005-0000-0000-000043860000}"/>
    <cellStyle name="40% - Accent6 4 8 2 3" xfId="9951" xr:uid="{00000000-0005-0000-0000-000044860000}"/>
    <cellStyle name="40% - Accent6 4 8 2 4" xfId="17052" xr:uid="{00000000-0005-0000-0000-000045860000}"/>
    <cellStyle name="40% - Accent6 4 8 2 5" xfId="24154" xr:uid="{00000000-0005-0000-0000-000046860000}"/>
    <cellStyle name="40% - Accent6 4 8 2 6" xfId="31256" xr:uid="{00000000-0005-0000-0000-000047860000}"/>
    <cellStyle name="40% - Accent6 4 8 2 7" xfId="40539" xr:uid="{00000000-0005-0000-0000-000048860000}"/>
    <cellStyle name="40% - Accent6 4 8 3" xfId="5690" xr:uid="{00000000-0005-0000-0000-000049860000}"/>
    <cellStyle name="40% - Accent6 4 8 3 2" xfId="12791" xr:uid="{00000000-0005-0000-0000-00004A860000}"/>
    <cellStyle name="40% - Accent6 4 8 3 3" xfId="19892" xr:uid="{00000000-0005-0000-0000-00004B860000}"/>
    <cellStyle name="40% - Accent6 4 8 3 4" xfId="26994" xr:uid="{00000000-0005-0000-0000-00004C860000}"/>
    <cellStyle name="40% - Accent6 4 8 3 5" xfId="34096" xr:uid="{00000000-0005-0000-0000-00004D860000}"/>
    <cellStyle name="40% - Accent6 4 8 4" xfId="4265" xr:uid="{00000000-0005-0000-0000-00004E860000}"/>
    <cellStyle name="40% - Accent6 4 8 4 2" xfId="11371" xr:uid="{00000000-0005-0000-0000-00004F860000}"/>
    <cellStyle name="40% - Accent6 4 8 4 3" xfId="18472" xr:uid="{00000000-0005-0000-0000-000050860000}"/>
    <cellStyle name="40% - Accent6 4 8 4 4" xfId="25574" xr:uid="{00000000-0005-0000-0000-000051860000}"/>
    <cellStyle name="40% - Accent6 4 8 4 5" xfId="32676" xr:uid="{00000000-0005-0000-0000-000052860000}"/>
    <cellStyle name="40% - Accent6 4 8 5" xfId="8531" xr:uid="{00000000-0005-0000-0000-000053860000}"/>
    <cellStyle name="40% - Accent6 4 8 6" xfId="15632" xr:uid="{00000000-0005-0000-0000-000054860000}"/>
    <cellStyle name="40% - Accent6 4 8 7" xfId="22734" xr:uid="{00000000-0005-0000-0000-000055860000}"/>
    <cellStyle name="40% - Accent6 4 8 8" xfId="29836" xr:uid="{00000000-0005-0000-0000-000056860000}"/>
    <cellStyle name="40% - Accent6 4 8 9" xfId="40540" xr:uid="{00000000-0005-0000-0000-000057860000}"/>
    <cellStyle name="40% - Accent6 4 9" xfId="1636" xr:uid="{00000000-0005-0000-0000-000058860000}"/>
    <cellStyle name="40% - Accent6 4 9 2" xfId="5904" xr:uid="{00000000-0005-0000-0000-000059860000}"/>
    <cellStyle name="40% - Accent6 4 9 2 2" xfId="13004" xr:uid="{00000000-0005-0000-0000-00005A860000}"/>
    <cellStyle name="40% - Accent6 4 9 2 3" xfId="20105" xr:uid="{00000000-0005-0000-0000-00005B860000}"/>
    <cellStyle name="40% - Accent6 4 9 2 4" xfId="27207" xr:uid="{00000000-0005-0000-0000-00005C860000}"/>
    <cellStyle name="40% - Accent6 4 9 2 5" xfId="34309" xr:uid="{00000000-0005-0000-0000-00005D860000}"/>
    <cellStyle name="40% - Accent6 4 9 3" xfId="8744" xr:uid="{00000000-0005-0000-0000-00005E860000}"/>
    <cellStyle name="40% - Accent6 4 9 4" xfId="15845" xr:uid="{00000000-0005-0000-0000-00005F860000}"/>
    <cellStyle name="40% - Accent6 4 9 5" xfId="22947" xr:uid="{00000000-0005-0000-0000-000060860000}"/>
    <cellStyle name="40% - Accent6 4 9 6" xfId="30049" xr:uid="{00000000-0005-0000-0000-000061860000}"/>
    <cellStyle name="40% - Accent6 4 9 7" xfId="40541" xr:uid="{00000000-0005-0000-0000-000062860000}"/>
    <cellStyle name="40% - Accent6 5" xfId="228" xr:uid="{00000000-0005-0000-0000-000063860000}"/>
    <cellStyle name="40% - Accent6 5 10" xfId="7407" xr:uid="{00000000-0005-0000-0000-000064860000}"/>
    <cellStyle name="40% - Accent6 5 11" xfId="14508" xr:uid="{00000000-0005-0000-0000-000065860000}"/>
    <cellStyle name="40% - Accent6 5 12" xfId="21610" xr:uid="{00000000-0005-0000-0000-000066860000}"/>
    <cellStyle name="40% - Accent6 5 13" xfId="28712" xr:uid="{00000000-0005-0000-0000-000067860000}"/>
    <cellStyle name="40% - Accent6 5 14" xfId="35814" xr:uid="{00000000-0005-0000-0000-000068860000}"/>
    <cellStyle name="40% - Accent6 5 15" xfId="40542" xr:uid="{00000000-0005-0000-0000-000069860000}"/>
    <cellStyle name="40% - Accent6 5 2" xfId="441" xr:uid="{00000000-0005-0000-0000-00006A860000}"/>
    <cellStyle name="40% - Accent6 5 2 10" xfId="40543" xr:uid="{00000000-0005-0000-0000-00006B860000}"/>
    <cellStyle name="40% - Accent6 5 2 2" xfId="1222" xr:uid="{00000000-0005-0000-0000-00006C860000}"/>
    <cellStyle name="40% - Accent6 5 2 2 2" xfId="2713" xr:uid="{00000000-0005-0000-0000-00006D860000}"/>
    <cellStyle name="40% - Accent6 5 2 2 2 2" xfId="6981" xr:uid="{00000000-0005-0000-0000-00006E860000}"/>
    <cellStyle name="40% - Accent6 5 2 2 2 2 2" xfId="14081" xr:uid="{00000000-0005-0000-0000-00006F860000}"/>
    <cellStyle name="40% - Accent6 5 2 2 2 2 3" xfId="21182" xr:uid="{00000000-0005-0000-0000-000070860000}"/>
    <cellStyle name="40% - Accent6 5 2 2 2 2 4" xfId="28284" xr:uid="{00000000-0005-0000-0000-000071860000}"/>
    <cellStyle name="40% - Accent6 5 2 2 2 2 5" xfId="35386" xr:uid="{00000000-0005-0000-0000-000072860000}"/>
    <cellStyle name="40% - Accent6 5 2 2 2 3" xfId="9821" xr:uid="{00000000-0005-0000-0000-000073860000}"/>
    <cellStyle name="40% - Accent6 5 2 2 2 4" xfId="16922" xr:uid="{00000000-0005-0000-0000-000074860000}"/>
    <cellStyle name="40% - Accent6 5 2 2 2 5" xfId="24024" xr:uid="{00000000-0005-0000-0000-000075860000}"/>
    <cellStyle name="40% - Accent6 5 2 2 2 6" xfId="31126" xr:uid="{00000000-0005-0000-0000-000076860000}"/>
    <cellStyle name="40% - Accent6 5 2 2 2 7" xfId="40544" xr:uid="{00000000-0005-0000-0000-000077860000}"/>
    <cellStyle name="40% - Accent6 5 2 2 3" xfId="5560" xr:uid="{00000000-0005-0000-0000-000078860000}"/>
    <cellStyle name="40% - Accent6 5 2 2 3 2" xfId="12661" xr:uid="{00000000-0005-0000-0000-000079860000}"/>
    <cellStyle name="40% - Accent6 5 2 2 3 3" xfId="19762" xr:uid="{00000000-0005-0000-0000-00007A860000}"/>
    <cellStyle name="40% - Accent6 5 2 2 3 4" xfId="26864" xr:uid="{00000000-0005-0000-0000-00007B860000}"/>
    <cellStyle name="40% - Accent6 5 2 2 3 5" xfId="33966" xr:uid="{00000000-0005-0000-0000-00007C860000}"/>
    <cellStyle name="40% - Accent6 5 2 2 4" xfId="4135" xr:uid="{00000000-0005-0000-0000-00007D860000}"/>
    <cellStyle name="40% - Accent6 5 2 2 4 2" xfId="11241" xr:uid="{00000000-0005-0000-0000-00007E860000}"/>
    <cellStyle name="40% - Accent6 5 2 2 4 3" xfId="18342" xr:uid="{00000000-0005-0000-0000-00007F860000}"/>
    <cellStyle name="40% - Accent6 5 2 2 4 4" xfId="25444" xr:uid="{00000000-0005-0000-0000-000080860000}"/>
    <cellStyle name="40% - Accent6 5 2 2 4 5" xfId="32546" xr:uid="{00000000-0005-0000-0000-000081860000}"/>
    <cellStyle name="40% - Accent6 5 2 2 5" xfId="8401" xr:uid="{00000000-0005-0000-0000-000082860000}"/>
    <cellStyle name="40% - Accent6 5 2 2 6" xfId="15502" xr:uid="{00000000-0005-0000-0000-000083860000}"/>
    <cellStyle name="40% - Accent6 5 2 2 7" xfId="22604" xr:uid="{00000000-0005-0000-0000-000084860000}"/>
    <cellStyle name="40% - Accent6 5 2 2 8" xfId="29706" xr:uid="{00000000-0005-0000-0000-000085860000}"/>
    <cellStyle name="40% - Accent6 5 2 2 9" xfId="40545" xr:uid="{00000000-0005-0000-0000-000086860000}"/>
    <cellStyle name="40% - Accent6 5 2 3" xfId="1932" xr:uid="{00000000-0005-0000-0000-000087860000}"/>
    <cellStyle name="40% - Accent6 5 2 3 2" xfId="6200" xr:uid="{00000000-0005-0000-0000-000088860000}"/>
    <cellStyle name="40% - Accent6 5 2 3 2 2" xfId="13300" xr:uid="{00000000-0005-0000-0000-000089860000}"/>
    <cellStyle name="40% - Accent6 5 2 3 2 3" xfId="20401" xr:uid="{00000000-0005-0000-0000-00008A860000}"/>
    <cellStyle name="40% - Accent6 5 2 3 2 4" xfId="27503" xr:uid="{00000000-0005-0000-0000-00008B860000}"/>
    <cellStyle name="40% - Accent6 5 2 3 2 5" xfId="34605" xr:uid="{00000000-0005-0000-0000-00008C860000}"/>
    <cellStyle name="40% - Accent6 5 2 3 2 6" xfId="40546" xr:uid="{00000000-0005-0000-0000-00008D860000}"/>
    <cellStyle name="40% - Accent6 5 2 3 3" xfId="9040" xr:uid="{00000000-0005-0000-0000-00008E860000}"/>
    <cellStyle name="40% - Accent6 5 2 3 4" xfId="16141" xr:uid="{00000000-0005-0000-0000-00008F860000}"/>
    <cellStyle name="40% - Accent6 5 2 3 5" xfId="23243" xr:uid="{00000000-0005-0000-0000-000090860000}"/>
    <cellStyle name="40% - Accent6 5 2 3 6" xfId="30345" xr:uid="{00000000-0005-0000-0000-000091860000}"/>
    <cellStyle name="40% - Accent6 5 2 3 7" xfId="40547" xr:uid="{00000000-0005-0000-0000-000092860000}"/>
    <cellStyle name="40% - Accent6 5 2 4" xfId="4779" xr:uid="{00000000-0005-0000-0000-000093860000}"/>
    <cellStyle name="40% - Accent6 5 2 4 2" xfId="11880" xr:uid="{00000000-0005-0000-0000-000094860000}"/>
    <cellStyle name="40% - Accent6 5 2 4 3" xfId="18981" xr:uid="{00000000-0005-0000-0000-000095860000}"/>
    <cellStyle name="40% - Accent6 5 2 4 4" xfId="26083" xr:uid="{00000000-0005-0000-0000-000096860000}"/>
    <cellStyle name="40% - Accent6 5 2 4 5" xfId="33185" xr:uid="{00000000-0005-0000-0000-000097860000}"/>
    <cellStyle name="40% - Accent6 5 2 4 6" xfId="40548" xr:uid="{00000000-0005-0000-0000-000098860000}"/>
    <cellStyle name="40% - Accent6 5 2 5" xfId="3354" xr:uid="{00000000-0005-0000-0000-000099860000}"/>
    <cellStyle name="40% - Accent6 5 2 5 2" xfId="10460" xr:uid="{00000000-0005-0000-0000-00009A860000}"/>
    <cellStyle name="40% - Accent6 5 2 5 3" xfId="17561" xr:uid="{00000000-0005-0000-0000-00009B860000}"/>
    <cellStyle name="40% - Accent6 5 2 5 4" xfId="24663" xr:uid="{00000000-0005-0000-0000-00009C860000}"/>
    <cellStyle name="40% - Accent6 5 2 5 5" xfId="31765" xr:uid="{00000000-0005-0000-0000-00009D860000}"/>
    <cellStyle name="40% - Accent6 5 2 6" xfId="7620" xr:uid="{00000000-0005-0000-0000-00009E860000}"/>
    <cellStyle name="40% - Accent6 5 2 7" xfId="14721" xr:uid="{00000000-0005-0000-0000-00009F860000}"/>
    <cellStyle name="40% - Accent6 5 2 8" xfId="21823" xr:uid="{00000000-0005-0000-0000-0000A0860000}"/>
    <cellStyle name="40% - Accent6 5 2 9" xfId="28925" xr:uid="{00000000-0005-0000-0000-0000A1860000}"/>
    <cellStyle name="40% - Accent6 5 3" xfId="654" xr:uid="{00000000-0005-0000-0000-0000A2860000}"/>
    <cellStyle name="40% - Accent6 5 3 2" xfId="2145" xr:uid="{00000000-0005-0000-0000-0000A3860000}"/>
    <cellStyle name="40% - Accent6 5 3 2 2" xfId="6413" xr:uid="{00000000-0005-0000-0000-0000A4860000}"/>
    <cellStyle name="40% - Accent6 5 3 2 2 2" xfId="13513" xr:uid="{00000000-0005-0000-0000-0000A5860000}"/>
    <cellStyle name="40% - Accent6 5 3 2 2 3" xfId="20614" xr:uid="{00000000-0005-0000-0000-0000A6860000}"/>
    <cellStyle name="40% - Accent6 5 3 2 2 4" xfId="27716" xr:uid="{00000000-0005-0000-0000-0000A7860000}"/>
    <cellStyle name="40% - Accent6 5 3 2 2 5" xfId="34818" xr:uid="{00000000-0005-0000-0000-0000A8860000}"/>
    <cellStyle name="40% - Accent6 5 3 2 2 6" xfId="40549" xr:uid="{00000000-0005-0000-0000-0000A9860000}"/>
    <cellStyle name="40% - Accent6 5 3 2 3" xfId="9253" xr:uid="{00000000-0005-0000-0000-0000AA860000}"/>
    <cellStyle name="40% - Accent6 5 3 2 4" xfId="16354" xr:uid="{00000000-0005-0000-0000-0000AB860000}"/>
    <cellStyle name="40% - Accent6 5 3 2 5" xfId="23456" xr:uid="{00000000-0005-0000-0000-0000AC860000}"/>
    <cellStyle name="40% - Accent6 5 3 2 6" xfId="30558" xr:uid="{00000000-0005-0000-0000-0000AD860000}"/>
    <cellStyle name="40% - Accent6 5 3 2 7" xfId="40550" xr:uid="{00000000-0005-0000-0000-0000AE860000}"/>
    <cellStyle name="40% - Accent6 5 3 3" xfId="4992" xr:uid="{00000000-0005-0000-0000-0000AF860000}"/>
    <cellStyle name="40% - Accent6 5 3 3 2" xfId="12093" xr:uid="{00000000-0005-0000-0000-0000B0860000}"/>
    <cellStyle name="40% - Accent6 5 3 3 2 2" xfId="40551" xr:uid="{00000000-0005-0000-0000-0000B1860000}"/>
    <cellStyle name="40% - Accent6 5 3 3 3" xfId="19194" xr:uid="{00000000-0005-0000-0000-0000B2860000}"/>
    <cellStyle name="40% - Accent6 5 3 3 4" xfId="26296" xr:uid="{00000000-0005-0000-0000-0000B3860000}"/>
    <cellStyle name="40% - Accent6 5 3 3 5" xfId="33398" xr:uid="{00000000-0005-0000-0000-0000B4860000}"/>
    <cellStyle name="40% - Accent6 5 3 3 6" xfId="40552" xr:uid="{00000000-0005-0000-0000-0000B5860000}"/>
    <cellStyle name="40% - Accent6 5 3 4" xfId="3567" xr:uid="{00000000-0005-0000-0000-0000B6860000}"/>
    <cellStyle name="40% - Accent6 5 3 4 2" xfId="10673" xr:uid="{00000000-0005-0000-0000-0000B7860000}"/>
    <cellStyle name="40% - Accent6 5 3 4 3" xfId="17774" xr:uid="{00000000-0005-0000-0000-0000B8860000}"/>
    <cellStyle name="40% - Accent6 5 3 4 4" xfId="24876" xr:uid="{00000000-0005-0000-0000-0000B9860000}"/>
    <cellStyle name="40% - Accent6 5 3 4 5" xfId="31978" xr:uid="{00000000-0005-0000-0000-0000BA860000}"/>
    <cellStyle name="40% - Accent6 5 3 4 6" xfId="40553" xr:uid="{00000000-0005-0000-0000-0000BB860000}"/>
    <cellStyle name="40% - Accent6 5 3 5" xfId="7833" xr:uid="{00000000-0005-0000-0000-0000BC860000}"/>
    <cellStyle name="40% - Accent6 5 3 6" xfId="14934" xr:uid="{00000000-0005-0000-0000-0000BD860000}"/>
    <cellStyle name="40% - Accent6 5 3 7" xfId="22036" xr:uid="{00000000-0005-0000-0000-0000BE860000}"/>
    <cellStyle name="40% - Accent6 5 3 8" xfId="29138" xr:uid="{00000000-0005-0000-0000-0000BF860000}"/>
    <cellStyle name="40% - Accent6 5 3 9" xfId="40554" xr:uid="{00000000-0005-0000-0000-0000C0860000}"/>
    <cellStyle name="40% - Accent6 5 4" xfId="867" xr:uid="{00000000-0005-0000-0000-0000C1860000}"/>
    <cellStyle name="40% - Accent6 5 4 2" xfId="2358" xr:uid="{00000000-0005-0000-0000-0000C2860000}"/>
    <cellStyle name="40% - Accent6 5 4 2 2" xfId="6626" xr:uid="{00000000-0005-0000-0000-0000C3860000}"/>
    <cellStyle name="40% - Accent6 5 4 2 2 2" xfId="13726" xr:uid="{00000000-0005-0000-0000-0000C4860000}"/>
    <cellStyle name="40% - Accent6 5 4 2 2 3" xfId="20827" xr:uid="{00000000-0005-0000-0000-0000C5860000}"/>
    <cellStyle name="40% - Accent6 5 4 2 2 4" xfId="27929" xr:uid="{00000000-0005-0000-0000-0000C6860000}"/>
    <cellStyle name="40% - Accent6 5 4 2 2 5" xfId="35031" xr:uid="{00000000-0005-0000-0000-0000C7860000}"/>
    <cellStyle name="40% - Accent6 5 4 2 2 6" xfId="40555" xr:uid="{00000000-0005-0000-0000-0000C8860000}"/>
    <cellStyle name="40% - Accent6 5 4 2 3" xfId="9466" xr:uid="{00000000-0005-0000-0000-0000C9860000}"/>
    <cellStyle name="40% - Accent6 5 4 2 4" xfId="16567" xr:uid="{00000000-0005-0000-0000-0000CA860000}"/>
    <cellStyle name="40% - Accent6 5 4 2 5" xfId="23669" xr:uid="{00000000-0005-0000-0000-0000CB860000}"/>
    <cellStyle name="40% - Accent6 5 4 2 6" xfId="30771" xr:uid="{00000000-0005-0000-0000-0000CC860000}"/>
    <cellStyle name="40% - Accent6 5 4 2 7" xfId="40556" xr:uid="{00000000-0005-0000-0000-0000CD860000}"/>
    <cellStyle name="40% - Accent6 5 4 3" xfId="5205" xr:uid="{00000000-0005-0000-0000-0000CE860000}"/>
    <cellStyle name="40% - Accent6 5 4 3 2" xfId="12306" xr:uid="{00000000-0005-0000-0000-0000CF860000}"/>
    <cellStyle name="40% - Accent6 5 4 3 2 2" xfId="40557" xr:uid="{00000000-0005-0000-0000-0000D0860000}"/>
    <cellStyle name="40% - Accent6 5 4 3 3" xfId="19407" xr:uid="{00000000-0005-0000-0000-0000D1860000}"/>
    <cellStyle name="40% - Accent6 5 4 3 4" xfId="26509" xr:uid="{00000000-0005-0000-0000-0000D2860000}"/>
    <cellStyle name="40% - Accent6 5 4 3 5" xfId="33611" xr:uid="{00000000-0005-0000-0000-0000D3860000}"/>
    <cellStyle name="40% - Accent6 5 4 3 6" xfId="40558" xr:uid="{00000000-0005-0000-0000-0000D4860000}"/>
    <cellStyle name="40% - Accent6 5 4 4" xfId="3780" xr:uid="{00000000-0005-0000-0000-0000D5860000}"/>
    <cellStyle name="40% - Accent6 5 4 4 2" xfId="10886" xr:uid="{00000000-0005-0000-0000-0000D6860000}"/>
    <cellStyle name="40% - Accent6 5 4 4 3" xfId="17987" xr:uid="{00000000-0005-0000-0000-0000D7860000}"/>
    <cellStyle name="40% - Accent6 5 4 4 4" xfId="25089" xr:uid="{00000000-0005-0000-0000-0000D8860000}"/>
    <cellStyle name="40% - Accent6 5 4 4 5" xfId="32191" xr:uid="{00000000-0005-0000-0000-0000D9860000}"/>
    <cellStyle name="40% - Accent6 5 4 4 6" xfId="40559" xr:uid="{00000000-0005-0000-0000-0000DA860000}"/>
    <cellStyle name="40% - Accent6 5 4 5" xfId="8046" xr:uid="{00000000-0005-0000-0000-0000DB860000}"/>
    <cellStyle name="40% - Accent6 5 4 6" xfId="15147" xr:uid="{00000000-0005-0000-0000-0000DC860000}"/>
    <cellStyle name="40% - Accent6 5 4 7" xfId="22249" xr:uid="{00000000-0005-0000-0000-0000DD860000}"/>
    <cellStyle name="40% - Accent6 5 4 8" xfId="29351" xr:uid="{00000000-0005-0000-0000-0000DE860000}"/>
    <cellStyle name="40% - Accent6 5 4 9" xfId="40560" xr:uid="{00000000-0005-0000-0000-0000DF860000}"/>
    <cellStyle name="40% - Accent6 5 5" xfId="1009" xr:uid="{00000000-0005-0000-0000-0000E0860000}"/>
    <cellStyle name="40% - Accent6 5 5 2" xfId="2500" xr:uid="{00000000-0005-0000-0000-0000E1860000}"/>
    <cellStyle name="40% - Accent6 5 5 2 2" xfId="6768" xr:uid="{00000000-0005-0000-0000-0000E2860000}"/>
    <cellStyle name="40% - Accent6 5 5 2 2 2" xfId="13868" xr:uid="{00000000-0005-0000-0000-0000E3860000}"/>
    <cellStyle name="40% - Accent6 5 5 2 2 3" xfId="20969" xr:uid="{00000000-0005-0000-0000-0000E4860000}"/>
    <cellStyle name="40% - Accent6 5 5 2 2 4" xfId="28071" xr:uid="{00000000-0005-0000-0000-0000E5860000}"/>
    <cellStyle name="40% - Accent6 5 5 2 2 5" xfId="35173" xr:uid="{00000000-0005-0000-0000-0000E6860000}"/>
    <cellStyle name="40% - Accent6 5 5 2 3" xfId="9608" xr:uid="{00000000-0005-0000-0000-0000E7860000}"/>
    <cellStyle name="40% - Accent6 5 5 2 4" xfId="16709" xr:uid="{00000000-0005-0000-0000-0000E8860000}"/>
    <cellStyle name="40% - Accent6 5 5 2 5" xfId="23811" xr:uid="{00000000-0005-0000-0000-0000E9860000}"/>
    <cellStyle name="40% - Accent6 5 5 2 6" xfId="30913" xr:uid="{00000000-0005-0000-0000-0000EA860000}"/>
    <cellStyle name="40% - Accent6 5 5 2 7" xfId="40561" xr:uid="{00000000-0005-0000-0000-0000EB860000}"/>
    <cellStyle name="40% - Accent6 5 5 3" xfId="5347" xr:uid="{00000000-0005-0000-0000-0000EC860000}"/>
    <cellStyle name="40% - Accent6 5 5 3 2" xfId="12448" xr:uid="{00000000-0005-0000-0000-0000ED860000}"/>
    <cellStyle name="40% - Accent6 5 5 3 3" xfId="19549" xr:uid="{00000000-0005-0000-0000-0000EE860000}"/>
    <cellStyle name="40% - Accent6 5 5 3 4" xfId="26651" xr:uid="{00000000-0005-0000-0000-0000EF860000}"/>
    <cellStyle name="40% - Accent6 5 5 3 5" xfId="33753" xr:uid="{00000000-0005-0000-0000-0000F0860000}"/>
    <cellStyle name="40% - Accent6 5 5 4" xfId="3922" xr:uid="{00000000-0005-0000-0000-0000F1860000}"/>
    <cellStyle name="40% - Accent6 5 5 4 2" xfId="11028" xr:uid="{00000000-0005-0000-0000-0000F2860000}"/>
    <cellStyle name="40% - Accent6 5 5 4 3" xfId="18129" xr:uid="{00000000-0005-0000-0000-0000F3860000}"/>
    <cellStyle name="40% - Accent6 5 5 4 4" xfId="25231" xr:uid="{00000000-0005-0000-0000-0000F4860000}"/>
    <cellStyle name="40% - Accent6 5 5 4 5" xfId="32333" xr:uid="{00000000-0005-0000-0000-0000F5860000}"/>
    <cellStyle name="40% - Accent6 5 5 5" xfId="8188" xr:uid="{00000000-0005-0000-0000-0000F6860000}"/>
    <cellStyle name="40% - Accent6 5 5 6" xfId="15289" xr:uid="{00000000-0005-0000-0000-0000F7860000}"/>
    <cellStyle name="40% - Accent6 5 5 7" xfId="22391" xr:uid="{00000000-0005-0000-0000-0000F8860000}"/>
    <cellStyle name="40% - Accent6 5 5 8" xfId="29493" xr:uid="{00000000-0005-0000-0000-0000F9860000}"/>
    <cellStyle name="40% - Accent6 5 5 9" xfId="40562" xr:uid="{00000000-0005-0000-0000-0000FA860000}"/>
    <cellStyle name="40% - Accent6 5 6" xfId="1435" xr:uid="{00000000-0005-0000-0000-0000FB860000}"/>
    <cellStyle name="40% - Accent6 5 6 2" xfId="2926" xr:uid="{00000000-0005-0000-0000-0000FC860000}"/>
    <cellStyle name="40% - Accent6 5 6 2 2" xfId="7194" xr:uid="{00000000-0005-0000-0000-0000FD860000}"/>
    <cellStyle name="40% - Accent6 5 6 2 2 2" xfId="14294" xr:uid="{00000000-0005-0000-0000-0000FE860000}"/>
    <cellStyle name="40% - Accent6 5 6 2 2 3" xfId="21395" xr:uid="{00000000-0005-0000-0000-0000FF860000}"/>
    <cellStyle name="40% - Accent6 5 6 2 2 4" xfId="28497" xr:uid="{00000000-0005-0000-0000-000000870000}"/>
    <cellStyle name="40% - Accent6 5 6 2 2 5" xfId="35599" xr:uid="{00000000-0005-0000-0000-000001870000}"/>
    <cellStyle name="40% - Accent6 5 6 2 3" xfId="10034" xr:uid="{00000000-0005-0000-0000-000002870000}"/>
    <cellStyle name="40% - Accent6 5 6 2 4" xfId="17135" xr:uid="{00000000-0005-0000-0000-000003870000}"/>
    <cellStyle name="40% - Accent6 5 6 2 5" xfId="24237" xr:uid="{00000000-0005-0000-0000-000004870000}"/>
    <cellStyle name="40% - Accent6 5 6 2 6" xfId="31339" xr:uid="{00000000-0005-0000-0000-000005870000}"/>
    <cellStyle name="40% - Accent6 5 6 2 7" xfId="40563" xr:uid="{00000000-0005-0000-0000-000006870000}"/>
    <cellStyle name="40% - Accent6 5 6 3" xfId="5773" xr:uid="{00000000-0005-0000-0000-000007870000}"/>
    <cellStyle name="40% - Accent6 5 6 3 2" xfId="12874" xr:uid="{00000000-0005-0000-0000-000008870000}"/>
    <cellStyle name="40% - Accent6 5 6 3 3" xfId="19975" xr:uid="{00000000-0005-0000-0000-000009870000}"/>
    <cellStyle name="40% - Accent6 5 6 3 4" xfId="27077" xr:uid="{00000000-0005-0000-0000-00000A870000}"/>
    <cellStyle name="40% - Accent6 5 6 3 5" xfId="34179" xr:uid="{00000000-0005-0000-0000-00000B870000}"/>
    <cellStyle name="40% - Accent6 5 6 4" xfId="4348" xr:uid="{00000000-0005-0000-0000-00000C870000}"/>
    <cellStyle name="40% - Accent6 5 6 4 2" xfId="11454" xr:uid="{00000000-0005-0000-0000-00000D870000}"/>
    <cellStyle name="40% - Accent6 5 6 4 3" xfId="18555" xr:uid="{00000000-0005-0000-0000-00000E870000}"/>
    <cellStyle name="40% - Accent6 5 6 4 4" xfId="25657" xr:uid="{00000000-0005-0000-0000-00000F870000}"/>
    <cellStyle name="40% - Accent6 5 6 4 5" xfId="32759" xr:uid="{00000000-0005-0000-0000-000010870000}"/>
    <cellStyle name="40% - Accent6 5 6 5" xfId="8614" xr:uid="{00000000-0005-0000-0000-000011870000}"/>
    <cellStyle name="40% - Accent6 5 6 6" xfId="15715" xr:uid="{00000000-0005-0000-0000-000012870000}"/>
    <cellStyle name="40% - Accent6 5 6 7" xfId="22817" xr:uid="{00000000-0005-0000-0000-000013870000}"/>
    <cellStyle name="40% - Accent6 5 6 8" xfId="29919" xr:uid="{00000000-0005-0000-0000-000014870000}"/>
    <cellStyle name="40% - Accent6 5 6 9" xfId="40564" xr:uid="{00000000-0005-0000-0000-000015870000}"/>
    <cellStyle name="40% - Accent6 5 7" xfId="1719" xr:uid="{00000000-0005-0000-0000-000016870000}"/>
    <cellStyle name="40% - Accent6 5 7 2" xfId="5987" xr:uid="{00000000-0005-0000-0000-000017870000}"/>
    <cellStyle name="40% - Accent6 5 7 2 2" xfId="13087" xr:uid="{00000000-0005-0000-0000-000018870000}"/>
    <cellStyle name="40% - Accent6 5 7 2 3" xfId="20188" xr:uid="{00000000-0005-0000-0000-000019870000}"/>
    <cellStyle name="40% - Accent6 5 7 2 4" xfId="27290" xr:uid="{00000000-0005-0000-0000-00001A870000}"/>
    <cellStyle name="40% - Accent6 5 7 2 5" xfId="34392" xr:uid="{00000000-0005-0000-0000-00001B870000}"/>
    <cellStyle name="40% - Accent6 5 7 3" xfId="8827" xr:uid="{00000000-0005-0000-0000-00001C870000}"/>
    <cellStyle name="40% - Accent6 5 7 4" xfId="15928" xr:uid="{00000000-0005-0000-0000-00001D870000}"/>
    <cellStyle name="40% - Accent6 5 7 5" xfId="23030" xr:uid="{00000000-0005-0000-0000-00001E870000}"/>
    <cellStyle name="40% - Accent6 5 7 6" xfId="30132" xr:uid="{00000000-0005-0000-0000-00001F870000}"/>
    <cellStyle name="40% - Accent6 5 7 7" xfId="40565" xr:uid="{00000000-0005-0000-0000-000020870000}"/>
    <cellStyle name="40% - Accent6 5 8" xfId="4566" xr:uid="{00000000-0005-0000-0000-000021870000}"/>
    <cellStyle name="40% - Accent6 5 8 2" xfId="11667" xr:uid="{00000000-0005-0000-0000-000022870000}"/>
    <cellStyle name="40% - Accent6 5 8 3" xfId="18768" xr:uid="{00000000-0005-0000-0000-000023870000}"/>
    <cellStyle name="40% - Accent6 5 8 4" xfId="25870" xr:uid="{00000000-0005-0000-0000-000024870000}"/>
    <cellStyle name="40% - Accent6 5 8 5" xfId="32972" xr:uid="{00000000-0005-0000-0000-000025870000}"/>
    <cellStyle name="40% - Accent6 5 9" xfId="3141" xr:uid="{00000000-0005-0000-0000-000026870000}"/>
    <cellStyle name="40% - Accent6 5 9 2" xfId="10247" xr:uid="{00000000-0005-0000-0000-000027870000}"/>
    <cellStyle name="40% - Accent6 5 9 3" xfId="17348" xr:uid="{00000000-0005-0000-0000-000028870000}"/>
    <cellStyle name="40% - Accent6 5 9 4" xfId="24450" xr:uid="{00000000-0005-0000-0000-000029870000}"/>
    <cellStyle name="40% - Accent6 5 9 5" xfId="31552" xr:uid="{00000000-0005-0000-0000-00002A870000}"/>
    <cellStyle name="40% - Accent6 6" xfId="156" xr:uid="{00000000-0005-0000-0000-00002B870000}"/>
    <cellStyle name="40% - Accent6 6 10" xfId="7336" xr:uid="{00000000-0005-0000-0000-00002C870000}"/>
    <cellStyle name="40% - Accent6 6 11" xfId="14437" xr:uid="{00000000-0005-0000-0000-00002D870000}"/>
    <cellStyle name="40% - Accent6 6 12" xfId="21539" xr:uid="{00000000-0005-0000-0000-00002E870000}"/>
    <cellStyle name="40% - Accent6 6 13" xfId="28641" xr:uid="{00000000-0005-0000-0000-00002F870000}"/>
    <cellStyle name="40% - Accent6 6 14" xfId="35743" xr:uid="{00000000-0005-0000-0000-000030870000}"/>
    <cellStyle name="40% - Accent6 6 15" xfId="40566" xr:uid="{00000000-0005-0000-0000-000031870000}"/>
    <cellStyle name="40% - Accent6 6 2" xfId="370" xr:uid="{00000000-0005-0000-0000-000032870000}"/>
    <cellStyle name="40% - Accent6 6 2 2" xfId="1861" xr:uid="{00000000-0005-0000-0000-000033870000}"/>
    <cellStyle name="40% - Accent6 6 2 2 2" xfId="6129" xr:uid="{00000000-0005-0000-0000-000034870000}"/>
    <cellStyle name="40% - Accent6 6 2 2 2 2" xfId="13229" xr:uid="{00000000-0005-0000-0000-000035870000}"/>
    <cellStyle name="40% - Accent6 6 2 2 2 3" xfId="20330" xr:uid="{00000000-0005-0000-0000-000036870000}"/>
    <cellStyle name="40% - Accent6 6 2 2 2 4" xfId="27432" xr:uid="{00000000-0005-0000-0000-000037870000}"/>
    <cellStyle name="40% - Accent6 6 2 2 2 5" xfId="34534" xr:uid="{00000000-0005-0000-0000-000038870000}"/>
    <cellStyle name="40% - Accent6 6 2 2 2 6" xfId="40567" xr:uid="{00000000-0005-0000-0000-000039870000}"/>
    <cellStyle name="40% - Accent6 6 2 2 3" xfId="8969" xr:uid="{00000000-0005-0000-0000-00003A870000}"/>
    <cellStyle name="40% - Accent6 6 2 2 4" xfId="16070" xr:uid="{00000000-0005-0000-0000-00003B870000}"/>
    <cellStyle name="40% - Accent6 6 2 2 5" xfId="23172" xr:uid="{00000000-0005-0000-0000-00003C870000}"/>
    <cellStyle name="40% - Accent6 6 2 2 6" xfId="30274" xr:uid="{00000000-0005-0000-0000-00003D870000}"/>
    <cellStyle name="40% - Accent6 6 2 2 7" xfId="40568" xr:uid="{00000000-0005-0000-0000-00003E870000}"/>
    <cellStyle name="40% - Accent6 6 2 3" xfId="4708" xr:uid="{00000000-0005-0000-0000-00003F870000}"/>
    <cellStyle name="40% - Accent6 6 2 3 2" xfId="11809" xr:uid="{00000000-0005-0000-0000-000040870000}"/>
    <cellStyle name="40% - Accent6 6 2 3 2 2" xfId="40569" xr:uid="{00000000-0005-0000-0000-000041870000}"/>
    <cellStyle name="40% - Accent6 6 2 3 3" xfId="18910" xr:uid="{00000000-0005-0000-0000-000042870000}"/>
    <cellStyle name="40% - Accent6 6 2 3 4" xfId="26012" xr:uid="{00000000-0005-0000-0000-000043870000}"/>
    <cellStyle name="40% - Accent6 6 2 3 5" xfId="33114" xr:uid="{00000000-0005-0000-0000-000044870000}"/>
    <cellStyle name="40% - Accent6 6 2 3 6" xfId="40570" xr:uid="{00000000-0005-0000-0000-000045870000}"/>
    <cellStyle name="40% - Accent6 6 2 4" xfId="3283" xr:uid="{00000000-0005-0000-0000-000046870000}"/>
    <cellStyle name="40% - Accent6 6 2 4 2" xfId="10389" xr:uid="{00000000-0005-0000-0000-000047870000}"/>
    <cellStyle name="40% - Accent6 6 2 4 3" xfId="17490" xr:uid="{00000000-0005-0000-0000-000048870000}"/>
    <cellStyle name="40% - Accent6 6 2 4 4" xfId="24592" xr:uid="{00000000-0005-0000-0000-000049870000}"/>
    <cellStyle name="40% - Accent6 6 2 4 5" xfId="31694" xr:uid="{00000000-0005-0000-0000-00004A870000}"/>
    <cellStyle name="40% - Accent6 6 2 4 6" xfId="40571" xr:uid="{00000000-0005-0000-0000-00004B870000}"/>
    <cellStyle name="40% - Accent6 6 2 5" xfId="7549" xr:uid="{00000000-0005-0000-0000-00004C870000}"/>
    <cellStyle name="40% - Accent6 6 2 6" xfId="14650" xr:uid="{00000000-0005-0000-0000-00004D870000}"/>
    <cellStyle name="40% - Accent6 6 2 7" xfId="21752" xr:uid="{00000000-0005-0000-0000-00004E870000}"/>
    <cellStyle name="40% - Accent6 6 2 8" xfId="28854" xr:uid="{00000000-0005-0000-0000-00004F870000}"/>
    <cellStyle name="40% - Accent6 6 2 9" xfId="40572" xr:uid="{00000000-0005-0000-0000-000050870000}"/>
    <cellStyle name="40% - Accent6 6 3" xfId="583" xr:uid="{00000000-0005-0000-0000-000051870000}"/>
    <cellStyle name="40% - Accent6 6 3 2" xfId="2074" xr:uid="{00000000-0005-0000-0000-000052870000}"/>
    <cellStyle name="40% - Accent6 6 3 2 2" xfId="6342" xr:uid="{00000000-0005-0000-0000-000053870000}"/>
    <cellStyle name="40% - Accent6 6 3 2 2 2" xfId="13442" xr:uid="{00000000-0005-0000-0000-000054870000}"/>
    <cellStyle name="40% - Accent6 6 3 2 2 3" xfId="20543" xr:uid="{00000000-0005-0000-0000-000055870000}"/>
    <cellStyle name="40% - Accent6 6 3 2 2 4" xfId="27645" xr:uid="{00000000-0005-0000-0000-000056870000}"/>
    <cellStyle name="40% - Accent6 6 3 2 2 5" xfId="34747" xr:uid="{00000000-0005-0000-0000-000057870000}"/>
    <cellStyle name="40% - Accent6 6 3 2 2 6" xfId="40573" xr:uid="{00000000-0005-0000-0000-000058870000}"/>
    <cellStyle name="40% - Accent6 6 3 2 3" xfId="9182" xr:uid="{00000000-0005-0000-0000-000059870000}"/>
    <cellStyle name="40% - Accent6 6 3 2 4" xfId="16283" xr:uid="{00000000-0005-0000-0000-00005A870000}"/>
    <cellStyle name="40% - Accent6 6 3 2 5" xfId="23385" xr:uid="{00000000-0005-0000-0000-00005B870000}"/>
    <cellStyle name="40% - Accent6 6 3 2 6" xfId="30487" xr:uid="{00000000-0005-0000-0000-00005C870000}"/>
    <cellStyle name="40% - Accent6 6 3 2 7" xfId="40574" xr:uid="{00000000-0005-0000-0000-00005D870000}"/>
    <cellStyle name="40% - Accent6 6 3 3" xfId="4921" xr:uid="{00000000-0005-0000-0000-00005E870000}"/>
    <cellStyle name="40% - Accent6 6 3 3 2" xfId="12022" xr:uid="{00000000-0005-0000-0000-00005F870000}"/>
    <cellStyle name="40% - Accent6 6 3 3 2 2" xfId="40575" xr:uid="{00000000-0005-0000-0000-000060870000}"/>
    <cellStyle name="40% - Accent6 6 3 3 3" xfId="19123" xr:uid="{00000000-0005-0000-0000-000061870000}"/>
    <cellStyle name="40% - Accent6 6 3 3 4" xfId="26225" xr:uid="{00000000-0005-0000-0000-000062870000}"/>
    <cellStyle name="40% - Accent6 6 3 3 5" xfId="33327" xr:uid="{00000000-0005-0000-0000-000063870000}"/>
    <cellStyle name="40% - Accent6 6 3 3 6" xfId="40576" xr:uid="{00000000-0005-0000-0000-000064870000}"/>
    <cellStyle name="40% - Accent6 6 3 4" xfId="3496" xr:uid="{00000000-0005-0000-0000-000065870000}"/>
    <cellStyle name="40% - Accent6 6 3 4 2" xfId="10602" xr:uid="{00000000-0005-0000-0000-000066870000}"/>
    <cellStyle name="40% - Accent6 6 3 4 3" xfId="17703" xr:uid="{00000000-0005-0000-0000-000067870000}"/>
    <cellStyle name="40% - Accent6 6 3 4 4" xfId="24805" xr:uid="{00000000-0005-0000-0000-000068870000}"/>
    <cellStyle name="40% - Accent6 6 3 4 5" xfId="31907" xr:uid="{00000000-0005-0000-0000-000069870000}"/>
    <cellStyle name="40% - Accent6 6 3 4 6" xfId="40577" xr:uid="{00000000-0005-0000-0000-00006A870000}"/>
    <cellStyle name="40% - Accent6 6 3 5" xfId="7762" xr:uid="{00000000-0005-0000-0000-00006B870000}"/>
    <cellStyle name="40% - Accent6 6 3 6" xfId="14863" xr:uid="{00000000-0005-0000-0000-00006C870000}"/>
    <cellStyle name="40% - Accent6 6 3 7" xfId="21965" xr:uid="{00000000-0005-0000-0000-00006D870000}"/>
    <cellStyle name="40% - Accent6 6 3 8" xfId="29067" xr:uid="{00000000-0005-0000-0000-00006E870000}"/>
    <cellStyle name="40% - Accent6 6 3 9" xfId="40578" xr:uid="{00000000-0005-0000-0000-00006F870000}"/>
    <cellStyle name="40% - Accent6 6 4" xfId="796" xr:uid="{00000000-0005-0000-0000-000070870000}"/>
    <cellStyle name="40% - Accent6 6 4 2" xfId="2287" xr:uid="{00000000-0005-0000-0000-000071870000}"/>
    <cellStyle name="40% - Accent6 6 4 2 2" xfId="6555" xr:uid="{00000000-0005-0000-0000-000072870000}"/>
    <cellStyle name="40% - Accent6 6 4 2 2 2" xfId="13655" xr:uid="{00000000-0005-0000-0000-000073870000}"/>
    <cellStyle name="40% - Accent6 6 4 2 2 3" xfId="20756" xr:uid="{00000000-0005-0000-0000-000074870000}"/>
    <cellStyle name="40% - Accent6 6 4 2 2 4" xfId="27858" xr:uid="{00000000-0005-0000-0000-000075870000}"/>
    <cellStyle name="40% - Accent6 6 4 2 2 5" xfId="34960" xr:uid="{00000000-0005-0000-0000-000076870000}"/>
    <cellStyle name="40% - Accent6 6 4 2 2 6" xfId="40579" xr:uid="{00000000-0005-0000-0000-000077870000}"/>
    <cellStyle name="40% - Accent6 6 4 2 3" xfId="9395" xr:uid="{00000000-0005-0000-0000-000078870000}"/>
    <cellStyle name="40% - Accent6 6 4 2 4" xfId="16496" xr:uid="{00000000-0005-0000-0000-000079870000}"/>
    <cellStyle name="40% - Accent6 6 4 2 5" xfId="23598" xr:uid="{00000000-0005-0000-0000-00007A870000}"/>
    <cellStyle name="40% - Accent6 6 4 2 6" xfId="30700" xr:uid="{00000000-0005-0000-0000-00007B870000}"/>
    <cellStyle name="40% - Accent6 6 4 2 7" xfId="40580" xr:uid="{00000000-0005-0000-0000-00007C870000}"/>
    <cellStyle name="40% - Accent6 6 4 3" xfId="5134" xr:uid="{00000000-0005-0000-0000-00007D870000}"/>
    <cellStyle name="40% - Accent6 6 4 3 2" xfId="12235" xr:uid="{00000000-0005-0000-0000-00007E870000}"/>
    <cellStyle name="40% - Accent6 6 4 3 2 2" xfId="40581" xr:uid="{00000000-0005-0000-0000-00007F870000}"/>
    <cellStyle name="40% - Accent6 6 4 3 3" xfId="19336" xr:uid="{00000000-0005-0000-0000-000080870000}"/>
    <cellStyle name="40% - Accent6 6 4 3 4" xfId="26438" xr:uid="{00000000-0005-0000-0000-000081870000}"/>
    <cellStyle name="40% - Accent6 6 4 3 5" xfId="33540" xr:uid="{00000000-0005-0000-0000-000082870000}"/>
    <cellStyle name="40% - Accent6 6 4 3 6" xfId="40582" xr:uid="{00000000-0005-0000-0000-000083870000}"/>
    <cellStyle name="40% - Accent6 6 4 4" xfId="3709" xr:uid="{00000000-0005-0000-0000-000084870000}"/>
    <cellStyle name="40% - Accent6 6 4 4 2" xfId="10815" xr:uid="{00000000-0005-0000-0000-000085870000}"/>
    <cellStyle name="40% - Accent6 6 4 4 3" xfId="17916" xr:uid="{00000000-0005-0000-0000-000086870000}"/>
    <cellStyle name="40% - Accent6 6 4 4 4" xfId="25018" xr:uid="{00000000-0005-0000-0000-000087870000}"/>
    <cellStyle name="40% - Accent6 6 4 4 5" xfId="32120" xr:uid="{00000000-0005-0000-0000-000088870000}"/>
    <cellStyle name="40% - Accent6 6 4 4 6" xfId="40583" xr:uid="{00000000-0005-0000-0000-000089870000}"/>
    <cellStyle name="40% - Accent6 6 4 5" xfId="7975" xr:uid="{00000000-0005-0000-0000-00008A870000}"/>
    <cellStyle name="40% - Accent6 6 4 6" xfId="15076" xr:uid="{00000000-0005-0000-0000-00008B870000}"/>
    <cellStyle name="40% - Accent6 6 4 7" xfId="22178" xr:uid="{00000000-0005-0000-0000-00008C870000}"/>
    <cellStyle name="40% - Accent6 6 4 8" xfId="29280" xr:uid="{00000000-0005-0000-0000-00008D870000}"/>
    <cellStyle name="40% - Accent6 6 4 9" xfId="40584" xr:uid="{00000000-0005-0000-0000-00008E870000}"/>
    <cellStyle name="40% - Accent6 6 5" xfId="1151" xr:uid="{00000000-0005-0000-0000-00008F870000}"/>
    <cellStyle name="40% - Accent6 6 5 2" xfId="2642" xr:uid="{00000000-0005-0000-0000-000090870000}"/>
    <cellStyle name="40% - Accent6 6 5 2 2" xfId="6910" xr:uid="{00000000-0005-0000-0000-000091870000}"/>
    <cellStyle name="40% - Accent6 6 5 2 2 2" xfId="14010" xr:uid="{00000000-0005-0000-0000-000092870000}"/>
    <cellStyle name="40% - Accent6 6 5 2 2 3" xfId="21111" xr:uid="{00000000-0005-0000-0000-000093870000}"/>
    <cellStyle name="40% - Accent6 6 5 2 2 4" xfId="28213" xr:uid="{00000000-0005-0000-0000-000094870000}"/>
    <cellStyle name="40% - Accent6 6 5 2 2 5" xfId="35315" xr:uid="{00000000-0005-0000-0000-000095870000}"/>
    <cellStyle name="40% - Accent6 6 5 2 3" xfId="9750" xr:uid="{00000000-0005-0000-0000-000096870000}"/>
    <cellStyle name="40% - Accent6 6 5 2 4" xfId="16851" xr:uid="{00000000-0005-0000-0000-000097870000}"/>
    <cellStyle name="40% - Accent6 6 5 2 5" xfId="23953" xr:uid="{00000000-0005-0000-0000-000098870000}"/>
    <cellStyle name="40% - Accent6 6 5 2 6" xfId="31055" xr:uid="{00000000-0005-0000-0000-000099870000}"/>
    <cellStyle name="40% - Accent6 6 5 2 7" xfId="40585" xr:uid="{00000000-0005-0000-0000-00009A870000}"/>
    <cellStyle name="40% - Accent6 6 5 3" xfId="5489" xr:uid="{00000000-0005-0000-0000-00009B870000}"/>
    <cellStyle name="40% - Accent6 6 5 3 2" xfId="12590" xr:uid="{00000000-0005-0000-0000-00009C870000}"/>
    <cellStyle name="40% - Accent6 6 5 3 3" xfId="19691" xr:uid="{00000000-0005-0000-0000-00009D870000}"/>
    <cellStyle name="40% - Accent6 6 5 3 4" xfId="26793" xr:uid="{00000000-0005-0000-0000-00009E870000}"/>
    <cellStyle name="40% - Accent6 6 5 3 5" xfId="33895" xr:uid="{00000000-0005-0000-0000-00009F870000}"/>
    <cellStyle name="40% - Accent6 6 5 4" xfId="4064" xr:uid="{00000000-0005-0000-0000-0000A0870000}"/>
    <cellStyle name="40% - Accent6 6 5 4 2" xfId="11170" xr:uid="{00000000-0005-0000-0000-0000A1870000}"/>
    <cellStyle name="40% - Accent6 6 5 4 3" xfId="18271" xr:uid="{00000000-0005-0000-0000-0000A2870000}"/>
    <cellStyle name="40% - Accent6 6 5 4 4" xfId="25373" xr:uid="{00000000-0005-0000-0000-0000A3870000}"/>
    <cellStyle name="40% - Accent6 6 5 4 5" xfId="32475" xr:uid="{00000000-0005-0000-0000-0000A4870000}"/>
    <cellStyle name="40% - Accent6 6 5 5" xfId="8330" xr:uid="{00000000-0005-0000-0000-0000A5870000}"/>
    <cellStyle name="40% - Accent6 6 5 6" xfId="15431" xr:uid="{00000000-0005-0000-0000-0000A6870000}"/>
    <cellStyle name="40% - Accent6 6 5 7" xfId="22533" xr:uid="{00000000-0005-0000-0000-0000A7870000}"/>
    <cellStyle name="40% - Accent6 6 5 8" xfId="29635" xr:uid="{00000000-0005-0000-0000-0000A8870000}"/>
    <cellStyle name="40% - Accent6 6 5 9" xfId="40586" xr:uid="{00000000-0005-0000-0000-0000A9870000}"/>
    <cellStyle name="40% - Accent6 6 6" xfId="1364" xr:uid="{00000000-0005-0000-0000-0000AA870000}"/>
    <cellStyle name="40% - Accent6 6 6 2" xfId="2855" xr:uid="{00000000-0005-0000-0000-0000AB870000}"/>
    <cellStyle name="40% - Accent6 6 6 2 2" xfId="7123" xr:uid="{00000000-0005-0000-0000-0000AC870000}"/>
    <cellStyle name="40% - Accent6 6 6 2 2 2" xfId="14223" xr:uid="{00000000-0005-0000-0000-0000AD870000}"/>
    <cellStyle name="40% - Accent6 6 6 2 2 3" xfId="21324" xr:uid="{00000000-0005-0000-0000-0000AE870000}"/>
    <cellStyle name="40% - Accent6 6 6 2 2 4" xfId="28426" xr:uid="{00000000-0005-0000-0000-0000AF870000}"/>
    <cellStyle name="40% - Accent6 6 6 2 2 5" xfId="35528" xr:uid="{00000000-0005-0000-0000-0000B0870000}"/>
    <cellStyle name="40% - Accent6 6 6 2 3" xfId="9963" xr:uid="{00000000-0005-0000-0000-0000B1870000}"/>
    <cellStyle name="40% - Accent6 6 6 2 4" xfId="17064" xr:uid="{00000000-0005-0000-0000-0000B2870000}"/>
    <cellStyle name="40% - Accent6 6 6 2 5" xfId="24166" xr:uid="{00000000-0005-0000-0000-0000B3870000}"/>
    <cellStyle name="40% - Accent6 6 6 2 6" xfId="31268" xr:uid="{00000000-0005-0000-0000-0000B4870000}"/>
    <cellStyle name="40% - Accent6 6 6 2 7" xfId="40587" xr:uid="{00000000-0005-0000-0000-0000B5870000}"/>
    <cellStyle name="40% - Accent6 6 6 3" xfId="5702" xr:uid="{00000000-0005-0000-0000-0000B6870000}"/>
    <cellStyle name="40% - Accent6 6 6 3 2" xfId="12803" xr:uid="{00000000-0005-0000-0000-0000B7870000}"/>
    <cellStyle name="40% - Accent6 6 6 3 3" xfId="19904" xr:uid="{00000000-0005-0000-0000-0000B8870000}"/>
    <cellStyle name="40% - Accent6 6 6 3 4" xfId="27006" xr:uid="{00000000-0005-0000-0000-0000B9870000}"/>
    <cellStyle name="40% - Accent6 6 6 3 5" xfId="34108" xr:uid="{00000000-0005-0000-0000-0000BA870000}"/>
    <cellStyle name="40% - Accent6 6 6 4" xfId="4277" xr:uid="{00000000-0005-0000-0000-0000BB870000}"/>
    <cellStyle name="40% - Accent6 6 6 4 2" xfId="11383" xr:uid="{00000000-0005-0000-0000-0000BC870000}"/>
    <cellStyle name="40% - Accent6 6 6 4 3" xfId="18484" xr:uid="{00000000-0005-0000-0000-0000BD870000}"/>
    <cellStyle name="40% - Accent6 6 6 4 4" xfId="25586" xr:uid="{00000000-0005-0000-0000-0000BE870000}"/>
    <cellStyle name="40% - Accent6 6 6 4 5" xfId="32688" xr:uid="{00000000-0005-0000-0000-0000BF870000}"/>
    <cellStyle name="40% - Accent6 6 6 5" xfId="8543" xr:uid="{00000000-0005-0000-0000-0000C0870000}"/>
    <cellStyle name="40% - Accent6 6 6 6" xfId="15644" xr:uid="{00000000-0005-0000-0000-0000C1870000}"/>
    <cellStyle name="40% - Accent6 6 6 7" xfId="22746" xr:uid="{00000000-0005-0000-0000-0000C2870000}"/>
    <cellStyle name="40% - Accent6 6 6 8" xfId="29848" xr:uid="{00000000-0005-0000-0000-0000C3870000}"/>
    <cellStyle name="40% - Accent6 6 6 9" xfId="40588" xr:uid="{00000000-0005-0000-0000-0000C4870000}"/>
    <cellStyle name="40% - Accent6 6 7" xfId="1648" xr:uid="{00000000-0005-0000-0000-0000C5870000}"/>
    <cellStyle name="40% - Accent6 6 7 2" xfId="5916" xr:uid="{00000000-0005-0000-0000-0000C6870000}"/>
    <cellStyle name="40% - Accent6 6 7 2 2" xfId="13016" xr:uid="{00000000-0005-0000-0000-0000C7870000}"/>
    <cellStyle name="40% - Accent6 6 7 2 3" xfId="20117" xr:uid="{00000000-0005-0000-0000-0000C8870000}"/>
    <cellStyle name="40% - Accent6 6 7 2 4" xfId="27219" xr:uid="{00000000-0005-0000-0000-0000C9870000}"/>
    <cellStyle name="40% - Accent6 6 7 2 5" xfId="34321" xr:uid="{00000000-0005-0000-0000-0000CA870000}"/>
    <cellStyle name="40% - Accent6 6 7 3" xfId="8756" xr:uid="{00000000-0005-0000-0000-0000CB870000}"/>
    <cellStyle name="40% - Accent6 6 7 4" xfId="15857" xr:uid="{00000000-0005-0000-0000-0000CC870000}"/>
    <cellStyle name="40% - Accent6 6 7 5" xfId="22959" xr:uid="{00000000-0005-0000-0000-0000CD870000}"/>
    <cellStyle name="40% - Accent6 6 7 6" xfId="30061" xr:uid="{00000000-0005-0000-0000-0000CE870000}"/>
    <cellStyle name="40% - Accent6 6 7 7" xfId="40589" xr:uid="{00000000-0005-0000-0000-0000CF870000}"/>
    <cellStyle name="40% - Accent6 6 8" xfId="4495" xr:uid="{00000000-0005-0000-0000-0000D0870000}"/>
    <cellStyle name="40% - Accent6 6 8 2" xfId="11596" xr:uid="{00000000-0005-0000-0000-0000D1870000}"/>
    <cellStyle name="40% - Accent6 6 8 3" xfId="18697" xr:uid="{00000000-0005-0000-0000-0000D2870000}"/>
    <cellStyle name="40% - Accent6 6 8 4" xfId="25799" xr:uid="{00000000-0005-0000-0000-0000D3870000}"/>
    <cellStyle name="40% - Accent6 6 8 5" xfId="32901" xr:uid="{00000000-0005-0000-0000-0000D4870000}"/>
    <cellStyle name="40% - Accent6 6 9" xfId="3070" xr:uid="{00000000-0005-0000-0000-0000D5870000}"/>
    <cellStyle name="40% - Accent6 6 9 2" xfId="10176" xr:uid="{00000000-0005-0000-0000-0000D6870000}"/>
    <cellStyle name="40% - Accent6 6 9 3" xfId="17277" xr:uid="{00000000-0005-0000-0000-0000D7870000}"/>
    <cellStyle name="40% - Accent6 6 9 4" xfId="24379" xr:uid="{00000000-0005-0000-0000-0000D8870000}"/>
    <cellStyle name="40% - Accent6 6 9 5" xfId="31481" xr:uid="{00000000-0005-0000-0000-0000D9870000}"/>
    <cellStyle name="40% - Accent6 7" xfId="299" xr:uid="{00000000-0005-0000-0000-0000DA870000}"/>
    <cellStyle name="40% - Accent6 7 10" xfId="40590" xr:uid="{00000000-0005-0000-0000-0000DB870000}"/>
    <cellStyle name="40% - Accent6 7 2" xfId="1080" xr:uid="{00000000-0005-0000-0000-0000DC870000}"/>
    <cellStyle name="40% - Accent6 7 2 2" xfId="2571" xr:uid="{00000000-0005-0000-0000-0000DD870000}"/>
    <cellStyle name="40% - Accent6 7 2 2 2" xfId="6839" xr:uid="{00000000-0005-0000-0000-0000DE870000}"/>
    <cellStyle name="40% - Accent6 7 2 2 2 2" xfId="13939" xr:uid="{00000000-0005-0000-0000-0000DF870000}"/>
    <cellStyle name="40% - Accent6 7 2 2 2 3" xfId="21040" xr:uid="{00000000-0005-0000-0000-0000E0870000}"/>
    <cellStyle name="40% - Accent6 7 2 2 2 4" xfId="28142" xr:uid="{00000000-0005-0000-0000-0000E1870000}"/>
    <cellStyle name="40% - Accent6 7 2 2 2 5" xfId="35244" xr:uid="{00000000-0005-0000-0000-0000E2870000}"/>
    <cellStyle name="40% - Accent6 7 2 2 3" xfId="9679" xr:uid="{00000000-0005-0000-0000-0000E3870000}"/>
    <cellStyle name="40% - Accent6 7 2 2 4" xfId="16780" xr:uid="{00000000-0005-0000-0000-0000E4870000}"/>
    <cellStyle name="40% - Accent6 7 2 2 5" xfId="23882" xr:uid="{00000000-0005-0000-0000-0000E5870000}"/>
    <cellStyle name="40% - Accent6 7 2 2 6" xfId="30984" xr:uid="{00000000-0005-0000-0000-0000E6870000}"/>
    <cellStyle name="40% - Accent6 7 2 2 7" xfId="40591" xr:uid="{00000000-0005-0000-0000-0000E7870000}"/>
    <cellStyle name="40% - Accent6 7 2 3" xfId="5418" xr:uid="{00000000-0005-0000-0000-0000E8870000}"/>
    <cellStyle name="40% - Accent6 7 2 3 2" xfId="12519" xr:uid="{00000000-0005-0000-0000-0000E9870000}"/>
    <cellStyle name="40% - Accent6 7 2 3 3" xfId="19620" xr:uid="{00000000-0005-0000-0000-0000EA870000}"/>
    <cellStyle name="40% - Accent6 7 2 3 4" xfId="26722" xr:uid="{00000000-0005-0000-0000-0000EB870000}"/>
    <cellStyle name="40% - Accent6 7 2 3 5" xfId="33824" xr:uid="{00000000-0005-0000-0000-0000EC870000}"/>
    <cellStyle name="40% - Accent6 7 2 4" xfId="3993" xr:uid="{00000000-0005-0000-0000-0000ED870000}"/>
    <cellStyle name="40% - Accent6 7 2 4 2" xfId="11099" xr:uid="{00000000-0005-0000-0000-0000EE870000}"/>
    <cellStyle name="40% - Accent6 7 2 4 3" xfId="18200" xr:uid="{00000000-0005-0000-0000-0000EF870000}"/>
    <cellStyle name="40% - Accent6 7 2 4 4" xfId="25302" xr:uid="{00000000-0005-0000-0000-0000F0870000}"/>
    <cellStyle name="40% - Accent6 7 2 4 5" xfId="32404" xr:uid="{00000000-0005-0000-0000-0000F1870000}"/>
    <cellStyle name="40% - Accent6 7 2 5" xfId="8259" xr:uid="{00000000-0005-0000-0000-0000F2870000}"/>
    <cellStyle name="40% - Accent6 7 2 6" xfId="15360" xr:uid="{00000000-0005-0000-0000-0000F3870000}"/>
    <cellStyle name="40% - Accent6 7 2 7" xfId="22462" xr:uid="{00000000-0005-0000-0000-0000F4870000}"/>
    <cellStyle name="40% - Accent6 7 2 8" xfId="29564" xr:uid="{00000000-0005-0000-0000-0000F5870000}"/>
    <cellStyle name="40% - Accent6 7 2 9" xfId="40592" xr:uid="{00000000-0005-0000-0000-0000F6870000}"/>
    <cellStyle name="40% - Accent6 7 3" xfId="1790" xr:uid="{00000000-0005-0000-0000-0000F7870000}"/>
    <cellStyle name="40% - Accent6 7 3 2" xfId="6058" xr:uid="{00000000-0005-0000-0000-0000F8870000}"/>
    <cellStyle name="40% - Accent6 7 3 2 2" xfId="13158" xr:uid="{00000000-0005-0000-0000-0000F9870000}"/>
    <cellStyle name="40% - Accent6 7 3 2 3" xfId="20259" xr:uid="{00000000-0005-0000-0000-0000FA870000}"/>
    <cellStyle name="40% - Accent6 7 3 2 4" xfId="27361" xr:uid="{00000000-0005-0000-0000-0000FB870000}"/>
    <cellStyle name="40% - Accent6 7 3 2 5" xfId="34463" xr:uid="{00000000-0005-0000-0000-0000FC870000}"/>
    <cellStyle name="40% - Accent6 7 3 2 6" xfId="40593" xr:uid="{00000000-0005-0000-0000-0000FD870000}"/>
    <cellStyle name="40% - Accent6 7 3 3" xfId="8898" xr:uid="{00000000-0005-0000-0000-0000FE870000}"/>
    <cellStyle name="40% - Accent6 7 3 4" xfId="15999" xr:uid="{00000000-0005-0000-0000-0000FF870000}"/>
    <cellStyle name="40% - Accent6 7 3 5" xfId="23101" xr:uid="{00000000-0005-0000-0000-000000880000}"/>
    <cellStyle name="40% - Accent6 7 3 6" xfId="30203" xr:uid="{00000000-0005-0000-0000-000001880000}"/>
    <cellStyle name="40% - Accent6 7 3 7" xfId="40594" xr:uid="{00000000-0005-0000-0000-000002880000}"/>
    <cellStyle name="40% - Accent6 7 4" xfId="4637" xr:uid="{00000000-0005-0000-0000-000003880000}"/>
    <cellStyle name="40% - Accent6 7 4 2" xfId="11738" xr:uid="{00000000-0005-0000-0000-000004880000}"/>
    <cellStyle name="40% - Accent6 7 4 3" xfId="18839" xr:uid="{00000000-0005-0000-0000-000005880000}"/>
    <cellStyle name="40% - Accent6 7 4 4" xfId="25941" xr:uid="{00000000-0005-0000-0000-000006880000}"/>
    <cellStyle name="40% - Accent6 7 4 5" xfId="33043" xr:uid="{00000000-0005-0000-0000-000007880000}"/>
    <cellStyle name="40% - Accent6 7 4 6" xfId="40595" xr:uid="{00000000-0005-0000-0000-000008880000}"/>
    <cellStyle name="40% - Accent6 7 5" xfId="3212" xr:uid="{00000000-0005-0000-0000-000009880000}"/>
    <cellStyle name="40% - Accent6 7 5 2" xfId="10318" xr:uid="{00000000-0005-0000-0000-00000A880000}"/>
    <cellStyle name="40% - Accent6 7 5 3" xfId="17419" xr:uid="{00000000-0005-0000-0000-00000B880000}"/>
    <cellStyle name="40% - Accent6 7 5 4" xfId="24521" xr:uid="{00000000-0005-0000-0000-00000C880000}"/>
    <cellStyle name="40% - Accent6 7 5 5" xfId="31623" xr:uid="{00000000-0005-0000-0000-00000D880000}"/>
    <cellStyle name="40% - Accent6 7 6" xfId="7478" xr:uid="{00000000-0005-0000-0000-00000E880000}"/>
    <cellStyle name="40% - Accent6 7 7" xfId="14579" xr:uid="{00000000-0005-0000-0000-00000F880000}"/>
    <cellStyle name="40% - Accent6 7 8" xfId="21681" xr:uid="{00000000-0005-0000-0000-000010880000}"/>
    <cellStyle name="40% - Accent6 7 9" xfId="28783" xr:uid="{00000000-0005-0000-0000-000011880000}"/>
    <cellStyle name="40% - Accent6 8" xfId="512" xr:uid="{00000000-0005-0000-0000-000012880000}"/>
    <cellStyle name="40% - Accent6 8 2" xfId="2003" xr:uid="{00000000-0005-0000-0000-000013880000}"/>
    <cellStyle name="40% - Accent6 8 2 2" xfId="6271" xr:uid="{00000000-0005-0000-0000-000014880000}"/>
    <cellStyle name="40% - Accent6 8 2 2 2" xfId="13371" xr:uid="{00000000-0005-0000-0000-000015880000}"/>
    <cellStyle name="40% - Accent6 8 2 2 3" xfId="20472" xr:uid="{00000000-0005-0000-0000-000016880000}"/>
    <cellStyle name="40% - Accent6 8 2 2 4" xfId="27574" xr:uid="{00000000-0005-0000-0000-000017880000}"/>
    <cellStyle name="40% - Accent6 8 2 2 5" xfId="34676" xr:uid="{00000000-0005-0000-0000-000018880000}"/>
    <cellStyle name="40% - Accent6 8 2 2 6" xfId="40596" xr:uid="{00000000-0005-0000-0000-000019880000}"/>
    <cellStyle name="40% - Accent6 8 2 3" xfId="9111" xr:uid="{00000000-0005-0000-0000-00001A880000}"/>
    <cellStyle name="40% - Accent6 8 2 4" xfId="16212" xr:uid="{00000000-0005-0000-0000-00001B880000}"/>
    <cellStyle name="40% - Accent6 8 2 5" xfId="23314" xr:uid="{00000000-0005-0000-0000-00001C880000}"/>
    <cellStyle name="40% - Accent6 8 2 6" xfId="30416" xr:uid="{00000000-0005-0000-0000-00001D880000}"/>
    <cellStyle name="40% - Accent6 8 2 7" xfId="40597" xr:uid="{00000000-0005-0000-0000-00001E880000}"/>
    <cellStyle name="40% - Accent6 8 3" xfId="4850" xr:uid="{00000000-0005-0000-0000-00001F880000}"/>
    <cellStyle name="40% - Accent6 8 3 2" xfId="11951" xr:uid="{00000000-0005-0000-0000-000020880000}"/>
    <cellStyle name="40% - Accent6 8 3 2 2" xfId="40598" xr:uid="{00000000-0005-0000-0000-000021880000}"/>
    <cellStyle name="40% - Accent6 8 3 3" xfId="19052" xr:uid="{00000000-0005-0000-0000-000022880000}"/>
    <cellStyle name="40% - Accent6 8 3 4" xfId="26154" xr:uid="{00000000-0005-0000-0000-000023880000}"/>
    <cellStyle name="40% - Accent6 8 3 5" xfId="33256" xr:uid="{00000000-0005-0000-0000-000024880000}"/>
    <cellStyle name="40% - Accent6 8 3 6" xfId="40599" xr:uid="{00000000-0005-0000-0000-000025880000}"/>
    <cellStyle name="40% - Accent6 8 4" xfId="3425" xr:uid="{00000000-0005-0000-0000-000026880000}"/>
    <cellStyle name="40% - Accent6 8 4 2" xfId="10531" xr:uid="{00000000-0005-0000-0000-000027880000}"/>
    <cellStyle name="40% - Accent6 8 4 3" xfId="17632" xr:uid="{00000000-0005-0000-0000-000028880000}"/>
    <cellStyle name="40% - Accent6 8 4 4" xfId="24734" xr:uid="{00000000-0005-0000-0000-000029880000}"/>
    <cellStyle name="40% - Accent6 8 4 5" xfId="31836" xr:uid="{00000000-0005-0000-0000-00002A880000}"/>
    <cellStyle name="40% - Accent6 8 4 6" xfId="40600" xr:uid="{00000000-0005-0000-0000-00002B880000}"/>
    <cellStyle name="40% - Accent6 8 5" xfId="7691" xr:uid="{00000000-0005-0000-0000-00002C880000}"/>
    <cellStyle name="40% - Accent6 8 6" xfId="14792" xr:uid="{00000000-0005-0000-0000-00002D880000}"/>
    <cellStyle name="40% - Accent6 8 7" xfId="21894" xr:uid="{00000000-0005-0000-0000-00002E880000}"/>
    <cellStyle name="40% - Accent6 8 8" xfId="28996" xr:uid="{00000000-0005-0000-0000-00002F880000}"/>
    <cellStyle name="40% - Accent6 8 9" xfId="40601" xr:uid="{00000000-0005-0000-0000-000030880000}"/>
    <cellStyle name="40% - Accent6 9" xfId="725" xr:uid="{00000000-0005-0000-0000-000031880000}"/>
    <cellStyle name="40% - Accent6 9 2" xfId="2216" xr:uid="{00000000-0005-0000-0000-000032880000}"/>
    <cellStyle name="40% - Accent6 9 2 2" xfId="6484" xr:uid="{00000000-0005-0000-0000-000033880000}"/>
    <cellStyle name="40% - Accent6 9 2 2 2" xfId="13584" xr:uid="{00000000-0005-0000-0000-000034880000}"/>
    <cellStyle name="40% - Accent6 9 2 2 3" xfId="20685" xr:uid="{00000000-0005-0000-0000-000035880000}"/>
    <cellStyle name="40% - Accent6 9 2 2 4" xfId="27787" xr:uid="{00000000-0005-0000-0000-000036880000}"/>
    <cellStyle name="40% - Accent6 9 2 2 5" xfId="34889" xr:uid="{00000000-0005-0000-0000-000037880000}"/>
    <cellStyle name="40% - Accent6 9 2 2 6" xfId="40602" xr:uid="{00000000-0005-0000-0000-000038880000}"/>
    <cellStyle name="40% - Accent6 9 2 3" xfId="9324" xr:uid="{00000000-0005-0000-0000-000039880000}"/>
    <cellStyle name="40% - Accent6 9 2 4" xfId="16425" xr:uid="{00000000-0005-0000-0000-00003A880000}"/>
    <cellStyle name="40% - Accent6 9 2 5" xfId="23527" xr:uid="{00000000-0005-0000-0000-00003B880000}"/>
    <cellStyle name="40% - Accent6 9 2 6" xfId="30629" xr:uid="{00000000-0005-0000-0000-00003C880000}"/>
    <cellStyle name="40% - Accent6 9 2 7" xfId="40603" xr:uid="{00000000-0005-0000-0000-00003D880000}"/>
    <cellStyle name="40% - Accent6 9 3" xfId="5063" xr:uid="{00000000-0005-0000-0000-00003E880000}"/>
    <cellStyle name="40% - Accent6 9 3 2" xfId="12164" xr:uid="{00000000-0005-0000-0000-00003F880000}"/>
    <cellStyle name="40% - Accent6 9 3 2 2" xfId="40604" xr:uid="{00000000-0005-0000-0000-000040880000}"/>
    <cellStyle name="40% - Accent6 9 3 3" xfId="19265" xr:uid="{00000000-0005-0000-0000-000041880000}"/>
    <cellStyle name="40% - Accent6 9 3 4" xfId="26367" xr:uid="{00000000-0005-0000-0000-000042880000}"/>
    <cellStyle name="40% - Accent6 9 3 5" xfId="33469" xr:uid="{00000000-0005-0000-0000-000043880000}"/>
    <cellStyle name="40% - Accent6 9 3 6" xfId="40605" xr:uid="{00000000-0005-0000-0000-000044880000}"/>
    <cellStyle name="40% - Accent6 9 4" xfId="3638" xr:uid="{00000000-0005-0000-0000-000045880000}"/>
    <cellStyle name="40% - Accent6 9 4 2" xfId="10744" xr:uid="{00000000-0005-0000-0000-000046880000}"/>
    <cellStyle name="40% - Accent6 9 4 3" xfId="17845" xr:uid="{00000000-0005-0000-0000-000047880000}"/>
    <cellStyle name="40% - Accent6 9 4 4" xfId="24947" xr:uid="{00000000-0005-0000-0000-000048880000}"/>
    <cellStyle name="40% - Accent6 9 4 5" xfId="32049" xr:uid="{00000000-0005-0000-0000-000049880000}"/>
    <cellStyle name="40% - Accent6 9 4 6" xfId="40606" xr:uid="{00000000-0005-0000-0000-00004A880000}"/>
    <cellStyle name="40% - Accent6 9 5" xfId="7904" xr:uid="{00000000-0005-0000-0000-00004B880000}"/>
    <cellStyle name="40% - Accent6 9 6" xfId="15005" xr:uid="{00000000-0005-0000-0000-00004C880000}"/>
    <cellStyle name="40% - Accent6 9 7" xfId="22107" xr:uid="{00000000-0005-0000-0000-00004D880000}"/>
    <cellStyle name="40% - Accent6 9 8" xfId="29209" xr:uid="{00000000-0005-0000-0000-00004E880000}"/>
    <cellStyle name="40% - Accent6 9 9" xfId="40607" xr:uid="{00000000-0005-0000-0000-00004F880000}"/>
    <cellStyle name="60% - Accent1" xfId="44" builtinId="32" customBuiltin="1"/>
    <cellStyle name="60% - Accent1 2" xfId="40608" xr:uid="{00000000-0005-0000-0000-000051880000}"/>
    <cellStyle name="60% - Accent1 3" xfId="40609" xr:uid="{00000000-0005-0000-0000-000052880000}"/>
    <cellStyle name="60% - Accent2" xfId="48" builtinId="36" customBuiltin="1"/>
    <cellStyle name="60% - Accent2 2" xfId="40610" xr:uid="{00000000-0005-0000-0000-000054880000}"/>
    <cellStyle name="60% - Accent2 3" xfId="40611" xr:uid="{00000000-0005-0000-0000-000055880000}"/>
    <cellStyle name="60% - Accent3" xfId="52" builtinId="40" customBuiltin="1"/>
    <cellStyle name="60% - Accent3 2" xfId="40612" xr:uid="{00000000-0005-0000-0000-000057880000}"/>
    <cellStyle name="60% - Accent3 3" xfId="40613" xr:uid="{00000000-0005-0000-0000-000058880000}"/>
    <cellStyle name="60% - Accent4" xfId="56" builtinId="44" customBuiltin="1"/>
    <cellStyle name="60% - Accent4 2" xfId="40614" xr:uid="{00000000-0005-0000-0000-00005A880000}"/>
    <cellStyle name="60% - Accent4 3" xfId="40615" xr:uid="{00000000-0005-0000-0000-00005B880000}"/>
    <cellStyle name="60% - Accent5" xfId="60" builtinId="48" customBuiltin="1"/>
    <cellStyle name="60% - Accent5 2" xfId="40616" xr:uid="{00000000-0005-0000-0000-00005D880000}"/>
    <cellStyle name="60% - Accent5 3" xfId="40617" xr:uid="{00000000-0005-0000-0000-00005E880000}"/>
    <cellStyle name="60% - Accent6" xfId="64" builtinId="52" customBuiltin="1"/>
    <cellStyle name="60% - Accent6 2" xfId="40618" xr:uid="{00000000-0005-0000-0000-000060880000}"/>
    <cellStyle name="60% - Accent6 3" xfId="40619" xr:uid="{00000000-0005-0000-0000-000061880000}"/>
    <cellStyle name="Accent1" xfId="41" builtinId="29" customBuiltin="1"/>
    <cellStyle name="Accent1 2" xfId="40620" xr:uid="{00000000-0005-0000-0000-000063880000}"/>
    <cellStyle name="Accent1 3" xfId="40621" xr:uid="{00000000-0005-0000-0000-000064880000}"/>
    <cellStyle name="Accent2" xfId="45" builtinId="33" customBuiltin="1"/>
    <cellStyle name="Accent2 2" xfId="40622" xr:uid="{00000000-0005-0000-0000-000066880000}"/>
    <cellStyle name="Accent2 3" xfId="40623" xr:uid="{00000000-0005-0000-0000-000067880000}"/>
    <cellStyle name="Accent3" xfId="49" builtinId="37" customBuiltin="1"/>
    <cellStyle name="Accent3 2" xfId="40624" xr:uid="{00000000-0005-0000-0000-000069880000}"/>
    <cellStyle name="Accent3 3" xfId="40625" xr:uid="{00000000-0005-0000-0000-00006A880000}"/>
    <cellStyle name="Accent4" xfId="53" builtinId="41" customBuiltin="1"/>
    <cellStyle name="Accent4 2" xfId="40626" xr:uid="{00000000-0005-0000-0000-00006C880000}"/>
    <cellStyle name="Accent4 3" xfId="40627" xr:uid="{00000000-0005-0000-0000-00006D880000}"/>
    <cellStyle name="Accent5" xfId="57" builtinId="45" customBuiltin="1"/>
    <cellStyle name="Accent5 2" xfId="40628" xr:uid="{00000000-0005-0000-0000-00006F880000}"/>
    <cellStyle name="Accent5 3" xfId="40629" xr:uid="{00000000-0005-0000-0000-000070880000}"/>
    <cellStyle name="Accent6" xfId="61" builtinId="49" customBuiltin="1"/>
    <cellStyle name="Accent6 2" xfId="40630" xr:uid="{00000000-0005-0000-0000-000072880000}"/>
    <cellStyle name="Accent6 3" xfId="40631" xr:uid="{00000000-0005-0000-0000-000073880000}"/>
    <cellStyle name="Bad" xfId="31" builtinId="27" customBuiltin="1"/>
    <cellStyle name="Bad 2" xfId="40632" xr:uid="{00000000-0005-0000-0000-000075880000}"/>
    <cellStyle name="Bad 3" xfId="40633" xr:uid="{00000000-0005-0000-0000-000076880000}"/>
    <cellStyle name="Calculation" xfId="35" builtinId="22" customBuiltin="1"/>
    <cellStyle name="Calculation 2" xfId="40634" xr:uid="{00000000-0005-0000-0000-000078880000}"/>
    <cellStyle name="Calculation 3" xfId="40635" xr:uid="{00000000-0005-0000-0000-000079880000}"/>
    <cellStyle name="Check Cell" xfId="37" builtinId="23" customBuiltin="1"/>
    <cellStyle name="Check Cell 2" xfId="40636" xr:uid="{00000000-0005-0000-0000-00007B880000}"/>
    <cellStyle name="Check Cell 3" xfId="40637" xr:uid="{00000000-0005-0000-0000-00007C880000}"/>
    <cellStyle name="Comma" xfId="35881" builtinId="3"/>
    <cellStyle name="Comma 2" xfId="116" xr:uid="{00000000-0005-0000-0000-00007E880000}"/>
    <cellStyle name="Comma 2 10" xfId="4456" xr:uid="{00000000-0005-0000-0000-00007F880000}"/>
    <cellStyle name="Comma 2 10 2" xfId="11557" xr:uid="{00000000-0005-0000-0000-000080880000}"/>
    <cellStyle name="Comma 2 10 3" xfId="18658" xr:uid="{00000000-0005-0000-0000-000081880000}"/>
    <cellStyle name="Comma 2 10 4" xfId="25760" xr:uid="{00000000-0005-0000-0000-000082880000}"/>
    <cellStyle name="Comma 2 10 5" xfId="32862" xr:uid="{00000000-0005-0000-0000-000083880000}"/>
    <cellStyle name="Comma 2 10 6" xfId="40638" xr:uid="{00000000-0005-0000-0000-000084880000}"/>
    <cellStyle name="Comma 2 11" xfId="3031" xr:uid="{00000000-0005-0000-0000-000085880000}"/>
    <cellStyle name="Comma 2 11 2" xfId="10137" xr:uid="{00000000-0005-0000-0000-000086880000}"/>
    <cellStyle name="Comma 2 11 3" xfId="17238" xr:uid="{00000000-0005-0000-0000-000087880000}"/>
    <cellStyle name="Comma 2 11 4" xfId="24340" xr:uid="{00000000-0005-0000-0000-000088880000}"/>
    <cellStyle name="Comma 2 11 5" xfId="31442" xr:uid="{00000000-0005-0000-0000-000089880000}"/>
    <cellStyle name="Comma 2 12" xfId="7297" xr:uid="{00000000-0005-0000-0000-00008A880000}"/>
    <cellStyle name="Comma 2 13" xfId="14398" xr:uid="{00000000-0005-0000-0000-00008B880000}"/>
    <cellStyle name="Comma 2 14" xfId="21500" xr:uid="{00000000-0005-0000-0000-00008C880000}"/>
    <cellStyle name="Comma 2 15" xfId="28602" xr:uid="{00000000-0005-0000-0000-00008D880000}"/>
    <cellStyle name="Comma 2 16" xfId="35704" xr:uid="{00000000-0005-0000-0000-00008E880000}"/>
    <cellStyle name="Comma 2 17" xfId="40639" xr:uid="{00000000-0005-0000-0000-00008F880000}"/>
    <cellStyle name="Comma 2 18" xfId="40640" xr:uid="{00000000-0005-0000-0000-000090880000}"/>
    <cellStyle name="Comma 2 2" xfId="260" xr:uid="{00000000-0005-0000-0000-000091880000}"/>
    <cellStyle name="Comma 2 2 10" xfId="7439" xr:uid="{00000000-0005-0000-0000-000092880000}"/>
    <cellStyle name="Comma 2 2 11" xfId="14540" xr:uid="{00000000-0005-0000-0000-000093880000}"/>
    <cellStyle name="Comma 2 2 12" xfId="21642" xr:uid="{00000000-0005-0000-0000-000094880000}"/>
    <cellStyle name="Comma 2 2 13" xfId="28744" xr:uid="{00000000-0005-0000-0000-000095880000}"/>
    <cellStyle name="Comma 2 2 14" xfId="35846" xr:uid="{00000000-0005-0000-0000-000096880000}"/>
    <cellStyle name="Comma 2 2 15" xfId="40641" xr:uid="{00000000-0005-0000-0000-000097880000}"/>
    <cellStyle name="Comma 2 2 2" xfId="473" xr:uid="{00000000-0005-0000-0000-000098880000}"/>
    <cellStyle name="Comma 2 2 2 10" xfId="40642" xr:uid="{00000000-0005-0000-0000-000099880000}"/>
    <cellStyle name="Comma 2 2 2 2" xfId="1254" xr:uid="{00000000-0005-0000-0000-00009A880000}"/>
    <cellStyle name="Comma 2 2 2 2 2" xfId="2745" xr:uid="{00000000-0005-0000-0000-00009B880000}"/>
    <cellStyle name="Comma 2 2 2 2 2 2" xfId="7013" xr:uid="{00000000-0005-0000-0000-00009C880000}"/>
    <cellStyle name="Comma 2 2 2 2 2 2 2" xfId="14113" xr:uid="{00000000-0005-0000-0000-00009D880000}"/>
    <cellStyle name="Comma 2 2 2 2 2 2 3" xfId="21214" xr:uid="{00000000-0005-0000-0000-00009E880000}"/>
    <cellStyle name="Comma 2 2 2 2 2 2 4" xfId="28316" xr:uid="{00000000-0005-0000-0000-00009F880000}"/>
    <cellStyle name="Comma 2 2 2 2 2 2 5" xfId="35418" xr:uid="{00000000-0005-0000-0000-0000A0880000}"/>
    <cellStyle name="Comma 2 2 2 2 2 3" xfId="9853" xr:uid="{00000000-0005-0000-0000-0000A1880000}"/>
    <cellStyle name="Comma 2 2 2 2 2 4" xfId="16954" xr:uid="{00000000-0005-0000-0000-0000A2880000}"/>
    <cellStyle name="Comma 2 2 2 2 2 5" xfId="24056" xr:uid="{00000000-0005-0000-0000-0000A3880000}"/>
    <cellStyle name="Comma 2 2 2 2 2 6" xfId="31158" xr:uid="{00000000-0005-0000-0000-0000A4880000}"/>
    <cellStyle name="Comma 2 2 2 2 2 7" xfId="40643" xr:uid="{00000000-0005-0000-0000-0000A5880000}"/>
    <cellStyle name="Comma 2 2 2 2 3" xfId="5592" xr:uid="{00000000-0005-0000-0000-0000A6880000}"/>
    <cellStyle name="Comma 2 2 2 2 3 2" xfId="12693" xr:uid="{00000000-0005-0000-0000-0000A7880000}"/>
    <cellStyle name="Comma 2 2 2 2 3 3" xfId="19794" xr:uid="{00000000-0005-0000-0000-0000A8880000}"/>
    <cellStyle name="Comma 2 2 2 2 3 4" xfId="26896" xr:uid="{00000000-0005-0000-0000-0000A9880000}"/>
    <cellStyle name="Comma 2 2 2 2 3 5" xfId="33998" xr:uid="{00000000-0005-0000-0000-0000AA880000}"/>
    <cellStyle name="Comma 2 2 2 2 4" xfId="4167" xr:uid="{00000000-0005-0000-0000-0000AB880000}"/>
    <cellStyle name="Comma 2 2 2 2 4 2" xfId="11273" xr:uid="{00000000-0005-0000-0000-0000AC880000}"/>
    <cellStyle name="Comma 2 2 2 2 4 3" xfId="18374" xr:uid="{00000000-0005-0000-0000-0000AD880000}"/>
    <cellStyle name="Comma 2 2 2 2 4 4" xfId="25476" xr:uid="{00000000-0005-0000-0000-0000AE880000}"/>
    <cellStyle name="Comma 2 2 2 2 4 5" xfId="32578" xr:uid="{00000000-0005-0000-0000-0000AF880000}"/>
    <cellStyle name="Comma 2 2 2 2 5" xfId="8433" xr:uid="{00000000-0005-0000-0000-0000B0880000}"/>
    <cellStyle name="Comma 2 2 2 2 6" xfId="15534" xr:uid="{00000000-0005-0000-0000-0000B1880000}"/>
    <cellStyle name="Comma 2 2 2 2 7" xfId="22636" xr:uid="{00000000-0005-0000-0000-0000B2880000}"/>
    <cellStyle name="Comma 2 2 2 2 8" xfId="29738" xr:uid="{00000000-0005-0000-0000-0000B3880000}"/>
    <cellStyle name="Comma 2 2 2 2 9" xfId="40644" xr:uid="{00000000-0005-0000-0000-0000B4880000}"/>
    <cellStyle name="Comma 2 2 2 3" xfId="1964" xr:uid="{00000000-0005-0000-0000-0000B5880000}"/>
    <cellStyle name="Comma 2 2 2 3 2" xfId="6232" xr:uid="{00000000-0005-0000-0000-0000B6880000}"/>
    <cellStyle name="Comma 2 2 2 3 2 2" xfId="13332" xr:uid="{00000000-0005-0000-0000-0000B7880000}"/>
    <cellStyle name="Comma 2 2 2 3 2 3" xfId="20433" xr:uid="{00000000-0005-0000-0000-0000B8880000}"/>
    <cellStyle name="Comma 2 2 2 3 2 4" xfId="27535" xr:uid="{00000000-0005-0000-0000-0000B9880000}"/>
    <cellStyle name="Comma 2 2 2 3 2 5" xfId="34637" xr:uid="{00000000-0005-0000-0000-0000BA880000}"/>
    <cellStyle name="Comma 2 2 2 3 2 6" xfId="40645" xr:uid="{00000000-0005-0000-0000-0000BB880000}"/>
    <cellStyle name="Comma 2 2 2 3 3" xfId="9072" xr:uid="{00000000-0005-0000-0000-0000BC880000}"/>
    <cellStyle name="Comma 2 2 2 3 4" xfId="16173" xr:uid="{00000000-0005-0000-0000-0000BD880000}"/>
    <cellStyle name="Comma 2 2 2 3 5" xfId="23275" xr:uid="{00000000-0005-0000-0000-0000BE880000}"/>
    <cellStyle name="Comma 2 2 2 3 6" xfId="30377" xr:uid="{00000000-0005-0000-0000-0000BF880000}"/>
    <cellStyle name="Comma 2 2 2 3 7" xfId="40646" xr:uid="{00000000-0005-0000-0000-0000C0880000}"/>
    <cellStyle name="Comma 2 2 2 4" xfId="4811" xr:uid="{00000000-0005-0000-0000-0000C1880000}"/>
    <cellStyle name="Comma 2 2 2 4 2" xfId="11912" xr:uid="{00000000-0005-0000-0000-0000C2880000}"/>
    <cellStyle name="Comma 2 2 2 4 3" xfId="19013" xr:uid="{00000000-0005-0000-0000-0000C3880000}"/>
    <cellStyle name="Comma 2 2 2 4 4" xfId="26115" xr:uid="{00000000-0005-0000-0000-0000C4880000}"/>
    <cellStyle name="Comma 2 2 2 4 5" xfId="33217" xr:uid="{00000000-0005-0000-0000-0000C5880000}"/>
    <cellStyle name="Comma 2 2 2 4 6" xfId="40647" xr:uid="{00000000-0005-0000-0000-0000C6880000}"/>
    <cellStyle name="Comma 2 2 2 5" xfId="3386" xr:uid="{00000000-0005-0000-0000-0000C7880000}"/>
    <cellStyle name="Comma 2 2 2 5 2" xfId="10492" xr:uid="{00000000-0005-0000-0000-0000C8880000}"/>
    <cellStyle name="Comma 2 2 2 5 3" xfId="17593" xr:uid="{00000000-0005-0000-0000-0000C9880000}"/>
    <cellStyle name="Comma 2 2 2 5 4" xfId="24695" xr:uid="{00000000-0005-0000-0000-0000CA880000}"/>
    <cellStyle name="Comma 2 2 2 5 5" xfId="31797" xr:uid="{00000000-0005-0000-0000-0000CB880000}"/>
    <cellStyle name="Comma 2 2 2 6" xfId="7652" xr:uid="{00000000-0005-0000-0000-0000CC880000}"/>
    <cellStyle name="Comma 2 2 2 7" xfId="14753" xr:uid="{00000000-0005-0000-0000-0000CD880000}"/>
    <cellStyle name="Comma 2 2 2 8" xfId="21855" xr:uid="{00000000-0005-0000-0000-0000CE880000}"/>
    <cellStyle name="Comma 2 2 2 9" xfId="28957" xr:uid="{00000000-0005-0000-0000-0000CF880000}"/>
    <cellStyle name="Comma 2 2 3" xfId="686" xr:uid="{00000000-0005-0000-0000-0000D0880000}"/>
    <cellStyle name="Comma 2 2 3 2" xfId="2177" xr:uid="{00000000-0005-0000-0000-0000D1880000}"/>
    <cellStyle name="Comma 2 2 3 2 2" xfId="6445" xr:uid="{00000000-0005-0000-0000-0000D2880000}"/>
    <cellStyle name="Comma 2 2 3 2 2 2" xfId="13545" xr:uid="{00000000-0005-0000-0000-0000D3880000}"/>
    <cellStyle name="Comma 2 2 3 2 2 3" xfId="20646" xr:uid="{00000000-0005-0000-0000-0000D4880000}"/>
    <cellStyle name="Comma 2 2 3 2 2 4" xfId="27748" xr:uid="{00000000-0005-0000-0000-0000D5880000}"/>
    <cellStyle name="Comma 2 2 3 2 2 5" xfId="34850" xr:uid="{00000000-0005-0000-0000-0000D6880000}"/>
    <cellStyle name="Comma 2 2 3 2 2 6" xfId="40648" xr:uid="{00000000-0005-0000-0000-0000D7880000}"/>
    <cellStyle name="Comma 2 2 3 2 3" xfId="9285" xr:uid="{00000000-0005-0000-0000-0000D8880000}"/>
    <cellStyle name="Comma 2 2 3 2 4" xfId="16386" xr:uid="{00000000-0005-0000-0000-0000D9880000}"/>
    <cellStyle name="Comma 2 2 3 2 5" xfId="23488" xr:uid="{00000000-0005-0000-0000-0000DA880000}"/>
    <cellStyle name="Comma 2 2 3 2 6" xfId="30590" xr:uid="{00000000-0005-0000-0000-0000DB880000}"/>
    <cellStyle name="Comma 2 2 3 2 7" xfId="40649" xr:uid="{00000000-0005-0000-0000-0000DC880000}"/>
    <cellStyle name="Comma 2 2 3 3" xfId="5024" xr:uid="{00000000-0005-0000-0000-0000DD880000}"/>
    <cellStyle name="Comma 2 2 3 3 2" xfId="12125" xr:uid="{00000000-0005-0000-0000-0000DE880000}"/>
    <cellStyle name="Comma 2 2 3 3 2 2" xfId="40650" xr:uid="{00000000-0005-0000-0000-0000DF880000}"/>
    <cellStyle name="Comma 2 2 3 3 3" xfId="19226" xr:uid="{00000000-0005-0000-0000-0000E0880000}"/>
    <cellStyle name="Comma 2 2 3 3 4" xfId="26328" xr:uid="{00000000-0005-0000-0000-0000E1880000}"/>
    <cellStyle name="Comma 2 2 3 3 5" xfId="33430" xr:uid="{00000000-0005-0000-0000-0000E2880000}"/>
    <cellStyle name="Comma 2 2 3 3 6" xfId="40651" xr:uid="{00000000-0005-0000-0000-0000E3880000}"/>
    <cellStyle name="Comma 2 2 3 4" xfId="3599" xr:uid="{00000000-0005-0000-0000-0000E4880000}"/>
    <cellStyle name="Comma 2 2 3 4 2" xfId="10705" xr:uid="{00000000-0005-0000-0000-0000E5880000}"/>
    <cellStyle name="Comma 2 2 3 4 3" xfId="17806" xr:uid="{00000000-0005-0000-0000-0000E6880000}"/>
    <cellStyle name="Comma 2 2 3 4 4" xfId="24908" xr:uid="{00000000-0005-0000-0000-0000E7880000}"/>
    <cellStyle name="Comma 2 2 3 4 5" xfId="32010" xr:uid="{00000000-0005-0000-0000-0000E8880000}"/>
    <cellStyle name="Comma 2 2 3 4 6" xfId="40652" xr:uid="{00000000-0005-0000-0000-0000E9880000}"/>
    <cellStyle name="Comma 2 2 3 5" xfId="7865" xr:uid="{00000000-0005-0000-0000-0000EA880000}"/>
    <cellStyle name="Comma 2 2 3 6" xfId="14966" xr:uid="{00000000-0005-0000-0000-0000EB880000}"/>
    <cellStyle name="Comma 2 2 3 7" xfId="22068" xr:uid="{00000000-0005-0000-0000-0000EC880000}"/>
    <cellStyle name="Comma 2 2 3 8" xfId="29170" xr:uid="{00000000-0005-0000-0000-0000ED880000}"/>
    <cellStyle name="Comma 2 2 3 9" xfId="40653" xr:uid="{00000000-0005-0000-0000-0000EE880000}"/>
    <cellStyle name="Comma 2 2 4" xfId="899" xr:uid="{00000000-0005-0000-0000-0000EF880000}"/>
    <cellStyle name="Comma 2 2 4 2" xfId="2390" xr:uid="{00000000-0005-0000-0000-0000F0880000}"/>
    <cellStyle name="Comma 2 2 4 2 2" xfId="6658" xr:uid="{00000000-0005-0000-0000-0000F1880000}"/>
    <cellStyle name="Comma 2 2 4 2 2 2" xfId="13758" xr:uid="{00000000-0005-0000-0000-0000F2880000}"/>
    <cellStyle name="Comma 2 2 4 2 2 3" xfId="20859" xr:uid="{00000000-0005-0000-0000-0000F3880000}"/>
    <cellStyle name="Comma 2 2 4 2 2 4" xfId="27961" xr:uid="{00000000-0005-0000-0000-0000F4880000}"/>
    <cellStyle name="Comma 2 2 4 2 2 5" xfId="35063" xr:uid="{00000000-0005-0000-0000-0000F5880000}"/>
    <cellStyle name="Comma 2 2 4 2 2 6" xfId="40654" xr:uid="{00000000-0005-0000-0000-0000F6880000}"/>
    <cellStyle name="Comma 2 2 4 2 3" xfId="9498" xr:uid="{00000000-0005-0000-0000-0000F7880000}"/>
    <cellStyle name="Comma 2 2 4 2 4" xfId="16599" xr:uid="{00000000-0005-0000-0000-0000F8880000}"/>
    <cellStyle name="Comma 2 2 4 2 5" xfId="23701" xr:uid="{00000000-0005-0000-0000-0000F9880000}"/>
    <cellStyle name="Comma 2 2 4 2 6" xfId="30803" xr:uid="{00000000-0005-0000-0000-0000FA880000}"/>
    <cellStyle name="Comma 2 2 4 2 7" xfId="40655" xr:uid="{00000000-0005-0000-0000-0000FB880000}"/>
    <cellStyle name="Comma 2 2 4 3" xfId="5237" xr:uid="{00000000-0005-0000-0000-0000FC880000}"/>
    <cellStyle name="Comma 2 2 4 3 2" xfId="12338" xr:uid="{00000000-0005-0000-0000-0000FD880000}"/>
    <cellStyle name="Comma 2 2 4 3 2 2" xfId="40656" xr:uid="{00000000-0005-0000-0000-0000FE880000}"/>
    <cellStyle name="Comma 2 2 4 3 3" xfId="19439" xr:uid="{00000000-0005-0000-0000-0000FF880000}"/>
    <cellStyle name="Comma 2 2 4 3 4" xfId="26541" xr:uid="{00000000-0005-0000-0000-000000890000}"/>
    <cellStyle name="Comma 2 2 4 3 5" xfId="33643" xr:uid="{00000000-0005-0000-0000-000001890000}"/>
    <cellStyle name="Comma 2 2 4 3 6" xfId="40657" xr:uid="{00000000-0005-0000-0000-000002890000}"/>
    <cellStyle name="Comma 2 2 4 4" xfId="3812" xr:uid="{00000000-0005-0000-0000-000003890000}"/>
    <cellStyle name="Comma 2 2 4 4 2" xfId="10918" xr:uid="{00000000-0005-0000-0000-000004890000}"/>
    <cellStyle name="Comma 2 2 4 4 3" xfId="18019" xr:uid="{00000000-0005-0000-0000-000005890000}"/>
    <cellStyle name="Comma 2 2 4 4 4" xfId="25121" xr:uid="{00000000-0005-0000-0000-000006890000}"/>
    <cellStyle name="Comma 2 2 4 4 5" xfId="32223" xr:uid="{00000000-0005-0000-0000-000007890000}"/>
    <cellStyle name="Comma 2 2 4 4 6" xfId="40658" xr:uid="{00000000-0005-0000-0000-000008890000}"/>
    <cellStyle name="Comma 2 2 4 5" xfId="8078" xr:uid="{00000000-0005-0000-0000-000009890000}"/>
    <cellStyle name="Comma 2 2 4 6" xfId="15179" xr:uid="{00000000-0005-0000-0000-00000A890000}"/>
    <cellStyle name="Comma 2 2 4 7" xfId="22281" xr:uid="{00000000-0005-0000-0000-00000B890000}"/>
    <cellStyle name="Comma 2 2 4 8" xfId="29383" xr:uid="{00000000-0005-0000-0000-00000C890000}"/>
    <cellStyle name="Comma 2 2 4 9" xfId="40659" xr:uid="{00000000-0005-0000-0000-00000D890000}"/>
    <cellStyle name="Comma 2 2 5" xfId="1041" xr:uid="{00000000-0005-0000-0000-00000E890000}"/>
    <cellStyle name="Comma 2 2 5 2" xfId="2532" xr:uid="{00000000-0005-0000-0000-00000F890000}"/>
    <cellStyle name="Comma 2 2 5 2 2" xfId="6800" xr:uid="{00000000-0005-0000-0000-000010890000}"/>
    <cellStyle name="Comma 2 2 5 2 2 2" xfId="13900" xr:uid="{00000000-0005-0000-0000-000011890000}"/>
    <cellStyle name="Comma 2 2 5 2 2 3" xfId="21001" xr:uid="{00000000-0005-0000-0000-000012890000}"/>
    <cellStyle name="Comma 2 2 5 2 2 4" xfId="28103" xr:uid="{00000000-0005-0000-0000-000013890000}"/>
    <cellStyle name="Comma 2 2 5 2 2 5" xfId="35205" xr:uid="{00000000-0005-0000-0000-000014890000}"/>
    <cellStyle name="Comma 2 2 5 2 3" xfId="9640" xr:uid="{00000000-0005-0000-0000-000015890000}"/>
    <cellStyle name="Comma 2 2 5 2 4" xfId="16741" xr:uid="{00000000-0005-0000-0000-000016890000}"/>
    <cellStyle name="Comma 2 2 5 2 5" xfId="23843" xr:uid="{00000000-0005-0000-0000-000017890000}"/>
    <cellStyle name="Comma 2 2 5 2 6" xfId="30945" xr:uid="{00000000-0005-0000-0000-000018890000}"/>
    <cellStyle name="Comma 2 2 5 2 7" xfId="40660" xr:uid="{00000000-0005-0000-0000-000019890000}"/>
    <cellStyle name="Comma 2 2 5 3" xfId="5379" xr:uid="{00000000-0005-0000-0000-00001A890000}"/>
    <cellStyle name="Comma 2 2 5 3 2" xfId="12480" xr:uid="{00000000-0005-0000-0000-00001B890000}"/>
    <cellStyle name="Comma 2 2 5 3 3" xfId="19581" xr:uid="{00000000-0005-0000-0000-00001C890000}"/>
    <cellStyle name="Comma 2 2 5 3 4" xfId="26683" xr:uid="{00000000-0005-0000-0000-00001D890000}"/>
    <cellStyle name="Comma 2 2 5 3 5" xfId="33785" xr:uid="{00000000-0005-0000-0000-00001E890000}"/>
    <cellStyle name="Comma 2 2 5 4" xfId="3954" xr:uid="{00000000-0005-0000-0000-00001F890000}"/>
    <cellStyle name="Comma 2 2 5 4 2" xfId="11060" xr:uid="{00000000-0005-0000-0000-000020890000}"/>
    <cellStyle name="Comma 2 2 5 4 3" xfId="18161" xr:uid="{00000000-0005-0000-0000-000021890000}"/>
    <cellStyle name="Comma 2 2 5 4 4" xfId="25263" xr:uid="{00000000-0005-0000-0000-000022890000}"/>
    <cellStyle name="Comma 2 2 5 4 5" xfId="32365" xr:uid="{00000000-0005-0000-0000-000023890000}"/>
    <cellStyle name="Comma 2 2 5 5" xfId="8220" xr:uid="{00000000-0005-0000-0000-000024890000}"/>
    <cellStyle name="Comma 2 2 5 6" xfId="15321" xr:uid="{00000000-0005-0000-0000-000025890000}"/>
    <cellStyle name="Comma 2 2 5 7" xfId="22423" xr:uid="{00000000-0005-0000-0000-000026890000}"/>
    <cellStyle name="Comma 2 2 5 8" xfId="29525" xr:uid="{00000000-0005-0000-0000-000027890000}"/>
    <cellStyle name="Comma 2 2 5 9" xfId="40661" xr:uid="{00000000-0005-0000-0000-000028890000}"/>
    <cellStyle name="Comma 2 2 6" xfId="1467" xr:uid="{00000000-0005-0000-0000-000029890000}"/>
    <cellStyle name="Comma 2 2 6 2" xfId="2958" xr:uid="{00000000-0005-0000-0000-00002A890000}"/>
    <cellStyle name="Comma 2 2 6 2 2" xfId="7226" xr:uid="{00000000-0005-0000-0000-00002B890000}"/>
    <cellStyle name="Comma 2 2 6 2 2 2" xfId="14326" xr:uid="{00000000-0005-0000-0000-00002C890000}"/>
    <cellStyle name="Comma 2 2 6 2 2 3" xfId="21427" xr:uid="{00000000-0005-0000-0000-00002D890000}"/>
    <cellStyle name="Comma 2 2 6 2 2 4" xfId="28529" xr:uid="{00000000-0005-0000-0000-00002E890000}"/>
    <cellStyle name="Comma 2 2 6 2 2 5" xfId="35631" xr:uid="{00000000-0005-0000-0000-00002F890000}"/>
    <cellStyle name="Comma 2 2 6 2 3" xfId="10066" xr:uid="{00000000-0005-0000-0000-000030890000}"/>
    <cellStyle name="Comma 2 2 6 2 4" xfId="17167" xr:uid="{00000000-0005-0000-0000-000031890000}"/>
    <cellStyle name="Comma 2 2 6 2 5" xfId="24269" xr:uid="{00000000-0005-0000-0000-000032890000}"/>
    <cellStyle name="Comma 2 2 6 2 6" xfId="31371" xr:uid="{00000000-0005-0000-0000-000033890000}"/>
    <cellStyle name="Comma 2 2 6 2 7" xfId="40662" xr:uid="{00000000-0005-0000-0000-000034890000}"/>
    <cellStyle name="Comma 2 2 6 3" xfId="5805" xr:uid="{00000000-0005-0000-0000-000035890000}"/>
    <cellStyle name="Comma 2 2 6 3 2" xfId="12906" xr:uid="{00000000-0005-0000-0000-000036890000}"/>
    <cellStyle name="Comma 2 2 6 3 3" xfId="20007" xr:uid="{00000000-0005-0000-0000-000037890000}"/>
    <cellStyle name="Comma 2 2 6 3 4" xfId="27109" xr:uid="{00000000-0005-0000-0000-000038890000}"/>
    <cellStyle name="Comma 2 2 6 3 5" xfId="34211" xr:uid="{00000000-0005-0000-0000-000039890000}"/>
    <cellStyle name="Comma 2 2 6 4" xfId="4380" xr:uid="{00000000-0005-0000-0000-00003A890000}"/>
    <cellStyle name="Comma 2 2 6 4 2" xfId="11486" xr:uid="{00000000-0005-0000-0000-00003B890000}"/>
    <cellStyle name="Comma 2 2 6 4 3" xfId="18587" xr:uid="{00000000-0005-0000-0000-00003C890000}"/>
    <cellStyle name="Comma 2 2 6 4 4" xfId="25689" xr:uid="{00000000-0005-0000-0000-00003D890000}"/>
    <cellStyle name="Comma 2 2 6 4 5" xfId="32791" xr:uid="{00000000-0005-0000-0000-00003E890000}"/>
    <cellStyle name="Comma 2 2 6 5" xfId="8646" xr:uid="{00000000-0005-0000-0000-00003F890000}"/>
    <cellStyle name="Comma 2 2 6 6" xfId="15747" xr:uid="{00000000-0005-0000-0000-000040890000}"/>
    <cellStyle name="Comma 2 2 6 7" xfId="22849" xr:uid="{00000000-0005-0000-0000-000041890000}"/>
    <cellStyle name="Comma 2 2 6 8" xfId="29951" xr:uid="{00000000-0005-0000-0000-000042890000}"/>
    <cellStyle name="Comma 2 2 6 9" xfId="40663" xr:uid="{00000000-0005-0000-0000-000043890000}"/>
    <cellStyle name="Comma 2 2 7" xfId="1751" xr:uid="{00000000-0005-0000-0000-000044890000}"/>
    <cellStyle name="Comma 2 2 7 2" xfId="6019" xr:uid="{00000000-0005-0000-0000-000045890000}"/>
    <cellStyle name="Comma 2 2 7 2 2" xfId="13119" xr:uid="{00000000-0005-0000-0000-000046890000}"/>
    <cellStyle name="Comma 2 2 7 2 3" xfId="20220" xr:uid="{00000000-0005-0000-0000-000047890000}"/>
    <cellStyle name="Comma 2 2 7 2 4" xfId="27322" xr:uid="{00000000-0005-0000-0000-000048890000}"/>
    <cellStyle name="Comma 2 2 7 2 5" xfId="34424" xr:uid="{00000000-0005-0000-0000-000049890000}"/>
    <cellStyle name="Comma 2 2 7 3" xfId="8859" xr:uid="{00000000-0005-0000-0000-00004A890000}"/>
    <cellStyle name="Comma 2 2 7 4" xfId="15960" xr:uid="{00000000-0005-0000-0000-00004B890000}"/>
    <cellStyle name="Comma 2 2 7 5" xfId="23062" xr:uid="{00000000-0005-0000-0000-00004C890000}"/>
    <cellStyle name="Comma 2 2 7 6" xfId="30164" xr:uid="{00000000-0005-0000-0000-00004D890000}"/>
    <cellStyle name="Comma 2 2 7 7" xfId="40664" xr:uid="{00000000-0005-0000-0000-00004E890000}"/>
    <cellStyle name="Comma 2 2 8" xfId="4598" xr:uid="{00000000-0005-0000-0000-00004F890000}"/>
    <cellStyle name="Comma 2 2 8 2" xfId="11699" xr:uid="{00000000-0005-0000-0000-000050890000}"/>
    <cellStyle name="Comma 2 2 8 3" xfId="18800" xr:uid="{00000000-0005-0000-0000-000051890000}"/>
    <cellStyle name="Comma 2 2 8 4" xfId="25902" xr:uid="{00000000-0005-0000-0000-000052890000}"/>
    <cellStyle name="Comma 2 2 8 5" xfId="33004" xr:uid="{00000000-0005-0000-0000-000053890000}"/>
    <cellStyle name="Comma 2 2 9" xfId="3173" xr:uid="{00000000-0005-0000-0000-000054890000}"/>
    <cellStyle name="Comma 2 2 9 2" xfId="10279" xr:uid="{00000000-0005-0000-0000-000055890000}"/>
    <cellStyle name="Comma 2 2 9 3" xfId="17380" xr:uid="{00000000-0005-0000-0000-000056890000}"/>
    <cellStyle name="Comma 2 2 9 4" xfId="24482" xr:uid="{00000000-0005-0000-0000-000057890000}"/>
    <cellStyle name="Comma 2 2 9 5" xfId="31584" xr:uid="{00000000-0005-0000-0000-000058890000}"/>
    <cellStyle name="Comma 2 3" xfId="189" xr:uid="{00000000-0005-0000-0000-000059890000}"/>
    <cellStyle name="Comma 2 3 10" xfId="7368" xr:uid="{00000000-0005-0000-0000-00005A890000}"/>
    <cellStyle name="Comma 2 3 11" xfId="14469" xr:uid="{00000000-0005-0000-0000-00005B890000}"/>
    <cellStyle name="Comma 2 3 12" xfId="21571" xr:uid="{00000000-0005-0000-0000-00005C890000}"/>
    <cellStyle name="Comma 2 3 13" xfId="28673" xr:uid="{00000000-0005-0000-0000-00005D890000}"/>
    <cellStyle name="Comma 2 3 14" xfId="35775" xr:uid="{00000000-0005-0000-0000-00005E890000}"/>
    <cellStyle name="Comma 2 3 15" xfId="40665" xr:uid="{00000000-0005-0000-0000-00005F890000}"/>
    <cellStyle name="Comma 2 3 2" xfId="402" xr:uid="{00000000-0005-0000-0000-000060890000}"/>
    <cellStyle name="Comma 2 3 2 2" xfId="1893" xr:uid="{00000000-0005-0000-0000-000061890000}"/>
    <cellStyle name="Comma 2 3 2 2 2" xfId="6161" xr:uid="{00000000-0005-0000-0000-000062890000}"/>
    <cellStyle name="Comma 2 3 2 2 2 2" xfId="13261" xr:uid="{00000000-0005-0000-0000-000063890000}"/>
    <cellStyle name="Comma 2 3 2 2 2 3" xfId="20362" xr:uid="{00000000-0005-0000-0000-000064890000}"/>
    <cellStyle name="Comma 2 3 2 2 2 4" xfId="27464" xr:uid="{00000000-0005-0000-0000-000065890000}"/>
    <cellStyle name="Comma 2 3 2 2 2 5" xfId="34566" xr:uid="{00000000-0005-0000-0000-000066890000}"/>
    <cellStyle name="Comma 2 3 2 2 2 6" xfId="40666" xr:uid="{00000000-0005-0000-0000-000067890000}"/>
    <cellStyle name="Comma 2 3 2 2 3" xfId="9001" xr:uid="{00000000-0005-0000-0000-000068890000}"/>
    <cellStyle name="Comma 2 3 2 2 4" xfId="16102" xr:uid="{00000000-0005-0000-0000-000069890000}"/>
    <cellStyle name="Comma 2 3 2 2 5" xfId="23204" xr:uid="{00000000-0005-0000-0000-00006A890000}"/>
    <cellStyle name="Comma 2 3 2 2 6" xfId="30306" xr:uid="{00000000-0005-0000-0000-00006B890000}"/>
    <cellStyle name="Comma 2 3 2 2 7" xfId="40667" xr:uid="{00000000-0005-0000-0000-00006C890000}"/>
    <cellStyle name="Comma 2 3 2 3" xfId="4740" xr:uid="{00000000-0005-0000-0000-00006D890000}"/>
    <cellStyle name="Comma 2 3 2 3 2" xfId="11841" xr:uid="{00000000-0005-0000-0000-00006E890000}"/>
    <cellStyle name="Comma 2 3 2 3 2 2" xfId="40668" xr:uid="{00000000-0005-0000-0000-00006F890000}"/>
    <cellStyle name="Comma 2 3 2 3 3" xfId="18942" xr:uid="{00000000-0005-0000-0000-000070890000}"/>
    <cellStyle name="Comma 2 3 2 3 4" xfId="26044" xr:uid="{00000000-0005-0000-0000-000071890000}"/>
    <cellStyle name="Comma 2 3 2 3 5" xfId="33146" xr:uid="{00000000-0005-0000-0000-000072890000}"/>
    <cellStyle name="Comma 2 3 2 3 6" xfId="40669" xr:uid="{00000000-0005-0000-0000-000073890000}"/>
    <cellStyle name="Comma 2 3 2 4" xfId="3315" xr:uid="{00000000-0005-0000-0000-000074890000}"/>
    <cellStyle name="Comma 2 3 2 4 2" xfId="10421" xr:uid="{00000000-0005-0000-0000-000075890000}"/>
    <cellStyle name="Comma 2 3 2 4 3" xfId="17522" xr:uid="{00000000-0005-0000-0000-000076890000}"/>
    <cellStyle name="Comma 2 3 2 4 4" xfId="24624" xr:uid="{00000000-0005-0000-0000-000077890000}"/>
    <cellStyle name="Comma 2 3 2 4 5" xfId="31726" xr:uid="{00000000-0005-0000-0000-000078890000}"/>
    <cellStyle name="Comma 2 3 2 4 6" xfId="40670" xr:uid="{00000000-0005-0000-0000-000079890000}"/>
    <cellStyle name="Comma 2 3 2 5" xfId="7581" xr:uid="{00000000-0005-0000-0000-00007A890000}"/>
    <cellStyle name="Comma 2 3 2 6" xfId="14682" xr:uid="{00000000-0005-0000-0000-00007B890000}"/>
    <cellStyle name="Comma 2 3 2 7" xfId="21784" xr:uid="{00000000-0005-0000-0000-00007C890000}"/>
    <cellStyle name="Comma 2 3 2 8" xfId="28886" xr:uid="{00000000-0005-0000-0000-00007D890000}"/>
    <cellStyle name="Comma 2 3 2 9" xfId="40671" xr:uid="{00000000-0005-0000-0000-00007E890000}"/>
    <cellStyle name="Comma 2 3 3" xfId="615" xr:uid="{00000000-0005-0000-0000-00007F890000}"/>
    <cellStyle name="Comma 2 3 3 2" xfId="2106" xr:uid="{00000000-0005-0000-0000-000080890000}"/>
    <cellStyle name="Comma 2 3 3 2 2" xfId="6374" xr:uid="{00000000-0005-0000-0000-000081890000}"/>
    <cellStyle name="Comma 2 3 3 2 2 2" xfId="13474" xr:uid="{00000000-0005-0000-0000-000082890000}"/>
    <cellStyle name="Comma 2 3 3 2 2 3" xfId="20575" xr:uid="{00000000-0005-0000-0000-000083890000}"/>
    <cellStyle name="Comma 2 3 3 2 2 4" xfId="27677" xr:uid="{00000000-0005-0000-0000-000084890000}"/>
    <cellStyle name="Comma 2 3 3 2 2 5" xfId="34779" xr:uid="{00000000-0005-0000-0000-000085890000}"/>
    <cellStyle name="Comma 2 3 3 2 2 6" xfId="40672" xr:uid="{00000000-0005-0000-0000-000086890000}"/>
    <cellStyle name="Comma 2 3 3 2 3" xfId="9214" xr:uid="{00000000-0005-0000-0000-000087890000}"/>
    <cellStyle name="Comma 2 3 3 2 4" xfId="16315" xr:uid="{00000000-0005-0000-0000-000088890000}"/>
    <cellStyle name="Comma 2 3 3 2 5" xfId="23417" xr:uid="{00000000-0005-0000-0000-000089890000}"/>
    <cellStyle name="Comma 2 3 3 2 6" xfId="30519" xr:uid="{00000000-0005-0000-0000-00008A890000}"/>
    <cellStyle name="Comma 2 3 3 2 7" xfId="40673" xr:uid="{00000000-0005-0000-0000-00008B890000}"/>
    <cellStyle name="Comma 2 3 3 3" xfId="4953" xr:uid="{00000000-0005-0000-0000-00008C890000}"/>
    <cellStyle name="Comma 2 3 3 3 2" xfId="12054" xr:uid="{00000000-0005-0000-0000-00008D890000}"/>
    <cellStyle name="Comma 2 3 3 3 2 2" xfId="40674" xr:uid="{00000000-0005-0000-0000-00008E890000}"/>
    <cellStyle name="Comma 2 3 3 3 3" xfId="19155" xr:uid="{00000000-0005-0000-0000-00008F890000}"/>
    <cellStyle name="Comma 2 3 3 3 4" xfId="26257" xr:uid="{00000000-0005-0000-0000-000090890000}"/>
    <cellStyle name="Comma 2 3 3 3 5" xfId="33359" xr:uid="{00000000-0005-0000-0000-000091890000}"/>
    <cellStyle name="Comma 2 3 3 3 6" xfId="40675" xr:uid="{00000000-0005-0000-0000-000092890000}"/>
    <cellStyle name="Comma 2 3 3 4" xfId="3528" xr:uid="{00000000-0005-0000-0000-000093890000}"/>
    <cellStyle name="Comma 2 3 3 4 2" xfId="10634" xr:uid="{00000000-0005-0000-0000-000094890000}"/>
    <cellStyle name="Comma 2 3 3 4 3" xfId="17735" xr:uid="{00000000-0005-0000-0000-000095890000}"/>
    <cellStyle name="Comma 2 3 3 4 4" xfId="24837" xr:uid="{00000000-0005-0000-0000-000096890000}"/>
    <cellStyle name="Comma 2 3 3 4 5" xfId="31939" xr:uid="{00000000-0005-0000-0000-000097890000}"/>
    <cellStyle name="Comma 2 3 3 4 6" xfId="40676" xr:uid="{00000000-0005-0000-0000-000098890000}"/>
    <cellStyle name="Comma 2 3 3 5" xfId="7794" xr:uid="{00000000-0005-0000-0000-000099890000}"/>
    <cellStyle name="Comma 2 3 3 6" xfId="14895" xr:uid="{00000000-0005-0000-0000-00009A890000}"/>
    <cellStyle name="Comma 2 3 3 7" xfId="21997" xr:uid="{00000000-0005-0000-0000-00009B890000}"/>
    <cellStyle name="Comma 2 3 3 8" xfId="29099" xr:uid="{00000000-0005-0000-0000-00009C890000}"/>
    <cellStyle name="Comma 2 3 3 9" xfId="40677" xr:uid="{00000000-0005-0000-0000-00009D890000}"/>
    <cellStyle name="Comma 2 3 4" xfId="828" xr:uid="{00000000-0005-0000-0000-00009E890000}"/>
    <cellStyle name="Comma 2 3 4 2" xfId="2319" xr:uid="{00000000-0005-0000-0000-00009F890000}"/>
    <cellStyle name="Comma 2 3 4 2 2" xfId="6587" xr:uid="{00000000-0005-0000-0000-0000A0890000}"/>
    <cellStyle name="Comma 2 3 4 2 2 2" xfId="13687" xr:uid="{00000000-0005-0000-0000-0000A1890000}"/>
    <cellStyle name="Comma 2 3 4 2 2 3" xfId="20788" xr:uid="{00000000-0005-0000-0000-0000A2890000}"/>
    <cellStyle name="Comma 2 3 4 2 2 4" xfId="27890" xr:uid="{00000000-0005-0000-0000-0000A3890000}"/>
    <cellStyle name="Comma 2 3 4 2 2 5" xfId="34992" xr:uid="{00000000-0005-0000-0000-0000A4890000}"/>
    <cellStyle name="Comma 2 3 4 2 2 6" xfId="40678" xr:uid="{00000000-0005-0000-0000-0000A5890000}"/>
    <cellStyle name="Comma 2 3 4 2 3" xfId="9427" xr:uid="{00000000-0005-0000-0000-0000A6890000}"/>
    <cellStyle name="Comma 2 3 4 2 4" xfId="16528" xr:uid="{00000000-0005-0000-0000-0000A7890000}"/>
    <cellStyle name="Comma 2 3 4 2 5" xfId="23630" xr:uid="{00000000-0005-0000-0000-0000A8890000}"/>
    <cellStyle name="Comma 2 3 4 2 6" xfId="30732" xr:uid="{00000000-0005-0000-0000-0000A9890000}"/>
    <cellStyle name="Comma 2 3 4 2 7" xfId="40679" xr:uid="{00000000-0005-0000-0000-0000AA890000}"/>
    <cellStyle name="Comma 2 3 4 3" xfId="5166" xr:uid="{00000000-0005-0000-0000-0000AB890000}"/>
    <cellStyle name="Comma 2 3 4 3 2" xfId="12267" xr:uid="{00000000-0005-0000-0000-0000AC890000}"/>
    <cellStyle name="Comma 2 3 4 3 2 2" xfId="40680" xr:uid="{00000000-0005-0000-0000-0000AD890000}"/>
    <cellStyle name="Comma 2 3 4 3 3" xfId="19368" xr:uid="{00000000-0005-0000-0000-0000AE890000}"/>
    <cellStyle name="Comma 2 3 4 3 4" xfId="26470" xr:uid="{00000000-0005-0000-0000-0000AF890000}"/>
    <cellStyle name="Comma 2 3 4 3 5" xfId="33572" xr:uid="{00000000-0005-0000-0000-0000B0890000}"/>
    <cellStyle name="Comma 2 3 4 3 6" xfId="40681" xr:uid="{00000000-0005-0000-0000-0000B1890000}"/>
    <cellStyle name="Comma 2 3 4 4" xfId="3741" xr:uid="{00000000-0005-0000-0000-0000B2890000}"/>
    <cellStyle name="Comma 2 3 4 4 2" xfId="10847" xr:uid="{00000000-0005-0000-0000-0000B3890000}"/>
    <cellStyle name="Comma 2 3 4 4 3" xfId="17948" xr:uid="{00000000-0005-0000-0000-0000B4890000}"/>
    <cellStyle name="Comma 2 3 4 4 4" xfId="25050" xr:uid="{00000000-0005-0000-0000-0000B5890000}"/>
    <cellStyle name="Comma 2 3 4 4 5" xfId="32152" xr:uid="{00000000-0005-0000-0000-0000B6890000}"/>
    <cellStyle name="Comma 2 3 4 4 6" xfId="40682" xr:uid="{00000000-0005-0000-0000-0000B7890000}"/>
    <cellStyle name="Comma 2 3 4 5" xfId="8007" xr:uid="{00000000-0005-0000-0000-0000B8890000}"/>
    <cellStyle name="Comma 2 3 4 6" xfId="15108" xr:uid="{00000000-0005-0000-0000-0000B9890000}"/>
    <cellStyle name="Comma 2 3 4 7" xfId="22210" xr:uid="{00000000-0005-0000-0000-0000BA890000}"/>
    <cellStyle name="Comma 2 3 4 8" xfId="29312" xr:uid="{00000000-0005-0000-0000-0000BB890000}"/>
    <cellStyle name="Comma 2 3 4 9" xfId="40683" xr:uid="{00000000-0005-0000-0000-0000BC890000}"/>
    <cellStyle name="Comma 2 3 5" xfId="1183" xr:uid="{00000000-0005-0000-0000-0000BD890000}"/>
    <cellStyle name="Comma 2 3 5 2" xfId="2674" xr:uid="{00000000-0005-0000-0000-0000BE890000}"/>
    <cellStyle name="Comma 2 3 5 2 2" xfId="6942" xr:uid="{00000000-0005-0000-0000-0000BF890000}"/>
    <cellStyle name="Comma 2 3 5 2 2 2" xfId="14042" xr:uid="{00000000-0005-0000-0000-0000C0890000}"/>
    <cellStyle name="Comma 2 3 5 2 2 3" xfId="21143" xr:uid="{00000000-0005-0000-0000-0000C1890000}"/>
    <cellStyle name="Comma 2 3 5 2 2 4" xfId="28245" xr:uid="{00000000-0005-0000-0000-0000C2890000}"/>
    <cellStyle name="Comma 2 3 5 2 2 5" xfId="35347" xr:uid="{00000000-0005-0000-0000-0000C3890000}"/>
    <cellStyle name="Comma 2 3 5 2 3" xfId="9782" xr:uid="{00000000-0005-0000-0000-0000C4890000}"/>
    <cellStyle name="Comma 2 3 5 2 4" xfId="16883" xr:uid="{00000000-0005-0000-0000-0000C5890000}"/>
    <cellStyle name="Comma 2 3 5 2 5" xfId="23985" xr:uid="{00000000-0005-0000-0000-0000C6890000}"/>
    <cellStyle name="Comma 2 3 5 2 6" xfId="31087" xr:uid="{00000000-0005-0000-0000-0000C7890000}"/>
    <cellStyle name="Comma 2 3 5 2 7" xfId="40684" xr:uid="{00000000-0005-0000-0000-0000C8890000}"/>
    <cellStyle name="Comma 2 3 5 3" xfId="5521" xr:uid="{00000000-0005-0000-0000-0000C9890000}"/>
    <cellStyle name="Comma 2 3 5 3 2" xfId="12622" xr:uid="{00000000-0005-0000-0000-0000CA890000}"/>
    <cellStyle name="Comma 2 3 5 3 3" xfId="19723" xr:uid="{00000000-0005-0000-0000-0000CB890000}"/>
    <cellStyle name="Comma 2 3 5 3 4" xfId="26825" xr:uid="{00000000-0005-0000-0000-0000CC890000}"/>
    <cellStyle name="Comma 2 3 5 3 5" xfId="33927" xr:uid="{00000000-0005-0000-0000-0000CD890000}"/>
    <cellStyle name="Comma 2 3 5 4" xfId="4096" xr:uid="{00000000-0005-0000-0000-0000CE890000}"/>
    <cellStyle name="Comma 2 3 5 4 2" xfId="11202" xr:uid="{00000000-0005-0000-0000-0000CF890000}"/>
    <cellStyle name="Comma 2 3 5 4 3" xfId="18303" xr:uid="{00000000-0005-0000-0000-0000D0890000}"/>
    <cellStyle name="Comma 2 3 5 4 4" xfId="25405" xr:uid="{00000000-0005-0000-0000-0000D1890000}"/>
    <cellStyle name="Comma 2 3 5 4 5" xfId="32507" xr:uid="{00000000-0005-0000-0000-0000D2890000}"/>
    <cellStyle name="Comma 2 3 5 5" xfId="8362" xr:uid="{00000000-0005-0000-0000-0000D3890000}"/>
    <cellStyle name="Comma 2 3 5 6" xfId="15463" xr:uid="{00000000-0005-0000-0000-0000D4890000}"/>
    <cellStyle name="Comma 2 3 5 7" xfId="22565" xr:uid="{00000000-0005-0000-0000-0000D5890000}"/>
    <cellStyle name="Comma 2 3 5 8" xfId="29667" xr:uid="{00000000-0005-0000-0000-0000D6890000}"/>
    <cellStyle name="Comma 2 3 5 9" xfId="40685" xr:uid="{00000000-0005-0000-0000-0000D7890000}"/>
    <cellStyle name="Comma 2 3 6" xfId="1396" xr:uid="{00000000-0005-0000-0000-0000D8890000}"/>
    <cellStyle name="Comma 2 3 6 2" xfId="2887" xr:uid="{00000000-0005-0000-0000-0000D9890000}"/>
    <cellStyle name="Comma 2 3 6 2 2" xfId="7155" xr:uid="{00000000-0005-0000-0000-0000DA890000}"/>
    <cellStyle name="Comma 2 3 6 2 2 2" xfId="14255" xr:uid="{00000000-0005-0000-0000-0000DB890000}"/>
    <cellStyle name="Comma 2 3 6 2 2 3" xfId="21356" xr:uid="{00000000-0005-0000-0000-0000DC890000}"/>
    <cellStyle name="Comma 2 3 6 2 2 4" xfId="28458" xr:uid="{00000000-0005-0000-0000-0000DD890000}"/>
    <cellStyle name="Comma 2 3 6 2 2 5" xfId="35560" xr:uid="{00000000-0005-0000-0000-0000DE890000}"/>
    <cellStyle name="Comma 2 3 6 2 3" xfId="9995" xr:uid="{00000000-0005-0000-0000-0000DF890000}"/>
    <cellStyle name="Comma 2 3 6 2 4" xfId="17096" xr:uid="{00000000-0005-0000-0000-0000E0890000}"/>
    <cellStyle name="Comma 2 3 6 2 5" xfId="24198" xr:uid="{00000000-0005-0000-0000-0000E1890000}"/>
    <cellStyle name="Comma 2 3 6 2 6" xfId="31300" xr:uid="{00000000-0005-0000-0000-0000E2890000}"/>
    <cellStyle name="Comma 2 3 6 2 7" xfId="40686" xr:uid="{00000000-0005-0000-0000-0000E3890000}"/>
    <cellStyle name="Comma 2 3 6 3" xfId="5734" xr:uid="{00000000-0005-0000-0000-0000E4890000}"/>
    <cellStyle name="Comma 2 3 6 3 2" xfId="12835" xr:uid="{00000000-0005-0000-0000-0000E5890000}"/>
    <cellStyle name="Comma 2 3 6 3 3" xfId="19936" xr:uid="{00000000-0005-0000-0000-0000E6890000}"/>
    <cellStyle name="Comma 2 3 6 3 4" xfId="27038" xr:uid="{00000000-0005-0000-0000-0000E7890000}"/>
    <cellStyle name="Comma 2 3 6 3 5" xfId="34140" xr:uid="{00000000-0005-0000-0000-0000E8890000}"/>
    <cellStyle name="Comma 2 3 6 4" xfId="4309" xr:uid="{00000000-0005-0000-0000-0000E9890000}"/>
    <cellStyle name="Comma 2 3 6 4 2" xfId="11415" xr:uid="{00000000-0005-0000-0000-0000EA890000}"/>
    <cellStyle name="Comma 2 3 6 4 3" xfId="18516" xr:uid="{00000000-0005-0000-0000-0000EB890000}"/>
    <cellStyle name="Comma 2 3 6 4 4" xfId="25618" xr:uid="{00000000-0005-0000-0000-0000EC890000}"/>
    <cellStyle name="Comma 2 3 6 4 5" xfId="32720" xr:uid="{00000000-0005-0000-0000-0000ED890000}"/>
    <cellStyle name="Comma 2 3 6 5" xfId="8575" xr:uid="{00000000-0005-0000-0000-0000EE890000}"/>
    <cellStyle name="Comma 2 3 6 6" xfId="15676" xr:uid="{00000000-0005-0000-0000-0000EF890000}"/>
    <cellStyle name="Comma 2 3 6 7" xfId="22778" xr:uid="{00000000-0005-0000-0000-0000F0890000}"/>
    <cellStyle name="Comma 2 3 6 8" xfId="29880" xr:uid="{00000000-0005-0000-0000-0000F1890000}"/>
    <cellStyle name="Comma 2 3 6 9" xfId="40687" xr:uid="{00000000-0005-0000-0000-0000F2890000}"/>
    <cellStyle name="Comma 2 3 7" xfId="1680" xr:uid="{00000000-0005-0000-0000-0000F3890000}"/>
    <cellStyle name="Comma 2 3 7 2" xfId="5948" xr:uid="{00000000-0005-0000-0000-0000F4890000}"/>
    <cellStyle name="Comma 2 3 7 2 2" xfId="13048" xr:uid="{00000000-0005-0000-0000-0000F5890000}"/>
    <cellStyle name="Comma 2 3 7 2 3" xfId="20149" xr:uid="{00000000-0005-0000-0000-0000F6890000}"/>
    <cellStyle name="Comma 2 3 7 2 4" xfId="27251" xr:uid="{00000000-0005-0000-0000-0000F7890000}"/>
    <cellStyle name="Comma 2 3 7 2 5" xfId="34353" xr:uid="{00000000-0005-0000-0000-0000F8890000}"/>
    <cellStyle name="Comma 2 3 7 3" xfId="8788" xr:uid="{00000000-0005-0000-0000-0000F9890000}"/>
    <cellStyle name="Comma 2 3 7 4" xfId="15889" xr:uid="{00000000-0005-0000-0000-0000FA890000}"/>
    <cellStyle name="Comma 2 3 7 5" xfId="22991" xr:uid="{00000000-0005-0000-0000-0000FB890000}"/>
    <cellStyle name="Comma 2 3 7 6" xfId="30093" xr:uid="{00000000-0005-0000-0000-0000FC890000}"/>
    <cellStyle name="Comma 2 3 7 7" xfId="40688" xr:uid="{00000000-0005-0000-0000-0000FD890000}"/>
    <cellStyle name="Comma 2 3 8" xfId="4527" xr:uid="{00000000-0005-0000-0000-0000FE890000}"/>
    <cellStyle name="Comma 2 3 8 2" xfId="11628" xr:uid="{00000000-0005-0000-0000-0000FF890000}"/>
    <cellStyle name="Comma 2 3 8 3" xfId="18729" xr:uid="{00000000-0005-0000-0000-0000008A0000}"/>
    <cellStyle name="Comma 2 3 8 4" xfId="25831" xr:uid="{00000000-0005-0000-0000-0000018A0000}"/>
    <cellStyle name="Comma 2 3 8 5" xfId="32933" xr:uid="{00000000-0005-0000-0000-0000028A0000}"/>
    <cellStyle name="Comma 2 3 9" xfId="3102" xr:uid="{00000000-0005-0000-0000-0000038A0000}"/>
    <cellStyle name="Comma 2 3 9 2" xfId="10208" xr:uid="{00000000-0005-0000-0000-0000048A0000}"/>
    <cellStyle name="Comma 2 3 9 3" xfId="17309" xr:uid="{00000000-0005-0000-0000-0000058A0000}"/>
    <cellStyle name="Comma 2 3 9 4" xfId="24411" xr:uid="{00000000-0005-0000-0000-0000068A0000}"/>
    <cellStyle name="Comma 2 3 9 5" xfId="31513" xr:uid="{00000000-0005-0000-0000-0000078A0000}"/>
    <cellStyle name="Comma 2 4" xfId="331" xr:uid="{00000000-0005-0000-0000-0000088A0000}"/>
    <cellStyle name="Comma 2 4 10" xfId="40689" xr:uid="{00000000-0005-0000-0000-0000098A0000}"/>
    <cellStyle name="Comma 2 4 2" xfId="1112" xr:uid="{00000000-0005-0000-0000-00000A8A0000}"/>
    <cellStyle name="Comma 2 4 2 2" xfId="2603" xr:uid="{00000000-0005-0000-0000-00000B8A0000}"/>
    <cellStyle name="Comma 2 4 2 2 2" xfId="6871" xr:uid="{00000000-0005-0000-0000-00000C8A0000}"/>
    <cellStyle name="Comma 2 4 2 2 2 2" xfId="13971" xr:uid="{00000000-0005-0000-0000-00000D8A0000}"/>
    <cellStyle name="Comma 2 4 2 2 2 3" xfId="21072" xr:uid="{00000000-0005-0000-0000-00000E8A0000}"/>
    <cellStyle name="Comma 2 4 2 2 2 4" xfId="28174" xr:uid="{00000000-0005-0000-0000-00000F8A0000}"/>
    <cellStyle name="Comma 2 4 2 2 2 5" xfId="35276" xr:uid="{00000000-0005-0000-0000-0000108A0000}"/>
    <cellStyle name="Comma 2 4 2 2 2 6" xfId="40690" xr:uid="{00000000-0005-0000-0000-0000118A0000}"/>
    <cellStyle name="Comma 2 4 2 2 3" xfId="9711" xr:uid="{00000000-0005-0000-0000-0000128A0000}"/>
    <cellStyle name="Comma 2 4 2 2 4" xfId="16812" xr:uid="{00000000-0005-0000-0000-0000138A0000}"/>
    <cellStyle name="Comma 2 4 2 2 5" xfId="23914" xr:uid="{00000000-0005-0000-0000-0000148A0000}"/>
    <cellStyle name="Comma 2 4 2 2 6" xfId="31016" xr:uid="{00000000-0005-0000-0000-0000158A0000}"/>
    <cellStyle name="Comma 2 4 2 2 7" xfId="40691" xr:uid="{00000000-0005-0000-0000-0000168A0000}"/>
    <cellStyle name="Comma 2 4 2 3" xfId="5450" xr:uid="{00000000-0005-0000-0000-0000178A0000}"/>
    <cellStyle name="Comma 2 4 2 3 2" xfId="12551" xr:uid="{00000000-0005-0000-0000-0000188A0000}"/>
    <cellStyle name="Comma 2 4 2 3 2 2" xfId="40692" xr:uid="{00000000-0005-0000-0000-0000198A0000}"/>
    <cellStyle name="Comma 2 4 2 3 3" xfId="19652" xr:uid="{00000000-0005-0000-0000-00001A8A0000}"/>
    <cellStyle name="Comma 2 4 2 3 4" xfId="26754" xr:uid="{00000000-0005-0000-0000-00001B8A0000}"/>
    <cellStyle name="Comma 2 4 2 3 5" xfId="33856" xr:uid="{00000000-0005-0000-0000-00001C8A0000}"/>
    <cellStyle name="Comma 2 4 2 3 6" xfId="40693" xr:uid="{00000000-0005-0000-0000-00001D8A0000}"/>
    <cellStyle name="Comma 2 4 2 4" xfId="4025" xr:uid="{00000000-0005-0000-0000-00001E8A0000}"/>
    <cellStyle name="Comma 2 4 2 4 2" xfId="11131" xr:uid="{00000000-0005-0000-0000-00001F8A0000}"/>
    <cellStyle name="Comma 2 4 2 4 3" xfId="18232" xr:uid="{00000000-0005-0000-0000-0000208A0000}"/>
    <cellStyle name="Comma 2 4 2 4 4" xfId="25334" xr:uid="{00000000-0005-0000-0000-0000218A0000}"/>
    <cellStyle name="Comma 2 4 2 4 5" xfId="32436" xr:uid="{00000000-0005-0000-0000-0000228A0000}"/>
    <cellStyle name="Comma 2 4 2 4 6" xfId="40694" xr:uid="{00000000-0005-0000-0000-0000238A0000}"/>
    <cellStyle name="Comma 2 4 2 5" xfId="8291" xr:uid="{00000000-0005-0000-0000-0000248A0000}"/>
    <cellStyle name="Comma 2 4 2 6" xfId="15392" xr:uid="{00000000-0005-0000-0000-0000258A0000}"/>
    <cellStyle name="Comma 2 4 2 7" xfId="22494" xr:uid="{00000000-0005-0000-0000-0000268A0000}"/>
    <cellStyle name="Comma 2 4 2 8" xfId="29596" xr:uid="{00000000-0005-0000-0000-0000278A0000}"/>
    <cellStyle name="Comma 2 4 2 9" xfId="40695" xr:uid="{00000000-0005-0000-0000-0000288A0000}"/>
    <cellStyle name="Comma 2 4 3" xfId="1822" xr:uid="{00000000-0005-0000-0000-0000298A0000}"/>
    <cellStyle name="Comma 2 4 3 2" xfId="6090" xr:uid="{00000000-0005-0000-0000-00002A8A0000}"/>
    <cellStyle name="Comma 2 4 3 2 2" xfId="13190" xr:uid="{00000000-0005-0000-0000-00002B8A0000}"/>
    <cellStyle name="Comma 2 4 3 2 2 2" xfId="40696" xr:uid="{00000000-0005-0000-0000-00002C8A0000}"/>
    <cellStyle name="Comma 2 4 3 2 3" xfId="20291" xr:uid="{00000000-0005-0000-0000-00002D8A0000}"/>
    <cellStyle name="Comma 2 4 3 2 4" xfId="27393" xr:uid="{00000000-0005-0000-0000-00002E8A0000}"/>
    <cellStyle name="Comma 2 4 3 2 5" xfId="34495" xr:uid="{00000000-0005-0000-0000-00002F8A0000}"/>
    <cellStyle name="Comma 2 4 3 2 6" xfId="40697" xr:uid="{00000000-0005-0000-0000-0000308A0000}"/>
    <cellStyle name="Comma 2 4 3 3" xfId="8930" xr:uid="{00000000-0005-0000-0000-0000318A0000}"/>
    <cellStyle name="Comma 2 4 3 3 2" xfId="40698" xr:uid="{00000000-0005-0000-0000-0000328A0000}"/>
    <cellStyle name="Comma 2 4 3 3 3" xfId="40699" xr:uid="{00000000-0005-0000-0000-0000338A0000}"/>
    <cellStyle name="Comma 2 4 3 4" xfId="16031" xr:uid="{00000000-0005-0000-0000-0000348A0000}"/>
    <cellStyle name="Comma 2 4 3 4 2" xfId="40700" xr:uid="{00000000-0005-0000-0000-0000358A0000}"/>
    <cellStyle name="Comma 2 4 3 5" xfId="23133" xr:uid="{00000000-0005-0000-0000-0000368A0000}"/>
    <cellStyle name="Comma 2 4 3 6" xfId="30235" xr:uid="{00000000-0005-0000-0000-0000378A0000}"/>
    <cellStyle name="Comma 2 4 3 7" xfId="40701" xr:uid="{00000000-0005-0000-0000-0000388A0000}"/>
    <cellStyle name="Comma 2 4 4" xfId="4669" xr:uid="{00000000-0005-0000-0000-0000398A0000}"/>
    <cellStyle name="Comma 2 4 4 2" xfId="11770" xr:uid="{00000000-0005-0000-0000-00003A8A0000}"/>
    <cellStyle name="Comma 2 4 4 2 2" xfId="40702" xr:uid="{00000000-0005-0000-0000-00003B8A0000}"/>
    <cellStyle name="Comma 2 4 4 2 3" xfId="40703" xr:uid="{00000000-0005-0000-0000-00003C8A0000}"/>
    <cellStyle name="Comma 2 4 4 3" xfId="18871" xr:uid="{00000000-0005-0000-0000-00003D8A0000}"/>
    <cellStyle name="Comma 2 4 4 3 2" xfId="40704" xr:uid="{00000000-0005-0000-0000-00003E8A0000}"/>
    <cellStyle name="Comma 2 4 4 3 3" xfId="40705" xr:uid="{00000000-0005-0000-0000-00003F8A0000}"/>
    <cellStyle name="Comma 2 4 4 4" xfId="25973" xr:uid="{00000000-0005-0000-0000-0000408A0000}"/>
    <cellStyle name="Comma 2 4 4 4 2" xfId="40706" xr:uid="{00000000-0005-0000-0000-0000418A0000}"/>
    <cellStyle name="Comma 2 4 4 5" xfId="33075" xr:uid="{00000000-0005-0000-0000-0000428A0000}"/>
    <cellStyle name="Comma 2 4 4 6" xfId="40707" xr:uid="{00000000-0005-0000-0000-0000438A0000}"/>
    <cellStyle name="Comma 2 4 5" xfId="3244" xr:uid="{00000000-0005-0000-0000-0000448A0000}"/>
    <cellStyle name="Comma 2 4 5 2" xfId="10350" xr:uid="{00000000-0005-0000-0000-0000458A0000}"/>
    <cellStyle name="Comma 2 4 5 2 2" xfId="40708" xr:uid="{00000000-0005-0000-0000-0000468A0000}"/>
    <cellStyle name="Comma 2 4 5 3" xfId="17451" xr:uid="{00000000-0005-0000-0000-0000478A0000}"/>
    <cellStyle name="Comma 2 4 5 4" xfId="24553" xr:uid="{00000000-0005-0000-0000-0000488A0000}"/>
    <cellStyle name="Comma 2 4 5 5" xfId="31655" xr:uid="{00000000-0005-0000-0000-0000498A0000}"/>
    <cellStyle name="Comma 2 4 5 6" xfId="40709" xr:uid="{00000000-0005-0000-0000-00004A8A0000}"/>
    <cellStyle name="Comma 2 4 6" xfId="7510" xr:uid="{00000000-0005-0000-0000-00004B8A0000}"/>
    <cellStyle name="Comma 2 4 6 2" xfId="40710" xr:uid="{00000000-0005-0000-0000-00004C8A0000}"/>
    <cellStyle name="Comma 2 4 6 3" xfId="40711" xr:uid="{00000000-0005-0000-0000-00004D8A0000}"/>
    <cellStyle name="Comma 2 4 7" xfId="14611" xr:uid="{00000000-0005-0000-0000-00004E8A0000}"/>
    <cellStyle name="Comma 2 4 7 2" xfId="40712" xr:uid="{00000000-0005-0000-0000-00004F8A0000}"/>
    <cellStyle name="Comma 2 4 8" xfId="21713" xr:uid="{00000000-0005-0000-0000-0000508A0000}"/>
    <cellStyle name="Comma 2 4 9" xfId="28815" xr:uid="{00000000-0005-0000-0000-0000518A0000}"/>
    <cellStyle name="Comma 2 5" xfId="544" xr:uid="{00000000-0005-0000-0000-0000528A0000}"/>
    <cellStyle name="Comma 2 5 2" xfId="2035" xr:uid="{00000000-0005-0000-0000-0000538A0000}"/>
    <cellStyle name="Comma 2 5 2 2" xfId="6303" xr:uid="{00000000-0005-0000-0000-0000548A0000}"/>
    <cellStyle name="Comma 2 5 2 2 2" xfId="13403" xr:uid="{00000000-0005-0000-0000-0000558A0000}"/>
    <cellStyle name="Comma 2 5 2 2 3" xfId="20504" xr:uid="{00000000-0005-0000-0000-0000568A0000}"/>
    <cellStyle name="Comma 2 5 2 2 4" xfId="27606" xr:uid="{00000000-0005-0000-0000-0000578A0000}"/>
    <cellStyle name="Comma 2 5 2 2 5" xfId="34708" xr:uid="{00000000-0005-0000-0000-0000588A0000}"/>
    <cellStyle name="Comma 2 5 2 2 6" xfId="40713" xr:uid="{00000000-0005-0000-0000-0000598A0000}"/>
    <cellStyle name="Comma 2 5 2 3" xfId="9143" xr:uid="{00000000-0005-0000-0000-00005A8A0000}"/>
    <cellStyle name="Comma 2 5 2 4" xfId="16244" xr:uid="{00000000-0005-0000-0000-00005B8A0000}"/>
    <cellStyle name="Comma 2 5 2 5" xfId="23346" xr:uid="{00000000-0005-0000-0000-00005C8A0000}"/>
    <cellStyle name="Comma 2 5 2 6" xfId="30448" xr:uid="{00000000-0005-0000-0000-00005D8A0000}"/>
    <cellStyle name="Comma 2 5 2 7" xfId="40714" xr:uid="{00000000-0005-0000-0000-00005E8A0000}"/>
    <cellStyle name="Comma 2 5 3" xfId="4882" xr:uid="{00000000-0005-0000-0000-00005F8A0000}"/>
    <cellStyle name="Comma 2 5 3 2" xfId="11983" xr:uid="{00000000-0005-0000-0000-0000608A0000}"/>
    <cellStyle name="Comma 2 5 3 2 2" xfId="40715" xr:uid="{00000000-0005-0000-0000-0000618A0000}"/>
    <cellStyle name="Comma 2 5 3 3" xfId="19084" xr:uid="{00000000-0005-0000-0000-0000628A0000}"/>
    <cellStyle name="Comma 2 5 3 4" xfId="26186" xr:uid="{00000000-0005-0000-0000-0000638A0000}"/>
    <cellStyle name="Comma 2 5 3 5" xfId="33288" xr:uid="{00000000-0005-0000-0000-0000648A0000}"/>
    <cellStyle name="Comma 2 5 3 6" xfId="40716" xr:uid="{00000000-0005-0000-0000-0000658A0000}"/>
    <cellStyle name="Comma 2 5 4" xfId="3457" xr:uid="{00000000-0005-0000-0000-0000668A0000}"/>
    <cellStyle name="Comma 2 5 4 2" xfId="10563" xr:uid="{00000000-0005-0000-0000-0000678A0000}"/>
    <cellStyle name="Comma 2 5 4 3" xfId="17664" xr:uid="{00000000-0005-0000-0000-0000688A0000}"/>
    <cellStyle name="Comma 2 5 4 4" xfId="24766" xr:uid="{00000000-0005-0000-0000-0000698A0000}"/>
    <cellStyle name="Comma 2 5 4 5" xfId="31868" xr:uid="{00000000-0005-0000-0000-00006A8A0000}"/>
    <cellStyle name="Comma 2 5 4 6" xfId="40717" xr:uid="{00000000-0005-0000-0000-00006B8A0000}"/>
    <cellStyle name="Comma 2 5 5" xfId="7723" xr:uid="{00000000-0005-0000-0000-00006C8A0000}"/>
    <cellStyle name="Comma 2 5 6" xfId="14824" xr:uid="{00000000-0005-0000-0000-00006D8A0000}"/>
    <cellStyle name="Comma 2 5 7" xfId="21926" xr:uid="{00000000-0005-0000-0000-00006E8A0000}"/>
    <cellStyle name="Comma 2 5 8" xfId="29028" xr:uid="{00000000-0005-0000-0000-00006F8A0000}"/>
    <cellStyle name="Comma 2 5 9" xfId="40718" xr:uid="{00000000-0005-0000-0000-0000708A0000}"/>
    <cellStyle name="Comma 2 6" xfId="757" xr:uid="{00000000-0005-0000-0000-0000718A0000}"/>
    <cellStyle name="Comma 2 6 2" xfId="2248" xr:uid="{00000000-0005-0000-0000-0000728A0000}"/>
    <cellStyle name="Comma 2 6 2 2" xfId="6516" xr:uid="{00000000-0005-0000-0000-0000738A0000}"/>
    <cellStyle name="Comma 2 6 2 2 2" xfId="13616" xr:uid="{00000000-0005-0000-0000-0000748A0000}"/>
    <cellStyle name="Comma 2 6 2 2 3" xfId="20717" xr:uid="{00000000-0005-0000-0000-0000758A0000}"/>
    <cellStyle name="Comma 2 6 2 2 4" xfId="27819" xr:uid="{00000000-0005-0000-0000-0000768A0000}"/>
    <cellStyle name="Comma 2 6 2 2 5" xfId="34921" xr:uid="{00000000-0005-0000-0000-0000778A0000}"/>
    <cellStyle name="Comma 2 6 2 2 6" xfId="40719" xr:uid="{00000000-0005-0000-0000-0000788A0000}"/>
    <cellStyle name="Comma 2 6 2 3" xfId="9356" xr:uid="{00000000-0005-0000-0000-0000798A0000}"/>
    <cellStyle name="Comma 2 6 2 4" xfId="16457" xr:uid="{00000000-0005-0000-0000-00007A8A0000}"/>
    <cellStyle name="Comma 2 6 2 5" xfId="23559" xr:uid="{00000000-0005-0000-0000-00007B8A0000}"/>
    <cellStyle name="Comma 2 6 2 6" xfId="30661" xr:uid="{00000000-0005-0000-0000-00007C8A0000}"/>
    <cellStyle name="Comma 2 6 2 7" xfId="40720" xr:uid="{00000000-0005-0000-0000-00007D8A0000}"/>
    <cellStyle name="Comma 2 6 3" xfId="5095" xr:uid="{00000000-0005-0000-0000-00007E8A0000}"/>
    <cellStyle name="Comma 2 6 3 2" xfId="12196" xr:uid="{00000000-0005-0000-0000-00007F8A0000}"/>
    <cellStyle name="Comma 2 6 3 2 2" xfId="40721" xr:uid="{00000000-0005-0000-0000-0000808A0000}"/>
    <cellStyle name="Comma 2 6 3 3" xfId="19297" xr:uid="{00000000-0005-0000-0000-0000818A0000}"/>
    <cellStyle name="Comma 2 6 3 4" xfId="26399" xr:uid="{00000000-0005-0000-0000-0000828A0000}"/>
    <cellStyle name="Comma 2 6 3 5" xfId="33501" xr:uid="{00000000-0005-0000-0000-0000838A0000}"/>
    <cellStyle name="Comma 2 6 3 6" xfId="40722" xr:uid="{00000000-0005-0000-0000-0000848A0000}"/>
    <cellStyle name="Comma 2 6 4" xfId="3670" xr:uid="{00000000-0005-0000-0000-0000858A0000}"/>
    <cellStyle name="Comma 2 6 4 2" xfId="10776" xr:uid="{00000000-0005-0000-0000-0000868A0000}"/>
    <cellStyle name="Comma 2 6 4 3" xfId="17877" xr:uid="{00000000-0005-0000-0000-0000878A0000}"/>
    <cellStyle name="Comma 2 6 4 4" xfId="24979" xr:uid="{00000000-0005-0000-0000-0000888A0000}"/>
    <cellStyle name="Comma 2 6 4 5" xfId="32081" xr:uid="{00000000-0005-0000-0000-0000898A0000}"/>
    <cellStyle name="Comma 2 6 4 6" xfId="40723" xr:uid="{00000000-0005-0000-0000-00008A8A0000}"/>
    <cellStyle name="Comma 2 6 5" xfId="7936" xr:uid="{00000000-0005-0000-0000-00008B8A0000}"/>
    <cellStyle name="Comma 2 6 6" xfId="15037" xr:uid="{00000000-0005-0000-0000-00008C8A0000}"/>
    <cellStyle name="Comma 2 6 7" xfId="22139" xr:uid="{00000000-0005-0000-0000-00008D8A0000}"/>
    <cellStyle name="Comma 2 6 8" xfId="29241" xr:uid="{00000000-0005-0000-0000-00008E8A0000}"/>
    <cellStyle name="Comma 2 6 9" xfId="40724" xr:uid="{00000000-0005-0000-0000-00008F8A0000}"/>
    <cellStyle name="Comma 2 7" xfId="970" xr:uid="{00000000-0005-0000-0000-0000908A0000}"/>
    <cellStyle name="Comma 2 7 2" xfId="2461" xr:uid="{00000000-0005-0000-0000-0000918A0000}"/>
    <cellStyle name="Comma 2 7 2 2" xfId="6729" xr:uid="{00000000-0005-0000-0000-0000928A0000}"/>
    <cellStyle name="Comma 2 7 2 2 2" xfId="13829" xr:uid="{00000000-0005-0000-0000-0000938A0000}"/>
    <cellStyle name="Comma 2 7 2 2 3" xfId="20930" xr:uid="{00000000-0005-0000-0000-0000948A0000}"/>
    <cellStyle name="Comma 2 7 2 2 4" xfId="28032" xr:uid="{00000000-0005-0000-0000-0000958A0000}"/>
    <cellStyle name="Comma 2 7 2 2 5" xfId="35134" xr:uid="{00000000-0005-0000-0000-0000968A0000}"/>
    <cellStyle name="Comma 2 7 2 2 6" xfId="40725" xr:uid="{00000000-0005-0000-0000-0000978A0000}"/>
    <cellStyle name="Comma 2 7 2 3" xfId="9569" xr:uid="{00000000-0005-0000-0000-0000988A0000}"/>
    <cellStyle name="Comma 2 7 2 4" xfId="16670" xr:uid="{00000000-0005-0000-0000-0000998A0000}"/>
    <cellStyle name="Comma 2 7 2 5" xfId="23772" xr:uid="{00000000-0005-0000-0000-00009A8A0000}"/>
    <cellStyle name="Comma 2 7 2 6" xfId="30874" xr:uid="{00000000-0005-0000-0000-00009B8A0000}"/>
    <cellStyle name="Comma 2 7 2 7" xfId="40726" xr:uid="{00000000-0005-0000-0000-00009C8A0000}"/>
    <cellStyle name="Comma 2 7 3" xfId="5308" xr:uid="{00000000-0005-0000-0000-00009D8A0000}"/>
    <cellStyle name="Comma 2 7 3 2" xfId="12409" xr:uid="{00000000-0005-0000-0000-00009E8A0000}"/>
    <cellStyle name="Comma 2 7 3 2 2" xfId="40727" xr:uid="{00000000-0005-0000-0000-00009F8A0000}"/>
    <cellStyle name="Comma 2 7 3 3" xfId="19510" xr:uid="{00000000-0005-0000-0000-0000A08A0000}"/>
    <cellStyle name="Comma 2 7 3 4" xfId="26612" xr:uid="{00000000-0005-0000-0000-0000A18A0000}"/>
    <cellStyle name="Comma 2 7 3 5" xfId="33714" xr:uid="{00000000-0005-0000-0000-0000A28A0000}"/>
    <cellStyle name="Comma 2 7 3 6" xfId="40728" xr:uid="{00000000-0005-0000-0000-0000A38A0000}"/>
    <cellStyle name="Comma 2 7 4" xfId="3883" xr:uid="{00000000-0005-0000-0000-0000A48A0000}"/>
    <cellStyle name="Comma 2 7 4 2" xfId="10989" xr:uid="{00000000-0005-0000-0000-0000A58A0000}"/>
    <cellStyle name="Comma 2 7 4 3" xfId="18090" xr:uid="{00000000-0005-0000-0000-0000A68A0000}"/>
    <cellStyle name="Comma 2 7 4 4" xfId="25192" xr:uid="{00000000-0005-0000-0000-0000A78A0000}"/>
    <cellStyle name="Comma 2 7 4 5" xfId="32294" xr:uid="{00000000-0005-0000-0000-0000A88A0000}"/>
    <cellStyle name="Comma 2 7 4 6" xfId="40729" xr:uid="{00000000-0005-0000-0000-0000A98A0000}"/>
    <cellStyle name="Comma 2 7 5" xfId="8149" xr:uid="{00000000-0005-0000-0000-0000AA8A0000}"/>
    <cellStyle name="Comma 2 7 6" xfId="15250" xr:uid="{00000000-0005-0000-0000-0000AB8A0000}"/>
    <cellStyle name="Comma 2 7 7" xfId="22352" xr:uid="{00000000-0005-0000-0000-0000AC8A0000}"/>
    <cellStyle name="Comma 2 7 8" xfId="29454" xr:uid="{00000000-0005-0000-0000-0000AD8A0000}"/>
    <cellStyle name="Comma 2 7 9" xfId="40730" xr:uid="{00000000-0005-0000-0000-0000AE8A0000}"/>
    <cellStyle name="Comma 2 8" xfId="1325" xr:uid="{00000000-0005-0000-0000-0000AF8A0000}"/>
    <cellStyle name="Comma 2 8 2" xfId="2816" xr:uid="{00000000-0005-0000-0000-0000B08A0000}"/>
    <cellStyle name="Comma 2 8 2 2" xfId="7084" xr:uid="{00000000-0005-0000-0000-0000B18A0000}"/>
    <cellStyle name="Comma 2 8 2 2 2" xfId="14184" xr:uid="{00000000-0005-0000-0000-0000B28A0000}"/>
    <cellStyle name="Comma 2 8 2 2 3" xfId="21285" xr:uid="{00000000-0005-0000-0000-0000B38A0000}"/>
    <cellStyle name="Comma 2 8 2 2 4" xfId="28387" xr:uid="{00000000-0005-0000-0000-0000B48A0000}"/>
    <cellStyle name="Comma 2 8 2 2 5" xfId="35489" xr:uid="{00000000-0005-0000-0000-0000B58A0000}"/>
    <cellStyle name="Comma 2 8 2 3" xfId="9924" xr:uid="{00000000-0005-0000-0000-0000B68A0000}"/>
    <cellStyle name="Comma 2 8 2 4" xfId="17025" xr:uid="{00000000-0005-0000-0000-0000B78A0000}"/>
    <cellStyle name="Comma 2 8 2 5" xfId="24127" xr:uid="{00000000-0005-0000-0000-0000B88A0000}"/>
    <cellStyle name="Comma 2 8 2 6" xfId="31229" xr:uid="{00000000-0005-0000-0000-0000B98A0000}"/>
    <cellStyle name="Comma 2 8 2 7" xfId="40731" xr:uid="{00000000-0005-0000-0000-0000BA8A0000}"/>
    <cellStyle name="Comma 2 8 3" xfId="5663" xr:uid="{00000000-0005-0000-0000-0000BB8A0000}"/>
    <cellStyle name="Comma 2 8 3 2" xfId="12764" xr:uid="{00000000-0005-0000-0000-0000BC8A0000}"/>
    <cellStyle name="Comma 2 8 3 3" xfId="19865" xr:uid="{00000000-0005-0000-0000-0000BD8A0000}"/>
    <cellStyle name="Comma 2 8 3 4" xfId="26967" xr:uid="{00000000-0005-0000-0000-0000BE8A0000}"/>
    <cellStyle name="Comma 2 8 3 5" xfId="34069" xr:uid="{00000000-0005-0000-0000-0000BF8A0000}"/>
    <cellStyle name="Comma 2 8 4" xfId="4238" xr:uid="{00000000-0005-0000-0000-0000C08A0000}"/>
    <cellStyle name="Comma 2 8 4 2" xfId="11344" xr:uid="{00000000-0005-0000-0000-0000C18A0000}"/>
    <cellStyle name="Comma 2 8 4 3" xfId="18445" xr:uid="{00000000-0005-0000-0000-0000C28A0000}"/>
    <cellStyle name="Comma 2 8 4 4" xfId="25547" xr:uid="{00000000-0005-0000-0000-0000C38A0000}"/>
    <cellStyle name="Comma 2 8 4 5" xfId="32649" xr:uid="{00000000-0005-0000-0000-0000C48A0000}"/>
    <cellStyle name="Comma 2 8 5" xfId="8504" xr:uid="{00000000-0005-0000-0000-0000C58A0000}"/>
    <cellStyle name="Comma 2 8 6" xfId="15605" xr:uid="{00000000-0005-0000-0000-0000C68A0000}"/>
    <cellStyle name="Comma 2 8 7" xfId="22707" xr:uid="{00000000-0005-0000-0000-0000C78A0000}"/>
    <cellStyle name="Comma 2 8 8" xfId="29809" xr:uid="{00000000-0005-0000-0000-0000C88A0000}"/>
    <cellStyle name="Comma 2 8 9" xfId="40732" xr:uid="{00000000-0005-0000-0000-0000C98A0000}"/>
    <cellStyle name="Comma 2 9" xfId="1609" xr:uid="{00000000-0005-0000-0000-0000CA8A0000}"/>
    <cellStyle name="Comma 2 9 2" xfId="5877" xr:uid="{00000000-0005-0000-0000-0000CB8A0000}"/>
    <cellStyle name="Comma 2 9 2 2" xfId="12977" xr:uid="{00000000-0005-0000-0000-0000CC8A0000}"/>
    <cellStyle name="Comma 2 9 2 3" xfId="20078" xr:uid="{00000000-0005-0000-0000-0000CD8A0000}"/>
    <cellStyle name="Comma 2 9 2 4" xfId="27180" xr:uid="{00000000-0005-0000-0000-0000CE8A0000}"/>
    <cellStyle name="Comma 2 9 2 5" xfId="34282" xr:uid="{00000000-0005-0000-0000-0000CF8A0000}"/>
    <cellStyle name="Comma 2 9 2 6" xfId="40733" xr:uid="{00000000-0005-0000-0000-0000D08A0000}"/>
    <cellStyle name="Comma 2 9 3" xfId="8717" xr:uid="{00000000-0005-0000-0000-0000D18A0000}"/>
    <cellStyle name="Comma 2 9 4" xfId="15818" xr:uid="{00000000-0005-0000-0000-0000D28A0000}"/>
    <cellStyle name="Comma 2 9 5" xfId="22920" xr:uid="{00000000-0005-0000-0000-0000D38A0000}"/>
    <cellStyle name="Comma 2 9 6" xfId="30022" xr:uid="{00000000-0005-0000-0000-0000D48A0000}"/>
    <cellStyle name="Comma 2 9 7" xfId="40734" xr:uid="{00000000-0005-0000-0000-0000D58A0000}"/>
    <cellStyle name="Comma 3" xfId="1495" xr:uid="{00000000-0005-0000-0000-0000D68A0000}"/>
    <cellStyle name="Comma 4" xfId="35874" xr:uid="{00000000-0005-0000-0000-0000D78A0000}"/>
    <cellStyle name="Comma 5" xfId="35883" xr:uid="{00000000-0005-0000-0000-0000D88A0000}"/>
    <cellStyle name="Comma 6" xfId="40735" xr:uid="{00000000-0005-0000-0000-0000D98A0000}"/>
    <cellStyle name="Comma 7" xfId="40736" xr:uid="{00000000-0005-0000-0000-0000DA8A0000}"/>
    <cellStyle name="Currency" xfId="35876" builtinId="4"/>
    <cellStyle name="Currency [0] 2" xfId="1497" xr:uid="{00000000-0005-0000-0000-0000DC8A0000}"/>
    <cellStyle name="Currency [0] 2 2" xfId="1498" xr:uid="{00000000-0005-0000-0000-0000DD8A0000}"/>
    <cellStyle name="Currency 10" xfId="40737" xr:uid="{00000000-0005-0000-0000-0000DE8A0000}"/>
    <cellStyle name="Currency 11" xfId="40738" xr:uid="{00000000-0005-0000-0000-0000DF8A0000}"/>
    <cellStyle name="Currency 12" xfId="40739" xr:uid="{00000000-0005-0000-0000-0000E08A0000}"/>
    <cellStyle name="Currency 13" xfId="40740" xr:uid="{00000000-0005-0000-0000-0000E18A0000}"/>
    <cellStyle name="Currency 14" xfId="40741" xr:uid="{00000000-0005-0000-0000-0000E28A0000}"/>
    <cellStyle name="Currency 15" xfId="40742" xr:uid="{00000000-0005-0000-0000-0000E38A0000}"/>
    <cellStyle name="Currency 16" xfId="40743" xr:uid="{00000000-0005-0000-0000-0000E48A0000}"/>
    <cellStyle name="Currency 17" xfId="40744" xr:uid="{00000000-0005-0000-0000-0000E58A0000}"/>
    <cellStyle name="Currency 18" xfId="40745" xr:uid="{00000000-0005-0000-0000-0000E68A0000}"/>
    <cellStyle name="Currency 19" xfId="40746" xr:uid="{00000000-0005-0000-0000-0000E78A0000}"/>
    <cellStyle name="Currency 2" xfId="70" xr:uid="{00000000-0005-0000-0000-0000E88A0000}"/>
    <cellStyle name="Currency 2 2" xfId="92" xr:uid="{00000000-0005-0000-0000-0000E98A0000}"/>
    <cellStyle name="Currency 2 2 2" xfId="1500" xr:uid="{00000000-0005-0000-0000-0000EA8A0000}"/>
    <cellStyle name="Currency 2 2 3" xfId="1591" xr:uid="{00000000-0005-0000-0000-0000EB8A0000}"/>
    <cellStyle name="Currency 2 3" xfId="1499" xr:uid="{00000000-0005-0000-0000-0000EC8A0000}"/>
    <cellStyle name="Currency 2 4" xfId="1573" xr:uid="{00000000-0005-0000-0000-0000ED8A0000}"/>
    <cellStyle name="Currency 20" xfId="40747" xr:uid="{00000000-0005-0000-0000-0000EE8A0000}"/>
    <cellStyle name="Currency 21" xfId="40748" xr:uid="{00000000-0005-0000-0000-0000EF8A0000}"/>
    <cellStyle name="Currency 22" xfId="40749" xr:uid="{00000000-0005-0000-0000-0000F08A0000}"/>
    <cellStyle name="Currency 23" xfId="40750" xr:uid="{00000000-0005-0000-0000-0000F18A0000}"/>
    <cellStyle name="Currency 24" xfId="40751" xr:uid="{00000000-0005-0000-0000-0000F28A0000}"/>
    <cellStyle name="Currency 25" xfId="40752" xr:uid="{00000000-0005-0000-0000-0000F38A0000}"/>
    <cellStyle name="Currency 26" xfId="40753" xr:uid="{00000000-0005-0000-0000-0000F48A0000}"/>
    <cellStyle name="Currency 27" xfId="40754" xr:uid="{00000000-0005-0000-0000-0000F58A0000}"/>
    <cellStyle name="Currency 28" xfId="40755" xr:uid="{00000000-0005-0000-0000-0000F68A0000}"/>
    <cellStyle name="Currency 3" xfId="87" xr:uid="{00000000-0005-0000-0000-0000F78A0000}"/>
    <cellStyle name="Currency 3 2" xfId="111" xr:uid="{00000000-0005-0000-0000-0000F88A0000}"/>
    <cellStyle name="Currency 3 2 2" xfId="40756" xr:uid="{00000000-0005-0000-0000-0000F98A0000}"/>
    <cellStyle name="Currency 3 3" xfId="40757" xr:uid="{00000000-0005-0000-0000-0000FA8A0000}"/>
    <cellStyle name="Currency 4" xfId="72" xr:uid="{00000000-0005-0000-0000-0000FB8A0000}"/>
    <cellStyle name="Currency 5" xfId="1496" xr:uid="{00000000-0005-0000-0000-0000FC8A0000}"/>
    <cellStyle name="Currency 6" xfId="35878" xr:uid="{00000000-0005-0000-0000-0000FD8A0000}"/>
    <cellStyle name="Currency 7" xfId="35884" xr:uid="{00000000-0005-0000-0000-0000FE8A0000}"/>
    <cellStyle name="Currency 8" xfId="35887" xr:uid="{00000000-0005-0000-0000-0000FF8A0000}"/>
    <cellStyle name="Currency 9" xfId="40758" xr:uid="{00000000-0005-0000-0000-0000008B0000}"/>
    <cellStyle name="Explanatory Text" xfId="39" builtinId="53" customBuiltin="1"/>
    <cellStyle name="Explanatory Text 2" xfId="40759" xr:uid="{00000000-0005-0000-0000-0000028B0000}"/>
    <cellStyle name="Explanatory Text 3" xfId="40760" xr:uid="{00000000-0005-0000-0000-0000038B0000}"/>
    <cellStyle name="Good" xfId="30" builtinId="26" customBuiltin="1"/>
    <cellStyle name="Good 2" xfId="40761" xr:uid="{00000000-0005-0000-0000-0000058B0000}"/>
    <cellStyle name="Good 3" xfId="40762" xr:uid="{00000000-0005-0000-0000-0000068B0000}"/>
    <cellStyle name="Heading 1" xfId="26" builtinId="16" customBuiltin="1"/>
    <cellStyle name="Heading 1 2" xfId="40763" xr:uid="{00000000-0005-0000-0000-0000088B0000}"/>
    <cellStyle name="Heading 1 3" xfId="40764" xr:uid="{00000000-0005-0000-0000-0000098B0000}"/>
    <cellStyle name="Heading 2" xfId="27" builtinId="17" customBuiltin="1"/>
    <cellStyle name="Heading 2 2" xfId="40765" xr:uid="{00000000-0005-0000-0000-00000B8B0000}"/>
    <cellStyle name="Heading 2 3" xfId="40766" xr:uid="{00000000-0005-0000-0000-00000C8B0000}"/>
    <cellStyle name="Heading 3" xfId="28" builtinId="18" customBuiltin="1"/>
    <cellStyle name="Heading 3 2" xfId="40767" xr:uid="{00000000-0005-0000-0000-00000E8B0000}"/>
    <cellStyle name="Heading 3 3" xfId="40768" xr:uid="{00000000-0005-0000-0000-00000F8B0000}"/>
    <cellStyle name="Heading 4" xfId="29" builtinId="19" customBuiltin="1"/>
    <cellStyle name="Heading 4 2" xfId="40769" xr:uid="{00000000-0005-0000-0000-0000118B0000}"/>
    <cellStyle name="Heading 4 3" xfId="40770" xr:uid="{00000000-0005-0000-0000-0000128B0000}"/>
    <cellStyle name="Hyperlink" xfId="35875" builtinId="8"/>
    <cellStyle name="Hyperlink 2" xfId="1501" xr:uid="{00000000-0005-0000-0000-0000148B0000}"/>
    <cellStyle name="Hyperlink 3" xfId="1502" xr:uid="{00000000-0005-0000-0000-0000158B0000}"/>
    <cellStyle name="Input" xfId="33" builtinId="20" customBuiltin="1"/>
    <cellStyle name="Input 2" xfId="40771" xr:uid="{00000000-0005-0000-0000-0000178B0000}"/>
    <cellStyle name="Input 3" xfId="40772" xr:uid="{00000000-0005-0000-0000-0000188B0000}"/>
    <cellStyle name="Linked Cell" xfId="36" builtinId="24" customBuiltin="1"/>
    <cellStyle name="Linked Cell 2" xfId="40773" xr:uid="{00000000-0005-0000-0000-00001A8B0000}"/>
    <cellStyle name="Linked Cell 3" xfId="40774" xr:uid="{00000000-0005-0000-0000-00001B8B0000}"/>
    <cellStyle name="Neutral" xfId="32" builtinId="28" customBuiltin="1"/>
    <cellStyle name="Neutral 2" xfId="40775" xr:uid="{00000000-0005-0000-0000-00001D8B0000}"/>
    <cellStyle name="Neutral 3" xfId="40776" xr:uid="{00000000-0005-0000-0000-00001E8B0000}"/>
    <cellStyle name="Normal" xfId="0" builtinId="0"/>
    <cellStyle name="Normal 10" xfId="1" xr:uid="{00000000-0005-0000-0000-0000208B0000}"/>
    <cellStyle name="Normal 10 2" xfId="95" xr:uid="{00000000-0005-0000-0000-0000218B0000}"/>
    <cellStyle name="Normal 10 2 2" xfId="40777" xr:uid="{00000000-0005-0000-0000-0000228B0000}"/>
    <cellStyle name="Normal 10 3" xfId="40778" xr:uid="{00000000-0005-0000-0000-0000238B0000}"/>
    <cellStyle name="Normal 11" xfId="2" xr:uid="{00000000-0005-0000-0000-0000248B0000}"/>
    <cellStyle name="Normal 11 2" xfId="96" xr:uid="{00000000-0005-0000-0000-0000258B0000}"/>
    <cellStyle name="Normal 11 2 2" xfId="40779" xr:uid="{00000000-0005-0000-0000-0000268B0000}"/>
    <cellStyle name="Normal 11 3" xfId="40780" xr:uid="{00000000-0005-0000-0000-0000278B0000}"/>
    <cellStyle name="Normal 12" xfId="3" xr:uid="{00000000-0005-0000-0000-0000288B0000}"/>
    <cellStyle name="Normal 12 10" xfId="40781" xr:uid="{00000000-0005-0000-0000-0000298B0000}"/>
    <cellStyle name="Normal 12 11" xfId="40782" xr:uid="{00000000-0005-0000-0000-00002A8B0000}"/>
    <cellStyle name="Normal 12 2" xfId="66" xr:uid="{00000000-0005-0000-0000-00002B8B0000}"/>
    <cellStyle name="Normal 12 2 2" xfId="40783" xr:uid="{00000000-0005-0000-0000-00002C8B0000}"/>
    <cellStyle name="Normal 12 3" xfId="40784" xr:uid="{00000000-0005-0000-0000-00002D8B0000}"/>
    <cellStyle name="Normal 12 4" xfId="40785" xr:uid="{00000000-0005-0000-0000-00002E8B0000}"/>
    <cellStyle name="Normal 12 4 2" xfId="40786" xr:uid="{00000000-0005-0000-0000-00002F8B0000}"/>
    <cellStyle name="Normal 12 4 2 2" xfId="40787" xr:uid="{00000000-0005-0000-0000-0000308B0000}"/>
    <cellStyle name="Normal 12 4 2 2 2" xfId="40788" xr:uid="{00000000-0005-0000-0000-0000318B0000}"/>
    <cellStyle name="Normal 12 4 2 3" xfId="40789" xr:uid="{00000000-0005-0000-0000-0000328B0000}"/>
    <cellStyle name="Normal 12 4 2 3 2" xfId="40790" xr:uid="{00000000-0005-0000-0000-0000338B0000}"/>
    <cellStyle name="Normal 12 4 2 4" xfId="40791" xr:uid="{00000000-0005-0000-0000-0000348B0000}"/>
    <cellStyle name="Normal 12 4 3" xfId="40792" xr:uid="{00000000-0005-0000-0000-0000358B0000}"/>
    <cellStyle name="Normal 12 4 3 2" xfId="40793" xr:uid="{00000000-0005-0000-0000-0000368B0000}"/>
    <cellStyle name="Normal 12 4 3 2 2" xfId="40794" xr:uid="{00000000-0005-0000-0000-0000378B0000}"/>
    <cellStyle name="Normal 12 4 3 3" xfId="40795" xr:uid="{00000000-0005-0000-0000-0000388B0000}"/>
    <cellStyle name="Normal 12 4 3 3 2" xfId="40796" xr:uid="{00000000-0005-0000-0000-0000398B0000}"/>
    <cellStyle name="Normal 12 4 3 4" xfId="40797" xr:uid="{00000000-0005-0000-0000-00003A8B0000}"/>
    <cellStyle name="Normal 12 4 4" xfId="40798" xr:uid="{00000000-0005-0000-0000-00003B8B0000}"/>
    <cellStyle name="Normal 12 4 4 2" xfId="40799" xr:uid="{00000000-0005-0000-0000-00003C8B0000}"/>
    <cellStyle name="Normal 12 4 4 2 2" xfId="40800" xr:uid="{00000000-0005-0000-0000-00003D8B0000}"/>
    <cellStyle name="Normal 12 4 4 3" xfId="40801" xr:uid="{00000000-0005-0000-0000-00003E8B0000}"/>
    <cellStyle name="Normal 12 4 4 3 2" xfId="40802" xr:uid="{00000000-0005-0000-0000-00003F8B0000}"/>
    <cellStyle name="Normal 12 4 4 4" xfId="40803" xr:uid="{00000000-0005-0000-0000-0000408B0000}"/>
    <cellStyle name="Normal 12 4 5" xfId="40804" xr:uid="{00000000-0005-0000-0000-0000418B0000}"/>
    <cellStyle name="Normal 12 4 5 2" xfId="40805" xr:uid="{00000000-0005-0000-0000-0000428B0000}"/>
    <cellStyle name="Normal 12 4 6" xfId="40806" xr:uid="{00000000-0005-0000-0000-0000438B0000}"/>
    <cellStyle name="Normal 12 4 6 2" xfId="40807" xr:uid="{00000000-0005-0000-0000-0000448B0000}"/>
    <cellStyle name="Normal 12 4 7" xfId="40808" xr:uid="{00000000-0005-0000-0000-0000458B0000}"/>
    <cellStyle name="Normal 12 5" xfId="40809" xr:uid="{00000000-0005-0000-0000-0000468B0000}"/>
    <cellStyle name="Normal 12 5 2" xfId="40810" xr:uid="{00000000-0005-0000-0000-0000478B0000}"/>
    <cellStyle name="Normal 12 5 2 2" xfId="40811" xr:uid="{00000000-0005-0000-0000-0000488B0000}"/>
    <cellStyle name="Normal 12 5 3" xfId="40812" xr:uid="{00000000-0005-0000-0000-0000498B0000}"/>
    <cellStyle name="Normal 12 5 3 2" xfId="40813" xr:uid="{00000000-0005-0000-0000-00004A8B0000}"/>
    <cellStyle name="Normal 12 5 4" xfId="40814" xr:uid="{00000000-0005-0000-0000-00004B8B0000}"/>
    <cellStyle name="Normal 12 6" xfId="40815" xr:uid="{00000000-0005-0000-0000-00004C8B0000}"/>
    <cellStyle name="Normal 12 6 2" xfId="40816" xr:uid="{00000000-0005-0000-0000-00004D8B0000}"/>
    <cellStyle name="Normal 12 6 2 2" xfId="40817" xr:uid="{00000000-0005-0000-0000-00004E8B0000}"/>
    <cellStyle name="Normal 12 6 3" xfId="40818" xr:uid="{00000000-0005-0000-0000-00004F8B0000}"/>
    <cellStyle name="Normal 12 6 3 2" xfId="40819" xr:uid="{00000000-0005-0000-0000-0000508B0000}"/>
    <cellStyle name="Normal 12 6 4" xfId="40820" xr:uid="{00000000-0005-0000-0000-0000518B0000}"/>
    <cellStyle name="Normal 12 7" xfId="40821" xr:uid="{00000000-0005-0000-0000-0000528B0000}"/>
    <cellStyle name="Normal 12 7 2" xfId="40822" xr:uid="{00000000-0005-0000-0000-0000538B0000}"/>
    <cellStyle name="Normal 12 7 2 2" xfId="40823" xr:uid="{00000000-0005-0000-0000-0000548B0000}"/>
    <cellStyle name="Normal 12 7 3" xfId="40824" xr:uid="{00000000-0005-0000-0000-0000558B0000}"/>
    <cellStyle name="Normal 12 7 3 2" xfId="40825" xr:uid="{00000000-0005-0000-0000-0000568B0000}"/>
    <cellStyle name="Normal 12 7 4" xfId="40826" xr:uid="{00000000-0005-0000-0000-0000578B0000}"/>
    <cellStyle name="Normal 12 8" xfId="40827" xr:uid="{00000000-0005-0000-0000-0000588B0000}"/>
    <cellStyle name="Normal 12 8 2" xfId="40828" xr:uid="{00000000-0005-0000-0000-0000598B0000}"/>
    <cellStyle name="Normal 12 9" xfId="40829" xr:uid="{00000000-0005-0000-0000-00005A8B0000}"/>
    <cellStyle name="Normal 12 9 2" xfId="40830" xr:uid="{00000000-0005-0000-0000-00005B8B0000}"/>
    <cellStyle name="Normal 13" xfId="4" xr:uid="{00000000-0005-0000-0000-00005C8B0000}"/>
    <cellStyle name="Normal 13 2" xfId="130" xr:uid="{00000000-0005-0000-0000-00005D8B0000}"/>
    <cellStyle name="Normal 13 2 10" xfId="4470" xr:uid="{00000000-0005-0000-0000-00005E8B0000}"/>
    <cellStyle name="Normal 13 2 10 2" xfId="11571" xr:uid="{00000000-0005-0000-0000-00005F8B0000}"/>
    <cellStyle name="Normal 13 2 10 3" xfId="18672" xr:uid="{00000000-0005-0000-0000-0000608B0000}"/>
    <cellStyle name="Normal 13 2 10 4" xfId="25774" xr:uid="{00000000-0005-0000-0000-0000618B0000}"/>
    <cellStyle name="Normal 13 2 10 5" xfId="32876" xr:uid="{00000000-0005-0000-0000-0000628B0000}"/>
    <cellStyle name="Normal 13 2 11" xfId="3045" xr:uid="{00000000-0005-0000-0000-0000638B0000}"/>
    <cellStyle name="Normal 13 2 11 2" xfId="10151" xr:uid="{00000000-0005-0000-0000-0000648B0000}"/>
    <cellStyle name="Normal 13 2 11 3" xfId="17252" xr:uid="{00000000-0005-0000-0000-0000658B0000}"/>
    <cellStyle name="Normal 13 2 11 4" xfId="24354" xr:uid="{00000000-0005-0000-0000-0000668B0000}"/>
    <cellStyle name="Normal 13 2 11 5" xfId="31456" xr:uid="{00000000-0005-0000-0000-0000678B0000}"/>
    <cellStyle name="Normal 13 2 12" xfId="7311" xr:uid="{00000000-0005-0000-0000-0000688B0000}"/>
    <cellStyle name="Normal 13 2 13" xfId="14412" xr:uid="{00000000-0005-0000-0000-0000698B0000}"/>
    <cellStyle name="Normal 13 2 14" xfId="21514" xr:uid="{00000000-0005-0000-0000-00006A8B0000}"/>
    <cellStyle name="Normal 13 2 15" xfId="28616" xr:uid="{00000000-0005-0000-0000-00006B8B0000}"/>
    <cellStyle name="Normal 13 2 16" xfId="35718" xr:uid="{00000000-0005-0000-0000-00006C8B0000}"/>
    <cellStyle name="Normal 13 2 2" xfId="274" xr:uid="{00000000-0005-0000-0000-00006D8B0000}"/>
    <cellStyle name="Normal 13 2 2 10" xfId="7453" xr:uid="{00000000-0005-0000-0000-00006E8B0000}"/>
    <cellStyle name="Normal 13 2 2 11" xfId="14554" xr:uid="{00000000-0005-0000-0000-00006F8B0000}"/>
    <cellStyle name="Normal 13 2 2 12" xfId="21656" xr:uid="{00000000-0005-0000-0000-0000708B0000}"/>
    <cellStyle name="Normal 13 2 2 13" xfId="28758" xr:uid="{00000000-0005-0000-0000-0000718B0000}"/>
    <cellStyle name="Normal 13 2 2 14" xfId="35860" xr:uid="{00000000-0005-0000-0000-0000728B0000}"/>
    <cellStyle name="Normal 13 2 2 2" xfId="487" xr:uid="{00000000-0005-0000-0000-0000738B0000}"/>
    <cellStyle name="Normal 13 2 2 2 2" xfId="1268" xr:uid="{00000000-0005-0000-0000-0000748B0000}"/>
    <cellStyle name="Normal 13 2 2 2 2 2" xfId="2759" xr:uid="{00000000-0005-0000-0000-0000758B0000}"/>
    <cellStyle name="Normal 13 2 2 2 2 2 2" xfId="7027" xr:uid="{00000000-0005-0000-0000-0000768B0000}"/>
    <cellStyle name="Normal 13 2 2 2 2 2 2 2" xfId="14127" xr:uid="{00000000-0005-0000-0000-0000778B0000}"/>
    <cellStyle name="Normal 13 2 2 2 2 2 2 3" xfId="21228" xr:uid="{00000000-0005-0000-0000-0000788B0000}"/>
    <cellStyle name="Normal 13 2 2 2 2 2 2 4" xfId="28330" xr:uid="{00000000-0005-0000-0000-0000798B0000}"/>
    <cellStyle name="Normal 13 2 2 2 2 2 2 5" xfId="35432" xr:uid="{00000000-0005-0000-0000-00007A8B0000}"/>
    <cellStyle name="Normal 13 2 2 2 2 2 3" xfId="9867" xr:uid="{00000000-0005-0000-0000-00007B8B0000}"/>
    <cellStyle name="Normal 13 2 2 2 2 2 4" xfId="16968" xr:uid="{00000000-0005-0000-0000-00007C8B0000}"/>
    <cellStyle name="Normal 13 2 2 2 2 2 5" xfId="24070" xr:uid="{00000000-0005-0000-0000-00007D8B0000}"/>
    <cellStyle name="Normal 13 2 2 2 2 2 6" xfId="31172" xr:uid="{00000000-0005-0000-0000-00007E8B0000}"/>
    <cellStyle name="Normal 13 2 2 2 2 3" xfId="5606" xr:uid="{00000000-0005-0000-0000-00007F8B0000}"/>
    <cellStyle name="Normal 13 2 2 2 2 3 2" xfId="12707" xr:uid="{00000000-0005-0000-0000-0000808B0000}"/>
    <cellStyle name="Normal 13 2 2 2 2 3 3" xfId="19808" xr:uid="{00000000-0005-0000-0000-0000818B0000}"/>
    <cellStyle name="Normal 13 2 2 2 2 3 4" xfId="26910" xr:uid="{00000000-0005-0000-0000-0000828B0000}"/>
    <cellStyle name="Normal 13 2 2 2 2 3 5" xfId="34012" xr:uid="{00000000-0005-0000-0000-0000838B0000}"/>
    <cellStyle name="Normal 13 2 2 2 2 4" xfId="4181" xr:uid="{00000000-0005-0000-0000-0000848B0000}"/>
    <cellStyle name="Normal 13 2 2 2 2 4 2" xfId="11287" xr:uid="{00000000-0005-0000-0000-0000858B0000}"/>
    <cellStyle name="Normal 13 2 2 2 2 4 3" xfId="18388" xr:uid="{00000000-0005-0000-0000-0000868B0000}"/>
    <cellStyle name="Normal 13 2 2 2 2 4 4" xfId="25490" xr:uid="{00000000-0005-0000-0000-0000878B0000}"/>
    <cellStyle name="Normal 13 2 2 2 2 4 5" xfId="32592" xr:uid="{00000000-0005-0000-0000-0000888B0000}"/>
    <cellStyle name="Normal 13 2 2 2 2 5" xfId="8447" xr:uid="{00000000-0005-0000-0000-0000898B0000}"/>
    <cellStyle name="Normal 13 2 2 2 2 6" xfId="15548" xr:uid="{00000000-0005-0000-0000-00008A8B0000}"/>
    <cellStyle name="Normal 13 2 2 2 2 7" xfId="22650" xr:uid="{00000000-0005-0000-0000-00008B8B0000}"/>
    <cellStyle name="Normal 13 2 2 2 2 8" xfId="29752" xr:uid="{00000000-0005-0000-0000-00008C8B0000}"/>
    <cellStyle name="Normal 13 2 2 2 3" xfId="1978" xr:uid="{00000000-0005-0000-0000-00008D8B0000}"/>
    <cellStyle name="Normal 13 2 2 2 3 2" xfId="6246" xr:uid="{00000000-0005-0000-0000-00008E8B0000}"/>
    <cellStyle name="Normal 13 2 2 2 3 2 2" xfId="13346" xr:uid="{00000000-0005-0000-0000-00008F8B0000}"/>
    <cellStyle name="Normal 13 2 2 2 3 2 3" xfId="20447" xr:uid="{00000000-0005-0000-0000-0000908B0000}"/>
    <cellStyle name="Normal 13 2 2 2 3 2 4" xfId="27549" xr:uid="{00000000-0005-0000-0000-0000918B0000}"/>
    <cellStyle name="Normal 13 2 2 2 3 2 5" xfId="34651" xr:uid="{00000000-0005-0000-0000-0000928B0000}"/>
    <cellStyle name="Normal 13 2 2 2 3 3" xfId="9086" xr:uid="{00000000-0005-0000-0000-0000938B0000}"/>
    <cellStyle name="Normal 13 2 2 2 3 4" xfId="16187" xr:uid="{00000000-0005-0000-0000-0000948B0000}"/>
    <cellStyle name="Normal 13 2 2 2 3 5" xfId="23289" xr:uid="{00000000-0005-0000-0000-0000958B0000}"/>
    <cellStyle name="Normal 13 2 2 2 3 6" xfId="30391" xr:uid="{00000000-0005-0000-0000-0000968B0000}"/>
    <cellStyle name="Normal 13 2 2 2 4" xfId="4825" xr:uid="{00000000-0005-0000-0000-0000978B0000}"/>
    <cellStyle name="Normal 13 2 2 2 4 2" xfId="11926" xr:uid="{00000000-0005-0000-0000-0000988B0000}"/>
    <cellStyle name="Normal 13 2 2 2 4 3" xfId="19027" xr:uid="{00000000-0005-0000-0000-0000998B0000}"/>
    <cellStyle name="Normal 13 2 2 2 4 4" xfId="26129" xr:uid="{00000000-0005-0000-0000-00009A8B0000}"/>
    <cellStyle name="Normal 13 2 2 2 4 5" xfId="33231" xr:uid="{00000000-0005-0000-0000-00009B8B0000}"/>
    <cellStyle name="Normal 13 2 2 2 5" xfId="3400" xr:uid="{00000000-0005-0000-0000-00009C8B0000}"/>
    <cellStyle name="Normal 13 2 2 2 5 2" xfId="10506" xr:uid="{00000000-0005-0000-0000-00009D8B0000}"/>
    <cellStyle name="Normal 13 2 2 2 5 3" xfId="17607" xr:uid="{00000000-0005-0000-0000-00009E8B0000}"/>
    <cellStyle name="Normal 13 2 2 2 5 4" xfId="24709" xr:uid="{00000000-0005-0000-0000-00009F8B0000}"/>
    <cellStyle name="Normal 13 2 2 2 5 5" xfId="31811" xr:uid="{00000000-0005-0000-0000-0000A08B0000}"/>
    <cellStyle name="Normal 13 2 2 2 6" xfId="7666" xr:uid="{00000000-0005-0000-0000-0000A18B0000}"/>
    <cellStyle name="Normal 13 2 2 2 7" xfId="14767" xr:uid="{00000000-0005-0000-0000-0000A28B0000}"/>
    <cellStyle name="Normal 13 2 2 2 8" xfId="21869" xr:uid="{00000000-0005-0000-0000-0000A38B0000}"/>
    <cellStyle name="Normal 13 2 2 2 9" xfId="28971" xr:uid="{00000000-0005-0000-0000-0000A48B0000}"/>
    <cellStyle name="Normal 13 2 2 3" xfId="700" xr:uid="{00000000-0005-0000-0000-0000A58B0000}"/>
    <cellStyle name="Normal 13 2 2 3 2" xfId="2191" xr:uid="{00000000-0005-0000-0000-0000A68B0000}"/>
    <cellStyle name="Normal 13 2 2 3 2 2" xfId="6459" xr:uid="{00000000-0005-0000-0000-0000A78B0000}"/>
    <cellStyle name="Normal 13 2 2 3 2 2 2" xfId="13559" xr:uid="{00000000-0005-0000-0000-0000A88B0000}"/>
    <cellStyle name="Normal 13 2 2 3 2 2 3" xfId="20660" xr:uid="{00000000-0005-0000-0000-0000A98B0000}"/>
    <cellStyle name="Normal 13 2 2 3 2 2 4" xfId="27762" xr:uid="{00000000-0005-0000-0000-0000AA8B0000}"/>
    <cellStyle name="Normal 13 2 2 3 2 2 5" xfId="34864" xr:uid="{00000000-0005-0000-0000-0000AB8B0000}"/>
    <cellStyle name="Normal 13 2 2 3 2 3" xfId="9299" xr:uid="{00000000-0005-0000-0000-0000AC8B0000}"/>
    <cellStyle name="Normal 13 2 2 3 2 4" xfId="16400" xr:uid="{00000000-0005-0000-0000-0000AD8B0000}"/>
    <cellStyle name="Normal 13 2 2 3 2 5" xfId="23502" xr:uid="{00000000-0005-0000-0000-0000AE8B0000}"/>
    <cellStyle name="Normal 13 2 2 3 2 6" xfId="30604" xr:uid="{00000000-0005-0000-0000-0000AF8B0000}"/>
    <cellStyle name="Normal 13 2 2 3 3" xfId="5038" xr:uid="{00000000-0005-0000-0000-0000B08B0000}"/>
    <cellStyle name="Normal 13 2 2 3 3 2" xfId="12139" xr:uid="{00000000-0005-0000-0000-0000B18B0000}"/>
    <cellStyle name="Normal 13 2 2 3 3 3" xfId="19240" xr:uid="{00000000-0005-0000-0000-0000B28B0000}"/>
    <cellStyle name="Normal 13 2 2 3 3 4" xfId="26342" xr:uid="{00000000-0005-0000-0000-0000B38B0000}"/>
    <cellStyle name="Normal 13 2 2 3 3 5" xfId="33444" xr:uid="{00000000-0005-0000-0000-0000B48B0000}"/>
    <cellStyle name="Normal 13 2 2 3 4" xfId="3613" xr:uid="{00000000-0005-0000-0000-0000B58B0000}"/>
    <cellStyle name="Normal 13 2 2 3 4 2" xfId="10719" xr:uid="{00000000-0005-0000-0000-0000B68B0000}"/>
    <cellStyle name="Normal 13 2 2 3 4 3" xfId="17820" xr:uid="{00000000-0005-0000-0000-0000B78B0000}"/>
    <cellStyle name="Normal 13 2 2 3 4 4" xfId="24922" xr:uid="{00000000-0005-0000-0000-0000B88B0000}"/>
    <cellStyle name="Normal 13 2 2 3 4 5" xfId="32024" xr:uid="{00000000-0005-0000-0000-0000B98B0000}"/>
    <cellStyle name="Normal 13 2 2 3 5" xfId="7879" xr:uid="{00000000-0005-0000-0000-0000BA8B0000}"/>
    <cellStyle name="Normal 13 2 2 3 6" xfId="14980" xr:uid="{00000000-0005-0000-0000-0000BB8B0000}"/>
    <cellStyle name="Normal 13 2 2 3 7" xfId="22082" xr:uid="{00000000-0005-0000-0000-0000BC8B0000}"/>
    <cellStyle name="Normal 13 2 2 3 8" xfId="29184" xr:uid="{00000000-0005-0000-0000-0000BD8B0000}"/>
    <cellStyle name="Normal 13 2 2 4" xfId="913" xr:uid="{00000000-0005-0000-0000-0000BE8B0000}"/>
    <cellStyle name="Normal 13 2 2 4 2" xfId="2404" xr:uid="{00000000-0005-0000-0000-0000BF8B0000}"/>
    <cellStyle name="Normal 13 2 2 4 2 2" xfId="6672" xr:uid="{00000000-0005-0000-0000-0000C08B0000}"/>
    <cellStyle name="Normal 13 2 2 4 2 2 2" xfId="13772" xr:uid="{00000000-0005-0000-0000-0000C18B0000}"/>
    <cellStyle name="Normal 13 2 2 4 2 2 3" xfId="20873" xr:uid="{00000000-0005-0000-0000-0000C28B0000}"/>
    <cellStyle name="Normal 13 2 2 4 2 2 4" xfId="27975" xr:uid="{00000000-0005-0000-0000-0000C38B0000}"/>
    <cellStyle name="Normal 13 2 2 4 2 2 5" xfId="35077" xr:uid="{00000000-0005-0000-0000-0000C48B0000}"/>
    <cellStyle name="Normal 13 2 2 4 2 3" xfId="9512" xr:uid="{00000000-0005-0000-0000-0000C58B0000}"/>
    <cellStyle name="Normal 13 2 2 4 2 4" xfId="16613" xr:uid="{00000000-0005-0000-0000-0000C68B0000}"/>
    <cellStyle name="Normal 13 2 2 4 2 5" xfId="23715" xr:uid="{00000000-0005-0000-0000-0000C78B0000}"/>
    <cellStyle name="Normal 13 2 2 4 2 6" xfId="30817" xr:uid="{00000000-0005-0000-0000-0000C88B0000}"/>
    <cellStyle name="Normal 13 2 2 4 3" xfId="5251" xr:uid="{00000000-0005-0000-0000-0000C98B0000}"/>
    <cellStyle name="Normal 13 2 2 4 3 2" xfId="12352" xr:uid="{00000000-0005-0000-0000-0000CA8B0000}"/>
    <cellStyle name="Normal 13 2 2 4 3 3" xfId="19453" xr:uid="{00000000-0005-0000-0000-0000CB8B0000}"/>
    <cellStyle name="Normal 13 2 2 4 3 4" xfId="26555" xr:uid="{00000000-0005-0000-0000-0000CC8B0000}"/>
    <cellStyle name="Normal 13 2 2 4 3 5" xfId="33657" xr:uid="{00000000-0005-0000-0000-0000CD8B0000}"/>
    <cellStyle name="Normal 13 2 2 4 4" xfId="3826" xr:uid="{00000000-0005-0000-0000-0000CE8B0000}"/>
    <cellStyle name="Normal 13 2 2 4 4 2" xfId="10932" xr:uid="{00000000-0005-0000-0000-0000CF8B0000}"/>
    <cellStyle name="Normal 13 2 2 4 4 3" xfId="18033" xr:uid="{00000000-0005-0000-0000-0000D08B0000}"/>
    <cellStyle name="Normal 13 2 2 4 4 4" xfId="25135" xr:uid="{00000000-0005-0000-0000-0000D18B0000}"/>
    <cellStyle name="Normal 13 2 2 4 4 5" xfId="32237" xr:uid="{00000000-0005-0000-0000-0000D28B0000}"/>
    <cellStyle name="Normal 13 2 2 4 5" xfId="8092" xr:uid="{00000000-0005-0000-0000-0000D38B0000}"/>
    <cellStyle name="Normal 13 2 2 4 6" xfId="15193" xr:uid="{00000000-0005-0000-0000-0000D48B0000}"/>
    <cellStyle name="Normal 13 2 2 4 7" xfId="22295" xr:uid="{00000000-0005-0000-0000-0000D58B0000}"/>
    <cellStyle name="Normal 13 2 2 4 8" xfId="29397" xr:uid="{00000000-0005-0000-0000-0000D68B0000}"/>
    <cellStyle name="Normal 13 2 2 5" xfId="1055" xr:uid="{00000000-0005-0000-0000-0000D78B0000}"/>
    <cellStyle name="Normal 13 2 2 5 2" xfId="2546" xr:uid="{00000000-0005-0000-0000-0000D88B0000}"/>
    <cellStyle name="Normal 13 2 2 5 2 2" xfId="6814" xr:uid="{00000000-0005-0000-0000-0000D98B0000}"/>
    <cellStyle name="Normal 13 2 2 5 2 2 2" xfId="13914" xr:uid="{00000000-0005-0000-0000-0000DA8B0000}"/>
    <cellStyle name="Normal 13 2 2 5 2 2 3" xfId="21015" xr:uid="{00000000-0005-0000-0000-0000DB8B0000}"/>
    <cellStyle name="Normal 13 2 2 5 2 2 4" xfId="28117" xr:uid="{00000000-0005-0000-0000-0000DC8B0000}"/>
    <cellStyle name="Normal 13 2 2 5 2 2 5" xfId="35219" xr:uid="{00000000-0005-0000-0000-0000DD8B0000}"/>
    <cellStyle name="Normal 13 2 2 5 2 3" xfId="9654" xr:uid="{00000000-0005-0000-0000-0000DE8B0000}"/>
    <cellStyle name="Normal 13 2 2 5 2 4" xfId="16755" xr:uid="{00000000-0005-0000-0000-0000DF8B0000}"/>
    <cellStyle name="Normal 13 2 2 5 2 5" xfId="23857" xr:uid="{00000000-0005-0000-0000-0000E08B0000}"/>
    <cellStyle name="Normal 13 2 2 5 2 6" xfId="30959" xr:uid="{00000000-0005-0000-0000-0000E18B0000}"/>
    <cellStyle name="Normal 13 2 2 5 3" xfId="5393" xr:uid="{00000000-0005-0000-0000-0000E28B0000}"/>
    <cellStyle name="Normal 13 2 2 5 3 2" xfId="12494" xr:uid="{00000000-0005-0000-0000-0000E38B0000}"/>
    <cellStyle name="Normal 13 2 2 5 3 3" xfId="19595" xr:uid="{00000000-0005-0000-0000-0000E48B0000}"/>
    <cellStyle name="Normal 13 2 2 5 3 4" xfId="26697" xr:uid="{00000000-0005-0000-0000-0000E58B0000}"/>
    <cellStyle name="Normal 13 2 2 5 3 5" xfId="33799" xr:uid="{00000000-0005-0000-0000-0000E68B0000}"/>
    <cellStyle name="Normal 13 2 2 5 4" xfId="3968" xr:uid="{00000000-0005-0000-0000-0000E78B0000}"/>
    <cellStyle name="Normal 13 2 2 5 4 2" xfId="11074" xr:uid="{00000000-0005-0000-0000-0000E88B0000}"/>
    <cellStyle name="Normal 13 2 2 5 4 3" xfId="18175" xr:uid="{00000000-0005-0000-0000-0000E98B0000}"/>
    <cellStyle name="Normal 13 2 2 5 4 4" xfId="25277" xr:uid="{00000000-0005-0000-0000-0000EA8B0000}"/>
    <cellStyle name="Normal 13 2 2 5 4 5" xfId="32379" xr:uid="{00000000-0005-0000-0000-0000EB8B0000}"/>
    <cellStyle name="Normal 13 2 2 5 5" xfId="8234" xr:uid="{00000000-0005-0000-0000-0000EC8B0000}"/>
    <cellStyle name="Normal 13 2 2 5 6" xfId="15335" xr:uid="{00000000-0005-0000-0000-0000ED8B0000}"/>
    <cellStyle name="Normal 13 2 2 5 7" xfId="22437" xr:uid="{00000000-0005-0000-0000-0000EE8B0000}"/>
    <cellStyle name="Normal 13 2 2 5 8" xfId="29539" xr:uid="{00000000-0005-0000-0000-0000EF8B0000}"/>
    <cellStyle name="Normal 13 2 2 6" xfId="1481" xr:uid="{00000000-0005-0000-0000-0000F08B0000}"/>
    <cellStyle name="Normal 13 2 2 6 2" xfId="2972" xr:uid="{00000000-0005-0000-0000-0000F18B0000}"/>
    <cellStyle name="Normal 13 2 2 6 2 2" xfId="7240" xr:uid="{00000000-0005-0000-0000-0000F28B0000}"/>
    <cellStyle name="Normal 13 2 2 6 2 2 2" xfId="14340" xr:uid="{00000000-0005-0000-0000-0000F38B0000}"/>
    <cellStyle name="Normal 13 2 2 6 2 2 3" xfId="21441" xr:uid="{00000000-0005-0000-0000-0000F48B0000}"/>
    <cellStyle name="Normal 13 2 2 6 2 2 4" xfId="28543" xr:uid="{00000000-0005-0000-0000-0000F58B0000}"/>
    <cellStyle name="Normal 13 2 2 6 2 2 5" xfId="35645" xr:uid="{00000000-0005-0000-0000-0000F68B0000}"/>
    <cellStyle name="Normal 13 2 2 6 2 3" xfId="10080" xr:uid="{00000000-0005-0000-0000-0000F78B0000}"/>
    <cellStyle name="Normal 13 2 2 6 2 4" xfId="17181" xr:uid="{00000000-0005-0000-0000-0000F88B0000}"/>
    <cellStyle name="Normal 13 2 2 6 2 5" xfId="24283" xr:uid="{00000000-0005-0000-0000-0000F98B0000}"/>
    <cellStyle name="Normal 13 2 2 6 2 6" xfId="31385" xr:uid="{00000000-0005-0000-0000-0000FA8B0000}"/>
    <cellStyle name="Normal 13 2 2 6 3" xfId="5819" xr:uid="{00000000-0005-0000-0000-0000FB8B0000}"/>
    <cellStyle name="Normal 13 2 2 6 3 2" xfId="12920" xr:uid="{00000000-0005-0000-0000-0000FC8B0000}"/>
    <cellStyle name="Normal 13 2 2 6 3 3" xfId="20021" xr:uid="{00000000-0005-0000-0000-0000FD8B0000}"/>
    <cellStyle name="Normal 13 2 2 6 3 4" xfId="27123" xr:uid="{00000000-0005-0000-0000-0000FE8B0000}"/>
    <cellStyle name="Normal 13 2 2 6 3 5" xfId="34225" xr:uid="{00000000-0005-0000-0000-0000FF8B0000}"/>
    <cellStyle name="Normal 13 2 2 6 4" xfId="4394" xr:uid="{00000000-0005-0000-0000-0000008C0000}"/>
    <cellStyle name="Normal 13 2 2 6 4 2" xfId="11500" xr:uid="{00000000-0005-0000-0000-0000018C0000}"/>
    <cellStyle name="Normal 13 2 2 6 4 3" xfId="18601" xr:uid="{00000000-0005-0000-0000-0000028C0000}"/>
    <cellStyle name="Normal 13 2 2 6 4 4" xfId="25703" xr:uid="{00000000-0005-0000-0000-0000038C0000}"/>
    <cellStyle name="Normal 13 2 2 6 4 5" xfId="32805" xr:uid="{00000000-0005-0000-0000-0000048C0000}"/>
    <cellStyle name="Normal 13 2 2 6 5" xfId="8660" xr:uid="{00000000-0005-0000-0000-0000058C0000}"/>
    <cellStyle name="Normal 13 2 2 6 6" xfId="15761" xr:uid="{00000000-0005-0000-0000-0000068C0000}"/>
    <cellStyle name="Normal 13 2 2 6 7" xfId="22863" xr:uid="{00000000-0005-0000-0000-0000078C0000}"/>
    <cellStyle name="Normal 13 2 2 6 8" xfId="29965" xr:uid="{00000000-0005-0000-0000-0000088C0000}"/>
    <cellStyle name="Normal 13 2 2 7" xfId="1765" xr:uid="{00000000-0005-0000-0000-0000098C0000}"/>
    <cellStyle name="Normal 13 2 2 7 2" xfId="6033" xr:uid="{00000000-0005-0000-0000-00000A8C0000}"/>
    <cellStyle name="Normal 13 2 2 7 2 2" xfId="13133" xr:uid="{00000000-0005-0000-0000-00000B8C0000}"/>
    <cellStyle name="Normal 13 2 2 7 2 3" xfId="20234" xr:uid="{00000000-0005-0000-0000-00000C8C0000}"/>
    <cellStyle name="Normal 13 2 2 7 2 4" xfId="27336" xr:uid="{00000000-0005-0000-0000-00000D8C0000}"/>
    <cellStyle name="Normal 13 2 2 7 2 5" xfId="34438" xr:uid="{00000000-0005-0000-0000-00000E8C0000}"/>
    <cellStyle name="Normal 13 2 2 7 3" xfId="8873" xr:uid="{00000000-0005-0000-0000-00000F8C0000}"/>
    <cellStyle name="Normal 13 2 2 7 4" xfId="15974" xr:uid="{00000000-0005-0000-0000-0000108C0000}"/>
    <cellStyle name="Normal 13 2 2 7 5" xfId="23076" xr:uid="{00000000-0005-0000-0000-0000118C0000}"/>
    <cellStyle name="Normal 13 2 2 7 6" xfId="30178" xr:uid="{00000000-0005-0000-0000-0000128C0000}"/>
    <cellStyle name="Normal 13 2 2 8" xfId="4612" xr:uid="{00000000-0005-0000-0000-0000138C0000}"/>
    <cellStyle name="Normal 13 2 2 8 2" xfId="11713" xr:uid="{00000000-0005-0000-0000-0000148C0000}"/>
    <cellStyle name="Normal 13 2 2 8 3" xfId="18814" xr:uid="{00000000-0005-0000-0000-0000158C0000}"/>
    <cellStyle name="Normal 13 2 2 8 4" xfId="25916" xr:uid="{00000000-0005-0000-0000-0000168C0000}"/>
    <cellStyle name="Normal 13 2 2 8 5" xfId="33018" xr:uid="{00000000-0005-0000-0000-0000178C0000}"/>
    <cellStyle name="Normal 13 2 2 9" xfId="3187" xr:uid="{00000000-0005-0000-0000-0000188C0000}"/>
    <cellStyle name="Normal 13 2 2 9 2" xfId="10293" xr:uid="{00000000-0005-0000-0000-0000198C0000}"/>
    <cellStyle name="Normal 13 2 2 9 3" xfId="17394" xr:uid="{00000000-0005-0000-0000-00001A8C0000}"/>
    <cellStyle name="Normal 13 2 2 9 4" xfId="24496" xr:uid="{00000000-0005-0000-0000-00001B8C0000}"/>
    <cellStyle name="Normal 13 2 2 9 5" xfId="31598" xr:uid="{00000000-0005-0000-0000-00001C8C0000}"/>
    <cellStyle name="Normal 13 2 3" xfId="203" xr:uid="{00000000-0005-0000-0000-00001D8C0000}"/>
    <cellStyle name="Normal 13 2 3 10" xfId="7382" xr:uid="{00000000-0005-0000-0000-00001E8C0000}"/>
    <cellStyle name="Normal 13 2 3 11" xfId="14483" xr:uid="{00000000-0005-0000-0000-00001F8C0000}"/>
    <cellStyle name="Normal 13 2 3 12" xfId="21585" xr:uid="{00000000-0005-0000-0000-0000208C0000}"/>
    <cellStyle name="Normal 13 2 3 13" xfId="28687" xr:uid="{00000000-0005-0000-0000-0000218C0000}"/>
    <cellStyle name="Normal 13 2 3 14" xfId="35789" xr:uid="{00000000-0005-0000-0000-0000228C0000}"/>
    <cellStyle name="Normal 13 2 3 2" xfId="416" xr:uid="{00000000-0005-0000-0000-0000238C0000}"/>
    <cellStyle name="Normal 13 2 3 2 2" xfId="1907" xr:uid="{00000000-0005-0000-0000-0000248C0000}"/>
    <cellStyle name="Normal 13 2 3 2 2 2" xfId="6175" xr:uid="{00000000-0005-0000-0000-0000258C0000}"/>
    <cellStyle name="Normal 13 2 3 2 2 2 2" xfId="13275" xr:uid="{00000000-0005-0000-0000-0000268C0000}"/>
    <cellStyle name="Normal 13 2 3 2 2 2 3" xfId="20376" xr:uid="{00000000-0005-0000-0000-0000278C0000}"/>
    <cellStyle name="Normal 13 2 3 2 2 2 4" xfId="27478" xr:uid="{00000000-0005-0000-0000-0000288C0000}"/>
    <cellStyle name="Normal 13 2 3 2 2 2 5" xfId="34580" xr:uid="{00000000-0005-0000-0000-0000298C0000}"/>
    <cellStyle name="Normal 13 2 3 2 2 3" xfId="9015" xr:uid="{00000000-0005-0000-0000-00002A8C0000}"/>
    <cellStyle name="Normal 13 2 3 2 2 4" xfId="16116" xr:uid="{00000000-0005-0000-0000-00002B8C0000}"/>
    <cellStyle name="Normal 13 2 3 2 2 5" xfId="23218" xr:uid="{00000000-0005-0000-0000-00002C8C0000}"/>
    <cellStyle name="Normal 13 2 3 2 2 6" xfId="30320" xr:uid="{00000000-0005-0000-0000-00002D8C0000}"/>
    <cellStyle name="Normal 13 2 3 2 3" xfId="4754" xr:uid="{00000000-0005-0000-0000-00002E8C0000}"/>
    <cellStyle name="Normal 13 2 3 2 3 2" xfId="11855" xr:uid="{00000000-0005-0000-0000-00002F8C0000}"/>
    <cellStyle name="Normal 13 2 3 2 3 3" xfId="18956" xr:uid="{00000000-0005-0000-0000-0000308C0000}"/>
    <cellStyle name="Normal 13 2 3 2 3 4" xfId="26058" xr:uid="{00000000-0005-0000-0000-0000318C0000}"/>
    <cellStyle name="Normal 13 2 3 2 3 5" xfId="33160" xr:uid="{00000000-0005-0000-0000-0000328C0000}"/>
    <cellStyle name="Normal 13 2 3 2 4" xfId="3329" xr:uid="{00000000-0005-0000-0000-0000338C0000}"/>
    <cellStyle name="Normal 13 2 3 2 4 2" xfId="10435" xr:uid="{00000000-0005-0000-0000-0000348C0000}"/>
    <cellStyle name="Normal 13 2 3 2 4 3" xfId="17536" xr:uid="{00000000-0005-0000-0000-0000358C0000}"/>
    <cellStyle name="Normal 13 2 3 2 4 4" xfId="24638" xr:uid="{00000000-0005-0000-0000-0000368C0000}"/>
    <cellStyle name="Normal 13 2 3 2 4 5" xfId="31740" xr:uid="{00000000-0005-0000-0000-0000378C0000}"/>
    <cellStyle name="Normal 13 2 3 2 5" xfId="7595" xr:uid="{00000000-0005-0000-0000-0000388C0000}"/>
    <cellStyle name="Normal 13 2 3 2 6" xfId="14696" xr:uid="{00000000-0005-0000-0000-0000398C0000}"/>
    <cellStyle name="Normal 13 2 3 2 7" xfId="21798" xr:uid="{00000000-0005-0000-0000-00003A8C0000}"/>
    <cellStyle name="Normal 13 2 3 2 8" xfId="28900" xr:uid="{00000000-0005-0000-0000-00003B8C0000}"/>
    <cellStyle name="Normal 13 2 3 3" xfId="629" xr:uid="{00000000-0005-0000-0000-00003C8C0000}"/>
    <cellStyle name="Normal 13 2 3 3 2" xfId="2120" xr:uid="{00000000-0005-0000-0000-00003D8C0000}"/>
    <cellStyle name="Normal 13 2 3 3 2 2" xfId="6388" xr:uid="{00000000-0005-0000-0000-00003E8C0000}"/>
    <cellStyle name="Normal 13 2 3 3 2 2 2" xfId="13488" xr:uid="{00000000-0005-0000-0000-00003F8C0000}"/>
    <cellStyle name="Normal 13 2 3 3 2 2 3" xfId="20589" xr:uid="{00000000-0005-0000-0000-0000408C0000}"/>
    <cellStyle name="Normal 13 2 3 3 2 2 4" xfId="27691" xr:uid="{00000000-0005-0000-0000-0000418C0000}"/>
    <cellStyle name="Normal 13 2 3 3 2 2 5" xfId="34793" xr:uid="{00000000-0005-0000-0000-0000428C0000}"/>
    <cellStyle name="Normal 13 2 3 3 2 3" xfId="9228" xr:uid="{00000000-0005-0000-0000-0000438C0000}"/>
    <cellStyle name="Normal 13 2 3 3 2 4" xfId="16329" xr:uid="{00000000-0005-0000-0000-0000448C0000}"/>
    <cellStyle name="Normal 13 2 3 3 2 5" xfId="23431" xr:uid="{00000000-0005-0000-0000-0000458C0000}"/>
    <cellStyle name="Normal 13 2 3 3 2 6" xfId="30533" xr:uid="{00000000-0005-0000-0000-0000468C0000}"/>
    <cellStyle name="Normal 13 2 3 3 3" xfId="4967" xr:uid="{00000000-0005-0000-0000-0000478C0000}"/>
    <cellStyle name="Normal 13 2 3 3 3 2" xfId="12068" xr:uid="{00000000-0005-0000-0000-0000488C0000}"/>
    <cellStyle name="Normal 13 2 3 3 3 3" xfId="19169" xr:uid="{00000000-0005-0000-0000-0000498C0000}"/>
    <cellStyle name="Normal 13 2 3 3 3 4" xfId="26271" xr:uid="{00000000-0005-0000-0000-00004A8C0000}"/>
    <cellStyle name="Normal 13 2 3 3 3 5" xfId="33373" xr:uid="{00000000-0005-0000-0000-00004B8C0000}"/>
    <cellStyle name="Normal 13 2 3 3 4" xfId="3542" xr:uid="{00000000-0005-0000-0000-00004C8C0000}"/>
    <cellStyle name="Normal 13 2 3 3 4 2" xfId="10648" xr:uid="{00000000-0005-0000-0000-00004D8C0000}"/>
    <cellStyle name="Normal 13 2 3 3 4 3" xfId="17749" xr:uid="{00000000-0005-0000-0000-00004E8C0000}"/>
    <cellStyle name="Normal 13 2 3 3 4 4" xfId="24851" xr:uid="{00000000-0005-0000-0000-00004F8C0000}"/>
    <cellStyle name="Normal 13 2 3 3 4 5" xfId="31953" xr:uid="{00000000-0005-0000-0000-0000508C0000}"/>
    <cellStyle name="Normal 13 2 3 3 5" xfId="7808" xr:uid="{00000000-0005-0000-0000-0000518C0000}"/>
    <cellStyle name="Normal 13 2 3 3 6" xfId="14909" xr:uid="{00000000-0005-0000-0000-0000528C0000}"/>
    <cellStyle name="Normal 13 2 3 3 7" xfId="22011" xr:uid="{00000000-0005-0000-0000-0000538C0000}"/>
    <cellStyle name="Normal 13 2 3 3 8" xfId="29113" xr:uid="{00000000-0005-0000-0000-0000548C0000}"/>
    <cellStyle name="Normal 13 2 3 4" xfId="842" xr:uid="{00000000-0005-0000-0000-0000558C0000}"/>
    <cellStyle name="Normal 13 2 3 4 2" xfId="2333" xr:uid="{00000000-0005-0000-0000-0000568C0000}"/>
    <cellStyle name="Normal 13 2 3 4 2 2" xfId="6601" xr:uid="{00000000-0005-0000-0000-0000578C0000}"/>
    <cellStyle name="Normal 13 2 3 4 2 2 2" xfId="13701" xr:uid="{00000000-0005-0000-0000-0000588C0000}"/>
    <cellStyle name="Normal 13 2 3 4 2 2 3" xfId="20802" xr:uid="{00000000-0005-0000-0000-0000598C0000}"/>
    <cellStyle name="Normal 13 2 3 4 2 2 4" xfId="27904" xr:uid="{00000000-0005-0000-0000-00005A8C0000}"/>
    <cellStyle name="Normal 13 2 3 4 2 2 5" xfId="35006" xr:uid="{00000000-0005-0000-0000-00005B8C0000}"/>
    <cellStyle name="Normal 13 2 3 4 2 3" xfId="9441" xr:uid="{00000000-0005-0000-0000-00005C8C0000}"/>
    <cellStyle name="Normal 13 2 3 4 2 4" xfId="16542" xr:uid="{00000000-0005-0000-0000-00005D8C0000}"/>
    <cellStyle name="Normal 13 2 3 4 2 5" xfId="23644" xr:uid="{00000000-0005-0000-0000-00005E8C0000}"/>
    <cellStyle name="Normal 13 2 3 4 2 6" xfId="30746" xr:uid="{00000000-0005-0000-0000-00005F8C0000}"/>
    <cellStyle name="Normal 13 2 3 4 3" xfId="5180" xr:uid="{00000000-0005-0000-0000-0000608C0000}"/>
    <cellStyle name="Normal 13 2 3 4 3 2" xfId="12281" xr:uid="{00000000-0005-0000-0000-0000618C0000}"/>
    <cellStyle name="Normal 13 2 3 4 3 3" xfId="19382" xr:uid="{00000000-0005-0000-0000-0000628C0000}"/>
    <cellStyle name="Normal 13 2 3 4 3 4" xfId="26484" xr:uid="{00000000-0005-0000-0000-0000638C0000}"/>
    <cellStyle name="Normal 13 2 3 4 3 5" xfId="33586" xr:uid="{00000000-0005-0000-0000-0000648C0000}"/>
    <cellStyle name="Normal 13 2 3 4 4" xfId="3755" xr:uid="{00000000-0005-0000-0000-0000658C0000}"/>
    <cellStyle name="Normal 13 2 3 4 4 2" xfId="10861" xr:uid="{00000000-0005-0000-0000-0000668C0000}"/>
    <cellStyle name="Normal 13 2 3 4 4 3" xfId="17962" xr:uid="{00000000-0005-0000-0000-0000678C0000}"/>
    <cellStyle name="Normal 13 2 3 4 4 4" xfId="25064" xr:uid="{00000000-0005-0000-0000-0000688C0000}"/>
    <cellStyle name="Normal 13 2 3 4 4 5" xfId="32166" xr:uid="{00000000-0005-0000-0000-0000698C0000}"/>
    <cellStyle name="Normal 13 2 3 4 5" xfId="8021" xr:uid="{00000000-0005-0000-0000-00006A8C0000}"/>
    <cellStyle name="Normal 13 2 3 4 6" xfId="15122" xr:uid="{00000000-0005-0000-0000-00006B8C0000}"/>
    <cellStyle name="Normal 13 2 3 4 7" xfId="22224" xr:uid="{00000000-0005-0000-0000-00006C8C0000}"/>
    <cellStyle name="Normal 13 2 3 4 8" xfId="29326" xr:uid="{00000000-0005-0000-0000-00006D8C0000}"/>
    <cellStyle name="Normal 13 2 3 5" xfId="1197" xr:uid="{00000000-0005-0000-0000-00006E8C0000}"/>
    <cellStyle name="Normal 13 2 3 5 2" xfId="2688" xr:uid="{00000000-0005-0000-0000-00006F8C0000}"/>
    <cellStyle name="Normal 13 2 3 5 2 2" xfId="6956" xr:uid="{00000000-0005-0000-0000-0000708C0000}"/>
    <cellStyle name="Normal 13 2 3 5 2 2 2" xfId="14056" xr:uid="{00000000-0005-0000-0000-0000718C0000}"/>
    <cellStyle name="Normal 13 2 3 5 2 2 3" xfId="21157" xr:uid="{00000000-0005-0000-0000-0000728C0000}"/>
    <cellStyle name="Normal 13 2 3 5 2 2 4" xfId="28259" xr:uid="{00000000-0005-0000-0000-0000738C0000}"/>
    <cellStyle name="Normal 13 2 3 5 2 2 5" xfId="35361" xr:uid="{00000000-0005-0000-0000-0000748C0000}"/>
    <cellStyle name="Normal 13 2 3 5 2 3" xfId="9796" xr:uid="{00000000-0005-0000-0000-0000758C0000}"/>
    <cellStyle name="Normal 13 2 3 5 2 4" xfId="16897" xr:uid="{00000000-0005-0000-0000-0000768C0000}"/>
    <cellStyle name="Normal 13 2 3 5 2 5" xfId="23999" xr:uid="{00000000-0005-0000-0000-0000778C0000}"/>
    <cellStyle name="Normal 13 2 3 5 2 6" xfId="31101" xr:uid="{00000000-0005-0000-0000-0000788C0000}"/>
    <cellStyle name="Normal 13 2 3 5 3" xfId="5535" xr:uid="{00000000-0005-0000-0000-0000798C0000}"/>
    <cellStyle name="Normal 13 2 3 5 3 2" xfId="12636" xr:uid="{00000000-0005-0000-0000-00007A8C0000}"/>
    <cellStyle name="Normal 13 2 3 5 3 3" xfId="19737" xr:uid="{00000000-0005-0000-0000-00007B8C0000}"/>
    <cellStyle name="Normal 13 2 3 5 3 4" xfId="26839" xr:uid="{00000000-0005-0000-0000-00007C8C0000}"/>
    <cellStyle name="Normal 13 2 3 5 3 5" xfId="33941" xr:uid="{00000000-0005-0000-0000-00007D8C0000}"/>
    <cellStyle name="Normal 13 2 3 5 4" xfId="4110" xr:uid="{00000000-0005-0000-0000-00007E8C0000}"/>
    <cellStyle name="Normal 13 2 3 5 4 2" xfId="11216" xr:uid="{00000000-0005-0000-0000-00007F8C0000}"/>
    <cellStyle name="Normal 13 2 3 5 4 3" xfId="18317" xr:uid="{00000000-0005-0000-0000-0000808C0000}"/>
    <cellStyle name="Normal 13 2 3 5 4 4" xfId="25419" xr:uid="{00000000-0005-0000-0000-0000818C0000}"/>
    <cellStyle name="Normal 13 2 3 5 4 5" xfId="32521" xr:uid="{00000000-0005-0000-0000-0000828C0000}"/>
    <cellStyle name="Normal 13 2 3 5 5" xfId="8376" xr:uid="{00000000-0005-0000-0000-0000838C0000}"/>
    <cellStyle name="Normal 13 2 3 5 6" xfId="15477" xr:uid="{00000000-0005-0000-0000-0000848C0000}"/>
    <cellStyle name="Normal 13 2 3 5 7" xfId="22579" xr:uid="{00000000-0005-0000-0000-0000858C0000}"/>
    <cellStyle name="Normal 13 2 3 5 8" xfId="29681" xr:uid="{00000000-0005-0000-0000-0000868C0000}"/>
    <cellStyle name="Normal 13 2 3 6" xfId="1410" xr:uid="{00000000-0005-0000-0000-0000878C0000}"/>
    <cellStyle name="Normal 13 2 3 6 2" xfId="2901" xr:uid="{00000000-0005-0000-0000-0000888C0000}"/>
    <cellStyle name="Normal 13 2 3 6 2 2" xfId="7169" xr:uid="{00000000-0005-0000-0000-0000898C0000}"/>
    <cellStyle name="Normal 13 2 3 6 2 2 2" xfId="14269" xr:uid="{00000000-0005-0000-0000-00008A8C0000}"/>
    <cellStyle name="Normal 13 2 3 6 2 2 3" xfId="21370" xr:uid="{00000000-0005-0000-0000-00008B8C0000}"/>
    <cellStyle name="Normal 13 2 3 6 2 2 4" xfId="28472" xr:uid="{00000000-0005-0000-0000-00008C8C0000}"/>
    <cellStyle name="Normal 13 2 3 6 2 2 5" xfId="35574" xr:uid="{00000000-0005-0000-0000-00008D8C0000}"/>
    <cellStyle name="Normal 13 2 3 6 2 3" xfId="10009" xr:uid="{00000000-0005-0000-0000-00008E8C0000}"/>
    <cellStyle name="Normal 13 2 3 6 2 4" xfId="17110" xr:uid="{00000000-0005-0000-0000-00008F8C0000}"/>
    <cellStyle name="Normal 13 2 3 6 2 5" xfId="24212" xr:uid="{00000000-0005-0000-0000-0000908C0000}"/>
    <cellStyle name="Normal 13 2 3 6 2 6" xfId="31314" xr:uid="{00000000-0005-0000-0000-0000918C0000}"/>
    <cellStyle name="Normal 13 2 3 6 3" xfId="5748" xr:uid="{00000000-0005-0000-0000-0000928C0000}"/>
    <cellStyle name="Normal 13 2 3 6 3 2" xfId="12849" xr:uid="{00000000-0005-0000-0000-0000938C0000}"/>
    <cellStyle name="Normal 13 2 3 6 3 3" xfId="19950" xr:uid="{00000000-0005-0000-0000-0000948C0000}"/>
    <cellStyle name="Normal 13 2 3 6 3 4" xfId="27052" xr:uid="{00000000-0005-0000-0000-0000958C0000}"/>
    <cellStyle name="Normal 13 2 3 6 3 5" xfId="34154" xr:uid="{00000000-0005-0000-0000-0000968C0000}"/>
    <cellStyle name="Normal 13 2 3 6 4" xfId="4323" xr:uid="{00000000-0005-0000-0000-0000978C0000}"/>
    <cellStyle name="Normal 13 2 3 6 4 2" xfId="11429" xr:uid="{00000000-0005-0000-0000-0000988C0000}"/>
    <cellStyle name="Normal 13 2 3 6 4 3" xfId="18530" xr:uid="{00000000-0005-0000-0000-0000998C0000}"/>
    <cellStyle name="Normal 13 2 3 6 4 4" xfId="25632" xr:uid="{00000000-0005-0000-0000-00009A8C0000}"/>
    <cellStyle name="Normal 13 2 3 6 4 5" xfId="32734" xr:uid="{00000000-0005-0000-0000-00009B8C0000}"/>
    <cellStyle name="Normal 13 2 3 6 5" xfId="8589" xr:uid="{00000000-0005-0000-0000-00009C8C0000}"/>
    <cellStyle name="Normal 13 2 3 6 6" xfId="15690" xr:uid="{00000000-0005-0000-0000-00009D8C0000}"/>
    <cellStyle name="Normal 13 2 3 6 7" xfId="22792" xr:uid="{00000000-0005-0000-0000-00009E8C0000}"/>
    <cellStyle name="Normal 13 2 3 6 8" xfId="29894" xr:uid="{00000000-0005-0000-0000-00009F8C0000}"/>
    <cellStyle name="Normal 13 2 3 7" xfId="1694" xr:uid="{00000000-0005-0000-0000-0000A08C0000}"/>
    <cellStyle name="Normal 13 2 3 7 2" xfId="5962" xr:uid="{00000000-0005-0000-0000-0000A18C0000}"/>
    <cellStyle name="Normal 13 2 3 7 2 2" xfId="13062" xr:uid="{00000000-0005-0000-0000-0000A28C0000}"/>
    <cellStyle name="Normal 13 2 3 7 2 3" xfId="20163" xr:uid="{00000000-0005-0000-0000-0000A38C0000}"/>
    <cellStyle name="Normal 13 2 3 7 2 4" xfId="27265" xr:uid="{00000000-0005-0000-0000-0000A48C0000}"/>
    <cellStyle name="Normal 13 2 3 7 2 5" xfId="34367" xr:uid="{00000000-0005-0000-0000-0000A58C0000}"/>
    <cellStyle name="Normal 13 2 3 7 3" xfId="8802" xr:uid="{00000000-0005-0000-0000-0000A68C0000}"/>
    <cellStyle name="Normal 13 2 3 7 4" xfId="15903" xr:uid="{00000000-0005-0000-0000-0000A78C0000}"/>
    <cellStyle name="Normal 13 2 3 7 5" xfId="23005" xr:uid="{00000000-0005-0000-0000-0000A88C0000}"/>
    <cellStyle name="Normal 13 2 3 7 6" xfId="30107" xr:uid="{00000000-0005-0000-0000-0000A98C0000}"/>
    <cellStyle name="Normal 13 2 3 8" xfId="4541" xr:uid="{00000000-0005-0000-0000-0000AA8C0000}"/>
    <cellStyle name="Normal 13 2 3 8 2" xfId="11642" xr:uid="{00000000-0005-0000-0000-0000AB8C0000}"/>
    <cellStyle name="Normal 13 2 3 8 3" xfId="18743" xr:uid="{00000000-0005-0000-0000-0000AC8C0000}"/>
    <cellStyle name="Normal 13 2 3 8 4" xfId="25845" xr:uid="{00000000-0005-0000-0000-0000AD8C0000}"/>
    <cellStyle name="Normal 13 2 3 8 5" xfId="32947" xr:uid="{00000000-0005-0000-0000-0000AE8C0000}"/>
    <cellStyle name="Normal 13 2 3 9" xfId="3116" xr:uid="{00000000-0005-0000-0000-0000AF8C0000}"/>
    <cellStyle name="Normal 13 2 3 9 2" xfId="10222" xr:uid="{00000000-0005-0000-0000-0000B08C0000}"/>
    <cellStyle name="Normal 13 2 3 9 3" xfId="17323" xr:uid="{00000000-0005-0000-0000-0000B18C0000}"/>
    <cellStyle name="Normal 13 2 3 9 4" xfId="24425" xr:uid="{00000000-0005-0000-0000-0000B28C0000}"/>
    <cellStyle name="Normal 13 2 3 9 5" xfId="31527" xr:uid="{00000000-0005-0000-0000-0000B38C0000}"/>
    <cellStyle name="Normal 13 2 4" xfId="345" xr:uid="{00000000-0005-0000-0000-0000B48C0000}"/>
    <cellStyle name="Normal 13 2 4 2" xfId="1126" xr:uid="{00000000-0005-0000-0000-0000B58C0000}"/>
    <cellStyle name="Normal 13 2 4 2 2" xfId="2617" xr:uid="{00000000-0005-0000-0000-0000B68C0000}"/>
    <cellStyle name="Normal 13 2 4 2 2 2" xfId="6885" xr:uid="{00000000-0005-0000-0000-0000B78C0000}"/>
    <cellStyle name="Normal 13 2 4 2 2 2 2" xfId="13985" xr:uid="{00000000-0005-0000-0000-0000B88C0000}"/>
    <cellStyle name="Normal 13 2 4 2 2 2 3" xfId="21086" xr:uid="{00000000-0005-0000-0000-0000B98C0000}"/>
    <cellStyle name="Normal 13 2 4 2 2 2 4" xfId="28188" xr:uid="{00000000-0005-0000-0000-0000BA8C0000}"/>
    <cellStyle name="Normal 13 2 4 2 2 2 5" xfId="35290" xr:uid="{00000000-0005-0000-0000-0000BB8C0000}"/>
    <cellStyle name="Normal 13 2 4 2 2 3" xfId="9725" xr:uid="{00000000-0005-0000-0000-0000BC8C0000}"/>
    <cellStyle name="Normal 13 2 4 2 2 4" xfId="16826" xr:uid="{00000000-0005-0000-0000-0000BD8C0000}"/>
    <cellStyle name="Normal 13 2 4 2 2 5" xfId="23928" xr:uid="{00000000-0005-0000-0000-0000BE8C0000}"/>
    <cellStyle name="Normal 13 2 4 2 2 6" xfId="31030" xr:uid="{00000000-0005-0000-0000-0000BF8C0000}"/>
    <cellStyle name="Normal 13 2 4 2 3" xfId="5464" xr:uid="{00000000-0005-0000-0000-0000C08C0000}"/>
    <cellStyle name="Normal 13 2 4 2 3 2" xfId="12565" xr:uid="{00000000-0005-0000-0000-0000C18C0000}"/>
    <cellStyle name="Normal 13 2 4 2 3 3" xfId="19666" xr:uid="{00000000-0005-0000-0000-0000C28C0000}"/>
    <cellStyle name="Normal 13 2 4 2 3 4" xfId="26768" xr:uid="{00000000-0005-0000-0000-0000C38C0000}"/>
    <cellStyle name="Normal 13 2 4 2 3 5" xfId="33870" xr:uid="{00000000-0005-0000-0000-0000C48C0000}"/>
    <cellStyle name="Normal 13 2 4 2 4" xfId="4039" xr:uid="{00000000-0005-0000-0000-0000C58C0000}"/>
    <cellStyle name="Normal 13 2 4 2 4 2" xfId="11145" xr:uid="{00000000-0005-0000-0000-0000C68C0000}"/>
    <cellStyle name="Normal 13 2 4 2 4 3" xfId="18246" xr:uid="{00000000-0005-0000-0000-0000C78C0000}"/>
    <cellStyle name="Normal 13 2 4 2 4 4" xfId="25348" xr:uid="{00000000-0005-0000-0000-0000C88C0000}"/>
    <cellStyle name="Normal 13 2 4 2 4 5" xfId="32450" xr:uid="{00000000-0005-0000-0000-0000C98C0000}"/>
    <cellStyle name="Normal 13 2 4 2 5" xfId="8305" xr:uid="{00000000-0005-0000-0000-0000CA8C0000}"/>
    <cellStyle name="Normal 13 2 4 2 6" xfId="15406" xr:uid="{00000000-0005-0000-0000-0000CB8C0000}"/>
    <cellStyle name="Normal 13 2 4 2 7" xfId="22508" xr:uid="{00000000-0005-0000-0000-0000CC8C0000}"/>
    <cellStyle name="Normal 13 2 4 2 8" xfId="29610" xr:uid="{00000000-0005-0000-0000-0000CD8C0000}"/>
    <cellStyle name="Normal 13 2 4 3" xfId="1836" xr:uid="{00000000-0005-0000-0000-0000CE8C0000}"/>
    <cellStyle name="Normal 13 2 4 3 2" xfId="6104" xr:uid="{00000000-0005-0000-0000-0000CF8C0000}"/>
    <cellStyle name="Normal 13 2 4 3 2 2" xfId="13204" xr:uid="{00000000-0005-0000-0000-0000D08C0000}"/>
    <cellStyle name="Normal 13 2 4 3 2 3" xfId="20305" xr:uid="{00000000-0005-0000-0000-0000D18C0000}"/>
    <cellStyle name="Normal 13 2 4 3 2 4" xfId="27407" xr:uid="{00000000-0005-0000-0000-0000D28C0000}"/>
    <cellStyle name="Normal 13 2 4 3 2 5" xfId="34509" xr:uid="{00000000-0005-0000-0000-0000D38C0000}"/>
    <cellStyle name="Normal 13 2 4 3 3" xfId="8944" xr:uid="{00000000-0005-0000-0000-0000D48C0000}"/>
    <cellStyle name="Normal 13 2 4 3 4" xfId="16045" xr:uid="{00000000-0005-0000-0000-0000D58C0000}"/>
    <cellStyle name="Normal 13 2 4 3 5" xfId="23147" xr:uid="{00000000-0005-0000-0000-0000D68C0000}"/>
    <cellStyle name="Normal 13 2 4 3 6" xfId="30249" xr:uid="{00000000-0005-0000-0000-0000D78C0000}"/>
    <cellStyle name="Normal 13 2 4 4" xfId="4683" xr:uid="{00000000-0005-0000-0000-0000D88C0000}"/>
    <cellStyle name="Normal 13 2 4 4 2" xfId="11784" xr:uid="{00000000-0005-0000-0000-0000D98C0000}"/>
    <cellStyle name="Normal 13 2 4 4 3" xfId="18885" xr:uid="{00000000-0005-0000-0000-0000DA8C0000}"/>
    <cellStyle name="Normal 13 2 4 4 4" xfId="25987" xr:uid="{00000000-0005-0000-0000-0000DB8C0000}"/>
    <cellStyle name="Normal 13 2 4 4 5" xfId="33089" xr:uid="{00000000-0005-0000-0000-0000DC8C0000}"/>
    <cellStyle name="Normal 13 2 4 5" xfId="3258" xr:uid="{00000000-0005-0000-0000-0000DD8C0000}"/>
    <cellStyle name="Normal 13 2 4 5 2" xfId="10364" xr:uid="{00000000-0005-0000-0000-0000DE8C0000}"/>
    <cellStyle name="Normal 13 2 4 5 3" xfId="17465" xr:uid="{00000000-0005-0000-0000-0000DF8C0000}"/>
    <cellStyle name="Normal 13 2 4 5 4" xfId="24567" xr:uid="{00000000-0005-0000-0000-0000E08C0000}"/>
    <cellStyle name="Normal 13 2 4 5 5" xfId="31669" xr:uid="{00000000-0005-0000-0000-0000E18C0000}"/>
    <cellStyle name="Normal 13 2 4 6" xfId="7524" xr:uid="{00000000-0005-0000-0000-0000E28C0000}"/>
    <cellStyle name="Normal 13 2 4 7" xfId="14625" xr:uid="{00000000-0005-0000-0000-0000E38C0000}"/>
    <cellStyle name="Normal 13 2 4 8" xfId="21727" xr:uid="{00000000-0005-0000-0000-0000E48C0000}"/>
    <cellStyle name="Normal 13 2 4 9" xfId="28829" xr:uid="{00000000-0005-0000-0000-0000E58C0000}"/>
    <cellStyle name="Normal 13 2 5" xfId="558" xr:uid="{00000000-0005-0000-0000-0000E68C0000}"/>
    <cellStyle name="Normal 13 2 5 2" xfId="2049" xr:uid="{00000000-0005-0000-0000-0000E78C0000}"/>
    <cellStyle name="Normal 13 2 5 2 2" xfId="6317" xr:uid="{00000000-0005-0000-0000-0000E88C0000}"/>
    <cellStyle name="Normal 13 2 5 2 2 2" xfId="13417" xr:uid="{00000000-0005-0000-0000-0000E98C0000}"/>
    <cellStyle name="Normal 13 2 5 2 2 3" xfId="20518" xr:uid="{00000000-0005-0000-0000-0000EA8C0000}"/>
    <cellStyle name="Normal 13 2 5 2 2 4" xfId="27620" xr:uid="{00000000-0005-0000-0000-0000EB8C0000}"/>
    <cellStyle name="Normal 13 2 5 2 2 5" xfId="34722" xr:uid="{00000000-0005-0000-0000-0000EC8C0000}"/>
    <cellStyle name="Normal 13 2 5 2 3" xfId="9157" xr:uid="{00000000-0005-0000-0000-0000ED8C0000}"/>
    <cellStyle name="Normal 13 2 5 2 4" xfId="16258" xr:uid="{00000000-0005-0000-0000-0000EE8C0000}"/>
    <cellStyle name="Normal 13 2 5 2 5" xfId="23360" xr:uid="{00000000-0005-0000-0000-0000EF8C0000}"/>
    <cellStyle name="Normal 13 2 5 2 6" xfId="30462" xr:uid="{00000000-0005-0000-0000-0000F08C0000}"/>
    <cellStyle name="Normal 13 2 5 3" xfId="4896" xr:uid="{00000000-0005-0000-0000-0000F18C0000}"/>
    <cellStyle name="Normal 13 2 5 3 2" xfId="11997" xr:uid="{00000000-0005-0000-0000-0000F28C0000}"/>
    <cellStyle name="Normal 13 2 5 3 3" xfId="19098" xr:uid="{00000000-0005-0000-0000-0000F38C0000}"/>
    <cellStyle name="Normal 13 2 5 3 4" xfId="26200" xr:uid="{00000000-0005-0000-0000-0000F48C0000}"/>
    <cellStyle name="Normal 13 2 5 3 5" xfId="33302" xr:uid="{00000000-0005-0000-0000-0000F58C0000}"/>
    <cellStyle name="Normal 13 2 5 4" xfId="3471" xr:uid="{00000000-0005-0000-0000-0000F68C0000}"/>
    <cellStyle name="Normal 13 2 5 4 2" xfId="10577" xr:uid="{00000000-0005-0000-0000-0000F78C0000}"/>
    <cellStyle name="Normal 13 2 5 4 3" xfId="17678" xr:uid="{00000000-0005-0000-0000-0000F88C0000}"/>
    <cellStyle name="Normal 13 2 5 4 4" xfId="24780" xr:uid="{00000000-0005-0000-0000-0000F98C0000}"/>
    <cellStyle name="Normal 13 2 5 4 5" xfId="31882" xr:uid="{00000000-0005-0000-0000-0000FA8C0000}"/>
    <cellStyle name="Normal 13 2 5 5" xfId="7737" xr:uid="{00000000-0005-0000-0000-0000FB8C0000}"/>
    <cellStyle name="Normal 13 2 5 6" xfId="14838" xr:uid="{00000000-0005-0000-0000-0000FC8C0000}"/>
    <cellStyle name="Normal 13 2 5 7" xfId="21940" xr:uid="{00000000-0005-0000-0000-0000FD8C0000}"/>
    <cellStyle name="Normal 13 2 5 8" xfId="29042" xr:uid="{00000000-0005-0000-0000-0000FE8C0000}"/>
    <cellStyle name="Normal 13 2 6" xfId="771" xr:uid="{00000000-0005-0000-0000-0000FF8C0000}"/>
    <cellStyle name="Normal 13 2 6 2" xfId="2262" xr:uid="{00000000-0005-0000-0000-0000008D0000}"/>
    <cellStyle name="Normal 13 2 6 2 2" xfId="6530" xr:uid="{00000000-0005-0000-0000-0000018D0000}"/>
    <cellStyle name="Normal 13 2 6 2 2 2" xfId="13630" xr:uid="{00000000-0005-0000-0000-0000028D0000}"/>
    <cellStyle name="Normal 13 2 6 2 2 3" xfId="20731" xr:uid="{00000000-0005-0000-0000-0000038D0000}"/>
    <cellStyle name="Normal 13 2 6 2 2 4" xfId="27833" xr:uid="{00000000-0005-0000-0000-0000048D0000}"/>
    <cellStyle name="Normal 13 2 6 2 2 5" xfId="34935" xr:uid="{00000000-0005-0000-0000-0000058D0000}"/>
    <cellStyle name="Normal 13 2 6 2 3" xfId="9370" xr:uid="{00000000-0005-0000-0000-0000068D0000}"/>
    <cellStyle name="Normal 13 2 6 2 4" xfId="16471" xr:uid="{00000000-0005-0000-0000-0000078D0000}"/>
    <cellStyle name="Normal 13 2 6 2 5" xfId="23573" xr:uid="{00000000-0005-0000-0000-0000088D0000}"/>
    <cellStyle name="Normal 13 2 6 2 6" xfId="30675" xr:uid="{00000000-0005-0000-0000-0000098D0000}"/>
    <cellStyle name="Normal 13 2 6 3" xfId="5109" xr:uid="{00000000-0005-0000-0000-00000A8D0000}"/>
    <cellStyle name="Normal 13 2 6 3 2" xfId="12210" xr:uid="{00000000-0005-0000-0000-00000B8D0000}"/>
    <cellStyle name="Normal 13 2 6 3 3" xfId="19311" xr:uid="{00000000-0005-0000-0000-00000C8D0000}"/>
    <cellStyle name="Normal 13 2 6 3 4" xfId="26413" xr:uid="{00000000-0005-0000-0000-00000D8D0000}"/>
    <cellStyle name="Normal 13 2 6 3 5" xfId="33515" xr:uid="{00000000-0005-0000-0000-00000E8D0000}"/>
    <cellStyle name="Normal 13 2 6 4" xfId="3684" xr:uid="{00000000-0005-0000-0000-00000F8D0000}"/>
    <cellStyle name="Normal 13 2 6 4 2" xfId="10790" xr:uid="{00000000-0005-0000-0000-0000108D0000}"/>
    <cellStyle name="Normal 13 2 6 4 3" xfId="17891" xr:uid="{00000000-0005-0000-0000-0000118D0000}"/>
    <cellStyle name="Normal 13 2 6 4 4" xfId="24993" xr:uid="{00000000-0005-0000-0000-0000128D0000}"/>
    <cellStyle name="Normal 13 2 6 4 5" xfId="32095" xr:uid="{00000000-0005-0000-0000-0000138D0000}"/>
    <cellStyle name="Normal 13 2 6 5" xfId="7950" xr:uid="{00000000-0005-0000-0000-0000148D0000}"/>
    <cellStyle name="Normal 13 2 6 6" xfId="15051" xr:uid="{00000000-0005-0000-0000-0000158D0000}"/>
    <cellStyle name="Normal 13 2 6 7" xfId="22153" xr:uid="{00000000-0005-0000-0000-0000168D0000}"/>
    <cellStyle name="Normal 13 2 6 8" xfId="29255" xr:uid="{00000000-0005-0000-0000-0000178D0000}"/>
    <cellStyle name="Normal 13 2 7" xfId="984" xr:uid="{00000000-0005-0000-0000-0000188D0000}"/>
    <cellStyle name="Normal 13 2 7 2" xfId="2475" xr:uid="{00000000-0005-0000-0000-0000198D0000}"/>
    <cellStyle name="Normal 13 2 7 2 2" xfId="6743" xr:uid="{00000000-0005-0000-0000-00001A8D0000}"/>
    <cellStyle name="Normal 13 2 7 2 2 2" xfId="13843" xr:uid="{00000000-0005-0000-0000-00001B8D0000}"/>
    <cellStyle name="Normal 13 2 7 2 2 3" xfId="20944" xr:uid="{00000000-0005-0000-0000-00001C8D0000}"/>
    <cellStyle name="Normal 13 2 7 2 2 4" xfId="28046" xr:uid="{00000000-0005-0000-0000-00001D8D0000}"/>
    <cellStyle name="Normal 13 2 7 2 2 5" xfId="35148" xr:uid="{00000000-0005-0000-0000-00001E8D0000}"/>
    <cellStyle name="Normal 13 2 7 2 3" xfId="9583" xr:uid="{00000000-0005-0000-0000-00001F8D0000}"/>
    <cellStyle name="Normal 13 2 7 2 4" xfId="16684" xr:uid="{00000000-0005-0000-0000-0000208D0000}"/>
    <cellStyle name="Normal 13 2 7 2 5" xfId="23786" xr:uid="{00000000-0005-0000-0000-0000218D0000}"/>
    <cellStyle name="Normal 13 2 7 2 6" xfId="30888" xr:uid="{00000000-0005-0000-0000-0000228D0000}"/>
    <cellStyle name="Normal 13 2 7 3" xfId="5322" xr:uid="{00000000-0005-0000-0000-0000238D0000}"/>
    <cellStyle name="Normal 13 2 7 3 2" xfId="12423" xr:uid="{00000000-0005-0000-0000-0000248D0000}"/>
    <cellStyle name="Normal 13 2 7 3 3" xfId="19524" xr:uid="{00000000-0005-0000-0000-0000258D0000}"/>
    <cellStyle name="Normal 13 2 7 3 4" xfId="26626" xr:uid="{00000000-0005-0000-0000-0000268D0000}"/>
    <cellStyle name="Normal 13 2 7 3 5" xfId="33728" xr:uid="{00000000-0005-0000-0000-0000278D0000}"/>
    <cellStyle name="Normal 13 2 7 4" xfId="3897" xr:uid="{00000000-0005-0000-0000-0000288D0000}"/>
    <cellStyle name="Normal 13 2 7 4 2" xfId="11003" xr:uid="{00000000-0005-0000-0000-0000298D0000}"/>
    <cellStyle name="Normal 13 2 7 4 3" xfId="18104" xr:uid="{00000000-0005-0000-0000-00002A8D0000}"/>
    <cellStyle name="Normal 13 2 7 4 4" xfId="25206" xr:uid="{00000000-0005-0000-0000-00002B8D0000}"/>
    <cellStyle name="Normal 13 2 7 4 5" xfId="32308" xr:uid="{00000000-0005-0000-0000-00002C8D0000}"/>
    <cellStyle name="Normal 13 2 7 5" xfId="8163" xr:uid="{00000000-0005-0000-0000-00002D8D0000}"/>
    <cellStyle name="Normal 13 2 7 6" xfId="15264" xr:uid="{00000000-0005-0000-0000-00002E8D0000}"/>
    <cellStyle name="Normal 13 2 7 7" xfId="22366" xr:uid="{00000000-0005-0000-0000-00002F8D0000}"/>
    <cellStyle name="Normal 13 2 7 8" xfId="29468" xr:uid="{00000000-0005-0000-0000-0000308D0000}"/>
    <cellStyle name="Normal 13 2 8" xfId="1339" xr:uid="{00000000-0005-0000-0000-0000318D0000}"/>
    <cellStyle name="Normal 13 2 8 2" xfId="2830" xr:uid="{00000000-0005-0000-0000-0000328D0000}"/>
    <cellStyle name="Normal 13 2 8 2 2" xfId="7098" xr:uid="{00000000-0005-0000-0000-0000338D0000}"/>
    <cellStyle name="Normal 13 2 8 2 2 2" xfId="14198" xr:uid="{00000000-0005-0000-0000-0000348D0000}"/>
    <cellStyle name="Normal 13 2 8 2 2 3" xfId="21299" xr:uid="{00000000-0005-0000-0000-0000358D0000}"/>
    <cellStyle name="Normal 13 2 8 2 2 4" xfId="28401" xr:uid="{00000000-0005-0000-0000-0000368D0000}"/>
    <cellStyle name="Normal 13 2 8 2 2 5" xfId="35503" xr:uid="{00000000-0005-0000-0000-0000378D0000}"/>
    <cellStyle name="Normal 13 2 8 2 3" xfId="9938" xr:uid="{00000000-0005-0000-0000-0000388D0000}"/>
    <cellStyle name="Normal 13 2 8 2 4" xfId="17039" xr:uid="{00000000-0005-0000-0000-0000398D0000}"/>
    <cellStyle name="Normal 13 2 8 2 5" xfId="24141" xr:uid="{00000000-0005-0000-0000-00003A8D0000}"/>
    <cellStyle name="Normal 13 2 8 2 6" xfId="31243" xr:uid="{00000000-0005-0000-0000-00003B8D0000}"/>
    <cellStyle name="Normal 13 2 8 3" xfId="5677" xr:uid="{00000000-0005-0000-0000-00003C8D0000}"/>
    <cellStyle name="Normal 13 2 8 3 2" xfId="12778" xr:uid="{00000000-0005-0000-0000-00003D8D0000}"/>
    <cellStyle name="Normal 13 2 8 3 3" xfId="19879" xr:uid="{00000000-0005-0000-0000-00003E8D0000}"/>
    <cellStyle name="Normal 13 2 8 3 4" xfId="26981" xr:uid="{00000000-0005-0000-0000-00003F8D0000}"/>
    <cellStyle name="Normal 13 2 8 3 5" xfId="34083" xr:uid="{00000000-0005-0000-0000-0000408D0000}"/>
    <cellStyle name="Normal 13 2 8 4" xfId="4252" xr:uid="{00000000-0005-0000-0000-0000418D0000}"/>
    <cellStyle name="Normal 13 2 8 4 2" xfId="11358" xr:uid="{00000000-0005-0000-0000-0000428D0000}"/>
    <cellStyle name="Normal 13 2 8 4 3" xfId="18459" xr:uid="{00000000-0005-0000-0000-0000438D0000}"/>
    <cellStyle name="Normal 13 2 8 4 4" xfId="25561" xr:uid="{00000000-0005-0000-0000-0000448D0000}"/>
    <cellStyle name="Normal 13 2 8 4 5" xfId="32663" xr:uid="{00000000-0005-0000-0000-0000458D0000}"/>
    <cellStyle name="Normal 13 2 8 5" xfId="8518" xr:uid="{00000000-0005-0000-0000-0000468D0000}"/>
    <cellStyle name="Normal 13 2 8 6" xfId="15619" xr:uid="{00000000-0005-0000-0000-0000478D0000}"/>
    <cellStyle name="Normal 13 2 8 7" xfId="22721" xr:uid="{00000000-0005-0000-0000-0000488D0000}"/>
    <cellStyle name="Normal 13 2 8 8" xfId="29823" xr:uid="{00000000-0005-0000-0000-0000498D0000}"/>
    <cellStyle name="Normal 13 2 9" xfId="1623" xr:uid="{00000000-0005-0000-0000-00004A8D0000}"/>
    <cellStyle name="Normal 13 2 9 2" xfId="5891" xr:uid="{00000000-0005-0000-0000-00004B8D0000}"/>
    <cellStyle name="Normal 13 2 9 2 2" xfId="12991" xr:uid="{00000000-0005-0000-0000-00004C8D0000}"/>
    <cellStyle name="Normal 13 2 9 2 3" xfId="20092" xr:uid="{00000000-0005-0000-0000-00004D8D0000}"/>
    <cellStyle name="Normal 13 2 9 2 4" xfId="27194" xr:uid="{00000000-0005-0000-0000-00004E8D0000}"/>
    <cellStyle name="Normal 13 2 9 2 5" xfId="34296" xr:uid="{00000000-0005-0000-0000-00004F8D0000}"/>
    <cellStyle name="Normal 13 2 9 3" xfId="8731" xr:uid="{00000000-0005-0000-0000-0000508D0000}"/>
    <cellStyle name="Normal 13 2 9 4" xfId="15832" xr:uid="{00000000-0005-0000-0000-0000518D0000}"/>
    <cellStyle name="Normal 13 2 9 5" xfId="22934" xr:uid="{00000000-0005-0000-0000-0000528D0000}"/>
    <cellStyle name="Normal 13 2 9 6" xfId="30036" xr:uid="{00000000-0005-0000-0000-0000538D0000}"/>
    <cellStyle name="Normal 13 3" xfId="40831" xr:uid="{00000000-0005-0000-0000-0000548D0000}"/>
    <cellStyle name="Normal 14" xfId="5" xr:uid="{00000000-0005-0000-0000-0000558D0000}"/>
    <cellStyle name="Normal 15" xfId="6" xr:uid="{00000000-0005-0000-0000-0000568D0000}"/>
    <cellStyle name="Normal 16" xfId="7" xr:uid="{00000000-0005-0000-0000-0000578D0000}"/>
    <cellStyle name="Normal 17" xfId="8" xr:uid="{00000000-0005-0000-0000-0000588D0000}"/>
    <cellStyle name="Normal 18" xfId="9" xr:uid="{00000000-0005-0000-0000-0000598D0000}"/>
    <cellStyle name="Normal 19" xfId="10" xr:uid="{00000000-0005-0000-0000-00005A8D0000}"/>
    <cellStyle name="Normal 2" xfId="11" xr:uid="{00000000-0005-0000-0000-00005B8D0000}"/>
    <cellStyle name="Normal 2 10" xfId="40832" xr:uid="{00000000-0005-0000-0000-00005C8D0000}"/>
    <cellStyle name="Normal 2 10 2" xfId="40833" xr:uid="{00000000-0005-0000-0000-00005D8D0000}"/>
    <cellStyle name="Normal 2 10 2 2" xfId="40834" xr:uid="{00000000-0005-0000-0000-00005E8D0000}"/>
    <cellStyle name="Normal 2 10 3" xfId="40835" xr:uid="{00000000-0005-0000-0000-00005F8D0000}"/>
    <cellStyle name="Normal 2 10 3 2" xfId="40836" xr:uid="{00000000-0005-0000-0000-0000608D0000}"/>
    <cellStyle name="Normal 2 10 4" xfId="40837" xr:uid="{00000000-0005-0000-0000-0000618D0000}"/>
    <cellStyle name="Normal 2 11" xfId="40838" xr:uid="{00000000-0005-0000-0000-0000628D0000}"/>
    <cellStyle name="Normal 2 11 2" xfId="40839" xr:uid="{00000000-0005-0000-0000-0000638D0000}"/>
    <cellStyle name="Normal 2 12" xfId="40840" xr:uid="{00000000-0005-0000-0000-0000648D0000}"/>
    <cellStyle name="Normal 2 12 2" xfId="40841" xr:uid="{00000000-0005-0000-0000-0000658D0000}"/>
    <cellStyle name="Normal 2 13" xfId="40842" xr:uid="{00000000-0005-0000-0000-0000668D0000}"/>
    <cellStyle name="Normal 2 14" xfId="40843" xr:uid="{00000000-0005-0000-0000-0000678D0000}"/>
    <cellStyle name="Normal 2 15" xfId="40844" xr:uid="{00000000-0005-0000-0000-0000688D0000}"/>
    <cellStyle name="Normal 2 16" xfId="40845" xr:uid="{00000000-0005-0000-0000-0000698D0000}"/>
    <cellStyle name="Normal 2 2" xfId="23" xr:uid="{00000000-0005-0000-0000-00006A8D0000}"/>
    <cellStyle name="Normal 2 2 10" xfId="40846" xr:uid="{00000000-0005-0000-0000-00006B8D0000}"/>
    <cellStyle name="Normal 2 2 11" xfId="40847" xr:uid="{00000000-0005-0000-0000-00006C8D0000}"/>
    <cellStyle name="Normal 2 2 2" xfId="89" xr:uid="{00000000-0005-0000-0000-00006D8D0000}"/>
    <cellStyle name="Normal 2 2 2 10" xfId="1588" xr:uid="{00000000-0005-0000-0000-00006E8D0000}"/>
    <cellStyle name="Normal 2 2 2 10 2" xfId="5860" xr:uid="{00000000-0005-0000-0000-00006F8D0000}"/>
    <cellStyle name="Normal 2 2 2 10 2 2" xfId="12960" xr:uid="{00000000-0005-0000-0000-0000708D0000}"/>
    <cellStyle name="Normal 2 2 2 10 2 3" xfId="20061" xr:uid="{00000000-0005-0000-0000-0000718D0000}"/>
    <cellStyle name="Normal 2 2 2 10 2 4" xfId="27163" xr:uid="{00000000-0005-0000-0000-0000728D0000}"/>
    <cellStyle name="Normal 2 2 2 10 2 5" xfId="34265" xr:uid="{00000000-0005-0000-0000-0000738D0000}"/>
    <cellStyle name="Normal 2 2 2 10 3" xfId="3014" xr:uid="{00000000-0005-0000-0000-0000748D0000}"/>
    <cellStyle name="Normal 2 2 2 10 3 2" xfId="10120" xr:uid="{00000000-0005-0000-0000-0000758D0000}"/>
    <cellStyle name="Normal 2 2 2 10 3 3" xfId="17221" xr:uid="{00000000-0005-0000-0000-0000768D0000}"/>
    <cellStyle name="Normal 2 2 2 10 3 4" xfId="24323" xr:uid="{00000000-0005-0000-0000-0000778D0000}"/>
    <cellStyle name="Normal 2 2 2 10 3 5" xfId="31425" xr:uid="{00000000-0005-0000-0000-0000788D0000}"/>
    <cellStyle name="Normal 2 2 2 10 4" xfId="8700" xr:uid="{00000000-0005-0000-0000-0000798D0000}"/>
    <cellStyle name="Normal 2 2 2 10 5" xfId="15801" xr:uid="{00000000-0005-0000-0000-00007A8D0000}"/>
    <cellStyle name="Normal 2 2 2 10 6" xfId="22903" xr:uid="{00000000-0005-0000-0000-00007B8D0000}"/>
    <cellStyle name="Normal 2 2 2 10 7" xfId="30005" xr:uid="{00000000-0005-0000-0000-00007C8D0000}"/>
    <cellStyle name="Normal 2 2 2 11" xfId="4439" xr:uid="{00000000-0005-0000-0000-00007D8D0000}"/>
    <cellStyle name="Normal 2 2 2 11 2" xfId="11540" xr:uid="{00000000-0005-0000-0000-00007E8D0000}"/>
    <cellStyle name="Normal 2 2 2 11 3" xfId="18641" xr:uid="{00000000-0005-0000-0000-00007F8D0000}"/>
    <cellStyle name="Normal 2 2 2 11 4" xfId="25743" xr:uid="{00000000-0005-0000-0000-0000808D0000}"/>
    <cellStyle name="Normal 2 2 2 11 5" xfId="32845" xr:uid="{00000000-0005-0000-0000-0000818D0000}"/>
    <cellStyle name="Normal 2 2 2 12" xfId="7280" xr:uid="{00000000-0005-0000-0000-0000828D0000}"/>
    <cellStyle name="Normal 2 2 2 13" xfId="14381" xr:uid="{00000000-0005-0000-0000-0000838D0000}"/>
    <cellStyle name="Normal 2 2 2 14" xfId="21483" xr:uid="{00000000-0005-0000-0000-0000848D0000}"/>
    <cellStyle name="Normal 2 2 2 15" xfId="28585" xr:uid="{00000000-0005-0000-0000-0000858D0000}"/>
    <cellStyle name="Normal 2 2 2 16" xfId="35687" xr:uid="{00000000-0005-0000-0000-0000868D0000}"/>
    <cellStyle name="Normal 2 2 2 17" xfId="40848" xr:uid="{00000000-0005-0000-0000-0000878D0000}"/>
    <cellStyle name="Normal 2 2 2 2" xfId="243" xr:uid="{00000000-0005-0000-0000-0000888D0000}"/>
    <cellStyle name="Normal 2 2 2 2 10" xfId="7422" xr:uid="{00000000-0005-0000-0000-0000898D0000}"/>
    <cellStyle name="Normal 2 2 2 2 11" xfId="14523" xr:uid="{00000000-0005-0000-0000-00008A8D0000}"/>
    <cellStyle name="Normal 2 2 2 2 12" xfId="21625" xr:uid="{00000000-0005-0000-0000-00008B8D0000}"/>
    <cellStyle name="Normal 2 2 2 2 13" xfId="28727" xr:uid="{00000000-0005-0000-0000-00008C8D0000}"/>
    <cellStyle name="Normal 2 2 2 2 14" xfId="35829" xr:uid="{00000000-0005-0000-0000-00008D8D0000}"/>
    <cellStyle name="Normal 2 2 2 2 2" xfId="456" xr:uid="{00000000-0005-0000-0000-00008E8D0000}"/>
    <cellStyle name="Normal 2 2 2 2 2 2" xfId="1237" xr:uid="{00000000-0005-0000-0000-00008F8D0000}"/>
    <cellStyle name="Normal 2 2 2 2 2 2 2" xfId="2728" xr:uid="{00000000-0005-0000-0000-0000908D0000}"/>
    <cellStyle name="Normal 2 2 2 2 2 2 2 2" xfId="6996" xr:uid="{00000000-0005-0000-0000-0000918D0000}"/>
    <cellStyle name="Normal 2 2 2 2 2 2 2 2 2" xfId="14096" xr:uid="{00000000-0005-0000-0000-0000928D0000}"/>
    <cellStyle name="Normal 2 2 2 2 2 2 2 2 3" xfId="21197" xr:uid="{00000000-0005-0000-0000-0000938D0000}"/>
    <cellStyle name="Normal 2 2 2 2 2 2 2 2 4" xfId="28299" xr:uid="{00000000-0005-0000-0000-0000948D0000}"/>
    <cellStyle name="Normal 2 2 2 2 2 2 2 2 5" xfId="35401" xr:uid="{00000000-0005-0000-0000-0000958D0000}"/>
    <cellStyle name="Normal 2 2 2 2 2 2 2 3" xfId="9836" xr:uid="{00000000-0005-0000-0000-0000968D0000}"/>
    <cellStyle name="Normal 2 2 2 2 2 2 2 4" xfId="16937" xr:uid="{00000000-0005-0000-0000-0000978D0000}"/>
    <cellStyle name="Normal 2 2 2 2 2 2 2 5" xfId="24039" xr:uid="{00000000-0005-0000-0000-0000988D0000}"/>
    <cellStyle name="Normal 2 2 2 2 2 2 2 6" xfId="31141" xr:uid="{00000000-0005-0000-0000-0000998D0000}"/>
    <cellStyle name="Normal 2 2 2 2 2 2 3" xfId="5575" xr:uid="{00000000-0005-0000-0000-00009A8D0000}"/>
    <cellStyle name="Normal 2 2 2 2 2 2 3 2" xfId="12676" xr:uid="{00000000-0005-0000-0000-00009B8D0000}"/>
    <cellStyle name="Normal 2 2 2 2 2 2 3 3" xfId="19777" xr:uid="{00000000-0005-0000-0000-00009C8D0000}"/>
    <cellStyle name="Normal 2 2 2 2 2 2 3 4" xfId="26879" xr:uid="{00000000-0005-0000-0000-00009D8D0000}"/>
    <cellStyle name="Normal 2 2 2 2 2 2 3 5" xfId="33981" xr:uid="{00000000-0005-0000-0000-00009E8D0000}"/>
    <cellStyle name="Normal 2 2 2 2 2 2 4" xfId="4150" xr:uid="{00000000-0005-0000-0000-00009F8D0000}"/>
    <cellStyle name="Normal 2 2 2 2 2 2 4 2" xfId="11256" xr:uid="{00000000-0005-0000-0000-0000A08D0000}"/>
    <cellStyle name="Normal 2 2 2 2 2 2 4 3" xfId="18357" xr:uid="{00000000-0005-0000-0000-0000A18D0000}"/>
    <cellStyle name="Normal 2 2 2 2 2 2 4 4" xfId="25459" xr:uid="{00000000-0005-0000-0000-0000A28D0000}"/>
    <cellStyle name="Normal 2 2 2 2 2 2 4 5" xfId="32561" xr:uid="{00000000-0005-0000-0000-0000A38D0000}"/>
    <cellStyle name="Normal 2 2 2 2 2 2 5" xfId="8416" xr:uid="{00000000-0005-0000-0000-0000A48D0000}"/>
    <cellStyle name="Normal 2 2 2 2 2 2 6" xfId="15517" xr:uid="{00000000-0005-0000-0000-0000A58D0000}"/>
    <cellStyle name="Normal 2 2 2 2 2 2 7" xfId="22619" xr:uid="{00000000-0005-0000-0000-0000A68D0000}"/>
    <cellStyle name="Normal 2 2 2 2 2 2 8" xfId="29721" xr:uid="{00000000-0005-0000-0000-0000A78D0000}"/>
    <cellStyle name="Normal 2 2 2 2 2 3" xfId="1947" xr:uid="{00000000-0005-0000-0000-0000A88D0000}"/>
    <cellStyle name="Normal 2 2 2 2 2 3 2" xfId="6215" xr:uid="{00000000-0005-0000-0000-0000A98D0000}"/>
    <cellStyle name="Normal 2 2 2 2 2 3 2 2" xfId="13315" xr:uid="{00000000-0005-0000-0000-0000AA8D0000}"/>
    <cellStyle name="Normal 2 2 2 2 2 3 2 3" xfId="20416" xr:uid="{00000000-0005-0000-0000-0000AB8D0000}"/>
    <cellStyle name="Normal 2 2 2 2 2 3 2 4" xfId="27518" xr:uid="{00000000-0005-0000-0000-0000AC8D0000}"/>
    <cellStyle name="Normal 2 2 2 2 2 3 2 5" xfId="34620" xr:uid="{00000000-0005-0000-0000-0000AD8D0000}"/>
    <cellStyle name="Normal 2 2 2 2 2 3 3" xfId="9055" xr:uid="{00000000-0005-0000-0000-0000AE8D0000}"/>
    <cellStyle name="Normal 2 2 2 2 2 3 4" xfId="16156" xr:uid="{00000000-0005-0000-0000-0000AF8D0000}"/>
    <cellStyle name="Normal 2 2 2 2 2 3 5" xfId="23258" xr:uid="{00000000-0005-0000-0000-0000B08D0000}"/>
    <cellStyle name="Normal 2 2 2 2 2 3 6" xfId="30360" xr:uid="{00000000-0005-0000-0000-0000B18D0000}"/>
    <cellStyle name="Normal 2 2 2 2 2 4" xfId="4794" xr:uid="{00000000-0005-0000-0000-0000B28D0000}"/>
    <cellStyle name="Normal 2 2 2 2 2 4 2" xfId="11895" xr:uid="{00000000-0005-0000-0000-0000B38D0000}"/>
    <cellStyle name="Normal 2 2 2 2 2 4 3" xfId="18996" xr:uid="{00000000-0005-0000-0000-0000B48D0000}"/>
    <cellStyle name="Normal 2 2 2 2 2 4 4" xfId="26098" xr:uid="{00000000-0005-0000-0000-0000B58D0000}"/>
    <cellStyle name="Normal 2 2 2 2 2 4 5" xfId="33200" xr:uid="{00000000-0005-0000-0000-0000B68D0000}"/>
    <cellStyle name="Normal 2 2 2 2 2 5" xfId="3369" xr:uid="{00000000-0005-0000-0000-0000B78D0000}"/>
    <cellStyle name="Normal 2 2 2 2 2 5 2" xfId="10475" xr:uid="{00000000-0005-0000-0000-0000B88D0000}"/>
    <cellStyle name="Normal 2 2 2 2 2 5 3" xfId="17576" xr:uid="{00000000-0005-0000-0000-0000B98D0000}"/>
    <cellStyle name="Normal 2 2 2 2 2 5 4" xfId="24678" xr:uid="{00000000-0005-0000-0000-0000BA8D0000}"/>
    <cellStyle name="Normal 2 2 2 2 2 5 5" xfId="31780" xr:uid="{00000000-0005-0000-0000-0000BB8D0000}"/>
    <cellStyle name="Normal 2 2 2 2 2 6" xfId="7635" xr:uid="{00000000-0005-0000-0000-0000BC8D0000}"/>
    <cellStyle name="Normal 2 2 2 2 2 7" xfId="14736" xr:uid="{00000000-0005-0000-0000-0000BD8D0000}"/>
    <cellStyle name="Normal 2 2 2 2 2 8" xfId="21838" xr:uid="{00000000-0005-0000-0000-0000BE8D0000}"/>
    <cellStyle name="Normal 2 2 2 2 2 9" xfId="28940" xr:uid="{00000000-0005-0000-0000-0000BF8D0000}"/>
    <cellStyle name="Normal 2 2 2 2 3" xfId="669" xr:uid="{00000000-0005-0000-0000-0000C08D0000}"/>
    <cellStyle name="Normal 2 2 2 2 3 2" xfId="2160" xr:uid="{00000000-0005-0000-0000-0000C18D0000}"/>
    <cellStyle name="Normal 2 2 2 2 3 2 2" xfId="6428" xr:uid="{00000000-0005-0000-0000-0000C28D0000}"/>
    <cellStyle name="Normal 2 2 2 2 3 2 2 2" xfId="13528" xr:uid="{00000000-0005-0000-0000-0000C38D0000}"/>
    <cellStyle name="Normal 2 2 2 2 3 2 2 3" xfId="20629" xr:uid="{00000000-0005-0000-0000-0000C48D0000}"/>
    <cellStyle name="Normal 2 2 2 2 3 2 2 4" xfId="27731" xr:uid="{00000000-0005-0000-0000-0000C58D0000}"/>
    <cellStyle name="Normal 2 2 2 2 3 2 2 5" xfId="34833" xr:uid="{00000000-0005-0000-0000-0000C68D0000}"/>
    <cellStyle name="Normal 2 2 2 2 3 2 3" xfId="9268" xr:uid="{00000000-0005-0000-0000-0000C78D0000}"/>
    <cellStyle name="Normal 2 2 2 2 3 2 4" xfId="16369" xr:uid="{00000000-0005-0000-0000-0000C88D0000}"/>
    <cellStyle name="Normal 2 2 2 2 3 2 5" xfId="23471" xr:uid="{00000000-0005-0000-0000-0000C98D0000}"/>
    <cellStyle name="Normal 2 2 2 2 3 2 6" xfId="30573" xr:uid="{00000000-0005-0000-0000-0000CA8D0000}"/>
    <cellStyle name="Normal 2 2 2 2 3 3" xfId="5007" xr:uid="{00000000-0005-0000-0000-0000CB8D0000}"/>
    <cellStyle name="Normal 2 2 2 2 3 3 2" xfId="12108" xr:uid="{00000000-0005-0000-0000-0000CC8D0000}"/>
    <cellStyle name="Normal 2 2 2 2 3 3 3" xfId="19209" xr:uid="{00000000-0005-0000-0000-0000CD8D0000}"/>
    <cellStyle name="Normal 2 2 2 2 3 3 4" xfId="26311" xr:uid="{00000000-0005-0000-0000-0000CE8D0000}"/>
    <cellStyle name="Normal 2 2 2 2 3 3 5" xfId="33413" xr:uid="{00000000-0005-0000-0000-0000CF8D0000}"/>
    <cellStyle name="Normal 2 2 2 2 3 4" xfId="3582" xr:uid="{00000000-0005-0000-0000-0000D08D0000}"/>
    <cellStyle name="Normal 2 2 2 2 3 4 2" xfId="10688" xr:uid="{00000000-0005-0000-0000-0000D18D0000}"/>
    <cellStyle name="Normal 2 2 2 2 3 4 3" xfId="17789" xr:uid="{00000000-0005-0000-0000-0000D28D0000}"/>
    <cellStyle name="Normal 2 2 2 2 3 4 4" xfId="24891" xr:uid="{00000000-0005-0000-0000-0000D38D0000}"/>
    <cellStyle name="Normal 2 2 2 2 3 4 5" xfId="31993" xr:uid="{00000000-0005-0000-0000-0000D48D0000}"/>
    <cellStyle name="Normal 2 2 2 2 3 5" xfId="7848" xr:uid="{00000000-0005-0000-0000-0000D58D0000}"/>
    <cellStyle name="Normal 2 2 2 2 3 6" xfId="14949" xr:uid="{00000000-0005-0000-0000-0000D68D0000}"/>
    <cellStyle name="Normal 2 2 2 2 3 7" xfId="22051" xr:uid="{00000000-0005-0000-0000-0000D78D0000}"/>
    <cellStyle name="Normal 2 2 2 2 3 8" xfId="29153" xr:uid="{00000000-0005-0000-0000-0000D88D0000}"/>
    <cellStyle name="Normal 2 2 2 2 4" xfId="882" xr:uid="{00000000-0005-0000-0000-0000D98D0000}"/>
    <cellStyle name="Normal 2 2 2 2 4 2" xfId="2373" xr:uid="{00000000-0005-0000-0000-0000DA8D0000}"/>
    <cellStyle name="Normal 2 2 2 2 4 2 2" xfId="6641" xr:uid="{00000000-0005-0000-0000-0000DB8D0000}"/>
    <cellStyle name="Normal 2 2 2 2 4 2 2 2" xfId="13741" xr:uid="{00000000-0005-0000-0000-0000DC8D0000}"/>
    <cellStyle name="Normal 2 2 2 2 4 2 2 3" xfId="20842" xr:uid="{00000000-0005-0000-0000-0000DD8D0000}"/>
    <cellStyle name="Normal 2 2 2 2 4 2 2 4" xfId="27944" xr:uid="{00000000-0005-0000-0000-0000DE8D0000}"/>
    <cellStyle name="Normal 2 2 2 2 4 2 2 5" xfId="35046" xr:uid="{00000000-0005-0000-0000-0000DF8D0000}"/>
    <cellStyle name="Normal 2 2 2 2 4 2 3" xfId="9481" xr:uid="{00000000-0005-0000-0000-0000E08D0000}"/>
    <cellStyle name="Normal 2 2 2 2 4 2 4" xfId="16582" xr:uid="{00000000-0005-0000-0000-0000E18D0000}"/>
    <cellStyle name="Normal 2 2 2 2 4 2 5" xfId="23684" xr:uid="{00000000-0005-0000-0000-0000E28D0000}"/>
    <cellStyle name="Normal 2 2 2 2 4 2 6" xfId="30786" xr:uid="{00000000-0005-0000-0000-0000E38D0000}"/>
    <cellStyle name="Normal 2 2 2 2 4 3" xfId="5220" xr:uid="{00000000-0005-0000-0000-0000E48D0000}"/>
    <cellStyle name="Normal 2 2 2 2 4 3 2" xfId="12321" xr:uid="{00000000-0005-0000-0000-0000E58D0000}"/>
    <cellStyle name="Normal 2 2 2 2 4 3 3" xfId="19422" xr:uid="{00000000-0005-0000-0000-0000E68D0000}"/>
    <cellStyle name="Normal 2 2 2 2 4 3 4" xfId="26524" xr:uid="{00000000-0005-0000-0000-0000E78D0000}"/>
    <cellStyle name="Normal 2 2 2 2 4 3 5" xfId="33626" xr:uid="{00000000-0005-0000-0000-0000E88D0000}"/>
    <cellStyle name="Normal 2 2 2 2 4 4" xfId="3795" xr:uid="{00000000-0005-0000-0000-0000E98D0000}"/>
    <cellStyle name="Normal 2 2 2 2 4 4 2" xfId="10901" xr:uid="{00000000-0005-0000-0000-0000EA8D0000}"/>
    <cellStyle name="Normal 2 2 2 2 4 4 3" xfId="18002" xr:uid="{00000000-0005-0000-0000-0000EB8D0000}"/>
    <cellStyle name="Normal 2 2 2 2 4 4 4" xfId="25104" xr:uid="{00000000-0005-0000-0000-0000EC8D0000}"/>
    <cellStyle name="Normal 2 2 2 2 4 4 5" xfId="32206" xr:uid="{00000000-0005-0000-0000-0000ED8D0000}"/>
    <cellStyle name="Normal 2 2 2 2 4 5" xfId="8061" xr:uid="{00000000-0005-0000-0000-0000EE8D0000}"/>
    <cellStyle name="Normal 2 2 2 2 4 6" xfId="15162" xr:uid="{00000000-0005-0000-0000-0000EF8D0000}"/>
    <cellStyle name="Normal 2 2 2 2 4 7" xfId="22264" xr:uid="{00000000-0005-0000-0000-0000F08D0000}"/>
    <cellStyle name="Normal 2 2 2 2 4 8" xfId="29366" xr:uid="{00000000-0005-0000-0000-0000F18D0000}"/>
    <cellStyle name="Normal 2 2 2 2 5" xfId="1024" xr:uid="{00000000-0005-0000-0000-0000F28D0000}"/>
    <cellStyle name="Normal 2 2 2 2 5 2" xfId="2515" xr:uid="{00000000-0005-0000-0000-0000F38D0000}"/>
    <cellStyle name="Normal 2 2 2 2 5 2 2" xfId="6783" xr:uid="{00000000-0005-0000-0000-0000F48D0000}"/>
    <cellStyle name="Normal 2 2 2 2 5 2 2 2" xfId="13883" xr:uid="{00000000-0005-0000-0000-0000F58D0000}"/>
    <cellStyle name="Normal 2 2 2 2 5 2 2 3" xfId="20984" xr:uid="{00000000-0005-0000-0000-0000F68D0000}"/>
    <cellStyle name="Normal 2 2 2 2 5 2 2 4" xfId="28086" xr:uid="{00000000-0005-0000-0000-0000F78D0000}"/>
    <cellStyle name="Normal 2 2 2 2 5 2 2 5" xfId="35188" xr:uid="{00000000-0005-0000-0000-0000F88D0000}"/>
    <cellStyle name="Normal 2 2 2 2 5 2 3" xfId="9623" xr:uid="{00000000-0005-0000-0000-0000F98D0000}"/>
    <cellStyle name="Normal 2 2 2 2 5 2 4" xfId="16724" xr:uid="{00000000-0005-0000-0000-0000FA8D0000}"/>
    <cellStyle name="Normal 2 2 2 2 5 2 5" xfId="23826" xr:uid="{00000000-0005-0000-0000-0000FB8D0000}"/>
    <cellStyle name="Normal 2 2 2 2 5 2 6" xfId="30928" xr:uid="{00000000-0005-0000-0000-0000FC8D0000}"/>
    <cellStyle name="Normal 2 2 2 2 5 3" xfId="5362" xr:uid="{00000000-0005-0000-0000-0000FD8D0000}"/>
    <cellStyle name="Normal 2 2 2 2 5 3 2" xfId="12463" xr:uid="{00000000-0005-0000-0000-0000FE8D0000}"/>
    <cellStyle name="Normal 2 2 2 2 5 3 3" xfId="19564" xr:uid="{00000000-0005-0000-0000-0000FF8D0000}"/>
    <cellStyle name="Normal 2 2 2 2 5 3 4" xfId="26666" xr:uid="{00000000-0005-0000-0000-0000008E0000}"/>
    <cellStyle name="Normal 2 2 2 2 5 3 5" xfId="33768" xr:uid="{00000000-0005-0000-0000-0000018E0000}"/>
    <cellStyle name="Normal 2 2 2 2 5 4" xfId="3937" xr:uid="{00000000-0005-0000-0000-0000028E0000}"/>
    <cellStyle name="Normal 2 2 2 2 5 4 2" xfId="11043" xr:uid="{00000000-0005-0000-0000-0000038E0000}"/>
    <cellStyle name="Normal 2 2 2 2 5 4 3" xfId="18144" xr:uid="{00000000-0005-0000-0000-0000048E0000}"/>
    <cellStyle name="Normal 2 2 2 2 5 4 4" xfId="25246" xr:uid="{00000000-0005-0000-0000-0000058E0000}"/>
    <cellStyle name="Normal 2 2 2 2 5 4 5" xfId="32348" xr:uid="{00000000-0005-0000-0000-0000068E0000}"/>
    <cellStyle name="Normal 2 2 2 2 5 5" xfId="8203" xr:uid="{00000000-0005-0000-0000-0000078E0000}"/>
    <cellStyle name="Normal 2 2 2 2 5 6" xfId="15304" xr:uid="{00000000-0005-0000-0000-0000088E0000}"/>
    <cellStyle name="Normal 2 2 2 2 5 7" xfId="22406" xr:uid="{00000000-0005-0000-0000-0000098E0000}"/>
    <cellStyle name="Normal 2 2 2 2 5 8" xfId="29508" xr:uid="{00000000-0005-0000-0000-00000A8E0000}"/>
    <cellStyle name="Normal 2 2 2 2 6" xfId="1450" xr:uid="{00000000-0005-0000-0000-00000B8E0000}"/>
    <cellStyle name="Normal 2 2 2 2 6 2" xfId="2941" xr:uid="{00000000-0005-0000-0000-00000C8E0000}"/>
    <cellStyle name="Normal 2 2 2 2 6 2 2" xfId="7209" xr:uid="{00000000-0005-0000-0000-00000D8E0000}"/>
    <cellStyle name="Normal 2 2 2 2 6 2 2 2" xfId="14309" xr:uid="{00000000-0005-0000-0000-00000E8E0000}"/>
    <cellStyle name="Normal 2 2 2 2 6 2 2 3" xfId="21410" xr:uid="{00000000-0005-0000-0000-00000F8E0000}"/>
    <cellStyle name="Normal 2 2 2 2 6 2 2 4" xfId="28512" xr:uid="{00000000-0005-0000-0000-0000108E0000}"/>
    <cellStyle name="Normal 2 2 2 2 6 2 2 5" xfId="35614" xr:uid="{00000000-0005-0000-0000-0000118E0000}"/>
    <cellStyle name="Normal 2 2 2 2 6 2 3" xfId="10049" xr:uid="{00000000-0005-0000-0000-0000128E0000}"/>
    <cellStyle name="Normal 2 2 2 2 6 2 4" xfId="17150" xr:uid="{00000000-0005-0000-0000-0000138E0000}"/>
    <cellStyle name="Normal 2 2 2 2 6 2 5" xfId="24252" xr:uid="{00000000-0005-0000-0000-0000148E0000}"/>
    <cellStyle name="Normal 2 2 2 2 6 2 6" xfId="31354" xr:uid="{00000000-0005-0000-0000-0000158E0000}"/>
    <cellStyle name="Normal 2 2 2 2 6 3" xfId="5788" xr:uid="{00000000-0005-0000-0000-0000168E0000}"/>
    <cellStyle name="Normal 2 2 2 2 6 3 2" xfId="12889" xr:uid="{00000000-0005-0000-0000-0000178E0000}"/>
    <cellStyle name="Normal 2 2 2 2 6 3 3" xfId="19990" xr:uid="{00000000-0005-0000-0000-0000188E0000}"/>
    <cellStyle name="Normal 2 2 2 2 6 3 4" xfId="27092" xr:uid="{00000000-0005-0000-0000-0000198E0000}"/>
    <cellStyle name="Normal 2 2 2 2 6 3 5" xfId="34194" xr:uid="{00000000-0005-0000-0000-00001A8E0000}"/>
    <cellStyle name="Normal 2 2 2 2 6 4" xfId="4363" xr:uid="{00000000-0005-0000-0000-00001B8E0000}"/>
    <cellStyle name="Normal 2 2 2 2 6 4 2" xfId="11469" xr:uid="{00000000-0005-0000-0000-00001C8E0000}"/>
    <cellStyle name="Normal 2 2 2 2 6 4 3" xfId="18570" xr:uid="{00000000-0005-0000-0000-00001D8E0000}"/>
    <cellStyle name="Normal 2 2 2 2 6 4 4" xfId="25672" xr:uid="{00000000-0005-0000-0000-00001E8E0000}"/>
    <cellStyle name="Normal 2 2 2 2 6 4 5" xfId="32774" xr:uid="{00000000-0005-0000-0000-00001F8E0000}"/>
    <cellStyle name="Normal 2 2 2 2 6 5" xfId="8629" xr:uid="{00000000-0005-0000-0000-0000208E0000}"/>
    <cellStyle name="Normal 2 2 2 2 6 6" xfId="15730" xr:uid="{00000000-0005-0000-0000-0000218E0000}"/>
    <cellStyle name="Normal 2 2 2 2 6 7" xfId="22832" xr:uid="{00000000-0005-0000-0000-0000228E0000}"/>
    <cellStyle name="Normal 2 2 2 2 6 8" xfId="29934" xr:uid="{00000000-0005-0000-0000-0000238E0000}"/>
    <cellStyle name="Normal 2 2 2 2 7" xfId="1734" xr:uid="{00000000-0005-0000-0000-0000248E0000}"/>
    <cellStyle name="Normal 2 2 2 2 7 2" xfId="6002" xr:uid="{00000000-0005-0000-0000-0000258E0000}"/>
    <cellStyle name="Normal 2 2 2 2 7 2 2" xfId="13102" xr:uid="{00000000-0005-0000-0000-0000268E0000}"/>
    <cellStyle name="Normal 2 2 2 2 7 2 3" xfId="20203" xr:uid="{00000000-0005-0000-0000-0000278E0000}"/>
    <cellStyle name="Normal 2 2 2 2 7 2 4" xfId="27305" xr:uid="{00000000-0005-0000-0000-0000288E0000}"/>
    <cellStyle name="Normal 2 2 2 2 7 2 5" xfId="34407" xr:uid="{00000000-0005-0000-0000-0000298E0000}"/>
    <cellStyle name="Normal 2 2 2 2 7 3" xfId="8842" xr:uid="{00000000-0005-0000-0000-00002A8E0000}"/>
    <cellStyle name="Normal 2 2 2 2 7 4" xfId="15943" xr:uid="{00000000-0005-0000-0000-00002B8E0000}"/>
    <cellStyle name="Normal 2 2 2 2 7 5" xfId="23045" xr:uid="{00000000-0005-0000-0000-00002C8E0000}"/>
    <cellStyle name="Normal 2 2 2 2 7 6" xfId="30147" xr:uid="{00000000-0005-0000-0000-00002D8E0000}"/>
    <cellStyle name="Normal 2 2 2 2 8" xfId="4581" xr:uid="{00000000-0005-0000-0000-00002E8E0000}"/>
    <cellStyle name="Normal 2 2 2 2 8 2" xfId="11682" xr:uid="{00000000-0005-0000-0000-00002F8E0000}"/>
    <cellStyle name="Normal 2 2 2 2 8 3" xfId="18783" xr:uid="{00000000-0005-0000-0000-0000308E0000}"/>
    <cellStyle name="Normal 2 2 2 2 8 4" xfId="25885" xr:uid="{00000000-0005-0000-0000-0000318E0000}"/>
    <cellStyle name="Normal 2 2 2 2 8 5" xfId="32987" xr:uid="{00000000-0005-0000-0000-0000328E0000}"/>
    <cellStyle name="Normal 2 2 2 2 9" xfId="3156" xr:uid="{00000000-0005-0000-0000-0000338E0000}"/>
    <cellStyle name="Normal 2 2 2 2 9 2" xfId="10262" xr:uid="{00000000-0005-0000-0000-0000348E0000}"/>
    <cellStyle name="Normal 2 2 2 2 9 3" xfId="17363" xr:uid="{00000000-0005-0000-0000-0000358E0000}"/>
    <cellStyle name="Normal 2 2 2 2 9 4" xfId="24465" xr:uid="{00000000-0005-0000-0000-0000368E0000}"/>
    <cellStyle name="Normal 2 2 2 2 9 5" xfId="31567" xr:uid="{00000000-0005-0000-0000-0000378E0000}"/>
    <cellStyle name="Normal 2 2 2 3" xfId="172" xr:uid="{00000000-0005-0000-0000-0000388E0000}"/>
    <cellStyle name="Normal 2 2 2 3 10" xfId="7351" xr:uid="{00000000-0005-0000-0000-0000398E0000}"/>
    <cellStyle name="Normal 2 2 2 3 11" xfId="14452" xr:uid="{00000000-0005-0000-0000-00003A8E0000}"/>
    <cellStyle name="Normal 2 2 2 3 12" xfId="21554" xr:uid="{00000000-0005-0000-0000-00003B8E0000}"/>
    <cellStyle name="Normal 2 2 2 3 13" xfId="28656" xr:uid="{00000000-0005-0000-0000-00003C8E0000}"/>
    <cellStyle name="Normal 2 2 2 3 14" xfId="35758" xr:uid="{00000000-0005-0000-0000-00003D8E0000}"/>
    <cellStyle name="Normal 2 2 2 3 2" xfId="385" xr:uid="{00000000-0005-0000-0000-00003E8E0000}"/>
    <cellStyle name="Normal 2 2 2 3 2 2" xfId="1876" xr:uid="{00000000-0005-0000-0000-00003F8E0000}"/>
    <cellStyle name="Normal 2 2 2 3 2 2 2" xfId="6144" xr:uid="{00000000-0005-0000-0000-0000408E0000}"/>
    <cellStyle name="Normal 2 2 2 3 2 2 2 2" xfId="13244" xr:uid="{00000000-0005-0000-0000-0000418E0000}"/>
    <cellStyle name="Normal 2 2 2 3 2 2 2 3" xfId="20345" xr:uid="{00000000-0005-0000-0000-0000428E0000}"/>
    <cellStyle name="Normal 2 2 2 3 2 2 2 4" xfId="27447" xr:uid="{00000000-0005-0000-0000-0000438E0000}"/>
    <cellStyle name="Normal 2 2 2 3 2 2 2 5" xfId="34549" xr:uid="{00000000-0005-0000-0000-0000448E0000}"/>
    <cellStyle name="Normal 2 2 2 3 2 2 3" xfId="8984" xr:uid="{00000000-0005-0000-0000-0000458E0000}"/>
    <cellStyle name="Normal 2 2 2 3 2 2 4" xfId="16085" xr:uid="{00000000-0005-0000-0000-0000468E0000}"/>
    <cellStyle name="Normal 2 2 2 3 2 2 5" xfId="23187" xr:uid="{00000000-0005-0000-0000-0000478E0000}"/>
    <cellStyle name="Normal 2 2 2 3 2 2 6" xfId="30289" xr:uid="{00000000-0005-0000-0000-0000488E0000}"/>
    <cellStyle name="Normal 2 2 2 3 2 3" xfId="4723" xr:uid="{00000000-0005-0000-0000-0000498E0000}"/>
    <cellStyle name="Normal 2 2 2 3 2 3 2" xfId="11824" xr:uid="{00000000-0005-0000-0000-00004A8E0000}"/>
    <cellStyle name="Normal 2 2 2 3 2 3 3" xfId="18925" xr:uid="{00000000-0005-0000-0000-00004B8E0000}"/>
    <cellStyle name="Normal 2 2 2 3 2 3 4" xfId="26027" xr:uid="{00000000-0005-0000-0000-00004C8E0000}"/>
    <cellStyle name="Normal 2 2 2 3 2 3 5" xfId="33129" xr:uid="{00000000-0005-0000-0000-00004D8E0000}"/>
    <cellStyle name="Normal 2 2 2 3 2 4" xfId="3298" xr:uid="{00000000-0005-0000-0000-00004E8E0000}"/>
    <cellStyle name="Normal 2 2 2 3 2 4 2" xfId="10404" xr:uid="{00000000-0005-0000-0000-00004F8E0000}"/>
    <cellStyle name="Normal 2 2 2 3 2 4 3" xfId="17505" xr:uid="{00000000-0005-0000-0000-0000508E0000}"/>
    <cellStyle name="Normal 2 2 2 3 2 4 4" xfId="24607" xr:uid="{00000000-0005-0000-0000-0000518E0000}"/>
    <cellStyle name="Normal 2 2 2 3 2 4 5" xfId="31709" xr:uid="{00000000-0005-0000-0000-0000528E0000}"/>
    <cellStyle name="Normal 2 2 2 3 2 5" xfId="7564" xr:uid="{00000000-0005-0000-0000-0000538E0000}"/>
    <cellStyle name="Normal 2 2 2 3 2 6" xfId="14665" xr:uid="{00000000-0005-0000-0000-0000548E0000}"/>
    <cellStyle name="Normal 2 2 2 3 2 7" xfId="21767" xr:uid="{00000000-0005-0000-0000-0000558E0000}"/>
    <cellStyle name="Normal 2 2 2 3 2 8" xfId="28869" xr:uid="{00000000-0005-0000-0000-0000568E0000}"/>
    <cellStyle name="Normal 2 2 2 3 3" xfId="598" xr:uid="{00000000-0005-0000-0000-0000578E0000}"/>
    <cellStyle name="Normal 2 2 2 3 3 2" xfId="2089" xr:uid="{00000000-0005-0000-0000-0000588E0000}"/>
    <cellStyle name="Normal 2 2 2 3 3 2 2" xfId="6357" xr:uid="{00000000-0005-0000-0000-0000598E0000}"/>
    <cellStyle name="Normal 2 2 2 3 3 2 2 2" xfId="13457" xr:uid="{00000000-0005-0000-0000-00005A8E0000}"/>
    <cellStyle name="Normal 2 2 2 3 3 2 2 3" xfId="20558" xr:uid="{00000000-0005-0000-0000-00005B8E0000}"/>
    <cellStyle name="Normal 2 2 2 3 3 2 2 4" xfId="27660" xr:uid="{00000000-0005-0000-0000-00005C8E0000}"/>
    <cellStyle name="Normal 2 2 2 3 3 2 2 5" xfId="34762" xr:uid="{00000000-0005-0000-0000-00005D8E0000}"/>
    <cellStyle name="Normal 2 2 2 3 3 2 3" xfId="9197" xr:uid="{00000000-0005-0000-0000-00005E8E0000}"/>
    <cellStyle name="Normal 2 2 2 3 3 2 4" xfId="16298" xr:uid="{00000000-0005-0000-0000-00005F8E0000}"/>
    <cellStyle name="Normal 2 2 2 3 3 2 5" xfId="23400" xr:uid="{00000000-0005-0000-0000-0000608E0000}"/>
    <cellStyle name="Normal 2 2 2 3 3 2 6" xfId="30502" xr:uid="{00000000-0005-0000-0000-0000618E0000}"/>
    <cellStyle name="Normal 2 2 2 3 3 3" xfId="4936" xr:uid="{00000000-0005-0000-0000-0000628E0000}"/>
    <cellStyle name="Normal 2 2 2 3 3 3 2" xfId="12037" xr:uid="{00000000-0005-0000-0000-0000638E0000}"/>
    <cellStyle name="Normal 2 2 2 3 3 3 3" xfId="19138" xr:uid="{00000000-0005-0000-0000-0000648E0000}"/>
    <cellStyle name="Normal 2 2 2 3 3 3 4" xfId="26240" xr:uid="{00000000-0005-0000-0000-0000658E0000}"/>
    <cellStyle name="Normal 2 2 2 3 3 3 5" xfId="33342" xr:uid="{00000000-0005-0000-0000-0000668E0000}"/>
    <cellStyle name="Normal 2 2 2 3 3 4" xfId="3511" xr:uid="{00000000-0005-0000-0000-0000678E0000}"/>
    <cellStyle name="Normal 2 2 2 3 3 4 2" xfId="10617" xr:uid="{00000000-0005-0000-0000-0000688E0000}"/>
    <cellStyle name="Normal 2 2 2 3 3 4 3" xfId="17718" xr:uid="{00000000-0005-0000-0000-0000698E0000}"/>
    <cellStyle name="Normal 2 2 2 3 3 4 4" xfId="24820" xr:uid="{00000000-0005-0000-0000-00006A8E0000}"/>
    <cellStyle name="Normal 2 2 2 3 3 4 5" xfId="31922" xr:uid="{00000000-0005-0000-0000-00006B8E0000}"/>
    <cellStyle name="Normal 2 2 2 3 3 5" xfId="7777" xr:uid="{00000000-0005-0000-0000-00006C8E0000}"/>
    <cellStyle name="Normal 2 2 2 3 3 6" xfId="14878" xr:uid="{00000000-0005-0000-0000-00006D8E0000}"/>
    <cellStyle name="Normal 2 2 2 3 3 7" xfId="21980" xr:uid="{00000000-0005-0000-0000-00006E8E0000}"/>
    <cellStyle name="Normal 2 2 2 3 3 8" xfId="29082" xr:uid="{00000000-0005-0000-0000-00006F8E0000}"/>
    <cellStyle name="Normal 2 2 2 3 4" xfId="811" xr:uid="{00000000-0005-0000-0000-0000708E0000}"/>
    <cellStyle name="Normal 2 2 2 3 4 2" xfId="2302" xr:uid="{00000000-0005-0000-0000-0000718E0000}"/>
    <cellStyle name="Normal 2 2 2 3 4 2 2" xfId="6570" xr:uid="{00000000-0005-0000-0000-0000728E0000}"/>
    <cellStyle name="Normal 2 2 2 3 4 2 2 2" xfId="13670" xr:uid="{00000000-0005-0000-0000-0000738E0000}"/>
    <cellStyle name="Normal 2 2 2 3 4 2 2 3" xfId="20771" xr:uid="{00000000-0005-0000-0000-0000748E0000}"/>
    <cellStyle name="Normal 2 2 2 3 4 2 2 4" xfId="27873" xr:uid="{00000000-0005-0000-0000-0000758E0000}"/>
    <cellStyle name="Normal 2 2 2 3 4 2 2 5" xfId="34975" xr:uid="{00000000-0005-0000-0000-0000768E0000}"/>
    <cellStyle name="Normal 2 2 2 3 4 2 3" xfId="9410" xr:uid="{00000000-0005-0000-0000-0000778E0000}"/>
    <cellStyle name="Normal 2 2 2 3 4 2 4" xfId="16511" xr:uid="{00000000-0005-0000-0000-0000788E0000}"/>
    <cellStyle name="Normal 2 2 2 3 4 2 5" xfId="23613" xr:uid="{00000000-0005-0000-0000-0000798E0000}"/>
    <cellStyle name="Normal 2 2 2 3 4 2 6" xfId="30715" xr:uid="{00000000-0005-0000-0000-00007A8E0000}"/>
    <cellStyle name="Normal 2 2 2 3 4 3" xfId="5149" xr:uid="{00000000-0005-0000-0000-00007B8E0000}"/>
    <cellStyle name="Normal 2 2 2 3 4 3 2" xfId="12250" xr:uid="{00000000-0005-0000-0000-00007C8E0000}"/>
    <cellStyle name="Normal 2 2 2 3 4 3 3" xfId="19351" xr:uid="{00000000-0005-0000-0000-00007D8E0000}"/>
    <cellStyle name="Normal 2 2 2 3 4 3 4" xfId="26453" xr:uid="{00000000-0005-0000-0000-00007E8E0000}"/>
    <cellStyle name="Normal 2 2 2 3 4 3 5" xfId="33555" xr:uid="{00000000-0005-0000-0000-00007F8E0000}"/>
    <cellStyle name="Normal 2 2 2 3 4 4" xfId="3724" xr:uid="{00000000-0005-0000-0000-0000808E0000}"/>
    <cellStyle name="Normal 2 2 2 3 4 4 2" xfId="10830" xr:uid="{00000000-0005-0000-0000-0000818E0000}"/>
    <cellStyle name="Normal 2 2 2 3 4 4 3" xfId="17931" xr:uid="{00000000-0005-0000-0000-0000828E0000}"/>
    <cellStyle name="Normal 2 2 2 3 4 4 4" xfId="25033" xr:uid="{00000000-0005-0000-0000-0000838E0000}"/>
    <cellStyle name="Normal 2 2 2 3 4 4 5" xfId="32135" xr:uid="{00000000-0005-0000-0000-0000848E0000}"/>
    <cellStyle name="Normal 2 2 2 3 4 5" xfId="7990" xr:uid="{00000000-0005-0000-0000-0000858E0000}"/>
    <cellStyle name="Normal 2 2 2 3 4 6" xfId="15091" xr:uid="{00000000-0005-0000-0000-0000868E0000}"/>
    <cellStyle name="Normal 2 2 2 3 4 7" xfId="22193" xr:uid="{00000000-0005-0000-0000-0000878E0000}"/>
    <cellStyle name="Normal 2 2 2 3 4 8" xfId="29295" xr:uid="{00000000-0005-0000-0000-0000888E0000}"/>
    <cellStyle name="Normal 2 2 2 3 5" xfId="1166" xr:uid="{00000000-0005-0000-0000-0000898E0000}"/>
    <cellStyle name="Normal 2 2 2 3 5 2" xfId="2657" xr:uid="{00000000-0005-0000-0000-00008A8E0000}"/>
    <cellStyle name="Normal 2 2 2 3 5 2 2" xfId="6925" xr:uid="{00000000-0005-0000-0000-00008B8E0000}"/>
    <cellStyle name="Normal 2 2 2 3 5 2 2 2" xfId="14025" xr:uid="{00000000-0005-0000-0000-00008C8E0000}"/>
    <cellStyle name="Normal 2 2 2 3 5 2 2 3" xfId="21126" xr:uid="{00000000-0005-0000-0000-00008D8E0000}"/>
    <cellStyle name="Normal 2 2 2 3 5 2 2 4" xfId="28228" xr:uid="{00000000-0005-0000-0000-00008E8E0000}"/>
    <cellStyle name="Normal 2 2 2 3 5 2 2 5" xfId="35330" xr:uid="{00000000-0005-0000-0000-00008F8E0000}"/>
    <cellStyle name="Normal 2 2 2 3 5 2 3" xfId="9765" xr:uid="{00000000-0005-0000-0000-0000908E0000}"/>
    <cellStyle name="Normal 2 2 2 3 5 2 4" xfId="16866" xr:uid="{00000000-0005-0000-0000-0000918E0000}"/>
    <cellStyle name="Normal 2 2 2 3 5 2 5" xfId="23968" xr:uid="{00000000-0005-0000-0000-0000928E0000}"/>
    <cellStyle name="Normal 2 2 2 3 5 2 6" xfId="31070" xr:uid="{00000000-0005-0000-0000-0000938E0000}"/>
    <cellStyle name="Normal 2 2 2 3 5 3" xfId="5504" xr:uid="{00000000-0005-0000-0000-0000948E0000}"/>
    <cellStyle name="Normal 2 2 2 3 5 3 2" xfId="12605" xr:uid="{00000000-0005-0000-0000-0000958E0000}"/>
    <cellStyle name="Normal 2 2 2 3 5 3 3" xfId="19706" xr:uid="{00000000-0005-0000-0000-0000968E0000}"/>
    <cellStyle name="Normal 2 2 2 3 5 3 4" xfId="26808" xr:uid="{00000000-0005-0000-0000-0000978E0000}"/>
    <cellStyle name="Normal 2 2 2 3 5 3 5" xfId="33910" xr:uid="{00000000-0005-0000-0000-0000988E0000}"/>
    <cellStyle name="Normal 2 2 2 3 5 4" xfId="4079" xr:uid="{00000000-0005-0000-0000-0000998E0000}"/>
    <cellStyle name="Normal 2 2 2 3 5 4 2" xfId="11185" xr:uid="{00000000-0005-0000-0000-00009A8E0000}"/>
    <cellStyle name="Normal 2 2 2 3 5 4 3" xfId="18286" xr:uid="{00000000-0005-0000-0000-00009B8E0000}"/>
    <cellStyle name="Normal 2 2 2 3 5 4 4" xfId="25388" xr:uid="{00000000-0005-0000-0000-00009C8E0000}"/>
    <cellStyle name="Normal 2 2 2 3 5 4 5" xfId="32490" xr:uid="{00000000-0005-0000-0000-00009D8E0000}"/>
    <cellStyle name="Normal 2 2 2 3 5 5" xfId="8345" xr:uid="{00000000-0005-0000-0000-00009E8E0000}"/>
    <cellStyle name="Normal 2 2 2 3 5 6" xfId="15446" xr:uid="{00000000-0005-0000-0000-00009F8E0000}"/>
    <cellStyle name="Normal 2 2 2 3 5 7" xfId="22548" xr:uid="{00000000-0005-0000-0000-0000A08E0000}"/>
    <cellStyle name="Normal 2 2 2 3 5 8" xfId="29650" xr:uid="{00000000-0005-0000-0000-0000A18E0000}"/>
    <cellStyle name="Normal 2 2 2 3 6" xfId="1379" xr:uid="{00000000-0005-0000-0000-0000A28E0000}"/>
    <cellStyle name="Normal 2 2 2 3 6 2" xfId="2870" xr:uid="{00000000-0005-0000-0000-0000A38E0000}"/>
    <cellStyle name="Normal 2 2 2 3 6 2 2" xfId="7138" xr:uid="{00000000-0005-0000-0000-0000A48E0000}"/>
    <cellStyle name="Normal 2 2 2 3 6 2 2 2" xfId="14238" xr:uid="{00000000-0005-0000-0000-0000A58E0000}"/>
    <cellStyle name="Normal 2 2 2 3 6 2 2 3" xfId="21339" xr:uid="{00000000-0005-0000-0000-0000A68E0000}"/>
    <cellStyle name="Normal 2 2 2 3 6 2 2 4" xfId="28441" xr:uid="{00000000-0005-0000-0000-0000A78E0000}"/>
    <cellStyle name="Normal 2 2 2 3 6 2 2 5" xfId="35543" xr:uid="{00000000-0005-0000-0000-0000A88E0000}"/>
    <cellStyle name="Normal 2 2 2 3 6 2 3" xfId="9978" xr:uid="{00000000-0005-0000-0000-0000A98E0000}"/>
    <cellStyle name="Normal 2 2 2 3 6 2 4" xfId="17079" xr:uid="{00000000-0005-0000-0000-0000AA8E0000}"/>
    <cellStyle name="Normal 2 2 2 3 6 2 5" xfId="24181" xr:uid="{00000000-0005-0000-0000-0000AB8E0000}"/>
    <cellStyle name="Normal 2 2 2 3 6 2 6" xfId="31283" xr:uid="{00000000-0005-0000-0000-0000AC8E0000}"/>
    <cellStyle name="Normal 2 2 2 3 6 3" xfId="5717" xr:uid="{00000000-0005-0000-0000-0000AD8E0000}"/>
    <cellStyle name="Normal 2 2 2 3 6 3 2" xfId="12818" xr:uid="{00000000-0005-0000-0000-0000AE8E0000}"/>
    <cellStyle name="Normal 2 2 2 3 6 3 3" xfId="19919" xr:uid="{00000000-0005-0000-0000-0000AF8E0000}"/>
    <cellStyle name="Normal 2 2 2 3 6 3 4" xfId="27021" xr:uid="{00000000-0005-0000-0000-0000B08E0000}"/>
    <cellStyle name="Normal 2 2 2 3 6 3 5" xfId="34123" xr:uid="{00000000-0005-0000-0000-0000B18E0000}"/>
    <cellStyle name="Normal 2 2 2 3 6 4" xfId="4292" xr:uid="{00000000-0005-0000-0000-0000B28E0000}"/>
    <cellStyle name="Normal 2 2 2 3 6 4 2" xfId="11398" xr:uid="{00000000-0005-0000-0000-0000B38E0000}"/>
    <cellStyle name="Normal 2 2 2 3 6 4 3" xfId="18499" xr:uid="{00000000-0005-0000-0000-0000B48E0000}"/>
    <cellStyle name="Normal 2 2 2 3 6 4 4" xfId="25601" xr:uid="{00000000-0005-0000-0000-0000B58E0000}"/>
    <cellStyle name="Normal 2 2 2 3 6 4 5" xfId="32703" xr:uid="{00000000-0005-0000-0000-0000B68E0000}"/>
    <cellStyle name="Normal 2 2 2 3 6 5" xfId="8558" xr:uid="{00000000-0005-0000-0000-0000B78E0000}"/>
    <cellStyle name="Normal 2 2 2 3 6 6" xfId="15659" xr:uid="{00000000-0005-0000-0000-0000B88E0000}"/>
    <cellStyle name="Normal 2 2 2 3 6 7" xfId="22761" xr:uid="{00000000-0005-0000-0000-0000B98E0000}"/>
    <cellStyle name="Normal 2 2 2 3 6 8" xfId="29863" xr:uid="{00000000-0005-0000-0000-0000BA8E0000}"/>
    <cellStyle name="Normal 2 2 2 3 7" xfId="1663" xr:uid="{00000000-0005-0000-0000-0000BB8E0000}"/>
    <cellStyle name="Normal 2 2 2 3 7 2" xfId="5931" xr:uid="{00000000-0005-0000-0000-0000BC8E0000}"/>
    <cellStyle name="Normal 2 2 2 3 7 2 2" xfId="13031" xr:uid="{00000000-0005-0000-0000-0000BD8E0000}"/>
    <cellStyle name="Normal 2 2 2 3 7 2 3" xfId="20132" xr:uid="{00000000-0005-0000-0000-0000BE8E0000}"/>
    <cellStyle name="Normal 2 2 2 3 7 2 4" xfId="27234" xr:uid="{00000000-0005-0000-0000-0000BF8E0000}"/>
    <cellStyle name="Normal 2 2 2 3 7 2 5" xfId="34336" xr:uid="{00000000-0005-0000-0000-0000C08E0000}"/>
    <cellStyle name="Normal 2 2 2 3 7 3" xfId="8771" xr:uid="{00000000-0005-0000-0000-0000C18E0000}"/>
    <cellStyle name="Normal 2 2 2 3 7 4" xfId="15872" xr:uid="{00000000-0005-0000-0000-0000C28E0000}"/>
    <cellStyle name="Normal 2 2 2 3 7 5" xfId="22974" xr:uid="{00000000-0005-0000-0000-0000C38E0000}"/>
    <cellStyle name="Normal 2 2 2 3 7 6" xfId="30076" xr:uid="{00000000-0005-0000-0000-0000C48E0000}"/>
    <cellStyle name="Normal 2 2 2 3 8" xfId="4510" xr:uid="{00000000-0005-0000-0000-0000C58E0000}"/>
    <cellStyle name="Normal 2 2 2 3 8 2" xfId="11611" xr:uid="{00000000-0005-0000-0000-0000C68E0000}"/>
    <cellStyle name="Normal 2 2 2 3 8 3" xfId="18712" xr:uid="{00000000-0005-0000-0000-0000C78E0000}"/>
    <cellStyle name="Normal 2 2 2 3 8 4" xfId="25814" xr:uid="{00000000-0005-0000-0000-0000C88E0000}"/>
    <cellStyle name="Normal 2 2 2 3 8 5" xfId="32916" xr:uid="{00000000-0005-0000-0000-0000C98E0000}"/>
    <cellStyle name="Normal 2 2 2 3 9" xfId="3085" xr:uid="{00000000-0005-0000-0000-0000CA8E0000}"/>
    <cellStyle name="Normal 2 2 2 3 9 2" xfId="10191" xr:uid="{00000000-0005-0000-0000-0000CB8E0000}"/>
    <cellStyle name="Normal 2 2 2 3 9 3" xfId="17292" xr:uid="{00000000-0005-0000-0000-0000CC8E0000}"/>
    <cellStyle name="Normal 2 2 2 3 9 4" xfId="24394" xr:uid="{00000000-0005-0000-0000-0000CD8E0000}"/>
    <cellStyle name="Normal 2 2 2 3 9 5" xfId="31496" xr:uid="{00000000-0005-0000-0000-0000CE8E0000}"/>
    <cellStyle name="Normal 2 2 2 4" xfId="314" xr:uid="{00000000-0005-0000-0000-0000CF8E0000}"/>
    <cellStyle name="Normal 2 2 2 4 2" xfId="1095" xr:uid="{00000000-0005-0000-0000-0000D08E0000}"/>
    <cellStyle name="Normal 2 2 2 4 2 2" xfId="2586" xr:uid="{00000000-0005-0000-0000-0000D18E0000}"/>
    <cellStyle name="Normal 2 2 2 4 2 2 2" xfId="6854" xr:uid="{00000000-0005-0000-0000-0000D28E0000}"/>
    <cellStyle name="Normal 2 2 2 4 2 2 2 2" xfId="13954" xr:uid="{00000000-0005-0000-0000-0000D38E0000}"/>
    <cellStyle name="Normal 2 2 2 4 2 2 2 3" xfId="21055" xr:uid="{00000000-0005-0000-0000-0000D48E0000}"/>
    <cellStyle name="Normal 2 2 2 4 2 2 2 4" xfId="28157" xr:uid="{00000000-0005-0000-0000-0000D58E0000}"/>
    <cellStyle name="Normal 2 2 2 4 2 2 2 5" xfId="35259" xr:uid="{00000000-0005-0000-0000-0000D68E0000}"/>
    <cellStyle name="Normal 2 2 2 4 2 2 3" xfId="9694" xr:uid="{00000000-0005-0000-0000-0000D78E0000}"/>
    <cellStyle name="Normal 2 2 2 4 2 2 4" xfId="16795" xr:uid="{00000000-0005-0000-0000-0000D88E0000}"/>
    <cellStyle name="Normal 2 2 2 4 2 2 5" xfId="23897" xr:uid="{00000000-0005-0000-0000-0000D98E0000}"/>
    <cellStyle name="Normal 2 2 2 4 2 2 6" xfId="30999" xr:uid="{00000000-0005-0000-0000-0000DA8E0000}"/>
    <cellStyle name="Normal 2 2 2 4 2 3" xfId="5433" xr:uid="{00000000-0005-0000-0000-0000DB8E0000}"/>
    <cellStyle name="Normal 2 2 2 4 2 3 2" xfId="12534" xr:uid="{00000000-0005-0000-0000-0000DC8E0000}"/>
    <cellStyle name="Normal 2 2 2 4 2 3 3" xfId="19635" xr:uid="{00000000-0005-0000-0000-0000DD8E0000}"/>
    <cellStyle name="Normal 2 2 2 4 2 3 4" xfId="26737" xr:uid="{00000000-0005-0000-0000-0000DE8E0000}"/>
    <cellStyle name="Normal 2 2 2 4 2 3 5" xfId="33839" xr:uid="{00000000-0005-0000-0000-0000DF8E0000}"/>
    <cellStyle name="Normal 2 2 2 4 2 4" xfId="4008" xr:uid="{00000000-0005-0000-0000-0000E08E0000}"/>
    <cellStyle name="Normal 2 2 2 4 2 4 2" xfId="11114" xr:uid="{00000000-0005-0000-0000-0000E18E0000}"/>
    <cellStyle name="Normal 2 2 2 4 2 4 3" xfId="18215" xr:uid="{00000000-0005-0000-0000-0000E28E0000}"/>
    <cellStyle name="Normal 2 2 2 4 2 4 4" xfId="25317" xr:uid="{00000000-0005-0000-0000-0000E38E0000}"/>
    <cellStyle name="Normal 2 2 2 4 2 4 5" xfId="32419" xr:uid="{00000000-0005-0000-0000-0000E48E0000}"/>
    <cellStyle name="Normal 2 2 2 4 2 5" xfId="8274" xr:uid="{00000000-0005-0000-0000-0000E58E0000}"/>
    <cellStyle name="Normal 2 2 2 4 2 6" xfId="15375" xr:uid="{00000000-0005-0000-0000-0000E68E0000}"/>
    <cellStyle name="Normal 2 2 2 4 2 7" xfId="22477" xr:uid="{00000000-0005-0000-0000-0000E78E0000}"/>
    <cellStyle name="Normal 2 2 2 4 2 8" xfId="29579" xr:uid="{00000000-0005-0000-0000-0000E88E0000}"/>
    <cellStyle name="Normal 2 2 2 4 3" xfId="1805" xr:uid="{00000000-0005-0000-0000-0000E98E0000}"/>
    <cellStyle name="Normal 2 2 2 4 3 2" xfId="6073" xr:uid="{00000000-0005-0000-0000-0000EA8E0000}"/>
    <cellStyle name="Normal 2 2 2 4 3 2 2" xfId="13173" xr:uid="{00000000-0005-0000-0000-0000EB8E0000}"/>
    <cellStyle name="Normal 2 2 2 4 3 2 3" xfId="20274" xr:uid="{00000000-0005-0000-0000-0000EC8E0000}"/>
    <cellStyle name="Normal 2 2 2 4 3 2 4" xfId="27376" xr:uid="{00000000-0005-0000-0000-0000ED8E0000}"/>
    <cellStyle name="Normal 2 2 2 4 3 2 5" xfId="34478" xr:uid="{00000000-0005-0000-0000-0000EE8E0000}"/>
    <cellStyle name="Normal 2 2 2 4 3 3" xfId="8913" xr:uid="{00000000-0005-0000-0000-0000EF8E0000}"/>
    <cellStyle name="Normal 2 2 2 4 3 4" xfId="16014" xr:uid="{00000000-0005-0000-0000-0000F08E0000}"/>
    <cellStyle name="Normal 2 2 2 4 3 5" xfId="23116" xr:uid="{00000000-0005-0000-0000-0000F18E0000}"/>
    <cellStyle name="Normal 2 2 2 4 3 6" xfId="30218" xr:uid="{00000000-0005-0000-0000-0000F28E0000}"/>
    <cellStyle name="Normal 2 2 2 4 4" xfId="4652" xr:uid="{00000000-0005-0000-0000-0000F38E0000}"/>
    <cellStyle name="Normal 2 2 2 4 4 2" xfId="11753" xr:uid="{00000000-0005-0000-0000-0000F48E0000}"/>
    <cellStyle name="Normal 2 2 2 4 4 3" xfId="18854" xr:uid="{00000000-0005-0000-0000-0000F58E0000}"/>
    <cellStyle name="Normal 2 2 2 4 4 4" xfId="25956" xr:uid="{00000000-0005-0000-0000-0000F68E0000}"/>
    <cellStyle name="Normal 2 2 2 4 4 5" xfId="33058" xr:uid="{00000000-0005-0000-0000-0000F78E0000}"/>
    <cellStyle name="Normal 2 2 2 4 5" xfId="3227" xr:uid="{00000000-0005-0000-0000-0000F88E0000}"/>
    <cellStyle name="Normal 2 2 2 4 5 2" xfId="10333" xr:uid="{00000000-0005-0000-0000-0000F98E0000}"/>
    <cellStyle name="Normal 2 2 2 4 5 3" xfId="17434" xr:uid="{00000000-0005-0000-0000-0000FA8E0000}"/>
    <cellStyle name="Normal 2 2 2 4 5 4" xfId="24536" xr:uid="{00000000-0005-0000-0000-0000FB8E0000}"/>
    <cellStyle name="Normal 2 2 2 4 5 5" xfId="31638" xr:uid="{00000000-0005-0000-0000-0000FC8E0000}"/>
    <cellStyle name="Normal 2 2 2 4 6" xfId="7493" xr:uid="{00000000-0005-0000-0000-0000FD8E0000}"/>
    <cellStyle name="Normal 2 2 2 4 7" xfId="14594" xr:uid="{00000000-0005-0000-0000-0000FE8E0000}"/>
    <cellStyle name="Normal 2 2 2 4 8" xfId="21696" xr:uid="{00000000-0005-0000-0000-0000FF8E0000}"/>
    <cellStyle name="Normal 2 2 2 4 9" xfId="28798" xr:uid="{00000000-0005-0000-0000-0000008F0000}"/>
    <cellStyle name="Normal 2 2 2 5" xfId="527" xr:uid="{00000000-0005-0000-0000-0000018F0000}"/>
    <cellStyle name="Normal 2 2 2 5 2" xfId="2018" xr:uid="{00000000-0005-0000-0000-0000028F0000}"/>
    <cellStyle name="Normal 2 2 2 5 2 2" xfId="6286" xr:uid="{00000000-0005-0000-0000-0000038F0000}"/>
    <cellStyle name="Normal 2 2 2 5 2 2 2" xfId="13386" xr:uid="{00000000-0005-0000-0000-0000048F0000}"/>
    <cellStyle name="Normal 2 2 2 5 2 2 3" xfId="20487" xr:uid="{00000000-0005-0000-0000-0000058F0000}"/>
    <cellStyle name="Normal 2 2 2 5 2 2 4" xfId="27589" xr:uid="{00000000-0005-0000-0000-0000068F0000}"/>
    <cellStyle name="Normal 2 2 2 5 2 2 5" xfId="34691" xr:uid="{00000000-0005-0000-0000-0000078F0000}"/>
    <cellStyle name="Normal 2 2 2 5 2 3" xfId="9126" xr:uid="{00000000-0005-0000-0000-0000088F0000}"/>
    <cellStyle name="Normal 2 2 2 5 2 4" xfId="16227" xr:uid="{00000000-0005-0000-0000-0000098F0000}"/>
    <cellStyle name="Normal 2 2 2 5 2 5" xfId="23329" xr:uid="{00000000-0005-0000-0000-00000A8F0000}"/>
    <cellStyle name="Normal 2 2 2 5 2 6" xfId="30431" xr:uid="{00000000-0005-0000-0000-00000B8F0000}"/>
    <cellStyle name="Normal 2 2 2 5 3" xfId="4865" xr:uid="{00000000-0005-0000-0000-00000C8F0000}"/>
    <cellStyle name="Normal 2 2 2 5 3 2" xfId="11966" xr:uid="{00000000-0005-0000-0000-00000D8F0000}"/>
    <cellStyle name="Normal 2 2 2 5 3 3" xfId="19067" xr:uid="{00000000-0005-0000-0000-00000E8F0000}"/>
    <cellStyle name="Normal 2 2 2 5 3 4" xfId="26169" xr:uid="{00000000-0005-0000-0000-00000F8F0000}"/>
    <cellStyle name="Normal 2 2 2 5 3 5" xfId="33271" xr:uid="{00000000-0005-0000-0000-0000108F0000}"/>
    <cellStyle name="Normal 2 2 2 5 4" xfId="3440" xr:uid="{00000000-0005-0000-0000-0000118F0000}"/>
    <cellStyle name="Normal 2 2 2 5 4 2" xfId="10546" xr:uid="{00000000-0005-0000-0000-0000128F0000}"/>
    <cellStyle name="Normal 2 2 2 5 4 3" xfId="17647" xr:uid="{00000000-0005-0000-0000-0000138F0000}"/>
    <cellStyle name="Normal 2 2 2 5 4 4" xfId="24749" xr:uid="{00000000-0005-0000-0000-0000148F0000}"/>
    <cellStyle name="Normal 2 2 2 5 4 5" xfId="31851" xr:uid="{00000000-0005-0000-0000-0000158F0000}"/>
    <cellStyle name="Normal 2 2 2 5 5" xfId="7706" xr:uid="{00000000-0005-0000-0000-0000168F0000}"/>
    <cellStyle name="Normal 2 2 2 5 6" xfId="14807" xr:uid="{00000000-0005-0000-0000-0000178F0000}"/>
    <cellStyle name="Normal 2 2 2 5 7" xfId="21909" xr:uid="{00000000-0005-0000-0000-0000188F0000}"/>
    <cellStyle name="Normal 2 2 2 5 8" xfId="29011" xr:uid="{00000000-0005-0000-0000-0000198F0000}"/>
    <cellStyle name="Normal 2 2 2 6" xfId="740" xr:uid="{00000000-0005-0000-0000-00001A8F0000}"/>
    <cellStyle name="Normal 2 2 2 6 2" xfId="2231" xr:uid="{00000000-0005-0000-0000-00001B8F0000}"/>
    <cellStyle name="Normal 2 2 2 6 2 2" xfId="6499" xr:uid="{00000000-0005-0000-0000-00001C8F0000}"/>
    <cellStyle name="Normal 2 2 2 6 2 2 2" xfId="13599" xr:uid="{00000000-0005-0000-0000-00001D8F0000}"/>
    <cellStyle name="Normal 2 2 2 6 2 2 3" xfId="20700" xr:uid="{00000000-0005-0000-0000-00001E8F0000}"/>
    <cellStyle name="Normal 2 2 2 6 2 2 4" xfId="27802" xr:uid="{00000000-0005-0000-0000-00001F8F0000}"/>
    <cellStyle name="Normal 2 2 2 6 2 2 5" xfId="34904" xr:uid="{00000000-0005-0000-0000-0000208F0000}"/>
    <cellStyle name="Normal 2 2 2 6 2 3" xfId="9339" xr:uid="{00000000-0005-0000-0000-0000218F0000}"/>
    <cellStyle name="Normal 2 2 2 6 2 4" xfId="16440" xr:uid="{00000000-0005-0000-0000-0000228F0000}"/>
    <cellStyle name="Normal 2 2 2 6 2 5" xfId="23542" xr:uid="{00000000-0005-0000-0000-0000238F0000}"/>
    <cellStyle name="Normal 2 2 2 6 2 6" xfId="30644" xr:uid="{00000000-0005-0000-0000-0000248F0000}"/>
    <cellStyle name="Normal 2 2 2 6 3" xfId="5078" xr:uid="{00000000-0005-0000-0000-0000258F0000}"/>
    <cellStyle name="Normal 2 2 2 6 3 2" xfId="12179" xr:uid="{00000000-0005-0000-0000-0000268F0000}"/>
    <cellStyle name="Normal 2 2 2 6 3 3" xfId="19280" xr:uid="{00000000-0005-0000-0000-0000278F0000}"/>
    <cellStyle name="Normal 2 2 2 6 3 4" xfId="26382" xr:uid="{00000000-0005-0000-0000-0000288F0000}"/>
    <cellStyle name="Normal 2 2 2 6 3 5" xfId="33484" xr:uid="{00000000-0005-0000-0000-0000298F0000}"/>
    <cellStyle name="Normal 2 2 2 6 4" xfId="3653" xr:uid="{00000000-0005-0000-0000-00002A8F0000}"/>
    <cellStyle name="Normal 2 2 2 6 4 2" xfId="10759" xr:uid="{00000000-0005-0000-0000-00002B8F0000}"/>
    <cellStyle name="Normal 2 2 2 6 4 3" xfId="17860" xr:uid="{00000000-0005-0000-0000-00002C8F0000}"/>
    <cellStyle name="Normal 2 2 2 6 4 4" xfId="24962" xr:uid="{00000000-0005-0000-0000-00002D8F0000}"/>
    <cellStyle name="Normal 2 2 2 6 4 5" xfId="32064" xr:uid="{00000000-0005-0000-0000-00002E8F0000}"/>
    <cellStyle name="Normal 2 2 2 6 5" xfId="7919" xr:uid="{00000000-0005-0000-0000-00002F8F0000}"/>
    <cellStyle name="Normal 2 2 2 6 6" xfId="15020" xr:uid="{00000000-0005-0000-0000-0000308F0000}"/>
    <cellStyle name="Normal 2 2 2 6 7" xfId="22122" xr:uid="{00000000-0005-0000-0000-0000318F0000}"/>
    <cellStyle name="Normal 2 2 2 6 8" xfId="29224" xr:uid="{00000000-0005-0000-0000-0000328F0000}"/>
    <cellStyle name="Normal 2 2 2 7" xfId="953" xr:uid="{00000000-0005-0000-0000-0000338F0000}"/>
    <cellStyle name="Normal 2 2 2 7 2" xfId="2444" xr:uid="{00000000-0005-0000-0000-0000348F0000}"/>
    <cellStyle name="Normal 2 2 2 7 2 2" xfId="6712" xr:uid="{00000000-0005-0000-0000-0000358F0000}"/>
    <cellStyle name="Normal 2 2 2 7 2 2 2" xfId="13812" xr:uid="{00000000-0005-0000-0000-0000368F0000}"/>
    <cellStyle name="Normal 2 2 2 7 2 2 3" xfId="20913" xr:uid="{00000000-0005-0000-0000-0000378F0000}"/>
    <cellStyle name="Normal 2 2 2 7 2 2 4" xfId="28015" xr:uid="{00000000-0005-0000-0000-0000388F0000}"/>
    <cellStyle name="Normal 2 2 2 7 2 2 5" xfId="35117" xr:uid="{00000000-0005-0000-0000-0000398F0000}"/>
    <cellStyle name="Normal 2 2 2 7 2 3" xfId="9552" xr:uid="{00000000-0005-0000-0000-00003A8F0000}"/>
    <cellStyle name="Normal 2 2 2 7 2 4" xfId="16653" xr:uid="{00000000-0005-0000-0000-00003B8F0000}"/>
    <cellStyle name="Normal 2 2 2 7 2 5" xfId="23755" xr:uid="{00000000-0005-0000-0000-00003C8F0000}"/>
    <cellStyle name="Normal 2 2 2 7 2 6" xfId="30857" xr:uid="{00000000-0005-0000-0000-00003D8F0000}"/>
    <cellStyle name="Normal 2 2 2 7 3" xfId="5291" xr:uid="{00000000-0005-0000-0000-00003E8F0000}"/>
    <cellStyle name="Normal 2 2 2 7 3 2" xfId="12392" xr:uid="{00000000-0005-0000-0000-00003F8F0000}"/>
    <cellStyle name="Normal 2 2 2 7 3 3" xfId="19493" xr:uid="{00000000-0005-0000-0000-0000408F0000}"/>
    <cellStyle name="Normal 2 2 2 7 3 4" xfId="26595" xr:uid="{00000000-0005-0000-0000-0000418F0000}"/>
    <cellStyle name="Normal 2 2 2 7 3 5" xfId="33697" xr:uid="{00000000-0005-0000-0000-0000428F0000}"/>
    <cellStyle name="Normal 2 2 2 7 4" xfId="3866" xr:uid="{00000000-0005-0000-0000-0000438F0000}"/>
    <cellStyle name="Normal 2 2 2 7 4 2" xfId="10972" xr:uid="{00000000-0005-0000-0000-0000448F0000}"/>
    <cellStyle name="Normal 2 2 2 7 4 3" xfId="18073" xr:uid="{00000000-0005-0000-0000-0000458F0000}"/>
    <cellStyle name="Normal 2 2 2 7 4 4" xfId="25175" xr:uid="{00000000-0005-0000-0000-0000468F0000}"/>
    <cellStyle name="Normal 2 2 2 7 4 5" xfId="32277" xr:uid="{00000000-0005-0000-0000-0000478F0000}"/>
    <cellStyle name="Normal 2 2 2 7 5" xfId="8132" xr:uid="{00000000-0005-0000-0000-0000488F0000}"/>
    <cellStyle name="Normal 2 2 2 7 6" xfId="15233" xr:uid="{00000000-0005-0000-0000-0000498F0000}"/>
    <cellStyle name="Normal 2 2 2 7 7" xfId="22335" xr:uid="{00000000-0005-0000-0000-00004A8F0000}"/>
    <cellStyle name="Normal 2 2 2 7 8" xfId="29437" xr:uid="{00000000-0005-0000-0000-00004B8F0000}"/>
    <cellStyle name="Normal 2 2 2 8" xfId="1308" xr:uid="{00000000-0005-0000-0000-00004C8F0000}"/>
    <cellStyle name="Normal 2 2 2 8 2" xfId="2799" xr:uid="{00000000-0005-0000-0000-00004D8F0000}"/>
    <cellStyle name="Normal 2 2 2 8 2 2" xfId="7067" xr:uid="{00000000-0005-0000-0000-00004E8F0000}"/>
    <cellStyle name="Normal 2 2 2 8 2 2 2" xfId="14167" xr:uid="{00000000-0005-0000-0000-00004F8F0000}"/>
    <cellStyle name="Normal 2 2 2 8 2 2 3" xfId="21268" xr:uid="{00000000-0005-0000-0000-0000508F0000}"/>
    <cellStyle name="Normal 2 2 2 8 2 2 4" xfId="28370" xr:uid="{00000000-0005-0000-0000-0000518F0000}"/>
    <cellStyle name="Normal 2 2 2 8 2 2 5" xfId="35472" xr:uid="{00000000-0005-0000-0000-0000528F0000}"/>
    <cellStyle name="Normal 2 2 2 8 2 3" xfId="9907" xr:uid="{00000000-0005-0000-0000-0000538F0000}"/>
    <cellStyle name="Normal 2 2 2 8 2 4" xfId="17008" xr:uid="{00000000-0005-0000-0000-0000548F0000}"/>
    <cellStyle name="Normal 2 2 2 8 2 5" xfId="24110" xr:uid="{00000000-0005-0000-0000-0000558F0000}"/>
    <cellStyle name="Normal 2 2 2 8 2 6" xfId="31212" xr:uid="{00000000-0005-0000-0000-0000568F0000}"/>
    <cellStyle name="Normal 2 2 2 8 3" xfId="5646" xr:uid="{00000000-0005-0000-0000-0000578F0000}"/>
    <cellStyle name="Normal 2 2 2 8 3 2" xfId="12747" xr:uid="{00000000-0005-0000-0000-0000588F0000}"/>
    <cellStyle name="Normal 2 2 2 8 3 3" xfId="19848" xr:uid="{00000000-0005-0000-0000-0000598F0000}"/>
    <cellStyle name="Normal 2 2 2 8 3 4" xfId="26950" xr:uid="{00000000-0005-0000-0000-00005A8F0000}"/>
    <cellStyle name="Normal 2 2 2 8 3 5" xfId="34052" xr:uid="{00000000-0005-0000-0000-00005B8F0000}"/>
    <cellStyle name="Normal 2 2 2 8 4" xfId="4221" xr:uid="{00000000-0005-0000-0000-00005C8F0000}"/>
    <cellStyle name="Normal 2 2 2 8 4 2" xfId="11327" xr:uid="{00000000-0005-0000-0000-00005D8F0000}"/>
    <cellStyle name="Normal 2 2 2 8 4 3" xfId="18428" xr:uid="{00000000-0005-0000-0000-00005E8F0000}"/>
    <cellStyle name="Normal 2 2 2 8 4 4" xfId="25530" xr:uid="{00000000-0005-0000-0000-00005F8F0000}"/>
    <cellStyle name="Normal 2 2 2 8 4 5" xfId="32632" xr:uid="{00000000-0005-0000-0000-0000608F0000}"/>
    <cellStyle name="Normal 2 2 2 8 5" xfId="8487" xr:uid="{00000000-0005-0000-0000-0000618F0000}"/>
    <cellStyle name="Normal 2 2 2 8 6" xfId="15588" xr:uid="{00000000-0005-0000-0000-0000628F0000}"/>
    <cellStyle name="Normal 2 2 2 8 7" xfId="22690" xr:uid="{00000000-0005-0000-0000-0000638F0000}"/>
    <cellStyle name="Normal 2 2 2 8 8" xfId="29792" xr:uid="{00000000-0005-0000-0000-0000648F0000}"/>
    <cellStyle name="Normal 2 2 2 9" xfId="1504" xr:uid="{00000000-0005-0000-0000-0000658F0000}"/>
    <cellStyle name="Normal 2 2 2_Sheet2" xfId="1530" xr:uid="{00000000-0005-0000-0000-0000668F0000}"/>
    <cellStyle name="Normal 2 2 3" xfId="1503" xr:uid="{00000000-0005-0000-0000-0000678F0000}"/>
    <cellStyle name="Normal 2 2 3 2" xfId="40849" xr:uid="{00000000-0005-0000-0000-0000688F0000}"/>
    <cellStyle name="Normal 2 2 3 2 2" xfId="40850" xr:uid="{00000000-0005-0000-0000-0000698F0000}"/>
    <cellStyle name="Normal 2 2 3 2 2 2" xfId="40851" xr:uid="{00000000-0005-0000-0000-00006A8F0000}"/>
    <cellStyle name="Normal 2 2 3 2 3" xfId="40852" xr:uid="{00000000-0005-0000-0000-00006B8F0000}"/>
    <cellStyle name="Normal 2 2 3 2 3 2" xfId="40853" xr:uid="{00000000-0005-0000-0000-00006C8F0000}"/>
    <cellStyle name="Normal 2 2 3 2 4" xfId="40854" xr:uid="{00000000-0005-0000-0000-00006D8F0000}"/>
    <cellStyle name="Normal 2 2 3 3" xfId="40855" xr:uid="{00000000-0005-0000-0000-00006E8F0000}"/>
    <cellStyle name="Normal 2 2 3 3 2" xfId="40856" xr:uid="{00000000-0005-0000-0000-00006F8F0000}"/>
    <cellStyle name="Normal 2 2 3 3 2 2" xfId="40857" xr:uid="{00000000-0005-0000-0000-0000708F0000}"/>
    <cellStyle name="Normal 2 2 3 3 3" xfId="40858" xr:uid="{00000000-0005-0000-0000-0000718F0000}"/>
    <cellStyle name="Normal 2 2 3 3 3 2" xfId="40859" xr:uid="{00000000-0005-0000-0000-0000728F0000}"/>
    <cellStyle name="Normal 2 2 3 3 4" xfId="40860" xr:uid="{00000000-0005-0000-0000-0000738F0000}"/>
    <cellStyle name="Normal 2 2 3 4" xfId="40861" xr:uid="{00000000-0005-0000-0000-0000748F0000}"/>
    <cellStyle name="Normal 2 2 3 4 2" xfId="40862" xr:uid="{00000000-0005-0000-0000-0000758F0000}"/>
    <cellStyle name="Normal 2 2 3 4 2 2" xfId="40863" xr:uid="{00000000-0005-0000-0000-0000768F0000}"/>
    <cellStyle name="Normal 2 2 3 4 3" xfId="40864" xr:uid="{00000000-0005-0000-0000-0000778F0000}"/>
    <cellStyle name="Normal 2 2 3 4 3 2" xfId="40865" xr:uid="{00000000-0005-0000-0000-0000788F0000}"/>
    <cellStyle name="Normal 2 2 3 4 4" xfId="40866" xr:uid="{00000000-0005-0000-0000-0000798F0000}"/>
    <cellStyle name="Normal 2 2 3 5" xfId="40867" xr:uid="{00000000-0005-0000-0000-00007A8F0000}"/>
    <cellStyle name="Normal 2 2 3 5 2" xfId="40868" xr:uid="{00000000-0005-0000-0000-00007B8F0000}"/>
    <cellStyle name="Normal 2 2 3 6" xfId="40869" xr:uid="{00000000-0005-0000-0000-00007C8F0000}"/>
    <cellStyle name="Normal 2 2 3 6 2" xfId="40870" xr:uid="{00000000-0005-0000-0000-00007D8F0000}"/>
    <cellStyle name="Normal 2 2 3 7" xfId="40871" xr:uid="{00000000-0005-0000-0000-00007E8F0000}"/>
    <cellStyle name="Normal 2 2 3 8" xfId="40872" xr:uid="{00000000-0005-0000-0000-00007F8F0000}"/>
    <cellStyle name="Normal 2 2 4" xfId="1569" xr:uid="{00000000-0005-0000-0000-0000808F0000}"/>
    <cellStyle name="Normal 2 2 4 2" xfId="40873" xr:uid="{00000000-0005-0000-0000-0000818F0000}"/>
    <cellStyle name="Normal 2 2 4 2 2" xfId="40874" xr:uid="{00000000-0005-0000-0000-0000828F0000}"/>
    <cellStyle name="Normal 2 2 4 2 2 2" xfId="40875" xr:uid="{00000000-0005-0000-0000-0000838F0000}"/>
    <cellStyle name="Normal 2 2 4 2 3" xfId="40876" xr:uid="{00000000-0005-0000-0000-0000848F0000}"/>
    <cellStyle name="Normal 2 2 4 2 3 2" xfId="40877" xr:uid="{00000000-0005-0000-0000-0000858F0000}"/>
    <cellStyle name="Normal 2 2 4 2 4" xfId="40878" xr:uid="{00000000-0005-0000-0000-0000868F0000}"/>
    <cellStyle name="Normal 2 2 4 3" xfId="40879" xr:uid="{00000000-0005-0000-0000-0000878F0000}"/>
    <cellStyle name="Normal 2 2 4 3 2" xfId="40880" xr:uid="{00000000-0005-0000-0000-0000888F0000}"/>
    <cellStyle name="Normal 2 2 4 3 2 2" xfId="40881" xr:uid="{00000000-0005-0000-0000-0000898F0000}"/>
    <cellStyle name="Normal 2 2 4 3 3" xfId="40882" xr:uid="{00000000-0005-0000-0000-00008A8F0000}"/>
    <cellStyle name="Normal 2 2 4 3 3 2" xfId="40883" xr:uid="{00000000-0005-0000-0000-00008B8F0000}"/>
    <cellStyle name="Normal 2 2 4 3 4" xfId="40884" xr:uid="{00000000-0005-0000-0000-00008C8F0000}"/>
    <cellStyle name="Normal 2 2 4 4" xfId="40885" xr:uid="{00000000-0005-0000-0000-00008D8F0000}"/>
    <cellStyle name="Normal 2 2 4 4 2" xfId="40886" xr:uid="{00000000-0005-0000-0000-00008E8F0000}"/>
    <cellStyle name="Normal 2 2 4 4 2 2" xfId="40887" xr:uid="{00000000-0005-0000-0000-00008F8F0000}"/>
    <cellStyle name="Normal 2 2 4 4 3" xfId="40888" xr:uid="{00000000-0005-0000-0000-0000908F0000}"/>
    <cellStyle name="Normal 2 2 4 4 3 2" xfId="40889" xr:uid="{00000000-0005-0000-0000-0000918F0000}"/>
    <cellStyle name="Normal 2 2 4 4 4" xfId="40890" xr:uid="{00000000-0005-0000-0000-0000928F0000}"/>
    <cellStyle name="Normal 2 2 4 5" xfId="40891" xr:uid="{00000000-0005-0000-0000-0000938F0000}"/>
    <cellStyle name="Normal 2 2 4 5 2" xfId="40892" xr:uid="{00000000-0005-0000-0000-0000948F0000}"/>
    <cellStyle name="Normal 2 2 4 6" xfId="40893" xr:uid="{00000000-0005-0000-0000-0000958F0000}"/>
    <cellStyle name="Normal 2 2 4 6 2" xfId="40894" xr:uid="{00000000-0005-0000-0000-0000968F0000}"/>
    <cellStyle name="Normal 2 2 4 7" xfId="40895" xr:uid="{00000000-0005-0000-0000-0000978F0000}"/>
    <cellStyle name="Normal 2 2 4 8" xfId="40896" xr:uid="{00000000-0005-0000-0000-0000988F0000}"/>
    <cellStyle name="Normal 2 2 5" xfId="4412" xr:uid="{00000000-0005-0000-0000-0000998F0000}"/>
    <cellStyle name="Normal 2 2 5 2" xfId="40897" xr:uid="{00000000-0005-0000-0000-00009A8F0000}"/>
    <cellStyle name="Normal 2 2 5 2 2" xfId="40898" xr:uid="{00000000-0005-0000-0000-00009B8F0000}"/>
    <cellStyle name="Normal 2 2 5 3" xfId="40899" xr:uid="{00000000-0005-0000-0000-00009C8F0000}"/>
    <cellStyle name="Normal 2 2 5 3 2" xfId="40900" xr:uid="{00000000-0005-0000-0000-00009D8F0000}"/>
    <cellStyle name="Normal 2 2 5 4" xfId="40901" xr:uid="{00000000-0005-0000-0000-00009E8F0000}"/>
    <cellStyle name="Normal 2 2 5 5" xfId="40902" xr:uid="{00000000-0005-0000-0000-00009F8F0000}"/>
    <cellStyle name="Normal 2 2 6" xfId="40903" xr:uid="{00000000-0005-0000-0000-0000A08F0000}"/>
    <cellStyle name="Normal 2 2 6 2" xfId="40904" xr:uid="{00000000-0005-0000-0000-0000A18F0000}"/>
    <cellStyle name="Normal 2 2 6 2 2" xfId="40905" xr:uid="{00000000-0005-0000-0000-0000A28F0000}"/>
    <cellStyle name="Normal 2 2 6 3" xfId="40906" xr:uid="{00000000-0005-0000-0000-0000A38F0000}"/>
    <cellStyle name="Normal 2 2 6 3 2" xfId="40907" xr:uid="{00000000-0005-0000-0000-0000A48F0000}"/>
    <cellStyle name="Normal 2 2 6 4" xfId="40908" xr:uid="{00000000-0005-0000-0000-0000A58F0000}"/>
    <cellStyle name="Normal 2 2 7" xfId="40909" xr:uid="{00000000-0005-0000-0000-0000A68F0000}"/>
    <cellStyle name="Normal 2 2 7 2" xfId="40910" xr:uid="{00000000-0005-0000-0000-0000A78F0000}"/>
    <cellStyle name="Normal 2 2 7 2 2" xfId="40911" xr:uid="{00000000-0005-0000-0000-0000A88F0000}"/>
    <cellStyle name="Normal 2 2 7 3" xfId="40912" xr:uid="{00000000-0005-0000-0000-0000A98F0000}"/>
    <cellStyle name="Normal 2 2 7 3 2" xfId="40913" xr:uid="{00000000-0005-0000-0000-0000AA8F0000}"/>
    <cellStyle name="Normal 2 2 7 4" xfId="40914" xr:uid="{00000000-0005-0000-0000-0000AB8F0000}"/>
    <cellStyle name="Normal 2 2 8" xfId="40915" xr:uid="{00000000-0005-0000-0000-0000AC8F0000}"/>
    <cellStyle name="Normal 2 2 8 2" xfId="40916" xr:uid="{00000000-0005-0000-0000-0000AD8F0000}"/>
    <cellStyle name="Normal 2 2 9" xfId="40917" xr:uid="{00000000-0005-0000-0000-0000AE8F0000}"/>
    <cellStyle name="Normal 2 2 9 2" xfId="40918" xr:uid="{00000000-0005-0000-0000-0000AF8F0000}"/>
    <cellStyle name="Normal 2 2_Sheet2" xfId="1529" xr:uid="{00000000-0005-0000-0000-0000B08F0000}"/>
    <cellStyle name="Normal 2 3" xfId="113" xr:uid="{00000000-0005-0000-0000-0000B18F0000}"/>
    <cellStyle name="Normal 2 3 10" xfId="1606" xr:uid="{00000000-0005-0000-0000-0000B28F0000}"/>
    <cellStyle name="Normal 2 3 10 2" xfId="5874" xr:uid="{00000000-0005-0000-0000-0000B38F0000}"/>
    <cellStyle name="Normal 2 3 10 2 2" xfId="12974" xr:uid="{00000000-0005-0000-0000-0000B48F0000}"/>
    <cellStyle name="Normal 2 3 10 2 3" xfId="20075" xr:uid="{00000000-0005-0000-0000-0000B58F0000}"/>
    <cellStyle name="Normal 2 3 10 2 4" xfId="27177" xr:uid="{00000000-0005-0000-0000-0000B68F0000}"/>
    <cellStyle name="Normal 2 3 10 2 5" xfId="34279" xr:uid="{00000000-0005-0000-0000-0000B78F0000}"/>
    <cellStyle name="Normal 2 3 10 3" xfId="3028" xr:uid="{00000000-0005-0000-0000-0000B88F0000}"/>
    <cellStyle name="Normal 2 3 10 3 2" xfId="10134" xr:uid="{00000000-0005-0000-0000-0000B98F0000}"/>
    <cellStyle name="Normal 2 3 10 3 3" xfId="17235" xr:uid="{00000000-0005-0000-0000-0000BA8F0000}"/>
    <cellStyle name="Normal 2 3 10 3 4" xfId="24337" xr:uid="{00000000-0005-0000-0000-0000BB8F0000}"/>
    <cellStyle name="Normal 2 3 10 3 5" xfId="31439" xr:uid="{00000000-0005-0000-0000-0000BC8F0000}"/>
    <cellStyle name="Normal 2 3 10 4" xfId="8714" xr:uid="{00000000-0005-0000-0000-0000BD8F0000}"/>
    <cellStyle name="Normal 2 3 10 5" xfId="15815" xr:uid="{00000000-0005-0000-0000-0000BE8F0000}"/>
    <cellStyle name="Normal 2 3 10 6" xfId="22917" xr:uid="{00000000-0005-0000-0000-0000BF8F0000}"/>
    <cellStyle name="Normal 2 3 10 7" xfId="30019" xr:uid="{00000000-0005-0000-0000-0000C08F0000}"/>
    <cellStyle name="Normal 2 3 11" xfId="4453" xr:uid="{00000000-0005-0000-0000-0000C18F0000}"/>
    <cellStyle name="Normal 2 3 11 2" xfId="11554" xr:uid="{00000000-0005-0000-0000-0000C28F0000}"/>
    <cellStyle name="Normal 2 3 11 3" xfId="18655" xr:uid="{00000000-0005-0000-0000-0000C38F0000}"/>
    <cellStyle name="Normal 2 3 11 4" xfId="25757" xr:uid="{00000000-0005-0000-0000-0000C48F0000}"/>
    <cellStyle name="Normal 2 3 11 5" xfId="32859" xr:uid="{00000000-0005-0000-0000-0000C58F0000}"/>
    <cellStyle name="Normal 2 3 12" xfId="7294" xr:uid="{00000000-0005-0000-0000-0000C68F0000}"/>
    <cellStyle name="Normal 2 3 13" xfId="14395" xr:uid="{00000000-0005-0000-0000-0000C78F0000}"/>
    <cellStyle name="Normal 2 3 14" xfId="21497" xr:uid="{00000000-0005-0000-0000-0000C88F0000}"/>
    <cellStyle name="Normal 2 3 15" xfId="28599" xr:uid="{00000000-0005-0000-0000-0000C98F0000}"/>
    <cellStyle name="Normal 2 3 16" xfId="35701" xr:uid="{00000000-0005-0000-0000-0000CA8F0000}"/>
    <cellStyle name="Normal 2 3 17" xfId="40919" xr:uid="{00000000-0005-0000-0000-0000CB8F0000}"/>
    <cellStyle name="Normal 2 3 18" xfId="40920" xr:uid="{00000000-0005-0000-0000-0000CC8F0000}"/>
    <cellStyle name="Normal 2 3 2" xfId="257" xr:uid="{00000000-0005-0000-0000-0000CD8F0000}"/>
    <cellStyle name="Normal 2 3 2 10" xfId="7436" xr:uid="{00000000-0005-0000-0000-0000CE8F0000}"/>
    <cellStyle name="Normal 2 3 2 11" xfId="14537" xr:uid="{00000000-0005-0000-0000-0000CF8F0000}"/>
    <cellStyle name="Normal 2 3 2 12" xfId="21639" xr:uid="{00000000-0005-0000-0000-0000D08F0000}"/>
    <cellStyle name="Normal 2 3 2 13" xfId="28741" xr:uid="{00000000-0005-0000-0000-0000D18F0000}"/>
    <cellStyle name="Normal 2 3 2 14" xfId="35843" xr:uid="{00000000-0005-0000-0000-0000D28F0000}"/>
    <cellStyle name="Normal 2 3 2 15" xfId="40921" xr:uid="{00000000-0005-0000-0000-0000D38F0000}"/>
    <cellStyle name="Normal 2 3 2 2" xfId="470" xr:uid="{00000000-0005-0000-0000-0000D48F0000}"/>
    <cellStyle name="Normal 2 3 2 2 10" xfId="40922" xr:uid="{00000000-0005-0000-0000-0000D58F0000}"/>
    <cellStyle name="Normal 2 3 2 2 2" xfId="1251" xr:uid="{00000000-0005-0000-0000-0000D68F0000}"/>
    <cellStyle name="Normal 2 3 2 2 2 2" xfId="2742" xr:uid="{00000000-0005-0000-0000-0000D78F0000}"/>
    <cellStyle name="Normal 2 3 2 2 2 2 2" xfId="7010" xr:uid="{00000000-0005-0000-0000-0000D88F0000}"/>
    <cellStyle name="Normal 2 3 2 2 2 2 2 2" xfId="14110" xr:uid="{00000000-0005-0000-0000-0000D98F0000}"/>
    <cellStyle name="Normal 2 3 2 2 2 2 2 3" xfId="21211" xr:uid="{00000000-0005-0000-0000-0000DA8F0000}"/>
    <cellStyle name="Normal 2 3 2 2 2 2 2 4" xfId="28313" xr:uid="{00000000-0005-0000-0000-0000DB8F0000}"/>
    <cellStyle name="Normal 2 3 2 2 2 2 2 5" xfId="35415" xr:uid="{00000000-0005-0000-0000-0000DC8F0000}"/>
    <cellStyle name="Normal 2 3 2 2 2 2 3" xfId="9850" xr:uid="{00000000-0005-0000-0000-0000DD8F0000}"/>
    <cellStyle name="Normal 2 3 2 2 2 2 4" xfId="16951" xr:uid="{00000000-0005-0000-0000-0000DE8F0000}"/>
    <cellStyle name="Normal 2 3 2 2 2 2 5" xfId="24053" xr:uid="{00000000-0005-0000-0000-0000DF8F0000}"/>
    <cellStyle name="Normal 2 3 2 2 2 2 6" xfId="31155" xr:uid="{00000000-0005-0000-0000-0000E08F0000}"/>
    <cellStyle name="Normal 2 3 2 2 2 2 7" xfId="40923" xr:uid="{00000000-0005-0000-0000-0000E18F0000}"/>
    <cellStyle name="Normal 2 3 2 2 2 3" xfId="5589" xr:uid="{00000000-0005-0000-0000-0000E28F0000}"/>
    <cellStyle name="Normal 2 3 2 2 2 3 2" xfId="12690" xr:uid="{00000000-0005-0000-0000-0000E38F0000}"/>
    <cellStyle name="Normal 2 3 2 2 2 3 3" xfId="19791" xr:uid="{00000000-0005-0000-0000-0000E48F0000}"/>
    <cellStyle name="Normal 2 3 2 2 2 3 4" xfId="26893" xr:uid="{00000000-0005-0000-0000-0000E58F0000}"/>
    <cellStyle name="Normal 2 3 2 2 2 3 5" xfId="33995" xr:uid="{00000000-0005-0000-0000-0000E68F0000}"/>
    <cellStyle name="Normal 2 3 2 2 2 4" xfId="4164" xr:uid="{00000000-0005-0000-0000-0000E78F0000}"/>
    <cellStyle name="Normal 2 3 2 2 2 4 2" xfId="11270" xr:uid="{00000000-0005-0000-0000-0000E88F0000}"/>
    <cellStyle name="Normal 2 3 2 2 2 4 3" xfId="18371" xr:uid="{00000000-0005-0000-0000-0000E98F0000}"/>
    <cellStyle name="Normal 2 3 2 2 2 4 4" xfId="25473" xr:uid="{00000000-0005-0000-0000-0000EA8F0000}"/>
    <cellStyle name="Normal 2 3 2 2 2 4 5" xfId="32575" xr:uid="{00000000-0005-0000-0000-0000EB8F0000}"/>
    <cellStyle name="Normal 2 3 2 2 2 5" xfId="8430" xr:uid="{00000000-0005-0000-0000-0000EC8F0000}"/>
    <cellStyle name="Normal 2 3 2 2 2 6" xfId="15531" xr:uid="{00000000-0005-0000-0000-0000ED8F0000}"/>
    <cellStyle name="Normal 2 3 2 2 2 7" xfId="22633" xr:uid="{00000000-0005-0000-0000-0000EE8F0000}"/>
    <cellStyle name="Normal 2 3 2 2 2 8" xfId="29735" xr:uid="{00000000-0005-0000-0000-0000EF8F0000}"/>
    <cellStyle name="Normal 2 3 2 2 2 9" xfId="40924" xr:uid="{00000000-0005-0000-0000-0000F08F0000}"/>
    <cellStyle name="Normal 2 3 2 2 3" xfId="1961" xr:uid="{00000000-0005-0000-0000-0000F18F0000}"/>
    <cellStyle name="Normal 2 3 2 2 3 2" xfId="6229" xr:uid="{00000000-0005-0000-0000-0000F28F0000}"/>
    <cellStyle name="Normal 2 3 2 2 3 2 2" xfId="13329" xr:uid="{00000000-0005-0000-0000-0000F38F0000}"/>
    <cellStyle name="Normal 2 3 2 2 3 2 3" xfId="20430" xr:uid="{00000000-0005-0000-0000-0000F48F0000}"/>
    <cellStyle name="Normal 2 3 2 2 3 2 4" xfId="27532" xr:uid="{00000000-0005-0000-0000-0000F58F0000}"/>
    <cellStyle name="Normal 2 3 2 2 3 2 5" xfId="34634" xr:uid="{00000000-0005-0000-0000-0000F68F0000}"/>
    <cellStyle name="Normal 2 3 2 2 3 2 6" xfId="40925" xr:uid="{00000000-0005-0000-0000-0000F78F0000}"/>
    <cellStyle name="Normal 2 3 2 2 3 3" xfId="9069" xr:uid="{00000000-0005-0000-0000-0000F88F0000}"/>
    <cellStyle name="Normal 2 3 2 2 3 4" xfId="16170" xr:uid="{00000000-0005-0000-0000-0000F98F0000}"/>
    <cellStyle name="Normal 2 3 2 2 3 5" xfId="23272" xr:uid="{00000000-0005-0000-0000-0000FA8F0000}"/>
    <cellStyle name="Normal 2 3 2 2 3 6" xfId="30374" xr:uid="{00000000-0005-0000-0000-0000FB8F0000}"/>
    <cellStyle name="Normal 2 3 2 2 3 7" xfId="40926" xr:uid="{00000000-0005-0000-0000-0000FC8F0000}"/>
    <cellStyle name="Normal 2 3 2 2 4" xfId="4808" xr:uid="{00000000-0005-0000-0000-0000FD8F0000}"/>
    <cellStyle name="Normal 2 3 2 2 4 2" xfId="11909" xr:uid="{00000000-0005-0000-0000-0000FE8F0000}"/>
    <cellStyle name="Normal 2 3 2 2 4 3" xfId="19010" xr:uid="{00000000-0005-0000-0000-0000FF8F0000}"/>
    <cellStyle name="Normal 2 3 2 2 4 4" xfId="26112" xr:uid="{00000000-0005-0000-0000-000000900000}"/>
    <cellStyle name="Normal 2 3 2 2 4 5" xfId="33214" xr:uid="{00000000-0005-0000-0000-000001900000}"/>
    <cellStyle name="Normal 2 3 2 2 4 6" xfId="40927" xr:uid="{00000000-0005-0000-0000-000002900000}"/>
    <cellStyle name="Normal 2 3 2 2 5" xfId="3383" xr:uid="{00000000-0005-0000-0000-000003900000}"/>
    <cellStyle name="Normal 2 3 2 2 5 2" xfId="10489" xr:uid="{00000000-0005-0000-0000-000004900000}"/>
    <cellStyle name="Normal 2 3 2 2 5 3" xfId="17590" xr:uid="{00000000-0005-0000-0000-000005900000}"/>
    <cellStyle name="Normal 2 3 2 2 5 4" xfId="24692" xr:uid="{00000000-0005-0000-0000-000006900000}"/>
    <cellStyle name="Normal 2 3 2 2 5 5" xfId="31794" xr:uid="{00000000-0005-0000-0000-000007900000}"/>
    <cellStyle name="Normal 2 3 2 2 6" xfId="7649" xr:uid="{00000000-0005-0000-0000-000008900000}"/>
    <cellStyle name="Normal 2 3 2 2 7" xfId="14750" xr:uid="{00000000-0005-0000-0000-000009900000}"/>
    <cellStyle name="Normal 2 3 2 2 8" xfId="21852" xr:uid="{00000000-0005-0000-0000-00000A900000}"/>
    <cellStyle name="Normal 2 3 2 2 9" xfId="28954" xr:uid="{00000000-0005-0000-0000-00000B900000}"/>
    <cellStyle name="Normal 2 3 2 3" xfId="683" xr:uid="{00000000-0005-0000-0000-00000C900000}"/>
    <cellStyle name="Normal 2 3 2 3 2" xfId="2174" xr:uid="{00000000-0005-0000-0000-00000D900000}"/>
    <cellStyle name="Normal 2 3 2 3 2 2" xfId="6442" xr:uid="{00000000-0005-0000-0000-00000E900000}"/>
    <cellStyle name="Normal 2 3 2 3 2 2 2" xfId="13542" xr:uid="{00000000-0005-0000-0000-00000F900000}"/>
    <cellStyle name="Normal 2 3 2 3 2 2 3" xfId="20643" xr:uid="{00000000-0005-0000-0000-000010900000}"/>
    <cellStyle name="Normal 2 3 2 3 2 2 4" xfId="27745" xr:uid="{00000000-0005-0000-0000-000011900000}"/>
    <cellStyle name="Normal 2 3 2 3 2 2 5" xfId="34847" xr:uid="{00000000-0005-0000-0000-000012900000}"/>
    <cellStyle name="Normal 2 3 2 3 2 2 6" xfId="40928" xr:uid="{00000000-0005-0000-0000-000013900000}"/>
    <cellStyle name="Normal 2 3 2 3 2 3" xfId="9282" xr:uid="{00000000-0005-0000-0000-000014900000}"/>
    <cellStyle name="Normal 2 3 2 3 2 4" xfId="16383" xr:uid="{00000000-0005-0000-0000-000015900000}"/>
    <cellStyle name="Normal 2 3 2 3 2 5" xfId="23485" xr:uid="{00000000-0005-0000-0000-000016900000}"/>
    <cellStyle name="Normal 2 3 2 3 2 6" xfId="30587" xr:uid="{00000000-0005-0000-0000-000017900000}"/>
    <cellStyle name="Normal 2 3 2 3 2 7" xfId="40929" xr:uid="{00000000-0005-0000-0000-000018900000}"/>
    <cellStyle name="Normal 2 3 2 3 3" xfId="5021" xr:uid="{00000000-0005-0000-0000-000019900000}"/>
    <cellStyle name="Normal 2 3 2 3 3 2" xfId="12122" xr:uid="{00000000-0005-0000-0000-00001A900000}"/>
    <cellStyle name="Normal 2 3 2 3 3 2 2" xfId="40930" xr:uid="{00000000-0005-0000-0000-00001B900000}"/>
    <cellStyle name="Normal 2 3 2 3 3 3" xfId="19223" xr:uid="{00000000-0005-0000-0000-00001C900000}"/>
    <cellStyle name="Normal 2 3 2 3 3 4" xfId="26325" xr:uid="{00000000-0005-0000-0000-00001D900000}"/>
    <cellStyle name="Normal 2 3 2 3 3 5" xfId="33427" xr:uid="{00000000-0005-0000-0000-00001E900000}"/>
    <cellStyle name="Normal 2 3 2 3 3 6" xfId="40931" xr:uid="{00000000-0005-0000-0000-00001F900000}"/>
    <cellStyle name="Normal 2 3 2 3 4" xfId="3596" xr:uid="{00000000-0005-0000-0000-000020900000}"/>
    <cellStyle name="Normal 2 3 2 3 4 2" xfId="10702" xr:uid="{00000000-0005-0000-0000-000021900000}"/>
    <cellStyle name="Normal 2 3 2 3 4 3" xfId="17803" xr:uid="{00000000-0005-0000-0000-000022900000}"/>
    <cellStyle name="Normal 2 3 2 3 4 4" xfId="24905" xr:uid="{00000000-0005-0000-0000-000023900000}"/>
    <cellStyle name="Normal 2 3 2 3 4 5" xfId="32007" xr:uid="{00000000-0005-0000-0000-000024900000}"/>
    <cellStyle name="Normal 2 3 2 3 4 6" xfId="40932" xr:uid="{00000000-0005-0000-0000-000025900000}"/>
    <cellStyle name="Normal 2 3 2 3 5" xfId="7862" xr:uid="{00000000-0005-0000-0000-000026900000}"/>
    <cellStyle name="Normal 2 3 2 3 6" xfId="14963" xr:uid="{00000000-0005-0000-0000-000027900000}"/>
    <cellStyle name="Normal 2 3 2 3 7" xfId="22065" xr:uid="{00000000-0005-0000-0000-000028900000}"/>
    <cellStyle name="Normal 2 3 2 3 8" xfId="29167" xr:uid="{00000000-0005-0000-0000-000029900000}"/>
    <cellStyle name="Normal 2 3 2 3 9" xfId="40933" xr:uid="{00000000-0005-0000-0000-00002A900000}"/>
    <cellStyle name="Normal 2 3 2 4" xfId="896" xr:uid="{00000000-0005-0000-0000-00002B900000}"/>
    <cellStyle name="Normal 2 3 2 4 2" xfId="2387" xr:uid="{00000000-0005-0000-0000-00002C900000}"/>
    <cellStyle name="Normal 2 3 2 4 2 2" xfId="6655" xr:uid="{00000000-0005-0000-0000-00002D900000}"/>
    <cellStyle name="Normal 2 3 2 4 2 2 2" xfId="13755" xr:uid="{00000000-0005-0000-0000-00002E900000}"/>
    <cellStyle name="Normal 2 3 2 4 2 2 3" xfId="20856" xr:uid="{00000000-0005-0000-0000-00002F900000}"/>
    <cellStyle name="Normal 2 3 2 4 2 2 4" xfId="27958" xr:uid="{00000000-0005-0000-0000-000030900000}"/>
    <cellStyle name="Normal 2 3 2 4 2 2 5" xfId="35060" xr:uid="{00000000-0005-0000-0000-000031900000}"/>
    <cellStyle name="Normal 2 3 2 4 2 2 6" xfId="40934" xr:uid="{00000000-0005-0000-0000-000032900000}"/>
    <cellStyle name="Normal 2 3 2 4 2 3" xfId="9495" xr:uid="{00000000-0005-0000-0000-000033900000}"/>
    <cellStyle name="Normal 2 3 2 4 2 4" xfId="16596" xr:uid="{00000000-0005-0000-0000-000034900000}"/>
    <cellStyle name="Normal 2 3 2 4 2 5" xfId="23698" xr:uid="{00000000-0005-0000-0000-000035900000}"/>
    <cellStyle name="Normal 2 3 2 4 2 6" xfId="30800" xr:uid="{00000000-0005-0000-0000-000036900000}"/>
    <cellStyle name="Normal 2 3 2 4 2 7" xfId="40935" xr:uid="{00000000-0005-0000-0000-000037900000}"/>
    <cellStyle name="Normal 2 3 2 4 3" xfId="5234" xr:uid="{00000000-0005-0000-0000-000038900000}"/>
    <cellStyle name="Normal 2 3 2 4 3 2" xfId="12335" xr:uid="{00000000-0005-0000-0000-000039900000}"/>
    <cellStyle name="Normal 2 3 2 4 3 2 2" xfId="40936" xr:uid="{00000000-0005-0000-0000-00003A900000}"/>
    <cellStyle name="Normal 2 3 2 4 3 3" xfId="19436" xr:uid="{00000000-0005-0000-0000-00003B900000}"/>
    <cellStyle name="Normal 2 3 2 4 3 4" xfId="26538" xr:uid="{00000000-0005-0000-0000-00003C900000}"/>
    <cellStyle name="Normal 2 3 2 4 3 5" xfId="33640" xr:uid="{00000000-0005-0000-0000-00003D900000}"/>
    <cellStyle name="Normal 2 3 2 4 3 6" xfId="40937" xr:uid="{00000000-0005-0000-0000-00003E900000}"/>
    <cellStyle name="Normal 2 3 2 4 4" xfId="3809" xr:uid="{00000000-0005-0000-0000-00003F900000}"/>
    <cellStyle name="Normal 2 3 2 4 4 2" xfId="10915" xr:uid="{00000000-0005-0000-0000-000040900000}"/>
    <cellStyle name="Normal 2 3 2 4 4 3" xfId="18016" xr:uid="{00000000-0005-0000-0000-000041900000}"/>
    <cellStyle name="Normal 2 3 2 4 4 4" xfId="25118" xr:uid="{00000000-0005-0000-0000-000042900000}"/>
    <cellStyle name="Normal 2 3 2 4 4 5" xfId="32220" xr:uid="{00000000-0005-0000-0000-000043900000}"/>
    <cellStyle name="Normal 2 3 2 4 4 6" xfId="40938" xr:uid="{00000000-0005-0000-0000-000044900000}"/>
    <cellStyle name="Normal 2 3 2 4 5" xfId="8075" xr:uid="{00000000-0005-0000-0000-000045900000}"/>
    <cellStyle name="Normal 2 3 2 4 6" xfId="15176" xr:uid="{00000000-0005-0000-0000-000046900000}"/>
    <cellStyle name="Normal 2 3 2 4 7" xfId="22278" xr:uid="{00000000-0005-0000-0000-000047900000}"/>
    <cellStyle name="Normal 2 3 2 4 8" xfId="29380" xr:uid="{00000000-0005-0000-0000-000048900000}"/>
    <cellStyle name="Normal 2 3 2 4 9" xfId="40939" xr:uid="{00000000-0005-0000-0000-000049900000}"/>
    <cellStyle name="Normal 2 3 2 5" xfId="1038" xr:uid="{00000000-0005-0000-0000-00004A900000}"/>
    <cellStyle name="Normal 2 3 2 5 2" xfId="2529" xr:uid="{00000000-0005-0000-0000-00004B900000}"/>
    <cellStyle name="Normal 2 3 2 5 2 2" xfId="6797" xr:uid="{00000000-0005-0000-0000-00004C900000}"/>
    <cellStyle name="Normal 2 3 2 5 2 2 2" xfId="13897" xr:uid="{00000000-0005-0000-0000-00004D900000}"/>
    <cellStyle name="Normal 2 3 2 5 2 2 3" xfId="20998" xr:uid="{00000000-0005-0000-0000-00004E900000}"/>
    <cellStyle name="Normal 2 3 2 5 2 2 4" xfId="28100" xr:uid="{00000000-0005-0000-0000-00004F900000}"/>
    <cellStyle name="Normal 2 3 2 5 2 2 5" xfId="35202" xr:uid="{00000000-0005-0000-0000-000050900000}"/>
    <cellStyle name="Normal 2 3 2 5 2 3" xfId="9637" xr:uid="{00000000-0005-0000-0000-000051900000}"/>
    <cellStyle name="Normal 2 3 2 5 2 4" xfId="16738" xr:uid="{00000000-0005-0000-0000-000052900000}"/>
    <cellStyle name="Normal 2 3 2 5 2 5" xfId="23840" xr:uid="{00000000-0005-0000-0000-000053900000}"/>
    <cellStyle name="Normal 2 3 2 5 2 6" xfId="30942" xr:uid="{00000000-0005-0000-0000-000054900000}"/>
    <cellStyle name="Normal 2 3 2 5 2 7" xfId="40940" xr:uid="{00000000-0005-0000-0000-000055900000}"/>
    <cellStyle name="Normal 2 3 2 5 3" xfId="5376" xr:uid="{00000000-0005-0000-0000-000056900000}"/>
    <cellStyle name="Normal 2 3 2 5 3 2" xfId="12477" xr:uid="{00000000-0005-0000-0000-000057900000}"/>
    <cellStyle name="Normal 2 3 2 5 3 3" xfId="19578" xr:uid="{00000000-0005-0000-0000-000058900000}"/>
    <cellStyle name="Normal 2 3 2 5 3 4" xfId="26680" xr:uid="{00000000-0005-0000-0000-000059900000}"/>
    <cellStyle name="Normal 2 3 2 5 3 5" xfId="33782" xr:uid="{00000000-0005-0000-0000-00005A900000}"/>
    <cellStyle name="Normal 2 3 2 5 4" xfId="3951" xr:uid="{00000000-0005-0000-0000-00005B900000}"/>
    <cellStyle name="Normal 2 3 2 5 4 2" xfId="11057" xr:uid="{00000000-0005-0000-0000-00005C900000}"/>
    <cellStyle name="Normal 2 3 2 5 4 3" xfId="18158" xr:uid="{00000000-0005-0000-0000-00005D900000}"/>
    <cellStyle name="Normal 2 3 2 5 4 4" xfId="25260" xr:uid="{00000000-0005-0000-0000-00005E900000}"/>
    <cellStyle name="Normal 2 3 2 5 4 5" xfId="32362" xr:uid="{00000000-0005-0000-0000-00005F900000}"/>
    <cellStyle name="Normal 2 3 2 5 5" xfId="8217" xr:uid="{00000000-0005-0000-0000-000060900000}"/>
    <cellStyle name="Normal 2 3 2 5 6" xfId="15318" xr:uid="{00000000-0005-0000-0000-000061900000}"/>
    <cellStyle name="Normal 2 3 2 5 7" xfId="22420" xr:uid="{00000000-0005-0000-0000-000062900000}"/>
    <cellStyle name="Normal 2 3 2 5 8" xfId="29522" xr:uid="{00000000-0005-0000-0000-000063900000}"/>
    <cellStyle name="Normal 2 3 2 5 9" xfId="40941" xr:uid="{00000000-0005-0000-0000-000064900000}"/>
    <cellStyle name="Normal 2 3 2 6" xfId="1464" xr:uid="{00000000-0005-0000-0000-000065900000}"/>
    <cellStyle name="Normal 2 3 2 6 2" xfId="2955" xr:uid="{00000000-0005-0000-0000-000066900000}"/>
    <cellStyle name="Normal 2 3 2 6 2 2" xfId="7223" xr:uid="{00000000-0005-0000-0000-000067900000}"/>
    <cellStyle name="Normal 2 3 2 6 2 2 2" xfId="14323" xr:uid="{00000000-0005-0000-0000-000068900000}"/>
    <cellStyle name="Normal 2 3 2 6 2 2 3" xfId="21424" xr:uid="{00000000-0005-0000-0000-000069900000}"/>
    <cellStyle name="Normal 2 3 2 6 2 2 4" xfId="28526" xr:uid="{00000000-0005-0000-0000-00006A900000}"/>
    <cellStyle name="Normal 2 3 2 6 2 2 5" xfId="35628" xr:uid="{00000000-0005-0000-0000-00006B900000}"/>
    <cellStyle name="Normal 2 3 2 6 2 3" xfId="10063" xr:uid="{00000000-0005-0000-0000-00006C900000}"/>
    <cellStyle name="Normal 2 3 2 6 2 4" xfId="17164" xr:uid="{00000000-0005-0000-0000-00006D900000}"/>
    <cellStyle name="Normal 2 3 2 6 2 5" xfId="24266" xr:uid="{00000000-0005-0000-0000-00006E900000}"/>
    <cellStyle name="Normal 2 3 2 6 2 6" xfId="31368" xr:uid="{00000000-0005-0000-0000-00006F900000}"/>
    <cellStyle name="Normal 2 3 2 6 2 7" xfId="40942" xr:uid="{00000000-0005-0000-0000-000070900000}"/>
    <cellStyle name="Normal 2 3 2 6 3" xfId="5802" xr:uid="{00000000-0005-0000-0000-000071900000}"/>
    <cellStyle name="Normal 2 3 2 6 3 2" xfId="12903" xr:uid="{00000000-0005-0000-0000-000072900000}"/>
    <cellStyle name="Normal 2 3 2 6 3 3" xfId="20004" xr:uid="{00000000-0005-0000-0000-000073900000}"/>
    <cellStyle name="Normal 2 3 2 6 3 4" xfId="27106" xr:uid="{00000000-0005-0000-0000-000074900000}"/>
    <cellStyle name="Normal 2 3 2 6 3 5" xfId="34208" xr:uid="{00000000-0005-0000-0000-000075900000}"/>
    <cellStyle name="Normal 2 3 2 6 4" xfId="4377" xr:uid="{00000000-0005-0000-0000-000076900000}"/>
    <cellStyle name="Normal 2 3 2 6 4 2" xfId="11483" xr:uid="{00000000-0005-0000-0000-000077900000}"/>
    <cellStyle name="Normal 2 3 2 6 4 3" xfId="18584" xr:uid="{00000000-0005-0000-0000-000078900000}"/>
    <cellStyle name="Normal 2 3 2 6 4 4" xfId="25686" xr:uid="{00000000-0005-0000-0000-000079900000}"/>
    <cellStyle name="Normal 2 3 2 6 4 5" xfId="32788" xr:uid="{00000000-0005-0000-0000-00007A900000}"/>
    <cellStyle name="Normal 2 3 2 6 5" xfId="8643" xr:uid="{00000000-0005-0000-0000-00007B900000}"/>
    <cellStyle name="Normal 2 3 2 6 6" xfId="15744" xr:uid="{00000000-0005-0000-0000-00007C900000}"/>
    <cellStyle name="Normal 2 3 2 6 7" xfId="22846" xr:uid="{00000000-0005-0000-0000-00007D900000}"/>
    <cellStyle name="Normal 2 3 2 6 8" xfId="29948" xr:uid="{00000000-0005-0000-0000-00007E900000}"/>
    <cellStyle name="Normal 2 3 2 6 9" xfId="40943" xr:uid="{00000000-0005-0000-0000-00007F900000}"/>
    <cellStyle name="Normal 2 3 2 7" xfId="1748" xr:uid="{00000000-0005-0000-0000-000080900000}"/>
    <cellStyle name="Normal 2 3 2 7 2" xfId="6016" xr:uid="{00000000-0005-0000-0000-000081900000}"/>
    <cellStyle name="Normal 2 3 2 7 2 2" xfId="13116" xr:uid="{00000000-0005-0000-0000-000082900000}"/>
    <cellStyle name="Normal 2 3 2 7 2 3" xfId="20217" xr:uid="{00000000-0005-0000-0000-000083900000}"/>
    <cellStyle name="Normal 2 3 2 7 2 4" xfId="27319" xr:uid="{00000000-0005-0000-0000-000084900000}"/>
    <cellStyle name="Normal 2 3 2 7 2 5" xfId="34421" xr:uid="{00000000-0005-0000-0000-000085900000}"/>
    <cellStyle name="Normal 2 3 2 7 3" xfId="8856" xr:uid="{00000000-0005-0000-0000-000086900000}"/>
    <cellStyle name="Normal 2 3 2 7 4" xfId="15957" xr:uid="{00000000-0005-0000-0000-000087900000}"/>
    <cellStyle name="Normal 2 3 2 7 5" xfId="23059" xr:uid="{00000000-0005-0000-0000-000088900000}"/>
    <cellStyle name="Normal 2 3 2 7 6" xfId="30161" xr:uid="{00000000-0005-0000-0000-000089900000}"/>
    <cellStyle name="Normal 2 3 2 7 7" xfId="40944" xr:uid="{00000000-0005-0000-0000-00008A900000}"/>
    <cellStyle name="Normal 2 3 2 8" xfId="4595" xr:uid="{00000000-0005-0000-0000-00008B900000}"/>
    <cellStyle name="Normal 2 3 2 8 2" xfId="11696" xr:uid="{00000000-0005-0000-0000-00008C900000}"/>
    <cellStyle name="Normal 2 3 2 8 3" xfId="18797" xr:uid="{00000000-0005-0000-0000-00008D900000}"/>
    <cellStyle name="Normal 2 3 2 8 4" xfId="25899" xr:uid="{00000000-0005-0000-0000-00008E900000}"/>
    <cellStyle name="Normal 2 3 2 8 5" xfId="33001" xr:uid="{00000000-0005-0000-0000-00008F900000}"/>
    <cellStyle name="Normal 2 3 2 9" xfId="3170" xr:uid="{00000000-0005-0000-0000-000090900000}"/>
    <cellStyle name="Normal 2 3 2 9 2" xfId="10276" xr:uid="{00000000-0005-0000-0000-000091900000}"/>
    <cellStyle name="Normal 2 3 2 9 3" xfId="17377" xr:uid="{00000000-0005-0000-0000-000092900000}"/>
    <cellStyle name="Normal 2 3 2 9 4" xfId="24479" xr:uid="{00000000-0005-0000-0000-000093900000}"/>
    <cellStyle name="Normal 2 3 2 9 5" xfId="31581" xr:uid="{00000000-0005-0000-0000-000094900000}"/>
    <cellStyle name="Normal 2 3 3" xfId="186" xr:uid="{00000000-0005-0000-0000-000095900000}"/>
    <cellStyle name="Normal 2 3 3 10" xfId="7365" xr:uid="{00000000-0005-0000-0000-000096900000}"/>
    <cellStyle name="Normal 2 3 3 11" xfId="14466" xr:uid="{00000000-0005-0000-0000-000097900000}"/>
    <cellStyle name="Normal 2 3 3 12" xfId="21568" xr:uid="{00000000-0005-0000-0000-000098900000}"/>
    <cellStyle name="Normal 2 3 3 13" xfId="28670" xr:uid="{00000000-0005-0000-0000-000099900000}"/>
    <cellStyle name="Normal 2 3 3 14" xfId="35772" xr:uid="{00000000-0005-0000-0000-00009A900000}"/>
    <cellStyle name="Normal 2 3 3 15" xfId="40945" xr:uid="{00000000-0005-0000-0000-00009B900000}"/>
    <cellStyle name="Normal 2 3 3 2" xfId="399" xr:uid="{00000000-0005-0000-0000-00009C900000}"/>
    <cellStyle name="Normal 2 3 3 2 2" xfId="1890" xr:uid="{00000000-0005-0000-0000-00009D900000}"/>
    <cellStyle name="Normal 2 3 3 2 2 2" xfId="6158" xr:uid="{00000000-0005-0000-0000-00009E900000}"/>
    <cellStyle name="Normal 2 3 3 2 2 2 2" xfId="13258" xr:uid="{00000000-0005-0000-0000-00009F900000}"/>
    <cellStyle name="Normal 2 3 3 2 2 2 3" xfId="20359" xr:uid="{00000000-0005-0000-0000-0000A0900000}"/>
    <cellStyle name="Normal 2 3 3 2 2 2 4" xfId="27461" xr:uid="{00000000-0005-0000-0000-0000A1900000}"/>
    <cellStyle name="Normal 2 3 3 2 2 2 5" xfId="34563" xr:uid="{00000000-0005-0000-0000-0000A2900000}"/>
    <cellStyle name="Normal 2 3 3 2 2 2 6" xfId="40946" xr:uid="{00000000-0005-0000-0000-0000A3900000}"/>
    <cellStyle name="Normal 2 3 3 2 2 3" xfId="8998" xr:uid="{00000000-0005-0000-0000-0000A4900000}"/>
    <cellStyle name="Normal 2 3 3 2 2 4" xfId="16099" xr:uid="{00000000-0005-0000-0000-0000A5900000}"/>
    <cellStyle name="Normal 2 3 3 2 2 5" xfId="23201" xr:uid="{00000000-0005-0000-0000-0000A6900000}"/>
    <cellStyle name="Normal 2 3 3 2 2 6" xfId="30303" xr:uid="{00000000-0005-0000-0000-0000A7900000}"/>
    <cellStyle name="Normal 2 3 3 2 2 7" xfId="40947" xr:uid="{00000000-0005-0000-0000-0000A8900000}"/>
    <cellStyle name="Normal 2 3 3 2 3" xfId="4737" xr:uid="{00000000-0005-0000-0000-0000A9900000}"/>
    <cellStyle name="Normal 2 3 3 2 3 2" xfId="11838" xr:uid="{00000000-0005-0000-0000-0000AA900000}"/>
    <cellStyle name="Normal 2 3 3 2 3 2 2" xfId="40948" xr:uid="{00000000-0005-0000-0000-0000AB900000}"/>
    <cellStyle name="Normal 2 3 3 2 3 3" xfId="18939" xr:uid="{00000000-0005-0000-0000-0000AC900000}"/>
    <cellStyle name="Normal 2 3 3 2 3 4" xfId="26041" xr:uid="{00000000-0005-0000-0000-0000AD900000}"/>
    <cellStyle name="Normal 2 3 3 2 3 5" xfId="33143" xr:uid="{00000000-0005-0000-0000-0000AE900000}"/>
    <cellStyle name="Normal 2 3 3 2 3 6" xfId="40949" xr:uid="{00000000-0005-0000-0000-0000AF900000}"/>
    <cellStyle name="Normal 2 3 3 2 4" xfId="3312" xr:uid="{00000000-0005-0000-0000-0000B0900000}"/>
    <cellStyle name="Normal 2 3 3 2 4 2" xfId="10418" xr:uid="{00000000-0005-0000-0000-0000B1900000}"/>
    <cellStyle name="Normal 2 3 3 2 4 3" xfId="17519" xr:uid="{00000000-0005-0000-0000-0000B2900000}"/>
    <cellStyle name="Normal 2 3 3 2 4 4" xfId="24621" xr:uid="{00000000-0005-0000-0000-0000B3900000}"/>
    <cellStyle name="Normal 2 3 3 2 4 5" xfId="31723" xr:uid="{00000000-0005-0000-0000-0000B4900000}"/>
    <cellStyle name="Normal 2 3 3 2 4 6" xfId="40950" xr:uid="{00000000-0005-0000-0000-0000B5900000}"/>
    <cellStyle name="Normal 2 3 3 2 5" xfId="7578" xr:uid="{00000000-0005-0000-0000-0000B6900000}"/>
    <cellStyle name="Normal 2 3 3 2 6" xfId="14679" xr:uid="{00000000-0005-0000-0000-0000B7900000}"/>
    <cellStyle name="Normal 2 3 3 2 7" xfId="21781" xr:uid="{00000000-0005-0000-0000-0000B8900000}"/>
    <cellStyle name="Normal 2 3 3 2 8" xfId="28883" xr:uid="{00000000-0005-0000-0000-0000B9900000}"/>
    <cellStyle name="Normal 2 3 3 2 9" xfId="40951" xr:uid="{00000000-0005-0000-0000-0000BA900000}"/>
    <cellStyle name="Normal 2 3 3 3" xfId="612" xr:uid="{00000000-0005-0000-0000-0000BB900000}"/>
    <cellStyle name="Normal 2 3 3 3 2" xfId="2103" xr:uid="{00000000-0005-0000-0000-0000BC900000}"/>
    <cellStyle name="Normal 2 3 3 3 2 2" xfId="6371" xr:uid="{00000000-0005-0000-0000-0000BD900000}"/>
    <cellStyle name="Normal 2 3 3 3 2 2 2" xfId="13471" xr:uid="{00000000-0005-0000-0000-0000BE900000}"/>
    <cellStyle name="Normal 2 3 3 3 2 2 3" xfId="20572" xr:uid="{00000000-0005-0000-0000-0000BF900000}"/>
    <cellStyle name="Normal 2 3 3 3 2 2 4" xfId="27674" xr:uid="{00000000-0005-0000-0000-0000C0900000}"/>
    <cellStyle name="Normal 2 3 3 3 2 2 5" xfId="34776" xr:uid="{00000000-0005-0000-0000-0000C1900000}"/>
    <cellStyle name="Normal 2 3 3 3 2 2 6" xfId="40952" xr:uid="{00000000-0005-0000-0000-0000C2900000}"/>
    <cellStyle name="Normal 2 3 3 3 2 3" xfId="9211" xr:uid="{00000000-0005-0000-0000-0000C3900000}"/>
    <cellStyle name="Normal 2 3 3 3 2 4" xfId="16312" xr:uid="{00000000-0005-0000-0000-0000C4900000}"/>
    <cellStyle name="Normal 2 3 3 3 2 5" xfId="23414" xr:uid="{00000000-0005-0000-0000-0000C5900000}"/>
    <cellStyle name="Normal 2 3 3 3 2 6" xfId="30516" xr:uid="{00000000-0005-0000-0000-0000C6900000}"/>
    <cellStyle name="Normal 2 3 3 3 2 7" xfId="40953" xr:uid="{00000000-0005-0000-0000-0000C7900000}"/>
    <cellStyle name="Normal 2 3 3 3 3" xfId="4950" xr:uid="{00000000-0005-0000-0000-0000C8900000}"/>
    <cellStyle name="Normal 2 3 3 3 3 2" xfId="12051" xr:uid="{00000000-0005-0000-0000-0000C9900000}"/>
    <cellStyle name="Normal 2 3 3 3 3 2 2" xfId="40954" xr:uid="{00000000-0005-0000-0000-0000CA900000}"/>
    <cellStyle name="Normal 2 3 3 3 3 3" xfId="19152" xr:uid="{00000000-0005-0000-0000-0000CB900000}"/>
    <cellStyle name="Normal 2 3 3 3 3 4" xfId="26254" xr:uid="{00000000-0005-0000-0000-0000CC900000}"/>
    <cellStyle name="Normal 2 3 3 3 3 5" xfId="33356" xr:uid="{00000000-0005-0000-0000-0000CD900000}"/>
    <cellStyle name="Normal 2 3 3 3 3 6" xfId="40955" xr:uid="{00000000-0005-0000-0000-0000CE900000}"/>
    <cellStyle name="Normal 2 3 3 3 4" xfId="3525" xr:uid="{00000000-0005-0000-0000-0000CF900000}"/>
    <cellStyle name="Normal 2 3 3 3 4 2" xfId="10631" xr:uid="{00000000-0005-0000-0000-0000D0900000}"/>
    <cellStyle name="Normal 2 3 3 3 4 3" xfId="17732" xr:uid="{00000000-0005-0000-0000-0000D1900000}"/>
    <cellStyle name="Normal 2 3 3 3 4 4" xfId="24834" xr:uid="{00000000-0005-0000-0000-0000D2900000}"/>
    <cellStyle name="Normal 2 3 3 3 4 5" xfId="31936" xr:uid="{00000000-0005-0000-0000-0000D3900000}"/>
    <cellStyle name="Normal 2 3 3 3 4 6" xfId="40956" xr:uid="{00000000-0005-0000-0000-0000D4900000}"/>
    <cellStyle name="Normal 2 3 3 3 5" xfId="7791" xr:uid="{00000000-0005-0000-0000-0000D5900000}"/>
    <cellStyle name="Normal 2 3 3 3 6" xfId="14892" xr:uid="{00000000-0005-0000-0000-0000D6900000}"/>
    <cellStyle name="Normal 2 3 3 3 7" xfId="21994" xr:uid="{00000000-0005-0000-0000-0000D7900000}"/>
    <cellStyle name="Normal 2 3 3 3 8" xfId="29096" xr:uid="{00000000-0005-0000-0000-0000D8900000}"/>
    <cellStyle name="Normal 2 3 3 3 9" xfId="40957" xr:uid="{00000000-0005-0000-0000-0000D9900000}"/>
    <cellStyle name="Normal 2 3 3 4" xfId="825" xr:uid="{00000000-0005-0000-0000-0000DA900000}"/>
    <cellStyle name="Normal 2 3 3 4 2" xfId="2316" xr:uid="{00000000-0005-0000-0000-0000DB900000}"/>
    <cellStyle name="Normal 2 3 3 4 2 2" xfId="6584" xr:uid="{00000000-0005-0000-0000-0000DC900000}"/>
    <cellStyle name="Normal 2 3 3 4 2 2 2" xfId="13684" xr:uid="{00000000-0005-0000-0000-0000DD900000}"/>
    <cellStyle name="Normal 2 3 3 4 2 2 3" xfId="20785" xr:uid="{00000000-0005-0000-0000-0000DE900000}"/>
    <cellStyle name="Normal 2 3 3 4 2 2 4" xfId="27887" xr:uid="{00000000-0005-0000-0000-0000DF900000}"/>
    <cellStyle name="Normal 2 3 3 4 2 2 5" xfId="34989" xr:uid="{00000000-0005-0000-0000-0000E0900000}"/>
    <cellStyle name="Normal 2 3 3 4 2 2 6" xfId="40958" xr:uid="{00000000-0005-0000-0000-0000E1900000}"/>
    <cellStyle name="Normal 2 3 3 4 2 3" xfId="9424" xr:uid="{00000000-0005-0000-0000-0000E2900000}"/>
    <cellStyle name="Normal 2 3 3 4 2 4" xfId="16525" xr:uid="{00000000-0005-0000-0000-0000E3900000}"/>
    <cellStyle name="Normal 2 3 3 4 2 5" xfId="23627" xr:uid="{00000000-0005-0000-0000-0000E4900000}"/>
    <cellStyle name="Normal 2 3 3 4 2 6" xfId="30729" xr:uid="{00000000-0005-0000-0000-0000E5900000}"/>
    <cellStyle name="Normal 2 3 3 4 2 7" xfId="40959" xr:uid="{00000000-0005-0000-0000-0000E6900000}"/>
    <cellStyle name="Normal 2 3 3 4 3" xfId="5163" xr:uid="{00000000-0005-0000-0000-0000E7900000}"/>
    <cellStyle name="Normal 2 3 3 4 3 2" xfId="12264" xr:uid="{00000000-0005-0000-0000-0000E8900000}"/>
    <cellStyle name="Normal 2 3 3 4 3 2 2" xfId="40960" xr:uid="{00000000-0005-0000-0000-0000E9900000}"/>
    <cellStyle name="Normal 2 3 3 4 3 3" xfId="19365" xr:uid="{00000000-0005-0000-0000-0000EA900000}"/>
    <cellStyle name="Normal 2 3 3 4 3 4" xfId="26467" xr:uid="{00000000-0005-0000-0000-0000EB900000}"/>
    <cellStyle name="Normal 2 3 3 4 3 5" xfId="33569" xr:uid="{00000000-0005-0000-0000-0000EC900000}"/>
    <cellStyle name="Normal 2 3 3 4 3 6" xfId="40961" xr:uid="{00000000-0005-0000-0000-0000ED900000}"/>
    <cellStyle name="Normal 2 3 3 4 4" xfId="3738" xr:uid="{00000000-0005-0000-0000-0000EE900000}"/>
    <cellStyle name="Normal 2 3 3 4 4 2" xfId="10844" xr:uid="{00000000-0005-0000-0000-0000EF900000}"/>
    <cellStyle name="Normal 2 3 3 4 4 3" xfId="17945" xr:uid="{00000000-0005-0000-0000-0000F0900000}"/>
    <cellStyle name="Normal 2 3 3 4 4 4" xfId="25047" xr:uid="{00000000-0005-0000-0000-0000F1900000}"/>
    <cellStyle name="Normal 2 3 3 4 4 5" xfId="32149" xr:uid="{00000000-0005-0000-0000-0000F2900000}"/>
    <cellStyle name="Normal 2 3 3 4 4 6" xfId="40962" xr:uid="{00000000-0005-0000-0000-0000F3900000}"/>
    <cellStyle name="Normal 2 3 3 4 5" xfId="8004" xr:uid="{00000000-0005-0000-0000-0000F4900000}"/>
    <cellStyle name="Normal 2 3 3 4 6" xfId="15105" xr:uid="{00000000-0005-0000-0000-0000F5900000}"/>
    <cellStyle name="Normal 2 3 3 4 7" xfId="22207" xr:uid="{00000000-0005-0000-0000-0000F6900000}"/>
    <cellStyle name="Normal 2 3 3 4 8" xfId="29309" xr:uid="{00000000-0005-0000-0000-0000F7900000}"/>
    <cellStyle name="Normal 2 3 3 4 9" xfId="40963" xr:uid="{00000000-0005-0000-0000-0000F8900000}"/>
    <cellStyle name="Normal 2 3 3 5" xfId="1180" xr:uid="{00000000-0005-0000-0000-0000F9900000}"/>
    <cellStyle name="Normal 2 3 3 5 2" xfId="2671" xr:uid="{00000000-0005-0000-0000-0000FA900000}"/>
    <cellStyle name="Normal 2 3 3 5 2 2" xfId="6939" xr:uid="{00000000-0005-0000-0000-0000FB900000}"/>
    <cellStyle name="Normal 2 3 3 5 2 2 2" xfId="14039" xr:uid="{00000000-0005-0000-0000-0000FC900000}"/>
    <cellStyle name="Normal 2 3 3 5 2 2 3" xfId="21140" xr:uid="{00000000-0005-0000-0000-0000FD900000}"/>
    <cellStyle name="Normal 2 3 3 5 2 2 4" xfId="28242" xr:uid="{00000000-0005-0000-0000-0000FE900000}"/>
    <cellStyle name="Normal 2 3 3 5 2 2 5" xfId="35344" xr:uid="{00000000-0005-0000-0000-0000FF900000}"/>
    <cellStyle name="Normal 2 3 3 5 2 3" xfId="9779" xr:uid="{00000000-0005-0000-0000-000000910000}"/>
    <cellStyle name="Normal 2 3 3 5 2 4" xfId="16880" xr:uid="{00000000-0005-0000-0000-000001910000}"/>
    <cellStyle name="Normal 2 3 3 5 2 5" xfId="23982" xr:uid="{00000000-0005-0000-0000-000002910000}"/>
    <cellStyle name="Normal 2 3 3 5 2 6" xfId="31084" xr:uid="{00000000-0005-0000-0000-000003910000}"/>
    <cellStyle name="Normal 2 3 3 5 2 7" xfId="40964" xr:uid="{00000000-0005-0000-0000-000004910000}"/>
    <cellStyle name="Normal 2 3 3 5 3" xfId="5518" xr:uid="{00000000-0005-0000-0000-000005910000}"/>
    <cellStyle name="Normal 2 3 3 5 3 2" xfId="12619" xr:uid="{00000000-0005-0000-0000-000006910000}"/>
    <cellStyle name="Normal 2 3 3 5 3 3" xfId="19720" xr:uid="{00000000-0005-0000-0000-000007910000}"/>
    <cellStyle name="Normal 2 3 3 5 3 4" xfId="26822" xr:uid="{00000000-0005-0000-0000-000008910000}"/>
    <cellStyle name="Normal 2 3 3 5 3 5" xfId="33924" xr:uid="{00000000-0005-0000-0000-000009910000}"/>
    <cellStyle name="Normal 2 3 3 5 4" xfId="4093" xr:uid="{00000000-0005-0000-0000-00000A910000}"/>
    <cellStyle name="Normal 2 3 3 5 4 2" xfId="11199" xr:uid="{00000000-0005-0000-0000-00000B910000}"/>
    <cellStyle name="Normal 2 3 3 5 4 3" xfId="18300" xr:uid="{00000000-0005-0000-0000-00000C910000}"/>
    <cellStyle name="Normal 2 3 3 5 4 4" xfId="25402" xr:uid="{00000000-0005-0000-0000-00000D910000}"/>
    <cellStyle name="Normal 2 3 3 5 4 5" xfId="32504" xr:uid="{00000000-0005-0000-0000-00000E910000}"/>
    <cellStyle name="Normal 2 3 3 5 5" xfId="8359" xr:uid="{00000000-0005-0000-0000-00000F910000}"/>
    <cellStyle name="Normal 2 3 3 5 6" xfId="15460" xr:uid="{00000000-0005-0000-0000-000010910000}"/>
    <cellStyle name="Normal 2 3 3 5 7" xfId="22562" xr:uid="{00000000-0005-0000-0000-000011910000}"/>
    <cellStyle name="Normal 2 3 3 5 8" xfId="29664" xr:uid="{00000000-0005-0000-0000-000012910000}"/>
    <cellStyle name="Normal 2 3 3 5 9" xfId="40965" xr:uid="{00000000-0005-0000-0000-000013910000}"/>
    <cellStyle name="Normal 2 3 3 6" xfId="1393" xr:uid="{00000000-0005-0000-0000-000014910000}"/>
    <cellStyle name="Normal 2 3 3 6 2" xfId="2884" xr:uid="{00000000-0005-0000-0000-000015910000}"/>
    <cellStyle name="Normal 2 3 3 6 2 2" xfId="7152" xr:uid="{00000000-0005-0000-0000-000016910000}"/>
    <cellStyle name="Normal 2 3 3 6 2 2 2" xfId="14252" xr:uid="{00000000-0005-0000-0000-000017910000}"/>
    <cellStyle name="Normal 2 3 3 6 2 2 3" xfId="21353" xr:uid="{00000000-0005-0000-0000-000018910000}"/>
    <cellStyle name="Normal 2 3 3 6 2 2 4" xfId="28455" xr:uid="{00000000-0005-0000-0000-000019910000}"/>
    <cellStyle name="Normal 2 3 3 6 2 2 5" xfId="35557" xr:uid="{00000000-0005-0000-0000-00001A910000}"/>
    <cellStyle name="Normal 2 3 3 6 2 3" xfId="9992" xr:uid="{00000000-0005-0000-0000-00001B910000}"/>
    <cellStyle name="Normal 2 3 3 6 2 4" xfId="17093" xr:uid="{00000000-0005-0000-0000-00001C910000}"/>
    <cellStyle name="Normal 2 3 3 6 2 5" xfId="24195" xr:uid="{00000000-0005-0000-0000-00001D910000}"/>
    <cellStyle name="Normal 2 3 3 6 2 6" xfId="31297" xr:uid="{00000000-0005-0000-0000-00001E910000}"/>
    <cellStyle name="Normal 2 3 3 6 2 7" xfId="40966" xr:uid="{00000000-0005-0000-0000-00001F910000}"/>
    <cellStyle name="Normal 2 3 3 6 3" xfId="5731" xr:uid="{00000000-0005-0000-0000-000020910000}"/>
    <cellStyle name="Normal 2 3 3 6 3 2" xfId="12832" xr:uid="{00000000-0005-0000-0000-000021910000}"/>
    <cellStyle name="Normal 2 3 3 6 3 3" xfId="19933" xr:uid="{00000000-0005-0000-0000-000022910000}"/>
    <cellStyle name="Normal 2 3 3 6 3 4" xfId="27035" xr:uid="{00000000-0005-0000-0000-000023910000}"/>
    <cellStyle name="Normal 2 3 3 6 3 5" xfId="34137" xr:uid="{00000000-0005-0000-0000-000024910000}"/>
    <cellStyle name="Normal 2 3 3 6 4" xfId="4306" xr:uid="{00000000-0005-0000-0000-000025910000}"/>
    <cellStyle name="Normal 2 3 3 6 4 2" xfId="11412" xr:uid="{00000000-0005-0000-0000-000026910000}"/>
    <cellStyle name="Normal 2 3 3 6 4 3" xfId="18513" xr:uid="{00000000-0005-0000-0000-000027910000}"/>
    <cellStyle name="Normal 2 3 3 6 4 4" xfId="25615" xr:uid="{00000000-0005-0000-0000-000028910000}"/>
    <cellStyle name="Normal 2 3 3 6 4 5" xfId="32717" xr:uid="{00000000-0005-0000-0000-000029910000}"/>
    <cellStyle name="Normal 2 3 3 6 5" xfId="8572" xr:uid="{00000000-0005-0000-0000-00002A910000}"/>
    <cellStyle name="Normal 2 3 3 6 6" xfId="15673" xr:uid="{00000000-0005-0000-0000-00002B910000}"/>
    <cellStyle name="Normal 2 3 3 6 7" xfId="22775" xr:uid="{00000000-0005-0000-0000-00002C910000}"/>
    <cellStyle name="Normal 2 3 3 6 8" xfId="29877" xr:uid="{00000000-0005-0000-0000-00002D910000}"/>
    <cellStyle name="Normal 2 3 3 6 9" xfId="40967" xr:uid="{00000000-0005-0000-0000-00002E910000}"/>
    <cellStyle name="Normal 2 3 3 7" xfId="1677" xr:uid="{00000000-0005-0000-0000-00002F910000}"/>
    <cellStyle name="Normal 2 3 3 7 2" xfId="5945" xr:uid="{00000000-0005-0000-0000-000030910000}"/>
    <cellStyle name="Normal 2 3 3 7 2 2" xfId="13045" xr:uid="{00000000-0005-0000-0000-000031910000}"/>
    <cellStyle name="Normal 2 3 3 7 2 3" xfId="20146" xr:uid="{00000000-0005-0000-0000-000032910000}"/>
    <cellStyle name="Normal 2 3 3 7 2 4" xfId="27248" xr:uid="{00000000-0005-0000-0000-000033910000}"/>
    <cellStyle name="Normal 2 3 3 7 2 5" xfId="34350" xr:uid="{00000000-0005-0000-0000-000034910000}"/>
    <cellStyle name="Normal 2 3 3 7 3" xfId="8785" xr:uid="{00000000-0005-0000-0000-000035910000}"/>
    <cellStyle name="Normal 2 3 3 7 4" xfId="15886" xr:uid="{00000000-0005-0000-0000-000036910000}"/>
    <cellStyle name="Normal 2 3 3 7 5" xfId="22988" xr:uid="{00000000-0005-0000-0000-000037910000}"/>
    <cellStyle name="Normal 2 3 3 7 6" xfId="30090" xr:uid="{00000000-0005-0000-0000-000038910000}"/>
    <cellStyle name="Normal 2 3 3 7 7" xfId="40968" xr:uid="{00000000-0005-0000-0000-000039910000}"/>
    <cellStyle name="Normal 2 3 3 8" xfId="4524" xr:uid="{00000000-0005-0000-0000-00003A910000}"/>
    <cellStyle name="Normal 2 3 3 8 2" xfId="11625" xr:uid="{00000000-0005-0000-0000-00003B910000}"/>
    <cellStyle name="Normal 2 3 3 8 3" xfId="18726" xr:uid="{00000000-0005-0000-0000-00003C910000}"/>
    <cellStyle name="Normal 2 3 3 8 4" xfId="25828" xr:uid="{00000000-0005-0000-0000-00003D910000}"/>
    <cellStyle name="Normal 2 3 3 8 5" xfId="32930" xr:uid="{00000000-0005-0000-0000-00003E910000}"/>
    <cellStyle name="Normal 2 3 3 9" xfId="3099" xr:uid="{00000000-0005-0000-0000-00003F910000}"/>
    <cellStyle name="Normal 2 3 3 9 2" xfId="10205" xr:uid="{00000000-0005-0000-0000-000040910000}"/>
    <cellStyle name="Normal 2 3 3 9 3" xfId="17306" xr:uid="{00000000-0005-0000-0000-000041910000}"/>
    <cellStyle name="Normal 2 3 3 9 4" xfId="24408" xr:uid="{00000000-0005-0000-0000-000042910000}"/>
    <cellStyle name="Normal 2 3 3 9 5" xfId="31510" xr:uid="{00000000-0005-0000-0000-000043910000}"/>
    <cellStyle name="Normal 2 3 4" xfId="328" xr:uid="{00000000-0005-0000-0000-000044910000}"/>
    <cellStyle name="Normal 2 3 4 10" xfId="40969" xr:uid="{00000000-0005-0000-0000-000045910000}"/>
    <cellStyle name="Normal 2 3 4 2" xfId="1109" xr:uid="{00000000-0005-0000-0000-000046910000}"/>
    <cellStyle name="Normal 2 3 4 2 2" xfId="2600" xr:uid="{00000000-0005-0000-0000-000047910000}"/>
    <cellStyle name="Normal 2 3 4 2 2 2" xfId="6868" xr:uid="{00000000-0005-0000-0000-000048910000}"/>
    <cellStyle name="Normal 2 3 4 2 2 2 2" xfId="13968" xr:uid="{00000000-0005-0000-0000-000049910000}"/>
    <cellStyle name="Normal 2 3 4 2 2 2 3" xfId="21069" xr:uid="{00000000-0005-0000-0000-00004A910000}"/>
    <cellStyle name="Normal 2 3 4 2 2 2 4" xfId="28171" xr:uid="{00000000-0005-0000-0000-00004B910000}"/>
    <cellStyle name="Normal 2 3 4 2 2 2 5" xfId="35273" xr:uid="{00000000-0005-0000-0000-00004C910000}"/>
    <cellStyle name="Normal 2 3 4 2 2 3" xfId="9708" xr:uid="{00000000-0005-0000-0000-00004D910000}"/>
    <cellStyle name="Normal 2 3 4 2 2 4" xfId="16809" xr:uid="{00000000-0005-0000-0000-00004E910000}"/>
    <cellStyle name="Normal 2 3 4 2 2 5" xfId="23911" xr:uid="{00000000-0005-0000-0000-00004F910000}"/>
    <cellStyle name="Normal 2 3 4 2 2 6" xfId="31013" xr:uid="{00000000-0005-0000-0000-000050910000}"/>
    <cellStyle name="Normal 2 3 4 2 2 7" xfId="40970" xr:uid="{00000000-0005-0000-0000-000051910000}"/>
    <cellStyle name="Normal 2 3 4 2 3" xfId="5447" xr:uid="{00000000-0005-0000-0000-000052910000}"/>
    <cellStyle name="Normal 2 3 4 2 3 2" xfId="12548" xr:uid="{00000000-0005-0000-0000-000053910000}"/>
    <cellStyle name="Normal 2 3 4 2 3 3" xfId="19649" xr:uid="{00000000-0005-0000-0000-000054910000}"/>
    <cellStyle name="Normal 2 3 4 2 3 4" xfId="26751" xr:uid="{00000000-0005-0000-0000-000055910000}"/>
    <cellStyle name="Normal 2 3 4 2 3 5" xfId="33853" xr:uid="{00000000-0005-0000-0000-000056910000}"/>
    <cellStyle name="Normal 2 3 4 2 4" xfId="4022" xr:uid="{00000000-0005-0000-0000-000057910000}"/>
    <cellStyle name="Normal 2 3 4 2 4 2" xfId="11128" xr:uid="{00000000-0005-0000-0000-000058910000}"/>
    <cellStyle name="Normal 2 3 4 2 4 3" xfId="18229" xr:uid="{00000000-0005-0000-0000-000059910000}"/>
    <cellStyle name="Normal 2 3 4 2 4 4" xfId="25331" xr:uid="{00000000-0005-0000-0000-00005A910000}"/>
    <cellStyle name="Normal 2 3 4 2 4 5" xfId="32433" xr:uid="{00000000-0005-0000-0000-00005B910000}"/>
    <cellStyle name="Normal 2 3 4 2 5" xfId="8288" xr:uid="{00000000-0005-0000-0000-00005C910000}"/>
    <cellStyle name="Normal 2 3 4 2 6" xfId="15389" xr:uid="{00000000-0005-0000-0000-00005D910000}"/>
    <cellStyle name="Normal 2 3 4 2 7" xfId="22491" xr:uid="{00000000-0005-0000-0000-00005E910000}"/>
    <cellStyle name="Normal 2 3 4 2 8" xfId="29593" xr:uid="{00000000-0005-0000-0000-00005F910000}"/>
    <cellStyle name="Normal 2 3 4 2 9" xfId="40971" xr:uid="{00000000-0005-0000-0000-000060910000}"/>
    <cellStyle name="Normal 2 3 4 3" xfId="1819" xr:uid="{00000000-0005-0000-0000-000061910000}"/>
    <cellStyle name="Normal 2 3 4 3 2" xfId="6087" xr:uid="{00000000-0005-0000-0000-000062910000}"/>
    <cellStyle name="Normal 2 3 4 3 2 2" xfId="13187" xr:uid="{00000000-0005-0000-0000-000063910000}"/>
    <cellStyle name="Normal 2 3 4 3 2 3" xfId="20288" xr:uid="{00000000-0005-0000-0000-000064910000}"/>
    <cellStyle name="Normal 2 3 4 3 2 4" xfId="27390" xr:uid="{00000000-0005-0000-0000-000065910000}"/>
    <cellStyle name="Normal 2 3 4 3 2 5" xfId="34492" xr:uid="{00000000-0005-0000-0000-000066910000}"/>
    <cellStyle name="Normal 2 3 4 3 2 6" xfId="40972" xr:uid="{00000000-0005-0000-0000-000067910000}"/>
    <cellStyle name="Normal 2 3 4 3 3" xfId="8927" xr:uid="{00000000-0005-0000-0000-000068910000}"/>
    <cellStyle name="Normal 2 3 4 3 4" xfId="16028" xr:uid="{00000000-0005-0000-0000-000069910000}"/>
    <cellStyle name="Normal 2 3 4 3 5" xfId="23130" xr:uid="{00000000-0005-0000-0000-00006A910000}"/>
    <cellStyle name="Normal 2 3 4 3 6" xfId="30232" xr:uid="{00000000-0005-0000-0000-00006B910000}"/>
    <cellStyle name="Normal 2 3 4 3 7" xfId="40973" xr:uid="{00000000-0005-0000-0000-00006C910000}"/>
    <cellStyle name="Normal 2 3 4 4" xfId="4666" xr:uid="{00000000-0005-0000-0000-00006D910000}"/>
    <cellStyle name="Normal 2 3 4 4 2" xfId="11767" xr:uid="{00000000-0005-0000-0000-00006E910000}"/>
    <cellStyle name="Normal 2 3 4 4 3" xfId="18868" xr:uid="{00000000-0005-0000-0000-00006F910000}"/>
    <cellStyle name="Normal 2 3 4 4 4" xfId="25970" xr:uid="{00000000-0005-0000-0000-000070910000}"/>
    <cellStyle name="Normal 2 3 4 4 5" xfId="33072" xr:uid="{00000000-0005-0000-0000-000071910000}"/>
    <cellStyle name="Normal 2 3 4 4 6" xfId="40974" xr:uid="{00000000-0005-0000-0000-000072910000}"/>
    <cellStyle name="Normal 2 3 4 5" xfId="3241" xr:uid="{00000000-0005-0000-0000-000073910000}"/>
    <cellStyle name="Normal 2 3 4 5 2" xfId="10347" xr:uid="{00000000-0005-0000-0000-000074910000}"/>
    <cellStyle name="Normal 2 3 4 5 3" xfId="17448" xr:uid="{00000000-0005-0000-0000-000075910000}"/>
    <cellStyle name="Normal 2 3 4 5 4" xfId="24550" xr:uid="{00000000-0005-0000-0000-000076910000}"/>
    <cellStyle name="Normal 2 3 4 5 5" xfId="31652" xr:uid="{00000000-0005-0000-0000-000077910000}"/>
    <cellStyle name="Normal 2 3 4 6" xfId="7507" xr:uid="{00000000-0005-0000-0000-000078910000}"/>
    <cellStyle name="Normal 2 3 4 7" xfId="14608" xr:uid="{00000000-0005-0000-0000-000079910000}"/>
    <cellStyle name="Normal 2 3 4 8" xfId="21710" xr:uid="{00000000-0005-0000-0000-00007A910000}"/>
    <cellStyle name="Normal 2 3 4 9" xfId="28812" xr:uid="{00000000-0005-0000-0000-00007B910000}"/>
    <cellStyle name="Normal 2 3 5" xfId="541" xr:uid="{00000000-0005-0000-0000-00007C910000}"/>
    <cellStyle name="Normal 2 3 5 2" xfId="2032" xr:uid="{00000000-0005-0000-0000-00007D910000}"/>
    <cellStyle name="Normal 2 3 5 2 2" xfId="6300" xr:uid="{00000000-0005-0000-0000-00007E910000}"/>
    <cellStyle name="Normal 2 3 5 2 2 2" xfId="13400" xr:uid="{00000000-0005-0000-0000-00007F910000}"/>
    <cellStyle name="Normal 2 3 5 2 2 3" xfId="20501" xr:uid="{00000000-0005-0000-0000-000080910000}"/>
    <cellStyle name="Normal 2 3 5 2 2 4" xfId="27603" xr:uid="{00000000-0005-0000-0000-000081910000}"/>
    <cellStyle name="Normal 2 3 5 2 2 5" xfId="34705" xr:uid="{00000000-0005-0000-0000-000082910000}"/>
    <cellStyle name="Normal 2 3 5 2 2 6" xfId="40975" xr:uid="{00000000-0005-0000-0000-000083910000}"/>
    <cellStyle name="Normal 2 3 5 2 3" xfId="9140" xr:uid="{00000000-0005-0000-0000-000084910000}"/>
    <cellStyle name="Normal 2 3 5 2 4" xfId="16241" xr:uid="{00000000-0005-0000-0000-000085910000}"/>
    <cellStyle name="Normal 2 3 5 2 5" xfId="23343" xr:uid="{00000000-0005-0000-0000-000086910000}"/>
    <cellStyle name="Normal 2 3 5 2 6" xfId="30445" xr:uid="{00000000-0005-0000-0000-000087910000}"/>
    <cellStyle name="Normal 2 3 5 2 7" xfId="40976" xr:uid="{00000000-0005-0000-0000-000088910000}"/>
    <cellStyle name="Normal 2 3 5 3" xfId="4879" xr:uid="{00000000-0005-0000-0000-000089910000}"/>
    <cellStyle name="Normal 2 3 5 3 2" xfId="11980" xr:uid="{00000000-0005-0000-0000-00008A910000}"/>
    <cellStyle name="Normal 2 3 5 3 2 2" xfId="40977" xr:uid="{00000000-0005-0000-0000-00008B910000}"/>
    <cellStyle name="Normal 2 3 5 3 3" xfId="19081" xr:uid="{00000000-0005-0000-0000-00008C910000}"/>
    <cellStyle name="Normal 2 3 5 3 4" xfId="26183" xr:uid="{00000000-0005-0000-0000-00008D910000}"/>
    <cellStyle name="Normal 2 3 5 3 5" xfId="33285" xr:uid="{00000000-0005-0000-0000-00008E910000}"/>
    <cellStyle name="Normal 2 3 5 3 6" xfId="40978" xr:uid="{00000000-0005-0000-0000-00008F910000}"/>
    <cellStyle name="Normal 2 3 5 4" xfId="3454" xr:uid="{00000000-0005-0000-0000-000090910000}"/>
    <cellStyle name="Normal 2 3 5 4 2" xfId="10560" xr:uid="{00000000-0005-0000-0000-000091910000}"/>
    <cellStyle name="Normal 2 3 5 4 3" xfId="17661" xr:uid="{00000000-0005-0000-0000-000092910000}"/>
    <cellStyle name="Normal 2 3 5 4 4" xfId="24763" xr:uid="{00000000-0005-0000-0000-000093910000}"/>
    <cellStyle name="Normal 2 3 5 4 5" xfId="31865" xr:uid="{00000000-0005-0000-0000-000094910000}"/>
    <cellStyle name="Normal 2 3 5 4 6" xfId="40979" xr:uid="{00000000-0005-0000-0000-000095910000}"/>
    <cellStyle name="Normal 2 3 5 5" xfId="7720" xr:uid="{00000000-0005-0000-0000-000096910000}"/>
    <cellStyle name="Normal 2 3 5 6" xfId="14821" xr:uid="{00000000-0005-0000-0000-000097910000}"/>
    <cellStyle name="Normal 2 3 5 7" xfId="21923" xr:uid="{00000000-0005-0000-0000-000098910000}"/>
    <cellStyle name="Normal 2 3 5 8" xfId="29025" xr:uid="{00000000-0005-0000-0000-000099910000}"/>
    <cellStyle name="Normal 2 3 5 9" xfId="40980" xr:uid="{00000000-0005-0000-0000-00009A910000}"/>
    <cellStyle name="Normal 2 3 6" xfId="754" xr:uid="{00000000-0005-0000-0000-00009B910000}"/>
    <cellStyle name="Normal 2 3 6 2" xfId="2245" xr:uid="{00000000-0005-0000-0000-00009C910000}"/>
    <cellStyle name="Normal 2 3 6 2 2" xfId="6513" xr:uid="{00000000-0005-0000-0000-00009D910000}"/>
    <cellStyle name="Normal 2 3 6 2 2 2" xfId="13613" xr:uid="{00000000-0005-0000-0000-00009E910000}"/>
    <cellStyle name="Normal 2 3 6 2 2 3" xfId="20714" xr:uid="{00000000-0005-0000-0000-00009F910000}"/>
    <cellStyle name="Normal 2 3 6 2 2 4" xfId="27816" xr:uid="{00000000-0005-0000-0000-0000A0910000}"/>
    <cellStyle name="Normal 2 3 6 2 2 5" xfId="34918" xr:uid="{00000000-0005-0000-0000-0000A1910000}"/>
    <cellStyle name="Normal 2 3 6 2 2 6" xfId="40981" xr:uid="{00000000-0005-0000-0000-0000A2910000}"/>
    <cellStyle name="Normal 2 3 6 2 3" xfId="9353" xr:uid="{00000000-0005-0000-0000-0000A3910000}"/>
    <cellStyle name="Normal 2 3 6 2 4" xfId="16454" xr:uid="{00000000-0005-0000-0000-0000A4910000}"/>
    <cellStyle name="Normal 2 3 6 2 5" xfId="23556" xr:uid="{00000000-0005-0000-0000-0000A5910000}"/>
    <cellStyle name="Normal 2 3 6 2 6" xfId="30658" xr:uid="{00000000-0005-0000-0000-0000A6910000}"/>
    <cellStyle name="Normal 2 3 6 2 7" xfId="40982" xr:uid="{00000000-0005-0000-0000-0000A7910000}"/>
    <cellStyle name="Normal 2 3 6 3" xfId="5092" xr:uid="{00000000-0005-0000-0000-0000A8910000}"/>
    <cellStyle name="Normal 2 3 6 3 2" xfId="12193" xr:uid="{00000000-0005-0000-0000-0000A9910000}"/>
    <cellStyle name="Normal 2 3 6 3 2 2" xfId="40983" xr:uid="{00000000-0005-0000-0000-0000AA910000}"/>
    <cellStyle name="Normal 2 3 6 3 3" xfId="19294" xr:uid="{00000000-0005-0000-0000-0000AB910000}"/>
    <cellStyle name="Normal 2 3 6 3 4" xfId="26396" xr:uid="{00000000-0005-0000-0000-0000AC910000}"/>
    <cellStyle name="Normal 2 3 6 3 5" xfId="33498" xr:uid="{00000000-0005-0000-0000-0000AD910000}"/>
    <cellStyle name="Normal 2 3 6 3 6" xfId="40984" xr:uid="{00000000-0005-0000-0000-0000AE910000}"/>
    <cellStyle name="Normal 2 3 6 4" xfId="3667" xr:uid="{00000000-0005-0000-0000-0000AF910000}"/>
    <cellStyle name="Normal 2 3 6 4 2" xfId="10773" xr:uid="{00000000-0005-0000-0000-0000B0910000}"/>
    <cellStyle name="Normal 2 3 6 4 3" xfId="17874" xr:uid="{00000000-0005-0000-0000-0000B1910000}"/>
    <cellStyle name="Normal 2 3 6 4 4" xfId="24976" xr:uid="{00000000-0005-0000-0000-0000B2910000}"/>
    <cellStyle name="Normal 2 3 6 4 5" xfId="32078" xr:uid="{00000000-0005-0000-0000-0000B3910000}"/>
    <cellStyle name="Normal 2 3 6 4 6" xfId="40985" xr:uid="{00000000-0005-0000-0000-0000B4910000}"/>
    <cellStyle name="Normal 2 3 6 5" xfId="7933" xr:uid="{00000000-0005-0000-0000-0000B5910000}"/>
    <cellStyle name="Normal 2 3 6 6" xfId="15034" xr:uid="{00000000-0005-0000-0000-0000B6910000}"/>
    <cellStyle name="Normal 2 3 6 7" xfId="22136" xr:uid="{00000000-0005-0000-0000-0000B7910000}"/>
    <cellStyle name="Normal 2 3 6 8" xfId="29238" xr:uid="{00000000-0005-0000-0000-0000B8910000}"/>
    <cellStyle name="Normal 2 3 6 9" xfId="40986" xr:uid="{00000000-0005-0000-0000-0000B9910000}"/>
    <cellStyle name="Normal 2 3 7" xfId="967" xr:uid="{00000000-0005-0000-0000-0000BA910000}"/>
    <cellStyle name="Normal 2 3 7 2" xfId="2458" xr:uid="{00000000-0005-0000-0000-0000BB910000}"/>
    <cellStyle name="Normal 2 3 7 2 2" xfId="6726" xr:uid="{00000000-0005-0000-0000-0000BC910000}"/>
    <cellStyle name="Normal 2 3 7 2 2 2" xfId="13826" xr:uid="{00000000-0005-0000-0000-0000BD910000}"/>
    <cellStyle name="Normal 2 3 7 2 2 3" xfId="20927" xr:uid="{00000000-0005-0000-0000-0000BE910000}"/>
    <cellStyle name="Normal 2 3 7 2 2 4" xfId="28029" xr:uid="{00000000-0005-0000-0000-0000BF910000}"/>
    <cellStyle name="Normal 2 3 7 2 2 5" xfId="35131" xr:uid="{00000000-0005-0000-0000-0000C0910000}"/>
    <cellStyle name="Normal 2 3 7 2 3" xfId="9566" xr:uid="{00000000-0005-0000-0000-0000C1910000}"/>
    <cellStyle name="Normal 2 3 7 2 4" xfId="16667" xr:uid="{00000000-0005-0000-0000-0000C2910000}"/>
    <cellStyle name="Normal 2 3 7 2 5" xfId="23769" xr:uid="{00000000-0005-0000-0000-0000C3910000}"/>
    <cellStyle name="Normal 2 3 7 2 6" xfId="30871" xr:uid="{00000000-0005-0000-0000-0000C4910000}"/>
    <cellStyle name="Normal 2 3 7 2 7" xfId="40987" xr:uid="{00000000-0005-0000-0000-0000C5910000}"/>
    <cellStyle name="Normal 2 3 7 3" xfId="5305" xr:uid="{00000000-0005-0000-0000-0000C6910000}"/>
    <cellStyle name="Normal 2 3 7 3 2" xfId="12406" xr:uid="{00000000-0005-0000-0000-0000C7910000}"/>
    <cellStyle name="Normal 2 3 7 3 3" xfId="19507" xr:uid="{00000000-0005-0000-0000-0000C8910000}"/>
    <cellStyle name="Normal 2 3 7 3 4" xfId="26609" xr:uid="{00000000-0005-0000-0000-0000C9910000}"/>
    <cellStyle name="Normal 2 3 7 3 5" xfId="33711" xr:uid="{00000000-0005-0000-0000-0000CA910000}"/>
    <cellStyle name="Normal 2 3 7 4" xfId="3880" xr:uid="{00000000-0005-0000-0000-0000CB910000}"/>
    <cellStyle name="Normal 2 3 7 4 2" xfId="10986" xr:uid="{00000000-0005-0000-0000-0000CC910000}"/>
    <cellStyle name="Normal 2 3 7 4 3" xfId="18087" xr:uid="{00000000-0005-0000-0000-0000CD910000}"/>
    <cellStyle name="Normal 2 3 7 4 4" xfId="25189" xr:uid="{00000000-0005-0000-0000-0000CE910000}"/>
    <cellStyle name="Normal 2 3 7 4 5" xfId="32291" xr:uid="{00000000-0005-0000-0000-0000CF910000}"/>
    <cellStyle name="Normal 2 3 7 5" xfId="8146" xr:uid="{00000000-0005-0000-0000-0000D0910000}"/>
    <cellStyle name="Normal 2 3 7 6" xfId="15247" xr:uid="{00000000-0005-0000-0000-0000D1910000}"/>
    <cellStyle name="Normal 2 3 7 7" xfId="22349" xr:uid="{00000000-0005-0000-0000-0000D2910000}"/>
    <cellStyle name="Normal 2 3 7 8" xfId="29451" xr:uid="{00000000-0005-0000-0000-0000D3910000}"/>
    <cellStyle name="Normal 2 3 7 9" xfId="40988" xr:uid="{00000000-0005-0000-0000-0000D4910000}"/>
    <cellStyle name="Normal 2 3 8" xfId="1322" xr:uid="{00000000-0005-0000-0000-0000D5910000}"/>
    <cellStyle name="Normal 2 3 8 2" xfId="2813" xr:uid="{00000000-0005-0000-0000-0000D6910000}"/>
    <cellStyle name="Normal 2 3 8 2 2" xfId="7081" xr:uid="{00000000-0005-0000-0000-0000D7910000}"/>
    <cellStyle name="Normal 2 3 8 2 2 2" xfId="14181" xr:uid="{00000000-0005-0000-0000-0000D8910000}"/>
    <cellStyle name="Normal 2 3 8 2 2 3" xfId="21282" xr:uid="{00000000-0005-0000-0000-0000D9910000}"/>
    <cellStyle name="Normal 2 3 8 2 2 4" xfId="28384" xr:uid="{00000000-0005-0000-0000-0000DA910000}"/>
    <cellStyle name="Normal 2 3 8 2 2 5" xfId="35486" xr:uid="{00000000-0005-0000-0000-0000DB910000}"/>
    <cellStyle name="Normal 2 3 8 2 3" xfId="9921" xr:uid="{00000000-0005-0000-0000-0000DC910000}"/>
    <cellStyle name="Normal 2 3 8 2 4" xfId="17022" xr:uid="{00000000-0005-0000-0000-0000DD910000}"/>
    <cellStyle name="Normal 2 3 8 2 5" xfId="24124" xr:uid="{00000000-0005-0000-0000-0000DE910000}"/>
    <cellStyle name="Normal 2 3 8 2 6" xfId="31226" xr:uid="{00000000-0005-0000-0000-0000DF910000}"/>
    <cellStyle name="Normal 2 3 8 2 7" xfId="40989" xr:uid="{00000000-0005-0000-0000-0000E0910000}"/>
    <cellStyle name="Normal 2 3 8 3" xfId="5660" xr:uid="{00000000-0005-0000-0000-0000E1910000}"/>
    <cellStyle name="Normal 2 3 8 3 2" xfId="12761" xr:uid="{00000000-0005-0000-0000-0000E2910000}"/>
    <cellStyle name="Normal 2 3 8 3 3" xfId="19862" xr:uid="{00000000-0005-0000-0000-0000E3910000}"/>
    <cellStyle name="Normal 2 3 8 3 4" xfId="26964" xr:uid="{00000000-0005-0000-0000-0000E4910000}"/>
    <cellStyle name="Normal 2 3 8 3 5" xfId="34066" xr:uid="{00000000-0005-0000-0000-0000E5910000}"/>
    <cellStyle name="Normal 2 3 8 4" xfId="4235" xr:uid="{00000000-0005-0000-0000-0000E6910000}"/>
    <cellStyle name="Normal 2 3 8 4 2" xfId="11341" xr:uid="{00000000-0005-0000-0000-0000E7910000}"/>
    <cellStyle name="Normal 2 3 8 4 3" xfId="18442" xr:uid="{00000000-0005-0000-0000-0000E8910000}"/>
    <cellStyle name="Normal 2 3 8 4 4" xfId="25544" xr:uid="{00000000-0005-0000-0000-0000E9910000}"/>
    <cellStyle name="Normal 2 3 8 4 5" xfId="32646" xr:uid="{00000000-0005-0000-0000-0000EA910000}"/>
    <cellStyle name="Normal 2 3 8 5" xfId="8501" xr:uid="{00000000-0005-0000-0000-0000EB910000}"/>
    <cellStyle name="Normal 2 3 8 6" xfId="15602" xr:uid="{00000000-0005-0000-0000-0000EC910000}"/>
    <cellStyle name="Normal 2 3 8 7" xfId="22704" xr:uid="{00000000-0005-0000-0000-0000ED910000}"/>
    <cellStyle name="Normal 2 3 8 8" xfId="29806" xr:uid="{00000000-0005-0000-0000-0000EE910000}"/>
    <cellStyle name="Normal 2 3 8 9" xfId="40990" xr:uid="{00000000-0005-0000-0000-0000EF910000}"/>
    <cellStyle name="Normal 2 3 9" xfId="1505" xr:uid="{00000000-0005-0000-0000-0000F0910000}"/>
    <cellStyle name="Normal 2 3 9 2" xfId="40991" xr:uid="{00000000-0005-0000-0000-0000F1910000}"/>
    <cellStyle name="Normal 2 3_Sheet2" xfId="1531" xr:uid="{00000000-0005-0000-0000-0000F2910000}"/>
    <cellStyle name="Normal 2 4" xfId="67" xr:uid="{00000000-0005-0000-0000-0000F3910000}"/>
    <cellStyle name="Normal 2 4 10" xfId="1570" xr:uid="{00000000-0005-0000-0000-0000F4910000}"/>
    <cellStyle name="Normal 2 4 10 2" xfId="5846" xr:uid="{00000000-0005-0000-0000-0000F5910000}"/>
    <cellStyle name="Normal 2 4 10 2 2" xfId="12946" xr:uid="{00000000-0005-0000-0000-0000F6910000}"/>
    <cellStyle name="Normal 2 4 10 2 3" xfId="20047" xr:uid="{00000000-0005-0000-0000-0000F7910000}"/>
    <cellStyle name="Normal 2 4 10 2 4" xfId="27149" xr:uid="{00000000-0005-0000-0000-0000F8910000}"/>
    <cellStyle name="Normal 2 4 10 2 5" xfId="34251" xr:uid="{00000000-0005-0000-0000-0000F9910000}"/>
    <cellStyle name="Normal 2 4 10 3" xfId="3000" xr:uid="{00000000-0005-0000-0000-0000FA910000}"/>
    <cellStyle name="Normal 2 4 10 3 2" xfId="10106" xr:uid="{00000000-0005-0000-0000-0000FB910000}"/>
    <cellStyle name="Normal 2 4 10 3 3" xfId="17207" xr:uid="{00000000-0005-0000-0000-0000FC910000}"/>
    <cellStyle name="Normal 2 4 10 3 4" xfId="24309" xr:uid="{00000000-0005-0000-0000-0000FD910000}"/>
    <cellStyle name="Normal 2 4 10 3 5" xfId="31411" xr:uid="{00000000-0005-0000-0000-0000FE910000}"/>
    <cellStyle name="Normal 2 4 10 4" xfId="8686" xr:uid="{00000000-0005-0000-0000-0000FF910000}"/>
    <cellStyle name="Normal 2 4 10 5" xfId="15787" xr:uid="{00000000-0005-0000-0000-000000920000}"/>
    <cellStyle name="Normal 2 4 10 6" xfId="22889" xr:uid="{00000000-0005-0000-0000-000001920000}"/>
    <cellStyle name="Normal 2 4 10 7" xfId="29991" xr:uid="{00000000-0005-0000-0000-000002920000}"/>
    <cellStyle name="Normal 2 4 11" xfId="4425" xr:uid="{00000000-0005-0000-0000-000003920000}"/>
    <cellStyle name="Normal 2 4 11 2" xfId="11526" xr:uid="{00000000-0005-0000-0000-000004920000}"/>
    <cellStyle name="Normal 2 4 11 3" xfId="18627" xr:uid="{00000000-0005-0000-0000-000005920000}"/>
    <cellStyle name="Normal 2 4 11 4" xfId="25729" xr:uid="{00000000-0005-0000-0000-000006920000}"/>
    <cellStyle name="Normal 2 4 11 5" xfId="32831" xr:uid="{00000000-0005-0000-0000-000007920000}"/>
    <cellStyle name="Normal 2 4 12" xfId="7266" xr:uid="{00000000-0005-0000-0000-000008920000}"/>
    <cellStyle name="Normal 2 4 13" xfId="14367" xr:uid="{00000000-0005-0000-0000-000009920000}"/>
    <cellStyle name="Normal 2 4 14" xfId="21469" xr:uid="{00000000-0005-0000-0000-00000A920000}"/>
    <cellStyle name="Normal 2 4 15" xfId="28571" xr:uid="{00000000-0005-0000-0000-00000B920000}"/>
    <cellStyle name="Normal 2 4 16" xfId="35673" xr:uid="{00000000-0005-0000-0000-00000C920000}"/>
    <cellStyle name="Normal 2 4 17" xfId="40992" xr:uid="{00000000-0005-0000-0000-00000D920000}"/>
    <cellStyle name="Normal 2 4 2" xfId="229" xr:uid="{00000000-0005-0000-0000-00000E920000}"/>
    <cellStyle name="Normal 2 4 2 10" xfId="7408" xr:uid="{00000000-0005-0000-0000-00000F920000}"/>
    <cellStyle name="Normal 2 4 2 11" xfId="14509" xr:uid="{00000000-0005-0000-0000-000010920000}"/>
    <cellStyle name="Normal 2 4 2 12" xfId="21611" xr:uid="{00000000-0005-0000-0000-000011920000}"/>
    <cellStyle name="Normal 2 4 2 13" xfId="28713" xr:uid="{00000000-0005-0000-0000-000012920000}"/>
    <cellStyle name="Normal 2 4 2 14" xfId="35815" xr:uid="{00000000-0005-0000-0000-000013920000}"/>
    <cellStyle name="Normal 2 4 2 15" xfId="40993" xr:uid="{00000000-0005-0000-0000-000014920000}"/>
    <cellStyle name="Normal 2 4 2 2" xfId="442" xr:uid="{00000000-0005-0000-0000-000015920000}"/>
    <cellStyle name="Normal 2 4 2 2 10" xfId="40994" xr:uid="{00000000-0005-0000-0000-000016920000}"/>
    <cellStyle name="Normal 2 4 2 2 2" xfId="1223" xr:uid="{00000000-0005-0000-0000-000017920000}"/>
    <cellStyle name="Normal 2 4 2 2 2 2" xfId="2714" xr:uid="{00000000-0005-0000-0000-000018920000}"/>
    <cellStyle name="Normal 2 4 2 2 2 2 2" xfId="6982" xr:uid="{00000000-0005-0000-0000-000019920000}"/>
    <cellStyle name="Normal 2 4 2 2 2 2 2 2" xfId="14082" xr:uid="{00000000-0005-0000-0000-00001A920000}"/>
    <cellStyle name="Normal 2 4 2 2 2 2 2 3" xfId="21183" xr:uid="{00000000-0005-0000-0000-00001B920000}"/>
    <cellStyle name="Normal 2 4 2 2 2 2 2 4" xfId="28285" xr:uid="{00000000-0005-0000-0000-00001C920000}"/>
    <cellStyle name="Normal 2 4 2 2 2 2 2 5" xfId="35387" xr:uid="{00000000-0005-0000-0000-00001D920000}"/>
    <cellStyle name="Normal 2 4 2 2 2 2 3" xfId="9822" xr:uid="{00000000-0005-0000-0000-00001E920000}"/>
    <cellStyle name="Normal 2 4 2 2 2 2 4" xfId="16923" xr:uid="{00000000-0005-0000-0000-00001F920000}"/>
    <cellStyle name="Normal 2 4 2 2 2 2 5" xfId="24025" xr:uid="{00000000-0005-0000-0000-000020920000}"/>
    <cellStyle name="Normal 2 4 2 2 2 2 6" xfId="31127" xr:uid="{00000000-0005-0000-0000-000021920000}"/>
    <cellStyle name="Normal 2 4 2 2 2 2 7" xfId="40995" xr:uid="{00000000-0005-0000-0000-000022920000}"/>
    <cellStyle name="Normal 2 4 2 2 2 3" xfId="5561" xr:uid="{00000000-0005-0000-0000-000023920000}"/>
    <cellStyle name="Normal 2 4 2 2 2 3 2" xfId="12662" xr:uid="{00000000-0005-0000-0000-000024920000}"/>
    <cellStyle name="Normal 2 4 2 2 2 3 3" xfId="19763" xr:uid="{00000000-0005-0000-0000-000025920000}"/>
    <cellStyle name="Normal 2 4 2 2 2 3 4" xfId="26865" xr:uid="{00000000-0005-0000-0000-000026920000}"/>
    <cellStyle name="Normal 2 4 2 2 2 3 5" xfId="33967" xr:uid="{00000000-0005-0000-0000-000027920000}"/>
    <cellStyle name="Normal 2 4 2 2 2 4" xfId="4136" xr:uid="{00000000-0005-0000-0000-000028920000}"/>
    <cellStyle name="Normal 2 4 2 2 2 4 2" xfId="11242" xr:uid="{00000000-0005-0000-0000-000029920000}"/>
    <cellStyle name="Normal 2 4 2 2 2 4 3" xfId="18343" xr:uid="{00000000-0005-0000-0000-00002A920000}"/>
    <cellStyle name="Normal 2 4 2 2 2 4 4" xfId="25445" xr:uid="{00000000-0005-0000-0000-00002B920000}"/>
    <cellStyle name="Normal 2 4 2 2 2 4 5" xfId="32547" xr:uid="{00000000-0005-0000-0000-00002C920000}"/>
    <cellStyle name="Normal 2 4 2 2 2 5" xfId="8402" xr:uid="{00000000-0005-0000-0000-00002D920000}"/>
    <cellStyle name="Normal 2 4 2 2 2 6" xfId="15503" xr:uid="{00000000-0005-0000-0000-00002E920000}"/>
    <cellStyle name="Normal 2 4 2 2 2 7" xfId="22605" xr:uid="{00000000-0005-0000-0000-00002F920000}"/>
    <cellStyle name="Normal 2 4 2 2 2 8" xfId="29707" xr:uid="{00000000-0005-0000-0000-000030920000}"/>
    <cellStyle name="Normal 2 4 2 2 2 9" xfId="40996" xr:uid="{00000000-0005-0000-0000-000031920000}"/>
    <cellStyle name="Normal 2 4 2 2 3" xfId="1933" xr:uid="{00000000-0005-0000-0000-000032920000}"/>
    <cellStyle name="Normal 2 4 2 2 3 2" xfId="6201" xr:uid="{00000000-0005-0000-0000-000033920000}"/>
    <cellStyle name="Normal 2 4 2 2 3 2 2" xfId="13301" xr:uid="{00000000-0005-0000-0000-000034920000}"/>
    <cellStyle name="Normal 2 4 2 2 3 2 3" xfId="20402" xr:uid="{00000000-0005-0000-0000-000035920000}"/>
    <cellStyle name="Normal 2 4 2 2 3 2 4" xfId="27504" xr:uid="{00000000-0005-0000-0000-000036920000}"/>
    <cellStyle name="Normal 2 4 2 2 3 2 5" xfId="34606" xr:uid="{00000000-0005-0000-0000-000037920000}"/>
    <cellStyle name="Normal 2 4 2 2 3 2 6" xfId="40997" xr:uid="{00000000-0005-0000-0000-000038920000}"/>
    <cellStyle name="Normal 2 4 2 2 3 3" xfId="9041" xr:uid="{00000000-0005-0000-0000-000039920000}"/>
    <cellStyle name="Normal 2 4 2 2 3 4" xfId="16142" xr:uid="{00000000-0005-0000-0000-00003A920000}"/>
    <cellStyle name="Normal 2 4 2 2 3 5" xfId="23244" xr:uid="{00000000-0005-0000-0000-00003B920000}"/>
    <cellStyle name="Normal 2 4 2 2 3 6" xfId="30346" xr:uid="{00000000-0005-0000-0000-00003C920000}"/>
    <cellStyle name="Normal 2 4 2 2 3 7" xfId="40998" xr:uid="{00000000-0005-0000-0000-00003D920000}"/>
    <cellStyle name="Normal 2 4 2 2 4" xfId="4780" xr:uid="{00000000-0005-0000-0000-00003E920000}"/>
    <cellStyle name="Normal 2 4 2 2 4 2" xfId="11881" xr:uid="{00000000-0005-0000-0000-00003F920000}"/>
    <cellStyle name="Normal 2 4 2 2 4 3" xfId="18982" xr:uid="{00000000-0005-0000-0000-000040920000}"/>
    <cellStyle name="Normal 2 4 2 2 4 4" xfId="26084" xr:uid="{00000000-0005-0000-0000-000041920000}"/>
    <cellStyle name="Normal 2 4 2 2 4 5" xfId="33186" xr:uid="{00000000-0005-0000-0000-000042920000}"/>
    <cellStyle name="Normal 2 4 2 2 4 6" xfId="40999" xr:uid="{00000000-0005-0000-0000-000043920000}"/>
    <cellStyle name="Normal 2 4 2 2 5" xfId="3355" xr:uid="{00000000-0005-0000-0000-000044920000}"/>
    <cellStyle name="Normal 2 4 2 2 5 2" xfId="10461" xr:uid="{00000000-0005-0000-0000-000045920000}"/>
    <cellStyle name="Normal 2 4 2 2 5 3" xfId="17562" xr:uid="{00000000-0005-0000-0000-000046920000}"/>
    <cellStyle name="Normal 2 4 2 2 5 4" xfId="24664" xr:uid="{00000000-0005-0000-0000-000047920000}"/>
    <cellStyle name="Normal 2 4 2 2 5 5" xfId="31766" xr:uid="{00000000-0005-0000-0000-000048920000}"/>
    <cellStyle name="Normal 2 4 2 2 6" xfId="7621" xr:uid="{00000000-0005-0000-0000-000049920000}"/>
    <cellStyle name="Normal 2 4 2 2 7" xfId="14722" xr:uid="{00000000-0005-0000-0000-00004A920000}"/>
    <cellStyle name="Normal 2 4 2 2 8" xfId="21824" xr:uid="{00000000-0005-0000-0000-00004B920000}"/>
    <cellStyle name="Normal 2 4 2 2 9" xfId="28926" xr:uid="{00000000-0005-0000-0000-00004C920000}"/>
    <cellStyle name="Normal 2 4 2 3" xfId="655" xr:uid="{00000000-0005-0000-0000-00004D920000}"/>
    <cellStyle name="Normal 2 4 2 3 2" xfId="2146" xr:uid="{00000000-0005-0000-0000-00004E920000}"/>
    <cellStyle name="Normal 2 4 2 3 2 2" xfId="6414" xr:uid="{00000000-0005-0000-0000-00004F920000}"/>
    <cellStyle name="Normal 2 4 2 3 2 2 2" xfId="13514" xr:uid="{00000000-0005-0000-0000-000050920000}"/>
    <cellStyle name="Normal 2 4 2 3 2 2 3" xfId="20615" xr:uid="{00000000-0005-0000-0000-000051920000}"/>
    <cellStyle name="Normal 2 4 2 3 2 2 4" xfId="27717" xr:uid="{00000000-0005-0000-0000-000052920000}"/>
    <cellStyle name="Normal 2 4 2 3 2 2 5" xfId="34819" xr:uid="{00000000-0005-0000-0000-000053920000}"/>
    <cellStyle name="Normal 2 4 2 3 2 2 6" xfId="41000" xr:uid="{00000000-0005-0000-0000-000054920000}"/>
    <cellStyle name="Normal 2 4 2 3 2 3" xfId="9254" xr:uid="{00000000-0005-0000-0000-000055920000}"/>
    <cellStyle name="Normal 2 4 2 3 2 4" xfId="16355" xr:uid="{00000000-0005-0000-0000-000056920000}"/>
    <cellStyle name="Normal 2 4 2 3 2 5" xfId="23457" xr:uid="{00000000-0005-0000-0000-000057920000}"/>
    <cellStyle name="Normal 2 4 2 3 2 6" xfId="30559" xr:uid="{00000000-0005-0000-0000-000058920000}"/>
    <cellStyle name="Normal 2 4 2 3 2 7" xfId="41001" xr:uid="{00000000-0005-0000-0000-000059920000}"/>
    <cellStyle name="Normal 2 4 2 3 3" xfId="4993" xr:uid="{00000000-0005-0000-0000-00005A920000}"/>
    <cellStyle name="Normal 2 4 2 3 3 2" xfId="12094" xr:uid="{00000000-0005-0000-0000-00005B920000}"/>
    <cellStyle name="Normal 2 4 2 3 3 2 2" xfId="41002" xr:uid="{00000000-0005-0000-0000-00005C920000}"/>
    <cellStyle name="Normal 2 4 2 3 3 3" xfId="19195" xr:uid="{00000000-0005-0000-0000-00005D920000}"/>
    <cellStyle name="Normal 2 4 2 3 3 4" xfId="26297" xr:uid="{00000000-0005-0000-0000-00005E920000}"/>
    <cellStyle name="Normal 2 4 2 3 3 5" xfId="33399" xr:uid="{00000000-0005-0000-0000-00005F920000}"/>
    <cellStyle name="Normal 2 4 2 3 3 6" xfId="41003" xr:uid="{00000000-0005-0000-0000-000060920000}"/>
    <cellStyle name="Normal 2 4 2 3 4" xfId="3568" xr:uid="{00000000-0005-0000-0000-000061920000}"/>
    <cellStyle name="Normal 2 4 2 3 4 2" xfId="10674" xr:uid="{00000000-0005-0000-0000-000062920000}"/>
    <cellStyle name="Normal 2 4 2 3 4 3" xfId="17775" xr:uid="{00000000-0005-0000-0000-000063920000}"/>
    <cellStyle name="Normal 2 4 2 3 4 4" xfId="24877" xr:uid="{00000000-0005-0000-0000-000064920000}"/>
    <cellStyle name="Normal 2 4 2 3 4 5" xfId="31979" xr:uid="{00000000-0005-0000-0000-000065920000}"/>
    <cellStyle name="Normal 2 4 2 3 4 6" xfId="41004" xr:uid="{00000000-0005-0000-0000-000066920000}"/>
    <cellStyle name="Normal 2 4 2 3 5" xfId="7834" xr:uid="{00000000-0005-0000-0000-000067920000}"/>
    <cellStyle name="Normal 2 4 2 3 6" xfId="14935" xr:uid="{00000000-0005-0000-0000-000068920000}"/>
    <cellStyle name="Normal 2 4 2 3 7" xfId="22037" xr:uid="{00000000-0005-0000-0000-000069920000}"/>
    <cellStyle name="Normal 2 4 2 3 8" xfId="29139" xr:uid="{00000000-0005-0000-0000-00006A920000}"/>
    <cellStyle name="Normal 2 4 2 3 9" xfId="41005" xr:uid="{00000000-0005-0000-0000-00006B920000}"/>
    <cellStyle name="Normal 2 4 2 4" xfId="868" xr:uid="{00000000-0005-0000-0000-00006C920000}"/>
    <cellStyle name="Normal 2 4 2 4 2" xfId="2359" xr:uid="{00000000-0005-0000-0000-00006D920000}"/>
    <cellStyle name="Normal 2 4 2 4 2 2" xfId="6627" xr:uid="{00000000-0005-0000-0000-00006E920000}"/>
    <cellStyle name="Normal 2 4 2 4 2 2 2" xfId="13727" xr:uid="{00000000-0005-0000-0000-00006F920000}"/>
    <cellStyle name="Normal 2 4 2 4 2 2 3" xfId="20828" xr:uid="{00000000-0005-0000-0000-000070920000}"/>
    <cellStyle name="Normal 2 4 2 4 2 2 4" xfId="27930" xr:uid="{00000000-0005-0000-0000-000071920000}"/>
    <cellStyle name="Normal 2 4 2 4 2 2 5" xfId="35032" xr:uid="{00000000-0005-0000-0000-000072920000}"/>
    <cellStyle name="Normal 2 4 2 4 2 2 6" xfId="41006" xr:uid="{00000000-0005-0000-0000-000073920000}"/>
    <cellStyle name="Normal 2 4 2 4 2 3" xfId="9467" xr:uid="{00000000-0005-0000-0000-000074920000}"/>
    <cellStyle name="Normal 2 4 2 4 2 4" xfId="16568" xr:uid="{00000000-0005-0000-0000-000075920000}"/>
    <cellStyle name="Normal 2 4 2 4 2 5" xfId="23670" xr:uid="{00000000-0005-0000-0000-000076920000}"/>
    <cellStyle name="Normal 2 4 2 4 2 6" xfId="30772" xr:uid="{00000000-0005-0000-0000-000077920000}"/>
    <cellStyle name="Normal 2 4 2 4 2 7" xfId="41007" xr:uid="{00000000-0005-0000-0000-000078920000}"/>
    <cellStyle name="Normal 2 4 2 4 3" xfId="5206" xr:uid="{00000000-0005-0000-0000-000079920000}"/>
    <cellStyle name="Normal 2 4 2 4 3 2" xfId="12307" xr:uid="{00000000-0005-0000-0000-00007A920000}"/>
    <cellStyle name="Normal 2 4 2 4 3 2 2" xfId="41008" xr:uid="{00000000-0005-0000-0000-00007B920000}"/>
    <cellStyle name="Normal 2 4 2 4 3 3" xfId="19408" xr:uid="{00000000-0005-0000-0000-00007C920000}"/>
    <cellStyle name="Normal 2 4 2 4 3 4" xfId="26510" xr:uid="{00000000-0005-0000-0000-00007D920000}"/>
    <cellStyle name="Normal 2 4 2 4 3 5" xfId="33612" xr:uid="{00000000-0005-0000-0000-00007E920000}"/>
    <cellStyle name="Normal 2 4 2 4 3 6" xfId="41009" xr:uid="{00000000-0005-0000-0000-00007F920000}"/>
    <cellStyle name="Normal 2 4 2 4 4" xfId="3781" xr:uid="{00000000-0005-0000-0000-000080920000}"/>
    <cellStyle name="Normal 2 4 2 4 4 2" xfId="10887" xr:uid="{00000000-0005-0000-0000-000081920000}"/>
    <cellStyle name="Normal 2 4 2 4 4 3" xfId="17988" xr:uid="{00000000-0005-0000-0000-000082920000}"/>
    <cellStyle name="Normal 2 4 2 4 4 4" xfId="25090" xr:uid="{00000000-0005-0000-0000-000083920000}"/>
    <cellStyle name="Normal 2 4 2 4 4 5" xfId="32192" xr:uid="{00000000-0005-0000-0000-000084920000}"/>
    <cellStyle name="Normal 2 4 2 4 4 6" xfId="41010" xr:uid="{00000000-0005-0000-0000-000085920000}"/>
    <cellStyle name="Normal 2 4 2 4 5" xfId="8047" xr:uid="{00000000-0005-0000-0000-000086920000}"/>
    <cellStyle name="Normal 2 4 2 4 6" xfId="15148" xr:uid="{00000000-0005-0000-0000-000087920000}"/>
    <cellStyle name="Normal 2 4 2 4 7" xfId="22250" xr:uid="{00000000-0005-0000-0000-000088920000}"/>
    <cellStyle name="Normal 2 4 2 4 8" xfId="29352" xr:uid="{00000000-0005-0000-0000-000089920000}"/>
    <cellStyle name="Normal 2 4 2 4 9" xfId="41011" xr:uid="{00000000-0005-0000-0000-00008A920000}"/>
    <cellStyle name="Normal 2 4 2 5" xfId="1010" xr:uid="{00000000-0005-0000-0000-00008B920000}"/>
    <cellStyle name="Normal 2 4 2 5 2" xfId="2501" xr:uid="{00000000-0005-0000-0000-00008C920000}"/>
    <cellStyle name="Normal 2 4 2 5 2 2" xfId="6769" xr:uid="{00000000-0005-0000-0000-00008D920000}"/>
    <cellStyle name="Normal 2 4 2 5 2 2 2" xfId="13869" xr:uid="{00000000-0005-0000-0000-00008E920000}"/>
    <cellStyle name="Normal 2 4 2 5 2 2 3" xfId="20970" xr:uid="{00000000-0005-0000-0000-00008F920000}"/>
    <cellStyle name="Normal 2 4 2 5 2 2 4" xfId="28072" xr:uid="{00000000-0005-0000-0000-000090920000}"/>
    <cellStyle name="Normal 2 4 2 5 2 2 5" xfId="35174" xr:uid="{00000000-0005-0000-0000-000091920000}"/>
    <cellStyle name="Normal 2 4 2 5 2 3" xfId="9609" xr:uid="{00000000-0005-0000-0000-000092920000}"/>
    <cellStyle name="Normal 2 4 2 5 2 4" xfId="16710" xr:uid="{00000000-0005-0000-0000-000093920000}"/>
    <cellStyle name="Normal 2 4 2 5 2 5" xfId="23812" xr:uid="{00000000-0005-0000-0000-000094920000}"/>
    <cellStyle name="Normal 2 4 2 5 2 6" xfId="30914" xr:uid="{00000000-0005-0000-0000-000095920000}"/>
    <cellStyle name="Normal 2 4 2 5 2 7" xfId="41012" xr:uid="{00000000-0005-0000-0000-000096920000}"/>
    <cellStyle name="Normal 2 4 2 5 3" xfId="5348" xr:uid="{00000000-0005-0000-0000-000097920000}"/>
    <cellStyle name="Normal 2 4 2 5 3 2" xfId="12449" xr:uid="{00000000-0005-0000-0000-000098920000}"/>
    <cellStyle name="Normal 2 4 2 5 3 3" xfId="19550" xr:uid="{00000000-0005-0000-0000-000099920000}"/>
    <cellStyle name="Normal 2 4 2 5 3 4" xfId="26652" xr:uid="{00000000-0005-0000-0000-00009A920000}"/>
    <cellStyle name="Normal 2 4 2 5 3 5" xfId="33754" xr:uid="{00000000-0005-0000-0000-00009B920000}"/>
    <cellStyle name="Normal 2 4 2 5 4" xfId="3923" xr:uid="{00000000-0005-0000-0000-00009C920000}"/>
    <cellStyle name="Normal 2 4 2 5 4 2" xfId="11029" xr:uid="{00000000-0005-0000-0000-00009D920000}"/>
    <cellStyle name="Normal 2 4 2 5 4 3" xfId="18130" xr:uid="{00000000-0005-0000-0000-00009E920000}"/>
    <cellStyle name="Normal 2 4 2 5 4 4" xfId="25232" xr:uid="{00000000-0005-0000-0000-00009F920000}"/>
    <cellStyle name="Normal 2 4 2 5 4 5" xfId="32334" xr:uid="{00000000-0005-0000-0000-0000A0920000}"/>
    <cellStyle name="Normal 2 4 2 5 5" xfId="8189" xr:uid="{00000000-0005-0000-0000-0000A1920000}"/>
    <cellStyle name="Normal 2 4 2 5 6" xfId="15290" xr:uid="{00000000-0005-0000-0000-0000A2920000}"/>
    <cellStyle name="Normal 2 4 2 5 7" xfId="22392" xr:uid="{00000000-0005-0000-0000-0000A3920000}"/>
    <cellStyle name="Normal 2 4 2 5 8" xfId="29494" xr:uid="{00000000-0005-0000-0000-0000A4920000}"/>
    <cellStyle name="Normal 2 4 2 5 9" xfId="41013" xr:uid="{00000000-0005-0000-0000-0000A5920000}"/>
    <cellStyle name="Normal 2 4 2 6" xfId="1436" xr:uid="{00000000-0005-0000-0000-0000A6920000}"/>
    <cellStyle name="Normal 2 4 2 6 2" xfId="2927" xr:uid="{00000000-0005-0000-0000-0000A7920000}"/>
    <cellStyle name="Normal 2 4 2 6 2 2" xfId="7195" xr:uid="{00000000-0005-0000-0000-0000A8920000}"/>
    <cellStyle name="Normal 2 4 2 6 2 2 2" xfId="14295" xr:uid="{00000000-0005-0000-0000-0000A9920000}"/>
    <cellStyle name="Normal 2 4 2 6 2 2 3" xfId="21396" xr:uid="{00000000-0005-0000-0000-0000AA920000}"/>
    <cellStyle name="Normal 2 4 2 6 2 2 4" xfId="28498" xr:uid="{00000000-0005-0000-0000-0000AB920000}"/>
    <cellStyle name="Normal 2 4 2 6 2 2 5" xfId="35600" xr:uid="{00000000-0005-0000-0000-0000AC920000}"/>
    <cellStyle name="Normal 2 4 2 6 2 3" xfId="10035" xr:uid="{00000000-0005-0000-0000-0000AD920000}"/>
    <cellStyle name="Normal 2 4 2 6 2 4" xfId="17136" xr:uid="{00000000-0005-0000-0000-0000AE920000}"/>
    <cellStyle name="Normal 2 4 2 6 2 5" xfId="24238" xr:uid="{00000000-0005-0000-0000-0000AF920000}"/>
    <cellStyle name="Normal 2 4 2 6 2 6" xfId="31340" xr:uid="{00000000-0005-0000-0000-0000B0920000}"/>
    <cellStyle name="Normal 2 4 2 6 2 7" xfId="41014" xr:uid="{00000000-0005-0000-0000-0000B1920000}"/>
    <cellStyle name="Normal 2 4 2 6 3" xfId="5774" xr:uid="{00000000-0005-0000-0000-0000B2920000}"/>
    <cellStyle name="Normal 2 4 2 6 3 2" xfId="12875" xr:uid="{00000000-0005-0000-0000-0000B3920000}"/>
    <cellStyle name="Normal 2 4 2 6 3 3" xfId="19976" xr:uid="{00000000-0005-0000-0000-0000B4920000}"/>
    <cellStyle name="Normal 2 4 2 6 3 4" xfId="27078" xr:uid="{00000000-0005-0000-0000-0000B5920000}"/>
    <cellStyle name="Normal 2 4 2 6 3 5" xfId="34180" xr:uid="{00000000-0005-0000-0000-0000B6920000}"/>
    <cellStyle name="Normal 2 4 2 6 4" xfId="4349" xr:uid="{00000000-0005-0000-0000-0000B7920000}"/>
    <cellStyle name="Normal 2 4 2 6 4 2" xfId="11455" xr:uid="{00000000-0005-0000-0000-0000B8920000}"/>
    <cellStyle name="Normal 2 4 2 6 4 3" xfId="18556" xr:uid="{00000000-0005-0000-0000-0000B9920000}"/>
    <cellStyle name="Normal 2 4 2 6 4 4" xfId="25658" xr:uid="{00000000-0005-0000-0000-0000BA920000}"/>
    <cellStyle name="Normal 2 4 2 6 4 5" xfId="32760" xr:uid="{00000000-0005-0000-0000-0000BB920000}"/>
    <cellStyle name="Normal 2 4 2 6 5" xfId="8615" xr:uid="{00000000-0005-0000-0000-0000BC920000}"/>
    <cellStyle name="Normal 2 4 2 6 6" xfId="15716" xr:uid="{00000000-0005-0000-0000-0000BD920000}"/>
    <cellStyle name="Normal 2 4 2 6 7" xfId="22818" xr:uid="{00000000-0005-0000-0000-0000BE920000}"/>
    <cellStyle name="Normal 2 4 2 6 8" xfId="29920" xr:uid="{00000000-0005-0000-0000-0000BF920000}"/>
    <cellStyle name="Normal 2 4 2 6 9" xfId="41015" xr:uid="{00000000-0005-0000-0000-0000C0920000}"/>
    <cellStyle name="Normal 2 4 2 7" xfId="1514" xr:uid="{00000000-0005-0000-0000-0000C1920000}"/>
    <cellStyle name="Normal 2 4 2 7 2" xfId="41016" xr:uid="{00000000-0005-0000-0000-0000C2920000}"/>
    <cellStyle name="Normal 2 4 2 8" xfId="1720" xr:uid="{00000000-0005-0000-0000-0000C3920000}"/>
    <cellStyle name="Normal 2 4 2 8 2" xfId="5988" xr:uid="{00000000-0005-0000-0000-0000C4920000}"/>
    <cellStyle name="Normal 2 4 2 8 2 2" xfId="13088" xr:uid="{00000000-0005-0000-0000-0000C5920000}"/>
    <cellStyle name="Normal 2 4 2 8 2 3" xfId="20189" xr:uid="{00000000-0005-0000-0000-0000C6920000}"/>
    <cellStyle name="Normal 2 4 2 8 2 4" xfId="27291" xr:uid="{00000000-0005-0000-0000-0000C7920000}"/>
    <cellStyle name="Normal 2 4 2 8 2 5" xfId="34393" xr:uid="{00000000-0005-0000-0000-0000C8920000}"/>
    <cellStyle name="Normal 2 4 2 8 3" xfId="3142" xr:uid="{00000000-0005-0000-0000-0000C9920000}"/>
    <cellStyle name="Normal 2 4 2 8 3 2" xfId="10248" xr:uid="{00000000-0005-0000-0000-0000CA920000}"/>
    <cellStyle name="Normal 2 4 2 8 3 3" xfId="17349" xr:uid="{00000000-0005-0000-0000-0000CB920000}"/>
    <cellStyle name="Normal 2 4 2 8 3 4" xfId="24451" xr:uid="{00000000-0005-0000-0000-0000CC920000}"/>
    <cellStyle name="Normal 2 4 2 8 3 5" xfId="31553" xr:uid="{00000000-0005-0000-0000-0000CD920000}"/>
    <cellStyle name="Normal 2 4 2 8 4" xfId="8828" xr:uid="{00000000-0005-0000-0000-0000CE920000}"/>
    <cellStyle name="Normal 2 4 2 8 5" xfId="15929" xr:uid="{00000000-0005-0000-0000-0000CF920000}"/>
    <cellStyle name="Normal 2 4 2 8 6" xfId="23031" xr:uid="{00000000-0005-0000-0000-0000D0920000}"/>
    <cellStyle name="Normal 2 4 2 8 7" xfId="30133" xr:uid="{00000000-0005-0000-0000-0000D1920000}"/>
    <cellStyle name="Normal 2 4 2 9" xfId="4567" xr:uid="{00000000-0005-0000-0000-0000D2920000}"/>
    <cellStyle name="Normal 2 4 2 9 2" xfId="11668" xr:uid="{00000000-0005-0000-0000-0000D3920000}"/>
    <cellStyle name="Normal 2 4 2 9 3" xfId="18769" xr:uid="{00000000-0005-0000-0000-0000D4920000}"/>
    <cellStyle name="Normal 2 4 2 9 4" xfId="25871" xr:uid="{00000000-0005-0000-0000-0000D5920000}"/>
    <cellStyle name="Normal 2 4 2 9 5" xfId="32973" xr:uid="{00000000-0005-0000-0000-0000D6920000}"/>
    <cellStyle name="Normal 2 4 2_Sheet2" xfId="1533" xr:uid="{00000000-0005-0000-0000-0000D7920000}"/>
    <cellStyle name="Normal 2 4 3" xfId="158" xr:uid="{00000000-0005-0000-0000-0000D8920000}"/>
    <cellStyle name="Normal 2 4 3 10" xfId="7337" xr:uid="{00000000-0005-0000-0000-0000D9920000}"/>
    <cellStyle name="Normal 2 4 3 11" xfId="14438" xr:uid="{00000000-0005-0000-0000-0000DA920000}"/>
    <cellStyle name="Normal 2 4 3 12" xfId="21540" xr:uid="{00000000-0005-0000-0000-0000DB920000}"/>
    <cellStyle name="Normal 2 4 3 13" xfId="28642" xr:uid="{00000000-0005-0000-0000-0000DC920000}"/>
    <cellStyle name="Normal 2 4 3 14" xfId="35744" xr:uid="{00000000-0005-0000-0000-0000DD920000}"/>
    <cellStyle name="Normal 2 4 3 2" xfId="371" xr:uid="{00000000-0005-0000-0000-0000DE920000}"/>
    <cellStyle name="Normal 2 4 3 2 2" xfId="1862" xr:uid="{00000000-0005-0000-0000-0000DF920000}"/>
    <cellStyle name="Normal 2 4 3 2 2 2" xfId="6130" xr:uid="{00000000-0005-0000-0000-0000E0920000}"/>
    <cellStyle name="Normal 2 4 3 2 2 2 2" xfId="13230" xr:uid="{00000000-0005-0000-0000-0000E1920000}"/>
    <cellStyle name="Normal 2 4 3 2 2 2 3" xfId="20331" xr:uid="{00000000-0005-0000-0000-0000E2920000}"/>
    <cellStyle name="Normal 2 4 3 2 2 2 4" xfId="27433" xr:uid="{00000000-0005-0000-0000-0000E3920000}"/>
    <cellStyle name="Normal 2 4 3 2 2 2 5" xfId="34535" xr:uid="{00000000-0005-0000-0000-0000E4920000}"/>
    <cellStyle name="Normal 2 4 3 2 2 3" xfId="8970" xr:uid="{00000000-0005-0000-0000-0000E5920000}"/>
    <cellStyle name="Normal 2 4 3 2 2 4" xfId="16071" xr:uid="{00000000-0005-0000-0000-0000E6920000}"/>
    <cellStyle name="Normal 2 4 3 2 2 5" xfId="23173" xr:uid="{00000000-0005-0000-0000-0000E7920000}"/>
    <cellStyle name="Normal 2 4 3 2 2 6" xfId="30275" xr:uid="{00000000-0005-0000-0000-0000E8920000}"/>
    <cellStyle name="Normal 2 4 3 2 3" xfId="4709" xr:uid="{00000000-0005-0000-0000-0000E9920000}"/>
    <cellStyle name="Normal 2 4 3 2 3 2" xfId="11810" xr:uid="{00000000-0005-0000-0000-0000EA920000}"/>
    <cellStyle name="Normal 2 4 3 2 3 3" xfId="18911" xr:uid="{00000000-0005-0000-0000-0000EB920000}"/>
    <cellStyle name="Normal 2 4 3 2 3 4" xfId="26013" xr:uid="{00000000-0005-0000-0000-0000EC920000}"/>
    <cellStyle name="Normal 2 4 3 2 3 5" xfId="33115" xr:uid="{00000000-0005-0000-0000-0000ED920000}"/>
    <cellStyle name="Normal 2 4 3 2 4" xfId="3284" xr:uid="{00000000-0005-0000-0000-0000EE920000}"/>
    <cellStyle name="Normal 2 4 3 2 4 2" xfId="10390" xr:uid="{00000000-0005-0000-0000-0000EF920000}"/>
    <cellStyle name="Normal 2 4 3 2 4 3" xfId="17491" xr:uid="{00000000-0005-0000-0000-0000F0920000}"/>
    <cellStyle name="Normal 2 4 3 2 4 4" xfId="24593" xr:uid="{00000000-0005-0000-0000-0000F1920000}"/>
    <cellStyle name="Normal 2 4 3 2 4 5" xfId="31695" xr:uid="{00000000-0005-0000-0000-0000F2920000}"/>
    <cellStyle name="Normal 2 4 3 2 5" xfId="7550" xr:uid="{00000000-0005-0000-0000-0000F3920000}"/>
    <cellStyle name="Normal 2 4 3 2 6" xfId="14651" xr:uid="{00000000-0005-0000-0000-0000F4920000}"/>
    <cellStyle name="Normal 2 4 3 2 7" xfId="21753" xr:uid="{00000000-0005-0000-0000-0000F5920000}"/>
    <cellStyle name="Normal 2 4 3 2 8" xfId="28855" xr:uid="{00000000-0005-0000-0000-0000F6920000}"/>
    <cellStyle name="Normal 2 4 3 3" xfId="584" xr:uid="{00000000-0005-0000-0000-0000F7920000}"/>
    <cellStyle name="Normal 2 4 3 3 2" xfId="2075" xr:uid="{00000000-0005-0000-0000-0000F8920000}"/>
    <cellStyle name="Normal 2 4 3 3 2 2" xfId="6343" xr:uid="{00000000-0005-0000-0000-0000F9920000}"/>
    <cellStyle name="Normal 2 4 3 3 2 2 2" xfId="13443" xr:uid="{00000000-0005-0000-0000-0000FA920000}"/>
    <cellStyle name="Normal 2 4 3 3 2 2 3" xfId="20544" xr:uid="{00000000-0005-0000-0000-0000FB920000}"/>
    <cellStyle name="Normal 2 4 3 3 2 2 4" xfId="27646" xr:uid="{00000000-0005-0000-0000-0000FC920000}"/>
    <cellStyle name="Normal 2 4 3 3 2 2 5" xfId="34748" xr:uid="{00000000-0005-0000-0000-0000FD920000}"/>
    <cellStyle name="Normal 2 4 3 3 2 3" xfId="9183" xr:uid="{00000000-0005-0000-0000-0000FE920000}"/>
    <cellStyle name="Normal 2 4 3 3 2 4" xfId="16284" xr:uid="{00000000-0005-0000-0000-0000FF920000}"/>
    <cellStyle name="Normal 2 4 3 3 2 5" xfId="23386" xr:uid="{00000000-0005-0000-0000-000000930000}"/>
    <cellStyle name="Normal 2 4 3 3 2 6" xfId="30488" xr:uid="{00000000-0005-0000-0000-000001930000}"/>
    <cellStyle name="Normal 2 4 3 3 3" xfId="4922" xr:uid="{00000000-0005-0000-0000-000002930000}"/>
    <cellStyle name="Normal 2 4 3 3 3 2" xfId="12023" xr:uid="{00000000-0005-0000-0000-000003930000}"/>
    <cellStyle name="Normal 2 4 3 3 3 3" xfId="19124" xr:uid="{00000000-0005-0000-0000-000004930000}"/>
    <cellStyle name="Normal 2 4 3 3 3 4" xfId="26226" xr:uid="{00000000-0005-0000-0000-000005930000}"/>
    <cellStyle name="Normal 2 4 3 3 3 5" xfId="33328" xr:uid="{00000000-0005-0000-0000-000006930000}"/>
    <cellStyle name="Normal 2 4 3 3 4" xfId="3497" xr:uid="{00000000-0005-0000-0000-000007930000}"/>
    <cellStyle name="Normal 2 4 3 3 4 2" xfId="10603" xr:uid="{00000000-0005-0000-0000-000008930000}"/>
    <cellStyle name="Normal 2 4 3 3 4 3" xfId="17704" xr:uid="{00000000-0005-0000-0000-000009930000}"/>
    <cellStyle name="Normal 2 4 3 3 4 4" xfId="24806" xr:uid="{00000000-0005-0000-0000-00000A930000}"/>
    <cellStyle name="Normal 2 4 3 3 4 5" xfId="31908" xr:uid="{00000000-0005-0000-0000-00000B930000}"/>
    <cellStyle name="Normal 2 4 3 3 5" xfId="7763" xr:uid="{00000000-0005-0000-0000-00000C930000}"/>
    <cellStyle name="Normal 2 4 3 3 6" xfId="14864" xr:uid="{00000000-0005-0000-0000-00000D930000}"/>
    <cellStyle name="Normal 2 4 3 3 7" xfId="21966" xr:uid="{00000000-0005-0000-0000-00000E930000}"/>
    <cellStyle name="Normal 2 4 3 3 8" xfId="29068" xr:uid="{00000000-0005-0000-0000-00000F930000}"/>
    <cellStyle name="Normal 2 4 3 4" xfId="797" xr:uid="{00000000-0005-0000-0000-000010930000}"/>
    <cellStyle name="Normal 2 4 3 4 2" xfId="2288" xr:uid="{00000000-0005-0000-0000-000011930000}"/>
    <cellStyle name="Normal 2 4 3 4 2 2" xfId="6556" xr:uid="{00000000-0005-0000-0000-000012930000}"/>
    <cellStyle name="Normal 2 4 3 4 2 2 2" xfId="13656" xr:uid="{00000000-0005-0000-0000-000013930000}"/>
    <cellStyle name="Normal 2 4 3 4 2 2 3" xfId="20757" xr:uid="{00000000-0005-0000-0000-000014930000}"/>
    <cellStyle name="Normal 2 4 3 4 2 2 4" xfId="27859" xr:uid="{00000000-0005-0000-0000-000015930000}"/>
    <cellStyle name="Normal 2 4 3 4 2 2 5" xfId="34961" xr:uid="{00000000-0005-0000-0000-000016930000}"/>
    <cellStyle name="Normal 2 4 3 4 2 3" xfId="9396" xr:uid="{00000000-0005-0000-0000-000017930000}"/>
    <cellStyle name="Normal 2 4 3 4 2 4" xfId="16497" xr:uid="{00000000-0005-0000-0000-000018930000}"/>
    <cellStyle name="Normal 2 4 3 4 2 5" xfId="23599" xr:uid="{00000000-0005-0000-0000-000019930000}"/>
    <cellStyle name="Normal 2 4 3 4 2 6" xfId="30701" xr:uid="{00000000-0005-0000-0000-00001A930000}"/>
    <cellStyle name="Normal 2 4 3 4 3" xfId="5135" xr:uid="{00000000-0005-0000-0000-00001B930000}"/>
    <cellStyle name="Normal 2 4 3 4 3 2" xfId="12236" xr:uid="{00000000-0005-0000-0000-00001C930000}"/>
    <cellStyle name="Normal 2 4 3 4 3 3" xfId="19337" xr:uid="{00000000-0005-0000-0000-00001D930000}"/>
    <cellStyle name="Normal 2 4 3 4 3 4" xfId="26439" xr:uid="{00000000-0005-0000-0000-00001E930000}"/>
    <cellStyle name="Normal 2 4 3 4 3 5" xfId="33541" xr:uid="{00000000-0005-0000-0000-00001F930000}"/>
    <cellStyle name="Normal 2 4 3 4 4" xfId="3710" xr:uid="{00000000-0005-0000-0000-000020930000}"/>
    <cellStyle name="Normal 2 4 3 4 4 2" xfId="10816" xr:uid="{00000000-0005-0000-0000-000021930000}"/>
    <cellStyle name="Normal 2 4 3 4 4 3" xfId="17917" xr:uid="{00000000-0005-0000-0000-000022930000}"/>
    <cellStyle name="Normal 2 4 3 4 4 4" xfId="25019" xr:uid="{00000000-0005-0000-0000-000023930000}"/>
    <cellStyle name="Normal 2 4 3 4 4 5" xfId="32121" xr:uid="{00000000-0005-0000-0000-000024930000}"/>
    <cellStyle name="Normal 2 4 3 4 5" xfId="7976" xr:uid="{00000000-0005-0000-0000-000025930000}"/>
    <cellStyle name="Normal 2 4 3 4 6" xfId="15077" xr:uid="{00000000-0005-0000-0000-000026930000}"/>
    <cellStyle name="Normal 2 4 3 4 7" xfId="22179" xr:uid="{00000000-0005-0000-0000-000027930000}"/>
    <cellStyle name="Normal 2 4 3 4 8" xfId="29281" xr:uid="{00000000-0005-0000-0000-000028930000}"/>
    <cellStyle name="Normal 2 4 3 5" xfId="1152" xr:uid="{00000000-0005-0000-0000-000029930000}"/>
    <cellStyle name="Normal 2 4 3 5 2" xfId="2643" xr:uid="{00000000-0005-0000-0000-00002A930000}"/>
    <cellStyle name="Normal 2 4 3 5 2 2" xfId="6911" xr:uid="{00000000-0005-0000-0000-00002B930000}"/>
    <cellStyle name="Normal 2 4 3 5 2 2 2" xfId="14011" xr:uid="{00000000-0005-0000-0000-00002C930000}"/>
    <cellStyle name="Normal 2 4 3 5 2 2 3" xfId="21112" xr:uid="{00000000-0005-0000-0000-00002D930000}"/>
    <cellStyle name="Normal 2 4 3 5 2 2 4" xfId="28214" xr:uid="{00000000-0005-0000-0000-00002E930000}"/>
    <cellStyle name="Normal 2 4 3 5 2 2 5" xfId="35316" xr:uid="{00000000-0005-0000-0000-00002F930000}"/>
    <cellStyle name="Normal 2 4 3 5 2 3" xfId="9751" xr:uid="{00000000-0005-0000-0000-000030930000}"/>
    <cellStyle name="Normal 2 4 3 5 2 4" xfId="16852" xr:uid="{00000000-0005-0000-0000-000031930000}"/>
    <cellStyle name="Normal 2 4 3 5 2 5" xfId="23954" xr:uid="{00000000-0005-0000-0000-000032930000}"/>
    <cellStyle name="Normal 2 4 3 5 2 6" xfId="31056" xr:uid="{00000000-0005-0000-0000-000033930000}"/>
    <cellStyle name="Normal 2 4 3 5 3" xfId="5490" xr:uid="{00000000-0005-0000-0000-000034930000}"/>
    <cellStyle name="Normal 2 4 3 5 3 2" xfId="12591" xr:uid="{00000000-0005-0000-0000-000035930000}"/>
    <cellStyle name="Normal 2 4 3 5 3 3" xfId="19692" xr:uid="{00000000-0005-0000-0000-000036930000}"/>
    <cellStyle name="Normal 2 4 3 5 3 4" xfId="26794" xr:uid="{00000000-0005-0000-0000-000037930000}"/>
    <cellStyle name="Normal 2 4 3 5 3 5" xfId="33896" xr:uid="{00000000-0005-0000-0000-000038930000}"/>
    <cellStyle name="Normal 2 4 3 5 4" xfId="4065" xr:uid="{00000000-0005-0000-0000-000039930000}"/>
    <cellStyle name="Normal 2 4 3 5 4 2" xfId="11171" xr:uid="{00000000-0005-0000-0000-00003A930000}"/>
    <cellStyle name="Normal 2 4 3 5 4 3" xfId="18272" xr:uid="{00000000-0005-0000-0000-00003B930000}"/>
    <cellStyle name="Normal 2 4 3 5 4 4" xfId="25374" xr:uid="{00000000-0005-0000-0000-00003C930000}"/>
    <cellStyle name="Normal 2 4 3 5 4 5" xfId="32476" xr:uid="{00000000-0005-0000-0000-00003D930000}"/>
    <cellStyle name="Normal 2 4 3 5 5" xfId="8331" xr:uid="{00000000-0005-0000-0000-00003E930000}"/>
    <cellStyle name="Normal 2 4 3 5 6" xfId="15432" xr:uid="{00000000-0005-0000-0000-00003F930000}"/>
    <cellStyle name="Normal 2 4 3 5 7" xfId="22534" xr:uid="{00000000-0005-0000-0000-000040930000}"/>
    <cellStyle name="Normal 2 4 3 5 8" xfId="29636" xr:uid="{00000000-0005-0000-0000-000041930000}"/>
    <cellStyle name="Normal 2 4 3 6" xfId="1365" xr:uid="{00000000-0005-0000-0000-000042930000}"/>
    <cellStyle name="Normal 2 4 3 6 2" xfId="2856" xr:uid="{00000000-0005-0000-0000-000043930000}"/>
    <cellStyle name="Normal 2 4 3 6 2 2" xfId="7124" xr:uid="{00000000-0005-0000-0000-000044930000}"/>
    <cellStyle name="Normal 2 4 3 6 2 2 2" xfId="14224" xr:uid="{00000000-0005-0000-0000-000045930000}"/>
    <cellStyle name="Normal 2 4 3 6 2 2 3" xfId="21325" xr:uid="{00000000-0005-0000-0000-000046930000}"/>
    <cellStyle name="Normal 2 4 3 6 2 2 4" xfId="28427" xr:uid="{00000000-0005-0000-0000-000047930000}"/>
    <cellStyle name="Normal 2 4 3 6 2 2 5" xfId="35529" xr:uid="{00000000-0005-0000-0000-000048930000}"/>
    <cellStyle name="Normal 2 4 3 6 2 3" xfId="9964" xr:uid="{00000000-0005-0000-0000-000049930000}"/>
    <cellStyle name="Normal 2 4 3 6 2 4" xfId="17065" xr:uid="{00000000-0005-0000-0000-00004A930000}"/>
    <cellStyle name="Normal 2 4 3 6 2 5" xfId="24167" xr:uid="{00000000-0005-0000-0000-00004B930000}"/>
    <cellStyle name="Normal 2 4 3 6 2 6" xfId="31269" xr:uid="{00000000-0005-0000-0000-00004C930000}"/>
    <cellStyle name="Normal 2 4 3 6 3" xfId="5703" xr:uid="{00000000-0005-0000-0000-00004D930000}"/>
    <cellStyle name="Normal 2 4 3 6 3 2" xfId="12804" xr:uid="{00000000-0005-0000-0000-00004E930000}"/>
    <cellStyle name="Normal 2 4 3 6 3 3" xfId="19905" xr:uid="{00000000-0005-0000-0000-00004F930000}"/>
    <cellStyle name="Normal 2 4 3 6 3 4" xfId="27007" xr:uid="{00000000-0005-0000-0000-000050930000}"/>
    <cellStyle name="Normal 2 4 3 6 3 5" xfId="34109" xr:uid="{00000000-0005-0000-0000-000051930000}"/>
    <cellStyle name="Normal 2 4 3 6 4" xfId="4278" xr:uid="{00000000-0005-0000-0000-000052930000}"/>
    <cellStyle name="Normal 2 4 3 6 4 2" xfId="11384" xr:uid="{00000000-0005-0000-0000-000053930000}"/>
    <cellStyle name="Normal 2 4 3 6 4 3" xfId="18485" xr:uid="{00000000-0005-0000-0000-000054930000}"/>
    <cellStyle name="Normal 2 4 3 6 4 4" xfId="25587" xr:uid="{00000000-0005-0000-0000-000055930000}"/>
    <cellStyle name="Normal 2 4 3 6 4 5" xfId="32689" xr:uid="{00000000-0005-0000-0000-000056930000}"/>
    <cellStyle name="Normal 2 4 3 6 5" xfId="8544" xr:uid="{00000000-0005-0000-0000-000057930000}"/>
    <cellStyle name="Normal 2 4 3 6 6" xfId="15645" xr:uid="{00000000-0005-0000-0000-000058930000}"/>
    <cellStyle name="Normal 2 4 3 6 7" xfId="22747" xr:uid="{00000000-0005-0000-0000-000059930000}"/>
    <cellStyle name="Normal 2 4 3 6 8" xfId="29849" xr:uid="{00000000-0005-0000-0000-00005A930000}"/>
    <cellStyle name="Normal 2 4 3 7" xfId="1649" xr:uid="{00000000-0005-0000-0000-00005B930000}"/>
    <cellStyle name="Normal 2 4 3 7 2" xfId="5917" xr:uid="{00000000-0005-0000-0000-00005C930000}"/>
    <cellStyle name="Normal 2 4 3 7 2 2" xfId="13017" xr:uid="{00000000-0005-0000-0000-00005D930000}"/>
    <cellStyle name="Normal 2 4 3 7 2 3" xfId="20118" xr:uid="{00000000-0005-0000-0000-00005E930000}"/>
    <cellStyle name="Normal 2 4 3 7 2 4" xfId="27220" xr:uid="{00000000-0005-0000-0000-00005F930000}"/>
    <cellStyle name="Normal 2 4 3 7 2 5" xfId="34322" xr:uid="{00000000-0005-0000-0000-000060930000}"/>
    <cellStyle name="Normal 2 4 3 7 3" xfId="8757" xr:uid="{00000000-0005-0000-0000-000061930000}"/>
    <cellStyle name="Normal 2 4 3 7 4" xfId="15858" xr:uid="{00000000-0005-0000-0000-000062930000}"/>
    <cellStyle name="Normal 2 4 3 7 5" xfId="22960" xr:uid="{00000000-0005-0000-0000-000063930000}"/>
    <cellStyle name="Normal 2 4 3 7 6" xfId="30062" xr:uid="{00000000-0005-0000-0000-000064930000}"/>
    <cellStyle name="Normal 2 4 3 8" xfId="4496" xr:uid="{00000000-0005-0000-0000-000065930000}"/>
    <cellStyle name="Normal 2 4 3 8 2" xfId="11597" xr:uid="{00000000-0005-0000-0000-000066930000}"/>
    <cellStyle name="Normal 2 4 3 8 3" xfId="18698" xr:uid="{00000000-0005-0000-0000-000067930000}"/>
    <cellStyle name="Normal 2 4 3 8 4" xfId="25800" xr:uid="{00000000-0005-0000-0000-000068930000}"/>
    <cellStyle name="Normal 2 4 3 8 5" xfId="32902" xr:uid="{00000000-0005-0000-0000-000069930000}"/>
    <cellStyle name="Normal 2 4 3 9" xfId="3071" xr:uid="{00000000-0005-0000-0000-00006A930000}"/>
    <cellStyle name="Normal 2 4 3 9 2" xfId="10177" xr:uid="{00000000-0005-0000-0000-00006B930000}"/>
    <cellStyle name="Normal 2 4 3 9 3" xfId="17278" xr:uid="{00000000-0005-0000-0000-00006C930000}"/>
    <cellStyle name="Normal 2 4 3 9 4" xfId="24380" xr:uid="{00000000-0005-0000-0000-00006D930000}"/>
    <cellStyle name="Normal 2 4 3 9 5" xfId="31482" xr:uid="{00000000-0005-0000-0000-00006E930000}"/>
    <cellStyle name="Normal 2 4 4" xfId="300" xr:uid="{00000000-0005-0000-0000-00006F930000}"/>
    <cellStyle name="Normal 2 4 4 2" xfId="1081" xr:uid="{00000000-0005-0000-0000-000070930000}"/>
    <cellStyle name="Normal 2 4 4 2 2" xfId="2572" xr:uid="{00000000-0005-0000-0000-000071930000}"/>
    <cellStyle name="Normal 2 4 4 2 2 2" xfId="6840" xr:uid="{00000000-0005-0000-0000-000072930000}"/>
    <cellStyle name="Normal 2 4 4 2 2 2 2" xfId="13940" xr:uid="{00000000-0005-0000-0000-000073930000}"/>
    <cellStyle name="Normal 2 4 4 2 2 2 3" xfId="21041" xr:uid="{00000000-0005-0000-0000-000074930000}"/>
    <cellStyle name="Normal 2 4 4 2 2 2 4" xfId="28143" xr:uid="{00000000-0005-0000-0000-000075930000}"/>
    <cellStyle name="Normal 2 4 4 2 2 2 5" xfId="35245" xr:uid="{00000000-0005-0000-0000-000076930000}"/>
    <cellStyle name="Normal 2 4 4 2 2 3" xfId="9680" xr:uid="{00000000-0005-0000-0000-000077930000}"/>
    <cellStyle name="Normal 2 4 4 2 2 4" xfId="16781" xr:uid="{00000000-0005-0000-0000-000078930000}"/>
    <cellStyle name="Normal 2 4 4 2 2 5" xfId="23883" xr:uid="{00000000-0005-0000-0000-000079930000}"/>
    <cellStyle name="Normal 2 4 4 2 2 6" xfId="30985" xr:uid="{00000000-0005-0000-0000-00007A930000}"/>
    <cellStyle name="Normal 2 4 4 2 3" xfId="5419" xr:uid="{00000000-0005-0000-0000-00007B930000}"/>
    <cellStyle name="Normal 2 4 4 2 3 2" xfId="12520" xr:uid="{00000000-0005-0000-0000-00007C930000}"/>
    <cellStyle name="Normal 2 4 4 2 3 3" xfId="19621" xr:uid="{00000000-0005-0000-0000-00007D930000}"/>
    <cellStyle name="Normal 2 4 4 2 3 4" xfId="26723" xr:uid="{00000000-0005-0000-0000-00007E930000}"/>
    <cellStyle name="Normal 2 4 4 2 3 5" xfId="33825" xr:uid="{00000000-0005-0000-0000-00007F930000}"/>
    <cellStyle name="Normal 2 4 4 2 4" xfId="3994" xr:uid="{00000000-0005-0000-0000-000080930000}"/>
    <cellStyle name="Normal 2 4 4 2 4 2" xfId="11100" xr:uid="{00000000-0005-0000-0000-000081930000}"/>
    <cellStyle name="Normal 2 4 4 2 4 3" xfId="18201" xr:uid="{00000000-0005-0000-0000-000082930000}"/>
    <cellStyle name="Normal 2 4 4 2 4 4" xfId="25303" xr:uid="{00000000-0005-0000-0000-000083930000}"/>
    <cellStyle name="Normal 2 4 4 2 4 5" xfId="32405" xr:uid="{00000000-0005-0000-0000-000084930000}"/>
    <cellStyle name="Normal 2 4 4 2 5" xfId="8260" xr:uid="{00000000-0005-0000-0000-000085930000}"/>
    <cellStyle name="Normal 2 4 4 2 6" xfId="15361" xr:uid="{00000000-0005-0000-0000-000086930000}"/>
    <cellStyle name="Normal 2 4 4 2 7" xfId="22463" xr:uid="{00000000-0005-0000-0000-000087930000}"/>
    <cellStyle name="Normal 2 4 4 2 8" xfId="29565" xr:uid="{00000000-0005-0000-0000-000088930000}"/>
    <cellStyle name="Normal 2 4 4 3" xfId="1791" xr:uid="{00000000-0005-0000-0000-000089930000}"/>
    <cellStyle name="Normal 2 4 4 3 2" xfId="6059" xr:uid="{00000000-0005-0000-0000-00008A930000}"/>
    <cellStyle name="Normal 2 4 4 3 2 2" xfId="13159" xr:uid="{00000000-0005-0000-0000-00008B930000}"/>
    <cellStyle name="Normal 2 4 4 3 2 3" xfId="20260" xr:uid="{00000000-0005-0000-0000-00008C930000}"/>
    <cellStyle name="Normal 2 4 4 3 2 4" xfId="27362" xr:uid="{00000000-0005-0000-0000-00008D930000}"/>
    <cellStyle name="Normal 2 4 4 3 2 5" xfId="34464" xr:uid="{00000000-0005-0000-0000-00008E930000}"/>
    <cellStyle name="Normal 2 4 4 3 3" xfId="8899" xr:uid="{00000000-0005-0000-0000-00008F930000}"/>
    <cellStyle name="Normal 2 4 4 3 4" xfId="16000" xr:uid="{00000000-0005-0000-0000-000090930000}"/>
    <cellStyle name="Normal 2 4 4 3 5" xfId="23102" xr:uid="{00000000-0005-0000-0000-000091930000}"/>
    <cellStyle name="Normal 2 4 4 3 6" xfId="30204" xr:uid="{00000000-0005-0000-0000-000092930000}"/>
    <cellStyle name="Normal 2 4 4 4" xfId="4638" xr:uid="{00000000-0005-0000-0000-000093930000}"/>
    <cellStyle name="Normal 2 4 4 4 2" xfId="11739" xr:uid="{00000000-0005-0000-0000-000094930000}"/>
    <cellStyle name="Normal 2 4 4 4 3" xfId="18840" xr:uid="{00000000-0005-0000-0000-000095930000}"/>
    <cellStyle name="Normal 2 4 4 4 4" xfId="25942" xr:uid="{00000000-0005-0000-0000-000096930000}"/>
    <cellStyle name="Normal 2 4 4 4 5" xfId="33044" xr:uid="{00000000-0005-0000-0000-000097930000}"/>
    <cellStyle name="Normal 2 4 4 5" xfId="3213" xr:uid="{00000000-0005-0000-0000-000098930000}"/>
    <cellStyle name="Normal 2 4 4 5 2" xfId="10319" xr:uid="{00000000-0005-0000-0000-000099930000}"/>
    <cellStyle name="Normal 2 4 4 5 3" xfId="17420" xr:uid="{00000000-0005-0000-0000-00009A930000}"/>
    <cellStyle name="Normal 2 4 4 5 4" xfId="24522" xr:uid="{00000000-0005-0000-0000-00009B930000}"/>
    <cellStyle name="Normal 2 4 4 5 5" xfId="31624" xr:uid="{00000000-0005-0000-0000-00009C930000}"/>
    <cellStyle name="Normal 2 4 4 6" xfId="7479" xr:uid="{00000000-0005-0000-0000-00009D930000}"/>
    <cellStyle name="Normal 2 4 4 7" xfId="14580" xr:uid="{00000000-0005-0000-0000-00009E930000}"/>
    <cellStyle name="Normal 2 4 4 8" xfId="21682" xr:uid="{00000000-0005-0000-0000-00009F930000}"/>
    <cellStyle name="Normal 2 4 4 9" xfId="28784" xr:uid="{00000000-0005-0000-0000-0000A0930000}"/>
    <cellStyle name="Normal 2 4 5" xfId="513" xr:uid="{00000000-0005-0000-0000-0000A1930000}"/>
    <cellStyle name="Normal 2 4 5 2" xfId="2004" xr:uid="{00000000-0005-0000-0000-0000A2930000}"/>
    <cellStyle name="Normal 2 4 5 2 2" xfId="6272" xr:uid="{00000000-0005-0000-0000-0000A3930000}"/>
    <cellStyle name="Normal 2 4 5 2 2 2" xfId="13372" xr:uid="{00000000-0005-0000-0000-0000A4930000}"/>
    <cellStyle name="Normal 2 4 5 2 2 3" xfId="20473" xr:uid="{00000000-0005-0000-0000-0000A5930000}"/>
    <cellStyle name="Normal 2 4 5 2 2 4" xfId="27575" xr:uid="{00000000-0005-0000-0000-0000A6930000}"/>
    <cellStyle name="Normal 2 4 5 2 2 5" xfId="34677" xr:uid="{00000000-0005-0000-0000-0000A7930000}"/>
    <cellStyle name="Normal 2 4 5 2 3" xfId="9112" xr:uid="{00000000-0005-0000-0000-0000A8930000}"/>
    <cellStyle name="Normal 2 4 5 2 4" xfId="16213" xr:uid="{00000000-0005-0000-0000-0000A9930000}"/>
    <cellStyle name="Normal 2 4 5 2 5" xfId="23315" xr:uid="{00000000-0005-0000-0000-0000AA930000}"/>
    <cellStyle name="Normal 2 4 5 2 6" xfId="30417" xr:uid="{00000000-0005-0000-0000-0000AB930000}"/>
    <cellStyle name="Normal 2 4 5 3" xfId="4851" xr:uid="{00000000-0005-0000-0000-0000AC930000}"/>
    <cellStyle name="Normal 2 4 5 3 2" xfId="11952" xr:uid="{00000000-0005-0000-0000-0000AD930000}"/>
    <cellStyle name="Normal 2 4 5 3 3" xfId="19053" xr:uid="{00000000-0005-0000-0000-0000AE930000}"/>
    <cellStyle name="Normal 2 4 5 3 4" xfId="26155" xr:uid="{00000000-0005-0000-0000-0000AF930000}"/>
    <cellStyle name="Normal 2 4 5 3 5" xfId="33257" xr:uid="{00000000-0005-0000-0000-0000B0930000}"/>
    <cellStyle name="Normal 2 4 5 4" xfId="3426" xr:uid="{00000000-0005-0000-0000-0000B1930000}"/>
    <cellStyle name="Normal 2 4 5 4 2" xfId="10532" xr:uid="{00000000-0005-0000-0000-0000B2930000}"/>
    <cellStyle name="Normal 2 4 5 4 3" xfId="17633" xr:uid="{00000000-0005-0000-0000-0000B3930000}"/>
    <cellStyle name="Normal 2 4 5 4 4" xfId="24735" xr:uid="{00000000-0005-0000-0000-0000B4930000}"/>
    <cellStyle name="Normal 2 4 5 4 5" xfId="31837" xr:uid="{00000000-0005-0000-0000-0000B5930000}"/>
    <cellStyle name="Normal 2 4 5 5" xfId="7692" xr:uid="{00000000-0005-0000-0000-0000B6930000}"/>
    <cellStyle name="Normal 2 4 5 6" xfId="14793" xr:uid="{00000000-0005-0000-0000-0000B7930000}"/>
    <cellStyle name="Normal 2 4 5 7" xfId="21895" xr:uid="{00000000-0005-0000-0000-0000B8930000}"/>
    <cellStyle name="Normal 2 4 5 8" xfId="28997" xr:uid="{00000000-0005-0000-0000-0000B9930000}"/>
    <cellStyle name="Normal 2 4 6" xfId="726" xr:uid="{00000000-0005-0000-0000-0000BA930000}"/>
    <cellStyle name="Normal 2 4 6 2" xfId="2217" xr:uid="{00000000-0005-0000-0000-0000BB930000}"/>
    <cellStyle name="Normal 2 4 6 2 2" xfId="6485" xr:uid="{00000000-0005-0000-0000-0000BC930000}"/>
    <cellStyle name="Normal 2 4 6 2 2 2" xfId="13585" xr:uid="{00000000-0005-0000-0000-0000BD930000}"/>
    <cellStyle name="Normal 2 4 6 2 2 3" xfId="20686" xr:uid="{00000000-0005-0000-0000-0000BE930000}"/>
    <cellStyle name="Normal 2 4 6 2 2 4" xfId="27788" xr:uid="{00000000-0005-0000-0000-0000BF930000}"/>
    <cellStyle name="Normal 2 4 6 2 2 5" xfId="34890" xr:uid="{00000000-0005-0000-0000-0000C0930000}"/>
    <cellStyle name="Normal 2 4 6 2 3" xfId="9325" xr:uid="{00000000-0005-0000-0000-0000C1930000}"/>
    <cellStyle name="Normal 2 4 6 2 4" xfId="16426" xr:uid="{00000000-0005-0000-0000-0000C2930000}"/>
    <cellStyle name="Normal 2 4 6 2 5" xfId="23528" xr:uid="{00000000-0005-0000-0000-0000C3930000}"/>
    <cellStyle name="Normal 2 4 6 2 6" xfId="30630" xr:uid="{00000000-0005-0000-0000-0000C4930000}"/>
    <cellStyle name="Normal 2 4 6 3" xfId="5064" xr:uid="{00000000-0005-0000-0000-0000C5930000}"/>
    <cellStyle name="Normal 2 4 6 3 2" xfId="12165" xr:uid="{00000000-0005-0000-0000-0000C6930000}"/>
    <cellStyle name="Normal 2 4 6 3 3" xfId="19266" xr:uid="{00000000-0005-0000-0000-0000C7930000}"/>
    <cellStyle name="Normal 2 4 6 3 4" xfId="26368" xr:uid="{00000000-0005-0000-0000-0000C8930000}"/>
    <cellStyle name="Normal 2 4 6 3 5" xfId="33470" xr:uid="{00000000-0005-0000-0000-0000C9930000}"/>
    <cellStyle name="Normal 2 4 6 4" xfId="3639" xr:uid="{00000000-0005-0000-0000-0000CA930000}"/>
    <cellStyle name="Normal 2 4 6 4 2" xfId="10745" xr:uid="{00000000-0005-0000-0000-0000CB930000}"/>
    <cellStyle name="Normal 2 4 6 4 3" xfId="17846" xr:uid="{00000000-0005-0000-0000-0000CC930000}"/>
    <cellStyle name="Normal 2 4 6 4 4" xfId="24948" xr:uid="{00000000-0005-0000-0000-0000CD930000}"/>
    <cellStyle name="Normal 2 4 6 4 5" xfId="32050" xr:uid="{00000000-0005-0000-0000-0000CE930000}"/>
    <cellStyle name="Normal 2 4 6 5" xfId="7905" xr:uid="{00000000-0005-0000-0000-0000CF930000}"/>
    <cellStyle name="Normal 2 4 6 6" xfId="15006" xr:uid="{00000000-0005-0000-0000-0000D0930000}"/>
    <cellStyle name="Normal 2 4 6 7" xfId="22108" xr:uid="{00000000-0005-0000-0000-0000D1930000}"/>
    <cellStyle name="Normal 2 4 6 8" xfId="29210" xr:uid="{00000000-0005-0000-0000-0000D2930000}"/>
    <cellStyle name="Normal 2 4 7" xfId="939" xr:uid="{00000000-0005-0000-0000-0000D3930000}"/>
    <cellStyle name="Normal 2 4 7 2" xfId="2430" xr:uid="{00000000-0005-0000-0000-0000D4930000}"/>
    <cellStyle name="Normal 2 4 7 2 2" xfId="6698" xr:uid="{00000000-0005-0000-0000-0000D5930000}"/>
    <cellStyle name="Normal 2 4 7 2 2 2" xfId="13798" xr:uid="{00000000-0005-0000-0000-0000D6930000}"/>
    <cellStyle name="Normal 2 4 7 2 2 3" xfId="20899" xr:uid="{00000000-0005-0000-0000-0000D7930000}"/>
    <cellStyle name="Normal 2 4 7 2 2 4" xfId="28001" xr:uid="{00000000-0005-0000-0000-0000D8930000}"/>
    <cellStyle name="Normal 2 4 7 2 2 5" xfId="35103" xr:uid="{00000000-0005-0000-0000-0000D9930000}"/>
    <cellStyle name="Normal 2 4 7 2 3" xfId="9538" xr:uid="{00000000-0005-0000-0000-0000DA930000}"/>
    <cellStyle name="Normal 2 4 7 2 4" xfId="16639" xr:uid="{00000000-0005-0000-0000-0000DB930000}"/>
    <cellStyle name="Normal 2 4 7 2 5" xfId="23741" xr:uid="{00000000-0005-0000-0000-0000DC930000}"/>
    <cellStyle name="Normal 2 4 7 2 6" xfId="30843" xr:uid="{00000000-0005-0000-0000-0000DD930000}"/>
    <cellStyle name="Normal 2 4 7 3" xfId="5277" xr:uid="{00000000-0005-0000-0000-0000DE930000}"/>
    <cellStyle name="Normal 2 4 7 3 2" xfId="12378" xr:uid="{00000000-0005-0000-0000-0000DF930000}"/>
    <cellStyle name="Normal 2 4 7 3 3" xfId="19479" xr:uid="{00000000-0005-0000-0000-0000E0930000}"/>
    <cellStyle name="Normal 2 4 7 3 4" xfId="26581" xr:uid="{00000000-0005-0000-0000-0000E1930000}"/>
    <cellStyle name="Normal 2 4 7 3 5" xfId="33683" xr:uid="{00000000-0005-0000-0000-0000E2930000}"/>
    <cellStyle name="Normal 2 4 7 4" xfId="3852" xr:uid="{00000000-0005-0000-0000-0000E3930000}"/>
    <cellStyle name="Normal 2 4 7 4 2" xfId="10958" xr:uid="{00000000-0005-0000-0000-0000E4930000}"/>
    <cellStyle name="Normal 2 4 7 4 3" xfId="18059" xr:uid="{00000000-0005-0000-0000-0000E5930000}"/>
    <cellStyle name="Normal 2 4 7 4 4" xfId="25161" xr:uid="{00000000-0005-0000-0000-0000E6930000}"/>
    <cellStyle name="Normal 2 4 7 4 5" xfId="32263" xr:uid="{00000000-0005-0000-0000-0000E7930000}"/>
    <cellStyle name="Normal 2 4 7 5" xfId="8118" xr:uid="{00000000-0005-0000-0000-0000E8930000}"/>
    <cellStyle name="Normal 2 4 7 6" xfId="15219" xr:uid="{00000000-0005-0000-0000-0000E9930000}"/>
    <cellStyle name="Normal 2 4 7 7" xfId="22321" xr:uid="{00000000-0005-0000-0000-0000EA930000}"/>
    <cellStyle name="Normal 2 4 7 8" xfId="29423" xr:uid="{00000000-0005-0000-0000-0000EB930000}"/>
    <cellStyle name="Normal 2 4 8" xfId="1294" xr:uid="{00000000-0005-0000-0000-0000EC930000}"/>
    <cellStyle name="Normal 2 4 8 2" xfId="2785" xr:uid="{00000000-0005-0000-0000-0000ED930000}"/>
    <cellStyle name="Normal 2 4 8 2 2" xfId="7053" xr:uid="{00000000-0005-0000-0000-0000EE930000}"/>
    <cellStyle name="Normal 2 4 8 2 2 2" xfId="14153" xr:uid="{00000000-0005-0000-0000-0000EF930000}"/>
    <cellStyle name="Normal 2 4 8 2 2 3" xfId="21254" xr:uid="{00000000-0005-0000-0000-0000F0930000}"/>
    <cellStyle name="Normal 2 4 8 2 2 4" xfId="28356" xr:uid="{00000000-0005-0000-0000-0000F1930000}"/>
    <cellStyle name="Normal 2 4 8 2 2 5" xfId="35458" xr:uid="{00000000-0005-0000-0000-0000F2930000}"/>
    <cellStyle name="Normal 2 4 8 2 3" xfId="9893" xr:uid="{00000000-0005-0000-0000-0000F3930000}"/>
    <cellStyle name="Normal 2 4 8 2 4" xfId="16994" xr:uid="{00000000-0005-0000-0000-0000F4930000}"/>
    <cellStyle name="Normal 2 4 8 2 5" xfId="24096" xr:uid="{00000000-0005-0000-0000-0000F5930000}"/>
    <cellStyle name="Normal 2 4 8 2 6" xfId="31198" xr:uid="{00000000-0005-0000-0000-0000F6930000}"/>
    <cellStyle name="Normal 2 4 8 3" xfId="5632" xr:uid="{00000000-0005-0000-0000-0000F7930000}"/>
    <cellStyle name="Normal 2 4 8 3 2" xfId="12733" xr:uid="{00000000-0005-0000-0000-0000F8930000}"/>
    <cellStyle name="Normal 2 4 8 3 3" xfId="19834" xr:uid="{00000000-0005-0000-0000-0000F9930000}"/>
    <cellStyle name="Normal 2 4 8 3 4" xfId="26936" xr:uid="{00000000-0005-0000-0000-0000FA930000}"/>
    <cellStyle name="Normal 2 4 8 3 5" xfId="34038" xr:uid="{00000000-0005-0000-0000-0000FB930000}"/>
    <cellStyle name="Normal 2 4 8 4" xfId="4207" xr:uid="{00000000-0005-0000-0000-0000FC930000}"/>
    <cellStyle name="Normal 2 4 8 4 2" xfId="11313" xr:uid="{00000000-0005-0000-0000-0000FD930000}"/>
    <cellStyle name="Normal 2 4 8 4 3" xfId="18414" xr:uid="{00000000-0005-0000-0000-0000FE930000}"/>
    <cellStyle name="Normal 2 4 8 4 4" xfId="25516" xr:uid="{00000000-0005-0000-0000-0000FF930000}"/>
    <cellStyle name="Normal 2 4 8 4 5" xfId="32618" xr:uid="{00000000-0005-0000-0000-000000940000}"/>
    <cellStyle name="Normal 2 4 8 5" xfId="8473" xr:uid="{00000000-0005-0000-0000-000001940000}"/>
    <cellStyle name="Normal 2 4 8 6" xfId="15574" xr:uid="{00000000-0005-0000-0000-000002940000}"/>
    <cellStyle name="Normal 2 4 8 7" xfId="22676" xr:uid="{00000000-0005-0000-0000-000003940000}"/>
    <cellStyle name="Normal 2 4 8 8" xfId="29778" xr:uid="{00000000-0005-0000-0000-000004940000}"/>
    <cellStyle name="Normal 2 4 9" xfId="1513" xr:uid="{00000000-0005-0000-0000-000005940000}"/>
    <cellStyle name="Normal 2 4_Sheet2" xfId="1532" xr:uid="{00000000-0005-0000-0000-000006940000}"/>
    <cellStyle name="Normal 2 5" xfId="41017" xr:uid="{00000000-0005-0000-0000-000007940000}"/>
    <cellStyle name="Normal 2 6" xfId="41018" xr:uid="{00000000-0005-0000-0000-000008940000}"/>
    <cellStyle name="Normal 2 6 2" xfId="41019" xr:uid="{00000000-0005-0000-0000-000009940000}"/>
    <cellStyle name="Normal 2 6 2 2" xfId="41020" xr:uid="{00000000-0005-0000-0000-00000A940000}"/>
    <cellStyle name="Normal 2 6 2 2 2" xfId="41021" xr:uid="{00000000-0005-0000-0000-00000B940000}"/>
    <cellStyle name="Normal 2 6 2 3" xfId="41022" xr:uid="{00000000-0005-0000-0000-00000C940000}"/>
    <cellStyle name="Normal 2 6 2 3 2" xfId="41023" xr:uid="{00000000-0005-0000-0000-00000D940000}"/>
    <cellStyle name="Normal 2 6 2 4" xfId="41024" xr:uid="{00000000-0005-0000-0000-00000E940000}"/>
    <cellStyle name="Normal 2 6 3" xfId="41025" xr:uid="{00000000-0005-0000-0000-00000F940000}"/>
    <cellStyle name="Normal 2 6 3 2" xfId="41026" xr:uid="{00000000-0005-0000-0000-000010940000}"/>
    <cellStyle name="Normal 2 6 3 2 2" xfId="41027" xr:uid="{00000000-0005-0000-0000-000011940000}"/>
    <cellStyle name="Normal 2 6 3 3" xfId="41028" xr:uid="{00000000-0005-0000-0000-000012940000}"/>
    <cellStyle name="Normal 2 6 3 3 2" xfId="41029" xr:uid="{00000000-0005-0000-0000-000013940000}"/>
    <cellStyle name="Normal 2 6 3 4" xfId="41030" xr:uid="{00000000-0005-0000-0000-000014940000}"/>
    <cellStyle name="Normal 2 6 4" xfId="41031" xr:uid="{00000000-0005-0000-0000-000015940000}"/>
    <cellStyle name="Normal 2 6 4 2" xfId="41032" xr:uid="{00000000-0005-0000-0000-000016940000}"/>
    <cellStyle name="Normal 2 6 4 2 2" xfId="41033" xr:uid="{00000000-0005-0000-0000-000017940000}"/>
    <cellStyle name="Normal 2 6 4 3" xfId="41034" xr:uid="{00000000-0005-0000-0000-000018940000}"/>
    <cellStyle name="Normal 2 6 4 3 2" xfId="41035" xr:uid="{00000000-0005-0000-0000-000019940000}"/>
    <cellStyle name="Normal 2 6 4 4" xfId="41036" xr:uid="{00000000-0005-0000-0000-00001A940000}"/>
    <cellStyle name="Normal 2 6 5" xfId="41037" xr:uid="{00000000-0005-0000-0000-00001B940000}"/>
    <cellStyle name="Normal 2 6 5 2" xfId="41038" xr:uid="{00000000-0005-0000-0000-00001C940000}"/>
    <cellStyle name="Normal 2 6 6" xfId="41039" xr:uid="{00000000-0005-0000-0000-00001D940000}"/>
    <cellStyle name="Normal 2 6 6 2" xfId="41040" xr:uid="{00000000-0005-0000-0000-00001E940000}"/>
    <cellStyle name="Normal 2 6 7" xfId="41041" xr:uid="{00000000-0005-0000-0000-00001F940000}"/>
    <cellStyle name="Normal 2 7" xfId="41042" xr:uid="{00000000-0005-0000-0000-000020940000}"/>
    <cellStyle name="Normal 2 7 2" xfId="41043" xr:uid="{00000000-0005-0000-0000-000021940000}"/>
    <cellStyle name="Normal 2 7 2 2" xfId="41044" xr:uid="{00000000-0005-0000-0000-000022940000}"/>
    <cellStyle name="Normal 2 7 2 2 2" xfId="41045" xr:uid="{00000000-0005-0000-0000-000023940000}"/>
    <cellStyle name="Normal 2 7 2 3" xfId="41046" xr:uid="{00000000-0005-0000-0000-000024940000}"/>
    <cellStyle name="Normal 2 7 2 3 2" xfId="41047" xr:uid="{00000000-0005-0000-0000-000025940000}"/>
    <cellStyle name="Normal 2 7 2 4" xfId="41048" xr:uid="{00000000-0005-0000-0000-000026940000}"/>
    <cellStyle name="Normal 2 7 3" xfId="41049" xr:uid="{00000000-0005-0000-0000-000027940000}"/>
    <cellStyle name="Normal 2 7 3 2" xfId="41050" xr:uid="{00000000-0005-0000-0000-000028940000}"/>
    <cellStyle name="Normal 2 7 3 2 2" xfId="41051" xr:uid="{00000000-0005-0000-0000-000029940000}"/>
    <cellStyle name="Normal 2 7 3 3" xfId="41052" xr:uid="{00000000-0005-0000-0000-00002A940000}"/>
    <cellStyle name="Normal 2 7 3 3 2" xfId="41053" xr:uid="{00000000-0005-0000-0000-00002B940000}"/>
    <cellStyle name="Normal 2 7 3 4" xfId="41054" xr:uid="{00000000-0005-0000-0000-00002C940000}"/>
    <cellStyle name="Normal 2 7 4" xfId="41055" xr:uid="{00000000-0005-0000-0000-00002D940000}"/>
    <cellStyle name="Normal 2 7 4 2" xfId="41056" xr:uid="{00000000-0005-0000-0000-00002E940000}"/>
    <cellStyle name="Normal 2 7 4 2 2" xfId="41057" xr:uid="{00000000-0005-0000-0000-00002F940000}"/>
    <cellStyle name="Normal 2 7 4 3" xfId="41058" xr:uid="{00000000-0005-0000-0000-000030940000}"/>
    <cellStyle name="Normal 2 7 4 3 2" xfId="41059" xr:uid="{00000000-0005-0000-0000-000031940000}"/>
    <cellStyle name="Normal 2 7 4 4" xfId="41060" xr:uid="{00000000-0005-0000-0000-000032940000}"/>
    <cellStyle name="Normal 2 7 5" xfId="41061" xr:uid="{00000000-0005-0000-0000-000033940000}"/>
    <cellStyle name="Normal 2 7 5 2" xfId="41062" xr:uid="{00000000-0005-0000-0000-000034940000}"/>
    <cellStyle name="Normal 2 7 6" xfId="41063" xr:uid="{00000000-0005-0000-0000-000035940000}"/>
    <cellStyle name="Normal 2 7 6 2" xfId="41064" xr:uid="{00000000-0005-0000-0000-000036940000}"/>
    <cellStyle name="Normal 2 7 7" xfId="41065" xr:uid="{00000000-0005-0000-0000-000037940000}"/>
    <cellStyle name="Normal 2 8" xfId="41066" xr:uid="{00000000-0005-0000-0000-000038940000}"/>
    <cellStyle name="Normal 2 8 2" xfId="41067" xr:uid="{00000000-0005-0000-0000-000039940000}"/>
    <cellStyle name="Normal 2 8 2 2" xfId="41068" xr:uid="{00000000-0005-0000-0000-00003A940000}"/>
    <cellStyle name="Normal 2 8 3" xfId="41069" xr:uid="{00000000-0005-0000-0000-00003B940000}"/>
    <cellStyle name="Normal 2 8 3 2" xfId="41070" xr:uid="{00000000-0005-0000-0000-00003C940000}"/>
    <cellStyle name="Normal 2 8 4" xfId="41071" xr:uid="{00000000-0005-0000-0000-00003D940000}"/>
    <cellStyle name="Normal 2 9" xfId="41072" xr:uid="{00000000-0005-0000-0000-00003E940000}"/>
    <cellStyle name="Normal 2 9 2" xfId="41073" xr:uid="{00000000-0005-0000-0000-00003F940000}"/>
    <cellStyle name="Normal 2 9 2 2" xfId="41074" xr:uid="{00000000-0005-0000-0000-000040940000}"/>
    <cellStyle name="Normal 2 9 3" xfId="41075" xr:uid="{00000000-0005-0000-0000-000041940000}"/>
    <cellStyle name="Normal 2 9 3 2" xfId="41076" xr:uid="{00000000-0005-0000-0000-000042940000}"/>
    <cellStyle name="Normal 2 9 4" xfId="41077" xr:uid="{00000000-0005-0000-0000-000043940000}"/>
    <cellStyle name="Normal 2_Sheet2" xfId="1528" xr:uid="{00000000-0005-0000-0000-000044940000}"/>
    <cellStyle name="Normal 20" xfId="12" xr:uid="{00000000-0005-0000-0000-000045940000}"/>
    <cellStyle name="Normal 21" xfId="13" xr:uid="{00000000-0005-0000-0000-000046940000}"/>
    <cellStyle name="Normal 22" xfId="24" xr:uid="{00000000-0005-0000-0000-000047940000}"/>
    <cellStyle name="Normal 23" xfId="22" xr:uid="{00000000-0005-0000-0000-000048940000}"/>
    <cellStyle name="Normal 24" xfId="65" xr:uid="{00000000-0005-0000-0000-000049940000}"/>
    <cellStyle name="Normal 24 2" xfId="157" xr:uid="{00000000-0005-0000-0000-00004A940000}"/>
    <cellStyle name="Normal 24 2 2" xfId="41078" xr:uid="{00000000-0005-0000-0000-00004B940000}"/>
    <cellStyle name="Normal 24 3" xfId="144" xr:uid="{00000000-0005-0000-0000-00004C940000}"/>
    <cellStyle name="Normal 24 4" xfId="41079" xr:uid="{00000000-0005-0000-0000-00004D940000}"/>
    <cellStyle name="Normal 25" xfId="1562" xr:uid="{00000000-0005-0000-0000-00004E940000}"/>
    <cellStyle name="Normal 25 2" xfId="5845" xr:uid="{00000000-0005-0000-0000-00004F940000}"/>
    <cellStyle name="Normal 25 2 2" xfId="41080" xr:uid="{00000000-0005-0000-0000-000050940000}"/>
    <cellStyle name="Normal 25 3" xfId="41081" xr:uid="{00000000-0005-0000-0000-000051940000}"/>
    <cellStyle name="Normal 26" xfId="4408" xr:uid="{00000000-0005-0000-0000-000052940000}"/>
    <cellStyle name="Normal 26 2" xfId="41082" xr:uid="{00000000-0005-0000-0000-000053940000}"/>
    <cellStyle name="Normal 26 3" xfId="41083" xr:uid="{00000000-0005-0000-0000-000054940000}"/>
    <cellStyle name="Normal 27" xfId="14354" xr:uid="{00000000-0005-0000-0000-000055940000}"/>
    <cellStyle name="Normal 27 2" xfId="41084" xr:uid="{00000000-0005-0000-0000-000056940000}"/>
    <cellStyle name="Normal 27 3" xfId="41085" xr:uid="{00000000-0005-0000-0000-000057940000}"/>
    <cellStyle name="Normal 28" xfId="21455" xr:uid="{00000000-0005-0000-0000-000058940000}"/>
    <cellStyle name="Normal 28 2" xfId="41086" xr:uid="{00000000-0005-0000-0000-000059940000}"/>
    <cellStyle name="Normal 28 3" xfId="41087" xr:uid="{00000000-0005-0000-0000-00005A940000}"/>
    <cellStyle name="Normal 29" xfId="21456" xr:uid="{00000000-0005-0000-0000-00005B940000}"/>
    <cellStyle name="Normal 29 2" xfId="41088" xr:uid="{00000000-0005-0000-0000-00005C940000}"/>
    <cellStyle name="Normal 29 3" xfId="41089" xr:uid="{00000000-0005-0000-0000-00005D940000}"/>
    <cellStyle name="Normal 3" xfId="14" xr:uid="{00000000-0005-0000-0000-00005E940000}"/>
    <cellStyle name="Normal 3 10" xfId="41090" xr:uid="{00000000-0005-0000-0000-00005F940000}"/>
    <cellStyle name="Normal 3 2" xfId="91" xr:uid="{00000000-0005-0000-0000-000060940000}"/>
    <cellStyle name="Normal 3 2 2" xfId="1515" xr:uid="{00000000-0005-0000-0000-000061940000}"/>
    <cellStyle name="Normal 3 2 3" xfId="1516" xr:uid="{00000000-0005-0000-0000-000062940000}"/>
    <cellStyle name="Normal 3 2 4" xfId="1517" xr:uid="{00000000-0005-0000-0000-000063940000}"/>
    <cellStyle name="Normal 3 2 5" xfId="1507" xr:uid="{00000000-0005-0000-0000-000064940000}"/>
    <cellStyle name="Normal 3 2 6" xfId="1590" xr:uid="{00000000-0005-0000-0000-000065940000}"/>
    <cellStyle name="Normal 3 2_Sheet2" xfId="1535" xr:uid="{00000000-0005-0000-0000-000066940000}"/>
    <cellStyle name="Normal 3 3" xfId="69" xr:uid="{00000000-0005-0000-0000-000067940000}"/>
    <cellStyle name="Normal 3 3 2" xfId="1519" xr:uid="{00000000-0005-0000-0000-000068940000}"/>
    <cellStyle name="Normal 3 3 3" xfId="1518" xr:uid="{00000000-0005-0000-0000-000069940000}"/>
    <cellStyle name="Normal 3 3 4" xfId="1572" xr:uid="{00000000-0005-0000-0000-00006A940000}"/>
    <cellStyle name="Normal 3 3 5" xfId="41091" xr:uid="{00000000-0005-0000-0000-00006B940000}"/>
    <cellStyle name="Normal 3 3_Sheet2" xfId="1536" xr:uid="{00000000-0005-0000-0000-00006C940000}"/>
    <cellStyle name="Normal 3 4" xfId="1520" xr:uid="{00000000-0005-0000-0000-00006D940000}"/>
    <cellStyle name="Normal 3 4 2" xfId="41092" xr:uid="{00000000-0005-0000-0000-00006E940000}"/>
    <cellStyle name="Normal 3 5" xfId="1521" xr:uid="{00000000-0005-0000-0000-00006F940000}"/>
    <cellStyle name="Normal 3 6" xfId="1522" xr:uid="{00000000-0005-0000-0000-000070940000}"/>
    <cellStyle name="Normal 3 7" xfId="1506" xr:uid="{00000000-0005-0000-0000-000071940000}"/>
    <cellStyle name="Normal 3 8" xfId="1563" xr:uid="{00000000-0005-0000-0000-000072940000}"/>
    <cellStyle name="Normal 3 9" xfId="4409" xr:uid="{00000000-0005-0000-0000-000073940000}"/>
    <cellStyle name="Normal 3_Sheet2" xfId="1534" xr:uid="{00000000-0005-0000-0000-000074940000}"/>
    <cellStyle name="Normal 30" xfId="28557" xr:uid="{00000000-0005-0000-0000-000075940000}"/>
    <cellStyle name="Normal 30 2" xfId="41093" xr:uid="{00000000-0005-0000-0000-000076940000}"/>
    <cellStyle name="Normal 30 3" xfId="41094" xr:uid="{00000000-0005-0000-0000-000077940000}"/>
    <cellStyle name="Normal 31" xfId="28558" xr:uid="{00000000-0005-0000-0000-000078940000}"/>
    <cellStyle name="Normal 31 2" xfId="41095" xr:uid="{00000000-0005-0000-0000-000079940000}"/>
    <cellStyle name="Normal 31 3" xfId="41096" xr:uid="{00000000-0005-0000-0000-00007A940000}"/>
    <cellStyle name="Normal 32" xfId="35659" xr:uid="{00000000-0005-0000-0000-00007B940000}"/>
    <cellStyle name="Normal 32 2" xfId="41097" xr:uid="{00000000-0005-0000-0000-00007C940000}"/>
    <cellStyle name="Normal 32 3" xfId="41098" xr:uid="{00000000-0005-0000-0000-00007D940000}"/>
    <cellStyle name="Normal 33" xfId="35660" xr:uid="{00000000-0005-0000-0000-00007E940000}"/>
    <cellStyle name="Normal 34" xfId="35879" xr:uid="{00000000-0005-0000-0000-00007F940000}"/>
    <cellStyle name="Normal 35" xfId="35882" xr:uid="{00000000-0005-0000-0000-000080940000}"/>
    <cellStyle name="Normal 36" xfId="35886" xr:uid="{00000000-0005-0000-0000-000081940000}"/>
    <cellStyle name="Normal 37" xfId="35888" xr:uid="{00000000-0005-0000-0000-000082940000}"/>
    <cellStyle name="Normal 38" xfId="35890" xr:uid="{00000000-0005-0000-0000-000083940000}"/>
    <cellStyle name="Normal 39" xfId="41099" xr:uid="{00000000-0005-0000-0000-000084940000}"/>
    <cellStyle name="Normal 4" xfId="15" xr:uid="{00000000-0005-0000-0000-000085940000}"/>
    <cellStyle name="Normal 4 2" xfId="109" xr:uid="{00000000-0005-0000-0000-000086940000}"/>
    <cellStyle name="Normal 4 2 2" xfId="41100" xr:uid="{00000000-0005-0000-0000-000087940000}"/>
    <cellStyle name="Normal 4 3" xfId="85" xr:uid="{00000000-0005-0000-0000-000088940000}"/>
    <cellStyle name="Normal 4 3 2" xfId="41101" xr:uid="{00000000-0005-0000-0000-000089940000}"/>
    <cellStyle name="Normal 4 4" xfId="1508" xr:uid="{00000000-0005-0000-0000-00008A940000}"/>
    <cellStyle name="Normal 4 5" xfId="1564" xr:uid="{00000000-0005-0000-0000-00008B940000}"/>
    <cellStyle name="Normal 4_Sheet2" xfId="1537" xr:uid="{00000000-0005-0000-0000-00008C940000}"/>
    <cellStyle name="Normal 40" xfId="41102" xr:uid="{00000000-0005-0000-0000-00008D940000}"/>
    <cellStyle name="Normal 41" xfId="41103" xr:uid="{00000000-0005-0000-0000-00008E940000}"/>
    <cellStyle name="Normal 42" xfId="41104" xr:uid="{00000000-0005-0000-0000-00008F940000}"/>
    <cellStyle name="Normal 43" xfId="41105" xr:uid="{00000000-0005-0000-0000-000090940000}"/>
    <cellStyle name="Normal 44" xfId="41106" xr:uid="{00000000-0005-0000-0000-000091940000}"/>
    <cellStyle name="Normal 45" xfId="41107" xr:uid="{00000000-0005-0000-0000-000092940000}"/>
    <cellStyle name="Normal 46" xfId="41108" xr:uid="{00000000-0005-0000-0000-000093940000}"/>
    <cellStyle name="Normal 47" xfId="41109" xr:uid="{00000000-0005-0000-0000-000094940000}"/>
    <cellStyle name="Normal 48" xfId="41110" xr:uid="{00000000-0005-0000-0000-000095940000}"/>
    <cellStyle name="Normal 49" xfId="41111" xr:uid="{00000000-0005-0000-0000-000096940000}"/>
    <cellStyle name="Normal 5" xfId="16" xr:uid="{00000000-0005-0000-0000-000097940000}"/>
    <cellStyle name="Normal 5 10" xfId="2986" xr:uid="{00000000-0005-0000-0000-000098940000}"/>
    <cellStyle name="Normal 5 11" xfId="41112" xr:uid="{00000000-0005-0000-0000-000099940000}"/>
    <cellStyle name="Normal 5 2" xfId="110" xr:uid="{00000000-0005-0000-0000-00009A940000}"/>
    <cellStyle name="Normal 5 2 2" xfId="1510" xr:uid="{00000000-0005-0000-0000-00009B940000}"/>
    <cellStyle name="Normal 5 2 2 2" xfId="41113" xr:uid="{00000000-0005-0000-0000-00009C940000}"/>
    <cellStyle name="Normal 5 2 3" xfId="1604" xr:uid="{00000000-0005-0000-0000-00009D940000}"/>
    <cellStyle name="Normal 5 2_Sheet2" xfId="1539" xr:uid="{00000000-0005-0000-0000-00009E940000}"/>
    <cellStyle name="Normal 5 3" xfId="86" xr:uid="{00000000-0005-0000-0000-00009F940000}"/>
    <cellStyle name="Normal 5 3 2" xfId="1523" xr:uid="{00000000-0005-0000-0000-0000A0940000}"/>
    <cellStyle name="Normal 5 3 2 2" xfId="41114" xr:uid="{00000000-0005-0000-0000-0000A1940000}"/>
    <cellStyle name="Normal 5 3 3" xfId="1586" xr:uid="{00000000-0005-0000-0000-0000A2940000}"/>
    <cellStyle name="Normal 5 3_Sheet2" xfId="1540" xr:uid="{00000000-0005-0000-0000-0000A3940000}"/>
    <cellStyle name="Normal 5 4" xfId="1524" xr:uid="{00000000-0005-0000-0000-0000A4940000}"/>
    <cellStyle name="Normal 5 5" xfId="1509" xr:uid="{00000000-0005-0000-0000-0000A5940000}"/>
    <cellStyle name="Normal 5 6" xfId="1547" xr:uid="{00000000-0005-0000-0000-0000A6940000}"/>
    <cellStyle name="Normal 5 7" xfId="1565" xr:uid="{00000000-0005-0000-0000-0000A7940000}"/>
    <cellStyle name="Normal 5 8" xfId="1549" xr:uid="{00000000-0005-0000-0000-0000A8940000}"/>
    <cellStyle name="Normal 5 9" xfId="4410" xr:uid="{00000000-0005-0000-0000-0000A9940000}"/>
    <cellStyle name="Normal 5_Sheet2" xfId="1538" xr:uid="{00000000-0005-0000-0000-0000AA940000}"/>
    <cellStyle name="Normal 50" xfId="41115" xr:uid="{00000000-0005-0000-0000-0000AB940000}"/>
    <cellStyle name="Normal 51" xfId="41116" xr:uid="{00000000-0005-0000-0000-0000AC940000}"/>
    <cellStyle name="Normal 52" xfId="41117" xr:uid="{00000000-0005-0000-0000-0000AD940000}"/>
    <cellStyle name="Normal 53" xfId="41118" xr:uid="{00000000-0005-0000-0000-0000AE940000}"/>
    <cellStyle name="Normal 54" xfId="41119" xr:uid="{00000000-0005-0000-0000-0000AF940000}"/>
    <cellStyle name="Normal 55" xfId="41120" xr:uid="{00000000-0005-0000-0000-0000B0940000}"/>
    <cellStyle name="Normal 56" xfId="41121" xr:uid="{00000000-0005-0000-0000-0000B1940000}"/>
    <cellStyle name="Normal 57" xfId="41122" xr:uid="{00000000-0005-0000-0000-0000B2940000}"/>
    <cellStyle name="Normal 58" xfId="41123" xr:uid="{00000000-0005-0000-0000-0000B3940000}"/>
    <cellStyle name="Normal 59" xfId="41124" xr:uid="{00000000-0005-0000-0000-0000B4940000}"/>
    <cellStyle name="Normal 6" xfId="17" xr:uid="{00000000-0005-0000-0000-0000B5940000}"/>
    <cellStyle name="Normal 6 10" xfId="41125" xr:uid="{00000000-0005-0000-0000-0000B6940000}"/>
    <cellStyle name="Normal 6 2" xfId="112" xr:uid="{00000000-0005-0000-0000-0000B7940000}"/>
    <cellStyle name="Normal 6 2 2" xfId="1525" xr:uid="{00000000-0005-0000-0000-0000B8940000}"/>
    <cellStyle name="Normal 6 2 2 2" xfId="41126" xr:uid="{00000000-0005-0000-0000-0000B9940000}"/>
    <cellStyle name="Normal 6 2 3" xfId="1605" xr:uid="{00000000-0005-0000-0000-0000BA940000}"/>
    <cellStyle name="Normal 6 2_Sheet2" xfId="1542" xr:uid="{00000000-0005-0000-0000-0000BB940000}"/>
    <cellStyle name="Normal 6 3" xfId="88" xr:uid="{00000000-0005-0000-0000-0000BC940000}"/>
    <cellStyle name="Normal 6 3 2" xfId="1526" xr:uid="{00000000-0005-0000-0000-0000BD940000}"/>
    <cellStyle name="Normal 6 3 2 2" xfId="41127" xr:uid="{00000000-0005-0000-0000-0000BE940000}"/>
    <cellStyle name="Normal 6 3 3" xfId="1587" xr:uid="{00000000-0005-0000-0000-0000BF940000}"/>
    <cellStyle name="Normal 6 3_Sheet2" xfId="1543" xr:uid="{00000000-0005-0000-0000-0000C0940000}"/>
    <cellStyle name="Normal 6 4" xfId="1511" xr:uid="{00000000-0005-0000-0000-0000C1940000}"/>
    <cellStyle name="Normal 6 5" xfId="1548" xr:uid="{00000000-0005-0000-0000-0000C2940000}"/>
    <cellStyle name="Normal 6 6" xfId="1566" xr:uid="{00000000-0005-0000-0000-0000C3940000}"/>
    <cellStyle name="Normal 6 7" xfId="1546" xr:uid="{00000000-0005-0000-0000-0000C4940000}"/>
    <cellStyle name="Normal 6 8" xfId="4411" xr:uid="{00000000-0005-0000-0000-0000C5940000}"/>
    <cellStyle name="Normal 6 9" xfId="2987" xr:uid="{00000000-0005-0000-0000-0000C6940000}"/>
    <cellStyle name="Normal 6_Sheet2" xfId="1541" xr:uid="{00000000-0005-0000-0000-0000C7940000}"/>
    <cellStyle name="Normal 60" xfId="41128" xr:uid="{00000000-0005-0000-0000-0000C8940000}"/>
    <cellStyle name="Normal 61" xfId="41129" xr:uid="{00000000-0005-0000-0000-0000C9940000}"/>
    <cellStyle name="Normal 62" xfId="41130" xr:uid="{00000000-0005-0000-0000-0000CA940000}"/>
    <cellStyle name="Normal 63" xfId="41131" xr:uid="{00000000-0005-0000-0000-0000CB940000}"/>
    <cellStyle name="Normal 64" xfId="41132" xr:uid="{00000000-0005-0000-0000-0000CC940000}"/>
    <cellStyle name="Normal 65" xfId="41133" xr:uid="{00000000-0005-0000-0000-0000CD940000}"/>
    <cellStyle name="Normal 66" xfId="41134" xr:uid="{00000000-0005-0000-0000-0000CE940000}"/>
    <cellStyle name="Normal 67" xfId="41135" xr:uid="{00000000-0005-0000-0000-0000CF940000}"/>
    <cellStyle name="Normal 68" xfId="41136" xr:uid="{00000000-0005-0000-0000-0000D0940000}"/>
    <cellStyle name="Normal 69" xfId="41137" xr:uid="{00000000-0005-0000-0000-0000D1940000}"/>
    <cellStyle name="Normal 7" xfId="18" xr:uid="{00000000-0005-0000-0000-0000D2940000}"/>
    <cellStyle name="Normal 7 2" xfId="93" xr:uid="{00000000-0005-0000-0000-0000D3940000}"/>
    <cellStyle name="Normal 7 2 2" xfId="41138" xr:uid="{00000000-0005-0000-0000-0000D4940000}"/>
    <cellStyle name="Normal 7 3" xfId="1527" xr:uid="{00000000-0005-0000-0000-0000D5940000}"/>
    <cellStyle name="Normal 7 4" xfId="1567" xr:uid="{00000000-0005-0000-0000-0000D6940000}"/>
    <cellStyle name="Normal 7_Sheet2" xfId="1544" xr:uid="{00000000-0005-0000-0000-0000D7940000}"/>
    <cellStyle name="Normal 70" xfId="41139" xr:uid="{00000000-0005-0000-0000-0000D8940000}"/>
    <cellStyle name="Normal 71" xfId="41140" xr:uid="{00000000-0005-0000-0000-0000D9940000}"/>
    <cellStyle name="Normal 72" xfId="41141" xr:uid="{00000000-0005-0000-0000-0000DA940000}"/>
    <cellStyle name="Normal 73" xfId="41142" xr:uid="{00000000-0005-0000-0000-0000DB940000}"/>
    <cellStyle name="Normal 74" xfId="41143" xr:uid="{00000000-0005-0000-0000-0000DC940000}"/>
    <cellStyle name="Normal 75" xfId="41144" xr:uid="{00000000-0005-0000-0000-0000DD940000}"/>
    <cellStyle name="Normal 76" xfId="41145" xr:uid="{00000000-0005-0000-0000-0000DE940000}"/>
    <cellStyle name="Normal 77" xfId="41146" xr:uid="{00000000-0005-0000-0000-0000DF940000}"/>
    <cellStyle name="Normal 78" xfId="41147" xr:uid="{00000000-0005-0000-0000-0000E0940000}"/>
    <cellStyle name="Normal 79" xfId="41148" xr:uid="{00000000-0005-0000-0000-0000E1940000}"/>
    <cellStyle name="Normal 8" xfId="19" xr:uid="{00000000-0005-0000-0000-0000E2940000}"/>
    <cellStyle name="Normal 8 2" xfId="115" xr:uid="{00000000-0005-0000-0000-0000E3940000}"/>
    <cellStyle name="Normal 8 2 10" xfId="4455" xr:uid="{00000000-0005-0000-0000-0000E4940000}"/>
    <cellStyle name="Normal 8 2 10 2" xfId="11556" xr:uid="{00000000-0005-0000-0000-0000E5940000}"/>
    <cellStyle name="Normal 8 2 10 3" xfId="18657" xr:uid="{00000000-0005-0000-0000-0000E6940000}"/>
    <cellStyle name="Normal 8 2 10 4" xfId="25759" xr:uid="{00000000-0005-0000-0000-0000E7940000}"/>
    <cellStyle name="Normal 8 2 10 5" xfId="32861" xr:uid="{00000000-0005-0000-0000-0000E8940000}"/>
    <cellStyle name="Normal 8 2 11" xfId="3030" xr:uid="{00000000-0005-0000-0000-0000E9940000}"/>
    <cellStyle name="Normal 8 2 11 2" xfId="10136" xr:uid="{00000000-0005-0000-0000-0000EA940000}"/>
    <cellStyle name="Normal 8 2 11 3" xfId="17237" xr:uid="{00000000-0005-0000-0000-0000EB940000}"/>
    <cellStyle name="Normal 8 2 11 4" xfId="24339" xr:uid="{00000000-0005-0000-0000-0000EC940000}"/>
    <cellStyle name="Normal 8 2 11 5" xfId="31441" xr:uid="{00000000-0005-0000-0000-0000ED940000}"/>
    <cellStyle name="Normal 8 2 12" xfId="7296" xr:uid="{00000000-0005-0000-0000-0000EE940000}"/>
    <cellStyle name="Normal 8 2 13" xfId="14397" xr:uid="{00000000-0005-0000-0000-0000EF940000}"/>
    <cellStyle name="Normal 8 2 14" xfId="21499" xr:uid="{00000000-0005-0000-0000-0000F0940000}"/>
    <cellStyle name="Normal 8 2 15" xfId="28601" xr:uid="{00000000-0005-0000-0000-0000F1940000}"/>
    <cellStyle name="Normal 8 2 16" xfId="35703" xr:uid="{00000000-0005-0000-0000-0000F2940000}"/>
    <cellStyle name="Normal 8 2 17" xfId="41149" xr:uid="{00000000-0005-0000-0000-0000F3940000}"/>
    <cellStyle name="Normal 8 2 18" xfId="41150" xr:uid="{00000000-0005-0000-0000-0000F4940000}"/>
    <cellStyle name="Normal 8 2 2" xfId="259" xr:uid="{00000000-0005-0000-0000-0000F5940000}"/>
    <cellStyle name="Normal 8 2 2 10" xfId="7438" xr:uid="{00000000-0005-0000-0000-0000F6940000}"/>
    <cellStyle name="Normal 8 2 2 11" xfId="14539" xr:uid="{00000000-0005-0000-0000-0000F7940000}"/>
    <cellStyle name="Normal 8 2 2 12" xfId="21641" xr:uid="{00000000-0005-0000-0000-0000F8940000}"/>
    <cellStyle name="Normal 8 2 2 13" xfId="28743" xr:uid="{00000000-0005-0000-0000-0000F9940000}"/>
    <cellStyle name="Normal 8 2 2 14" xfId="35845" xr:uid="{00000000-0005-0000-0000-0000FA940000}"/>
    <cellStyle name="Normal 8 2 2 15" xfId="41151" xr:uid="{00000000-0005-0000-0000-0000FB940000}"/>
    <cellStyle name="Normal 8 2 2 2" xfId="472" xr:uid="{00000000-0005-0000-0000-0000FC940000}"/>
    <cellStyle name="Normal 8 2 2 2 10" xfId="41152" xr:uid="{00000000-0005-0000-0000-0000FD940000}"/>
    <cellStyle name="Normal 8 2 2 2 2" xfId="1253" xr:uid="{00000000-0005-0000-0000-0000FE940000}"/>
    <cellStyle name="Normal 8 2 2 2 2 2" xfId="2744" xr:uid="{00000000-0005-0000-0000-0000FF940000}"/>
    <cellStyle name="Normal 8 2 2 2 2 2 2" xfId="7012" xr:uid="{00000000-0005-0000-0000-000000950000}"/>
    <cellStyle name="Normal 8 2 2 2 2 2 2 2" xfId="14112" xr:uid="{00000000-0005-0000-0000-000001950000}"/>
    <cellStyle name="Normal 8 2 2 2 2 2 2 3" xfId="21213" xr:uid="{00000000-0005-0000-0000-000002950000}"/>
    <cellStyle name="Normal 8 2 2 2 2 2 2 4" xfId="28315" xr:uid="{00000000-0005-0000-0000-000003950000}"/>
    <cellStyle name="Normal 8 2 2 2 2 2 2 5" xfId="35417" xr:uid="{00000000-0005-0000-0000-000004950000}"/>
    <cellStyle name="Normal 8 2 2 2 2 2 3" xfId="9852" xr:uid="{00000000-0005-0000-0000-000005950000}"/>
    <cellStyle name="Normal 8 2 2 2 2 2 4" xfId="16953" xr:uid="{00000000-0005-0000-0000-000006950000}"/>
    <cellStyle name="Normal 8 2 2 2 2 2 5" xfId="24055" xr:uid="{00000000-0005-0000-0000-000007950000}"/>
    <cellStyle name="Normal 8 2 2 2 2 2 6" xfId="31157" xr:uid="{00000000-0005-0000-0000-000008950000}"/>
    <cellStyle name="Normal 8 2 2 2 2 2 7" xfId="41153" xr:uid="{00000000-0005-0000-0000-000009950000}"/>
    <cellStyle name="Normal 8 2 2 2 2 3" xfId="5591" xr:uid="{00000000-0005-0000-0000-00000A950000}"/>
    <cellStyle name="Normal 8 2 2 2 2 3 2" xfId="12692" xr:uid="{00000000-0005-0000-0000-00000B950000}"/>
    <cellStyle name="Normal 8 2 2 2 2 3 3" xfId="19793" xr:uid="{00000000-0005-0000-0000-00000C950000}"/>
    <cellStyle name="Normal 8 2 2 2 2 3 4" xfId="26895" xr:uid="{00000000-0005-0000-0000-00000D950000}"/>
    <cellStyle name="Normal 8 2 2 2 2 3 5" xfId="33997" xr:uid="{00000000-0005-0000-0000-00000E950000}"/>
    <cellStyle name="Normal 8 2 2 2 2 4" xfId="4166" xr:uid="{00000000-0005-0000-0000-00000F950000}"/>
    <cellStyle name="Normal 8 2 2 2 2 4 2" xfId="11272" xr:uid="{00000000-0005-0000-0000-000010950000}"/>
    <cellStyle name="Normal 8 2 2 2 2 4 3" xfId="18373" xr:uid="{00000000-0005-0000-0000-000011950000}"/>
    <cellStyle name="Normal 8 2 2 2 2 4 4" xfId="25475" xr:uid="{00000000-0005-0000-0000-000012950000}"/>
    <cellStyle name="Normal 8 2 2 2 2 4 5" xfId="32577" xr:uid="{00000000-0005-0000-0000-000013950000}"/>
    <cellStyle name="Normal 8 2 2 2 2 5" xfId="8432" xr:uid="{00000000-0005-0000-0000-000014950000}"/>
    <cellStyle name="Normal 8 2 2 2 2 6" xfId="15533" xr:uid="{00000000-0005-0000-0000-000015950000}"/>
    <cellStyle name="Normal 8 2 2 2 2 7" xfId="22635" xr:uid="{00000000-0005-0000-0000-000016950000}"/>
    <cellStyle name="Normal 8 2 2 2 2 8" xfId="29737" xr:uid="{00000000-0005-0000-0000-000017950000}"/>
    <cellStyle name="Normal 8 2 2 2 2 9" xfId="41154" xr:uid="{00000000-0005-0000-0000-000018950000}"/>
    <cellStyle name="Normal 8 2 2 2 3" xfId="1963" xr:uid="{00000000-0005-0000-0000-000019950000}"/>
    <cellStyle name="Normal 8 2 2 2 3 2" xfId="6231" xr:uid="{00000000-0005-0000-0000-00001A950000}"/>
    <cellStyle name="Normal 8 2 2 2 3 2 2" xfId="13331" xr:uid="{00000000-0005-0000-0000-00001B950000}"/>
    <cellStyle name="Normal 8 2 2 2 3 2 3" xfId="20432" xr:uid="{00000000-0005-0000-0000-00001C950000}"/>
    <cellStyle name="Normal 8 2 2 2 3 2 4" xfId="27534" xr:uid="{00000000-0005-0000-0000-00001D950000}"/>
    <cellStyle name="Normal 8 2 2 2 3 2 5" xfId="34636" xr:uid="{00000000-0005-0000-0000-00001E950000}"/>
    <cellStyle name="Normal 8 2 2 2 3 2 6" xfId="41155" xr:uid="{00000000-0005-0000-0000-00001F950000}"/>
    <cellStyle name="Normal 8 2 2 2 3 3" xfId="9071" xr:uid="{00000000-0005-0000-0000-000020950000}"/>
    <cellStyle name="Normal 8 2 2 2 3 4" xfId="16172" xr:uid="{00000000-0005-0000-0000-000021950000}"/>
    <cellStyle name="Normal 8 2 2 2 3 5" xfId="23274" xr:uid="{00000000-0005-0000-0000-000022950000}"/>
    <cellStyle name="Normal 8 2 2 2 3 6" xfId="30376" xr:uid="{00000000-0005-0000-0000-000023950000}"/>
    <cellStyle name="Normal 8 2 2 2 3 7" xfId="41156" xr:uid="{00000000-0005-0000-0000-000024950000}"/>
    <cellStyle name="Normal 8 2 2 2 4" xfId="4810" xr:uid="{00000000-0005-0000-0000-000025950000}"/>
    <cellStyle name="Normal 8 2 2 2 4 2" xfId="11911" xr:uid="{00000000-0005-0000-0000-000026950000}"/>
    <cellStyle name="Normal 8 2 2 2 4 3" xfId="19012" xr:uid="{00000000-0005-0000-0000-000027950000}"/>
    <cellStyle name="Normal 8 2 2 2 4 4" xfId="26114" xr:uid="{00000000-0005-0000-0000-000028950000}"/>
    <cellStyle name="Normal 8 2 2 2 4 5" xfId="33216" xr:uid="{00000000-0005-0000-0000-000029950000}"/>
    <cellStyle name="Normal 8 2 2 2 4 6" xfId="41157" xr:uid="{00000000-0005-0000-0000-00002A950000}"/>
    <cellStyle name="Normal 8 2 2 2 5" xfId="3385" xr:uid="{00000000-0005-0000-0000-00002B950000}"/>
    <cellStyle name="Normal 8 2 2 2 5 2" xfId="10491" xr:uid="{00000000-0005-0000-0000-00002C950000}"/>
    <cellStyle name="Normal 8 2 2 2 5 3" xfId="17592" xr:uid="{00000000-0005-0000-0000-00002D950000}"/>
    <cellStyle name="Normal 8 2 2 2 5 4" xfId="24694" xr:uid="{00000000-0005-0000-0000-00002E950000}"/>
    <cellStyle name="Normal 8 2 2 2 5 5" xfId="31796" xr:uid="{00000000-0005-0000-0000-00002F950000}"/>
    <cellStyle name="Normal 8 2 2 2 6" xfId="7651" xr:uid="{00000000-0005-0000-0000-000030950000}"/>
    <cellStyle name="Normal 8 2 2 2 7" xfId="14752" xr:uid="{00000000-0005-0000-0000-000031950000}"/>
    <cellStyle name="Normal 8 2 2 2 8" xfId="21854" xr:uid="{00000000-0005-0000-0000-000032950000}"/>
    <cellStyle name="Normal 8 2 2 2 9" xfId="28956" xr:uid="{00000000-0005-0000-0000-000033950000}"/>
    <cellStyle name="Normal 8 2 2 3" xfId="685" xr:uid="{00000000-0005-0000-0000-000034950000}"/>
    <cellStyle name="Normal 8 2 2 3 2" xfId="2176" xr:uid="{00000000-0005-0000-0000-000035950000}"/>
    <cellStyle name="Normal 8 2 2 3 2 2" xfId="6444" xr:uid="{00000000-0005-0000-0000-000036950000}"/>
    <cellStyle name="Normal 8 2 2 3 2 2 2" xfId="13544" xr:uid="{00000000-0005-0000-0000-000037950000}"/>
    <cellStyle name="Normal 8 2 2 3 2 2 3" xfId="20645" xr:uid="{00000000-0005-0000-0000-000038950000}"/>
    <cellStyle name="Normal 8 2 2 3 2 2 4" xfId="27747" xr:uid="{00000000-0005-0000-0000-000039950000}"/>
    <cellStyle name="Normal 8 2 2 3 2 2 5" xfId="34849" xr:uid="{00000000-0005-0000-0000-00003A950000}"/>
    <cellStyle name="Normal 8 2 2 3 2 2 6" xfId="41158" xr:uid="{00000000-0005-0000-0000-00003B950000}"/>
    <cellStyle name="Normal 8 2 2 3 2 3" xfId="9284" xr:uid="{00000000-0005-0000-0000-00003C950000}"/>
    <cellStyle name="Normal 8 2 2 3 2 4" xfId="16385" xr:uid="{00000000-0005-0000-0000-00003D950000}"/>
    <cellStyle name="Normal 8 2 2 3 2 5" xfId="23487" xr:uid="{00000000-0005-0000-0000-00003E950000}"/>
    <cellStyle name="Normal 8 2 2 3 2 6" xfId="30589" xr:uid="{00000000-0005-0000-0000-00003F950000}"/>
    <cellStyle name="Normal 8 2 2 3 2 7" xfId="41159" xr:uid="{00000000-0005-0000-0000-000040950000}"/>
    <cellStyle name="Normal 8 2 2 3 3" xfId="5023" xr:uid="{00000000-0005-0000-0000-000041950000}"/>
    <cellStyle name="Normal 8 2 2 3 3 2" xfId="12124" xr:uid="{00000000-0005-0000-0000-000042950000}"/>
    <cellStyle name="Normal 8 2 2 3 3 2 2" xfId="41160" xr:uid="{00000000-0005-0000-0000-000043950000}"/>
    <cellStyle name="Normal 8 2 2 3 3 3" xfId="19225" xr:uid="{00000000-0005-0000-0000-000044950000}"/>
    <cellStyle name="Normal 8 2 2 3 3 4" xfId="26327" xr:uid="{00000000-0005-0000-0000-000045950000}"/>
    <cellStyle name="Normal 8 2 2 3 3 5" xfId="33429" xr:uid="{00000000-0005-0000-0000-000046950000}"/>
    <cellStyle name="Normal 8 2 2 3 3 6" xfId="41161" xr:uid="{00000000-0005-0000-0000-000047950000}"/>
    <cellStyle name="Normal 8 2 2 3 4" xfId="3598" xr:uid="{00000000-0005-0000-0000-000048950000}"/>
    <cellStyle name="Normal 8 2 2 3 4 2" xfId="10704" xr:uid="{00000000-0005-0000-0000-000049950000}"/>
    <cellStyle name="Normal 8 2 2 3 4 3" xfId="17805" xr:uid="{00000000-0005-0000-0000-00004A950000}"/>
    <cellStyle name="Normal 8 2 2 3 4 4" xfId="24907" xr:uid="{00000000-0005-0000-0000-00004B950000}"/>
    <cellStyle name="Normal 8 2 2 3 4 5" xfId="32009" xr:uid="{00000000-0005-0000-0000-00004C950000}"/>
    <cellStyle name="Normal 8 2 2 3 4 6" xfId="41162" xr:uid="{00000000-0005-0000-0000-00004D950000}"/>
    <cellStyle name="Normal 8 2 2 3 5" xfId="7864" xr:uid="{00000000-0005-0000-0000-00004E950000}"/>
    <cellStyle name="Normal 8 2 2 3 6" xfId="14965" xr:uid="{00000000-0005-0000-0000-00004F950000}"/>
    <cellStyle name="Normal 8 2 2 3 7" xfId="22067" xr:uid="{00000000-0005-0000-0000-000050950000}"/>
    <cellStyle name="Normal 8 2 2 3 8" xfId="29169" xr:uid="{00000000-0005-0000-0000-000051950000}"/>
    <cellStyle name="Normal 8 2 2 3 9" xfId="41163" xr:uid="{00000000-0005-0000-0000-000052950000}"/>
    <cellStyle name="Normal 8 2 2 4" xfId="898" xr:uid="{00000000-0005-0000-0000-000053950000}"/>
    <cellStyle name="Normal 8 2 2 4 2" xfId="2389" xr:uid="{00000000-0005-0000-0000-000054950000}"/>
    <cellStyle name="Normal 8 2 2 4 2 2" xfId="6657" xr:uid="{00000000-0005-0000-0000-000055950000}"/>
    <cellStyle name="Normal 8 2 2 4 2 2 2" xfId="13757" xr:uid="{00000000-0005-0000-0000-000056950000}"/>
    <cellStyle name="Normal 8 2 2 4 2 2 3" xfId="20858" xr:uid="{00000000-0005-0000-0000-000057950000}"/>
    <cellStyle name="Normal 8 2 2 4 2 2 4" xfId="27960" xr:uid="{00000000-0005-0000-0000-000058950000}"/>
    <cellStyle name="Normal 8 2 2 4 2 2 5" xfId="35062" xr:uid="{00000000-0005-0000-0000-000059950000}"/>
    <cellStyle name="Normal 8 2 2 4 2 2 6" xfId="41164" xr:uid="{00000000-0005-0000-0000-00005A950000}"/>
    <cellStyle name="Normal 8 2 2 4 2 3" xfId="9497" xr:uid="{00000000-0005-0000-0000-00005B950000}"/>
    <cellStyle name="Normal 8 2 2 4 2 4" xfId="16598" xr:uid="{00000000-0005-0000-0000-00005C950000}"/>
    <cellStyle name="Normal 8 2 2 4 2 5" xfId="23700" xr:uid="{00000000-0005-0000-0000-00005D950000}"/>
    <cellStyle name="Normal 8 2 2 4 2 6" xfId="30802" xr:uid="{00000000-0005-0000-0000-00005E950000}"/>
    <cellStyle name="Normal 8 2 2 4 2 7" xfId="41165" xr:uid="{00000000-0005-0000-0000-00005F950000}"/>
    <cellStyle name="Normal 8 2 2 4 3" xfId="5236" xr:uid="{00000000-0005-0000-0000-000060950000}"/>
    <cellStyle name="Normal 8 2 2 4 3 2" xfId="12337" xr:uid="{00000000-0005-0000-0000-000061950000}"/>
    <cellStyle name="Normal 8 2 2 4 3 2 2" xfId="41166" xr:uid="{00000000-0005-0000-0000-000062950000}"/>
    <cellStyle name="Normal 8 2 2 4 3 3" xfId="19438" xr:uid="{00000000-0005-0000-0000-000063950000}"/>
    <cellStyle name="Normal 8 2 2 4 3 4" xfId="26540" xr:uid="{00000000-0005-0000-0000-000064950000}"/>
    <cellStyle name="Normal 8 2 2 4 3 5" xfId="33642" xr:uid="{00000000-0005-0000-0000-000065950000}"/>
    <cellStyle name="Normal 8 2 2 4 3 6" xfId="41167" xr:uid="{00000000-0005-0000-0000-000066950000}"/>
    <cellStyle name="Normal 8 2 2 4 4" xfId="3811" xr:uid="{00000000-0005-0000-0000-000067950000}"/>
    <cellStyle name="Normal 8 2 2 4 4 2" xfId="10917" xr:uid="{00000000-0005-0000-0000-000068950000}"/>
    <cellStyle name="Normal 8 2 2 4 4 3" xfId="18018" xr:uid="{00000000-0005-0000-0000-000069950000}"/>
    <cellStyle name="Normal 8 2 2 4 4 4" xfId="25120" xr:uid="{00000000-0005-0000-0000-00006A950000}"/>
    <cellStyle name="Normal 8 2 2 4 4 5" xfId="32222" xr:uid="{00000000-0005-0000-0000-00006B950000}"/>
    <cellStyle name="Normal 8 2 2 4 4 6" xfId="41168" xr:uid="{00000000-0005-0000-0000-00006C950000}"/>
    <cellStyle name="Normal 8 2 2 4 5" xfId="8077" xr:uid="{00000000-0005-0000-0000-00006D950000}"/>
    <cellStyle name="Normal 8 2 2 4 6" xfId="15178" xr:uid="{00000000-0005-0000-0000-00006E950000}"/>
    <cellStyle name="Normal 8 2 2 4 7" xfId="22280" xr:uid="{00000000-0005-0000-0000-00006F950000}"/>
    <cellStyle name="Normal 8 2 2 4 8" xfId="29382" xr:uid="{00000000-0005-0000-0000-000070950000}"/>
    <cellStyle name="Normal 8 2 2 4 9" xfId="41169" xr:uid="{00000000-0005-0000-0000-000071950000}"/>
    <cellStyle name="Normal 8 2 2 5" xfId="1040" xr:uid="{00000000-0005-0000-0000-000072950000}"/>
    <cellStyle name="Normal 8 2 2 5 2" xfId="2531" xr:uid="{00000000-0005-0000-0000-000073950000}"/>
    <cellStyle name="Normal 8 2 2 5 2 2" xfId="6799" xr:uid="{00000000-0005-0000-0000-000074950000}"/>
    <cellStyle name="Normal 8 2 2 5 2 2 2" xfId="13899" xr:uid="{00000000-0005-0000-0000-000075950000}"/>
    <cellStyle name="Normal 8 2 2 5 2 2 3" xfId="21000" xr:uid="{00000000-0005-0000-0000-000076950000}"/>
    <cellStyle name="Normal 8 2 2 5 2 2 4" xfId="28102" xr:uid="{00000000-0005-0000-0000-000077950000}"/>
    <cellStyle name="Normal 8 2 2 5 2 2 5" xfId="35204" xr:uid="{00000000-0005-0000-0000-000078950000}"/>
    <cellStyle name="Normal 8 2 2 5 2 3" xfId="9639" xr:uid="{00000000-0005-0000-0000-000079950000}"/>
    <cellStyle name="Normal 8 2 2 5 2 4" xfId="16740" xr:uid="{00000000-0005-0000-0000-00007A950000}"/>
    <cellStyle name="Normal 8 2 2 5 2 5" xfId="23842" xr:uid="{00000000-0005-0000-0000-00007B950000}"/>
    <cellStyle name="Normal 8 2 2 5 2 6" xfId="30944" xr:uid="{00000000-0005-0000-0000-00007C950000}"/>
    <cellStyle name="Normal 8 2 2 5 2 7" xfId="41170" xr:uid="{00000000-0005-0000-0000-00007D950000}"/>
    <cellStyle name="Normal 8 2 2 5 3" xfId="5378" xr:uid="{00000000-0005-0000-0000-00007E950000}"/>
    <cellStyle name="Normal 8 2 2 5 3 2" xfId="12479" xr:uid="{00000000-0005-0000-0000-00007F950000}"/>
    <cellStyle name="Normal 8 2 2 5 3 3" xfId="19580" xr:uid="{00000000-0005-0000-0000-000080950000}"/>
    <cellStyle name="Normal 8 2 2 5 3 4" xfId="26682" xr:uid="{00000000-0005-0000-0000-000081950000}"/>
    <cellStyle name="Normal 8 2 2 5 3 5" xfId="33784" xr:uid="{00000000-0005-0000-0000-000082950000}"/>
    <cellStyle name="Normal 8 2 2 5 4" xfId="3953" xr:uid="{00000000-0005-0000-0000-000083950000}"/>
    <cellStyle name="Normal 8 2 2 5 4 2" xfId="11059" xr:uid="{00000000-0005-0000-0000-000084950000}"/>
    <cellStyle name="Normal 8 2 2 5 4 3" xfId="18160" xr:uid="{00000000-0005-0000-0000-000085950000}"/>
    <cellStyle name="Normal 8 2 2 5 4 4" xfId="25262" xr:uid="{00000000-0005-0000-0000-000086950000}"/>
    <cellStyle name="Normal 8 2 2 5 4 5" xfId="32364" xr:uid="{00000000-0005-0000-0000-000087950000}"/>
    <cellStyle name="Normal 8 2 2 5 5" xfId="8219" xr:uid="{00000000-0005-0000-0000-000088950000}"/>
    <cellStyle name="Normal 8 2 2 5 6" xfId="15320" xr:uid="{00000000-0005-0000-0000-000089950000}"/>
    <cellStyle name="Normal 8 2 2 5 7" xfId="22422" xr:uid="{00000000-0005-0000-0000-00008A950000}"/>
    <cellStyle name="Normal 8 2 2 5 8" xfId="29524" xr:uid="{00000000-0005-0000-0000-00008B950000}"/>
    <cellStyle name="Normal 8 2 2 5 9" xfId="41171" xr:uid="{00000000-0005-0000-0000-00008C950000}"/>
    <cellStyle name="Normal 8 2 2 6" xfId="1466" xr:uid="{00000000-0005-0000-0000-00008D950000}"/>
    <cellStyle name="Normal 8 2 2 6 2" xfId="2957" xr:uid="{00000000-0005-0000-0000-00008E950000}"/>
    <cellStyle name="Normal 8 2 2 6 2 2" xfId="7225" xr:uid="{00000000-0005-0000-0000-00008F950000}"/>
    <cellStyle name="Normal 8 2 2 6 2 2 2" xfId="14325" xr:uid="{00000000-0005-0000-0000-000090950000}"/>
    <cellStyle name="Normal 8 2 2 6 2 2 3" xfId="21426" xr:uid="{00000000-0005-0000-0000-000091950000}"/>
    <cellStyle name="Normal 8 2 2 6 2 2 4" xfId="28528" xr:uid="{00000000-0005-0000-0000-000092950000}"/>
    <cellStyle name="Normal 8 2 2 6 2 2 5" xfId="35630" xr:uid="{00000000-0005-0000-0000-000093950000}"/>
    <cellStyle name="Normal 8 2 2 6 2 3" xfId="10065" xr:uid="{00000000-0005-0000-0000-000094950000}"/>
    <cellStyle name="Normal 8 2 2 6 2 4" xfId="17166" xr:uid="{00000000-0005-0000-0000-000095950000}"/>
    <cellStyle name="Normal 8 2 2 6 2 5" xfId="24268" xr:uid="{00000000-0005-0000-0000-000096950000}"/>
    <cellStyle name="Normal 8 2 2 6 2 6" xfId="31370" xr:uid="{00000000-0005-0000-0000-000097950000}"/>
    <cellStyle name="Normal 8 2 2 6 2 7" xfId="41172" xr:uid="{00000000-0005-0000-0000-000098950000}"/>
    <cellStyle name="Normal 8 2 2 6 3" xfId="5804" xr:uid="{00000000-0005-0000-0000-000099950000}"/>
    <cellStyle name="Normal 8 2 2 6 3 2" xfId="12905" xr:uid="{00000000-0005-0000-0000-00009A950000}"/>
    <cellStyle name="Normal 8 2 2 6 3 3" xfId="20006" xr:uid="{00000000-0005-0000-0000-00009B950000}"/>
    <cellStyle name="Normal 8 2 2 6 3 4" xfId="27108" xr:uid="{00000000-0005-0000-0000-00009C950000}"/>
    <cellStyle name="Normal 8 2 2 6 3 5" xfId="34210" xr:uid="{00000000-0005-0000-0000-00009D950000}"/>
    <cellStyle name="Normal 8 2 2 6 4" xfId="4379" xr:uid="{00000000-0005-0000-0000-00009E950000}"/>
    <cellStyle name="Normal 8 2 2 6 4 2" xfId="11485" xr:uid="{00000000-0005-0000-0000-00009F950000}"/>
    <cellStyle name="Normal 8 2 2 6 4 3" xfId="18586" xr:uid="{00000000-0005-0000-0000-0000A0950000}"/>
    <cellStyle name="Normal 8 2 2 6 4 4" xfId="25688" xr:uid="{00000000-0005-0000-0000-0000A1950000}"/>
    <cellStyle name="Normal 8 2 2 6 4 5" xfId="32790" xr:uid="{00000000-0005-0000-0000-0000A2950000}"/>
    <cellStyle name="Normal 8 2 2 6 5" xfId="8645" xr:uid="{00000000-0005-0000-0000-0000A3950000}"/>
    <cellStyle name="Normal 8 2 2 6 6" xfId="15746" xr:uid="{00000000-0005-0000-0000-0000A4950000}"/>
    <cellStyle name="Normal 8 2 2 6 7" xfId="22848" xr:uid="{00000000-0005-0000-0000-0000A5950000}"/>
    <cellStyle name="Normal 8 2 2 6 8" xfId="29950" xr:uid="{00000000-0005-0000-0000-0000A6950000}"/>
    <cellStyle name="Normal 8 2 2 6 9" xfId="41173" xr:uid="{00000000-0005-0000-0000-0000A7950000}"/>
    <cellStyle name="Normal 8 2 2 7" xfId="1750" xr:uid="{00000000-0005-0000-0000-0000A8950000}"/>
    <cellStyle name="Normal 8 2 2 7 2" xfId="6018" xr:uid="{00000000-0005-0000-0000-0000A9950000}"/>
    <cellStyle name="Normal 8 2 2 7 2 2" xfId="13118" xr:uid="{00000000-0005-0000-0000-0000AA950000}"/>
    <cellStyle name="Normal 8 2 2 7 2 3" xfId="20219" xr:uid="{00000000-0005-0000-0000-0000AB950000}"/>
    <cellStyle name="Normal 8 2 2 7 2 4" xfId="27321" xr:uid="{00000000-0005-0000-0000-0000AC950000}"/>
    <cellStyle name="Normal 8 2 2 7 2 5" xfId="34423" xr:uid="{00000000-0005-0000-0000-0000AD950000}"/>
    <cellStyle name="Normal 8 2 2 7 3" xfId="8858" xr:uid="{00000000-0005-0000-0000-0000AE950000}"/>
    <cellStyle name="Normal 8 2 2 7 4" xfId="15959" xr:uid="{00000000-0005-0000-0000-0000AF950000}"/>
    <cellStyle name="Normal 8 2 2 7 5" xfId="23061" xr:uid="{00000000-0005-0000-0000-0000B0950000}"/>
    <cellStyle name="Normal 8 2 2 7 6" xfId="30163" xr:uid="{00000000-0005-0000-0000-0000B1950000}"/>
    <cellStyle name="Normal 8 2 2 7 7" xfId="41174" xr:uid="{00000000-0005-0000-0000-0000B2950000}"/>
    <cellStyle name="Normal 8 2 2 8" xfId="4597" xr:uid="{00000000-0005-0000-0000-0000B3950000}"/>
    <cellStyle name="Normal 8 2 2 8 2" xfId="11698" xr:uid="{00000000-0005-0000-0000-0000B4950000}"/>
    <cellStyle name="Normal 8 2 2 8 3" xfId="18799" xr:uid="{00000000-0005-0000-0000-0000B5950000}"/>
    <cellStyle name="Normal 8 2 2 8 4" xfId="25901" xr:uid="{00000000-0005-0000-0000-0000B6950000}"/>
    <cellStyle name="Normal 8 2 2 8 5" xfId="33003" xr:uid="{00000000-0005-0000-0000-0000B7950000}"/>
    <cellStyle name="Normal 8 2 2 9" xfId="3172" xr:uid="{00000000-0005-0000-0000-0000B8950000}"/>
    <cellStyle name="Normal 8 2 2 9 2" xfId="10278" xr:uid="{00000000-0005-0000-0000-0000B9950000}"/>
    <cellStyle name="Normal 8 2 2 9 3" xfId="17379" xr:uid="{00000000-0005-0000-0000-0000BA950000}"/>
    <cellStyle name="Normal 8 2 2 9 4" xfId="24481" xr:uid="{00000000-0005-0000-0000-0000BB950000}"/>
    <cellStyle name="Normal 8 2 2 9 5" xfId="31583" xr:uid="{00000000-0005-0000-0000-0000BC950000}"/>
    <cellStyle name="Normal 8 2 3" xfId="188" xr:uid="{00000000-0005-0000-0000-0000BD950000}"/>
    <cellStyle name="Normal 8 2 3 10" xfId="7367" xr:uid="{00000000-0005-0000-0000-0000BE950000}"/>
    <cellStyle name="Normal 8 2 3 11" xfId="14468" xr:uid="{00000000-0005-0000-0000-0000BF950000}"/>
    <cellStyle name="Normal 8 2 3 12" xfId="21570" xr:uid="{00000000-0005-0000-0000-0000C0950000}"/>
    <cellStyle name="Normal 8 2 3 13" xfId="28672" xr:uid="{00000000-0005-0000-0000-0000C1950000}"/>
    <cellStyle name="Normal 8 2 3 14" xfId="35774" xr:uid="{00000000-0005-0000-0000-0000C2950000}"/>
    <cellStyle name="Normal 8 2 3 15" xfId="41175" xr:uid="{00000000-0005-0000-0000-0000C3950000}"/>
    <cellStyle name="Normal 8 2 3 2" xfId="401" xr:uid="{00000000-0005-0000-0000-0000C4950000}"/>
    <cellStyle name="Normal 8 2 3 2 2" xfId="1892" xr:uid="{00000000-0005-0000-0000-0000C5950000}"/>
    <cellStyle name="Normal 8 2 3 2 2 2" xfId="6160" xr:uid="{00000000-0005-0000-0000-0000C6950000}"/>
    <cellStyle name="Normal 8 2 3 2 2 2 2" xfId="13260" xr:uid="{00000000-0005-0000-0000-0000C7950000}"/>
    <cellStyle name="Normal 8 2 3 2 2 2 3" xfId="20361" xr:uid="{00000000-0005-0000-0000-0000C8950000}"/>
    <cellStyle name="Normal 8 2 3 2 2 2 4" xfId="27463" xr:uid="{00000000-0005-0000-0000-0000C9950000}"/>
    <cellStyle name="Normal 8 2 3 2 2 2 5" xfId="34565" xr:uid="{00000000-0005-0000-0000-0000CA950000}"/>
    <cellStyle name="Normal 8 2 3 2 2 2 6" xfId="41176" xr:uid="{00000000-0005-0000-0000-0000CB950000}"/>
    <cellStyle name="Normal 8 2 3 2 2 3" xfId="9000" xr:uid="{00000000-0005-0000-0000-0000CC950000}"/>
    <cellStyle name="Normal 8 2 3 2 2 4" xfId="16101" xr:uid="{00000000-0005-0000-0000-0000CD950000}"/>
    <cellStyle name="Normal 8 2 3 2 2 5" xfId="23203" xr:uid="{00000000-0005-0000-0000-0000CE950000}"/>
    <cellStyle name="Normal 8 2 3 2 2 6" xfId="30305" xr:uid="{00000000-0005-0000-0000-0000CF950000}"/>
    <cellStyle name="Normal 8 2 3 2 2 7" xfId="41177" xr:uid="{00000000-0005-0000-0000-0000D0950000}"/>
    <cellStyle name="Normal 8 2 3 2 3" xfId="4739" xr:uid="{00000000-0005-0000-0000-0000D1950000}"/>
    <cellStyle name="Normal 8 2 3 2 3 2" xfId="11840" xr:uid="{00000000-0005-0000-0000-0000D2950000}"/>
    <cellStyle name="Normal 8 2 3 2 3 2 2" xfId="41178" xr:uid="{00000000-0005-0000-0000-0000D3950000}"/>
    <cellStyle name="Normal 8 2 3 2 3 3" xfId="18941" xr:uid="{00000000-0005-0000-0000-0000D4950000}"/>
    <cellStyle name="Normal 8 2 3 2 3 4" xfId="26043" xr:uid="{00000000-0005-0000-0000-0000D5950000}"/>
    <cellStyle name="Normal 8 2 3 2 3 5" xfId="33145" xr:uid="{00000000-0005-0000-0000-0000D6950000}"/>
    <cellStyle name="Normal 8 2 3 2 3 6" xfId="41179" xr:uid="{00000000-0005-0000-0000-0000D7950000}"/>
    <cellStyle name="Normal 8 2 3 2 4" xfId="3314" xr:uid="{00000000-0005-0000-0000-0000D8950000}"/>
    <cellStyle name="Normal 8 2 3 2 4 2" xfId="10420" xr:uid="{00000000-0005-0000-0000-0000D9950000}"/>
    <cellStyle name="Normal 8 2 3 2 4 3" xfId="17521" xr:uid="{00000000-0005-0000-0000-0000DA950000}"/>
    <cellStyle name="Normal 8 2 3 2 4 4" xfId="24623" xr:uid="{00000000-0005-0000-0000-0000DB950000}"/>
    <cellStyle name="Normal 8 2 3 2 4 5" xfId="31725" xr:uid="{00000000-0005-0000-0000-0000DC950000}"/>
    <cellStyle name="Normal 8 2 3 2 4 6" xfId="41180" xr:uid="{00000000-0005-0000-0000-0000DD950000}"/>
    <cellStyle name="Normal 8 2 3 2 5" xfId="7580" xr:uid="{00000000-0005-0000-0000-0000DE950000}"/>
    <cellStyle name="Normal 8 2 3 2 6" xfId="14681" xr:uid="{00000000-0005-0000-0000-0000DF950000}"/>
    <cellStyle name="Normal 8 2 3 2 7" xfId="21783" xr:uid="{00000000-0005-0000-0000-0000E0950000}"/>
    <cellStyle name="Normal 8 2 3 2 8" xfId="28885" xr:uid="{00000000-0005-0000-0000-0000E1950000}"/>
    <cellStyle name="Normal 8 2 3 2 9" xfId="41181" xr:uid="{00000000-0005-0000-0000-0000E2950000}"/>
    <cellStyle name="Normal 8 2 3 3" xfId="614" xr:uid="{00000000-0005-0000-0000-0000E3950000}"/>
    <cellStyle name="Normal 8 2 3 3 2" xfId="2105" xr:uid="{00000000-0005-0000-0000-0000E4950000}"/>
    <cellStyle name="Normal 8 2 3 3 2 2" xfId="6373" xr:uid="{00000000-0005-0000-0000-0000E5950000}"/>
    <cellStyle name="Normal 8 2 3 3 2 2 2" xfId="13473" xr:uid="{00000000-0005-0000-0000-0000E6950000}"/>
    <cellStyle name="Normal 8 2 3 3 2 2 3" xfId="20574" xr:uid="{00000000-0005-0000-0000-0000E7950000}"/>
    <cellStyle name="Normal 8 2 3 3 2 2 4" xfId="27676" xr:uid="{00000000-0005-0000-0000-0000E8950000}"/>
    <cellStyle name="Normal 8 2 3 3 2 2 5" xfId="34778" xr:uid="{00000000-0005-0000-0000-0000E9950000}"/>
    <cellStyle name="Normal 8 2 3 3 2 2 6" xfId="41182" xr:uid="{00000000-0005-0000-0000-0000EA950000}"/>
    <cellStyle name="Normal 8 2 3 3 2 3" xfId="9213" xr:uid="{00000000-0005-0000-0000-0000EB950000}"/>
    <cellStyle name="Normal 8 2 3 3 2 4" xfId="16314" xr:uid="{00000000-0005-0000-0000-0000EC950000}"/>
    <cellStyle name="Normal 8 2 3 3 2 5" xfId="23416" xr:uid="{00000000-0005-0000-0000-0000ED950000}"/>
    <cellStyle name="Normal 8 2 3 3 2 6" xfId="30518" xr:uid="{00000000-0005-0000-0000-0000EE950000}"/>
    <cellStyle name="Normal 8 2 3 3 2 7" xfId="41183" xr:uid="{00000000-0005-0000-0000-0000EF950000}"/>
    <cellStyle name="Normal 8 2 3 3 3" xfId="4952" xr:uid="{00000000-0005-0000-0000-0000F0950000}"/>
    <cellStyle name="Normal 8 2 3 3 3 2" xfId="12053" xr:uid="{00000000-0005-0000-0000-0000F1950000}"/>
    <cellStyle name="Normal 8 2 3 3 3 2 2" xfId="41184" xr:uid="{00000000-0005-0000-0000-0000F2950000}"/>
    <cellStyle name="Normal 8 2 3 3 3 3" xfId="19154" xr:uid="{00000000-0005-0000-0000-0000F3950000}"/>
    <cellStyle name="Normal 8 2 3 3 3 4" xfId="26256" xr:uid="{00000000-0005-0000-0000-0000F4950000}"/>
    <cellStyle name="Normal 8 2 3 3 3 5" xfId="33358" xr:uid="{00000000-0005-0000-0000-0000F5950000}"/>
    <cellStyle name="Normal 8 2 3 3 3 6" xfId="41185" xr:uid="{00000000-0005-0000-0000-0000F6950000}"/>
    <cellStyle name="Normal 8 2 3 3 4" xfId="3527" xr:uid="{00000000-0005-0000-0000-0000F7950000}"/>
    <cellStyle name="Normal 8 2 3 3 4 2" xfId="10633" xr:uid="{00000000-0005-0000-0000-0000F8950000}"/>
    <cellStyle name="Normal 8 2 3 3 4 3" xfId="17734" xr:uid="{00000000-0005-0000-0000-0000F9950000}"/>
    <cellStyle name="Normal 8 2 3 3 4 4" xfId="24836" xr:uid="{00000000-0005-0000-0000-0000FA950000}"/>
    <cellStyle name="Normal 8 2 3 3 4 5" xfId="31938" xr:uid="{00000000-0005-0000-0000-0000FB950000}"/>
    <cellStyle name="Normal 8 2 3 3 4 6" xfId="41186" xr:uid="{00000000-0005-0000-0000-0000FC950000}"/>
    <cellStyle name="Normal 8 2 3 3 5" xfId="7793" xr:uid="{00000000-0005-0000-0000-0000FD950000}"/>
    <cellStyle name="Normal 8 2 3 3 6" xfId="14894" xr:uid="{00000000-0005-0000-0000-0000FE950000}"/>
    <cellStyle name="Normal 8 2 3 3 7" xfId="21996" xr:uid="{00000000-0005-0000-0000-0000FF950000}"/>
    <cellStyle name="Normal 8 2 3 3 8" xfId="29098" xr:uid="{00000000-0005-0000-0000-000000960000}"/>
    <cellStyle name="Normal 8 2 3 3 9" xfId="41187" xr:uid="{00000000-0005-0000-0000-000001960000}"/>
    <cellStyle name="Normal 8 2 3 4" xfId="827" xr:uid="{00000000-0005-0000-0000-000002960000}"/>
    <cellStyle name="Normal 8 2 3 4 2" xfId="2318" xr:uid="{00000000-0005-0000-0000-000003960000}"/>
    <cellStyle name="Normal 8 2 3 4 2 2" xfId="6586" xr:uid="{00000000-0005-0000-0000-000004960000}"/>
    <cellStyle name="Normal 8 2 3 4 2 2 2" xfId="13686" xr:uid="{00000000-0005-0000-0000-000005960000}"/>
    <cellStyle name="Normal 8 2 3 4 2 2 3" xfId="20787" xr:uid="{00000000-0005-0000-0000-000006960000}"/>
    <cellStyle name="Normal 8 2 3 4 2 2 4" xfId="27889" xr:uid="{00000000-0005-0000-0000-000007960000}"/>
    <cellStyle name="Normal 8 2 3 4 2 2 5" xfId="34991" xr:uid="{00000000-0005-0000-0000-000008960000}"/>
    <cellStyle name="Normal 8 2 3 4 2 2 6" xfId="41188" xr:uid="{00000000-0005-0000-0000-000009960000}"/>
    <cellStyle name="Normal 8 2 3 4 2 3" xfId="9426" xr:uid="{00000000-0005-0000-0000-00000A960000}"/>
    <cellStyle name="Normal 8 2 3 4 2 4" xfId="16527" xr:uid="{00000000-0005-0000-0000-00000B960000}"/>
    <cellStyle name="Normal 8 2 3 4 2 5" xfId="23629" xr:uid="{00000000-0005-0000-0000-00000C960000}"/>
    <cellStyle name="Normal 8 2 3 4 2 6" xfId="30731" xr:uid="{00000000-0005-0000-0000-00000D960000}"/>
    <cellStyle name="Normal 8 2 3 4 2 7" xfId="41189" xr:uid="{00000000-0005-0000-0000-00000E960000}"/>
    <cellStyle name="Normal 8 2 3 4 3" xfId="5165" xr:uid="{00000000-0005-0000-0000-00000F960000}"/>
    <cellStyle name="Normal 8 2 3 4 3 2" xfId="12266" xr:uid="{00000000-0005-0000-0000-000010960000}"/>
    <cellStyle name="Normal 8 2 3 4 3 2 2" xfId="41190" xr:uid="{00000000-0005-0000-0000-000011960000}"/>
    <cellStyle name="Normal 8 2 3 4 3 3" xfId="19367" xr:uid="{00000000-0005-0000-0000-000012960000}"/>
    <cellStyle name="Normal 8 2 3 4 3 4" xfId="26469" xr:uid="{00000000-0005-0000-0000-000013960000}"/>
    <cellStyle name="Normal 8 2 3 4 3 5" xfId="33571" xr:uid="{00000000-0005-0000-0000-000014960000}"/>
    <cellStyle name="Normal 8 2 3 4 3 6" xfId="41191" xr:uid="{00000000-0005-0000-0000-000015960000}"/>
    <cellStyle name="Normal 8 2 3 4 4" xfId="3740" xr:uid="{00000000-0005-0000-0000-000016960000}"/>
    <cellStyle name="Normal 8 2 3 4 4 2" xfId="10846" xr:uid="{00000000-0005-0000-0000-000017960000}"/>
    <cellStyle name="Normal 8 2 3 4 4 3" xfId="17947" xr:uid="{00000000-0005-0000-0000-000018960000}"/>
    <cellStyle name="Normal 8 2 3 4 4 4" xfId="25049" xr:uid="{00000000-0005-0000-0000-000019960000}"/>
    <cellStyle name="Normal 8 2 3 4 4 5" xfId="32151" xr:uid="{00000000-0005-0000-0000-00001A960000}"/>
    <cellStyle name="Normal 8 2 3 4 4 6" xfId="41192" xr:uid="{00000000-0005-0000-0000-00001B960000}"/>
    <cellStyle name="Normal 8 2 3 4 5" xfId="8006" xr:uid="{00000000-0005-0000-0000-00001C960000}"/>
    <cellStyle name="Normal 8 2 3 4 6" xfId="15107" xr:uid="{00000000-0005-0000-0000-00001D960000}"/>
    <cellStyle name="Normal 8 2 3 4 7" xfId="22209" xr:uid="{00000000-0005-0000-0000-00001E960000}"/>
    <cellStyle name="Normal 8 2 3 4 8" xfId="29311" xr:uid="{00000000-0005-0000-0000-00001F960000}"/>
    <cellStyle name="Normal 8 2 3 4 9" xfId="41193" xr:uid="{00000000-0005-0000-0000-000020960000}"/>
    <cellStyle name="Normal 8 2 3 5" xfId="1182" xr:uid="{00000000-0005-0000-0000-000021960000}"/>
    <cellStyle name="Normal 8 2 3 5 2" xfId="2673" xr:uid="{00000000-0005-0000-0000-000022960000}"/>
    <cellStyle name="Normal 8 2 3 5 2 2" xfId="6941" xr:uid="{00000000-0005-0000-0000-000023960000}"/>
    <cellStyle name="Normal 8 2 3 5 2 2 2" xfId="14041" xr:uid="{00000000-0005-0000-0000-000024960000}"/>
    <cellStyle name="Normal 8 2 3 5 2 2 3" xfId="21142" xr:uid="{00000000-0005-0000-0000-000025960000}"/>
    <cellStyle name="Normal 8 2 3 5 2 2 4" xfId="28244" xr:uid="{00000000-0005-0000-0000-000026960000}"/>
    <cellStyle name="Normal 8 2 3 5 2 2 5" xfId="35346" xr:uid="{00000000-0005-0000-0000-000027960000}"/>
    <cellStyle name="Normal 8 2 3 5 2 3" xfId="9781" xr:uid="{00000000-0005-0000-0000-000028960000}"/>
    <cellStyle name="Normal 8 2 3 5 2 4" xfId="16882" xr:uid="{00000000-0005-0000-0000-000029960000}"/>
    <cellStyle name="Normal 8 2 3 5 2 5" xfId="23984" xr:uid="{00000000-0005-0000-0000-00002A960000}"/>
    <cellStyle name="Normal 8 2 3 5 2 6" xfId="31086" xr:uid="{00000000-0005-0000-0000-00002B960000}"/>
    <cellStyle name="Normal 8 2 3 5 2 7" xfId="41194" xr:uid="{00000000-0005-0000-0000-00002C960000}"/>
    <cellStyle name="Normal 8 2 3 5 3" xfId="5520" xr:uid="{00000000-0005-0000-0000-00002D960000}"/>
    <cellStyle name="Normal 8 2 3 5 3 2" xfId="12621" xr:uid="{00000000-0005-0000-0000-00002E960000}"/>
    <cellStyle name="Normal 8 2 3 5 3 3" xfId="19722" xr:uid="{00000000-0005-0000-0000-00002F960000}"/>
    <cellStyle name="Normal 8 2 3 5 3 4" xfId="26824" xr:uid="{00000000-0005-0000-0000-000030960000}"/>
    <cellStyle name="Normal 8 2 3 5 3 5" xfId="33926" xr:uid="{00000000-0005-0000-0000-000031960000}"/>
    <cellStyle name="Normal 8 2 3 5 4" xfId="4095" xr:uid="{00000000-0005-0000-0000-000032960000}"/>
    <cellStyle name="Normal 8 2 3 5 4 2" xfId="11201" xr:uid="{00000000-0005-0000-0000-000033960000}"/>
    <cellStyle name="Normal 8 2 3 5 4 3" xfId="18302" xr:uid="{00000000-0005-0000-0000-000034960000}"/>
    <cellStyle name="Normal 8 2 3 5 4 4" xfId="25404" xr:uid="{00000000-0005-0000-0000-000035960000}"/>
    <cellStyle name="Normal 8 2 3 5 4 5" xfId="32506" xr:uid="{00000000-0005-0000-0000-000036960000}"/>
    <cellStyle name="Normal 8 2 3 5 5" xfId="8361" xr:uid="{00000000-0005-0000-0000-000037960000}"/>
    <cellStyle name="Normal 8 2 3 5 6" xfId="15462" xr:uid="{00000000-0005-0000-0000-000038960000}"/>
    <cellStyle name="Normal 8 2 3 5 7" xfId="22564" xr:uid="{00000000-0005-0000-0000-000039960000}"/>
    <cellStyle name="Normal 8 2 3 5 8" xfId="29666" xr:uid="{00000000-0005-0000-0000-00003A960000}"/>
    <cellStyle name="Normal 8 2 3 5 9" xfId="41195" xr:uid="{00000000-0005-0000-0000-00003B960000}"/>
    <cellStyle name="Normal 8 2 3 6" xfId="1395" xr:uid="{00000000-0005-0000-0000-00003C960000}"/>
    <cellStyle name="Normal 8 2 3 6 2" xfId="2886" xr:uid="{00000000-0005-0000-0000-00003D960000}"/>
    <cellStyle name="Normal 8 2 3 6 2 2" xfId="7154" xr:uid="{00000000-0005-0000-0000-00003E960000}"/>
    <cellStyle name="Normal 8 2 3 6 2 2 2" xfId="14254" xr:uid="{00000000-0005-0000-0000-00003F960000}"/>
    <cellStyle name="Normal 8 2 3 6 2 2 3" xfId="21355" xr:uid="{00000000-0005-0000-0000-000040960000}"/>
    <cellStyle name="Normal 8 2 3 6 2 2 4" xfId="28457" xr:uid="{00000000-0005-0000-0000-000041960000}"/>
    <cellStyle name="Normal 8 2 3 6 2 2 5" xfId="35559" xr:uid="{00000000-0005-0000-0000-000042960000}"/>
    <cellStyle name="Normal 8 2 3 6 2 3" xfId="9994" xr:uid="{00000000-0005-0000-0000-000043960000}"/>
    <cellStyle name="Normal 8 2 3 6 2 4" xfId="17095" xr:uid="{00000000-0005-0000-0000-000044960000}"/>
    <cellStyle name="Normal 8 2 3 6 2 5" xfId="24197" xr:uid="{00000000-0005-0000-0000-000045960000}"/>
    <cellStyle name="Normal 8 2 3 6 2 6" xfId="31299" xr:uid="{00000000-0005-0000-0000-000046960000}"/>
    <cellStyle name="Normal 8 2 3 6 2 7" xfId="41196" xr:uid="{00000000-0005-0000-0000-000047960000}"/>
    <cellStyle name="Normal 8 2 3 6 3" xfId="5733" xr:uid="{00000000-0005-0000-0000-000048960000}"/>
    <cellStyle name="Normal 8 2 3 6 3 2" xfId="12834" xr:uid="{00000000-0005-0000-0000-000049960000}"/>
    <cellStyle name="Normal 8 2 3 6 3 3" xfId="19935" xr:uid="{00000000-0005-0000-0000-00004A960000}"/>
    <cellStyle name="Normal 8 2 3 6 3 4" xfId="27037" xr:uid="{00000000-0005-0000-0000-00004B960000}"/>
    <cellStyle name="Normal 8 2 3 6 3 5" xfId="34139" xr:uid="{00000000-0005-0000-0000-00004C960000}"/>
    <cellStyle name="Normal 8 2 3 6 4" xfId="4308" xr:uid="{00000000-0005-0000-0000-00004D960000}"/>
    <cellStyle name="Normal 8 2 3 6 4 2" xfId="11414" xr:uid="{00000000-0005-0000-0000-00004E960000}"/>
    <cellStyle name="Normal 8 2 3 6 4 3" xfId="18515" xr:uid="{00000000-0005-0000-0000-00004F960000}"/>
    <cellStyle name="Normal 8 2 3 6 4 4" xfId="25617" xr:uid="{00000000-0005-0000-0000-000050960000}"/>
    <cellStyle name="Normal 8 2 3 6 4 5" xfId="32719" xr:uid="{00000000-0005-0000-0000-000051960000}"/>
    <cellStyle name="Normal 8 2 3 6 5" xfId="8574" xr:uid="{00000000-0005-0000-0000-000052960000}"/>
    <cellStyle name="Normal 8 2 3 6 6" xfId="15675" xr:uid="{00000000-0005-0000-0000-000053960000}"/>
    <cellStyle name="Normal 8 2 3 6 7" xfId="22777" xr:uid="{00000000-0005-0000-0000-000054960000}"/>
    <cellStyle name="Normal 8 2 3 6 8" xfId="29879" xr:uid="{00000000-0005-0000-0000-000055960000}"/>
    <cellStyle name="Normal 8 2 3 6 9" xfId="41197" xr:uid="{00000000-0005-0000-0000-000056960000}"/>
    <cellStyle name="Normal 8 2 3 7" xfId="1679" xr:uid="{00000000-0005-0000-0000-000057960000}"/>
    <cellStyle name="Normal 8 2 3 7 2" xfId="5947" xr:uid="{00000000-0005-0000-0000-000058960000}"/>
    <cellStyle name="Normal 8 2 3 7 2 2" xfId="13047" xr:uid="{00000000-0005-0000-0000-000059960000}"/>
    <cellStyle name="Normal 8 2 3 7 2 3" xfId="20148" xr:uid="{00000000-0005-0000-0000-00005A960000}"/>
    <cellStyle name="Normal 8 2 3 7 2 4" xfId="27250" xr:uid="{00000000-0005-0000-0000-00005B960000}"/>
    <cellStyle name="Normal 8 2 3 7 2 5" xfId="34352" xr:uid="{00000000-0005-0000-0000-00005C960000}"/>
    <cellStyle name="Normal 8 2 3 7 3" xfId="8787" xr:uid="{00000000-0005-0000-0000-00005D960000}"/>
    <cellStyle name="Normal 8 2 3 7 4" xfId="15888" xr:uid="{00000000-0005-0000-0000-00005E960000}"/>
    <cellStyle name="Normal 8 2 3 7 5" xfId="22990" xr:uid="{00000000-0005-0000-0000-00005F960000}"/>
    <cellStyle name="Normal 8 2 3 7 6" xfId="30092" xr:uid="{00000000-0005-0000-0000-000060960000}"/>
    <cellStyle name="Normal 8 2 3 7 7" xfId="41198" xr:uid="{00000000-0005-0000-0000-000061960000}"/>
    <cellStyle name="Normal 8 2 3 8" xfId="4526" xr:uid="{00000000-0005-0000-0000-000062960000}"/>
    <cellStyle name="Normal 8 2 3 8 2" xfId="11627" xr:uid="{00000000-0005-0000-0000-000063960000}"/>
    <cellStyle name="Normal 8 2 3 8 3" xfId="18728" xr:uid="{00000000-0005-0000-0000-000064960000}"/>
    <cellStyle name="Normal 8 2 3 8 4" xfId="25830" xr:uid="{00000000-0005-0000-0000-000065960000}"/>
    <cellStyle name="Normal 8 2 3 8 5" xfId="32932" xr:uid="{00000000-0005-0000-0000-000066960000}"/>
    <cellStyle name="Normal 8 2 3 9" xfId="3101" xr:uid="{00000000-0005-0000-0000-000067960000}"/>
    <cellStyle name="Normal 8 2 3 9 2" xfId="10207" xr:uid="{00000000-0005-0000-0000-000068960000}"/>
    <cellStyle name="Normal 8 2 3 9 3" xfId="17308" xr:uid="{00000000-0005-0000-0000-000069960000}"/>
    <cellStyle name="Normal 8 2 3 9 4" xfId="24410" xr:uid="{00000000-0005-0000-0000-00006A960000}"/>
    <cellStyle name="Normal 8 2 3 9 5" xfId="31512" xr:uid="{00000000-0005-0000-0000-00006B960000}"/>
    <cellStyle name="Normal 8 2 4" xfId="330" xr:uid="{00000000-0005-0000-0000-00006C960000}"/>
    <cellStyle name="Normal 8 2 4 10" xfId="41199" xr:uid="{00000000-0005-0000-0000-00006D960000}"/>
    <cellStyle name="Normal 8 2 4 2" xfId="1111" xr:uid="{00000000-0005-0000-0000-00006E960000}"/>
    <cellStyle name="Normal 8 2 4 2 2" xfId="2602" xr:uid="{00000000-0005-0000-0000-00006F960000}"/>
    <cellStyle name="Normal 8 2 4 2 2 2" xfId="6870" xr:uid="{00000000-0005-0000-0000-000070960000}"/>
    <cellStyle name="Normal 8 2 4 2 2 2 2" xfId="13970" xr:uid="{00000000-0005-0000-0000-000071960000}"/>
    <cellStyle name="Normal 8 2 4 2 2 2 3" xfId="21071" xr:uid="{00000000-0005-0000-0000-000072960000}"/>
    <cellStyle name="Normal 8 2 4 2 2 2 4" xfId="28173" xr:uid="{00000000-0005-0000-0000-000073960000}"/>
    <cellStyle name="Normal 8 2 4 2 2 2 5" xfId="35275" xr:uid="{00000000-0005-0000-0000-000074960000}"/>
    <cellStyle name="Normal 8 2 4 2 2 3" xfId="9710" xr:uid="{00000000-0005-0000-0000-000075960000}"/>
    <cellStyle name="Normal 8 2 4 2 2 4" xfId="16811" xr:uid="{00000000-0005-0000-0000-000076960000}"/>
    <cellStyle name="Normal 8 2 4 2 2 5" xfId="23913" xr:uid="{00000000-0005-0000-0000-000077960000}"/>
    <cellStyle name="Normal 8 2 4 2 2 6" xfId="31015" xr:uid="{00000000-0005-0000-0000-000078960000}"/>
    <cellStyle name="Normal 8 2 4 2 2 7" xfId="41200" xr:uid="{00000000-0005-0000-0000-000079960000}"/>
    <cellStyle name="Normal 8 2 4 2 3" xfId="5449" xr:uid="{00000000-0005-0000-0000-00007A960000}"/>
    <cellStyle name="Normal 8 2 4 2 3 2" xfId="12550" xr:uid="{00000000-0005-0000-0000-00007B960000}"/>
    <cellStyle name="Normal 8 2 4 2 3 3" xfId="19651" xr:uid="{00000000-0005-0000-0000-00007C960000}"/>
    <cellStyle name="Normal 8 2 4 2 3 4" xfId="26753" xr:uid="{00000000-0005-0000-0000-00007D960000}"/>
    <cellStyle name="Normal 8 2 4 2 3 5" xfId="33855" xr:uid="{00000000-0005-0000-0000-00007E960000}"/>
    <cellStyle name="Normal 8 2 4 2 4" xfId="4024" xr:uid="{00000000-0005-0000-0000-00007F960000}"/>
    <cellStyle name="Normal 8 2 4 2 4 2" xfId="11130" xr:uid="{00000000-0005-0000-0000-000080960000}"/>
    <cellStyle name="Normal 8 2 4 2 4 3" xfId="18231" xr:uid="{00000000-0005-0000-0000-000081960000}"/>
    <cellStyle name="Normal 8 2 4 2 4 4" xfId="25333" xr:uid="{00000000-0005-0000-0000-000082960000}"/>
    <cellStyle name="Normal 8 2 4 2 4 5" xfId="32435" xr:uid="{00000000-0005-0000-0000-000083960000}"/>
    <cellStyle name="Normal 8 2 4 2 5" xfId="8290" xr:uid="{00000000-0005-0000-0000-000084960000}"/>
    <cellStyle name="Normal 8 2 4 2 6" xfId="15391" xr:uid="{00000000-0005-0000-0000-000085960000}"/>
    <cellStyle name="Normal 8 2 4 2 7" xfId="22493" xr:uid="{00000000-0005-0000-0000-000086960000}"/>
    <cellStyle name="Normal 8 2 4 2 8" xfId="29595" xr:uid="{00000000-0005-0000-0000-000087960000}"/>
    <cellStyle name="Normal 8 2 4 2 9" xfId="41201" xr:uid="{00000000-0005-0000-0000-000088960000}"/>
    <cellStyle name="Normal 8 2 4 3" xfId="1821" xr:uid="{00000000-0005-0000-0000-000089960000}"/>
    <cellStyle name="Normal 8 2 4 3 2" xfId="6089" xr:uid="{00000000-0005-0000-0000-00008A960000}"/>
    <cellStyle name="Normal 8 2 4 3 2 2" xfId="13189" xr:uid="{00000000-0005-0000-0000-00008B960000}"/>
    <cellStyle name="Normal 8 2 4 3 2 3" xfId="20290" xr:uid="{00000000-0005-0000-0000-00008C960000}"/>
    <cellStyle name="Normal 8 2 4 3 2 4" xfId="27392" xr:uid="{00000000-0005-0000-0000-00008D960000}"/>
    <cellStyle name="Normal 8 2 4 3 2 5" xfId="34494" xr:uid="{00000000-0005-0000-0000-00008E960000}"/>
    <cellStyle name="Normal 8 2 4 3 2 6" xfId="41202" xr:uid="{00000000-0005-0000-0000-00008F960000}"/>
    <cellStyle name="Normal 8 2 4 3 3" xfId="8929" xr:uid="{00000000-0005-0000-0000-000090960000}"/>
    <cellStyle name="Normal 8 2 4 3 4" xfId="16030" xr:uid="{00000000-0005-0000-0000-000091960000}"/>
    <cellStyle name="Normal 8 2 4 3 5" xfId="23132" xr:uid="{00000000-0005-0000-0000-000092960000}"/>
    <cellStyle name="Normal 8 2 4 3 6" xfId="30234" xr:uid="{00000000-0005-0000-0000-000093960000}"/>
    <cellStyle name="Normal 8 2 4 3 7" xfId="41203" xr:uid="{00000000-0005-0000-0000-000094960000}"/>
    <cellStyle name="Normal 8 2 4 4" xfId="4668" xr:uid="{00000000-0005-0000-0000-000095960000}"/>
    <cellStyle name="Normal 8 2 4 4 2" xfId="11769" xr:uid="{00000000-0005-0000-0000-000096960000}"/>
    <cellStyle name="Normal 8 2 4 4 3" xfId="18870" xr:uid="{00000000-0005-0000-0000-000097960000}"/>
    <cellStyle name="Normal 8 2 4 4 4" xfId="25972" xr:uid="{00000000-0005-0000-0000-000098960000}"/>
    <cellStyle name="Normal 8 2 4 4 5" xfId="33074" xr:uid="{00000000-0005-0000-0000-000099960000}"/>
    <cellStyle name="Normal 8 2 4 4 6" xfId="41204" xr:uid="{00000000-0005-0000-0000-00009A960000}"/>
    <cellStyle name="Normal 8 2 4 5" xfId="3243" xr:uid="{00000000-0005-0000-0000-00009B960000}"/>
    <cellStyle name="Normal 8 2 4 5 2" xfId="10349" xr:uid="{00000000-0005-0000-0000-00009C960000}"/>
    <cellStyle name="Normal 8 2 4 5 3" xfId="17450" xr:uid="{00000000-0005-0000-0000-00009D960000}"/>
    <cellStyle name="Normal 8 2 4 5 4" xfId="24552" xr:uid="{00000000-0005-0000-0000-00009E960000}"/>
    <cellStyle name="Normal 8 2 4 5 5" xfId="31654" xr:uid="{00000000-0005-0000-0000-00009F960000}"/>
    <cellStyle name="Normal 8 2 4 6" xfId="7509" xr:uid="{00000000-0005-0000-0000-0000A0960000}"/>
    <cellStyle name="Normal 8 2 4 7" xfId="14610" xr:uid="{00000000-0005-0000-0000-0000A1960000}"/>
    <cellStyle name="Normal 8 2 4 8" xfId="21712" xr:uid="{00000000-0005-0000-0000-0000A2960000}"/>
    <cellStyle name="Normal 8 2 4 9" xfId="28814" xr:uid="{00000000-0005-0000-0000-0000A3960000}"/>
    <cellStyle name="Normal 8 2 5" xfId="543" xr:uid="{00000000-0005-0000-0000-0000A4960000}"/>
    <cellStyle name="Normal 8 2 5 2" xfId="2034" xr:uid="{00000000-0005-0000-0000-0000A5960000}"/>
    <cellStyle name="Normal 8 2 5 2 2" xfId="6302" xr:uid="{00000000-0005-0000-0000-0000A6960000}"/>
    <cellStyle name="Normal 8 2 5 2 2 2" xfId="13402" xr:uid="{00000000-0005-0000-0000-0000A7960000}"/>
    <cellStyle name="Normal 8 2 5 2 2 3" xfId="20503" xr:uid="{00000000-0005-0000-0000-0000A8960000}"/>
    <cellStyle name="Normal 8 2 5 2 2 4" xfId="27605" xr:uid="{00000000-0005-0000-0000-0000A9960000}"/>
    <cellStyle name="Normal 8 2 5 2 2 5" xfId="34707" xr:uid="{00000000-0005-0000-0000-0000AA960000}"/>
    <cellStyle name="Normal 8 2 5 2 2 6" xfId="41205" xr:uid="{00000000-0005-0000-0000-0000AB960000}"/>
    <cellStyle name="Normal 8 2 5 2 3" xfId="9142" xr:uid="{00000000-0005-0000-0000-0000AC960000}"/>
    <cellStyle name="Normal 8 2 5 2 4" xfId="16243" xr:uid="{00000000-0005-0000-0000-0000AD960000}"/>
    <cellStyle name="Normal 8 2 5 2 5" xfId="23345" xr:uid="{00000000-0005-0000-0000-0000AE960000}"/>
    <cellStyle name="Normal 8 2 5 2 6" xfId="30447" xr:uid="{00000000-0005-0000-0000-0000AF960000}"/>
    <cellStyle name="Normal 8 2 5 2 7" xfId="41206" xr:uid="{00000000-0005-0000-0000-0000B0960000}"/>
    <cellStyle name="Normal 8 2 5 3" xfId="4881" xr:uid="{00000000-0005-0000-0000-0000B1960000}"/>
    <cellStyle name="Normal 8 2 5 3 2" xfId="11982" xr:uid="{00000000-0005-0000-0000-0000B2960000}"/>
    <cellStyle name="Normal 8 2 5 3 2 2" xfId="41207" xr:uid="{00000000-0005-0000-0000-0000B3960000}"/>
    <cellStyle name="Normal 8 2 5 3 3" xfId="19083" xr:uid="{00000000-0005-0000-0000-0000B4960000}"/>
    <cellStyle name="Normal 8 2 5 3 4" xfId="26185" xr:uid="{00000000-0005-0000-0000-0000B5960000}"/>
    <cellStyle name="Normal 8 2 5 3 5" xfId="33287" xr:uid="{00000000-0005-0000-0000-0000B6960000}"/>
    <cellStyle name="Normal 8 2 5 3 6" xfId="41208" xr:uid="{00000000-0005-0000-0000-0000B7960000}"/>
    <cellStyle name="Normal 8 2 5 4" xfId="3456" xr:uid="{00000000-0005-0000-0000-0000B8960000}"/>
    <cellStyle name="Normal 8 2 5 4 2" xfId="10562" xr:uid="{00000000-0005-0000-0000-0000B9960000}"/>
    <cellStyle name="Normal 8 2 5 4 3" xfId="17663" xr:uid="{00000000-0005-0000-0000-0000BA960000}"/>
    <cellStyle name="Normal 8 2 5 4 4" xfId="24765" xr:uid="{00000000-0005-0000-0000-0000BB960000}"/>
    <cellStyle name="Normal 8 2 5 4 5" xfId="31867" xr:uid="{00000000-0005-0000-0000-0000BC960000}"/>
    <cellStyle name="Normal 8 2 5 4 6" xfId="41209" xr:uid="{00000000-0005-0000-0000-0000BD960000}"/>
    <cellStyle name="Normal 8 2 5 5" xfId="7722" xr:uid="{00000000-0005-0000-0000-0000BE960000}"/>
    <cellStyle name="Normal 8 2 5 6" xfId="14823" xr:uid="{00000000-0005-0000-0000-0000BF960000}"/>
    <cellStyle name="Normal 8 2 5 7" xfId="21925" xr:uid="{00000000-0005-0000-0000-0000C0960000}"/>
    <cellStyle name="Normal 8 2 5 8" xfId="29027" xr:uid="{00000000-0005-0000-0000-0000C1960000}"/>
    <cellStyle name="Normal 8 2 5 9" xfId="41210" xr:uid="{00000000-0005-0000-0000-0000C2960000}"/>
    <cellStyle name="Normal 8 2 6" xfId="756" xr:uid="{00000000-0005-0000-0000-0000C3960000}"/>
    <cellStyle name="Normal 8 2 6 2" xfId="2247" xr:uid="{00000000-0005-0000-0000-0000C4960000}"/>
    <cellStyle name="Normal 8 2 6 2 2" xfId="6515" xr:uid="{00000000-0005-0000-0000-0000C5960000}"/>
    <cellStyle name="Normal 8 2 6 2 2 2" xfId="13615" xr:uid="{00000000-0005-0000-0000-0000C6960000}"/>
    <cellStyle name="Normal 8 2 6 2 2 3" xfId="20716" xr:uid="{00000000-0005-0000-0000-0000C7960000}"/>
    <cellStyle name="Normal 8 2 6 2 2 4" xfId="27818" xr:uid="{00000000-0005-0000-0000-0000C8960000}"/>
    <cellStyle name="Normal 8 2 6 2 2 5" xfId="34920" xr:uid="{00000000-0005-0000-0000-0000C9960000}"/>
    <cellStyle name="Normal 8 2 6 2 2 6" xfId="41211" xr:uid="{00000000-0005-0000-0000-0000CA960000}"/>
    <cellStyle name="Normal 8 2 6 2 3" xfId="9355" xr:uid="{00000000-0005-0000-0000-0000CB960000}"/>
    <cellStyle name="Normal 8 2 6 2 4" xfId="16456" xr:uid="{00000000-0005-0000-0000-0000CC960000}"/>
    <cellStyle name="Normal 8 2 6 2 5" xfId="23558" xr:uid="{00000000-0005-0000-0000-0000CD960000}"/>
    <cellStyle name="Normal 8 2 6 2 6" xfId="30660" xr:uid="{00000000-0005-0000-0000-0000CE960000}"/>
    <cellStyle name="Normal 8 2 6 2 7" xfId="41212" xr:uid="{00000000-0005-0000-0000-0000CF960000}"/>
    <cellStyle name="Normal 8 2 6 3" xfId="5094" xr:uid="{00000000-0005-0000-0000-0000D0960000}"/>
    <cellStyle name="Normal 8 2 6 3 2" xfId="12195" xr:uid="{00000000-0005-0000-0000-0000D1960000}"/>
    <cellStyle name="Normal 8 2 6 3 2 2" xfId="41213" xr:uid="{00000000-0005-0000-0000-0000D2960000}"/>
    <cellStyle name="Normal 8 2 6 3 3" xfId="19296" xr:uid="{00000000-0005-0000-0000-0000D3960000}"/>
    <cellStyle name="Normal 8 2 6 3 4" xfId="26398" xr:uid="{00000000-0005-0000-0000-0000D4960000}"/>
    <cellStyle name="Normal 8 2 6 3 5" xfId="33500" xr:uid="{00000000-0005-0000-0000-0000D5960000}"/>
    <cellStyle name="Normal 8 2 6 3 6" xfId="41214" xr:uid="{00000000-0005-0000-0000-0000D6960000}"/>
    <cellStyle name="Normal 8 2 6 4" xfId="3669" xr:uid="{00000000-0005-0000-0000-0000D7960000}"/>
    <cellStyle name="Normal 8 2 6 4 2" xfId="10775" xr:uid="{00000000-0005-0000-0000-0000D8960000}"/>
    <cellStyle name="Normal 8 2 6 4 3" xfId="17876" xr:uid="{00000000-0005-0000-0000-0000D9960000}"/>
    <cellStyle name="Normal 8 2 6 4 4" xfId="24978" xr:uid="{00000000-0005-0000-0000-0000DA960000}"/>
    <cellStyle name="Normal 8 2 6 4 5" xfId="32080" xr:uid="{00000000-0005-0000-0000-0000DB960000}"/>
    <cellStyle name="Normal 8 2 6 4 6" xfId="41215" xr:uid="{00000000-0005-0000-0000-0000DC960000}"/>
    <cellStyle name="Normal 8 2 6 5" xfId="7935" xr:uid="{00000000-0005-0000-0000-0000DD960000}"/>
    <cellStyle name="Normal 8 2 6 6" xfId="15036" xr:uid="{00000000-0005-0000-0000-0000DE960000}"/>
    <cellStyle name="Normal 8 2 6 7" xfId="22138" xr:uid="{00000000-0005-0000-0000-0000DF960000}"/>
    <cellStyle name="Normal 8 2 6 8" xfId="29240" xr:uid="{00000000-0005-0000-0000-0000E0960000}"/>
    <cellStyle name="Normal 8 2 6 9" xfId="41216" xr:uid="{00000000-0005-0000-0000-0000E1960000}"/>
    <cellStyle name="Normal 8 2 7" xfId="969" xr:uid="{00000000-0005-0000-0000-0000E2960000}"/>
    <cellStyle name="Normal 8 2 7 2" xfId="2460" xr:uid="{00000000-0005-0000-0000-0000E3960000}"/>
    <cellStyle name="Normal 8 2 7 2 2" xfId="6728" xr:uid="{00000000-0005-0000-0000-0000E4960000}"/>
    <cellStyle name="Normal 8 2 7 2 2 2" xfId="13828" xr:uid="{00000000-0005-0000-0000-0000E5960000}"/>
    <cellStyle name="Normal 8 2 7 2 2 3" xfId="20929" xr:uid="{00000000-0005-0000-0000-0000E6960000}"/>
    <cellStyle name="Normal 8 2 7 2 2 4" xfId="28031" xr:uid="{00000000-0005-0000-0000-0000E7960000}"/>
    <cellStyle name="Normal 8 2 7 2 2 5" xfId="35133" xr:uid="{00000000-0005-0000-0000-0000E8960000}"/>
    <cellStyle name="Normal 8 2 7 2 3" xfId="9568" xr:uid="{00000000-0005-0000-0000-0000E9960000}"/>
    <cellStyle name="Normal 8 2 7 2 4" xfId="16669" xr:uid="{00000000-0005-0000-0000-0000EA960000}"/>
    <cellStyle name="Normal 8 2 7 2 5" xfId="23771" xr:uid="{00000000-0005-0000-0000-0000EB960000}"/>
    <cellStyle name="Normal 8 2 7 2 6" xfId="30873" xr:uid="{00000000-0005-0000-0000-0000EC960000}"/>
    <cellStyle name="Normal 8 2 7 2 7" xfId="41217" xr:uid="{00000000-0005-0000-0000-0000ED960000}"/>
    <cellStyle name="Normal 8 2 7 3" xfId="5307" xr:uid="{00000000-0005-0000-0000-0000EE960000}"/>
    <cellStyle name="Normal 8 2 7 3 2" xfId="12408" xr:uid="{00000000-0005-0000-0000-0000EF960000}"/>
    <cellStyle name="Normal 8 2 7 3 3" xfId="19509" xr:uid="{00000000-0005-0000-0000-0000F0960000}"/>
    <cellStyle name="Normal 8 2 7 3 4" xfId="26611" xr:uid="{00000000-0005-0000-0000-0000F1960000}"/>
    <cellStyle name="Normal 8 2 7 3 5" xfId="33713" xr:uid="{00000000-0005-0000-0000-0000F2960000}"/>
    <cellStyle name="Normal 8 2 7 4" xfId="3882" xr:uid="{00000000-0005-0000-0000-0000F3960000}"/>
    <cellStyle name="Normal 8 2 7 4 2" xfId="10988" xr:uid="{00000000-0005-0000-0000-0000F4960000}"/>
    <cellStyle name="Normal 8 2 7 4 3" xfId="18089" xr:uid="{00000000-0005-0000-0000-0000F5960000}"/>
    <cellStyle name="Normal 8 2 7 4 4" xfId="25191" xr:uid="{00000000-0005-0000-0000-0000F6960000}"/>
    <cellStyle name="Normal 8 2 7 4 5" xfId="32293" xr:uid="{00000000-0005-0000-0000-0000F7960000}"/>
    <cellStyle name="Normal 8 2 7 5" xfId="8148" xr:uid="{00000000-0005-0000-0000-0000F8960000}"/>
    <cellStyle name="Normal 8 2 7 6" xfId="15249" xr:uid="{00000000-0005-0000-0000-0000F9960000}"/>
    <cellStyle name="Normal 8 2 7 7" xfId="22351" xr:uid="{00000000-0005-0000-0000-0000FA960000}"/>
    <cellStyle name="Normal 8 2 7 8" xfId="29453" xr:uid="{00000000-0005-0000-0000-0000FB960000}"/>
    <cellStyle name="Normal 8 2 7 9" xfId="41218" xr:uid="{00000000-0005-0000-0000-0000FC960000}"/>
    <cellStyle name="Normal 8 2 8" xfId="1324" xr:uid="{00000000-0005-0000-0000-0000FD960000}"/>
    <cellStyle name="Normal 8 2 8 2" xfId="2815" xr:uid="{00000000-0005-0000-0000-0000FE960000}"/>
    <cellStyle name="Normal 8 2 8 2 2" xfId="7083" xr:uid="{00000000-0005-0000-0000-0000FF960000}"/>
    <cellStyle name="Normal 8 2 8 2 2 2" xfId="14183" xr:uid="{00000000-0005-0000-0000-000000970000}"/>
    <cellStyle name="Normal 8 2 8 2 2 3" xfId="21284" xr:uid="{00000000-0005-0000-0000-000001970000}"/>
    <cellStyle name="Normal 8 2 8 2 2 4" xfId="28386" xr:uid="{00000000-0005-0000-0000-000002970000}"/>
    <cellStyle name="Normal 8 2 8 2 2 5" xfId="35488" xr:uid="{00000000-0005-0000-0000-000003970000}"/>
    <cellStyle name="Normal 8 2 8 2 3" xfId="9923" xr:uid="{00000000-0005-0000-0000-000004970000}"/>
    <cellStyle name="Normal 8 2 8 2 4" xfId="17024" xr:uid="{00000000-0005-0000-0000-000005970000}"/>
    <cellStyle name="Normal 8 2 8 2 5" xfId="24126" xr:uid="{00000000-0005-0000-0000-000006970000}"/>
    <cellStyle name="Normal 8 2 8 2 6" xfId="31228" xr:uid="{00000000-0005-0000-0000-000007970000}"/>
    <cellStyle name="Normal 8 2 8 2 7" xfId="41219" xr:uid="{00000000-0005-0000-0000-000008970000}"/>
    <cellStyle name="Normal 8 2 8 3" xfId="5662" xr:uid="{00000000-0005-0000-0000-000009970000}"/>
    <cellStyle name="Normal 8 2 8 3 2" xfId="12763" xr:uid="{00000000-0005-0000-0000-00000A970000}"/>
    <cellStyle name="Normal 8 2 8 3 3" xfId="19864" xr:uid="{00000000-0005-0000-0000-00000B970000}"/>
    <cellStyle name="Normal 8 2 8 3 4" xfId="26966" xr:uid="{00000000-0005-0000-0000-00000C970000}"/>
    <cellStyle name="Normal 8 2 8 3 5" xfId="34068" xr:uid="{00000000-0005-0000-0000-00000D970000}"/>
    <cellStyle name="Normal 8 2 8 4" xfId="4237" xr:uid="{00000000-0005-0000-0000-00000E970000}"/>
    <cellStyle name="Normal 8 2 8 4 2" xfId="11343" xr:uid="{00000000-0005-0000-0000-00000F970000}"/>
    <cellStyle name="Normal 8 2 8 4 3" xfId="18444" xr:uid="{00000000-0005-0000-0000-000010970000}"/>
    <cellStyle name="Normal 8 2 8 4 4" xfId="25546" xr:uid="{00000000-0005-0000-0000-000011970000}"/>
    <cellStyle name="Normal 8 2 8 4 5" xfId="32648" xr:uid="{00000000-0005-0000-0000-000012970000}"/>
    <cellStyle name="Normal 8 2 8 5" xfId="8503" xr:uid="{00000000-0005-0000-0000-000013970000}"/>
    <cellStyle name="Normal 8 2 8 6" xfId="15604" xr:uid="{00000000-0005-0000-0000-000014970000}"/>
    <cellStyle name="Normal 8 2 8 7" xfId="22706" xr:uid="{00000000-0005-0000-0000-000015970000}"/>
    <cellStyle name="Normal 8 2 8 8" xfId="29808" xr:uid="{00000000-0005-0000-0000-000016970000}"/>
    <cellStyle name="Normal 8 2 8 9" xfId="41220" xr:uid="{00000000-0005-0000-0000-000017970000}"/>
    <cellStyle name="Normal 8 2 9" xfId="1608" xr:uid="{00000000-0005-0000-0000-000018970000}"/>
    <cellStyle name="Normal 8 2 9 2" xfId="5876" xr:uid="{00000000-0005-0000-0000-000019970000}"/>
    <cellStyle name="Normal 8 2 9 2 2" xfId="12976" xr:uid="{00000000-0005-0000-0000-00001A970000}"/>
    <cellStyle name="Normal 8 2 9 2 3" xfId="20077" xr:uid="{00000000-0005-0000-0000-00001B970000}"/>
    <cellStyle name="Normal 8 2 9 2 4" xfId="27179" xr:uid="{00000000-0005-0000-0000-00001C970000}"/>
    <cellStyle name="Normal 8 2 9 2 5" xfId="34281" xr:uid="{00000000-0005-0000-0000-00001D970000}"/>
    <cellStyle name="Normal 8 2 9 3" xfId="8716" xr:uid="{00000000-0005-0000-0000-00001E970000}"/>
    <cellStyle name="Normal 8 2 9 4" xfId="15817" xr:uid="{00000000-0005-0000-0000-00001F970000}"/>
    <cellStyle name="Normal 8 2 9 5" xfId="22919" xr:uid="{00000000-0005-0000-0000-000020970000}"/>
    <cellStyle name="Normal 8 2 9 6" xfId="30021" xr:uid="{00000000-0005-0000-0000-000021970000}"/>
    <cellStyle name="Normal 8 2 9 7" xfId="41221" xr:uid="{00000000-0005-0000-0000-000022970000}"/>
    <cellStyle name="Normal 8 3" xfId="71" xr:uid="{00000000-0005-0000-0000-000023970000}"/>
    <cellStyle name="Normal 8 3 2" xfId="41222" xr:uid="{00000000-0005-0000-0000-000024970000}"/>
    <cellStyle name="Normal 8 4" xfId="1512" xr:uid="{00000000-0005-0000-0000-000025970000}"/>
    <cellStyle name="Normal 8 4 2" xfId="41223" xr:uid="{00000000-0005-0000-0000-000026970000}"/>
    <cellStyle name="Normal 8 4 2 2" xfId="41224" xr:uid="{00000000-0005-0000-0000-000027970000}"/>
    <cellStyle name="Normal 8 4 2 2 2" xfId="41225" xr:uid="{00000000-0005-0000-0000-000028970000}"/>
    <cellStyle name="Normal 8 4 2 3" xfId="41226" xr:uid="{00000000-0005-0000-0000-000029970000}"/>
    <cellStyle name="Normal 8 4 2 3 2" xfId="41227" xr:uid="{00000000-0005-0000-0000-00002A970000}"/>
    <cellStyle name="Normal 8 4 2 4" xfId="41228" xr:uid="{00000000-0005-0000-0000-00002B970000}"/>
    <cellStyle name="Normal 8 4 3" xfId="41229" xr:uid="{00000000-0005-0000-0000-00002C970000}"/>
    <cellStyle name="Normal 8 4 3 2" xfId="41230" xr:uid="{00000000-0005-0000-0000-00002D970000}"/>
    <cellStyle name="Normal 8 4 3 2 2" xfId="41231" xr:uid="{00000000-0005-0000-0000-00002E970000}"/>
    <cellStyle name="Normal 8 4 3 3" xfId="41232" xr:uid="{00000000-0005-0000-0000-00002F970000}"/>
    <cellStyle name="Normal 8 4 3 3 2" xfId="41233" xr:uid="{00000000-0005-0000-0000-000030970000}"/>
    <cellStyle name="Normal 8 4 3 4" xfId="41234" xr:uid="{00000000-0005-0000-0000-000031970000}"/>
    <cellStyle name="Normal 8 4 4" xfId="41235" xr:uid="{00000000-0005-0000-0000-000032970000}"/>
    <cellStyle name="Normal 8 4 4 2" xfId="41236" xr:uid="{00000000-0005-0000-0000-000033970000}"/>
    <cellStyle name="Normal 8 4 4 2 2" xfId="41237" xr:uid="{00000000-0005-0000-0000-000034970000}"/>
    <cellStyle name="Normal 8 4 4 3" xfId="41238" xr:uid="{00000000-0005-0000-0000-000035970000}"/>
    <cellStyle name="Normal 8 4 4 3 2" xfId="41239" xr:uid="{00000000-0005-0000-0000-000036970000}"/>
    <cellStyle name="Normal 8 4 4 4" xfId="41240" xr:uid="{00000000-0005-0000-0000-000037970000}"/>
    <cellStyle name="Normal 8 4 5" xfId="41241" xr:uid="{00000000-0005-0000-0000-000038970000}"/>
    <cellStyle name="Normal 8 4 5 2" xfId="41242" xr:uid="{00000000-0005-0000-0000-000039970000}"/>
    <cellStyle name="Normal 8 4 6" xfId="41243" xr:uid="{00000000-0005-0000-0000-00003A970000}"/>
    <cellStyle name="Normal 8 4 6 2" xfId="41244" xr:uid="{00000000-0005-0000-0000-00003B970000}"/>
    <cellStyle name="Normal 8 4 7" xfId="41245" xr:uid="{00000000-0005-0000-0000-00003C970000}"/>
    <cellStyle name="Normal 8 4 8" xfId="41246" xr:uid="{00000000-0005-0000-0000-00003D970000}"/>
    <cellStyle name="Normal 8 5" xfId="1568" xr:uid="{00000000-0005-0000-0000-00003E970000}"/>
    <cellStyle name="Normal 8_Sheet2" xfId="1545" xr:uid="{00000000-0005-0000-0000-00003F970000}"/>
    <cellStyle name="Normal 80" xfId="41247" xr:uid="{00000000-0005-0000-0000-000040970000}"/>
    <cellStyle name="Normal 81" xfId="41248" xr:uid="{00000000-0005-0000-0000-000041970000}"/>
    <cellStyle name="Normal 82" xfId="41249" xr:uid="{00000000-0005-0000-0000-000042970000}"/>
    <cellStyle name="Normal 83" xfId="41250" xr:uid="{00000000-0005-0000-0000-000043970000}"/>
    <cellStyle name="Normal 84" xfId="41251" xr:uid="{00000000-0005-0000-0000-000044970000}"/>
    <cellStyle name="Normal 85" xfId="41252" xr:uid="{00000000-0005-0000-0000-000045970000}"/>
    <cellStyle name="Normal 86" xfId="41253" xr:uid="{00000000-0005-0000-0000-000046970000}"/>
    <cellStyle name="Normal 87" xfId="41254" xr:uid="{00000000-0005-0000-0000-000047970000}"/>
    <cellStyle name="Normal 88" xfId="41255" xr:uid="{00000000-0005-0000-0000-000048970000}"/>
    <cellStyle name="Normal 89" xfId="41256" xr:uid="{00000000-0005-0000-0000-000049970000}"/>
    <cellStyle name="Normal 9" xfId="20" xr:uid="{00000000-0005-0000-0000-00004A970000}"/>
    <cellStyle name="Normal 9 2" xfId="94" xr:uid="{00000000-0005-0000-0000-00004B970000}"/>
    <cellStyle name="Normal 9 2 2" xfId="41257" xr:uid="{00000000-0005-0000-0000-00004C970000}"/>
    <cellStyle name="Normal 90" xfId="41258" xr:uid="{00000000-0005-0000-0000-00004D970000}"/>
    <cellStyle name="Normal 91" xfId="41259" xr:uid="{00000000-0005-0000-0000-00004E970000}"/>
    <cellStyle name="Normal 92" xfId="41260" xr:uid="{00000000-0005-0000-0000-00004F970000}"/>
    <cellStyle name="Normal 93" xfId="41261" xr:uid="{00000000-0005-0000-0000-000050970000}"/>
    <cellStyle name="Normal 94" xfId="41262" xr:uid="{00000000-0005-0000-0000-000051970000}"/>
    <cellStyle name="Normal 95" xfId="41263" xr:uid="{00000000-0005-0000-0000-000052970000}"/>
    <cellStyle name="Normal 96" xfId="41264" xr:uid="{00000000-0005-0000-0000-000053970000}"/>
    <cellStyle name="Normal 97" xfId="41265" xr:uid="{00000000-0005-0000-0000-000054970000}"/>
    <cellStyle name="Normal 98" xfId="41266" xr:uid="{00000000-0005-0000-0000-000055970000}"/>
    <cellStyle name="Normal_DOA reports" xfId="21" xr:uid="{00000000-0005-0000-0000-000056970000}"/>
    <cellStyle name="Note 2" xfId="68" xr:uid="{00000000-0005-0000-0000-000057970000}"/>
    <cellStyle name="Note 2 10" xfId="1295" xr:uid="{00000000-0005-0000-0000-000058970000}"/>
    <cellStyle name="Note 2 10 2" xfId="2786" xr:uid="{00000000-0005-0000-0000-000059970000}"/>
    <cellStyle name="Note 2 10 2 2" xfId="7054" xr:uid="{00000000-0005-0000-0000-00005A970000}"/>
    <cellStyle name="Note 2 10 2 2 2" xfId="14154" xr:uid="{00000000-0005-0000-0000-00005B970000}"/>
    <cellStyle name="Note 2 10 2 2 3" xfId="21255" xr:uid="{00000000-0005-0000-0000-00005C970000}"/>
    <cellStyle name="Note 2 10 2 2 4" xfId="28357" xr:uid="{00000000-0005-0000-0000-00005D970000}"/>
    <cellStyle name="Note 2 10 2 2 5" xfId="35459" xr:uid="{00000000-0005-0000-0000-00005E970000}"/>
    <cellStyle name="Note 2 10 2 3" xfId="9894" xr:uid="{00000000-0005-0000-0000-00005F970000}"/>
    <cellStyle name="Note 2 10 2 4" xfId="16995" xr:uid="{00000000-0005-0000-0000-000060970000}"/>
    <cellStyle name="Note 2 10 2 5" xfId="24097" xr:uid="{00000000-0005-0000-0000-000061970000}"/>
    <cellStyle name="Note 2 10 2 6" xfId="31199" xr:uid="{00000000-0005-0000-0000-000062970000}"/>
    <cellStyle name="Note 2 10 2 7" xfId="41267" xr:uid="{00000000-0005-0000-0000-000063970000}"/>
    <cellStyle name="Note 2 10 3" xfId="5633" xr:uid="{00000000-0005-0000-0000-000064970000}"/>
    <cellStyle name="Note 2 10 3 2" xfId="12734" xr:uid="{00000000-0005-0000-0000-000065970000}"/>
    <cellStyle name="Note 2 10 3 3" xfId="19835" xr:uid="{00000000-0005-0000-0000-000066970000}"/>
    <cellStyle name="Note 2 10 3 4" xfId="26937" xr:uid="{00000000-0005-0000-0000-000067970000}"/>
    <cellStyle name="Note 2 10 3 5" xfId="34039" xr:uid="{00000000-0005-0000-0000-000068970000}"/>
    <cellStyle name="Note 2 10 4" xfId="4208" xr:uid="{00000000-0005-0000-0000-000069970000}"/>
    <cellStyle name="Note 2 10 4 2" xfId="11314" xr:uid="{00000000-0005-0000-0000-00006A970000}"/>
    <cellStyle name="Note 2 10 4 3" xfId="18415" xr:uid="{00000000-0005-0000-0000-00006B970000}"/>
    <cellStyle name="Note 2 10 4 4" xfId="25517" xr:uid="{00000000-0005-0000-0000-00006C970000}"/>
    <cellStyle name="Note 2 10 4 5" xfId="32619" xr:uid="{00000000-0005-0000-0000-00006D970000}"/>
    <cellStyle name="Note 2 10 5" xfId="8474" xr:uid="{00000000-0005-0000-0000-00006E970000}"/>
    <cellStyle name="Note 2 10 6" xfId="15575" xr:uid="{00000000-0005-0000-0000-00006F970000}"/>
    <cellStyle name="Note 2 10 7" xfId="22677" xr:uid="{00000000-0005-0000-0000-000070970000}"/>
    <cellStyle name="Note 2 10 8" xfId="29779" xr:uid="{00000000-0005-0000-0000-000071970000}"/>
    <cellStyle name="Note 2 10 9" xfId="41268" xr:uid="{00000000-0005-0000-0000-000072970000}"/>
    <cellStyle name="Note 2 11" xfId="1571" xr:uid="{00000000-0005-0000-0000-000073970000}"/>
    <cellStyle name="Note 2 11 2" xfId="5847" xr:uid="{00000000-0005-0000-0000-000074970000}"/>
    <cellStyle name="Note 2 11 2 2" xfId="12947" xr:uid="{00000000-0005-0000-0000-000075970000}"/>
    <cellStyle name="Note 2 11 2 3" xfId="20048" xr:uid="{00000000-0005-0000-0000-000076970000}"/>
    <cellStyle name="Note 2 11 2 4" xfId="27150" xr:uid="{00000000-0005-0000-0000-000077970000}"/>
    <cellStyle name="Note 2 11 2 5" xfId="34252" xr:uid="{00000000-0005-0000-0000-000078970000}"/>
    <cellStyle name="Note 2 11 2 6" xfId="41269" xr:uid="{00000000-0005-0000-0000-000079970000}"/>
    <cellStyle name="Note 2 11 3" xfId="8687" xr:uid="{00000000-0005-0000-0000-00007A970000}"/>
    <cellStyle name="Note 2 11 4" xfId="15788" xr:uid="{00000000-0005-0000-0000-00007B970000}"/>
    <cellStyle name="Note 2 11 5" xfId="22890" xr:uid="{00000000-0005-0000-0000-00007C970000}"/>
    <cellStyle name="Note 2 11 6" xfId="29992" xr:uid="{00000000-0005-0000-0000-00007D970000}"/>
    <cellStyle name="Note 2 11 7" xfId="41270" xr:uid="{00000000-0005-0000-0000-00007E970000}"/>
    <cellStyle name="Note 2 12" xfId="4426" xr:uid="{00000000-0005-0000-0000-00007F970000}"/>
    <cellStyle name="Note 2 12 2" xfId="11527" xr:uid="{00000000-0005-0000-0000-000080970000}"/>
    <cellStyle name="Note 2 12 3" xfId="18628" xr:uid="{00000000-0005-0000-0000-000081970000}"/>
    <cellStyle name="Note 2 12 4" xfId="25730" xr:uid="{00000000-0005-0000-0000-000082970000}"/>
    <cellStyle name="Note 2 12 5" xfId="32832" xr:uid="{00000000-0005-0000-0000-000083970000}"/>
    <cellStyle name="Note 2 12 6" xfId="41271" xr:uid="{00000000-0005-0000-0000-000084970000}"/>
    <cellStyle name="Note 2 13" xfId="3001" xr:uid="{00000000-0005-0000-0000-000085970000}"/>
    <cellStyle name="Note 2 13 2" xfId="10107" xr:uid="{00000000-0005-0000-0000-000086970000}"/>
    <cellStyle name="Note 2 13 3" xfId="17208" xr:uid="{00000000-0005-0000-0000-000087970000}"/>
    <cellStyle name="Note 2 13 4" xfId="24310" xr:uid="{00000000-0005-0000-0000-000088970000}"/>
    <cellStyle name="Note 2 13 5" xfId="31412" xr:uid="{00000000-0005-0000-0000-000089970000}"/>
    <cellStyle name="Note 2 14" xfId="7267" xr:uid="{00000000-0005-0000-0000-00008A970000}"/>
    <cellStyle name="Note 2 15" xfId="14368" xr:uid="{00000000-0005-0000-0000-00008B970000}"/>
    <cellStyle name="Note 2 16" xfId="21470" xr:uid="{00000000-0005-0000-0000-00008C970000}"/>
    <cellStyle name="Note 2 17" xfId="28572" xr:uid="{00000000-0005-0000-0000-00008D970000}"/>
    <cellStyle name="Note 2 18" xfId="35674" xr:uid="{00000000-0005-0000-0000-00008E970000}"/>
    <cellStyle name="Note 2 19" xfId="41272" xr:uid="{00000000-0005-0000-0000-00008F970000}"/>
    <cellStyle name="Note 2 2" xfId="90" xr:uid="{00000000-0005-0000-0000-000090970000}"/>
    <cellStyle name="Note 2 2 10" xfId="4440" xr:uid="{00000000-0005-0000-0000-000091970000}"/>
    <cellStyle name="Note 2 2 10 2" xfId="11541" xr:uid="{00000000-0005-0000-0000-000092970000}"/>
    <cellStyle name="Note 2 2 10 3" xfId="18642" xr:uid="{00000000-0005-0000-0000-000093970000}"/>
    <cellStyle name="Note 2 2 10 4" xfId="25744" xr:uid="{00000000-0005-0000-0000-000094970000}"/>
    <cellStyle name="Note 2 2 10 5" xfId="32846" xr:uid="{00000000-0005-0000-0000-000095970000}"/>
    <cellStyle name="Note 2 2 11" xfId="3015" xr:uid="{00000000-0005-0000-0000-000096970000}"/>
    <cellStyle name="Note 2 2 11 2" xfId="10121" xr:uid="{00000000-0005-0000-0000-000097970000}"/>
    <cellStyle name="Note 2 2 11 3" xfId="17222" xr:uid="{00000000-0005-0000-0000-000098970000}"/>
    <cellStyle name="Note 2 2 11 4" xfId="24324" xr:uid="{00000000-0005-0000-0000-000099970000}"/>
    <cellStyle name="Note 2 2 11 5" xfId="31426" xr:uid="{00000000-0005-0000-0000-00009A970000}"/>
    <cellStyle name="Note 2 2 12" xfId="7281" xr:uid="{00000000-0005-0000-0000-00009B970000}"/>
    <cellStyle name="Note 2 2 13" xfId="14382" xr:uid="{00000000-0005-0000-0000-00009C970000}"/>
    <cellStyle name="Note 2 2 14" xfId="21484" xr:uid="{00000000-0005-0000-0000-00009D970000}"/>
    <cellStyle name="Note 2 2 15" xfId="28586" xr:uid="{00000000-0005-0000-0000-00009E970000}"/>
    <cellStyle name="Note 2 2 16" xfId="35688" xr:uid="{00000000-0005-0000-0000-00009F970000}"/>
    <cellStyle name="Note 2 2 17" xfId="41273" xr:uid="{00000000-0005-0000-0000-0000A0970000}"/>
    <cellStyle name="Note 2 2 18" xfId="41274" xr:uid="{00000000-0005-0000-0000-0000A1970000}"/>
    <cellStyle name="Note 2 2 2" xfId="244" xr:uid="{00000000-0005-0000-0000-0000A2970000}"/>
    <cellStyle name="Note 2 2 2 10" xfId="7423" xr:uid="{00000000-0005-0000-0000-0000A3970000}"/>
    <cellStyle name="Note 2 2 2 11" xfId="14524" xr:uid="{00000000-0005-0000-0000-0000A4970000}"/>
    <cellStyle name="Note 2 2 2 12" xfId="21626" xr:uid="{00000000-0005-0000-0000-0000A5970000}"/>
    <cellStyle name="Note 2 2 2 13" xfId="28728" xr:uid="{00000000-0005-0000-0000-0000A6970000}"/>
    <cellStyle name="Note 2 2 2 14" xfId="35830" xr:uid="{00000000-0005-0000-0000-0000A7970000}"/>
    <cellStyle name="Note 2 2 2 15" xfId="41275" xr:uid="{00000000-0005-0000-0000-0000A8970000}"/>
    <cellStyle name="Note 2 2 2 2" xfId="457" xr:uid="{00000000-0005-0000-0000-0000A9970000}"/>
    <cellStyle name="Note 2 2 2 2 10" xfId="41276" xr:uid="{00000000-0005-0000-0000-0000AA970000}"/>
    <cellStyle name="Note 2 2 2 2 2" xfId="1238" xr:uid="{00000000-0005-0000-0000-0000AB970000}"/>
    <cellStyle name="Note 2 2 2 2 2 2" xfId="2729" xr:uid="{00000000-0005-0000-0000-0000AC970000}"/>
    <cellStyle name="Note 2 2 2 2 2 2 2" xfId="6997" xr:uid="{00000000-0005-0000-0000-0000AD970000}"/>
    <cellStyle name="Note 2 2 2 2 2 2 2 2" xfId="14097" xr:uid="{00000000-0005-0000-0000-0000AE970000}"/>
    <cellStyle name="Note 2 2 2 2 2 2 2 3" xfId="21198" xr:uid="{00000000-0005-0000-0000-0000AF970000}"/>
    <cellStyle name="Note 2 2 2 2 2 2 2 4" xfId="28300" xr:uid="{00000000-0005-0000-0000-0000B0970000}"/>
    <cellStyle name="Note 2 2 2 2 2 2 2 5" xfId="35402" xr:uid="{00000000-0005-0000-0000-0000B1970000}"/>
    <cellStyle name="Note 2 2 2 2 2 2 3" xfId="9837" xr:uid="{00000000-0005-0000-0000-0000B2970000}"/>
    <cellStyle name="Note 2 2 2 2 2 2 4" xfId="16938" xr:uid="{00000000-0005-0000-0000-0000B3970000}"/>
    <cellStyle name="Note 2 2 2 2 2 2 5" xfId="24040" xr:uid="{00000000-0005-0000-0000-0000B4970000}"/>
    <cellStyle name="Note 2 2 2 2 2 2 6" xfId="31142" xr:uid="{00000000-0005-0000-0000-0000B5970000}"/>
    <cellStyle name="Note 2 2 2 2 2 2 7" xfId="41277" xr:uid="{00000000-0005-0000-0000-0000B6970000}"/>
    <cellStyle name="Note 2 2 2 2 2 3" xfId="5576" xr:uid="{00000000-0005-0000-0000-0000B7970000}"/>
    <cellStyle name="Note 2 2 2 2 2 3 2" xfId="12677" xr:uid="{00000000-0005-0000-0000-0000B8970000}"/>
    <cellStyle name="Note 2 2 2 2 2 3 3" xfId="19778" xr:uid="{00000000-0005-0000-0000-0000B9970000}"/>
    <cellStyle name="Note 2 2 2 2 2 3 4" xfId="26880" xr:uid="{00000000-0005-0000-0000-0000BA970000}"/>
    <cellStyle name="Note 2 2 2 2 2 3 5" xfId="33982" xr:uid="{00000000-0005-0000-0000-0000BB970000}"/>
    <cellStyle name="Note 2 2 2 2 2 4" xfId="4151" xr:uid="{00000000-0005-0000-0000-0000BC970000}"/>
    <cellStyle name="Note 2 2 2 2 2 4 2" xfId="11257" xr:uid="{00000000-0005-0000-0000-0000BD970000}"/>
    <cellStyle name="Note 2 2 2 2 2 4 3" xfId="18358" xr:uid="{00000000-0005-0000-0000-0000BE970000}"/>
    <cellStyle name="Note 2 2 2 2 2 4 4" xfId="25460" xr:uid="{00000000-0005-0000-0000-0000BF970000}"/>
    <cellStyle name="Note 2 2 2 2 2 4 5" xfId="32562" xr:uid="{00000000-0005-0000-0000-0000C0970000}"/>
    <cellStyle name="Note 2 2 2 2 2 5" xfId="8417" xr:uid="{00000000-0005-0000-0000-0000C1970000}"/>
    <cellStyle name="Note 2 2 2 2 2 6" xfId="15518" xr:uid="{00000000-0005-0000-0000-0000C2970000}"/>
    <cellStyle name="Note 2 2 2 2 2 7" xfId="22620" xr:uid="{00000000-0005-0000-0000-0000C3970000}"/>
    <cellStyle name="Note 2 2 2 2 2 8" xfId="29722" xr:uid="{00000000-0005-0000-0000-0000C4970000}"/>
    <cellStyle name="Note 2 2 2 2 2 9" xfId="41278" xr:uid="{00000000-0005-0000-0000-0000C5970000}"/>
    <cellStyle name="Note 2 2 2 2 3" xfId="1948" xr:uid="{00000000-0005-0000-0000-0000C6970000}"/>
    <cellStyle name="Note 2 2 2 2 3 2" xfId="6216" xr:uid="{00000000-0005-0000-0000-0000C7970000}"/>
    <cellStyle name="Note 2 2 2 2 3 2 2" xfId="13316" xr:uid="{00000000-0005-0000-0000-0000C8970000}"/>
    <cellStyle name="Note 2 2 2 2 3 2 3" xfId="20417" xr:uid="{00000000-0005-0000-0000-0000C9970000}"/>
    <cellStyle name="Note 2 2 2 2 3 2 4" xfId="27519" xr:uid="{00000000-0005-0000-0000-0000CA970000}"/>
    <cellStyle name="Note 2 2 2 2 3 2 5" xfId="34621" xr:uid="{00000000-0005-0000-0000-0000CB970000}"/>
    <cellStyle name="Note 2 2 2 2 3 2 6" xfId="41279" xr:uid="{00000000-0005-0000-0000-0000CC970000}"/>
    <cellStyle name="Note 2 2 2 2 3 3" xfId="9056" xr:uid="{00000000-0005-0000-0000-0000CD970000}"/>
    <cellStyle name="Note 2 2 2 2 3 4" xfId="16157" xr:uid="{00000000-0005-0000-0000-0000CE970000}"/>
    <cellStyle name="Note 2 2 2 2 3 5" xfId="23259" xr:uid="{00000000-0005-0000-0000-0000CF970000}"/>
    <cellStyle name="Note 2 2 2 2 3 6" xfId="30361" xr:uid="{00000000-0005-0000-0000-0000D0970000}"/>
    <cellStyle name="Note 2 2 2 2 3 7" xfId="41280" xr:uid="{00000000-0005-0000-0000-0000D1970000}"/>
    <cellStyle name="Note 2 2 2 2 4" xfId="4795" xr:uid="{00000000-0005-0000-0000-0000D2970000}"/>
    <cellStyle name="Note 2 2 2 2 4 2" xfId="11896" xr:uid="{00000000-0005-0000-0000-0000D3970000}"/>
    <cellStyle name="Note 2 2 2 2 4 3" xfId="18997" xr:uid="{00000000-0005-0000-0000-0000D4970000}"/>
    <cellStyle name="Note 2 2 2 2 4 4" xfId="26099" xr:uid="{00000000-0005-0000-0000-0000D5970000}"/>
    <cellStyle name="Note 2 2 2 2 4 5" xfId="33201" xr:uid="{00000000-0005-0000-0000-0000D6970000}"/>
    <cellStyle name="Note 2 2 2 2 4 6" xfId="41281" xr:uid="{00000000-0005-0000-0000-0000D7970000}"/>
    <cellStyle name="Note 2 2 2 2 5" xfId="3370" xr:uid="{00000000-0005-0000-0000-0000D8970000}"/>
    <cellStyle name="Note 2 2 2 2 5 2" xfId="10476" xr:uid="{00000000-0005-0000-0000-0000D9970000}"/>
    <cellStyle name="Note 2 2 2 2 5 3" xfId="17577" xr:uid="{00000000-0005-0000-0000-0000DA970000}"/>
    <cellStyle name="Note 2 2 2 2 5 4" xfId="24679" xr:uid="{00000000-0005-0000-0000-0000DB970000}"/>
    <cellStyle name="Note 2 2 2 2 5 5" xfId="31781" xr:uid="{00000000-0005-0000-0000-0000DC970000}"/>
    <cellStyle name="Note 2 2 2 2 6" xfId="7636" xr:uid="{00000000-0005-0000-0000-0000DD970000}"/>
    <cellStyle name="Note 2 2 2 2 7" xfId="14737" xr:uid="{00000000-0005-0000-0000-0000DE970000}"/>
    <cellStyle name="Note 2 2 2 2 8" xfId="21839" xr:uid="{00000000-0005-0000-0000-0000DF970000}"/>
    <cellStyle name="Note 2 2 2 2 9" xfId="28941" xr:uid="{00000000-0005-0000-0000-0000E0970000}"/>
    <cellStyle name="Note 2 2 2 3" xfId="670" xr:uid="{00000000-0005-0000-0000-0000E1970000}"/>
    <cellStyle name="Note 2 2 2 3 2" xfId="2161" xr:uid="{00000000-0005-0000-0000-0000E2970000}"/>
    <cellStyle name="Note 2 2 2 3 2 2" xfId="6429" xr:uid="{00000000-0005-0000-0000-0000E3970000}"/>
    <cellStyle name="Note 2 2 2 3 2 2 2" xfId="13529" xr:uid="{00000000-0005-0000-0000-0000E4970000}"/>
    <cellStyle name="Note 2 2 2 3 2 2 3" xfId="20630" xr:uid="{00000000-0005-0000-0000-0000E5970000}"/>
    <cellStyle name="Note 2 2 2 3 2 2 4" xfId="27732" xr:uid="{00000000-0005-0000-0000-0000E6970000}"/>
    <cellStyle name="Note 2 2 2 3 2 2 5" xfId="34834" xr:uid="{00000000-0005-0000-0000-0000E7970000}"/>
    <cellStyle name="Note 2 2 2 3 2 2 6" xfId="41282" xr:uid="{00000000-0005-0000-0000-0000E8970000}"/>
    <cellStyle name="Note 2 2 2 3 2 3" xfId="9269" xr:uid="{00000000-0005-0000-0000-0000E9970000}"/>
    <cellStyle name="Note 2 2 2 3 2 4" xfId="16370" xr:uid="{00000000-0005-0000-0000-0000EA970000}"/>
    <cellStyle name="Note 2 2 2 3 2 5" xfId="23472" xr:uid="{00000000-0005-0000-0000-0000EB970000}"/>
    <cellStyle name="Note 2 2 2 3 2 6" xfId="30574" xr:uid="{00000000-0005-0000-0000-0000EC970000}"/>
    <cellStyle name="Note 2 2 2 3 2 7" xfId="41283" xr:uid="{00000000-0005-0000-0000-0000ED970000}"/>
    <cellStyle name="Note 2 2 2 3 3" xfId="5008" xr:uid="{00000000-0005-0000-0000-0000EE970000}"/>
    <cellStyle name="Note 2 2 2 3 3 2" xfId="12109" xr:uid="{00000000-0005-0000-0000-0000EF970000}"/>
    <cellStyle name="Note 2 2 2 3 3 2 2" xfId="41284" xr:uid="{00000000-0005-0000-0000-0000F0970000}"/>
    <cellStyle name="Note 2 2 2 3 3 3" xfId="19210" xr:uid="{00000000-0005-0000-0000-0000F1970000}"/>
    <cellStyle name="Note 2 2 2 3 3 4" xfId="26312" xr:uid="{00000000-0005-0000-0000-0000F2970000}"/>
    <cellStyle name="Note 2 2 2 3 3 5" xfId="33414" xr:uid="{00000000-0005-0000-0000-0000F3970000}"/>
    <cellStyle name="Note 2 2 2 3 3 6" xfId="41285" xr:uid="{00000000-0005-0000-0000-0000F4970000}"/>
    <cellStyle name="Note 2 2 2 3 4" xfId="3583" xr:uid="{00000000-0005-0000-0000-0000F5970000}"/>
    <cellStyle name="Note 2 2 2 3 4 2" xfId="10689" xr:uid="{00000000-0005-0000-0000-0000F6970000}"/>
    <cellStyle name="Note 2 2 2 3 4 3" xfId="17790" xr:uid="{00000000-0005-0000-0000-0000F7970000}"/>
    <cellStyle name="Note 2 2 2 3 4 4" xfId="24892" xr:uid="{00000000-0005-0000-0000-0000F8970000}"/>
    <cellStyle name="Note 2 2 2 3 4 5" xfId="31994" xr:uid="{00000000-0005-0000-0000-0000F9970000}"/>
    <cellStyle name="Note 2 2 2 3 4 6" xfId="41286" xr:uid="{00000000-0005-0000-0000-0000FA970000}"/>
    <cellStyle name="Note 2 2 2 3 5" xfId="7849" xr:uid="{00000000-0005-0000-0000-0000FB970000}"/>
    <cellStyle name="Note 2 2 2 3 6" xfId="14950" xr:uid="{00000000-0005-0000-0000-0000FC970000}"/>
    <cellStyle name="Note 2 2 2 3 7" xfId="22052" xr:uid="{00000000-0005-0000-0000-0000FD970000}"/>
    <cellStyle name="Note 2 2 2 3 8" xfId="29154" xr:uid="{00000000-0005-0000-0000-0000FE970000}"/>
    <cellStyle name="Note 2 2 2 3 9" xfId="41287" xr:uid="{00000000-0005-0000-0000-0000FF970000}"/>
    <cellStyle name="Note 2 2 2 4" xfId="883" xr:uid="{00000000-0005-0000-0000-000000980000}"/>
    <cellStyle name="Note 2 2 2 4 2" xfId="2374" xr:uid="{00000000-0005-0000-0000-000001980000}"/>
    <cellStyle name="Note 2 2 2 4 2 2" xfId="6642" xr:uid="{00000000-0005-0000-0000-000002980000}"/>
    <cellStyle name="Note 2 2 2 4 2 2 2" xfId="13742" xr:uid="{00000000-0005-0000-0000-000003980000}"/>
    <cellStyle name="Note 2 2 2 4 2 2 3" xfId="20843" xr:uid="{00000000-0005-0000-0000-000004980000}"/>
    <cellStyle name="Note 2 2 2 4 2 2 4" xfId="27945" xr:uid="{00000000-0005-0000-0000-000005980000}"/>
    <cellStyle name="Note 2 2 2 4 2 2 5" xfId="35047" xr:uid="{00000000-0005-0000-0000-000006980000}"/>
    <cellStyle name="Note 2 2 2 4 2 2 6" xfId="41288" xr:uid="{00000000-0005-0000-0000-000007980000}"/>
    <cellStyle name="Note 2 2 2 4 2 3" xfId="9482" xr:uid="{00000000-0005-0000-0000-000008980000}"/>
    <cellStyle name="Note 2 2 2 4 2 4" xfId="16583" xr:uid="{00000000-0005-0000-0000-000009980000}"/>
    <cellStyle name="Note 2 2 2 4 2 5" xfId="23685" xr:uid="{00000000-0005-0000-0000-00000A980000}"/>
    <cellStyle name="Note 2 2 2 4 2 6" xfId="30787" xr:uid="{00000000-0005-0000-0000-00000B980000}"/>
    <cellStyle name="Note 2 2 2 4 2 7" xfId="41289" xr:uid="{00000000-0005-0000-0000-00000C980000}"/>
    <cellStyle name="Note 2 2 2 4 3" xfId="5221" xr:uid="{00000000-0005-0000-0000-00000D980000}"/>
    <cellStyle name="Note 2 2 2 4 3 2" xfId="12322" xr:uid="{00000000-0005-0000-0000-00000E980000}"/>
    <cellStyle name="Note 2 2 2 4 3 2 2" xfId="41290" xr:uid="{00000000-0005-0000-0000-00000F980000}"/>
    <cellStyle name="Note 2 2 2 4 3 3" xfId="19423" xr:uid="{00000000-0005-0000-0000-000010980000}"/>
    <cellStyle name="Note 2 2 2 4 3 4" xfId="26525" xr:uid="{00000000-0005-0000-0000-000011980000}"/>
    <cellStyle name="Note 2 2 2 4 3 5" xfId="33627" xr:uid="{00000000-0005-0000-0000-000012980000}"/>
    <cellStyle name="Note 2 2 2 4 3 6" xfId="41291" xr:uid="{00000000-0005-0000-0000-000013980000}"/>
    <cellStyle name="Note 2 2 2 4 4" xfId="3796" xr:uid="{00000000-0005-0000-0000-000014980000}"/>
    <cellStyle name="Note 2 2 2 4 4 2" xfId="10902" xr:uid="{00000000-0005-0000-0000-000015980000}"/>
    <cellStyle name="Note 2 2 2 4 4 3" xfId="18003" xr:uid="{00000000-0005-0000-0000-000016980000}"/>
    <cellStyle name="Note 2 2 2 4 4 4" xfId="25105" xr:uid="{00000000-0005-0000-0000-000017980000}"/>
    <cellStyle name="Note 2 2 2 4 4 5" xfId="32207" xr:uid="{00000000-0005-0000-0000-000018980000}"/>
    <cellStyle name="Note 2 2 2 4 4 6" xfId="41292" xr:uid="{00000000-0005-0000-0000-000019980000}"/>
    <cellStyle name="Note 2 2 2 4 5" xfId="8062" xr:uid="{00000000-0005-0000-0000-00001A980000}"/>
    <cellStyle name="Note 2 2 2 4 6" xfId="15163" xr:uid="{00000000-0005-0000-0000-00001B980000}"/>
    <cellStyle name="Note 2 2 2 4 7" xfId="22265" xr:uid="{00000000-0005-0000-0000-00001C980000}"/>
    <cellStyle name="Note 2 2 2 4 8" xfId="29367" xr:uid="{00000000-0005-0000-0000-00001D980000}"/>
    <cellStyle name="Note 2 2 2 4 9" xfId="41293" xr:uid="{00000000-0005-0000-0000-00001E980000}"/>
    <cellStyle name="Note 2 2 2 5" xfId="1025" xr:uid="{00000000-0005-0000-0000-00001F980000}"/>
    <cellStyle name="Note 2 2 2 5 2" xfId="2516" xr:uid="{00000000-0005-0000-0000-000020980000}"/>
    <cellStyle name="Note 2 2 2 5 2 2" xfId="6784" xr:uid="{00000000-0005-0000-0000-000021980000}"/>
    <cellStyle name="Note 2 2 2 5 2 2 2" xfId="13884" xr:uid="{00000000-0005-0000-0000-000022980000}"/>
    <cellStyle name="Note 2 2 2 5 2 2 3" xfId="20985" xr:uid="{00000000-0005-0000-0000-000023980000}"/>
    <cellStyle name="Note 2 2 2 5 2 2 4" xfId="28087" xr:uid="{00000000-0005-0000-0000-000024980000}"/>
    <cellStyle name="Note 2 2 2 5 2 2 5" xfId="35189" xr:uid="{00000000-0005-0000-0000-000025980000}"/>
    <cellStyle name="Note 2 2 2 5 2 3" xfId="9624" xr:uid="{00000000-0005-0000-0000-000026980000}"/>
    <cellStyle name="Note 2 2 2 5 2 4" xfId="16725" xr:uid="{00000000-0005-0000-0000-000027980000}"/>
    <cellStyle name="Note 2 2 2 5 2 5" xfId="23827" xr:uid="{00000000-0005-0000-0000-000028980000}"/>
    <cellStyle name="Note 2 2 2 5 2 6" xfId="30929" xr:uid="{00000000-0005-0000-0000-000029980000}"/>
    <cellStyle name="Note 2 2 2 5 2 7" xfId="41294" xr:uid="{00000000-0005-0000-0000-00002A980000}"/>
    <cellStyle name="Note 2 2 2 5 3" xfId="5363" xr:uid="{00000000-0005-0000-0000-00002B980000}"/>
    <cellStyle name="Note 2 2 2 5 3 2" xfId="12464" xr:uid="{00000000-0005-0000-0000-00002C980000}"/>
    <cellStyle name="Note 2 2 2 5 3 3" xfId="19565" xr:uid="{00000000-0005-0000-0000-00002D980000}"/>
    <cellStyle name="Note 2 2 2 5 3 4" xfId="26667" xr:uid="{00000000-0005-0000-0000-00002E980000}"/>
    <cellStyle name="Note 2 2 2 5 3 5" xfId="33769" xr:uid="{00000000-0005-0000-0000-00002F980000}"/>
    <cellStyle name="Note 2 2 2 5 4" xfId="3938" xr:uid="{00000000-0005-0000-0000-000030980000}"/>
    <cellStyle name="Note 2 2 2 5 4 2" xfId="11044" xr:uid="{00000000-0005-0000-0000-000031980000}"/>
    <cellStyle name="Note 2 2 2 5 4 3" xfId="18145" xr:uid="{00000000-0005-0000-0000-000032980000}"/>
    <cellStyle name="Note 2 2 2 5 4 4" xfId="25247" xr:uid="{00000000-0005-0000-0000-000033980000}"/>
    <cellStyle name="Note 2 2 2 5 4 5" xfId="32349" xr:uid="{00000000-0005-0000-0000-000034980000}"/>
    <cellStyle name="Note 2 2 2 5 5" xfId="8204" xr:uid="{00000000-0005-0000-0000-000035980000}"/>
    <cellStyle name="Note 2 2 2 5 6" xfId="15305" xr:uid="{00000000-0005-0000-0000-000036980000}"/>
    <cellStyle name="Note 2 2 2 5 7" xfId="22407" xr:uid="{00000000-0005-0000-0000-000037980000}"/>
    <cellStyle name="Note 2 2 2 5 8" xfId="29509" xr:uid="{00000000-0005-0000-0000-000038980000}"/>
    <cellStyle name="Note 2 2 2 5 9" xfId="41295" xr:uid="{00000000-0005-0000-0000-000039980000}"/>
    <cellStyle name="Note 2 2 2 6" xfId="1451" xr:uid="{00000000-0005-0000-0000-00003A980000}"/>
    <cellStyle name="Note 2 2 2 6 2" xfId="2942" xr:uid="{00000000-0005-0000-0000-00003B980000}"/>
    <cellStyle name="Note 2 2 2 6 2 2" xfId="7210" xr:uid="{00000000-0005-0000-0000-00003C980000}"/>
    <cellStyle name="Note 2 2 2 6 2 2 2" xfId="14310" xr:uid="{00000000-0005-0000-0000-00003D980000}"/>
    <cellStyle name="Note 2 2 2 6 2 2 3" xfId="21411" xr:uid="{00000000-0005-0000-0000-00003E980000}"/>
    <cellStyle name="Note 2 2 2 6 2 2 4" xfId="28513" xr:uid="{00000000-0005-0000-0000-00003F980000}"/>
    <cellStyle name="Note 2 2 2 6 2 2 5" xfId="35615" xr:uid="{00000000-0005-0000-0000-000040980000}"/>
    <cellStyle name="Note 2 2 2 6 2 3" xfId="10050" xr:uid="{00000000-0005-0000-0000-000041980000}"/>
    <cellStyle name="Note 2 2 2 6 2 4" xfId="17151" xr:uid="{00000000-0005-0000-0000-000042980000}"/>
    <cellStyle name="Note 2 2 2 6 2 5" xfId="24253" xr:uid="{00000000-0005-0000-0000-000043980000}"/>
    <cellStyle name="Note 2 2 2 6 2 6" xfId="31355" xr:uid="{00000000-0005-0000-0000-000044980000}"/>
    <cellStyle name="Note 2 2 2 6 2 7" xfId="41296" xr:uid="{00000000-0005-0000-0000-000045980000}"/>
    <cellStyle name="Note 2 2 2 6 3" xfId="5789" xr:uid="{00000000-0005-0000-0000-000046980000}"/>
    <cellStyle name="Note 2 2 2 6 3 2" xfId="12890" xr:uid="{00000000-0005-0000-0000-000047980000}"/>
    <cellStyle name="Note 2 2 2 6 3 3" xfId="19991" xr:uid="{00000000-0005-0000-0000-000048980000}"/>
    <cellStyle name="Note 2 2 2 6 3 4" xfId="27093" xr:uid="{00000000-0005-0000-0000-000049980000}"/>
    <cellStyle name="Note 2 2 2 6 3 5" xfId="34195" xr:uid="{00000000-0005-0000-0000-00004A980000}"/>
    <cellStyle name="Note 2 2 2 6 4" xfId="4364" xr:uid="{00000000-0005-0000-0000-00004B980000}"/>
    <cellStyle name="Note 2 2 2 6 4 2" xfId="11470" xr:uid="{00000000-0005-0000-0000-00004C980000}"/>
    <cellStyle name="Note 2 2 2 6 4 3" xfId="18571" xr:uid="{00000000-0005-0000-0000-00004D980000}"/>
    <cellStyle name="Note 2 2 2 6 4 4" xfId="25673" xr:uid="{00000000-0005-0000-0000-00004E980000}"/>
    <cellStyle name="Note 2 2 2 6 4 5" xfId="32775" xr:uid="{00000000-0005-0000-0000-00004F980000}"/>
    <cellStyle name="Note 2 2 2 6 5" xfId="8630" xr:uid="{00000000-0005-0000-0000-000050980000}"/>
    <cellStyle name="Note 2 2 2 6 6" xfId="15731" xr:uid="{00000000-0005-0000-0000-000051980000}"/>
    <cellStyle name="Note 2 2 2 6 7" xfId="22833" xr:uid="{00000000-0005-0000-0000-000052980000}"/>
    <cellStyle name="Note 2 2 2 6 8" xfId="29935" xr:uid="{00000000-0005-0000-0000-000053980000}"/>
    <cellStyle name="Note 2 2 2 6 9" xfId="41297" xr:uid="{00000000-0005-0000-0000-000054980000}"/>
    <cellStyle name="Note 2 2 2 7" xfId="1735" xr:uid="{00000000-0005-0000-0000-000055980000}"/>
    <cellStyle name="Note 2 2 2 7 2" xfId="6003" xr:uid="{00000000-0005-0000-0000-000056980000}"/>
    <cellStyle name="Note 2 2 2 7 2 2" xfId="13103" xr:uid="{00000000-0005-0000-0000-000057980000}"/>
    <cellStyle name="Note 2 2 2 7 2 3" xfId="20204" xr:uid="{00000000-0005-0000-0000-000058980000}"/>
    <cellStyle name="Note 2 2 2 7 2 4" xfId="27306" xr:uid="{00000000-0005-0000-0000-000059980000}"/>
    <cellStyle name="Note 2 2 2 7 2 5" xfId="34408" xr:uid="{00000000-0005-0000-0000-00005A980000}"/>
    <cellStyle name="Note 2 2 2 7 3" xfId="8843" xr:uid="{00000000-0005-0000-0000-00005B980000}"/>
    <cellStyle name="Note 2 2 2 7 4" xfId="15944" xr:uid="{00000000-0005-0000-0000-00005C980000}"/>
    <cellStyle name="Note 2 2 2 7 5" xfId="23046" xr:uid="{00000000-0005-0000-0000-00005D980000}"/>
    <cellStyle name="Note 2 2 2 7 6" xfId="30148" xr:uid="{00000000-0005-0000-0000-00005E980000}"/>
    <cellStyle name="Note 2 2 2 7 7" xfId="41298" xr:uid="{00000000-0005-0000-0000-00005F980000}"/>
    <cellStyle name="Note 2 2 2 8" xfId="4582" xr:uid="{00000000-0005-0000-0000-000060980000}"/>
    <cellStyle name="Note 2 2 2 8 2" xfId="11683" xr:uid="{00000000-0005-0000-0000-000061980000}"/>
    <cellStyle name="Note 2 2 2 8 3" xfId="18784" xr:uid="{00000000-0005-0000-0000-000062980000}"/>
    <cellStyle name="Note 2 2 2 8 4" xfId="25886" xr:uid="{00000000-0005-0000-0000-000063980000}"/>
    <cellStyle name="Note 2 2 2 8 5" xfId="32988" xr:uid="{00000000-0005-0000-0000-000064980000}"/>
    <cellStyle name="Note 2 2 2 9" xfId="3157" xr:uid="{00000000-0005-0000-0000-000065980000}"/>
    <cellStyle name="Note 2 2 2 9 2" xfId="10263" xr:uid="{00000000-0005-0000-0000-000066980000}"/>
    <cellStyle name="Note 2 2 2 9 3" xfId="17364" xr:uid="{00000000-0005-0000-0000-000067980000}"/>
    <cellStyle name="Note 2 2 2 9 4" xfId="24466" xr:uid="{00000000-0005-0000-0000-000068980000}"/>
    <cellStyle name="Note 2 2 2 9 5" xfId="31568" xr:uid="{00000000-0005-0000-0000-000069980000}"/>
    <cellStyle name="Note 2 2 3" xfId="173" xr:uid="{00000000-0005-0000-0000-00006A980000}"/>
    <cellStyle name="Note 2 2 3 10" xfId="7352" xr:uid="{00000000-0005-0000-0000-00006B980000}"/>
    <cellStyle name="Note 2 2 3 11" xfId="14453" xr:uid="{00000000-0005-0000-0000-00006C980000}"/>
    <cellStyle name="Note 2 2 3 12" xfId="21555" xr:uid="{00000000-0005-0000-0000-00006D980000}"/>
    <cellStyle name="Note 2 2 3 13" xfId="28657" xr:uid="{00000000-0005-0000-0000-00006E980000}"/>
    <cellStyle name="Note 2 2 3 14" xfId="35759" xr:uid="{00000000-0005-0000-0000-00006F980000}"/>
    <cellStyle name="Note 2 2 3 15" xfId="41299" xr:uid="{00000000-0005-0000-0000-000070980000}"/>
    <cellStyle name="Note 2 2 3 2" xfId="386" xr:uid="{00000000-0005-0000-0000-000071980000}"/>
    <cellStyle name="Note 2 2 3 2 2" xfId="1877" xr:uid="{00000000-0005-0000-0000-000072980000}"/>
    <cellStyle name="Note 2 2 3 2 2 2" xfId="6145" xr:uid="{00000000-0005-0000-0000-000073980000}"/>
    <cellStyle name="Note 2 2 3 2 2 2 2" xfId="13245" xr:uid="{00000000-0005-0000-0000-000074980000}"/>
    <cellStyle name="Note 2 2 3 2 2 2 3" xfId="20346" xr:uid="{00000000-0005-0000-0000-000075980000}"/>
    <cellStyle name="Note 2 2 3 2 2 2 4" xfId="27448" xr:uid="{00000000-0005-0000-0000-000076980000}"/>
    <cellStyle name="Note 2 2 3 2 2 2 5" xfId="34550" xr:uid="{00000000-0005-0000-0000-000077980000}"/>
    <cellStyle name="Note 2 2 3 2 2 2 6" xfId="41300" xr:uid="{00000000-0005-0000-0000-000078980000}"/>
    <cellStyle name="Note 2 2 3 2 2 3" xfId="8985" xr:uid="{00000000-0005-0000-0000-000079980000}"/>
    <cellStyle name="Note 2 2 3 2 2 4" xfId="16086" xr:uid="{00000000-0005-0000-0000-00007A980000}"/>
    <cellStyle name="Note 2 2 3 2 2 5" xfId="23188" xr:uid="{00000000-0005-0000-0000-00007B980000}"/>
    <cellStyle name="Note 2 2 3 2 2 6" xfId="30290" xr:uid="{00000000-0005-0000-0000-00007C980000}"/>
    <cellStyle name="Note 2 2 3 2 2 7" xfId="41301" xr:uid="{00000000-0005-0000-0000-00007D980000}"/>
    <cellStyle name="Note 2 2 3 2 3" xfId="4724" xr:uid="{00000000-0005-0000-0000-00007E980000}"/>
    <cellStyle name="Note 2 2 3 2 3 2" xfId="11825" xr:uid="{00000000-0005-0000-0000-00007F980000}"/>
    <cellStyle name="Note 2 2 3 2 3 2 2" xfId="41302" xr:uid="{00000000-0005-0000-0000-000080980000}"/>
    <cellStyle name="Note 2 2 3 2 3 3" xfId="18926" xr:uid="{00000000-0005-0000-0000-000081980000}"/>
    <cellStyle name="Note 2 2 3 2 3 4" xfId="26028" xr:uid="{00000000-0005-0000-0000-000082980000}"/>
    <cellStyle name="Note 2 2 3 2 3 5" xfId="33130" xr:uid="{00000000-0005-0000-0000-000083980000}"/>
    <cellStyle name="Note 2 2 3 2 3 6" xfId="41303" xr:uid="{00000000-0005-0000-0000-000084980000}"/>
    <cellStyle name="Note 2 2 3 2 4" xfId="3299" xr:uid="{00000000-0005-0000-0000-000085980000}"/>
    <cellStyle name="Note 2 2 3 2 4 2" xfId="10405" xr:uid="{00000000-0005-0000-0000-000086980000}"/>
    <cellStyle name="Note 2 2 3 2 4 3" xfId="17506" xr:uid="{00000000-0005-0000-0000-000087980000}"/>
    <cellStyle name="Note 2 2 3 2 4 4" xfId="24608" xr:uid="{00000000-0005-0000-0000-000088980000}"/>
    <cellStyle name="Note 2 2 3 2 4 5" xfId="31710" xr:uid="{00000000-0005-0000-0000-000089980000}"/>
    <cellStyle name="Note 2 2 3 2 4 6" xfId="41304" xr:uid="{00000000-0005-0000-0000-00008A980000}"/>
    <cellStyle name="Note 2 2 3 2 5" xfId="7565" xr:uid="{00000000-0005-0000-0000-00008B980000}"/>
    <cellStyle name="Note 2 2 3 2 6" xfId="14666" xr:uid="{00000000-0005-0000-0000-00008C980000}"/>
    <cellStyle name="Note 2 2 3 2 7" xfId="21768" xr:uid="{00000000-0005-0000-0000-00008D980000}"/>
    <cellStyle name="Note 2 2 3 2 8" xfId="28870" xr:uid="{00000000-0005-0000-0000-00008E980000}"/>
    <cellStyle name="Note 2 2 3 2 9" xfId="41305" xr:uid="{00000000-0005-0000-0000-00008F980000}"/>
    <cellStyle name="Note 2 2 3 3" xfId="599" xr:uid="{00000000-0005-0000-0000-000090980000}"/>
    <cellStyle name="Note 2 2 3 3 2" xfId="2090" xr:uid="{00000000-0005-0000-0000-000091980000}"/>
    <cellStyle name="Note 2 2 3 3 2 2" xfId="6358" xr:uid="{00000000-0005-0000-0000-000092980000}"/>
    <cellStyle name="Note 2 2 3 3 2 2 2" xfId="13458" xr:uid="{00000000-0005-0000-0000-000093980000}"/>
    <cellStyle name="Note 2 2 3 3 2 2 3" xfId="20559" xr:uid="{00000000-0005-0000-0000-000094980000}"/>
    <cellStyle name="Note 2 2 3 3 2 2 4" xfId="27661" xr:uid="{00000000-0005-0000-0000-000095980000}"/>
    <cellStyle name="Note 2 2 3 3 2 2 5" xfId="34763" xr:uid="{00000000-0005-0000-0000-000096980000}"/>
    <cellStyle name="Note 2 2 3 3 2 2 6" xfId="41306" xr:uid="{00000000-0005-0000-0000-000097980000}"/>
    <cellStyle name="Note 2 2 3 3 2 3" xfId="9198" xr:uid="{00000000-0005-0000-0000-000098980000}"/>
    <cellStyle name="Note 2 2 3 3 2 4" xfId="16299" xr:uid="{00000000-0005-0000-0000-000099980000}"/>
    <cellStyle name="Note 2 2 3 3 2 5" xfId="23401" xr:uid="{00000000-0005-0000-0000-00009A980000}"/>
    <cellStyle name="Note 2 2 3 3 2 6" xfId="30503" xr:uid="{00000000-0005-0000-0000-00009B980000}"/>
    <cellStyle name="Note 2 2 3 3 2 7" xfId="41307" xr:uid="{00000000-0005-0000-0000-00009C980000}"/>
    <cellStyle name="Note 2 2 3 3 3" xfId="4937" xr:uid="{00000000-0005-0000-0000-00009D980000}"/>
    <cellStyle name="Note 2 2 3 3 3 2" xfId="12038" xr:uid="{00000000-0005-0000-0000-00009E980000}"/>
    <cellStyle name="Note 2 2 3 3 3 2 2" xfId="41308" xr:uid="{00000000-0005-0000-0000-00009F980000}"/>
    <cellStyle name="Note 2 2 3 3 3 3" xfId="19139" xr:uid="{00000000-0005-0000-0000-0000A0980000}"/>
    <cellStyle name="Note 2 2 3 3 3 4" xfId="26241" xr:uid="{00000000-0005-0000-0000-0000A1980000}"/>
    <cellStyle name="Note 2 2 3 3 3 5" xfId="33343" xr:uid="{00000000-0005-0000-0000-0000A2980000}"/>
    <cellStyle name="Note 2 2 3 3 3 6" xfId="41309" xr:uid="{00000000-0005-0000-0000-0000A3980000}"/>
    <cellStyle name="Note 2 2 3 3 4" xfId="3512" xr:uid="{00000000-0005-0000-0000-0000A4980000}"/>
    <cellStyle name="Note 2 2 3 3 4 2" xfId="10618" xr:uid="{00000000-0005-0000-0000-0000A5980000}"/>
    <cellStyle name="Note 2 2 3 3 4 3" xfId="17719" xr:uid="{00000000-0005-0000-0000-0000A6980000}"/>
    <cellStyle name="Note 2 2 3 3 4 4" xfId="24821" xr:uid="{00000000-0005-0000-0000-0000A7980000}"/>
    <cellStyle name="Note 2 2 3 3 4 5" xfId="31923" xr:uid="{00000000-0005-0000-0000-0000A8980000}"/>
    <cellStyle name="Note 2 2 3 3 4 6" xfId="41310" xr:uid="{00000000-0005-0000-0000-0000A9980000}"/>
    <cellStyle name="Note 2 2 3 3 5" xfId="7778" xr:uid="{00000000-0005-0000-0000-0000AA980000}"/>
    <cellStyle name="Note 2 2 3 3 6" xfId="14879" xr:uid="{00000000-0005-0000-0000-0000AB980000}"/>
    <cellStyle name="Note 2 2 3 3 7" xfId="21981" xr:uid="{00000000-0005-0000-0000-0000AC980000}"/>
    <cellStyle name="Note 2 2 3 3 8" xfId="29083" xr:uid="{00000000-0005-0000-0000-0000AD980000}"/>
    <cellStyle name="Note 2 2 3 3 9" xfId="41311" xr:uid="{00000000-0005-0000-0000-0000AE980000}"/>
    <cellStyle name="Note 2 2 3 4" xfId="812" xr:uid="{00000000-0005-0000-0000-0000AF980000}"/>
    <cellStyle name="Note 2 2 3 4 2" xfId="2303" xr:uid="{00000000-0005-0000-0000-0000B0980000}"/>
    <cellStyle name="Note 2 2 3 4 2 2" xfId="6571" xr:uid="{00000000-0005-0000-0000-0000B1980000}"/>
    <cellStyle name="Note 2 2 3 4 2 2 2" xfId="13671" xr:uid="{00000000-0005-0000-0000-0000B2980000}"/>
    <cellStyle name="Note 2 2 3 4 2 2 3" xfId="20772" xr:uid="{00000000-0005-0000-0000-0000B3980000}"/>
    <cellStyle name="Note 2 2 3 4 2 2 4" xfId="27874" xr:uid="{00000000-0005-0000-0000-0000B4980000}"/>
    <cellStyle name="Note 2 2 3 4 2 2 5" xfId="34976" xr:uid="{00000000-0005-0000-0000-0000B5980000}"/>
    <cellStyle name="Note 2 2 3 4 2 2 6" xfId="41312" xr:uid="{00000000-0005-0000-0000-0000B6980000}"/>
    <cellStyle name="Note 2 2 3 4 2 3" xfId="9411" xr:uid="{00000000-0005-0000-0000-0000B7980000}"/>
    <cellStyle name="Note 2 2 3 4 2 4" xfId="16512" xr:uid="{00000000-0005-0000-0000-0000B8980000}"/>
    <cellStyle name="Note 2 2 3 4 2 5" xfId="23614" xr:uid="{00000000-0005-0000-0000-0000B9980000}"/>
    <cellStyle name="Note 2 2 3 4 2 6" xfId="30716" xr:uid="{00000000-0005-0000-0000-0000BA980000}"/>
    <cellStyle name="Note 2 2 3 4 2 7" xfId="41313" xr:uid="{00000000-0005-0000-0000-0000BB980000}"/>
    <cellStyle name="Note 2 2 3 4 3" xfId="5150" xr:uid="{00000000-0005-0000-0000-0000BC980000}"/>
    <cellStyle name="Note 2 2 3 4 3 2" xfId="12251" xr:uid="{00000000-0005-0000-0000-0000BD980000}"/>
    <cellStyle name="Note 2 2 3 4 3 2 2" xfId="41314" xr:uid="{00000000-0005-0000-0000-0000BE980000}"/>
    <cellStyle name="Note 2 2 3 4 3 3" xfId="19352" xr:uid="{00000000-0005-0000-0000-0000BF980000}"/>
    <cellStyle name="Note 2 2 3 4 3 4" xfId="26454" xr:uid="{00000000-0005-0000-0000-0000C0980000}"/>
    <cellStyle name="Note 2 2 3 4 3 5" xfId="33556" xr:uid="{00000000-0005-0000-0000-0000C1980000}"/>
    <cellStyle name="Note 2 2 3 4 3 6" xfId="41315" xr:uid="{00000000-0005-0000-0000-0000C2980000}"/>
    <cellStyle name="Note 2 2 3 4 4" xfId="3725" xr:uid="{00000000-0005-0000-0000-0000C3980000}"/>
    <cellStyle name="Note 2 2 3 4 4 2" xfId="10831" xr:uid="{00000000-0005-0000-0000-0000C4980000}"/>
    <cellStyle name="Note 2 2 3 4 4 3" xfId="17932" xr:uid="{00000000-0005-0000-0000-0000C5980000}"/>
    <cellStyle name="Note 2 2 3 4 4 4" xfId="25034" xr:uid="{00000000-0005-0000-0000-0000C6980000}"/>
    <cellStyle name="Note 2 2 3 4 4 5" xfId="32136" xr:uid="{00000000-0005-0000-0000-0000C7980000}"/>
    <cellStyle name="Note 2 2 3 4 4 6" xfId="41316" xr:uid="{00000000-0005-0000-0000-0000C8980000}"/>
    <cellStyle name="Note 2 2 3 4 5" xfId="7991" xr:uid="{00000000-0005-0000-0000-0000C9980000}"/>
    <cellStyle name="Note 2 2 3 4 6" xfId="15092" xr:uid="{00000000-0005-0000-0000-0000CA980000}"/>
    <cellStyle name="Note 2 2 3 4 7" xfId="22194" xr:uid="{00000000-0005-0000-0000-0000CB980000}"/>
    <cellStyle name="Note 2 2 3 4 8" xfId="29296" xr:uid="{00000000-0005-0000-0000-0000CC980000}"/>
    <cellStyle name="Note 2 2 3 4 9" xfId="41317" xr:uid="{00000000-0005-0000-0000-0000CD980000}"/>
    <cellStyle name="Note 2 2 3 5" xfId="1167" xr:uid="{00000000-0005-0000-0000-0000CE980000}"/>
    <cellStyle name="Note 2 2 3 5 2" xfId="2658" xr:uid="{00000000-0005-0000-0000-0000CF980000}"/>
    <cellStyle name="Note 2 2 3 5 2 2" xfId="6926" xr:uid="{00000000-0005-0000-0000-0000D0980000}"/>
    <cellStyle name="Note 2 2 3 5 2 2 2" xfId="14026" xr:uid="{00000000-0005-0000-0000-0000D1980000}"/>
    <cellStyle name="Note 2 2 3 5 2 2 3" xfId="21127" xr:uid="{00000000-0005-0000-0000-0000D2980000}"/>
    <cellStyle name="Note 2 2 3 5 2 2 4" xfId="28229" xr:uid="{00000000-0005-0000-0000-0000D3980000}"/>
    <cellStyle name="Note 2 2 3 5 2 2 5" xfId="35331" xr:uid="{00000000-0005-0000-0000-0000D4980000}"/>
    <cellStyle name="Note 2 2 3 5 2 3" xfId="9766" xr:uid="{00000000-0005-0000-0000-0000D5980000}"/>
    <cellStyle name="Note 2 2 3 5 2 4" xfId="16867" xr:uid="{00000000-0005-0000-0000-0000D6980000}"/>
    <cellStyle name="Note 2 2 3 5 2 5" xfId="23969" xr:uid="{00000000-0005-0000-0000-0000D7980000}"/>
    <cellStyle name="Note 2 2 3 5 2 6" xfId="31071" xr:uid="{00000000-0005-0000-0000-0000D8980000}"/>
    <cellStyle name="Note 2 2 3 5 2 7" xfId="41318" xr:uid="{00000000-0005-0000-0000-0000D9980000}"/>
    <cellStyle name="Note 2 2 3 5 3" xfId="5505" xr:uid="{00000000-0005-0000-0000-0000DA980000}"/>
    <cellStyle name="Note 2 2 3 5 3 2" xfId="12606" xr:uid="{00000000-0005-0000-0000-0000DB980000}"/>
    <cellStyle name="Note 2 2 3 5 3 3" xfId="19707" xr:uid="{00000000-0005-0000-0000-0000DC980000}"/>
    <cellStyle name="Note 2 2 3 5 3 4" xfId="26809" xr:uid="{00000000-0005-0000-0000-0000DD980000}"/>
    <cellStyle name="Note 2 2 3 5 3 5" xfId="33911" xr:uid="{00000000-0005-0000-0000-0000DE980000}"/>
    <cellStyle name="Note 2 2 3 5 4" xfId="4080" xr:uid="{00000000-0005-0000-0000-0000DF980000}"/>
    <cellStyle name="Note 2 2 3 5 4 2" xfId="11186" xr:uid="{00000000-0005-0000-0000-0000E0980000}"/>
    <cellStyle name="Note 2 2 3 5 4 3" xfId="18287" xr:uid="{00000000-0005-0000-0000-0000E1980000}"/>
    <cellStyle name="Note 2 2 3 5 4 4" xfId="25389" xr:uid="{00000000-0005-0000-0000-0000E2980000}"/>
    <cellStyle name="Note 2 2 3 5 4 5" xfId="32491" xr:uid="{00000000-0005-0000-0000-0000E3980000}"/>
    <cellStyle name="Note 2 2 3 5 5" xfId="8346" xr:uid="{00000000-0005-0000-0000-0000E4980000}"/>
    <cellStyle name="Note 2 2 3 5 6" xfId="15447" xr:uid="{00000000-0005-0000-0000-0000E5980000}"/>
    <cellStyle name="Note 2 2 3 5 7" xfId="22549" xr:uid="{00000000-0005-0000-0000-0000E6980000}"/>
    <cellStyle name="Note 2 2 3 5 8" xfId="29651" xr:uid="{00000000-0005-0000-0000-0000E7980000}"/>
    <cellStyle name="Note 2 2 3 5 9" xfId="41319" xr:uid="{00000000-0005-0000-0000-0000E8980000}"/>
    <cellStyle name="Note 2 2 3 6" xfId="1380" xr:uid="{00000000-0005-0000-0000-0000E9980000}"/>
    <cellStyle name="Note 2 2 3 6 2" xfId="2871" xr:uid="{00000000-0005-0000-0000-0000EA980000}"/>
    <cellStyle name="Note 2 2 3 6 2 2" xfId="7139" xr:uid="{00000000-0005-0000-0000-0000EB980000}"/>
    <cellStyle name="Note 2 2 3 6 2 2 2" xfId="14239" xr:uid="{00000000-0005-0000-0000-0000EC980000}"/>
    <cellStyle name="Note 2 2 3 6 2 2 3" xfId="21340" xr:uid="{00000000-0005-0000-0000-0000ED980000}"/>
    <cellStyle name="Note 2 2 3 6 2 2 4" xfId="28442" xr:uid="{00000000-0005-0000-0000-0000EE980000}"/>
    <cellStyle name="Note 2 2 3 6 2 2 5" xfId="35544" xr:uid="{00000000-0005-0000-0000-0000EF980000}"/>
    <cellStyle name="Note 2 2 3 6 2 3" xfId="9979" xr:uid="{00000000-0005-0000-0000-0000F0980000}"/>
    <cellStyle name="Note 2 2 3 6 2 4" xfId="17080" xr:uid="{00000000-0005-0000-0000-0000F1980000}"/>
    <cellStyle name="Note 2 2 3 6 2 5" xfId="24182" xr:uid="{00000000-0005-0000-0000-0000F2980000}"/>
    <cellStyle name="Note 2 2 3 6 2 6" xfId="31284" xr:uid="{00000000-0005-0000-0000-0000F3980000}"/>
    <cellStyle name="Note 2 2 3 6 2 7" xfId="41320" xr:uid="{00000000-0005-0000-0000-0000F4980000}"/>
    <cellStyle name="Note 2 2 3 6 3" xfId="5718" xr:uid="{00000000-0005-0000-0000-0000F5980000}"/>
    <cellStyle name="Note 2 2 3 6 3 2" xfId="12819" xr:uid="{00000000-0005-0000-0000-0000F6980000}"/>
    <cellStyle name="Note 2 2 3 6 3 3" xfId="19920" xr:uid="{00000000-0005-0000-0000-0000F7980000}"/>
    <cellStyle name="Note 2 2 3 6 3 4" xfId="27022" xr:uid="{00000000-0005-0000-0000-0000F8980000}"/>
    <cellStyle name="Note 2 2 3 6 3 5" xfId="34124" xr:uid="{00000000-0005-0000-0000-0000F9980000}"/>
    <cellStyle name="Note 2 2 3 6 4" xfId="4293" xr:uid="{00000000-0005-0000-0000-0000FA980000}"/>
    <cellStyle name="Note 2 2 3 6 4 2" xfId="11399" xr:uid="{00000000-0005-0000-0000-0000FB980000}"/>
    <cellStyle name="Note 2 2 3 6 4 3" xfId="18500" xr:uid="{00000000-0005-0000-0000-0000FC980000}"/>
    <cellStyle name="Note 2 2 3 6 4 4" xfId="25602" xr:uid="{00000000-0005-0000-0000-0000FD980000}"/>
    <cellStyle name="Note 2 2 3 6 4 5" xfId="32704" xr:uid="{00000000-0005-0000-0000-0000FE980000}"/>
    <cellStyle name="Note 2 2 3 6 5" xfId="8559" xr:uid="{00000000-0005-0000-0000-0000FF980000}"/>
    <cellStyle name="Note 2 2 3 6 6" xfId="15660" xr:uid="{00000000-0005-0000-0000-000000990000}"/>
    <cellStyle name="Note 2 2 3 6 7" xfId="22762" xr:uid="{00000000-0005-0000-0000-000001990000}"/>
    <cellStyle name="Note 2 2 3 6 8" xfId="29864" xr:uid="{00000000-0005-0000-0000-000002990000}"/>
    <cellStyle name="Note 2 2 3 6 9" xfId="41321" xr:uid="{00000000-0005-0000-0000-000003990000}"/>
    <cellStyle name="Note 2 2 3 7" xfId="1664" xr:uid="{00000000-0005-0000-0000-000004990000}"/>
    <cellStyle name="Note 2 2 3 7 2" xfId="5932" xr:uid="{00000000-0005-0000-0000-000005990000}"/>
    <cellStyle name="Note 2 2 3 7 2 2" xfId="13032" xr:uid="{00000000-0005-0000-0000-000006990000}"/>
    <cellStyle name="Note 2 2 3 7 2 3" xfId="20133" xr:uid="{00000000-0005-0000-0000-000007990000}"/>
    <cellStyle name="Note 2 2 3 7 2 4" xfId="27235" xr:uid="{00000000-0005-0000-0000-000008990000}"/>
    <cellStyle name="Note 2 2 3 7 2 5" xfId="34337" xr:uid="{00000000-0005-0000-0000-000009990000}"/>
    <cellStyle name="Note 2 2 3 7 3" xfId="8772" xr:uid="{00000000-0005-0000-0000-00000A990000}"/>
    <cellStyle name="Note 2 2 3 7 4" xfId="15873" xr:uid="{00000000-0005-0000-0000-00000B990000}"/>
    <cellStyle name="Note 2 2 3 7 5" xfId="22975" xr:uid="{00000000-0005-0000-0000-00000C990000}"/>
    <cellStyle name="Note 2 2 3 7 6" xfId="30077" xr:uid="{00000000-0005-0000-0000-00000D990000}"/>
    <cellStyle name="Note 2 2 3 7 7" xfId="41322" xr:uid="{00000000-0005-0000-0000-00000E990000}"/>
    <cellStyle name="Note 2 2 3 8" xfId="4511" xr:uid="{00000000-0005-0000-0000-00000F990000}"/>
    <cellStyle name="Note 2 2 3 8 2" xfId="11612" xr:uid="{00000000-0005-0000-0000-000010990000}"/>
    <cellStyle name="Note 2 2 3 8 3" xfId="18713" xr:uid="{00000000-0005-0000-0000-000011990000}"/>
    <cellStyle name="Note 2 2 3 8 4" xfId="25815" xr:uid="{00000000-0005-0000-0000-000012990000}"/>
    <cellStyle name="Note 2 2 3 8 5" xfId="32917" xr:uid="{00000000-0005-0000-0000-000013990000}"/>
    <cellStyle name="Note 2 2 3 9" xfId="3086" xr:uid="{00000000-0005-0000-0000-000014990000}"/>
    <cellStyle name="Note 2 2 3 9 2" xfId="10192" xr:uid="{00000000-0005-0000-0000-000015990000}"/>
    <cellStyle name="Note 2 2 3 9 3" xfId="17293" xr:uid="{00000000-0005-0000-0000-000016990000}"/>
    <cellStyle name="Note 2 2 3 9 4" xfId="24395" xr:uid="{00000000-0005-0000-0000-000017990000}"/>
    <cellStyle name="Note 2 2 3 9 5" xfId="31497" xr:uid="{00000000-0005-0000-0000-000018990000}"/>
    <cellStyle name="Note 2 2 4" xfId="315" xr:uid="{00000000-0005-0000-0000-000019990000}"/>
    <cellStyle name="Note 2 2 4 10" xfId="41323" xr:uid="{00000000-0005-0000-0000-00001A990000}"/>
    <cellStyle name="Note 2 2 4 2" xfId="1096" xr:uid="{00000000-0005-0000-0000-00001B990000}"/>
    <cellStyle name="Note 2 2 4 2 2" xfId="2587" xr:uid="{00000000-0005-0000-0000-00001C990000}"/>
    <cellStyle name="Note 2 2 4 2 2 2" xfId="6855" xr:uid="{00000000-0005-0000-0000-00001D990000}"/>
    <cellStyle name="Note 2 2 4 2 2 2 2" xfId="13955" xr:uid="{00000000-0005-0000-0000-00001E990000}"/>
    <cellStyle name="Note 2 2 4 2 2 2 3" xfId="21056" xr:uid="{00000000-0005-0000-0000-00001F990000}"/>
    <cellStyle name="Note 2 2 4 2 2 2 4" xfId="28158" xr:uid="{00000000-0005-0000-0000-000020990000}"/>
    <cellStyle name="Note 2 2 4 2 2 2 5" xfId="35260" xr:uid="{00000000-0005-0000-0000-000021990000}"/>
    <cellStyle name="Note 2 2 4 2 2 3" xfId="9695" xr:uid="{00000000-0005-0000-0000-000022990000}"/>
    <cellStyle name="Note 2 2 4 2 2 4" xfId="16796" xr:uid="{00000000-0005-0000-0000-000023990000}"/>
    <cellStyle name="Note 2 2 4 2 2 5" xfId="23898" xr:uid="{00000000-0005-0000-0000-000024990000}"/>
    <cellStyle name="Note 2 2 4 2 2 6" xfId="31000" xr:uid="{00000000-0005-0000-0000-000025990000}"/>
    <cellStyle name="Note 2 2 4 2 2 7" xfId="41324" xr:uid="{00000000-0005-0000-0000-000026990000}"/>
    <cellStyle name="Note 2 2 4 2 3" xfId="5434" xr:uid="{00000000-0005-0000-0000-000027990000}"/>
    <cellStyle name="Note 2 2 4 2 3 2" xfId="12535" xr:uid="{00000000-0005-0000-0000-000028990000}"/>
    <cellStyle name="Note 2 2 4 2 3 3" xfId="19636" xr:uid="{00000000-0005-0000-0000-000029990000}"/>
    <cellStyle name="Note 2 2 4 2 3 4" xfId="26738" xr:uid="{00000000-0005-0000-0000-00002A990000}"/>
    <cellStyle name="Note 2 2 4 2 3 5" xfId="33840" xr:uid="{00000000-0005-0000-0000-00002B990000}"/>
    <cellStyle name="Note 2 2 4 2 4" xfId="4009" xr:uid="{00000000-0005-0000-0000-00002C990000}"/>
    <cellStyle name="Note 2 2 4 2 4 2" xfId="11115" xr:uid="{00000000-0005-0000-0000-00002D990000}"/>
    <cellStyle name="Note 2 2 4 2 4 3" xfId="18216" xr:uid="{00000000-0005-0000-0000-00002E990000}"/>
    <cellStyle name="Note 2 2 4 2 4 4" xfId="25318" xr:uid="{00000000-0005-0000-0000-00002F990000}"/>
    <cellStyle name="Note 2 2 4 2 4 5" xfId="32420" xr:uid="{00000000-0005-0000-0000-000030990000}"/>
    <cellStyle name="Note 2 2 4 2 5" xfId="8275" xr:uid="{00000000-0005-0000-0000-000031990000}"/>
    <cellStyle name="Note 2 2 4 2 6" xfId="15376" xr:uid="{00000000-0005-0000-0000-000032990000}"/>
    <cellStyle name="Note 2 2 4 2 7" xfId="22478" xr:uid="{00000000-0005-0000-0000-000033990000}"/>
    <cellStyle name="Note 2 2 4 2 8" xfId="29580" xr:uid="{00000000-0005-0000-0000-000034990000}"/>
    <cellStyle name="Note 2 2 4 2 9" xfId="41325" xr:uid="{00000000-0005-0000-0000-000035990000}"/>
    <cellStyle name="Note 2 2 4 3" xfId="1806" xr:uid="{00000000-0005-0000-0000-000036990000}"/>
    <cellStyle name="Note 2 2 4 3 2" xfId="6074" xr:uid="{00000000-0005-0000-0000-000037990000}"/>
    <cellStyle name="Note 2 2 4 3 2 2" xfId="13174" xr:uid="{00000000-0005-0000-0000-000038990000}"/>
    <cellStyle name="Note 2 2 4 3 2 3" xfId="20275" xr:uid="{00000000-0005-0000-0000-000039990000}"/>
    <cellStyle name="Note 2 2 4 3 2 4" xfId="27377" xr:uid="{00000000-0005-0000-0000-00003A990000}"/>
    <cellStyle name="Note 2 2 4 3 2 5" xfId="34479" xr:uid="{00000000-0005-0000-0000-00003B990000}"/>
    <cellStyle name="Note 2 2 4 3 2 6" xfId="41326" xr:uid="{00000000-0005-0000-0000-00003C990000}"/>
    <cellStyle name="Note 2 2 4 3 3" xfId="8914" xr:uid="{00000000-0005-0000-0000-00003D990000}"/>
    <cellStyle name="Note 2 2 4 3 4" xfId="16015" xr:uid="{00000000-0005-0000-0000-00003E990000}"/>
    <cellStyle name="Note 2 2 4 3 5" xfId="23117" xr:uid="{00000000-0005-0000-0000-00003F990000}"/>
    <cellStyle name="Note 2 2 4 3 6" xfId="30219" xr:uid="{00000000-0005-0000-0000-000040990000}"/>
    <cellStyle name="Note 2 2 4 3 7" xfId="41327" xr:uid="{00000000-0005-0000-0000-000041990000}"/>
    <cellStyle name="Note 2 2 4 4" xfId="4653" xr:uid="{00000000-0005-0000-0000-000042990000}"/>
    <cellStyle name="Note 2 2 4 4 2" xfId="11754" xr:uid="{00000000-0005-0000-0000-000043990000}"/>
    <cellStyle name="Note 2 2 4 4 3" xfId="18855" xr:uid="{00000000-0005-0000-0000-000044990000}"/>
    <cellStyle name="Note 2 2 4 4 4" xfId="25957" xr:uid="{00000000-0005-0000-0000-000045990000}"/>
    <cellStyle name="Note 2 2 4 4 5" xfId="33059" xr:uid="{00000000-0005-0000-0000-000046990000}"/>
    <cellStyle name="Note 2 2 4 4 6" xfId="41328" xr:uid="{00000000-0005-0000-0000-000047990000}"/>
    <cellStyle name="Note 2 2 4 5" xfId="3228" xr:uid="{00000000-0005-0000-0000-000048990000}"/>
    <cellStyle name="Note 2 2 4 5 2" xfId="10334" xr:uid="{00000000-0005-0000-0000-000049990000}"/>
    <cellStyle name="Note 2 2 4 5 3" xfId="17435" xr:uid="{00000000-0005-0000-0000-00004A990000}"/>
    <cellStyle name="Note 2 2 4 5 4" xfId="24537" xr:uid="{00000000-0005-0000-0000-00004B990000}"/>
    <cellStyle name="Note 2 2 4 5 5" xfId="31639" xr:uid="{00000000-0005-0000-0000-00004C990000}"/>
    <cellStyle name="Note 2 2 4 6" xfId="7494" xr:uid="{00000000-0005-0000-0000-00004D990000}"/>
    <cellStyle name="Note 2 2 4 7" xfId="14595" xr:uid="{00000000-0005-0000-0000-00004E990000}"/>
    <cellStyle name="Note 2 2 4 8" xfId="21697" xr:uid="{00000000-0005-0000-0000-00004F990000}"/>
    <cellStyle name="Note 2 2 4 9" xfId="28799" xr:uid="{00000000-0005-0000-0000-000050990000}"/>
    <cellStyle name="Note 2 2 5" xfId="528" xr:uid="{00000000-0005-0000-0000-000051990000}"/>
    <cellStyle name="Note 2 2 5 2" xfId="2019" xr:uid="{00000000-0005-0000-0000-000052990000}"/>
    <cellStyle name="Note 2 2 5 2 2" xfId="6287" xr:uid="{00000000-0005-0000-0000-000053990000}"/>
    <cellStyle name="Note 2 2 5 2 2 2" xfId="13387" xr:uid="{00000000-0005-0000-0000-000054990000}"/>
    <cellStyle name="Note 2 2 5 2 2 3" xfId="20488" xr:uid="{00000000-0005-0000-0000-000055990000}"/>
    <cellStyle name="Note 2 2 5 2 2 4" xfId="27590" xr:uid="{00000000-0005-0000-0000-000056990000}"/>
    <cellStyle name="Note 2 2 5 2 2 5" xfId="34692" xr:uid="{00000000-0005-0000-0000-000057990000}"/>
    <cellStyle name="Note 2 2 5 2 2 6" xfId="41329" xr:uid="{00000000-0005-0000-0000-000058990000}"/>
    <cellStyle name="Note 2 2 5 2 3" xfId="9127" xr:uid="{00000000-0005-0000-0000-000059990000}"/>
    <cellStyle name="Note 2 2 5 2 4" xfId="16228" xr:uid="{00000000-0005-0000-0000-00005A990000}"/>
    <cellStyle name="Note 2 2 5 2 5" xfId="23330" xr:uid="{00000000-0005-0000-0000-00005B990000}"/>
    <cellStyle name="Note 2 2 5 2 6" xfId="30432" xr:uid="{00000000-0005-0000-0000-00005C990000}"/>
    <cellStyle name="Note 2 2 5 2 7" xfId="41330" xr:uid="{00000000-0005-0000-0000-00005D990000}"/>
    <cellStyle name="Note 2 2 5 3" xfId="4866" xr:uid="{00000000-0005-0000-0000-00005E990000}"/>
    <cellStyle name="Note 2 2 5 3 2" xfId="11967" xr:uid="{00000000-0005-0000-0000-00005F990000}"/>
    <cellStyle name="Note 2 2 5 3 2 2" xfId="41331" xr:uid="{00000000-0005-0000-0000-000060990000}"/>
    <cellStyle name="Note 2 2 5 3 3" xfId="19068" xr:uid="{00000000-0005-0000-0000-000061990000}"/>
    <cellStyle name="Note 2 2 5 3 4" xfId="26170" xr:uid="{00000000-0005-0000-0000-000062990000}"/>
    <cellStyle name="Note 2 2 5 3 5" xfId="33272" xr:uid="{00000000-0005-0000-0000-000063990000}"/>
    <cellStyle name="Note 2 2 5 3 6" xfId="41332" xr:uid="{00000000-0005-0000-0000-000064990000}"/>
    <cellStyle name="Note 2 2 5 4" xfId="3441" xr:uid="{00000000-0005-0000-0000-000065990000}"/>
    <cellStyle name="Note 2 2 5 4 2" xfId="10547" xr:uid="{00000000-0005-0000-0000-000066990000}"/>
    <cellStyle name="Note 2 2 5 4 3" xfId="17648" xr:uid="{00000000-0005-0000-0000-000067990000}"/>
    <cellStyle name="Note 2 2 5 4 4" xfId="24750" xr:uid="{00000000-0005-0000-0000-000068990000}"/>
    <cellStyle name="Note 2 2 5 4 5" xfId="31852" xr:uid="{00000000-0005-0000-0000-000069990000}"/>
    <cellStyle name="Note 2 2 5 4 6" xfId="41333" xr:uid="{00000000-0005-0000-0000-00006A990000}"/>
    <cellStyle name="Note 2 2 5 5" xfId="7707" xr:uid="{00000000-0005-0000-0000-00006B990000}"/>
    <cellStyle name="Note 2 2 5 6" xfId="14808" xr:uid="{00000000-0005-0000-0000-00006C990000}"/>
    <cellStyle name="Note 2 2 5 7" xfId="21910" xr:uid="{00000000-0005-0000-0000-00006D990000}"/>
    <cellStyle name="Note 2 2 5 8" xfId="29012" xr:uid="{00000000-0005-0000-0000-00006E990000}"/>
    <cellStyle name="Note 2 2 5 9" xfId="41334" xr:uid="{00000000-0005-0000-0000-00006F990000}"/>
    <cellStyle name="Note 2 2 6" xfId="741" xr:uid="{00000000-0005-0000-0000-000070990000}"/>
    <cellStyle name="Note 2 2 6 2" xfId="2232" xr:uid="{00000000-0005-0000-0000-000071990000}"/>
    <cellStyle name="Note 2 2 6 2 2" xfId="6500" xr:uid="{00000000-0005-0000-0000-000072990000}"/>
    <cellStyle name="Note 2 2 6 2 2 2" xfId="13600" xr:uid="{00000000-0005-0000-0000-000073990000}"/>
    <cellStyle name="Note 2 2 6 2 2 3" xfId="20701" xr:uid="{00000000-0005-0000-0000-000074990000}"/>
    <cellStyle name="Note 2 2 6 2 2 4" xfId="27803" xr:uid="{00000000-0005-0000-0000-000075990000}"/>
    <cellStyle name="Note 2 2 6 2 2 5" xfId="34905" xr:uid="{00000000-0005-0000-0000-000076990000}"/>
    <cellStyle name="Note 2 2 6 2 2 6" xfId="41335" xr:uid="{00000000-0005-0000-0000-000077990000}"/>
    <cellStyle name="Note 2 2 6 2 3" xfId="9340" xr:uid="{00000000-0005-0000-0000-000078990000}"/>
    <cellStyle name="Note 2 2 6 2 4" xfId="16441" xr:uid="{00000000-0005-0000-0000-000079990000}"/>
    <cellStyle name="Note 2 2 6 2 5" xfId="23543" xr:uid="{00000000-0005-0000-0000-00007A990000}"/>
    <cellStyle name="Note 2 2 6 2 6" xfId="30645" xr:uid="{00000000-0005-0000-0000-00007B990000}"/>
    <cellStyle name="Note 2 2 6 2 7" xfId="41336" xr:uid="{00000000-0005-0000-0000-00007C990000}"/>
    <cellStyle name="Note 2 2 6 3" xfId="5079" xr:uid="{00000000-0005-0000-0000-00007D990000}"/>
    <cellStyle name="Note 2 2 6 3 2" xfId="12180" xr:uid="{00000000-0005-0000-0000-00007E990000}"/>
    <cellStyle name="Note 2 2 6 3 2 2" xfId="41337" xr:uid="{00000000-0005-0000-0000-00007F990000}"/>
    <cellStyle name="Note 2 2 6 3 3" xfId="19281" xr:uid="{00000000-0005-0000-0000-000080990000}"/>
    <cellStyle name="Note 2 2 6 3 4" xfId="26383" xr:uid="{00000000-0005-0000-0000-000081990000}"/>
    <cellStyle name="Note 2 2 6 3 5" xfId="33485" xr:uid="{00000000-0005-0000-0000-000082990000}"/>
    <cellStyle name="Note 2 2 6 3 6" xfId="41338" xr:uid="{00000000-0005-0000-0000-000083990000}"/>
    <cellStyle name="Note 2 2 6 4" xfId="3654" xr:uid="{00000000-0005-0000-0000-000084990000}"/>
    <cellStyle name="Note 2 2 6 4 2" xfId="10760" xr:uid="{00000000-0005-0000-0000-000085990000}"/>
    <cellStyle name="Note 2 2 6 4 3" xfId="17861" xr:uid="{00000000-0005-0000-0000-000086990000}"/>
    <cellStyle name="Note 2 2 6 4 4" xfId="24963" xr:uid="{00000000-0005-0000-0000-000087990000}"/>
    <cellStyle name="Note 2 2 6 4 5" xfId="32065" xr:uid="{00000000-0005-0000-0000-000088990000}"/>
    <cellStyle name="Note 2 2 6 4 6" xfId="41339" xr:uid="{00000000-0005-0000-0000-000089990000}"/>
    <cellStyle name="Note 2 2 6 5" xfId="7920" xr:uid="{00000000-0005-0000-0000-00008A990000}"/>
    <cellStyle name="Note 2 2 6 6" xfId="15021" xr:uid="{00000000-0005-0000-0000-00008B990000}"/>
    <cellStyle name="Note 2 2 6 7" xfId="22123" xr:uid="{00000000-0005-0000-0000-00008C990000}"/>
    <cellStyle name="Note 2 2 6 8" xfId="29225" xr:uid="{00000000-0005-0000-0000-00008D990000}"/>
    <cellStyle name="Note 2 2 6 9" xfId="41340" xr:uid="{00000000-0005-0000-0000-00008E990000}"/>
    <cellStyle name="Note 2 2 7" xfId="954" xr:uid="{00000000-0005-0000-0000-00008F990000}"/>
    <cellStyle name="Note 2 2 7 2" xfId="2445" xr:uid="{00000000-0005-0000-0000-000090990000}"/>
    <cellStyle name="Note 2 2 7 2 2" xfId="6713" xr:uid="{00000000-0005-0000-0000-000091990000}"/>
    <cellStyle name="Note 2 2 7 2 2 2" xfId="13813" xr:uid="{00000000-0005-0000-0000-000092990000}"/>
    <cellStyle name="Note 2 2 7 2 2 3" xfId="20914" xr:uid="{00000000-0005-0000-0000-000093990000}"/>
    <cellStyle name="Note 2 2 7 2 2 4" xfId="28016" xr:uid="{00000000-0005-0000-0000-000094990000}"/>
    <cellStyle name="Note 2 2 7 2 2 5" xfId="35118" xr:uid="{00000000-0005-0000-0000-000095990000}"/>
    <cellStyle name="Note 2 2 7 2 3" xfId="9553" xr:uid="{00000000-0005-0000-0000-000096990000}"/>
    <cellStyle name="Note 2 2 7 2 4" xfId="16654" xr:uid="{00000000-0005-0000-0000-000097990000}"/>
    <cellStyle name="Note 2 2 7 2 5" xfId="23756" xr:uid="{00000000-0005-0000-0000-000098990000}"/>
    <cellStyle name="Note 2 2 7 2 6" xfId="30858" xr:uid="{00000000-0005-0000-0000-000099990000}"/>
    <cellStyle name="Note 2 2 7 2 7" xfId="41341" xr:uid="{00000000-0005-0000-0000-00009A990000}"/>
    <cellStyle name="Note 2 2 7 3" xfId="5292" xr:uid="{00000000-0005-0000-0000-00009B990000}"/>
    <cellStyle name="Note 2 2 7 3 2" xfId="12393" xr:uid="{00000000-0005-0000-0000-00009C990000}"/>
    <cellStyle name="Note 2 2 7 3 3" xfId="19494" xr:uid="{00000000-0005-0000-0000-00009D990000}"/>
    <cellStyle name="Note 2 2 7 3 4" xfId="26596" xr:uid="{00000000-0005-0000-0000-00009E990000}"/>
    <cellStyle name="Note 2 2 7 3 5" xfId="33698" xr:uid="{00000000-0005-0000-0000-00009F990000}"/>
    <cellStyle name="Note 2 2 7 4" xfId="3867" xr:uid="{00000000-0005-0000-0000-0000A0990000}"/>
    <cellStyle name="Note 2 2 7 4 2" xfId="10973" xr:uid="{00000000-0005-0000-0000-0000A1990000}"/>
    <cellStyle name="Note 2 2 7 4 3" xfId="18074" xr:uid="{00000000-0005-0000-0000-0000A2990000}"/>
    <cellStyle name="Note 2 2 7 4 4" xfId="25176" xr:uid="{00000000-0005-0000-0000-0000A3990000}"/>
    <cellStyle name="Note 2 2 7 4 5" xfId="32278" xr:uid="{00000000-0005-0000-0000-0000A4990000}"/>
    <cellStyle name="Note 2 2 7 5" xfId="8133" xr:uid="{00000000-0005-0000-0000-0000A5990000}"/>
    <cellStyle name="Note 2 2 7 6" xfId="15234" xr:uid="{00000000-0005-0000-0000-0000A6990000}"/>
    <cellStyle name="Note 2 2 7 7" xfId="22336" xr:uid="{00000000-0005-0000-0000-0000A7990000}"/>
    <cellStyle name="Note 2 2 7 8" xfId="29438" xr:uid="{00000000-0005-0000-0000-0000A8990000}"/>
    <cellStyle name="Note 2 2 7 9" xfId="41342" xr:uid="{00000000-0005-0000-0000-0000A9990000}"/>
    <cellStyle name="Note 2 2 8" xfId="1309" xr:uid="{00000000-0005-0000-0000-0000AA990000}"/>
    <cellStyle name="Note 2 2 8 2" xfId="2800" xr:uid="{00000000-0005-0000-0000-0000AB990000}"/>
    <cellStyle name="Note 2 2 8 2 2" xfId="7068" xr:uid="{00000000-0005-0000-0000-0000AC990000}"/>
    <cellStyle name="Note 2 2 8 2 2 2" xfId="14168" xr:uid="{00000000-0005-0000-0000-0000AD990000}"/>
    <cellStyle name="Note 2 2 8 2 2 3" xfId="21269" xr:uid="{00000000-0005-0000-0000-0000AE990000}"/>
    <cellStyle name="Note 2 2 8 2 2 4" xfId="28371" xr:uid="{00000000-0005-0000-0000-0000AF990000}"/>
    <cellStyle name="Note 2 2 8 2 2 5" xfId="35473" xr:uid="{00000000-0005-0000-0000-0000B0990000}"/>
    <cellStyle name="Note 2 2 8 2 3" xfId="9908" xr:uid="{00000000-0005-0000-0000-0000B1990000}"/>
    <cellStyle name="Note 2 2 8 2 4" xfId="17009" xr:uid="{00000000-0005-0000-0000-0000B2990000}"/>
    <cellStyle name="Note 2 2 8 2 5" xfId="24111" xr:uid="{00000000-0005-0000-0000-0000B3990000}"/>
    <cellStyle name="Note 2 2 8 2 6" xfId="31213" xr:uid="{00000000-0005-0000-0000-0000B4990000}"/>
    <cellStyle name="Note 2 2 8 2 7" xfId="41343" xr:uid="{00000000-0005-0000-0000-0000B5990000}"/>
    <cellStyle name="Note 2 2 8 3" xfId="5647" xr:uid="{00000000-0005-0000-0000-0000B6990000}"/>
    <cellStyle name="Note 2 2 8 3 2" xfId="12748" xr:uid="{00000000-0005-0000-0000-0000B7990000}"/>
    <cellStyle name="Note 2 2 8 3 3" xfId="19849" xr:uid="{00000000-0005-0000-0000-0000B8990000}"/>
    <cellStyle name="Note 2 2 8 3 4" xfId="26951" xr:uid="{00000000-0005-0000-0000-0000B9990000}"/>
    <cellStyle name="Note 2 2 8 3 5" xfId="34053" xr:uid="{00000000-0005-0000-0000-0000BA990000}"/>
    <cellStyle name="Note 2 2 8 4" xfId="4222" xr:uid="{00000000-0005-0000-0000-0000BB990000}"/>
    <cellStyle name="Note 2 2 8 4 2" xfId="11328" xr:uid="{00000000-0005-0000-0000-0000BC990000}"/>
    <cellStyle name="Note 2 2 8 4 3" xfId="18429" xr:uid="{00000000-0005-0000-0000-0000BD990000}"/>
    <cellStyle name="Note 2 2 8 4 4" xfId="25531" xr:uid="{00000000-0005-0000-0000-0000BE990000}"/>
    <cellStyle name="Note 2 2 8 4 5" xfId="32633" xr:uid="{00000000-0005-0000-0000-0000BF990000}"/>
    <cellStyle name="Note 2 2 8 5" xfId="8488" xr:uid="{00000000-0005-0000-0000-0000C0990000}"/>
    <cellStyle name="Note 2 2 8 6" xfId="15589" xr:uid="{00000000-0005-0000-0000-0000C1990000}"/>
    <cellStyle name="Note 2 2 8 7" xfId="22691" xr:uid="{00000000-0005-0000-0000-0000C2990000}"/>
    <cellStyle name="Note 2 2 8 8" xfId="29793" xr:uid="{00000000-0005-0000-0000-0000C3990000}"/>
    <cellStyle name="Note 2 2 8 9" xfId="41344" xr:uid="{00000000-0005-0000-0000-0000C4990000}"/>
    <cellStyle name="Note 2 2 9" xfId="1589" xr:uid="{00000000-0005-0000-0000-0000C5990000}"/>
    <cellStyle name="Note 2 2 9 2" xfId="5861" xr:uid="{00000000-0005-0000-0000-0000C6990000}"/>
    <cellStyle name="Note 2 2 9 2 2" xfId="12961" xr:uid="{00000000-0005-0000-0000-0000C7990000}"/>
    <cellStyle name="Note 2 2 9 2 3" xfId="20062" xr:uid="{00000000-0005-0000-0000-0000C8990000}"/>
    <cellStyle name="Note 2 2 9 2 4" xfId="27164" xr:uid="{00000000-0005-0000-0000-0000C9990000}"/>
    <cellStyle name="Note 2 2 9 2 5" xfId="34266" xr:uid="{00000000-0005-0000-0000-0000CA990000}"/>
    <cellStyle name="Note 2 2 9 3" xfId="8701" xr:uid="{00000000-0005-0000-0000-0000CB990000}"/>
    <cellStyle name="Note 2 2 9 4" xfId="15802" xr:uid="{00000000-0005-0000-0000-0000CC990000}"/>
    <cellStyle name="Note 2 2 9 5" xfId="22904" xr:uid="{00000000-0005-0000-0000-0000CD990000}"/>
    <cellStyle name="Note 2 2 9 6" xfId="30006" xr:uid="{00000000-0005-0000-0000-0000CE990000}"/>
    <cellStyle name="Note 2 2 9 7" xfId="41345" xr:uid="{00000000-0005-0000-0000-0000CF990000}"/>
    <cellStyle name="Note 2 20" xfId="41346" xr:uid="{00000000-0005-0000-0000-0000D0990000}"/>
    <cellStyle name="Note 2 3" xfId="114" xr:uid="{00000000-0005-0000-0000-0000D1990000}"/>
    <cellStyle name="Note 2 3 10" xfId="4454" xr:uid="{00000000-0005-0000-0000-0000D2990000}"/>
    <cellStyle name="Note 2 3 10 2" xfId="11555" xr:uid="{00000000-0005-0000-0000-0000D3990000}"/>
    <cellStyle name="Note 2 3 10 3" xfId="18656" xr:uid="{00000000-0005-0000-0000-0000D4990000}"/>
    <cellStyle name="Note 2 3 10 4" xfId="25758" xr:uid="{00000000-0005-0000-0000-0000D5990000}"/>
    <cellStyle name="Note 2 3 10 5" xfId="32860" xr:uid="{00000000-0005-0000-0000-0000D6990000}"/>
    <cellStyle name="Note 2 3 11" xfId="3029" xr:uid="{00000000-0005-0000-0000-0000D7990000}"/>
    <cellStyle name="Note 2 3 11 2" xfId="10135" xr:uid="{00000000-0005-0000-0000-0000D8990000}"/>
    <cellStyle name="Note 2 3 11 3" xfId="17236" xr:uid="{00000000-0005-0000-0000-0000D9990000}"/>
    <cellStyle name="Note 2 3 11 4" xfId="24338" xr:uid="{00000000-0005-0000-0000-0000DA990000}"/>
    <cellStyle name="Note 2 3 11 5" xfId="31440" xr:uid="{00000000-0005-0000-0000-0000DB990000}"/>
    <cellStyle name="Note 2 3 12" xfId="7295" xr:uid="{00000000-0005-0000-0000-0000DC990000}"/>
    <cellStyle name="Note 2 3 13" xfId="14396" xr:uid="{00000000-0005-0000-0000-0000DD990000}"/>
    <cellStyle name="Note 2 3 14" xfId="21498" xr:uid="{00000000-0005-0000-0000-0000DE990000}"/>
    <cellStyle name="Note 2 3 15" xfId="28600" xr:uid="{00000000-0005-0000-0000-0000DF990000}"/>
    <cellStyle name="Note 2 3 16" xfId="35702" xr:uid="{00000000-0005-0000-0000-0000E0990000}"/>
    <cellStyle name="Note 2 3 17" xfId="41347" xr:uid="{00000000-0005-0000-0000-0000E1990000}"/>
    <cellStyle name="Note 2 3 18" xfId="41348" xr:uid="{00000000-0005-0000-0000-0000E2990000}"/>
    <cellStyle name="Note 2 3 2" xfId="258" xr:uid="{00000000-0005-0000-0000-0000E3990000}"/>
    <cellStyle name="Note 2 3 2 10" xfId="7437" xr:uid="{00000000-0005-0000-0000-0000E4990000}"/>
    <cellStyle name="Note 2 3 2 11" xfId="14538" xr:uid="{00000000-0005-0000-0000-0000E5990000}"/>
    <cellStyle name="Note 2 3 2 12" xfId="21640" xr:uid="{00000000-0005-0000-0000-0000E6990000}"/>
    <cellStyle name="Note 2 3 2 13" xfId="28742" xr:uid="{00000000-0005-0000-0000-0000E7990000}"/>
    <cellStyle name="Note 2 3 2 14" xfId="35844" xr:uid="{00000000-0005-0000-0000-0000E8990000}"/>
    <cellStyle name="Note 2 3 2 15" xfId="41349" xr:uid="{00000000-0005-0000-0000-0000E9990000}"/>
    <cellStyle name="Note 2 3 2 2" xfId="471" xr:uid="{00000000-0005-0000-0000-0000EA990000}"/>
    <cellStyle name="Note 2 3 2 2 10" xfId="41350" xr:uid="{00000000-0005-0000-0000-0000EB990000}"/>
    <cellStyle name="Note 2 3 2 2 2" xfId="1252" xr:uid="{00000000-0005-0000-0000-0000EC990000}"/>
    <cellStyle name="Note 2 3 2 2 2 2" xfId="2743" xr:uid="{00000000-0005-0000-0000-0000ED990000}"/>
    <cellStyle name="Note 2 3 2 2 2 2 2" xfId="7011" xr:uid="{00000000-0005-0000-0000-0000EE990000}"/>
    <cellStyle name="Note 2 3 2 2 2 2 2 2" xfId="14111" xr:uid="{00000000-0005-0000-0000-0000EF990000}"/>
    <cellStyle name="Note 2 3 2 2 2 2 2 3" xfId="21212" xr:uid="{00000000-0005-0000-0000-0000F0990000}"/>
    <cellStyle name="Note 2 3 2 2 2 2 2 4" xfId="28314" xr:uid="{00000000-0005-0000-0000-0000F1990000}"/>
    <cellStyle name="Note 2 3 2 2 2 2 2 5" xfId="35416" xr:uid="{00000000-0005-0000-0000-0000F2990000}"/>
    <cellStyle name="Note 2 3 2 2 2 2 3" xfId="9851" xr:uid="{00000000-0005-0000-0000-0000F3990000}"/>
    <cellStyle name="Note 2 3 2 2 2 2 4" xfId="16952" xr:uid="{00000000-0005-0000-0000-0000F4990000}"/>
    <cellStyle name="Note 2 3 2 2 2 2 5" xfId="24054" xr:uid="{00000000-0005-0000-0000-0000F5990000}"/>
    <cellStyle name="Note 2 3 2 2 2 2 6" xfId="31156" xr:uid="{00000000-0005-0000-0000-0000F6990000}"/>
    <cellStyle name="Note 2 3 2 2 2 2 7" xfId="41351" xr:uid="{00000000-0005-0000-0000-0000F7990000}"/>
    <cellStyle name="Note 2 3 2 2 2 3" xfId="5590" xr:uid="{00000000-0005-0000-0000-0000F8990000}"/>
    <cellStyle name="Note 2 3 2 2 2 3 2" xfId="12691" xr:uid="{00000000-0005-0000-0000-0000F9990000}"/>
    <cellStyle name="Note 2 3 2 2 2 3 3" xfId="19792" xr:uid="{00000000-0005-0000-0000-0000FA990000}"/>
    <cellStyle name="Note 2 3 2 2 2 3 4" xfId="26894" xr:uid="{00000000-0005-0000-0000-0000FB990000}"/>
    <cellStyle name="Note 2 3 2 2 2 3 5" xfId="33996" xr:uid="{00000000-0005-0000-0000-0000FC990000}"/>
    <cellStyle name="Note 2 3 2 2 2 4" xfId="4165" xr:uid="{00000000-0005-0000-0000-0000FD990000}"/>
    <cellStyle name="Note 2 3 2 2 2 4 2" xfId="11271" xr:uid="{00000000-0005-0000-0000-0000FE990000}"/>
    <cellStyle name="Note 2 3 2 2 2 4 3" xfId="18372" xr:uid="{00000000-0005-0000-0000-0000FF990000}"/>
    <cellStyle name="Note 2 3 2 2 2 4 4" xfId="25474" xr:uid="{00000000-0005-0000-0000-0000009A0000}"/>
    <cellStyle name="Note 2 3 2 2 2 4 5" xfId="32576" xr:uid="{00000000-0005-0000-0000-0000019A0000}"/>
    <cellStyle name="Note 2 3 2 2 2 5" xfId="8431" xr:uid="{00000000-0005-0000-0000-0000029A0000}"/>
    <cellStyle name="Note 2 3 2 2 2 6" xfId="15532" xr:uid="{00000000-0005-0000-0000-0000039A0000}"/>
    <cellStyle name="Note 2 3 2 2 2 7" xfId="22634" xr:uid="{00000000-0005-0000-0000-0000049A0000}"/>
    <cellStyle name="Note 2 3 2 2 2 8" xfId="29736" xr:uid="{00000000-0005-0000-0000-0000059A0000}"/>
    <cellStyle name="Note 2 3 2 2 2 9" xfId="41352" xr:uid="{00000000-0005-0000-0000-0000069A0000}"/>
    <cellStyle name="Note 2 3 2 2 3" xfId="1962" xr:uid="{00000000-0005-0000-0000-0000079A0000}"/>
    <cellStyle name="Note 2 3 2 2 3 2" xfId="6230" xr:uid="{00000000-0005-0000-0000-0000089A0000}"/>
    <cellStyle name="Note 2 3 2 2 3 2 2" xfId="13330" xr:uid="{00000000-0005-0000-0000-0000099A0000}"/>
    <cellStyle name="Note 2 3 2 2 3 2 3" xfId="20431" xr:uid="{00000000-0005-0000-0000-00000A9A0000}"/>
    <cellStyle name="Note 2 3 2 2 3 2 4" xfId="27533" xr:uid="{00000000-0005-0000-0000-00000B9A0000}"/>
    <cellStyle name="Note 2 3 2 2 3 2 5" xfId="34635" xr:uid="{00000000-0005-0000-0000-00000C9A0000}"/>
    <cellStyle name="Note 2 3 2 2 3 2 6" xfId="41353" xr:uid="{00000000-0005-0000-0000-00000D9A0000}"/>
    <cellStyle name="Note 2 3 2 2 3 3" xfId="9070" xr:uid="{00000000-0005-0000-0000-00000E9A0000}"/>
    <cellStyle name="Note 2 3 2 2 3 4" xfId="16171" xr:uid="{00000000-0005-0000-0000-00000F9A0000}"/>
    <cellStyle name="Note 2 3 2 2 3 5" xfId="23273" xr:uid="{00000000-0005-0000-0000-0000109A0000}"/>
    <cellStyle name="Note 2 3 2 2 3 6" xfId="30375" xr:uid="{00000000-0005-0000-0000-0000119A0000}"/>
    <cellStyle name="Note 2 3 2 2 3 7" xfId="41354" xr:uid="{00000000-0005-0000-0000-0000129A0000}"/>
    <cellStyle name="Note 2 3 2 2 4" xfId="4809" xr:uid="{00000000-0005-0000-0000-0000139A0000}"/>
    <cellStyle name="Note 2 3 2 2 4 2" xfId="11910" xr:uid="{00000000-0005-0000-0000-0000149A0000}"/>
    <cellStyle name="Note 2 3 2 2 4 3" xfId="19011" xr:uid="{00000000-0005-0000-0000-0000159A0000}"/>
    <cellStyle name="Note 2 3 2 2 4 4" xfId="26113" xr:uid="{00000000-0005-0000-0000-0000169A0000}"/>
    <cellStyle name="Note 2 3 2 2 4 5" xfId="33215" xr:uid="{00000000-0005-0000-0000-0000179A0000}"/>
    <cellStyle name="Note 2 3 2 2 4 6" xfId="41355" xr:uid="{00000000-0005-0000-0000-0000189A0000}"/>
    <cellStyle name="Note 2 3 2 2 5" xfId="3384" xr:uid="{00000000-0005-0000-0000-0000199A0000}"/>
    <cellStyle name="Note 2 3 2 2 5 2" xfId="10490" xr:uid="{00000000-0005-0000-0000-00001A9A0000}"/>
    <cellStyle name="Note 2 3 2 2 5 3" xfId="17591" xr:uid="{00000000-0005-0000-0000-00001B9A0000}"/>
    <cellStyle name="Note 2 3 2 2 5 4" xfId="24693" xr:uid="{00000000-0005-0000-0000-00001C9A0000}"/>
    <cellStyle name="Note 2 3 2 2 5 5" xfId="31795" xr:uid="{00000000-0005-0000-0000-00001D9A0000}"/>
    <cellStyle name="Note 2 3 2 2 6" xfId="7650" xr:uid="{00000000-0005-0000-0000-00001E9A0000}"/>
    <cellStyle name="Note 2 3 2 2 7" xfId="14751" xr:uid="{00000000-0005-0000-0000-00001F9A0000}"/>
    <cellStyle name="Note 2 3 2 2 8" xfId="21853" xr:uid="{00000000-0005-0000-0000-0000209A0000}"/>
    <cellStyle name="Note 2 3 2 2 9" xfId="28955" xr:uid="{00000000-0005-0000-0000-0000219A0000}"/>
    <cellStyle name="Note 2 3 2 3" xfId="684" xr:uid="{00000000-0005-0000-0000-0000229A0000}"/>
    <cellStyle name="Note 2 3 2 3 2" xfId="2175" xr:uid="{00000000-0005-0000-0000-0000239A0000}"/>
    <cellStyle name="Note 2 3 2 3 2 2" xfId="6443" xr:uid="{00000000-0005-0000-0000-0000249A0000}"/>
    <cellStyle name="Note 2 3 2 3 2 2 2" xfId="13543" xr:uid="{00000000-0005-0000-0000-0000259A0000}"/>
    <cellStyle name="Note 2 3 2 3 2 2 3" xfId="20644" xr:uid="{00000000-0005-0000-0000-0000269A0000}"/>
    <cellStyle name="Note 2 3 2 3 2 2 4" xfId="27746" xr:uid="{00000000-0005-0000-0000-0000279A0000}"/>
    <cellStyle name="Note 2 3 2 3 2 2 5" xfId="34848" xr:uid="{00000000-0005-0000-0000-0000289A0000}"/>
    <cellStyle name="Note 2 3 2 3 2 2 6" xfId="41356" xr:uid="{00000000-0005-0000-0000-0000299A0000}"/>
    <cellStyle name="Note 2 3 2 3 2 3" xfId="9283" xr:uid="{00000000-0005-0000-0000-00002A9A0000}"/>
    <cellStyle name="Note 2 3 2 3 2 4" xfId="16384" xr:uid="{00000000-0005-0000-0000-00002B9A0000}"/>
    <cellStyle name="Note 2 3 2 3 2 5" xfId="23486" xr:uid="{00000000-0005-0000-0000-00002C9A0000}"/>
    <cellStyle name="Note 2 3 2 3 2 6" xfId="30588" xr:uid="{00000000-0005-0000-0000-00002D9A0000}"/>
    <cellStyle name="Note 2 3 2 3 2 7" xfId="41357" xr:uid="{00000000-0005-0000-0000-00002E9A0000}"/>
    <cellStyle name="Note 2 3 2 3 3" xfId="5022" xr:uid="{00000000-0005-0000-0000-00002F9A0000}"/>
    <cellStyle name="Note 2 3 2 3 3 2" xfId="12123" xr:uid="{00000000-0005-0000-0000-0000309A0000}"/>
    <cellStyle name="Note 2 3 2 3 3 2 2" xfId="41358" xr:uid="{00000000-0005-0000-0000-0000319A0000}"/>
    <cellStyle name="Note 2 3 2 3 3 3" xfId="19224" xr:uid="{00000000-0005-0000-0000-0000329A0000}"/>
    <cellStyle name="Note 2 3 2 3 3 4" xfId="26326" xr:uid="{00000000-0005-0000-0000-0000339A0000}"/>
    <cellStyle name="Note 2 3 2 3 3 5" xfId="33428" xr:uid="{00000000-0005-0000-0000-0000349A0000}"/>
    <cellStyle name="Note 2 3 2 3 3 6" xfId="41359" xr:uid="{00000000-0005-0000-0000-0000359A0000}"/>
    <cellStyle name="Note 2 3 2 3 4" xfId="3597" xr:uid="{00000000-0005-0000-0000-0000369A0000}"/>
    <cellStyle name="Note 2 3 2 3 4 2" xfId="10703" xr:uid="{00000000-0005-0000-0000-0000379A0000}"/>
    <cellStyle name="Note 2 3 2 3 4 3" xfId="17804" xr:uid="{00000000-0005-0000-0000-0000389A0000}"/>
    <cellStyle name="Note 2 3 2 3 4 4" xfId="24906" xr:uid="{00000000-0005-0000-0000-0000399A0000}"/>
    <cellStyle name="Note 2 3 2 3 4 5" xfId="32008" xr:uid="{00000000-0005-0000-0000-00003A9A0000}"/>
    <cellStyle name="Note 2 3 2 3 4 6" xfId="41360" xr:uid="{00000000-0005-0000-0000-00003B9A0000}"/>
    <cellStyle name="Note 2 3 2 3 5" xfId="7863" xr:uid="{00000000-0005-0000-0000-00003C9A0000}"/>
    <cellStyle name="Note 2 3 2 3 6" xfId="14964" xr:uid="{00000000-0005-0000-0000-00003D9A0000}"/>
    <cellStyle name="Note 2 3 2 3 7" xfId="22066" xr:uid="{00000000-0005-0000-0000-00003E9A0000}"/>
    <cellStyle name="Note 2 3 2 3 8" xfId="29168" xr:uid="{00000000-0005-0000-0000-00003F9A0000}"/>
    <cellStyle name="Note 2 3 2 3 9" xfId="41361" xr:uid="{00000000-0005-0000-0000-0000409A0000}"/>
    <cellStyle name="Note 2 3 2 4" xfId="897" xr:uid="{00000000-0005-0000-0000-0000419A0000}"/>
    <cellStyle name="Note 2 3 2 4 2" xfId="2388" xr:uid="{00000000-0005-0000-0000-0000429A0000}"/>
    <cellStyle name="Note 2 3 2 4 2 2" xfId="6656" xr:uid="{00000000-0005-0000-0000-0000439A0000}"/>
    <cellStyle name="Note 2 3 2 4 2 2 2" xfId="13756" xr:uid="{00000000-0005-0000-0000-0000449A0000}"/>
    <cellStyle name="Note 2 3 2 4 2 2 3" xfId="20857" xr:uid="{00000000-0005-0000-0000-0000459A0000}"/>
    <cellStyle name="Note 2 3 2 4 2 2 4" xfId="27959" xr:uid="{00000000-0005-0000-0000-0000469A0000}"/>
    <cellStyle name="Note 2 3 2 4 2 2 5" xfId="35061" xr:uid="{00000000-0005-0000-0000-0000479A0000}"/>
    <cellStyle name="Note 2 3 2 4 2 2 6" xfId="41362" xr:uid="{00000000-0005-0000-0000-0000489A0000}"/>
    <cellStyle name="Note 2 3 2 4 2 3" xfId="9496" xr:uid="{00000000-0005-0000-0000-0000499A0000}"/>
    <cellStyle name="Note 2 3 2 4 2 4" xfId="16597" xr:uid="{00000000-0005-0000-0000-00004A9A0000}"/>
    <cellStyle name="Note 2 3 2 4 2 5" xfId="23699" xr:uid="{00000000-0005-0000-0000-00004B9A0000}"/>
    <cellStyle name="Note 2 3 2 4 2 6" xfId="30801" xr:uid="{00000000-0005-0000-0000-00004C9A0000}"/>
    <cellStyle name="Note 2 3 2 4 2 7" xfId="41363" xr:uid="{00000000-0005-0000-0000-00004D9A0000}"/>
    <cellStyle name="Note 2 3 2 4 3" xfId="5235" xr:uid="{00000000-0005-0000-0000-00004E9A0000}"/>
    <cellStyle name="Note 2 3 2 4 3 2" xfId="12336" xr:uid="{00000000-0005-0000-0000-00004F9A0000}"/>
    <cellStyle name="Note 2 3 2 4 3 2 2" xfId="41364" xr:uid="{00000000-0005-0000-0000-0000509A0000}"/>
    <cellStyle name="Note 2 3 2 4 3 3" xfId="19437" xr:uid="{00000000-0005-0000-0000-0000519A0000}"/>
    <cellStyle name="Note 2 3 2 4 3 4" xfId="26539" xr:uid="{00000000-0005-0000-0000-0000529A0000}"/>
    <cellStyle name="Note 2 3 2 4 3 5" xfId="33641" xr:uid="{00000000-0005-0000-0000-0000539A0000}"/>
    <cellStyle name="Note 2 3 2 4 3 6" xfId="41365" xr:uid="{00000000-0005-0000-0000-0000549A0000}"/>
    <cellStyle name="Note 2 3 2 4 4" xfId="3810" xr:uid="{00000000-0005-0000-0000-0000559A0000}"/>
    <cellStyle name="Note 2 3 2 4 4 2" xfId="10916" xr:uid="{00000000-0005-0000-0000-0000569A0000}"/>
    <cellStyle name="Note 2 3 2 4 4 3" xfId="18017" xr:uid="{00000000-0005-0000-0000-0000579A0000}"/>
    <cellStyle name="Note 2 3 2 4 4 4" xfId="25119" xr:uid="{00000000-0005-0000-0000-0000589A0000}"/>
    <cellStyle name="Note 2 3 2 4 4 5" xfId="32221" xr:uid="{00000000-0005-0000-0000-0000599A0000}"/>
    <cellStyle name="Note 2 3 2 4 4 6" xfId="41366" xr:uid="{00000000-0005-0000-0000-00005A9A0000}"/>
    <cellStyle name="Note 2 3 2 4 5" xfId="8076" xr:uid="{00000000-0005-0000-0000-00005B9A0000}"/>
    <cellStyle name="Note 2 3 2 4 6" xfId="15177" xr:uid="{00000000-0005-0000-0000-00005C9A0000}"/>
    <cellStyle name="Note 2 3 2 4 7" xfId="22279" xr:uid="{00000000-0005-0000-0000-00005D9A0000}"/>
    <cellStyle name="Note 2 3 2 4 8" xfId="29381" xr:uid="{00000000-0005-0000-0000-00005E9A0000}"/>
    <cellStyle name="Note 2 3 2 4 9" xfId="41367" xr:uid="{00000000-0005-0000-0000-00005F9A0000}"/>
    <cellStyle name="Note 2 3 2 5" xfId="1039" xr:uid="{00000000-0005-0000-0000-0000609A0000}"/>
    <cellStyle name="Note 2 3 2 5 2" xfId="2530" xr:uid="{00000000-0005-0000-0000-0000619A0000}"/>
    <cellStyle name="Note 2 3 2 5 2 2" xfId="6798" xr:uid="{00000000-0005-0000-0000-0000629A0000}"/>
    <cellStyle name="Note 2 3 2 5 2 2 2" xfId="13898" xr:uid="{00000000-0005-0000-0000-0000639A0000}"/>
    <cellStyle name="Note 2 3 2 5 2 2 3" xfId="20999" xr:uid="{00000000-0005-0000-0000-0000649A0000}"/>
    <cellStyle name="Note 2 3 2 5 2 2 4" xfId="28101" xr:uid="{00000000-0005-0000-0000-0000659A0000}"/>
    <cellStyle name="Note 2 3 2 5 2 2 5" xfId="35203" xr:uid="{00000000-0005-0000-0000-0000669A0000}"/>
    <cellStyle name="Note 2 3 2 5 2 3" xfId="9638" xr:uid="{00000000-0005-0000-0000-0000679A0000}"/>
    <cellStyle name="Note 2 3 2 5 2 4" xfId="16739" xr:uid="{00000000-0005-0000-0000-0000689A0000}"/>
    <cellStyle name="Note 2 3 2 5 2 5" xfId="23841" xr:uid="{00000000-0005-0000-0000-0000699A0000}"/>
    <cellStyle name="Note 2 3 2 5 2 6" xfId="30943" xr:uid="{00000000-0005-0000-0000-00006A9A0000}"/>
    <cellStyle name="Note 2 3 2 5 2 7" xfId="41368" xr:uid="{00000000-0005-0000-0000-00006B9A0000}"/>
    <cellStyle name="Note 2 3 2 5 3" xfId="5377" xr:uid="{00000000-0005-0000-0000-00006C9A0000}"/>
    <cellStyle name="Note 2 3 2 5 3 2" xfId="12478" xr:uid="{00000000-0005-0000-0000-00006D9A0000}"/>
    <cellStyle name="Note 2 3 2 5 3 3" xfId="19579" xr:uid="{00000000-0005-0000-0000-00006E9A0000}"/>
    <cellStyle name="Note 2 3 2 5 3 4" xfId="26681" xr:uid="{00000000-0005-0000-0000-00006F9A0000}"/>
    <cellStyle name="Note 2 3 2 5 3 5" xfId="33783" xr:uid="{00000000-0005-0000-0000-0000709A0000}"/>
    <cellStyle name="Note 2 3 2 5 4" xfId="3952" xr:uid="{00000000-0005-0000-0000-0000719A0000}"/>
    <cellStyle name="Note 2 3 2 5 4 2" xfId="11058" xr:uid="{00000000-0005-0000-0000-0000729A0000}"/>
    <cellStyle name="Note 2 3 2 5 4 3" xfId="18159" xr:uid="{00000000-0005-0000-0000-0000739A0000}"/>
    <cellStyle name="Note 2 3 2 5 4 4" xfId="25261" xr:uid="{00000000-0005-0000-0000-0000749A0000}"/>
    <cellStyle name="Note 2 3 2 5 4 5" xfId="32363" xr:uid="{00000000-0005-0000-0000-0000759A0000}"/>
    <cellStyle name="Note 2 3 2 5 5" xfId="8218" xr:uid="{00000000-0005-0000-0000-0000769A0000}"/>
    <cellStyle name="Note 2 3 2 5 6" xfId="15319" xr:uid="{00000000-0005-0000-0000-0000779A0000}"/>
    <cellStyle name="Note 2 3 2 5 7" xfId="22421" xr:uid="{00000000-0005-0000-0000-0000789A0000}"/>
    <cellStyle name="Note 2 3 2 5 8" xfId="29523" xr:uid="{00000000-0005-0000-0000-0000799A0000}"/>
    <cellStyle name="Note 2 3 2 5 9" xfId="41369" xr:uid="{00000000-0005-0000-0000-00007A9A0000}"/>
    <cellStyle name="Note 2 3 2 6" xfId="1465" xr:uid="{00000000-0005-0000-0000-00007B9A0000}"/>
    <cellStyle name="Note 2 3 2 6 2" xfId="2956" xr:uid="{00000000-0005-0000-0000-00007C9A0000}"/>
    <cellStyle name="Note 2 3 2 6 2 2" xfId="7224" xr:uid="{00000000-0005-0000-0000-00007D9A0000}"/>
    <cellStyle name="Note 2 3 2 6 2 2 2" xfId="14324" xr:uid="{00000000-0005-0000-0000-00007E9A0000}"/>
    <cellStyle name="Note 2 3 2 6 2 2 3" xfId="21425" xr:uid="{00000000-0005-0000-0000-00007F9A0000}"/>
    <cellStyle name="Note 2 3 2 6 2 2 4" xfId="28527" xr:uid="{00000000-0005-0000-0000-0000809A0000}"/>
    <cellStyle name="Note 2 3 2 6 2 2 5" xfId="35629" xr:uid="{00000000-0005-0000-0000-0000819A0000}"/>
    <cellStyle name="Note 2 3 2 6 2 3" xfId="10064" xr:uid="{00000000-0005-0000-0000-0000829A0000}"/>
    <cellStyle name="Note 2 3 2 6 2 4" xfId="17165" xr:uid="{00000000-0005-0000-0000-0000839A0000}"/>
    <cellStyle name="Note 2 3 2 6 2 5" xfId="24267" xr:uid="{00000000-0005-0000-0000-0000849A0000}"/>
    <cellStyle name="Note 2 3 2 6 2 6" xfId="31369" xr:uid="{00000000-0005-0000-0000-0000859A0000}"/>
    <cellStyle name="Note 2 3 2 6 2 7" xfId="41370" xr:uid="{00000000-0005-0000-0000-0000869A0000}"/>
    <cellStyle name="Note 2 3 2 6 3" xfId="5803" xr:uid="{00000000-0005-0000-0000-0000879A0000}"/>
    <cellStyle name="Note 2 3 2 6 3 2" xfId="12904" xr:uid="{00000000-0005-0000-0000-0000889A0000}"/>
    <cellStyle name="Note 2 3 2 6 3 3" xfId="20005" xr:uid="{00000000-0005-0000-0000-0000899A0000}"/>
    <cellStyle name="Note 2 3 2 6 3 4" xfId="27107" xr:uid="{00000000-0005-0000-0000-00008A9A0000}"/>
    <cellStyle name="Note 2 3 2 6 3 5" xfId="34209" xr:uid="{00000000-0005-0000-0000-00008B9A0000}"/>
    <cellStyle name="Note 2 3 2 6 4" xfId="4378" xr:uid="{00000000-0005-0000-0000-00008C9A0000}"/>
    <cellStyle name="Note 2 3 2 6 4 2" xfId="11484" xr:uid="{00000000-0005-0000-0000-00008D9A0000}"/>
    <cellStyle name="Note 2 3 2 6 4 3" xfId="18585" xr:uid="{00000000-0005-0000-0000-00008E9A0000}"/>
    <cellStyle name="Note 2 3 2 6 4 4" xfId="25687" xr:uid="{00000000-0005-0000-0000-00008F9A0000}"/>
    <cellStyle name="Note 2 3 2 6 4 5" xfId="32789" xr:uid="{00000000-0005-0000-0000-0000909A0000}"/>
    <cellStyle name="Note 2 3 2 6 5" xfId="8644" xr:uid="{00000000-0005-0000-0000-0000919A0000}"/>
    <cellStyle name="Note 2 3 2 6 6" xfId="15745" xr:uid="{00000000-0005-0000-0000-0000929A0000}"/>
    <cellStyle name="Note 2 3 2 6 7" xfId="22847" xr:uid="{00000000-0005-0000-0000-0000939A0000}"/>
    <cellStyle name="Note 2 3 2 6 8" xfId="29949" xr:uid="{00000000-0005-0000-0000-0000949A0000}"/>
    <cellStyle name="Note 2 3 2 6 9" xfId="41371" xr:uid="{00000000-0005-0000-0000-0000959A0000}"/>
    <cellStyle name="Note 2 3 2 7" xfId="1749" xr:uid="{00000000-0005-0000-0000-0000969A0000}"/>
    <cellStyle name="Note 2 3 2 7 2" xfId="6017" xr:uid="{00000000-0005-0000-0000-0000979A0000}"/>
    <cellStyle name="Note 2 3 2 7 2 2" xfId="13117" xr:uid="{00000000-0005-0000-0000-0000989A0000}"/>
    <cellStyle name="Note 2 3 2 7 2 3" xfId="20218" xr:uid="{00000000-0005-0000-0000-0000999A0000}"/>
    <cellStyle name="Note 2 3 2 7 2 4" xfId="27320" xr:uid="{00000000-0005-0000-0000-00009A9A0000}"/>
    <cellStyle name="Note 2 3 2 7 2 5" xfId="34422" xr:uid="{00000000-0005-0000-0000-00009B9A0000}"/>
    <cellStyle name="Note 2 3 2 7 3" xfId="8857" xr:uid="{00000000-0005-0000-0000-00009C9A0000}"/>
    <cellStyle name="Note 2 3 2 7 4" xfId="15958" xr:uid="{00000000-0005-0000-0000-00009D9A0000}"/>
    <cellStyle name="Note 2 3 2 7 5" xfId="23060" xr:uid="{00000000-0005-0000-0000-00009E9A0000}"/>
    <cellStyle name="Note 2 3 2 7 6" xfId="30162" xr:uid="{00000000-0005-0000-0000-00009F9A0000}"/>
    <cellStyle name="Note 2 3 2 7 7" xfId="41372" xr:uid="{00000000-0005-0000-0000-0000A09A0000}"/>
    <cellStyle name="Note 2 3 2 8" xfId="4596" xr:uid="{00000000-0005-0000-0000-0000A19A0000}"/>
    <cellStyle name="Note 2 3 2 8 2" xfId="11697" xr:uid="{00000000-0005-0000-0000-0000A29A0000}"/>
    <cellStyle name="Note 2 3 2 8 3" xfId="18798" xr:uid="{00000000-0005-0000-0000-0000A39A0000}"/>
    <cellStyle name="Note 2 3 2 8 4" xfId="25900" xr:uid="{00000000-0005-0000-0000-0000A49A0000}"/>
    <cellStyle name="Note 2 3 2 8 5" xfId="33002" xr:uid="{00000000-0005-0000-0000-0000A59A0000}"/>
    <cellStyle name="Note 2 3 2 9" xfId="3171" xr:uid="{00000000-0005-0000-0000-0000A69A0000}"/>
    <cellStyle name="Note 2 3 2 9 2" xfId="10277" xr:uid="{00000000-0005-0000-0000-0000A79A0000}"/>
    <cellStyle name="Note 2 3 2 9 3" xfId="17378" xr:uid="{00000000-0005-0000-0000-0000A89A0000}"/>
    <cellStyle name="Note 2 3 2 9 4" xfId="24480" xr:uid="{00000000-0005-0000-0000-0000A99A0000}"/>
    <cellStyle name="Note 2 3 2 9 5" xfId="31582" xr:uid="{00000000-0005-0000-0000-0000AA9A0000}"/>
    <cellStyle name="Note 2 3 3" xfId="187" xr:uid="{00000000-0005-0000-0000-0000AB9A0000}"/>
    <cellStyle name="Note 2 3 3 10" xfId="7366" xr:uid="{00000000-0005-0000-0000-0000AC9A0000}"/>
    <cellStyle name="Note 2 3 3 11" xfId="14467" xr:uid="{00000000-0005-0000-0000-0000AD9A0000}"/>
    <cellStyle name="Note 2 3 3 12" xfId="21569" xr:uid="{00000000-0005-0000-0000-0000AE9A0000}"/>
    <cellStyle name="Note 2 3 3 13" xfId="28671" xr:uid="{00000000-0005-0000-0000-0000AF9A0000}"/>
    <cellStyle name="Note 2 3 3 14" xfId="35773" xr:uid="{00000000-0005-0000-0000-0000B09A0000}"/>
    <cellStyle name="Note 2 3 3 15" xfId="41373" xr:uid="{00000000-0005-0000-0000-0000B19A0000}"/>
    <cellStyle name="Note 2 3 3 2" xfId="400" xr:uid="{00000000-0005-0000-0000-0000B29A0000}"/>
    <cellStyle name="Note 2 3 3 2 2" xfId="1891" xr:uid="{00000000-0005-0000-0000-0000B39A0000}"/>
    <cellStyle name="Note 2 3 3 2 2 2" xfId="6159" xr:uid="{00000000-0005-0000-0000-0000B49A0000}"/>
    <cellStyle name="Note 2 3 3 2 2 2 2" xfId="13259" xr:uid="{00000000-0005-0000-0000-0000B59A0000}"/>
    <cellStyle name="Note 2 3 3 2 2 2 3" xfId="20360" xr:uid="{00000000-0005-0000-0000-0000B69A0000}"/>
    <cellStyle name="Note 2 3 3 2 2 2 4" xfId="27462" xr:uid="{00000000-0005-0000-0000-0000B79A0000}"/>
    <cellStyle name="Note 2 3 3 2 2 2 5" xfId="34564" xr:uid="{00000000-0005-0000-0000-0000B89A0000}"/>
    <cellStyle name="Note 2 3 3 2 2 2 6" xfId="41374" xr:uid="{00000000-0005-0000-0000-0000B99A0000}"/>
    <cellStyle name="Note 2 3 3 2 2 3" xfId="8999" xr:uid="{00000000-0005-0000-0000-0000BA9A0000}"/>
    <cellStyle name="Note 2 3 3 2 2 4" xfId="16100" xr:uid="{00000000-0005-0000-0000-0000BB9A0000}"/>
    <cellStyle name="Note 2 3 3 2 2 5" xfId="23202" xr:uid="{00000000-0005-0000-0000-0000BC9A0000}"/>
    <cellStyle name="Note 2 3 3 2 2 6" xfId="30304" xr:uid="{00000000-0005-0000-0000-0000BD9A0000}"/>
    <cellStyle name="Note 2 3 3 2 2 7" xfId="41375" xr:uid="{00000000-0005-0000-0000-0000BE9A0000}"/>
    <cellStyle name="Note 2 3 3 2 3" xfId="4738" xr:uid="{00000000-0005-0000-0000-0000BF9A0000}"/>
    <cellStyle name="Note 2 3 3 2 3 2" xfId="11839" xr:uid="{00000000-0005-0000-0000-0000C09A0000}"/>
    <cellStyle name="Note 2 3 3 2 3 2 2" xfId="41376" xr:uid="{00000000-0005-0000-0000-0000C19A0000}"/>
    <cellStyle name="Note 2 3 3 2 3 3" xfId="18940" xr:uid="{00000000-0005-0000-0000-0000C29A0000}"/>
    <cellStyle name="Note 2 3 3 2 3 4" xfId="26042" xr:uid="{00000000-0005-0000-0000-0000C39A0000}"/>
    <cellStyle name="Note 2 3 3 2 3 5" xfId="33144" xr:uid="{00000000-0005-0000-0000-0000C49A0000}"/>
    <cellStyle name="Note 2 3 3 2 3 6" xfId="41377" xr:uid="{00000000-0005-0000-0000-0000C59A0000}"/>
    <cellStyle name="Note 2 3 3 2 4" xfId="3313" xr:uid="{00000000-0005-0000-0000-0000C69A0000}"/>
    <cellStyle name="Note 2 3 3 2 4 2" xfId="10419" xr:uid="{00000000-0005-0000-0000-0000C79A0000}"/>
    <cellStyle name="Note 2 3 3 2 4 3" xfId="17520" xr:uid="{00000000-0005-0000-0000-0000C89A0000}"/>
    <cellStyle name="Note 2 3 3 2 4 4" xfId="24622" xr:uid="{00000000-0005-0000-0000-0000C99A0000}"/>
    <cellStyle name="Note 2 3 3 2 4 5" xfId="31724" xr:uid="{00000000-0005-0000-0000-0000CA9A0000}"/>
    <cellStyle name="Note 2 3 3 2 4 6" xfId="41378" xr:uid="{00000000-0005-0000-0000-0000CB9A0000}"/>
    <cellStyle name="Note 2 3 3 2 5" xfId="7579" xr:uid="{00000000-0005-0000-0000-0000CC9A0000}"/>
    <cellStyle name="Note 2 3 3 2 6" xfId="14680" xr:uid="{00000000-0005-0000-0000-0000CD9A0000}"/>
    <cellStyle name="Note 2 3 3 2 7" xfId="21782" xr:uid="{00000000-0005-0000-0000-0000CE9A0000}"/>
    <cellStyle name="Note 2 3 3 2 8" xfId="28884" xr:uid="{00000000-0005-0000-0000-0000CF9A0000}"/>
    <cellStyle name="Note 2 3 3 2 9" xfId="41379" xr:uid="{00000000-0005-0000-0000-0000D09A0000}"/>
    <cellStyle name="Note 2 3 3 3" xfId="613" xr:uid="{00000000-0005-0000-0000-0000D19A0000}"/>
    <cellStyle name="Note 2 3 3 3 2" xfId="2104" xr:uid="{00000000-0005-0000-0000-0000D29A0000}"/>
    <cellStyle name="Note 2 3 3 3 2 2" xfId="6372" xr:uid="{00000000-0005-0000-0000-0000D39A0000}"/>
    <cellStyle name="Note 2 3 3 3 2 2 2" xfId="13472" xr:uid="{00000000-0005-0000-0000-0000D49A0000}"/>
    <cellStyle name="Note 2 3 3 3 2 2 3" xfId="20573" xr:uid="{00000000-0005-0000-0000-0000D59A0000}"/>
    <cellStyle name="Note 2 3 3 3 2 2 4" xfId="27675" xr:uid="{00000000-0005-0000-0000-0000D69A0000}"/>
    <cellStyle name="Note 2 3 3 3 2 2 5" xfId="34777" xr:uid="{00000000-0005-0000-0000-0000D79A0000}"/>
    <cellStyle name="Note 2 3 3 3 2 2 6" xfId="41380" xr:uid="{00000000-0005-0000-0000-0000D89A0000}"/>
    <cellStyle name="Note 2 3 3 3 2 3" xfId="9212" xr:uid="{00000000-0005-0000-0000-0000D99A0000}"/>
    <cellStyle name="Note 2 3 3 3 2 4" xfId="16313" xr:uid="{00000000-0005-0000-0000-0000DA9A0000}"/>
    <cellStyle name="Note 2 3 3 3 2 5" xfId="23415" xr:uid="{00000000-0005-0000-0000-0000DB9A0000}"/>
    <cellStyle name="Note 2 3 3 3 2 6" xfId="30517" xr:uid="{00000000-0005-0000-0000-0000DC9A0000}"/>
    <cellStyle name="Note 2 3 3 3 2 7" xfId="41381" xr:uid="{00000000-0005-0000-0000-0000DD9A0000}"/>
    <cellStyle name="Note 2 3 3 3 3" xfId="4951" xr:uid="{00000000-0005-0000-0000-0000DE9A0000}"/>
    <cellStyle name="Note 2 3 3 3 3 2" xfId="12052" xr:uid="{00000000-0005-0000-0000-0000DF9A0000}"/>
    <cellStyle name="Note 2 3 3 3 3 2 2" xfId="41382" xr:uid="{00000000-0005-0000-0000-0000E09A0000}"/>
    <cellStyle name="Note 2 3 3 3 3 3" xfId="19153" xr:uid="{00000000-0005-0000-0000-0000E19A0000}"/>
    <cellStyle name="Note 2 3 3 3 3 4" xfId="26255" xr:uid="{00000000-0005-0000-0000-0000E29A0000}"/>
    <cellStyle name="Note 2 3 3 3 3 5" xfId="33357" xr:uid="{00000000-0005-0000-0000-0000E39A0000}"/>
    <cellStyle name="Note 2 3 3 3 3 6" xfId="41383" xr:uid="{00000000-0005-0000-0000-0000E49A0000}"/>
    <cellStyle name="Note 2 3 3 3 4" xfId="3526" xr:uid="{00000000-0005-0000-0000-0000E59A0000}"/>
    <cellStyle name="Note 2 3 3 3 4 2" xfId="10632" xr:uid="{00000000-0005-0000-0000-0000E69A0000}"/>
    <cellStyle name="Note 2 3 3 3 4 3" xfId="17733" xr:uid="{00000000-0005-0000-0000-0000E79A0000}"/>
    <cellStyle name="Note 2 3 3 3 4 4" xfId="24835" xr:uid="{00000000-0005-0000-0000-0000E89A0000}"/>
    <cellStyle name="Note 2 3 3 3 4 5" xfId="31937" xr:uid="{00000000-0005-0000-0000-0000E99A0000}"/>
    <cellStyle name="Note 2 3 3 3 4 6" xfId="41384" xr:uid="{00000000-0005-0000-0000-0000EA9A0000}"/>
    <cellStyle name="Note 2 3 3 3 5" xfId="7792" xr:uid="{00000000-0005-0000-0000-0000EB9A0000}"/>
    <cellStyle name="Note 2 3 3 3 6" xfId="14893" xr:uid="{00000000-0005-0000-0000-0000EC9A0000}"/>
    <cellStyle name="Note 2 3 3 3 7" xfId="21995" xr:uid="{00000000-0005-0000-0000-0000ED9A0000}"/>
    <cellStyle name="Note 2 3 3 3 8" xfId="29097" xr:uid="{00000000-0005-0000-0000-0000EE9A0000}"/>
    <cellStyle name="Note 2 3 3 3 9" xfId="41385" xr:uid="{00000000-0005-0000-0000-0000EF9A0000}"/>
    <cellStyle name="Note 2 3 3 4" xfId="826" xr:uid="{00000000-0005-0000-0000-0000F09A0000}"/>
    <cellStyle name="Note 2 3 3 4 2" xfId="2317" xr:uid="{00000000-0005-0000-0000-0000F19A0000}"/>
    <cellStyle name="Note 2 3 3 4 2 2" xfId="6585" xr:uid="{00000000-0005-0000-0000-0000F29A0000}"/>
    <cellStyle name="Note 2 3 3 4 2 2 2" xfId="13685" xr:uid="{00000000-0005-0000-0000-0000F39A0000}"/>
    <cellStyle name="Note 2 3 3 4 2 2 3" xfId="20786" xr:uid="{00000000-0005-0000-0000-0000F49A0000}"/>
    <cellStyle name="Note 2 3 3 4 2 2 4" xfId="27888" xr:uid="{00000000-0005-0000-0000-0000F59A0000}"/>
    <cellStyle name="Note 2 3 3 4 2 2 5" xfId="34990" xr:uid="{00000000-0005-0000-0000-0000F69A0000}"/>
    <cellStyle name="Note 2 3 3 4 2 2 6" xfId="41386" xr:uid="{00000000-0005-0000-0000-0000F79A0000}"/>
    <cellStyle name="Note 2 3 3 4 2 3" xfId="9425" xr:uid="{00000000-0005-0000-0000-0000F89A0000}"/>
    <cellStyle name="Note 2 3 3 4 2 4" xfId="16526" xr:uid="{00000000-0005-0000-0000-0000F99A0000}"/>
    <cellStyle name="Note 2 3 3 4 2 5" xfId="23628" xr:uid="{00000000-0005-0000-0000-0000FA9A0000}"/>
    <cellStyle name="Note 2 3 3 4 2 6" xfId="30730" xr:uid="{00000000-0005-0000-0000-0000FB9A0000}"/>
    <cellStyle name="Note 2 3 3 4 2 7" xfId="41387" xr:uid="{00000000-0005-0000-0000-0000FC9A0000}"/>
    <cellStyle name="Note 2 3 3 4 3" xfId="5164" xr:uid="{00000000-0005-0000-0000-0000FD9A0000}"/>
    <cellStyle name="Note 2 3 3 4 3 2" xfId="12265" xr:uid="{00000000-0005-0000-0000-0000FE9A0000}"/>
    <cellStyle name="Note 2 3 3 4 3 2 2" xfId="41388" xr:uid="{00000000-0005-0000-0000-0000FF9A0000}"/>
    <cellStyle name="Note 2 3 3 4 3 3" xfId="19366" xr:uid="{00000000-0005-0000-0000-0000009B0000}"/>
    <cellStyle name="Note 2 3 3 4 3 4" xfId="26468" xr:uid="{00000000-0005-0000-0000-0000019B0000}"/>
    <cellStyle name="Note 2 3 3 4 3 5" xfId="33570" xr:uid="{00000000-0005-0000-0000-0000029B0000}"/>
    <cellStyle name="Note 2 3 3 4 3 6" xfId="41389" xr:uid="{00000000-0005-0000-0000-0000039B0000}"/>
    <cellStyle name="Note 2 3 3 4 4" xfId="3739" xr:uid="{00000000-0005-0000-0000-0000049B0000}"/>
    <cellStyle name="Note 2 3 3 4 4 2" xfId="10845" xr:uid="{00000000-0005-0000-0000-0000059B0000}"/>
    <cellStyle name="Note 2 3 3 4 4 3" xfId="17946" xr:uid="{00000000-0005-0000-0000-0000069B0000}"/>
    <cellStyle name="Note 2 3 3 4 4 4" xfId="25048" xr:uid="{00000000-0005-0000-0000-0000079B0000}"/>
    <cellStyle name="Note 2 3 3 4 4 5" xfId="32150" xr:uid="{00000000-0005-0000-0000-0000089B0000}"/>
    <cellStyle name="Note 2 3 3 4 4 6" xfId="41390" xr:uid="{00000000-0005-0000-0000-0000099B0000}"/>
    <cellStyle name="Note 2 3 3 4 5" xfId="8005" xr:uid="{00000000-0005-0000-0000-00000A9B0000}"/>
    <cellStyle name="Note 2 3 3 4 6" xfId="15106" xr:uid="{00000000-0005-0000-0000-00000B9B0000}"/>
    <cellStyle name="Note 2 3 3 4 7" xfId="22208" xr:uid="{00000000-0005-0000-0000-00000C9B0000}"/>
    <cellStyle name="Note 2 3 3 4 8" xfId="29310" xr:uid="{00000000-0005-0000-0000-00000D9B0000}"/>
    <cellStyle name="Note 2 3 3 4 9" xfId="41391" xr:uid="{00000000-0005-0000-0000-00000E9B0000}"/>
    <cellStyle name="Note 2 3 3 5" xfId="1181" xr:uid="{00000000-0005-0000-0000-00000F9B0000}"/>
    <cellStyle name="Note 2 3 3 5 2" xfId="2672" xr:uid="{00000000-0005-0000-0000-0000109B0000}"/>
    <cellStyle name="Note 2 3 3 5 2 2" xfId="6940" xr:uid="{00000000-0005-0000-0000-0000119B0000}"/>
    <cellStyle name="Note 2 3 3 5 2 2 2" xfId="14040" xr:uid="{00000000-0005-0000-0000-0000129B0000}"/>
    <cellStyle name="Note 2 3 3 5 2 2 3" xfId="21141" xr:uid="{00000000-0005-0000-0000-0000139B0000}"/>
    <cellStyle name="Note 2 3 3 5 2 2 4" xfId="28243" xr:uid="{00000000-0005-0000-0000-0000149B0000}"/>
    <cellStyle name="Note 2 3 3 5 2 2 5" xfId="35345" xr:uid="{00000000-0005-0000-0000-0000159B0000}"/>
    <cellStyle name="Note 2 3 3 5 2 3" xfId="9780" xr:uid="{00000000-0005-0000-0000-0000169B0000}"/>
    <cellStyle name="Note 2 3 3 5 2 4" xfId="16881" xr:uid="{00000000-0005-0000-0000-0000179B0000}"/>
    <cellStyle name="Note 2 3 3 5 2 5" xfId="23983" xr:uid="{00000000-0005-0000-0000-0000189B0000}"/>
    <cellStyle name="Note 2 3 3 5 2 6" xfId="31085" xr:uid="{00000000-0005-0000-0000-0000199B0000}"/>
    <cellStyle name="Note 2 3 3 5 2 7" xfId="41392" xr:uid="{00000000-0005-0000-0000-00001A9B0000}"/>
    <cellStyle name="Note 2 3 3 5 3" xfId="5519" xr:uid="{00000000-0005-0000-0000-00001B9B0000}"/>
    <cellStyle name="Note 2 3 3 5 3 2" xfId="12620" xr:uid="{00000000-0005-0000-0000-00001C9B0000}"/>
    <cellStyle name="Note 2 3 3 5 3 3" xfId="19721" xr:uid="{00000000-0005-0000-0000-00001D9B0000}"/>
    <cellStyle name="Note 2 3 3 5 3 4" xfId="26823" xr:uid="{00000000-0005-0000-0000-00001E9B0000}"/>
    <cellStyle name="Note 2 3 3 5 3 5" xfId="33925" xr:uid="{00000000-0005-0000-0000-00001F9B0000}"/>
    <cellStyle name="Note 2 3 3 5 4" xfId="4094" xr:uid="{00000000-0005-0000-0000-0000209B0000}"/>
    <cellStyle name="Note 2 3 3 5 4 2" xfId="11200" xr:uid="{00000000-0005-0000-0000-0000219B0000}"/>
    <cellStyle name="Note 2 3 3 5 4 3" xfId="18301" xr:uid="{00000000-0005-0000-0000-0000229B0000}"/>
    <cellStyle name="Note 2 3 3 5 4 4" xfId="25403" xr:uid="{00000000-0005-0000-0000-0000239B0000}"/>
    <cellStyle name="Note 2 3 3 5 4 5" xfId="32505" xr:uid="{00000000-0005-0000-0000-0000249B0000}"/>
    <cellStyle name="Note 2 3 3 5 5" xfId="8360" xr:uid="{00000000-0005-0000-0000-0000259B0000}"/>
    <cellStyle name="Note 2 3 3 5 6" xfId="15461" xr:uid="{00000000-0005-0000-0000-0000269B0000}"/>
    <cellStyle name="Note 2 3 3 5 7" xfId="22563" xr:uid="{00000000-0005-0000-0000-0000279B0000}"/>
    <cellStyle name="Note 2 3 3 5 8" xfId="29665" xr:uid="{00000000-0005-0000-0000-0000289B0000}"/>
    <cellStyle name="Note 2 3 3 5 9" xfId="41393" xr:uid="{00000000-0005-0000-0000-0000299B0000}"/>
    <cellStyle name="Note 2 3 3 6" xfId="1394" xr:uid="{00000000-0005-0000-0000-00002A9B0000}"/>
    <cellStyle name="Note 2 3 3 6 2" xfId="2885" xr:uid="{00000000-0005-0000-0000-00002B9B0000}"/>
    <cellStyle name="Note 2 3 3 6 2 2" xfId="7153" xr:uid="{00000000-0005-0000-0000-00002C9B0000}"/>
    <cellStyle name="Note 2 3 3 6 2 2 2" xfId="14253" xr:uid="{00000000-0005-0000-0000-00002D9B0000}"/>
    <cellStyle name="Note 2 3 3 6 2 2 3" xfId="21354" xr:uid="{00000000-0005-0000-0000-00002E9B0000}"/>
    <cellStyle name="Note 2 3 3 6 2 2 4" xfId="28456" xr:uid="{00000000-0005-0000-0000-00002F9B0000}"/>
    <cellStyle name="Note 2 3 3 6 2 2 5" xfId="35558" xr:uid="{00000000-0005-0000-0000-0000309B0000}"/>
    <cellStyle name="Note 2 3 3 6 2 3" xfId="9993" xr:uid="{00000000-0005-0000-0000-0000319B0000}"/>
    <cellStyle name="Note 2 3 3 6 2 4" xfId="17094" xr:uid="{00000000-0005-0000-0000-0000329B0000}"/>
    <cellStyle name="Note 2 3 3 6 2 5" xfId="24196" xr:uid="{00000000-0005-0000-0000-0000339B0000}"/>
    <cellStyle name="Note 2 3 3 6 2 6" xfId="31298" xr:uid="{00000000-0005-0000-0000-0000349B0000}"/>
    <cellStyle name="Note 2 3 3 6 2 7" xfId="41394" xr:uid="{00000000-0005-0000-0000-0000359B0000}"/>
    <cellStyle name="Note 2 3 3 6 3" xfId="5732" xr:uid="{00000000-0005-0000-0000-0000369B0000}"/>
    <cellStyle name="Note 2 3 3 6 3 2" xfId="12833" xr:uid="{00000000-0005-0000-0000-0000379B0000}"/>
    <cellStyle name="Note 2 3 3 6 3 3" xfId="19934" xr:uid="{00000000-0005-0000-0000-0000389B0000}"/>
    <cellStyle name="Note 2 3 3 6 3 4" xfId="27036" xr:uid="{00000000-0005-0000-0000-0000399B0000}"/>
    <cellStyle name="Note 2 3 3 6 3 5" xfId="34138" xr:uid="{00000000-0005-0000-0000-00003A9B0000}"/>
    <cellStyle name="Note 2 3 3 6 4" xfId="4307" xr:uid="{00000000-0005-0000-0000-00003B9B0000}"/>
    <cellStyle name="Note 2 3 3 6 4 2" xfId="11413" xr:uid="{00000000-0005-0000-0000-00003C9B0000}"/>
    <cellStyle name="Note 2 3 3 6 4 3" xfId="18514" xr:uid="{00000000-0005-0000-0000-00003D9B0000}"/>
    <cellStyle name="Note 2 3 3 6 4 4" xfId="25616" xr:uid="{00000000-0005-0000-0000-00003E9B0000}"/>
    <cellStyle name="Note 2 3 3 6 4 5" xfId="32718" xr:uid="{00000000-0005-0000-0000-00003F9B0000}"/>
    <cellStyle name="Note 2 3 3 6 5" xfId="8573" xr:uid="{00000000-0005-0000-0000-0000409B0000}"/>
    <cellStyle name="Note 2 3 3 6 6" xfId="15674" xr:uid="{00000000-0005-0000-0000-0000419B0000}"/>
    <cellStyle name="Note 2 3 3 6 7" xfId="22776" xr:uid="{00000000-0005-0000-0000-0000429B0000}"/>
    <cellStyle name="Note 2 3 3 6 8" xfId="29878" xr:uid="{00000000-0005-0000-0000-0000439B0000}"/>
    <cellStyle name="Note 2 3 3 6 9" xfId="41395" xr:uid="{00000000-0005-0000-0000-0000449B0000}"/>
    <cellStyle name="Note 2 3 3 7" xfId="1678" xr:uid="{00000000-0005-0000-0000-0000459B0000}"/>
    <cellStyle name="Note 2 3 3 7 2" xfId="5946" xr:uid="{00000000-0005-0000-0000-0000469B0000}"/>
    <cellStyle name="Note 2 3 3 7 2 2" xfId="13046" xr:uid="{00000000-0005-0000-0000-0000479B0000}"/>
    <cellStyle name="Note 2 3 3 7 2 3" xfId="20147" xr:uid="{00000000-0005-0000-0000-0000489B0000}"/>
    <cellStyle name="Note 2 3 3 7 2 4" xfId="27249" xr:uid="{00000000-0005-0000-0000-0000499B0000}"/>
    <cellStyle name="Note 2 3 3 7 2 5" xfId="34351" xr:uid="{00000000-0005-0000-0000-00004A9B0000}"/>
    <cellStyle name="Note 2 3 3 7 3" xfId="8786" xr:uid="{00000000-0005-0000-0000-00004B9B0000}"/>
    <cellStyle name="Note 2 3 3 7 4" xfId="15887" xr:uid="{00000000-0005-0000-0000-00004C9B0000}"/>
    <cellStyle name="Note 2 3 3 7 5" xfId="22989" xr:uid="{00000000-0005-0000-0000-00004D9B0000}"/>
    <cellStyle name="Note 2 3 3 7 6" xfId="30091" xr:uid="{00000000-0005-0000-0000-00004E9B0000}"/>
    <cellStyle name="Note 2 3 3 7 7" xfId="41396" xr:uid="{00000000-0005-0000-0000-00004F9B0000}"/>
    <cellStyle name="Note 2 3 3 8" xfId="4525" xr:uid="{00000000-0005-0000-0000-0000509B0000}"/>
    <cellStyle name="Note 2 3 3 8 2" xfId="11626" xr:uid="{00000000-0005-0000-0000-0000519B0000}"/>
    <cellStyle name="Note 2 3 3 8 3" xfId="18727" xr:uid="{00000000-0005-0000-0000-0000529B0000}"/>
    <cellStyle name="Note 2 3 3 8 4" xfId="25829" xr:uid="{00000000-0005-0000-0000-0000539B0000}"/>
    <cellStyle name="Note 2 3 3 8 5" xfId="32931" xr:uid="{00000000-0005-0000-0000-0000549B0000}"/>
    <cellStyle name="Note 2 3 3 9" xfId="3100" xr:uid="{00000000-0005-0000-0000-0000559B0000}"/>
    <cellStyle name="Note 2 3 3 9 2" xfId="10206" xr:uid="{00000000-0005-0000-0000-0000569B0000}"/>
    <cellStyle name="Note 2 3 3 9 3" xfId="17307" xr:uid="{00000000-0005-0000-0000-0000579B0000}"/>
    <cellStyle name="Note 2 3 3 9 4" xfId="24409" xr:uid="{00000000-0005-0000-0000-0000589B0000}"/>
    <cellStyle name="Note 2 3 3 9 5" xfId="31511" xr:uid="{00000000-0005-0000-0000-0000599B0000}"/>
    <cellStyle name="Note 2 3 4" xfId="329" xr:uid="{00000000-0005-0000-0000-00005A9B0000}"/>
    <cellStyle name="Note 2 3 4 10" xfId="41397" xr:uid="{00000000-0005-0000-0000-00005B9B0000}"/>
    <cellStyle name="Note 2 3 4 2" xfId="1110" xr:uid="{00000000-0005-0000-0000-00005C9B0000}"/>
    <cellStyle name="Note 2 3 4 2 2" xfId="2601" xr:uid="{00000000-0005-0000-0000-00005D9B0000}"/>
    <cellStyle name="Note 2 3 4 2 2 2" xfId="6869" xr:uid="{00000000-0005-0000-0000-00005E9B0000}"/>
    <cellStyle name="Note 2 3 4 2 2 2 2" xfId="13969" xr:uid="{00000000-0005-0000-0000-00005F9B0000}"/>
    <cellStyle name="Note 2 3 4 2 2 2 3" xfId="21070" xr:uid="{00000000-0005-0000-0000-0000609B0000}"/>
    <cellStyle name="Note 2 3 4 2 2 2 4" xfId="28172" xr:uid="{00000000-0005-0000-0000-0000619B0000}"/>
    <cellStyle name="Note 2 3 4 2 2 2 5" xfId="35274" xr:uid="{00000000-0005-0000-0000-0000629B0000}"/>
    <cellStyle name="Note 2 3 4 2 2 3" xfId="9709" xr:uid="{00000000-0005-0000-0000-0000639B0000}"/>
    <cellStyle name="Note 2 3 4 2 2 4" xfId="16810" xr:uid="{00000000-0005-0000-0000-0000649B0000}"/>
    <cellStyle name="Note 2 3 4 2 2 5" xfId="23912" xr:uid="{00000000-0005-0000-0000-0000659B0000}"/>
    <cellStyle name="Note 2 3 4 2 2 6" xfId="31014" xr:uid="{00000000-0005-0000-0000-0000669B0000}"/>
    <cellStyle name="Note 2 3 4 2 2 7" xfId="41398" xr:uid="{00000000-0005-0000-0000-0000679B0000}"/>
    <cellStyle name="Note 2 3 4 2 3" xfId="5448" xr:uid="{00000000-0005-0000-0000-0000689B0000}"/>
    <cellStyle name="Note 2 3 4 2 3 2" xfId="12549" xr:uid="{00000000-0005-0000-0000-0000699B0000}"/>
    <cellStyle name="Note 2 3 4 2 3 3" xfId="19650" xr:uid="{00000000-0005-0000-0000-00006A9B0000}"/>
    <cellStyle name="Note 2 3 4 2 3 4" xfId="26752" xr:uid="{00000000-0005-0000-0000-00006B9B0000}"/>
    <cellStyle name="Note 2 3 4 2 3 5" xfId="33854" xr:uid="{00000000-0005-0000-0000-00006C9B0000}"/>
    <cellStyle name="Note 2 3 4 2 4" xfId="4023" xr:uid="{00000000-0005-0000-0000-00006D9B0000}"/>
    <cellStyle name="Note 2 3 4 2 4 2" xfId="11129" xr:uid="{00000000-0005-0000-0000-00006E9B0000}"/>
    <cellStyle name="Note 2 3 4 2 4 3" xfId="18230" xr:uid="{00000000-0005-0000-0000-00006F9B0000}"/>
    <cellStyle name="Note 2 3 4 2 4 4" xfId="25332" xr:uid="{00000000-0005-0000-0000-0000709B0000}"/>
    <cellStyle name="Note 2 3 4 2 4 5" xfId="32434" xr:uid="{00000000-0005-0000-0000-0000719B0000}"/>
    <cellStyle name="Note 2 3 4 2 5" xfId="8289" xr:uid="{00000000-0005-0000-0000-0000729B0000}"/>
    <cellStyle name="Note 2 3 4 2 6" xfId="15390" xr:uid="{00000000-0005-0000-0000-0000739B0000}"/>
    <cellStyle name="Note 2 3 4 2 7" xfId="22492" xr:uid="{00000000-0005-0000-0000-0000749B0000}"/>
    <cellStyle name="Note 2 3 4 2 8" xfId="29594" xr:uid="{00000000-0005-0000-0000-0000759B0000}"/>
    <cellStyle name="Note 2 3 4 2 9" xfId="41399" xr:uid="{00000000-0005-0000-0000-0000769B0000}"/>
    <cellStyle name="Note 2 3 4 3" xfId="1820" xr:uid="{00000000-0005-0000-0000-0000779B0000}"/>
    <cellStyle name="Note 2 3 4 3 2" xfId="6088" xr:uid="{00000000-0005-0000-0000-0000789B0000}"/>
    <cellStyle name="Note 2 3 4 3 2 2" xfId="13188" xr:uid="{00000000-0005-0000-0000-0000799B0000}"/>
    <cellStyle name="Note 2 3 4 3 2 3" xfId="20289" xr:uid="{00000000-0005-0000-0000-00007A9B0000}"/>
    <cellStyle name="Note 2 3 4 3 2 4" xfId="27391" xr:uid="{00000000-0005-0000-0000-00007B9B0000}"/>
    <cellStyle name="Note 2 3 4 3 2 5" xfId="34493" xr:uid="{00000000-0005-0000-0000-00007C9B0000}"/>
    <cellStyle name="Note 2 3 4 3 2 6" xfId="41400" xr:uid="{00000000-0005-0000-0000-00007D9B0000}"/>
    <cellStyle name="Note 2 3 4 3 3" xfId="8928" xr:uid="{00000000-0005-0000-0000-00007E9B0000}"/>
    <cellStyle name="Note 2 3 4 3 4" xfId="16029" xr:uid="{00000000-0005-0000-0000-00007F9B0000}"/>
    <cellStyle name="Note 2 3 4 3 5" xfId="23131" xr:uid="{00000000-0005-0000-0000-0000809B0000}"/>
    <cellStyle name="Note 2 3 4 3 6" xfId="30233" xr:uid="{00000000-0005-0000-0000-0000819B0000}"/>
    <cellStyle name="Note 2 3 4 3 7" xfId="41401" xr:uid="{00000000-0005-0000-0000-0000829B0000}"/>
    <cellStyle name="Note 2 3 4 4" xfId="4667" xr:uid="{00000000-0005-0000-0000-0000839B0000}"/>
    <cellStyle name="Note 2 3 4 4 2" xfId="11768" xr:uid="{00000000-0005-0000-0000-0000849B0000}"/>
    <cellStyle name="Note 2 3 4 4 3" xfId="18869" xr:uid="{00000000-0005-0000-0000-0000859B0000}"/>
    <cellStyle name="Note 2 3 4 4 4" xfId="25971" xr:uid="{00000000-0005-0000-0000-0000869B0000}"/>
    <cellStyle name="Note 2 3 4 4 5" xfId="33073" xr:uid="{00000000-0005-0000-0000-0000879B0000}"/>
    <cellStyle name="Note 2 3 4 4 6" xfId="41402" xr:uid="{00000000-0005-0000-0000-0000889B0000}"/>
    <cellStyle name="Note 2 3 4 5" xfId="3242" xr:uid="{00000000-0005-0000-0000-0000899B0000}"/>
    <cellStyle name="Note 2 3 4 5 2" xfId="10348" xr:uid="{00000000-0005-0000-0000-00008A9B0000}"/>
    <cellStyle name="Note 2 3 4 5 3" xfId="17449" xr:uid="{00000000-0005-0000-0000-00008B9B0000}"/>
    <cellStyle name="Note 2 3 4 5 4" xfId="24551" xr:uid="{00000000-0005-0000-0000-00008C9B0000}"/>
    <cellStyle name="Note 2 3 4 5 5" xfId="31653" xr:uid="{00000000-0005-0000-0000-00008D9B0000}"/>
    <cellStyle name="Note 2 3 4 6" xfId="7508" xr:uid="{00000000-0005-0000-0000-00008E9B0000}"/>
    <cellStyle name="Note 2 3 4 7" xfId="14609" xr:uid="{00000000-0005-0000-0000-00008F9B0000}"/>
    <cellStyle name="Note 2 3 4 8" xfId="21711" xr:uid="{00000000-0005-0000-0000-0000909B0000}"/>
    <cellStyle name="Note 2 3 4 9" xfId="28813" xr:uid="{00000000-0005-0000-0000-0000919B0000}"/>
    <cellStyle name="Note 2 3 5" xfId="542" xr:uid="{00000000-0005-0000-0000-0000929B0000}"/>
    <cellStyle name="Note 2 3 5 2" xfId="2033" xr:uid="{00000000-0005-0000-0000-0000939B0000}"/>
    <cellStyle name="Note 2 3 5 2 2" xfId="6301" xr:uid="{00000000-0005-0000-0000-0000949B0000}"/>
    <cellStyle name="Note 2 3 5 2 2 2" xfId="13401" xr:uid="{00000000-0005-0000-0000-0000959B0000}"/>
    <cellStyle name="Note 2 3 5 2 2 3" xfId="20502" xr:uid="{00000000-0005-0000-0000-0000969B0000}"/>
    <cellStyle name="Note 2 3 5 2 2 4" xfId="27604" xr:uid="{00000000-0005-0000-0000-0000979B0000}"/>
    <cellStyle name="Note 2 3 5 2 2 5" xfId="34706" xr:uid="{00000000-0005-0000-0000-0000989B0000}"/>
    <cellStyle name="Note 2 3 5 2 2 6" xfId="41403" xr:uid="{00000000-0005-0000-0000-0000999B0000}"/>
    <cellStyle name="Note 2 3 5 2 3" xfId="9141" xr:uid="{00000000-0005-0000-0000-00009A9B0000}"/>
    <cellStyle name="Note 2 3 5 2 4" xfId="16242" xr:uid="{00000000-0005-0000-0000-00009B9B0000}"/>
    <cellStyle name="Note 2 3 5 2 5" xfId="23344" xr:uid="{00000000-0005-0000-0000-00009C9B0000}"/>
    <cellStyle name="Note 2 3 5 2 6" xfId="30446" xr:uid="{00000000-0005-0000-0000-00009D9B0000}"/>
    <cellStyle name="Note 2 3 5 2 7" xfId="41404" xr:uid="{00000000-0005-0000-0000-00009E9B0000}"/>
    <cellStyle name="Note 2 3 5 3" xfId="4880" xr:uid="{00000000-0005-0000-0000-00009F9B0000}"/>
    <cellStyle name="Note 2 3 5 3 2" xfId="11981" xr:uid="{00000000-0005-0000-0000-0000A09B0000}"/>
    <cellStyle name="Note 2 3 5 3 2 2" xfId="41405" xr:uid="{00000000-0005-0000-0000-0000A19B0000}"/>
    <cellStyle name="Note 2 3 5 3 3" xfId="19082" xr:uid="{00000000-0005-0000-0000-0000A29B0000}"/>
    <cellStyle name="Note 2 3 5 3 4" xfId="26184" xr:uid="{00000000-0005-0000-0000-0000A39B0000}"/>
    <cellStyle name="Note 2 3 5 3 5" xfId="33286" xr:uid="{00000000-0005-0000-0000-0000A49B0000}"/>
    <cellStyle name="Note 2 3 5 3 6" xfId="41406" xr:uid="{00000000-0005-0000-0000-0000A59B0000}"/>
    <cellStyle name="Note 2 3 5 4" xfId="3455" xr:uid="{00000000-0005-0000-0000-0000A69B0000}"/>
    <cellStyle name="Note 2 3 5 4 2" xfId="10561" xr:uid="{00000000-0005-0000-0000-0000A79B0000}"/>
    <cellStyle name="Note 2 3 5 4 3" xfId="17662" xr:uid="{00000000-0005-0000-0000-0000A89B0000}"/>
    <cellStyle name="Note 2 3 5 4 4" xfId="24764" xr:uid="{00000000-0005-0000-0000-0000A99B0000}"/>
    <cellStyle name="Note 2 3 5 4 5" xfId="31866" xr:uid="{00000000-0005-0000-0000-0000AA9B0000}"/>
    <cellStyle name="Note 2 3 5 4 6" xfId="41407" xr:uid="{00000000-0005-0000-0000-0000AB9B0000}"/>
    <cellStyle name="Note 2 3 5 5" xfId="7721" xr:uid="{00000000-0005-0000-0000-0000AC9B0000}"/>
    <cellStyle name="Note 2 3 5 6" xfId="14822" xr:uid="{00000000-0005-0000-0000-0000AD9B0000}"/>
    <cellStyle name="Note 2 3 5 7" xfId="21924" xr:uid="{00000000-0005-0000-0000-0000AE9B0000}"/>
    <cellStyle name="Note 2 3 5 8" xfId="29026" xr:uid="{00000000-0005-0000-0000-0000AF9B0000}"/>
    <cellStyle name="Note 2 3 5 9" xfId="41408" xr:uid="{00000000-0005-0000-0000-0000B09B0000}"/>
    <cellStyle name="Note 2 3 6" xfId="755" xr:uid="{00000000-0005-0000-0000-0000B19B0000}"/>
    <cellStyle name="Note 2 3 6 2" xfId="2246" xr:uid="{00000000-0005-0000-0000-0000B29B0000}"/>
    <cellStyle name="Note 2 3 6 2 2" xfId="6514" xr:uid="{00000000-0005-0000-0000-0000B39B0000}"/>
    <cellStyle name="Note 2 3 6 2 2 2" xfId="13614" xr:uid="{00000000-0005-0000-0000-0000B49B0000}"/>
    <cellStyle name="Note 2 3 6 2 2 3" xfId="20715" xr:uid="{00000000-0005-0000-0000-0000B59B0000}"/>
    <cellStyle name="Note 2 3 6 2 2 4" xfId="27817" xr:uid="{00000000-0005-0000-0000-0000B69B0000}"/>
    <cellStyle name="Note 2 3 6 2 2 5" xfId="34919" xr:uid="{00000000-0005-0000-0000-0000B79B0000}"/>
    <cellStyle name="Note 2 3 6 2 2 6" xfId="41409" xr:uid="{00000000-0005-0000-0000-0000B89B0000}"/>
    <cellStyle name="Note 2 3 6 2 3" xfId="9354" xr:uid="{00000000-0005-0000-0000-0000B99B0000}"/>
    <cellStyle name="Note 2 3 6 2 4" xfId="16455" xr:uid="{00000000-0005-0000-0000-0000BA9B0000}"/>
    <cellStyle name="Note 2 3 6 2 5" xfId="23557" xr:uid="{00000000-0005-0000-0000-0000BB9B0000}"/>
    <cellStyle name="Note 2 3 6 2 6" xfId="30659" xr:uid="{00000000-0005-0000-0000-0000BC9B0000}"/>
    <cellStyle name="Note 2 3 6 2 7" xfId="41410" xr:uid="{00000000-0005-0000-0000-0000BD9B0000}"/>
    <cellStyle name="Note 2 3 6 3" xfId="5093" xr:uid="{00000000-0005-0000-0000-0000BE9B0000}"/>
    <cellStyle name="Note 2 3 6 3 2" xfId="12194" xr:uid="{00000000-0005-0000-0000-0000BF9B0000}"/>
    <cellStyle name="Note 2 3 6 3 2 2" xfId="41411" xr:uid="{00000000-0005-0000-0000-0000C09B0000}"/>
    <cellStyle name="Note 2 3 6 3 3" xfId="19295" xr:uid="{00000000-0005-0000-0000-0000C19B0000}"/>
    <cellStyle name="Note 2 3 6 3 4" xfId="26397" xr:uid="{00000000-0005-0000-0000-0000C29B0000}"/>
    <cellStyle name="Note 2 3 6 3 5" xfId="33499" xr:uid="{00000000-0005-0000-0000-0000C39B0000}"/>
    <cellStyle name="Note 2 3 6 3 6" xfId="41412" xr:uid="{00000000-0005-0000-0000-0000C49B0000}"/>
    <cellStyle name="Note 2 3 6 4" xfId="3668" xr:uid="{00000000-0005-0000-0000-0000C59B0000}"/>
    <cellStyle name="Note 2 3 6 4 2" xfId="10774" xr:uid="{00000000-0005-0000-0000-0000C69B0000}"/>
    <cellStyle name="Note 2 3 6 4 3" xfId="17875" xr:uid="{00000000-0005-0000-0000-0000C79B0000}"/>
    <cellStyle name="Note 2 3 6 4 4" xfId="24977" xr:uid="{00000000-0005-0000-0000-0000C89B0000}"/>
    <cellStyle name="Note 2 3 6 4 5" xfId="32079" xr:uid="{00000000-0005-0000-0000-0000C99B0000}"/>
    <cellStyle name="Note 2 3 6 4 6" xfId="41413" xr:uid="{00000000-0005-0000-0000-0000CA9B0000}"/>
    <cellStyle name="Note 2 3 6 5" xfId="7934" xr:uid="{00000000-0005-0000-0000-0000CB9B0000}"/>
    <cellStyle name="Note 2 3 6 6" xfId="15035" xr:uid="{00000000-0005-0000-0000-0000CC9B0000}"/>
    <cellStyle name="Note 2 3 6 7" xfId="22137" xr:uid="{00000000-0005-0000-0000-0000CD9B0000}"/>
    <cellStyle name="Note 2 3 6 8" xfId="29239" xr:uid="{00000000-0005-0000-0000-0000CE9B0000}"/>
    <cellStyle name="Note 2 3 6 9" xfId="41414" xr:uid="{00000000-0005-0000-0000-0000CF9B0000}"/>
    <cellStyle name="Note 2 3 7" xfId="968" xr:uid="{00000000-0005-0000-0000-0000D09B0000}"/>
    <cellStyle name="Note 2 3 7 2" xfId="2459" xr:uid="{00000000-0005-0000-0000-0000D19B0000}"/>
    <cellStyle name="Note 2 3 7 2 2" xfId="6727" xr:uid="{00000000-0005-0000-0000-0000D29B0000}"/>
    <cellStyle name="Note 2 3 7 2 2 2" xfId="13827" xr:uid="{00000000-0005-0000-0000-0000D39B0000}"/>
    <cellStyle name="Note 2 3 7 2 2 3" xfId="20928" xr:uid="{00000000-0005-0000-0000-0000D49B0000}"/>
    <cellStyle name="Note 2 3 7 2 2 4" xfId="28030" xr:uid="{00000000-0005-0000-0000-0000D59B0000}"/>
    <cellStyle name="Note 2 3 7 2 2 5" xfId="35132" xr:uid="{00000000-0005-0000-0000-0000D69B0000}"/>
    <cellStyle name="Note 2 3 7 2 3" xfId="9567" xr:uid="{00000000-0005-0000-0000-0000D79B0000}"/>
    <cellStyle name="Note 2 3 7 2 4" xfId="16668" xr:uid="{00000000-0005-0000-0000-0000D89B0000}"/>
    <cellStyle name="Note 2 3 7 2 5" xfId="23770" xr:uid="{00000000-0005-0000-0000-0000D99B0000}"/>
    <cellStyle name="Note 2 3 7 2 6" xfId="30872" xr:uid="{00000000-0005-0000-0000-0000DA9B0000}"/>
    <cellStyle name="Note 2 3 7 2 7" xfId="41415" xr:uid="{00000000-0005-0000-0000-0000DB9B0000}"/>
    <cellStyle name="Note 2 3 7 3" xfId="5306" xr:uid="{00000000-0005-0000-0000-0000DC9B0000}"/>
    <cellStyle name="Note 2 3 7 3 2" xfId="12407" xr:uid="{00000000-0005-0000-0000-0000DD9B0000}"/>
    <cellStyle name="Note 2 3 7 3 3" xfId="19508" xr:uid="{00000000-0005-0000-0000-0000DE9B0000}"/>
    <cellStyle name="Note 2 3 7 3 4" xfId="26610" xr:uid="{00000000-0005-0000-0000-0000DF9B0000}"/>
    <cellStyle name="Note 2 3 7 3 5" xfId="33712" xr:uid="{00000000-0005-0000-0000-0000E09B0000}"/>
    <cellStyle name="Note 2 3 7 4" xfId="3881" xr:uid="{00000000-0005-0000-0000-0000E19B0000}"/>
    <cellStyle name="Note 2 3 7 4 2" xfId="10987" xr:uid="{00000000-0005-0000-0000-0000E29B0000}"/>
    <cellStyle name="Note 2 3 7 4 3" xfId="18088" xr:uid="{00000000-0005-0000-0000-0000E39B0000}"/>
    <cellStyle name="Note 2 3 7 4 4" xfId="25190" xr:uid="{00000000-0005-0000-0000-0000E49B0000}"/>
    <cellStyle name="Note 2 3 7 4 5" xfId="32292" xr:uid="{00000000-0005-0000-0000-0000E59B0000}"/>
    <cellStyle name="Note 2 3 7 5" xfId="8147" xr:uid="{00000000-0005-0000-0000-0000E69B0000}"/>
    <cellStyle name="Note 2 3 7 6" xfId="15248" xr:uid="{00000000-0005-0000-0000-0000E79B0000}"/>
    <cellStyle name="Note 2 3 7 7" xfId="22350" xr:uid="{00000000-0005-0000-0000-0000E89B0000}"/>
    <cellStyle name="Note 2 3 7 8" xfId="29452" xr:uid="{00000000-0005-0000-0000-0000E99B0000}"/>
    <cellStyle name="Note 2 3 7 9" xfId="41416" xr:uid="{00000000-0005-0000-0000-0000EA9B0000}"/>
    <cellStyle name="Note 2 3 8" xfId="1323" xr:uid="{00000000-0005-0000-0000-0000EB9B0000}"/>
    <cellStyle name="Note 2 3 8 2" xfId="2814" xr:uid="{00000000-0005-0000-0000-0000EC9B0000}"/>
    <cellStyle name="Note 2 3 8 2 2" xfId="7082" xr:uid="{00000000-0005-0000-0000-0000ED9B0000}"/>
    <cellStyle name="Note 2 3 8 2 2 2" xfId="14182" xr:uid="{00000000-0005-0000-0000-0000EE9B0000}"/>
    <cellStyle name="Note 2 3 8 2 2 3" xfId="21283" xr:uid="{00000000-0005-0000-0000-0000EF9B0000}"/>
    <cellStyle name="Note 2 3 8 2 2 4" xfId="28385" xr:uid="{00000000-0005-0000-0000-0000F09B0000}"/>
    <cellStyle name="Note 2 3 8 2 2 5" xfId="35487" xr:uid="{00000000-0005-0000-0000-0000F19B0000}"/>
    <cellStyle name="Note 2 3 8 2 3" xfId="9922" xr:uid="{00000000-0005-0000-0000-0000F29B0000}"/>
    <cellStyle name="Note 2 3 8 2 4" xfId="17023" xr:uid="{00000000-0005-0000-0000-0000F39B0000}"/>
    <cellStyle name="Note 2 3 8 2 5" xfId="24125" xr:uid="{00000000-0005-0000-0000-0000F49B0000}"/>
    <cellStyle name="Note 2 3 8 2 6" xfId="31227" xr:uid="{00000000-0005-0000-0000-0000F59B0000}"/>
    <cellStyle name="Note 2 3 8 2 7" xfId="41417" xr:uid="{00000000-0005-0000-0000-0000F69B0000}"/>
    <cellStyle name="Note 2 3 8 3" xfId="5661" xr:uid="{00000000-0005-0000-0000-0000F79B0000}"/>
    <cellStyle name="Note 2 3 8 3 2" xfId="12762" xr:uid="{00000000-0005-0000-0000-0000F89B0000}"/>
    <cellStyle name="Note 2 3 8 3 3" xfId="19863" xr:uid="{00000000-0005-0000-0000-0000F99B0000}"/>
    <cellStyle name="Note 2 3 8 3 4" xfId="26965" xr:uid="{00000000-0005-0000-0000-0000FA9B0000}"/>
    <cellStyle name="Note 2 3 8 3 5" xfId="34067" xr:uid="{00000000-0005-0000-0000-0000FB9B0000}"/>
    <cellStyle name="Note 2 3 8 4" xfId="4236" xr:uid="{00000000-0005-0000-0000-0000FC9B0000}"/>
    <cellStyle name="Note 2 3 8 4 2" xfId="11342" xr:uid="{00000000-0005-0000-0000-0000FD9B0000}"/>
    <cellStyle name="Note 2 3 8 4 3" xfId="18443" xr:uid="{00000000-0005-0000-0000-0000FE9B0000}"/>
    <cellStyle name="Note 2 3 8 4 4" xfId="25545" xr:uid="{00000000-0005-0000-0000-0000FF9B0000}"/>
    <cellStyle name="Note 2 3 8 4 5" xfId="32647" xr:uid="{00000000-0005-0000-0000-0000009C0000}"/>
    <cellStyle name="Note 2 3 8 5" xfId="8502" xr:uid="{00000000-0005-0000-0000-0000019C0000}"/>
    <cellStyle name="Note 2 3 8 6" xfId="15603" xr:uid="{00000000-0005-0000-0000-0000029C0000}"/>
    <cellStyle name="Note 2 3 8 7" xfId="22705" xr:uid="{00000000-0005-0000-0000-0000039C0000}"/>
    <cellStyle name="Note 2 3 8 8" xfId="29807" xr:uid="{00000000-0005-0000-0000-0000049C0000}"/>
    <cellStyle name="Note 2 3 8 9" xfId="41418" xr:uid="{00000000-0005-0000-0000-0000059C0000}"/>
    <cellStyle name="Note 2 3 9" xfId="1607" xr:uid="{00000000-0005-0000-0000-0000069C0000}"/>
    <cellStyle name="Note 2 3 9 2" xfId="5875" xr:uid="{00000000-0005-0000-0000-0000079C0000}"/>
    <cellStyle name="Note 2 3 9 2 2" xfId="12975" xr:uid="{00000000-0005-0000-0000-0000089C0000}"/>
    <cellStyle name="Note 2 3 9 2 3" xfId="20076" xr:uid="{00000000-0005-0000-0000-0000099C0000}"/>
    <cellStyle name="Note 2 3 9 2 4" xfId="27178" xr:uid="{00000000-0005-0000-0000-00000A9C0000}"/>
    <cellStyle name="Note 2 3 9 2 5" xfId="34280" xr:uid="{00000000-0005-0000-0000-00000B9C0000}"/>
    <cellStyle name="Note 2 3 9 3" xfId="8715" xr:uid="{00000000-0005-0000-0000-00000C9C0000}"/>
    <cellStyle name="Note 2 3 9 4" xfId="15816" xr:uid="{00000000-0005-0000-0000-00000D9C0000}"/>
    <cellStyle name="Note 2 3 9 5" xfId="22918" xr:uid="{00000000-0005-0000-0000-00000E9C0000}"/>
    <cellStyle name="Note 2 3 9 6" xfId="30020" xr:uid="{00000000-0005-0000-0000-00000F9C0000}"/>
    <cellStyle name="Note 2 3 9 7" xfId="41419" xr:uid="{00000000-0005-0000-0000-0000109C0000}"/>
    <cellStyle name="Note 2 4" xfId="230" xr:uid="{00000000-0005-0000-0000-0000119C0000}"/>
    <cellStyle name="Note 2 4 10" xfId="7409" xr:uid="{00000000-0005-0000-0000-0000129C0000}"/>
    <cellStyle name="Note 2 4 11" xfId="14510" xr:uid="{00000000-0005-0000-0000-0000139C0000}"/>
    <cellStyle name="Note 2 4 12" xfId="21612" xr:uid="{00000000-0005-0000-0000-0000149C0000}"/>
    <cellStyle name="Note 2 4 13" xfId="28714" xr:uid="{00000000-0005-0000-0000-0000159C0000}"/>
    <cellStyle name="Note 2 4 14" xfId="35816" xr:uid="{00000000-0005-0000-0000-0000169C0000}"/>
    <cellStyle name="Note 2 4 15" xfId="41420" xr:uid="{00000000-0005-0000-0000-0000179C0000}"/>
    <cellStyle name="Note 2 4 2" xfId="443" xr:uid="{00000000-0005-0000-0000-0000189C0000}"/>
    <cellStyle name="Note 2 4 2 10" xfId="41421" xr:uid="{00000000-0005-0000-0000-0000199C0000}"/>
    <cellStyle name="Note 2 4 2 2" xfId="1224" xr:uid="{00000000-0005-0000-0000-00001A9C0000}"/>
    <cellStyle name="Note 2 4 2 2 2" xfId="2715" xr:uid="{00000000-0005-0000-0000-00001B9C0000}"/>
    <cellStyle name="Note 2 4 2 2 2 2" xfId="6983" xr:uid="{00000000-0005-0000-0000-00001C9C0000}"/>
    <cellStyle name="Note 2 4 2 2 2 2 2" xfId="14083" xr:uid="{00000000-0005-0000-0000-00001D9C0000}"/>
    <cellStyle name="Note 2 4 2 2 2 2 3" xfId="21184" xr:uid="{00000000-0005-0000-0000-00001E9C0000}"/>
    <cellStyle name="Note 2 4 2 2 2 2 4" xfId="28286" xr:uid="{00000000-0005-0000-0000-00001F9C0000}"/>
    <cellStyle name="Note 2 4 2 2 2 2 5" xfId="35388" xr:uid="{00000000-0005-0000-0000-0000209C0000}"/>
    <cellStyle name="Note 2 4 2 2 2 3" xfId="9823" xr:uid="{00000000-0005-0000-0000-0000219C0000}"/>
    <cellStyle name="Note 2 4 2 2 2 4" xfId="16924" xr:uid="{00000000-0005-0000-0000-0000229C0000}"/>
    <cellStyle name="Note 2 4 2 2 2 5" xfId="24026" xr:uid="{00000000-0005-0000-0000-0000239C0000}"/>
    <cellStyle name="Note 2 4 2 2 2 6" xfId="31128" xr:uid="{00000000-0005-0000-0000-0000249C0000}"/>
    <cellStyle name="Note 2 4 2 2 2 7" xfId="41422" xr:uid="{00000000-0005-0000-0000-0000259C0000}"/>
    <cellStyle name="Note 2 4 2 2 3" xfId="5562" xr:uid="{00000000-0005-0000-0000-0000269C0000}"/>
    <cellStyle name="Note 2 4 2 2 3 2" xfId="12663" xr:uid="{00000000-0005-0000-0000-0000279C0000}"/>
    <cellStyle name="Note 2 4 2 2 3 3" xfId="19764" xr:uid="{00000000-0005-0000-0000-0000289C0000}"/>
    <cellStyle name="Note 2 4 2 2 3 4" xfId="26866" xr:uid="{00000000-0005-0000-0000-0000299C0000}"/>
    <cellStyle name="Note 2 4 2 2 3 5" xfId="33968" xr:uid="{00000000-0005-0000-0000-00002A9C0000}"/>
    <cellStyle name="Note 2 4 2 2 4" xfId="4137" xr:uid="{00000000-0005-0000-0000-00002B9C0000}"/>
    <cellStyle name="Note 2 4 2 2 4 2" xfId="11243" xr:uid="{00000000-0005-0000-0000-00002C9C0000}"/>
    <cellStyle name="Note 2 4 2 2 4 3" xfId="18344" xr:uid="{00000000-0005-0000-0000-00002D9C0000}"/>
    <cellStyle name="Note 2 4 2 2 4 4" xfId="25446" xr:uid="{00000000-0005-0000-0000-00002E9C0000}"/>
    <cellStyle name="Note 2 4 2 2 4 5" xfId="32548" xr:uid="{00000000-0005-0000-0000-00002F9C0000}"/>
    <cellStyle name="Note 2 4 2 2 5" xfId="8403" xr:uid="{00000000-0005-0000-0000-0000309C0000}"/>
    <cellStyle name="Note 2 4 2 2 6" xfId="15504" xr:uid="{00000000-0005-0000-0000-0000319C0000}"/>
    <cellStyle name="Note 2 4 2 2 7" xfId="22606" xr:uid="{00000000-0005-0000-0000-0000329C0000}"/>
    <cellStyle name="Note 2 4 2 2 8" xfId="29708" xr:uid="{00000000-0005-0000-0000-0000339C0000}"/>
    <cellStyle name="Note 2 4 2 2 9" xfId="41423" xr:uid="{00000000-0005-0000-0000-0000349C0000}"/>
    <cellStyle name="Note 2 4 2 3" xfId="1934" xr:uid="{00000000-0005-0000-0000-0000359C0000}"/>
    <cellStyle name="Note 2 4 2 3 2" xfId="6202" xr:uid="{00000000-0005-0000-0000-0000369C0000}"/>
    <cellStyle name="Note 2 4 2 3 2 2" xfId="13302" xr:uid="{00000000-0005-0000-0000-0000379C0000}"/>
    <cellStyle name="Note 2 4 2 3 2 3" xfId="20403" xr:uid="{00000000-0005-0000-0000-0000389C0000}"/>
    <cellStyle name="Note 2 4 2 3 2 4" xfId="27505" xr:uid="{00000000-0005-0000-0000-0000399C0000}"/>
    <cellStyle name="Note 2 4 2 3 2 5" xfId="34607" xr:uid="{00000000-0005-0000-0000-00003A9C0000}"/>
    <cellStyle name="Note 2 4 2 3 2 6" xfId="41424" xr:uid="{00000000-0005-0000-0000-00003B9C0000}"/>
    <cellStyle name="Note 2 4 2 3 3" xfId="9042" xr:uid="{00000000-0005-0000-0000-00003C9C0000}"/>
    <cellStyle name="Note 2 4 2 3 4" xfId="16143" xr:uid="{00000000-0005-0000-0000-00003D9C0000}"/>
    <cellStyle name="Note 2 4 2 3 5" xfId="23245" xr:uid="{00000000-0005-0000-0000-00003E9C0000}"/>
    <cellStyle name="Note 2 4 2 3 6" xfId="30347" xr:uid="{00000000-0005-0000-0000-00003F9C0000}"/>
    <cellStyle name="Note 2 4 2 3 7" xfId="41425" xr:uid="{00000000-0005-0000-0000-0000409C0000}"/>
    <cellStyle name="Note 2 4 2 4" xfId="4781" xr:uid="{00000000-0005-0000-0000-0000419C0000}"/>
    <cellStyle name="Note 2 4 2 4 2" xfId="11882" xr:uid="{00000000-0005-0000-0000-0000429C0000}"/>
    <cellStyle name="Note 2 4 2 4 3" xfId="18983" xr:uid="{00000000-0005-0000-0000-0000439C0000}"/>
    <cellStyle name="Note 2 4 2 4 4" xfId="26085" xr:uid="{00000000-0005-0000-0000-0000449C0000}"/>
    <cellStyle name="Note 2 4 2 4 5" xfId="33187" xr:uid="{00000000-0005-0000-0000-0000459C0000}"/>
    <cellStyle name="Note 2 4 2 4 6" xfId="41426" xr:uid="{00000000-0005-0000-0000-0000469C0000}"/>
    <cellStyle name="Note 2 4 2 5" xfId="3356" xr:uid="{00000000-0005-0000-0000-0000479C0000}"/>
    <cellStyle name="Note 2 4 2 5 2" xfId="10462" xr:uid="{00000000-0005-0000-0000-0000489C0000}"/>
    <cellStyle name="Note 2 4 2 5 3" xfId="17563" xr:uid="{00000000-0005-0000-0000-0000499C0000}"/>
    <cellStyle name="Note 2 4 2 5 4" xfId="24665" xr:uid="{00000000-0005-0000-0000-00004A9C0000}"/>
    <cellStyle name="Note 2 4 2 5 5" xfId="31767" xr:uid="{00000000-0005-0000-0000-00004B9C0000}"/>
    <cellStyle name="Note 2 4 2 6" xfId="7622" xr:uid="{00000000-0005-0000-0000-00004C9C0000}"/>
    <cellStyle name="Note 2 4 2 7" xfId="14723" xr:uid="{00000000-0005-0000-0000-00004D9C0000}"/>
    <cellStyle name="Note 2 4 2 8" xfId="21825" xr:uid="{00000000-0005-0000-0000-00004E9C0000}"/>
    <cellStyle name="Note 2 4 2 9" xfId="28927" xr:uid="{00000000-0005-0000-0000-00004F9C0000}"/>
    <cellStyle name="Note 2 4 3" xfId="656" xr:uid="{00000000-0005-0000-0000-0000509C0000}"/>
    <cellStyle name="Note 2 4 3 2" xfId="2147" xr:uid="{00000000-0005-0000-0000-0000519C0000}"/>
    <cellStyle name="Note 2 4 3 2 2" xfId="6415" xr:uid="{00000000-0005-0000-0000-0000529C0000}"/>
    <cellStyle name="Note 2 4 3 2 2 2" xfId="13515" xr:uid="{00000000-0005-0000-0000-0000539C0000}"/>
    <cellStyle name="Note 2 4 3 2 2 3" xfId="20616" xr:uid="{00000000-0005-0000-0000-0000549C0000}"/>
    <cellStyle name="Note 2 4 3 2 2 4" xfId="27718" xr:uid="{00000000-0005-0000-0000-0000559C0000}"/>
    <cellStyle name="Note 2 4 3 2 2 5" xfId="34820" xr:uid="{00000000-0005-0000-0000-0000569C0000}"/>
    <cellStyle name="Note 2 4 3 2 2 6" xfId="41427" xr:uid="{00000000-0005-0000-0000-0000579C0000}"/>
    <cellStyle name="Note 2 4 3 2 3" xfId="9255" xr:uid="{00000000-0005-0000-0000-0000589C0000}"/>
    <cellStyle name="Note 2 4 3 2 4" xfId="16356" xr:uid="{00000000-0005-0000-0000-0000599C0000}"/>
    <cellStyle name="Note 2 4 3 2 5" xfId="23458" xr:uid="{00000000-0005-0000-0000-00005A9C0000}"/>
    <cellStyle name="Note 2 4 3 2 6" xfId="30560" xr:uid="{00000000-0005-0000-0000-00005B9C0000}"/>
    <cellStyle name="Note 2 4 3 2 7" xfId="41428" xr:uid="{00000000-0005-0000-0000-00005C9C0000}"/>
    <cellStyle name="Note 2 4 3 3" xfId="4994" xr:uid="{00000000-0005-0000-0000-00005D9C0000}"/>
    <cellStyle name="Note 2 4 3 3 2" xfId="12095" xr:uid="{00000000-0005-0000-0000-00005E9C0000}"/>
    <cellStyle name="Note 2 4 3 3 2 2" xfId="41429" xr:uid="{00000000-0005-0000-0000-00005F9C0000}"/>
    <cellStyle name="Note 2 4 3 3 3" xfId="19196" xr:uid="{00000000-0005-0000-0000-0000609C0000}"/>
    <cellStyle name="Note 2 4 3 3 4" xfId="26298" xr:uid="{00000000-0005-0000-0000-0000619C0000}"/>
    <cellStyle name="Note 2 4 3 3 5" xfId="33400" xr:uid="{00000000-0005-0000-0000-0000629C0000}"/>
    <cellStyle name="Note 2 4 3 3 6" xfId="41430" xr:uid="{00000000-0005-0000-0000-0000639C0000}"/>
    <cellStyle name="Note 2 4 3 4" xfId="3569" xr:uid="{00000000-0005-0000-0000-0000649C0000}"/>
    <cellStyle name="Note 2 4 3 4 2" xfId="10675" xr:uid="{00000000-0005-0000-0000-0000659C0000}"/>
    <cellStyle name="Note 2 4 3 4 3" xfId="17776" xr:uid="{00000000-0005-0000-0000-0000669C0000}"/>
    <cellStyle name="Note 2 4 3 4 4" xfId="24878" xr:uid="{00000000-0005-0000-0000-0000679C0000}"/>
    <cellStyle name="Note 2 4 3 4 5" xfId="31980" xr:uid="{00000000-0005-0000-0000-0000689C0000}"/>
    <cellStyle name="Note 2 4 3 4 6" xfId="41431" xr:uid="{00000000-0005-0000-0000-0000699C0000}"/>
    <cellStyle name="Note 2 4 3 5" xfId="7835" xr:uid="{00000000-0005-0000-0000-00006A9C0000}"/>
    <cellStyle name="Note 2 4 3 6" xfId="14936" xr:uid="{00000000-0005-0000-0000-00006B9C0000}"/>
    <cellStyle name="Note 2 4 3 7" xfId="22038" xr:uid="{00000000-0005-0000-0000-00006C9C0000}"/>
    <cellStyle name="Note 2 4 3 8" xfId="29140" xr:uid="{00000000-0005-0000-0000-00006D9C0000}"/>
    <cellStyle name="Note 2 4 3 9" xfId="41432" xr:uid="{00000000-0005-0000-0000-00006E9C0000}"/>
    <cellStyle name="Note 2 4 4" xfId="869" xr:uid="{00000000-0005-0000-0000-00006F9C0000}"/>
    <cellStyle name="Note 2 4 4 2" xfId="2360" xr:uid="{00000000-0005-0000-0000-0000709C0000}"/>
    <cellStyle name="Note 2 4 4 2 2" xfId="6628" xr:uid="{00000000-0005-0000-0000-0000719C0000}"/>
    <cellStyle name="Note 2 4 4 2 2 2" xfId="13728" xr:uid="{00000000-0005-0000-0000-0000729C0000}"/>
    <cellStyle name="Note 2 4 4 2 2 3" xfId="20829" xr:uid="{00000000-0005-0000-0000-0000739C0000}"/>
    <cellStyle name="Note 2 4 4 2 2 4" xfId="27931" xr:uid="{00000000-0005-0000-0000-0000749C0000}"/>
    <cellStyle name="Note 2 4 4 2 2 5" xfId="35033" xr:uid="{00000000-0005-0000-0000-0000759C0000}"/>
    <cellStyle name="Note 2 4 4 2 2 6" xfId="41433" xr:uid="{00000000-0005-0000-0000-0000769C0000}"/>
    <cellStyle name="Note 2 4 4 2 3" xfId="9468" xr:uid="{00000000-0005-0000-0000-0000779C0000}"/>
    <cellStyle name="Note 2 4 4 2 4" xfId="16569" xr:uid="{00000000-0005-0000-0000-0000789C0000}"/>
    <cellStyle name="Note 2 4 4 2 5" xfId="23671" xr:uid="{00000000-0005-0000-0000-0000799C0000}"/>
    <cellStyle name="Note 2 4 4 2 6" xfId="30773" xr:uid="{00000000-0005-0000-0000-00007A9C0000}"/>
    <cellStyle name="Note 2 4 4 2 7" xfId="41434" xr:uid="{00000000-0005-0000-0000-00007B9C0000}"/>
    <cellStyle name="Note 2 4 4 3" xfId="5207" xr:uid="{00000000-0005-0000-0000-00007C9C0000}"/>
    <cellStyle name="Note 2 4 4 3 2" xfId="12308" xr:uid="{00000000-0005-0000-0000-00007D9C0000}"/>
    <cellStyle name="Note 2 4 4 3 2 2" xfId="41435" xr:uid="{00000000-0005-0000-0000-00007E9C0000}"/>
    <cellStyle name="Note 2 4 4 3 3" xfId="19409" xr:uid="{00000000-0005-0000-0000-00007F9C0000}"/>
    <cellStyle name="Note 2 4 4 3 4" xfId="26511" xr:uid="{00000000-0005-0000-0000-0000809C0000}"/>
    <cellStyle name="Note 2 4 4 3 5" xfId="33613" xr:uid="{00000000-0005-0000-0000-0000819C0000}"/>
    <cellStyle name="Note 2 4 4 3 6" xfId="41436" xr:uid="{00000000-0005-0000-0000-0000829C0000}"/>
    <cellStyle name="Note 2 4 4 4" xfId="3782" xr:uid="{00000000-0005-0000-0000-0000839C0000}"/>
    <cellStyle name="Note 2 4 4 4 2" xfId="10888" xr:uid="{00000000-0005-0000-0000-0000849C0000}"/>
    <cellStyle name="Note 2 4 4 4 3" xfId="17989" xr:uid="{00000000-0005-0000-0000-0000859C0000}"/>
    <cellStyle name="Note 2 4 4 4 4" xfId="25091" xr:uid="{00000000-0005-0000-0000-0000869C0000}"/>
    <cellStyle name="Note 2 4 4 4 5" xfId="32193" xr:uid="{00000000-0005-0000-0000-0000879C0000}"/>
    <cellStyle name="Note 2 4 4 4 6" xfId="41437" xr:uid="{00000000-0005-0000-0000-0000889C0000}"/>
    <cellStyle name="Note 2 4 4 5" xfId="8048" xr:uid="{00000000-0005-0000-0000-0000899C0000}"/>
    <cellStyle name="Note 2 4 4 6" xfId="15149" xr:uid="{00000000-0005-0000-0000-00008A9C0000}"/>
    <cellStyle name="Note 2 4 4 7" xfId="22251" xr:uid="{00000000-0005-0000-0000-00008B9C0000}"/>
    <cellStyle name="Note 2 4 4 8" xfId="29353" xr:uid="{00000000-0005-0000-0000-00008C9C0000}"/>
    <cellStyle name="Note 2 4 4 9" xfId="41438" xr:uid="{00000000-0005-0000-0000-00008D9C0000}"/>
    <cellStyle name="Note 2 4 5" xfId="1011" xr:uid="{00000000-0005-0000-0000-00008E9C0000}"/>
    <cellStyle name="Note 2 4 5 2" xfId="2502" xr:uid="{00000000-0005-0000-0000-00008F9C0000}"/>
    <cellStyle name="Note 2 4 5 2 2" xfId="6770" xr:uid="{00000000-0005-0000-0000-0000909C0000}"/>
    <cellStyle name="Note 2 4 5 2 2 2" xfId="13870" xr:uid="{00000000-0005-0000-0000-0000919C0000}"/>
    <cellStyle name="Note 2 4 5 2 2 3" xfId="20971" xr:uid="{00000000-0005-0000-0000-0000929C0000}"/>
    <cellStyle name="Note 2 4 5 2 2 4" xfId="28073" xr:uid="{00000000-0005-0000-0000-0000939C0000}"/>
    <cellStyle name="Note 2 4 5 2 2 5" xfId="35175" xr:uid="{00000000-0005-0000-0000-0000949C0000}"/>
    <cellStyle name="Note 2 4 5 2 3" xfId="9610" xr:uid="{00000000-0005-0000-0000-0000959C0000}"/>
    <cellStyle name="Note 2 4 5 2 4" xfId="16711" xr:uid="{00000000-0005-0000-0000-0000969C0000}"/>
    <cellStyle name="Note 2 4 5 2 5" xfId="23813" xr:uid="{00000000-0005-0000-0000-0000979C0000}"/>
    <cellStyle name="Note 2 4 5 2 6" xfId="30915" xr:uid="{00000000-0005-0000-0000-0000989C0000}"/>
    <cellStyle name="Note 2 4 5 2 7" xfId="41439" xr:uid="{00000000-0005-0000-0000-0000999C0000}"/>
    <cellStyle name="Note 2 4 5 3" xfId="5349" xr:uid="{00000000-0005-0000-0000-00009A9C0000}"/>
    <cellStyle name="Note 2 4 5 3 2" xfId="12450" xr:uid="{00000000-0005-0000-0000-00009B9C0000}"/>
    <cellStyle name="Note 2 4 5 3 3" xfId="19551" xr:uid="{00000000-0005-0000-0000-00009C9C0000}"/>
    <cellStyle name="Note 2 4 5 3 4" xfId="26653" xr:uid="{00000000-0005-0000-0000-00009D9C0000}"/>
    <cellStyle name="Note 2 4 5 3 5" xfId="33755" xr:uid="{00000000-0005-0000-0000-00009E9C0000}"/>
    <cellStyle name="Note 2 4 5 4" xfId="3924" xr:uid="{00000000-0005-0000-0000-00009F9C0000}"/>
    <cellStyle name="Note 2 4 5 4 2" xfId="11030" xr:uid="{00000000-0005-0000-0000-0000A09C0000}"/>
    <cellStyle name="Note 2 4 5 4 3" xfId="18131" xr:uid="{00000000-0005-0000-0000-0000A19C0000}"/>
    <cellStyle name="Note 2 4 5 4 4" xfId="25233" xr:uid="{00000000-0005-0000-0000-0000A29C0000}"/>
    <cellStyle name="Note 2 4 5 4 5" xfId="32335" xr:uid="{00000000-0005-0000-0000-0000A39C0000}"/>
    <cellStyle name="Note 2 4 5 5" xfId="8190" xr:uid="{00000000-0005-0000-0000-0000A49C0000}"/>
    <cellStyle name="Note 2 4 5 6" xfId="15291" xr:uid="{00000000-0005-0000-0000-0000A59C0000}"/>
    <cellStyle name="Note 2 4 5 7" xfId="22393" xr:uid="{00000000-0005-0000-0000-0000A69C0000}"/>
    <cellStyle name="Note 2 4 5 8" xfId="29495" xr:uid="{00000000-0005-0000-0000-0000A79C0000}"/>
    <cellStyle name="Note 2 4 5 9" xfId="41440" xr:uid="{00000000-0005-0000-0000-0000A89C0000}"/>
    <cellStyle name="Note 2 4 6" xfId="1437" xr:uid="{00000000-0005-0000-0000-0000A99C0000}"/>
    <cellStyle name="Note 2 4 6 2" xfId="2928" xr:uid="{00000000-0005-0000-0000-0000AA9C0000}"/>
    <cellStyle name="Note 2 4 6 2 2" xfId="7196" xr:uid="{00000000-0005-0000-0000-0000AB9C0000}"/>
    <cellStyle name="Note 2 4 6 2 2 2" xfId="14296" xr:uid="{00000000-0005-0000-0000-0000AC9C0000}"/>
    <cellStyle name="Note 2 4 6 2 2 3" xfId="21397" xr:uid="{00000000-0005-0000-0000-0000AD9C0000}"/>
    <cellStyle name="Note 2 4 6 2 2 4" xfId="28499" xr:uid="{00000000-0005-0000-0000-0000AE9C0000}"/>
    <cellStyle name="Note 2 4 6 2 2 5" xfId="35601" xr:uid="{00000000-0005-0000-0000-0000AF9C0000}"/>
    <cellStyle name="Note 2 4 6 2 3" xfId="10036" xr:uid="{00000000-0005-0000-0000-0000B09C0000}"/>
    <cellStyle name="Note 2 4 6 2 4" xfId="17137" xr:uid="{00000000-0005-0000-0000-0000B19C0000}"/>
    <cellStyle name="Note 2 4 6 2 5" xfId="24239" xr:uid="{00000000-0005-0000-0000-0000B29C0000}"/>
    <cellStyle name="Note 2 4 6 2 6" xfId="31341" xr:uid="{00000000-0005-0000-0000-0000B39C0000}"/>
    <cellStyle name="Note 2 4 6 2 7" xfId="41441" xr:uid="{00000000-0005-0000-0000-0000B49C0000}"/>
    <cellStyle name="Note 2 4 6 3" xfId="5775" xr:uid="{00000000-0005-0000-0000-0000B59C0000}"/>
    <cellStyle name="Note 2 4 6 3 2" xfId="12876" xr:uid="{00000000-0005-0000-0000-0000B69C0000}"/>
    <cellStyle name="Note 2 4 6 3 3" xfId="19977" xr:uid="{00000000-0005-0000-0000-0000B79C0000}"/>
    <cellStyle name="Note 2 4 6 3 4" xfId="27079" xr:uid="{00000000-0005-0000-0000-0000B89C0000}"/>
    <cellStyle name="Note 2 4 6 3 5" xfId="34181" xr:uid="{00000000-0005-0000-0000-0000B99C0000}"/>
    <cellStyle name="Note 2 4 6 4" xfId="4350" xr:uid="{00000000-0005-0000-0000-0000BA9C0000}"/>
    <cellStyle name="Note 2 4 6 4 2" xfId="11456" xr:uid="{00000000-0005-0000-0000-0000BB9C0000}"/>
    <cellStyle name="Note 2 4 6 4 3" xfId="18557" xr:uid="{00000000-0005-0000-0000-0000BC9C0000}"/>
    <cellStyle name="Note 2 4 6 4 4" xfId="25659" xr:uid="{00000000-0005-0000-0000-0000BD9C0000}"/>
    <cellStyle name="Note 2 4 6 4 5" xfId="32761" xr:uid="{00000000-0005-0000-0000-0000BE9C0000}"/>
    <cellStyle name="Note 2 4 6 5" xfId="8616" xr:uid="{00000000-0005-0000-0000-0000BF9C0000}"/>
    <cellStyle name="Note 2 4 6 6" xfId="15717" xr:uid="{00000000-0005-0000-0000-0000C09C0000}"/>
    <cellStyle name="Note 2 4 6 7" xfId="22819" xr:uid="{00000000-0005-0000-0000-0000C19C0000}"/>
    <cellStyle name="Note 2 4 6 8" xfId="29921" xr:uid="{00000000-0005-0000-0000-0000C29C0000}"/>
    <cellStyle name="Note 2 4 6 9" xfId="41442" xr:uid="{00000000-0005-0000-0000-0000C39C0000}"/>
    <cellStyle name="Note 2 4 7" xfId="1721" xr:uid="{00000000-0005-0000-0000-0000C49C0000}"/>
    <cellStyle name="Note 2 4 7 2" xfId="5989" xr:uid="{00000000-0005-0000-0000-0000C59C0000}"/>
    <cellStyle name="Note 2 4 7 2 2" xfId="13089" xr:uid="{00000000-0005-0000-0000-0000C69C0000}"/>
    <cellStyle name="Note 2 4 7 2 3" xfId="20190" xr:uid="{00000000-0005-0000-0000-0000C79C0000}"/>
    <cellStyle name="Note 2 4 7 2 4" xfId="27292" xr:uid="{00000000-0005-0000-0000-0000C89C0000}"/>
    <cellStyle name="Note 2 4 7 2 5" xfId="34394" xr:uid="{00000000-0005-0000-0000-0000C99C0000}"/>
    <cellStyle name="Note 2 4 7 3" xfId="8829" xr:uid="{00000000-0005-0000-0000-0000CA9C0000}"/>
    <cellStyle name="Note 2 4 7 4" xfId="15930" xr:uid="{00000000-0005-0000-0000-0000CB9C0000}"/>
    <cellStyle name="Note 2 4 7 5" xfId="23032" xr:uid="{00000000-0005-0000-0000-0000CC9C0000}"/>
    <cellStyle name="Note 2 4 7 6" xfId="30134" xr:uid="{00000000-0005-0000-0000-0000CD9C0000}"/>
    <cellStyle name="Note 2 4 7 7" xfId="41443" xr:uid="{00000000-0005-0000-0000-0000CE9C0000}"/>
    <cellStyle name="Note 2 4 8" xfId="4568" xr:uid="{00000000-0005-0000-0000-0000CF9C0000}"/>
    <cellStyle name="Note 2 4 8 2" xfId="11669" xr:uid="{00000000-0005-0000-0000-0000D09C0000}"/>
    <cellStyle name="Note 2 4 8 3" xfId="18770" xr:uid="{00000000-0005-0000-0000-0000D19C0000}"/>
    <cellStyle name="Note 2 4 8 4" xfId="25872" xr:uid="{00000000-0005-0000-0000-0000D29C0000}"/>
    <cellStyle name="Note 2 4 8 5" xfId="32974" xr:uid="{00000000-0005-0000-0000-0000D39C0000}"/>
    <cellStyle name="Note 2 4 9" xfId="3143" xr:uid="{00000000-0005-0000-0000-0000D49C0000}"/>
    <cellStyle name="Note 2 4 9 2" xfId="10249" xr:uid="{00000000-0005-0000-0000-0000D59C0000}"/>
    <cellStyle name="Note 2 4 9 3" xfId="17350" xr:uid="{00000000-0005-0000-0000-0000D69C0000}"/>
    <cellStyle name="Note 2 4 9 4" xfId="24452" xr:uid="{00000000-0005-0000-0000-0000D79C0000}"/>
    <cellStyle name="Note 2 4 9 5" xfId="31554" xr:uid="{00000000-0005-0000-0000-0000D89C0000}"/>
    <cellStyle name="Note 2 5" xfId="159" xr:uid="{00000000-0005-0000-0000-0000D99C0000}"/>
    <cellStyle name="Note 2 5 10" xfId="7338" xr:uid="{00000000-0005-0000-0000-0000DA9C0000}"/>
    <cellStyle name="Note 2 5 11" xfId="14439" xr:uid="{00000000-0005-0000-0000-0000DB9C0000}"/>
    <cellStyle name="Note 2 5 12" xfId="21541" xr:uid="{00000000-0005-0000-0000-0000DC9C0000}"/>
    <cellStyle name="Note 2 5 13" xfId="28643" xr:uid="{00000000-0005-0000-0000-0000DD9C0000}"/>
    <cellStyle name="Note 2 5 14" xfId="35745" xr:uid="{00000000-0005-0000-0000-0000DE9C0000}"/>
    <cellStyle name="Note 2 5 15" xfId="41444" xr:uid="{00000000-0005-0000-0000-0000DF9C0000}"/>
    <cellStyle name="Note 2 5 2" xfId="372" xr:uid="{00000000-0005-0000-0000-0000E09C0000}"/>
    <cellStyle name="Note 2 5 2 2" xfId="1863" xr:uid="{00000000-0005-0000-0000-0000E19C0000}"/>
    <cellStyle name="Note 2 5 2 2 2" xfId="6131" xr:uid="{00000000-0005-0000-0000-0000E29C0000}"/>
    <cellStyle name="Note 2 5 2 2 2 2" xfId="13231" xr:uid="{00000000-0005-0000-0000-0000E39C0000}"/>
    <cellStyle name="Note 2 5 2 2 2 3" xfId="20332" xr:uid="{00000000-0005-0000-0000-0000E49C0000}"/>
    <cellStyle name="Note 2 5 2 2 2 4" xfId="27434" xr:uid="{00000000-0005-0000-0000-0000E59C0000}"/>
    <cellStyle name="Note 2 5 2 2 2 5" xfId="34536" xr:uid="{00000000-0005-0000-0000-0000E69C0000}"/>
    <cellStyle name="Note 2 5 2 2 2 6" xfId="41445" xr:uid="{00000000-0005-0000-0000-0000E79C0000}"/>
    <cellStyle name="Note 2 5 2 2 3" xfId="8971" xr:uid="{00000000-0005-0000-0000-0000E89C0000}"/>
    <cellStyle name="Note 2 5 2 2 4" xfId="16072" xr:uid="{00000000-0005-0000-0000-0000E99C0000}"/>
    <cellStyle name="Note 2 5 2 2 5" xfId="23174" xr:uid="{00000000-0005-0000-0000-0000EA9C0000}"/>
    <cellStyle name="Note 2 5 2 2 6" xfId="30276" xr:uid="{00000000-0005-0000-0000-0000EB9C0000}"/>
    <cellStyle name="Note 2 5 2 2 7" xfId="41446" xr:uid="{00000000-0005-0000-0000-0000EC9C0000}"/>
    <cellStyle name="Note 2 5 2 3" xfId="4710" xr:uid="{00000000-0005-0000-0000-0000ED9C0000}"/>
    <cellStyle name="Note 2 5 2 3 2" xfId="11811" xr:uid="{00000000-0005-0000-0000-0000EE9C0000}"/>
    <cellStyle name="Note 2 5 2 3 2 2" xfId="41447" xr:uid="{00000000-0005-0000-0000-0000EF9C0000}"/>
    <cellStyle name="Note 2 5 2 3 3" xfId="18912" xr:uid="{00000000-0005-0000-0000-0000F09C0000}"/>
    <cellStyle name="Note 2 5 2 3 4" xfId="26014" xr:uid="{00000000-0005-0000-0000-0000F19C0000}"/>
    <cellStyle name="Note 2 5 2 3 5" xfId="33116" xr:uid="{00000000-0005-0000-0000-0000F29C0000}"/>
    <cellStyle name="Note 2 5 2 3 6" xfId="41448" xr:uid="{00000000-0005-0000-0000-0000F39C0000}"/>
    <cellStyle name="Note 2 5 2 4" xfId="3285" xr:uid="{00000000-0005-0000-0000-0000F49C0000}"/>
    <cellStyle name="Note 2 5 2 4 2" xfId="10391" xr:uid="{00000000-0005-0000-0000-0000F59C0000}"/>
    <cellStyle name="Note 2 5 2 4 3" xfId="17492" xr:uid="{00000000-0005-0000-0000-0000F69C0000}"/>
    <cellStyle name="Note 2 5 2 4 4" xfId="24594" xr:uid="{00000000-0005-0000-0000-0000F79C0000}"/>
    <cellStyle name="Note 2 5 2 4 5" xfId="31696" xr:uid="{00000000-0005-0000-0000-0000F89C0000}"/>
    <cellStyle name="Note 2 5 2 4 6" xfId="41449" xr:uid="{00000000-0005-0000-0000-0000F99C0000}"/>
    <cellStyle name="Note 2 5 2 5" xfId="7551" xr:uid="{00000000-0005-0000-0000-0000FA9C0000}"/>
    <cellStyle name="Note 2 5 2 6" xfId="14652" xr:uid="{00000000-0005-0000-0000-0000FB9C0000}"/>
    <cellStyle name="Note 2 5 2 7" xfId="21754" xr:uid="{00000000-0005-0000-0000-0000FC9C0000}"/>
    <cellStyle name="Note 2 5 2 8" xfId="28856" xr:uid="{00000000-0005-0000-0000-0000FD9C0000}"/>
    <cellStyle name="Note 2 5 2 9" xfId="41450" xr:uid="{00000000-0005-0000-0000-0000FE9C0000}"/>
    <cellStyle name="Note 2 5 3" xfId="585" xr:uid="{00000000-0005-0000-0000-0000FF9C0000}"/>
    <cellStyle name="Note 2 5 3 2" xfId="2076" xr:uid="{00000000-0005-0000-0000-0000009D0000}"/>
    <cellStyle name="Note 2 5 3 2 2" xfId="6344" xr:uid="{00000000-0005-0000-0000-0000019D0000}"/>
    <cellStyle name="Note 2 5 3 2 2 2" xfId="13444" xr:uid="{00000000-0005-0000-0000-0000029D0000}"/>
    <cellStyle name="Note 2 5 3 2 2 3" xfId="20545" xr:uid="{00000000-0005-0000-0000-0000039D0000}"/>
    <cellStyle name="Note 2 5 3 2 2 4" xfId="27647" xr:uid="{00000000-0005-0000-0000-0000049D0000}"/>
    <cellStyle name="Note 2 5 3 2 2 5" xfId="34749" xr:uid="{00000000-0005-0000-0000-0000059D0000}"/>
    <cellStyle name="Note 2 5 3 2 2 6" xfId="41451" xr:uid="{00000000-0005-0000-0000-0000069D0000}"/>
    <cellStyle name="Note 2 5 3 2 3" xfId="9184" xr:uid="{00000000-0005-0000-0000-0000079D0000}"/>
    <cellStyle name="Note 2 5 3 2 4" xfId="16285" xr:uid="{00000000-0005-0000-0000-0000089D0000}"/>
    <cellStyle name="Note 2 5 3 2 5" xfId="23387" xr:uid="{00000000-0005-0000-0000-0000099D0000}"/>
    <cellStyle name="Note 2 5 3 2 6" xfId="30489" xr:uid="{00000000-0005-0000-0000-00000A9D0000}"/>
    <cellStyle name="Note 2 5 3 2 7" xfId="41452" xr:uid="{00000000-0005-0000-0000-00000B9D0000}"/>
    <cellStyle name="Note 2 5 3 3" xfId="4923" xr:uid="{00000000-0005-0000-0000-00000C9D0000}"/>
    <cellStyle name="Note 2 5 3 3 2" xfId="12024" xr:uid="{00000000-0005-0000-0000-00000D9D0000}"/>
    <cellStyle name="Note 2 5 3 3 2 2" xfId="41453" xr:uid="{00000000-0005-0000-0000-00000E9D0000}"/>
    <cellStyle name="Note 2 5 3 3 3" xfId="19125" xr:uid="{00000000-0005-0000-0000-00000F9D0000}"/>
    <cellStyle name="Note 2 5 3 3 4" xfId="26227" xr:uid="{00000000-0005-0000-0000-0000109D0000}"/>
    <cellStyle name="Note 2 5 3 3 5" xfId="33329" xr:uid="{00000000-0005-0000-0000-0000119D0000}"/>
    <cellStyle name="Note 2 5 3 3 6" xfId="41454" xr:uid="{00000000-0005-0000-0000-0000129D0000}"/>
    <cellStyle name="Note 2 5 3 4" xfId="3498" xr:uid="{00000000-0005-0000-0000-0000139D0000}"/>
    <cellStyle name="Note 2 5 3 4 2" xfId="10604" xr:uid="{00000000-0005-0000-0000-0000149D0000}"/>
    <cellStyle name="Note 2 5 3 4 3" xfId="17705" xr:uid="{00000000-0005-0000-0000-0000159D0000}"/>
    <cellStyle name="Note 2 5 3 4 4" xfId="24807" xr:uid="{00000000-0005-0000-0000-0000169D0000}"/>
    <cellStyle name="Note 2 5 3 4 5" xfId="31909" xr:uid="{00000000-0005-0000-0000-0000179D0000}"/>
    <cellStyle name="Note 2 5 3 4 6" xfId="41455" xr:uid="{00000000-0005-0000-0000-0000189D0000}"/>
    <cellStyle name="Note 2 5 3 5" xfId="7764" xr:uid="{00000000-0005-0000-0000-0000199D0000}"/>
    <cellStyle name="Note 2 5 3 6" xfId="14865" xr:uid="{00000000-0005-0000-0000-00001A9D0000}"/>
    <cellStyle name="Note 2 5 3 7" xfId="21967" xr:uid="{00000000-0005-0000-0000-00001B9D0000}"/>
    <cellStyle name="Note 2 5 3 8" xfId="29069" xr:uid="{00000000-0005-0000-0000-00001C9D0000}"/>
    <cellStyle name="Note 2 5 3 9" xfId="41456" xr:uid="{00000000-0005-0000-0000-00001D9D0000}"/>
    <cellStyle name="Note 2 5 4" xfId="798" xr:uid="{00000000-0005-0000-0000-00001E9D0000}"/>
    <cellStyle name="Note 2 5 4 2" xfId="2289" xr:uid="{00000000-0005-0000-0000-00001F9D0000}"/>
    <cellStyle name="Note 2 5 4 2 2" xfId="6557" xr:uid="{00000000-0005-0000-0000-0000209D0000}"/>
    <cellStyle name="Note 2 5 4 2 2 2" xfId="13657" xr:uid="{00000000-0005-0000-0000-0000219D0000}"/>
    <cellStyle name="Note 2 5 4 2 2 3" xfId="20758" xr:uid="{00000000-0005-0000-0000-0000229D0000}"/>
    <cellStyle name="Note 2 5 4 2 2 4" xfId="27860" xr:uid="{00000000-0005-0000-0000-0000239D0000}"/>
    <cellStyle name="Note 2 5 4 2 2 5" xfId="34962" xr:uid="{00000000-0005-0000-0000-0000249D0000}"/>
    <cellStyle name="Note 2 5 4 2 2 6" xfId="41457" xr:uid="{00000000-0005-0000-0000-0000259D0000}"/>
    <cellStyle name="Note 2 5 4 2 3" xfId="9397" xr:uid="{00000000-0005-0000-0000-0000269D0000}"/>
    <cellStyle name="Note 2 5 4 2 4" xfId="16498" xr:uid="{00000000-0005-0000-0000-0000279D0000}"/>
    <cellStyle name="Note 2 5 4 2 5" xfId="23600" xr:uid="{00000000-0005-0000-0000-0000289D0000}"/>
    <cellStyle name="Note 2 5 4 2 6" xfId="30702" xr:uid="{00000000-0005-0000-0000-0000299D0000}"/>
    <cellStyle name="Note 2 5 4 2 7" xfId="41458" xr:uid="{00000000-0005-0000-0000-00002A9D0000}"/>
    <cellStyle name="Note 2 5 4 3" xfId="5136" xr:uid="{00000000-0005-0000-0000-00002B9D0000}"/>
    <cellStyle name="Note 2 5 4 3 2" xfId="12237" xr:uid="{00000000-0005-0000-0000-00002C9D0000}"/>
    <cellStyle name="Note 2 5 4 3 2 2" xfId="41459" xr:uid="{00000000-0005-0000-0000-00002D9D0000}"/>
    <cellStyle name="Note 2 5 4 3 3" xfId="19338" xr:uid="{00000000-0005-0000-0000-00002E9D0000}"/>
    <cellStyle name="Note 2 5 4 3 4" xfId="26440" xr:uid="{00000000-0005-0000-0000-00002F9D0000}"/>
    <cellStyle name="Note 2 5 4 3 5" xfId="33542" xr:uid="{00000000-0005-0000-0000-0000309D0000}"/>
    <cellStyle name="Note 2 5 4 3 6" xfId="41460" xr:uid="{00000000-0005-0000-0000-0000319D0000}"/>
    <cellStyle name="Note 2 5 4 4" xfId="3711" xr:uid="{00000000-0005-0000-0000-0000329D0000}"/>
    <cellStyle name="Note 2 5 4 4 2" xfId="10817" xr:uid="{00000000-0005-0000-0000-0000339D0000}"/>
    <cellStyle name="Note 2 5 4 4 3" xfId="17918" xr:uid="{00000000-0005-0000-0000-0000349D0000}"/>
    <cellStyle name="Note 2 5 4 4 4" xfId="25020" xr:uid="{00000000-0005-0000-0000-0000359D0000}"/>
    <cellStyle name="Note 2 5 4 4 5" xfId="32122" xr:uid="{00000000-0005-0000-0000-0000369D0000}"/>
    <cellStyle name="Note 2 5 4 4 6" xfId="41461" xr:uid="{00000000-0005-0000-0000-0000379D0000}"/>
    <cellStyle name="Note 2 5 4 5" xfId="7977" xr:uid="{00000000-0005-0000-0000-0000389D0000}"/>
    <cellStyle name="Note 2 5 4 6" xfId="15078" xr:uid="{00000000-0005-0000-0000-0000399D0000}"/>
    <cellStyle name="Note 2 5 4 7" xfId="22180" xr:uid="{00000000-0005-0000-0000-00003A9D0000}"/>
    <cellStyle name="Note 2 5 4 8" xfId="29282" xr:uid="{00000000-0005-0000-0000-00003B9D0000}"/>
    <cellStyle name="Note 2 5 4 9" xfId="41462" xr:uid="{00000000-0005-0000-0000-00003C9D0000}"/>
    <cellStyle name="Note 2 5 5" xfId="1153" xr:uid="{00000000-0005-0000-0000-00003D9D0000}"/>
    <cellStyle name="Note 2 5 5 2" xfId="2644" xr:uid="{00000000-0005-0000-0000-00003E9D0000}"/>
    <cellStyle name="Note 2 5 5 2 2" xfId="6912" xr:uid="{00000000-0005-0000-0000-00003F9D0000}"/>
    <cellStyle name="Note 2 5 5 2 2 2" xfId="14012" xr:uid="{00000000-0005-0000-0000-0000409D0000}"/>
    <cellStyle name="Note 2 5 5 2 2 3" xfId="21113" xr:uid="{00000000-0005-0000-0000-0000419D0000}"/>
    <cellStyle name="Note 2 5 5 2 2 4" xfId="28215" xr:uid="{00000000-0005-0000-0000-0000429D0000}"/>
    <cellStyle name="Note 2 5 5 2 2 5" xfId="35317" xr:uid="{00000000-0005-0000-0000-0000439D0000}"/>
    <cellStyle name="Note 2 5 5 2 3" xfId="9752" xr:uid="{00000000-0005-0000-0000-0000449D0000}"/>
    <cellStyle name="Note 2 5 5 2 4" xfId="16853" xr:uid="{00000000-0005-0000-0000-0000459D0000}"/>
    <cellStyle name="Note 2 5 5 2 5" xfId="23955" xr:uid="{00000000-0005-0000-0000-0000469D0000}"/>
    <cellStyle name="Note 2 5 5 2 6" xfId="31057" xr:uid="{00000000-0005-0000-0000-0000479D0000}"/>
    <cellStyle name="Note 2 5 5 2 7" xfId="41463" xr:uid="{00000000-0005-0000-0000-0000489D0000}"/>
    <cellStyle name="Note 2 5 5 3" xfId="5491" xr:uid="{00000000-0005-0000-0000-0000499D0000}"/>
    <cellStyle name="Note 2 5 5 3 2" xfId="12592" xr:uid="{00000000-0005-0000-0000-00004A9D0000}"/>
    <cellStyle name="Note 2 5 5 3 3" xfId="19693" xr:uid="{00000000-0005-0000-0000-00004B9D0000}"/>
    <cellStyle name="Note 2 5 5 3 4" xfId="26795" xr:uid="{00000000-0005-0000-0000-00004C9D0000}"/>
    <cellStyle name="Note 2 5 5 3 5" xfId="33897" xr:uid="{00000000-0005-0000-0000-00004D9D0000}"/>
    <cellStyle name="Note 2 5 5 4" xfId="4066" xr:uid="{00000000-0005-0000-0000-00004E9D0000}"/>
    <cellStyle name="Note 2 5 5 4 2" xfId="11172" xr:uid="{00000000-0005-0000-0000-00004F9D0000}"/>
    <cellStyle name="Note 2 5 5 4 3" xfId="18273" xr:uid="{00000000-0005-0000-0000-0000509D0000}"/>
    <cellStyle name="Note 2 5 5 4 4" xfId="25375" xr:uid="{00000000-0005-0000-0000-0000519D0000}"/>
    <cellStyle name="Note 2 5 5 4 5" xfId="32477" xr:uid="{00000000-0005-0000-0000-0000529D0000}"/>
    <cellStyle name="Note 2 5 5 5" xfId="8332" xr:uid="{00000000-0005-0000-0000-0000539D0000}"/>
    <cellStyle name="Note 2 5 5 6" xfId="15433" xr:uid="{00000000-0005-0000-0000-0000549D0000}"/>
    <cellStyle name="Note 2 5 5 7" xfId="22535" xr:uid="{00000000-0005-0000-0000-0000559D0000}"/>
    <cellStyle name="Note 2 5 5 8" xfId="29637" xr:uid="{00000000-0005-0000-0000-0000569D0000}"/>
    <cellStyle name="Note 2 5 5 9" xfId="41464" xr:uid="{00000000-0005-0000-0000-0000579D0000}"/>
    <cellStyle name="Note 2 5 6" xfId="1366" xr:uid="{00000000-0005-0000-0000-0000589D0000}"/>
    <cellStyle name="Note 2 5 6 2" xfId="2857" xr:uid="{00000000-0005-0000-0000-0000599D0000}"/>
    <cellStyle name="Note 2 5 6 2 2" xfId="7125" xr:uid="{00000000-0005-0000-0000-00005A9D0000}"/>
    <cellStyle name="Note 2 5 6 2 2 2" xfId="14225" xr:uid="{00000000-0005-0000-0000-00005B9D0000}"/>
    <cellStyle name="Note 2 5 6 2 2 3" xfId="21326" xr:uid="{00000000-0005-0000-0000-00005C9D0000}"/>
    <cellStyle name="Note 2 5 6 2 2 4" xfId="28428" xr:uid="{00000000-0005-0000-0000-00005D9D0000}"/>
    <cellStyle name="Note 2 5 6 2 2 5" xfId="35530" xr:uid="{00000000-0005-0000-0000-00005E9D0000}"/>
    <cellStyle name="Note 2 5 6 2 3" xfId="9965" xr:uid="{00000000-0005-0000-0000-00005F9D0000}"/>
    <cellStyle name="Note 2 5 6 2 4" xfId="17066" xr:uid="{00000000-0005-0000-0000-0000609D0000}"/>
    <cellStyle name="Note 2 5 6 2 5" xfId="24168" xr:uid="{00000000-0005-0000-0000-0000619D0000}"/>
    <cellStyle name="Note 2 5 6 2 6" xfId="31270" xr:uid="{00000000-0005-0000-0000-0000629D0000}"/>
    <cellStyle name="Note 2 5 6 2 7" xfId="41465" xr:uid="{00000000-0005-0000-0000-0000639D0000}"/>
    <cellStyle name="Note 2 5 6 3" xfId="5704" xr:uid="{00000000-0005-0000-0000-0000649D0000}"/>
    <cellStyle name="Note 2 5 6 3 2" xfId="12805" xr:uid="{00000000-0005-0000-0000-0000659D0000}"/>
    <cellStyle name="Note 2 5 6 3 3" xfId="19906" xr:uid="{00000000-0005-0000-0000-0000669D0000}"/>
    <cellStyle name="Note 2 5 6 3 4" xfId="27008" xr:uid="{00000000-0005-0000-0000-0000679D0000}"/>
    <cellStyle name="Note 2 5 6 3 5" xfId="34110" xr:uid="{00000000-0005-0000-0000-0000689D0000}"/>
    <cellStyle name="Note 2 5 6 4" xfId="4279" xr:uid="{00000000-0005-0000-0000-0000699D0000}"/>
    <cellStyle name="Note 2 5 6 4 2" xfId="11385" xr:uid="{00000000-0005-0000-0000-00006A9D0000}"/>
    <cellStyle name="Note 2 5 6 4 3" xfId="18486" xr:uid="{00000000-0005-0000-0000-00006B9D0000}"/>
    <cellStyle name="Note 2 5 6 4 4" xfId="25588" xr:uid="{00000000-0005-0000-0000-00006C9D0000}"/>
    <cellStyle name="Note 2 5 6 4 5" xfId="32690" xr:uid="{00000000-0005-0000-0000-00006D9D0000}"/>
    <cellStyle name="Note 2 5 6 5" xfId="8545" xr:uid="{00000000-0005-0000-0000-00006E9D0000}"/>
    <cellStyle name="Note 2 5 6 6" xfId="15646" xr:uid="{00000000-0005-0000-0000-00006F9D0000}"/>
    <cellStyle name="Note 2 5 6 7" xfId="22748" xr:uid="{00000000-0005-0000-0000-0000709D0000}"/>
    <cellStyle name="Note 2 5 6 8" xfId="29850" xr:uid="{00000000-0005-0000-0000-0000719D0000}"/>
    <cellStyle name="Note 2 5 6 9" xfId="41466" xr:uid="{00000000-0005-0000-0000-0000729D0000}"/>
    <cellStyle name="Note 2 5 7" xfId="1650" xr:uid="{00000000-0005-0000-0000-0000739D0000}"/>
    <cellStyle name="Note 2 5 7 2" xfId="5918" xr:uid="{00000000-0005-0000-0000-0000749D0000}"/>
    <cellStyle name="Note 2 5 7 2 2" xfId="13018" xr:uid="{00000000-0005-0000-0000-0000759D0000}"/>
    <cellStyle name="Note 2 5 7 2 3" xfId="20119" xr:uid="{00000000-0005-0000-0000-0000769D0000}"/>
    <cellStyle name="Note 2 5 7 2 4" xfId="27221" xr:uid="{00000000-0005-0000-0000-0000779D0000}"/>
    <cellStyle name="Note 2 5 7 2 5" xfId="34323" xr:uid="{00000000-0005-0000-0000-0000789D0000}"/>
    <cellStyle name="Note 2 5 7 3" xfId="8758" xr:uid="{00000000-0005-0000-0000-0000799D0000}"/>
    <cellStyle name="Note 2 5 7 4" xfId="15859" xr:uid="{00000000-0005-0000-0000-00007A9D0000}"/>
    <cellStyle name="Note 2 5 7 5" xfId="22961" xr:uid="{00000000-0005-0000-0000-00007B9D0000}"/>
    <cellStyle name="Note 2 5 7 6" xfId="30063" xr:uid="{00000000-0005-0000-0000-00007C9D0000}"/>
    <cellStyle name="Note 2 5 7 7" xfId="41467" xr:uid="{00000000-0005-0000-0000-00007D9D0000}"/>
    <cellStyle name="Note 2 5 8" xfId="4497" xr:uid="{00000000-0005-0000-0000-00007E9D0000}"/>
    <cellStyle name="Note 2 5 8 2" xfId="11598" xr:uid="{00000000-0005-0000-0000-00007F9D0000}"/>
    <cellStyle name="Note 2 5 8 3" xfId="18699" xr:uid="{00000000-0005-0000-0000-0000809D0000}"/>
    <cellStyle name="Note 2 5 8 4" xfId="25801" xr:uid="{00000000-0005-0000-0000-0000819D0000}"/>
    <cellStyle name="Note 2 5 8 5" xfId="32903" xr:uid="{00000000-0005-0000-0000-0000829D0000}"/>
    <cellStyle name="Note 2 5 9" xfId="3072" xr:uid="{00000000-0005-0000-0000-0000839D0000}"/>
    <cellStyle name="Note 2 5 9 2" xfId="10178" xr:uid="{00000000-0005-0000-0000-0000849D0000}"/>
    <cellStyle name="Note 2 5 9 3" xfId="17279" xr:uid="{00000000-0005-0000-0000-0000859D0000}"/>
    <cellStyle name="Note 2 5 9 4" xfId="24381" xr:uid="{00000000-0005-0000-0000-0000869D0000}"/>
    <cellStyle name="Note 2 5 9 5" xfId="31483" xr:uid="{00000000-0005-0000-0000-0000879D0000}"/>
    <cellStyle name="Note 2 6" xfId="301" xr:uid="{00000000-0005-0000-0000-0000889D0000}"/>
    <cellStyle name="Note 2 6 10" xfId="41468" xr:uid="{00000000-0005-0000-0000-0000899D0000}"/>
    <cellStyle name="Note 2 6 2" xfId="1082" xr:uid="{00000000-0005-0000-0000-00008A9D0000}"/>
    <cellStyle name="Note 2 6 2 2" xfId="2573" xr:uid="{00000000-0005-0000-0000-00008B9D0000}"/>
    <cellStyle name="Note 2 6 2 2 2" xfId="6841" xr:uid="{00000000-0005-0000-0000-00008C9D0000}"/>
    <cellStyle name="Note 2 6 2 2 2 2" xfId="13941" xr:uid="{00000000-0005-0000-0000-00008D9D0000}"/>
    <cellStyle name="Note 2 6 2 2 2 3" xfId="21042" xr:uid="{00000000-0005-0000-0000-00008E9D0000}"/>
    <cellStyle name="Note 2 6 2 2 2 4" xfId="28144" xr:uid="{00000000-0005-0000-0000-00008F9D0000}"/>
    <cellStyle name="Note 2 6 2 2 2 5" xfId="35246" xr:uid="{00000000-0005-0000-0000-0000909D0000}"/>
    <cellStyle name="Note 2 6 2 2 2 6" xfId="41469" xr:uid="{00000000-0005-0000-0000-0000919D0000}"/>
    <cellStyle name="Note 2 6 2 2 3" xfId="9681" xr:uid="{00000000-0005-0000-0000-0000929D0000}"/>
    <cellStyle name="Note 2 6 2 2 4" xfId="16782" xr:uid="{00000000-0005-0000-0000-0000939D0000}"/>
    <cellStyle name="Note 2 6 2 2 5" xfId="23884" xr:uid="{00000000-0005-0000-0000-0000949D0000}"/>
    <cellStyle name="Note 2 6 2 2 6" xfId="30986" xr:uid="{00000000-0005-0000-0000-0000959D0000}"/>
    <cellStyle name="Note 2 6 2 2 7" xfId="41470" xr:uid="{00000000-0005-0000-0000-0000969D0000}"/>
    <cellStyle name="Note 2 6 2 3" xfId="5420" xr:uid="{00000000-0005-0000-0000-0000979D0000}"/>
    <cellStyle name="Note 2 6 2 3 2" xfId="12521" xr:uid="{00000000-0005-0000-0000-0000989D0000}"/>
    <cellStyle name="Note 2 6 2 3 2 2" xfId="41471" xr:uid="{00000000-0005-0000-0000-0000999D0000}"/>
    <cellStyle name="Note 2 6 2 3 3" xfId="19622" xr:uid="{00000000-0005-0000-0000-00009A9D0000}"/>
    <cellStyle name="Note 2 6 2 3 4" xfId="26724" xr:uid="{00000000-0005-0000-0000-00009B9D0000}"/>
    <cellStyle name="Note 2 6 2 3 5" xfId="33826" xr:uid="{00000000-0005-0000-0000-00009C9D0000}"/>
    <cellStyle name="Note 2 6 2 3 6" xfId="41472" xr:uid="{00000000-0005-0000-0000-00009D9D0000}"/>
    <cellStyle name="Note 2 6 2 4" xfId="3995" xr:uid="{00000000-0005-0000-0000-00009E9D0000}"/>
    <cellStyle name="Note 2 6 2 4 2" xfId="11101" xr:uid="{00000000-0005-0000-0000-00009F9D0000}"/>
    <cellStyle name="Note 2 6 2 4 3" xfId="18202" xr:uid="{00000000-0005-0000-0000-0000A09D0000}"/>
    <cellStyle name="Note 2 6 2 4 4" xfId="25304" xr:uid="{00000000-0005-0000-0000-0000A19D0000}"/>
    <cellStyle name="Note 2 6 2 4 5" xfId="32406" xr:uid="{00000000-0005-0000-0000-0000A29D0000}"/>
    <cellStyle name="Note 2 6 2 4 6" xfId="41473" xr:uid="{00000000-0005-0000-0000-0000A39D0000}"/>
    <cellStyle name="Note 2 6 2 5" xfId="8261" xr:uid="{00000000-0005-0000-0000-0000A49D0000}"/>
    <cellStyle name="Note 2 6 2 6" xfId="15362" xr:uid="{00000000-0005-0000-0000-0000A59D0000}"/>
    <cellStyle name="Note 2 6 2 7" xfId="22464" xr:uid="{00000000-0005-0000-0000-0000A69D0000}"/>
    <cellStyle name="Note 2 6 2 8" xfId="29566" xr:uid="{00000000-0005-0000-0000-0000A79D0000}"/>
    <cellStyle name="Note 2 6 2 9" xfId="41474" xr:uid="{00000000-0005-0000-0000-0000A89D0000}"/>
    <cellStyle name="Note 2 6 3" xfId="1792" xr:uid="{00000000-0005-0000-0000-0000A99D0000}"/>
    <cellStyle name="Note 2 6 3 2" xfId="6060" xr:uid="{00000000-0005-0000-0000-0000AA9D0000}"/>
    <cellStyle name="Note 2 6 3 2 2" xfId="13160" xr:uid="{00000000-0005-0000-0000-0000AB9D0000}"/>
    <cellStyle name="Note 2 6 3 2 2 2" xfId="41475" xr:uid="{00000000-0005-0000-0000-0000AC9D0000}"/>
    <cellStyle name="Note 2 6 3 2 3" xfId="20261" xr:uid="{00000000-0005-0000-0000-0000AD9D0000}"/>
    <cellStyle name="Note 2 6 3 2 4" xfId="27363" xr:uid="{00000000-0005-0000-0000-0000AE9D0000}"/>
    <cellStyle name="Note 2 6 3 2 5" xfId="34465" xr:uid="{00000000-0005-0000-0000-0000AF9D0000}"/>
    <cellStyle name="Note 2 6 3 2 6" xfId="41476" xr:uid="{00000000-0005-0000-0000-0000B09D0000}"/>
    <cellStyle name="Note 2 6 3 3" xfId="8900" xr:uid="{00000000-0005-0000-0000-0000B19D0000}"/>
    <cellStyle name="Note 2 6 3 3 2" xfId="41477" xr:uid="{00000000-0005-0000-0000-0000B29D0000}"/>
    <cellStyle name="Note 2 6 3 3 3" xfId="41478" xr:uid="{00000000-0005-0000-0000-0000B39D0000}"/>
    <cellStyle name="Note 2 6 3 4" xfId="16001" xr:uid="{00000000-0005-0000-0000-0000B49D0000}"/>
    <cellStyle name="Note 2 6 3 4 2" xfId="41479" xr:uid="{00000000-0005-0000-0000-0000B59D0000}"/>
    <cellStyle name="Note 2 6 3 5" xfId="23103" xr:uid="{00000000-0005-0000-0000-0000B69D0000}"/>
    <cellStyle name="Note 2 6 3 6" xfId="30205" xr:uid="{00000000-0005-0000-0000-0000B79D0000}"/>
    <cellStyle name="Note 2 6 3 7" xfId="41480" xr:uid="{00000000-0005-0000-0000-0000B89D0000}"/>
    <cellStyle name="Note 2 6 4" xfId="4639" xr:uid="{00000000-0005-0000-0000-0000B99D0000}"/>
    <cellStyle name="Note 2 6 4 2" xfId="11740" xr:uid="{00000000-0005-0000-0000-0000BA9D0000}"/>
    <cellStyle name="Note 2 6 4 2 2" xfId="41481" xr:uid="{00000000-0005-0000-0000-0000BB9D0000}"/>
    <cellStyle name="Note 2 6 4 2 3" xfId="41482" xr:uid="{00000000-0005-0000-0000-0000BC9D0000}"/>
    <cellStyle name="Note 2 6 4 3" xfId="18841" xr:uid="{00000000-0005-0000-0000-0000BD9D0000}"/>
    <cellStyle name="Note 2 6 4 3 2" xfId="41483" xr:uid="{00000000-0005-0000-0000-0000BE9D0000}"/>
    <cellStyle name="Note 2 6 4 3 3" xfId="41484" xr:uid="{00000000-0005-0000-0000-0000BF9D0000}"/>
    <cellStyle name="Note 2 6 4 4" xfId="25943" xr:uid="{00000000-0005-0000-0000-0000C09D0000}"/>
    <cellStyle name="Note 2 6 4 4 2" xfId="41485" xr:uid="{00000000-0005-0000-0000-0000C19D0000}"/>
    <cellStyle name="Note 2 6 4 5" xfId="33045" xr:uid="{00000000-0005-0000-0000-0000C29D0000}"/>
    <cellStyle name="Note 2 6 4 6" xfId="41486" xr:uid="{00000000-0005-0000-0000-0000C39D0000}"/>
    <cellStyle name="Note 2 6 5" xfId="3214" xr:uid="{00000000-0005-0000-0000-0000C49D0000}"/>
    <cellStyle name="Note 2 6 5 2" xfId="10320" xr:uid="{00000000-0005-0000-0000-0000C59D0000}"/>
    <cellStyle name="Note 2 6 5 2 2" xfId="41487" xr:uid="{00000000-0005-0000-0000-0000C69D0000}"/>
    <cellStyle name="Note 2 6 5 3" xfId="17421" xr:uid="{00000000-0005-0000-0000-0000C79D0000}"/>
    <cellStyle name="Note 2 6 5 4" xfId="24523" xr:uid="{00000000-0005-0000-0000-0000C89D0000}"/>
    <cellStyle name="Note 2 6 5 5" xfId="31625" xr:uid="{00000000-0005-0000-0000-0000C99D0000}"/>
    <cellStyle name="Note 2 6 5 6" xfId="41488" xr:uid="{00000000-0005-0000-0000-0000CA9D0000}"/>
    <cellStyle name="Note 2 6 6" xfId="7480" xr:uid="{00000000-0005-0000-0000-0000CB9D0000}"/>
    <cellStyle name="Note 2 6 6 2" xfId="41489" xr:uid="{00000000-0005-0000-0000-0000CC9D0000}"/>
    <cellStyle name="Note 2 6 6 3" xfId="41490" xr:uid="{00000000-0005-0000-0000-0000CD9D0000}"/>
    <cellStyle name="Note 2 6 7" xfId="14581" xr:uid="{00000000-0005-0000-0000-0000CE9D0000}"/>
    <cellStyle name="Note 2 6 7 2" xfId="41491" xr:uid="{00000000-0005-0000-0000-0000CF9D0000}"/>
    <cellStyle name="Note 2 6 8" xfId="21683" xr:uid="{00000000-0005-0000-0000-0000D09D0000}"/>
    <cellStyle name="Note 2 6 9" xfId="28785" xr:uid="{00000000-0005-0000-0000-0000D19D0000}"/>
    <cellStyle name="Note 2 7" xfId="514" xr:uid="{00000000-0005-0000-0000-0000D29D0000}"/>
    <cellStyle name="Note 2 7 2" xfId="2005" xr:uid="{00000000-0005-0000-0000-0000D39D0000}"/>
    <cellStyle name="Note 2 7 2 2" xfId="6273" xr:uid="{00000000-0005-0000-0000-0000D49D0000}"/>
    <cellStyle name="Note 2 7 2 2 2" xfId="13373" xr:uid="{00000000-0005-0000-0000-0000D59D0000}"/>
    <cellStyle name="Note 2 7 2 2 3" xfId="20474" xr:uid="{00000000-0005-0000-0000-0000D69D0000}"/>
    <cellStyle name="Note 2 7 2 2 4" xfId="27576" xr:uid="{00000000-0005-0000-0000-0000D79D0000}"/>
    <cellStyle name="Note 2 7 2 2 5" xfId="34678" xr:uid="{00000000-0005-0000-0000-0000D89D0000}"/>
    <cellStyle name="Note 2 7 2 2 6" xfId="41492" xr:uid="{00000000-0005-0000-0000-0000D99D0000}"/>
    <cellStyle name="Note 2 7 2 3" xfId="9113" xr:uid="{00000000-0005-0000-0000-0000DA9D0000}"/>
    <cellStyle name="Note 2 7 2 4" xfId="16214" xr:uid="{00000000-0005-0000-0000-0000DB9D0000}"/>
    <cellStyle name="Note 2 7 2 5" xfId="23316" xr:uid="{00000000-0005-0000-0000-0000DC9D0000}"/>
    <cellStyle name="Note 2 7 2 6" xfId="30418" xr:uid="{00000000-0005-0000-0000-0000DD9D0000}"/>
    <cellStyle name="Note 2 7 2 7" xfId="41493" xr:uid="{00000000-0005-0000-0000-0000DE9D0000}"/>
    <cellStyle name="Note 2 7 3" xfId="4852" xr:uid="{00000000-0005-0000-0000-0000DF9D0000}"/>
    <cellStyle name="Note 2 7 3 2" xfId="11953" xr:uid="{00000000-0005-0000-0000-0000E09D0000}"/>
    <cellStyle name="Note 2 7 3 2 2" xfId="41494" xr:uid="{00000000-0005-0000-0000-0000E19D0000}"/>
    <cellStyle name="Note 2 7 3 3" xfId="19054" xr:uid="{00000000-0005-0000-0000-0000E29D0000}"/>
    <cellStyle name="Note 2 7 3 4" xfId="26156" xr:uid="{00000000-0005-0000-0000-0000E39D0000}"/>
    <cellStyle name="Note 2 7 3 5" xfId="33258" xr:uid="{00000000-0005-0000-0000-0000E49D0000}"/>
    <cellStyle name="Note 2 7 3 6" xfId="41495" xr:uid="{00000000-0005-0000-0000-0000E59D0000}"/>
    <cellStyle name="Note 2 7 4" xfId="3427" xr:uid="{00000000-0005-0000-0000-0000E69D0000}"/>
    <cellStyle name="Note 2 7 4 2" xfId="10533" xr:uid="{00000000-0005-0000-0000-0000E79D0000}"/>
    <cellStyle name="Note 2 7 4 3" xfId="17634" xr:uid="{00000000-0005-0000-0000-0000E89D0000}"/>
    <cellStyle name="Note 2 7 4 4" xfId="24736" xr:uid="{00000000-0005-0000-0000-0000E99D0000}"/>
    <cellStyle name="Note 2 7 4 5" xfId="31838" xr:uid="{00000000-0005-0000-0000-0000EA9D0000}"/>
    <cellStyle name="Note 2 7 4 6" xfId="41496" xr:uid="{00000000-0005-0000-0000-0000EB9D0000}"/>
    <cellStyle name="Note 2 7 5" xfId="7693" xr:uid="{00000000-0005-0000-0000-0000EC9D0000}"/>
    <cellStyle name="Note 2 7 6" xfId="14794" xr:uid="{00000000-0005-0000-0000-0000ED9D0000}"/>
    <cellStyle name="Note 2 7 7" xfId="21896" xr:uid="{00000000-0005-0000-0000-0000EE9D0000}"/>
    <cellStyle name="Note 2 7 8" xfId="28998" xr:uid="{00000000-0005-0000-0000-0000EF9D0000}"/>
    <cellStyle name="Note 2 7 9" xfId="41497" xr:uid="{00000000-0005-0000-0000-0000F09D0000}"/>
    <cellStyle name="Note 2 8" xfId="727" xr:uid="{00000000-0005-0000-0000-0000F19D0000}"/>
    <cellStyle name="Note 2 8 2" xfId="2218" xr:uid="{00000000-0005-0000-0000-0000F29D0000}"/>
    <cellStyle name="Note 2 8 2 2" xfId="6486" xr:uid="{00000000-0005-0000-0000-0000F39D0000}"/>
    <cellStyle name="Note 2 8 2 2 2" xfId="13586" xr:uid="{00000000-0005-0000-0000-0000F49D0000}"/>
    <cellStyle name="Note 2 8 2 2 3" xfId="20687" xr:uid="{00000000-0005-0000-0000-0000F59D0000}"/>
    <cellStyle name="Note 2 8 2 2 4" xfId="27789" xr:uid="{00000000-0005-0000-0000-0000F69D0000}"/>
    <cellStyle name="Note 2 8 2 2 5" xfId="34891" xr:uid="{00000000-0005-0000-0000-0000F79D0000}"/>
    <cellStyle name="Note 2 8 2 2 6" xfId="41498" xr:uid="{00000000-0005-0000-0000-0000F89D0000}"/>
    <cellStyle name="Note 2 8 2 3" xfId="9326" xr:uid="{00000000-0005-0000-0000-0000F99D0000}"/>
    <cellStyle name="Note 2 8 2 4" xfId="16427" xr:uid="{00000000-0005-0000-0000-0000FA9D0000}"/>
    <cellStyle name="Note 2 8 2 5" xfId="23529" xr:uid="{00000000-0005-0000-0000-0000FB9D0000}"/>
    <cellStyle name="Note 2 8 2 6" xfId="30631" xr:uid="{00000000-0005-0000-0000-0000FC9D0000}"/>
    <cellStyle name="Note 2 8 2 7" xfId="41499" xr:uid="{00000000-0005-0000-0000-0000FD9D0000}"/>
    <cellStyle name="Note 2 8 3" xfId="5065" xr:uid="{00000000-0005-0000-0000-0000FE9D0000}"/>
    <cellStyle name="Note 2 8 3 2" xfId="12166" xr:uid="{00000000-0005-0000-0000-0000FF9D0000}"/>
    <cellStyle name="Note 2 8 3 2 2" xfId="41500" xr:uid="{00000000-0005-0000-0000-0000009E0000}"/>
    <cellStyle name="Note 2 8 3 3" xfId="19267" xr:uid="{00000000-0005-0000-0000-0000019E0000}"/>
    <cellStyle name="Note 2 8 3 4" xfId="26369" xr:uid="{00000000-0005-0000-0000-0000029E0000}"/>
    <cellStyle name="Note 2 8 3 5" xfId="33471" xr:uid="{00000000-0005-0000-0000-0000039E0000}"/>
    <cellStyle name="Note 2 8 3 6" xfId="41501" xr:uid="{00000000-0005-0000-0000-0000049E0000}"/>
    <cellStyle name="Note 2 8 4" xfId="3640" xr:uid="{00000000-0005-0000-0000-0000059E0000}"/>
    <cellStyle name="Note 2 8 4 2" xfId="10746" xr:uid="{00000000-0005-0000-0000-0000069E0000}"/>
    <cellStyle name="Note 2 8 4 3" xfId="17847" xr:uid="{00000000-0005-0000-0000-0000079E0000}"/>
    <cellStyle name="Note 2 8 4 4" xfId="24949" xr:uid="{00000000-0005-0000-0000-0000089E0000}"/>
    <cellStyle name="Note 2 8 4 5" xfId="32051" xr:uid="{00000000-0005-0000-0000-0000099E0000}"/>
    <cellStyle name="Note 2 8 4 6" xfId="41502" xr:uid="{00000000-0005-0000-0000-00000A9E0000}"/>
    <cellStyle name="Note 2 8 5" xfId="7906" xr:uid="{00000000-0005-0000-0000-00000B9E0000}"/>
    <cellStyle name="Note 2 8 6" xfId="15007" xr:uid="{00000000-0005-0000-0000-00000C9E0000}"/>
    <cellStyle name="Note 2 8 7" xfId="22109" xr:uid="{00000000-0005-0000-0000-00000D9E0000}"/>
    <cellStyle name="Note 2 8 8" xfId="29211" xr:uid="{00000000-0005-0000-0000-00000E9E0000}"/>
    <cellStyle name="Note 2 8 9" xfId="41503" xr:uid="{00000000-0005-0000-0000-00000F9E0000}"/>
    <cellStyle name="Note 2 9" xfId="940" xr:uid="{00000000-0005-0000-0000-0000109E0000}"/>
    <cellStyle name="Note 2 9 2" xfId="2431" xr:uid="{00000000-0005-0000-0000-0000119E0000}"/>
    <cellStyle name="Note 2 9 2 2" xfId="6699" xr:uid="{00000000-0005-0000-0000-0000129E0000}"/>
    <cellStyle name="Note 2 9 2 2 2" xfId="13799" xr:uid="{00000000-0005-0000-0000-0000139E0000}"/>
    <cellStyle name="Note 2 9 2 2 3" xfId="20900" xr:uid="{00000000-0005-0000-0000-0000149E0000}"/>
    <cellStyle name="Note 2 9 2 2 4" xfId="28002" xr:uid="{00000000-0005-0000-0000-0000159E0000}"/>
    <cellStyle name="Note 2 9 2 2 5" xfId="35104" xr:uid="{00000000-0005-0000-0000-0000169E0000}"/>
    <cellStyle name="Note 2 9 2 2 6" xfId="41504" xr:uid="{00000000-0005-0000-0000-0000179E0000}"/>
    <cellStyle name="Note 2 9 2 3" xfId="9539" xr:uid="{00000000-0005-0000-0000-0000189E0000}"/>
    <cellStyle name="Note 2 9 2 4" xfId="16640" xr:uid="{00000000-0005-0000-0000-0000199E0000}"/>
    <cellStyle name="Note 2 9 2 5" xfId="23742" xr:uid="{00000000-0005-0000-0000-00001A9E0000}"/>
    <cellStyle name="Note 2 9 2 6" xfId="30844" xr:uid="{00000000-0005-0000-0000-00001B9E0000}"/>
    <cellStyle name="Note 2 9 2 7" xfId="41505" xr:uid="{00000000-0005-0000-0000-00001C9E0000}"/>
    <cellStyle name="Note 2 9 3" xfId="5278" xr:uid="{00000000-0005-0000-0000-00001D9E0000}"/>
    <cellStyle name="Note 2 9 3 2" xfId="12379" xr:uid="{00000000-0005-0000-0000-00001E9E0000}"/>
    <cellStyle name="Note 2 9 3 2 2" xfId="41506" xr:uid="{00000000-0005-0000-0000-00001F9E0000}"/>
    <cellStyle name="Note 2 9 3 3" xfId="19480" xr:uid="{00000000-0005-0000-0000-0000209E0000}"/>
    <cellStyle name="Note 2 9 3 4" xfId="26582" xr:uid="{00000000-0005-0000-0000-0000219E0000}"/>
    <cellStyle name="Note 2 9 3 5" xfId="33684" xr:uid="{00000000-0005-0000-0000-0000229E0000}"/>
    <cellStyle name="Note 2 9 3 6" xfId="41507" xr:uid="{00000000-0005-0000-0000-0000239E0000}"/>
    <cellStyle name="Note 2 9 4" xfId="3853" xr:uid="{00000000-0005-0000-0000-0000249E0000}"/>
    <cellStyle name="Note 2 9 4 2" xfId="10959" xr:uid="{00000000-0005-0000-0000-0000259E0000}"/>
    <cellStyle name="Note 2 9 4 3" xfId="18060" xr:uid="{00000000-0005-0000-0000-0000269E0000}"/>
    <cellStyle name="Note 2 9 4 4" xfId="25162" xr:uid="{00000000-0005-0000-0000-0000279E0000}"/>
    <cellStyle name="Note 2 9 4 5" xfId="32264" xr:uid="{00000000-0005-0000-0000-0000289E0000}"/>
    <cellStyle name="Note 2 9 4 6" xfId="41508" xr:uid="{00000000-0005-0000-0000-0000299E0000}"/>
    <cellStyle name="Note 2 9 5" xfId="8119" xr:uid="{00000000-0005-0000-0000-00002A9E0000}"/>
    <cellStyle name="Note 2 9 6" xfId="15220" xr:uid="{00000000-0005-0000-0000-00002B9E0000}"/>
    <cellStyle name="Note 2 9 7" xfId="22322" xr:uid="{00000000-0005-0000-0000-00002C9E0000}"/>
    <cellStyle name="Note 2 9 8" xfId="29424" xr:uid="{00000000-0005-0000-0000-00002D9E0000}"/>
    <cellStyle name="Note 2 9 9" xfId="41509" xr:uid="{00000000-0005-0000-0000-00002E9E0000}"/>
    <cellStyle name="Note 3" xfId="117" xr:uid="{00000000-0005-0000-0000-00002F9E0000}"/>
    <cellStyle name="Note 3 10" xfId="4457" xr:uid="{00000000-0005-0000-0000-0000309E0000}"/>
    <cellStyle name="Note 3 10 2" xfId="11558" xr:uid="{00000000-0005-0000-0000-0000319E0000}"/>
    <cellStyle name="Note 3 10 3" xfId="18659" xr:uid="{00000000-0005-0000-0000-0000329E0000}"/>
    <cellStyle name="Note 3 10 4" xfId="25761" xr:uid="{00000000-0005-0000-0000-0000339E0000}"/>
    <cellStyle name="Note 3 10 5" xfId="32863" xr:uid="{00000000-0005-0000-0000-0000349E0000}"/>
    <cellStyle name="Note 3 10 6" xfId="41510" xr:uid="{00000000-0005-0000-0000-0000359E0000}"/>
    <cellStyle name="Note 3 11" xfId="3032" xr:uid="{00000000-0005-0000-0000-0000369E0000}"/>
    <cellStyle name="Note 3 11 2" xfId="10138" xr:uid="{00000000-0005-0000-0000-0000379E0000}"/>
    <cellStyle name="Note 3 11 3" xfId="17239" xr:uid="{00000000-0005-0000-0000-0000389E0000}"/>
    <cellStyle name="Note 3 11 4" xfId="24341" xr:uid="{00000000-0005-0000-0000-0000399E0000}"/>
    <cellStyle name="Note 3 11 5" xfId="31443" xr:uid="{00000000-0005-0000-0000-00003A9E0000}"/>
    <cellStyle name="Note 3 12" xfId="7298" xr:uid="{00000000-0005-0000-0000-00003B9E0000}"/>
    <cellStyle name="Note 3 13" xfId="14399" xr:uid="{00000000-0005-0000-0000-00003C9E0000}"/>
    <cellStyle name="Note 3 14" xfId="21501" xr:uid="{00000000-0005-0000-0000-00003D9E0000}"/>
    <cellStyle name="Note 3 15" xfId="28603" xr:uid="{00000000-0005-0000-0000-00003E9E0000}"/>
    <cellStyle name="Note 3 16" xfId="35705" xr:uid="{00000000-0005-0000-0000-00003F9E0000}"/>
    <cellStyle name="Note 3 17" xfId="41511" xr:uid="{00000000-0005-0000-0000-0000409E0000}"/>
    <cellStyle name="Note 3 18" xfId="41512" xr:uid="{00000000-0005-0000-0000-0000419E0000}"/>
    <cellStyle name="Note 3 2" xfId="261" xr:uid="{00000000-0005-0000-0000-0000429E0000}"/>
    <cellStyle name="Note 3 2 10" xfId="7440" xr:uid="{00000000-0005-0000-0000-0000439E0000}"/>
    <cellStyle name="Note 3 2 11" xfId="14541" xr:uid="{00000000-0005-0000-0000-0000449E0000}"/>
    <cellStyle name="Note 3 2 12" xfId="21643" xr:uid="{00000000-0005-0000-0000-0000459E0000}"/>
    <cellStyle name="Note 3 2 13" xfId="28745" xr:uid="{00000000-0005-0000-0000-0000469E0000}"/>
    <cellStyle name="Note 3 2 14" xfId="35847" xr:uid="{00000000-0005-0000-0000-0000479E0000}"/>
    <cellStyle name="Note 3 2 15" xfId="41513" xr:uid="{00000000-0005-0000-0000-0000489E0000}"/>
    <cellStyle name="Note 3 2 2" xfId="474" xr:uid="{00000000-0005-0000-0000-0000499E0000}"/>
    <cellStyle name="Note 3 2 2 10" xfId="41514" xr:uid="{00000000-0005-0000-0000-00004A9E0000}"/>
    <cellStyle name="Note 3 2 2 2" xfId="1255" xr:uid="{00000000-0005-0000-0000-00004B9E0000}"/>
    <cellStyle name="Note 3 2 2 2 2" xfId="2746" xr:uid="{00000000-0005-0000-0000-00004C9E0000}"/>
    <cellStyle name="Note 3 2 2 2 2 2" xfId="7014" xr:uid="{00000000-0005-0000-0000-00004D9E0000}"/>
    <cellStyle name="Note 3 2 2 2 2 2 2" xfId="14114" xr:uid="{00000000-0005-0000-0000-00004E9E0000}"/>
    <cellStyle name="Note 3 2 2 2 2 2 3" xfId="21215" xr:uid="{00000000-0005-0000-0000-00004F9E0000}"/>
    <cellStyle name="Note 3 2 2 2 2 2 4" xfId="28317" xr:uid="{00000000-0005-0000-0000-0000509E0000}"/>
    <cellStyle name="Note 3 2 2 2 2 2 5" xfId="35419" xr:uid="{00000000-0005-0000-0000-0000519E0000}"/>
    <cellStyle name="Note 3 2 2 2 2 3" xfId="9854" xr:uid="{00000000-0005-0000-0000-0000529E0000}"/>
    <cellStyle name="Note 3 2 2 2 2 4" xfId="16955" xr:uid="{00000000-0005-0000-0000-0000539E0000}"/>
    <cellStyle name="Note 3 2 2 2 2 5" xfId="24057" xr:uid="{00000000-0005-0000-0000-0000549E0000}"/>
    <cellStyle name="Note 3 2 2 2 2 6" xfId="31159" xr:uid="{00000000-0005-0000-0000-0000559E0000}"/>
    <cellStyle name="Note 3 2 2 2 2 7" xfId="41515" xr:uid="{00000000-0005-0000-0000-0000569E0000}"/>
    <cellStyle name="Note 3 2 2 2 3" xfId="5593" xr:uid="{00000000-0005-0000-0000-0000579E0000}"/>
    <cellStyle name="Note 3 2 2 2 3 2" xfId="12694" xr:uid="{00000000-0005-0000-0000-0000589E0000}"/>
    <cellStyle name="Note 3 2 2 2 3 3" xfId="19795" xr:uid="{00000000-0005-0000-0000-0000599E0000}"/>
    <cellStyle name="Note 3 2 2 2 3 4" xfId="26897" xr:uid="{00000000-0005-0000-0000-00005A9E0000}"/>
    <cellStyle name="Note 3 2 2 2 3 5" xfId="33999" xr:uid="{00000000-0005-0000-0000-00005B9E0000}"/>
    <cellStyle name="Note 3 2 2 2 4" xfId="4168" xr:uid="{00000000-0005-0000-0000-00005C9E0000}"/>
    <cellStyle name="Note 3 2 2 2 4 2" xfId="11274" xr:uid="{00000000-0005-0000-0000-00005D9E0000}"/>
    <cellStyle name="Note 3 2 2 2 4 3" xfId="18375" xr:uid="{00000000-0005-0000-0000-00005E9E0000}"/>
    <cellStyle name="Note 3 2 2 2 4 4" xfId="25477" xr:uid="{00000000-0005-0000-0000-00005F9E0000}"/>
    <cellStyle name="Note 3 2 2 2 4 5" xfId="32579" xr:uid="{00000000-0005-0000-0000-0000609E0000}"/>
    <cellStyle name="Note 3 2 2 2 5" xfId="8434" xr:uid="{00000000-0005-0000-0000-0000619E0000}"/>
    <cellStyle name="Note 3 2 2 2 6" xfId="15535" xr:uid="{00000000-0005-0000-0000-0000629E0000}"/>
    <cellStyle name="Note 3 2 2 2 7" xfId="22637" xr:uid="{00000000-0005-0000-0000-0000639E0000}"/>
    <cellStyle name="Note 3 2 2 2 8" xfId="29739" xr:uid="{00000000-0005-0000-0000-0000649E0000}"/>
    <cellStyle name="Note 3 2 2 2 9" xfId="41516" xr:uid="{00000000-0005-0000-0000-0000659E0000}"/>
    <cellStyle name="Note 3 2 2 3" xfId="1965" xr:uid="{00000000-0005-0000-0000-0000669E0000}"/>
    <cellStyle name="Note 3 2 2 3 2" xfId="6233" xr:uid="{00000000-0005-0000-0000-0000679E0000}"/>
    <cellStyle name="Note 3 2 2 3 2 2" xfId="13333" xr:uid="{00000000-0005-0000-0000-0000689E0000}"/>
    <cellStyle name="Note 3 2 2 3 2 3" xfId="20434" xr:uid="{00000000-0005-0000-0000-0000699E0000}"/>
    <cellStyle name="Note 3 2 2 3 2 4" xfId="27536" xr:uid="{00000000-0005-0000-0000-00006A9E0000}"/>
    <cellStyle name="Note 3 2 2 3 2 5" xfId="34638" xr:uid="{00000000-0005-0000-0000-00006B9E0000}"/>
    <cellStyle name="Note 3 2 2 3 2 6" xfId="41517" xr:uid="{00000000-0005-0000-0000-00006C9E0000}"/>
    <cellStyle name="Note 3 2 2 3 3" xfId="9073" xr:uid="{00000000-0005-0000-0000-00006D9E0000}"/>
    <cellStyle name="Note 3 2 2 3 4" xfId="16174" xr:uid="{00000000-0005-0000-0000-00006E9E0000}"/>
    <cellStyle name="Note 3 2 2 3 5" xfId="23276" xr:uid="{00000000-0005-0000-0000-00006F9E0000}"/>
    <cellStyle name="Note 3 2 2 3 6" xfId="30378" xr:uid="{00000000-0005-0000-0000-0000709E0000}"/>
    <cellStyle name="Note 3 2 2 3 7" xfId="41518" xr:uid="{00000000-0005-0000-0000-0000719E0000}"/>
    <cellStyle name="Note 3 2 2 4" xfId="4812" xr:uid="{00000000-0005-0000-0000-0000729E0000}"/>
    <cellStyle name="Note 3 2 2 4 2" xfId="11913" xr:uid="{00000000-0005-0000-0000-0000739E0000}"/>
    <cellStyle name="Note 3 2 2 4 3" xfId="19014" xr:uid="{00000000-0005-0000-0000-0000749E0000}"/>
    <cellStyle name="Note 3 2 2 4 4" xfId="26116" xr:uid="{00000000-0005-0000-0000-0000759E0000}"/>
    <cellStyle name="Note 3 2 2 4 5" xfId="33218" xr:uid="{00000000-0005-0000-0000-0000769E0000}"/>
    <cellStyle name="Note 3 2 2 4 6" xfId="41519" xr:uid="{00000000-0005-0000-0000-0000779E0000}"/>
    <cellStyle name="Note 3 2 2 5" xfId="3387" xr:uid="{00000000-0005-0000-0000-0000789E0000}"/>
    <cellStyle name="Note 3 2 2 5 2" xfId="10493" xr:uid="{00000000-0005-0000-0000-0000799E0000}"/>
    <cellStyle name="Note 3 2 2 5 3" xfId="17594" xr:uid="{00000000-0005-0000-0000-00007A9E0000}"/>
    <cellStyle name="Note 3 2 2 5 4" xfId="24696" xr:uid="{00000000-0005-0000-0000-00007B9E0000}"/>
    <cellStyle name="Note 3 2 2 5 5" xfId="31798" xr:uid="{00000000-0005-0000-0000-00007C9E0000}"/>
    <cellStyle name="Note 3 2 2 6" xfId="7653" xr:uid="{00000000-0005-0000-0000-00007D9E0000}"/>
    <cellStyle name="Note 3 2 2 7" xfId="14754" xr:uid="{00000000-0005-0000-0000-00007E9E0000}"/>
    <cellStyle name="Note 3 2 2 8" xfId="21856" xr:uid="{00000000-0005-0000-0000-00007F9E0000}"/>
    <cellStyle name="Note 3 2 2 9" xfId="28958" xr:uid="{00000000-0005-0000-0000-0000809E0000}"/>
    <cellStyle name="Note 3 2 3" xfId="687" xr:uid="{00000000-0005-0000-0000-0000819E0000}"/>
    <cellStyle name="Note 3 2 3 2" xfId="2178" xr:uid="{00000000-0005-0000-0000-0000829E0000}"/>
    <cellStyle name="Note 3 2 3 2 2" xfId="6446" xr:uid="{00000000-0005-0000-0000-0000839E0000}"/>
    <cellStyle name="Note 3 2 3 2 2 2" xfId="13546" xr:uid="{00000000-0005-0000-0000-0000849E0000}"/>
    <cellStyle name="Note 3 2 3 2 2 3" xfId="20647" xr:uid="{00000000-0005-0000-0000-0000859E0000}"/>
    <cellStyle name="Note 3 2 3 2 2 4" xfId="27749" xr:uid="{00000000-0005-0000-0000-0000869E0000}"/>
    <cellStyle name="Note 3 2 3 2 2 5" xfId="34851" xr:uid="{00000000-0005-0000-0000-0000879E0000}"/>
    <cellStyle name="Note 3 2 3 2 2 6" xfId="41520" xr:uid="{00000000-0005-0000-0000-0000889E0000}"/>
    <cellStyle name="Note 3 2 3 2 3" xfId="9286" xr:uid="{00000000-0005-0000-0000-0000899E0000}"/>
    <cellStyle name="Note 3 2 3 2 4" xfId="16387" xr:uid="{00000000-0005-0000-0000-00008A9E0000}"/>
    <cellStyle name="Note 3 2 3 2 5" xfId="23489" xr:uid="{00000000-0005-0000-0000-00008B9E0000}"/>
    <cellStyle name="Note 3 2 3 2 6" xfId="30591" xr:uid="{00000000-0005-0000-0000-00008C9E0000}"/>
    <cellStyle name="Note 3 2 3 2 7" xfId="41521" xr:uid="{00000000-0005-0000-0000-00008D9E0000}"/>
    <cellStyle name="Note 3 2 3 3" xfId="5025" xr:uid="{00000000-0005-0000-0000-00008E9E0000}"/>
    <cellStyle name="Note 3 2 3 3 2" xfId="12126" xr:uid="{00000000-0005-0000-0000-00008F9E0000}"/>
    <cellStyle name="Note 3 2 3 3 2 2" xfId="41522" xr:uid="{00000000-0005-0000-0000-0000909E0000}"/>
    <cellStyle name="Note 3 2 3 3 3" xfId="19227" xr:uid="{00000000-0005-0000-0000-0000919E0000}"/>
    <cellStyle name="Note 3 2 3 3 4" xfId="26329" xr:uid="{00000000-0005-0000-0000-0000929E0000}"/>
    <cellStyle name="Note 3 2 3 3 5" xfId="33431" xr:uid="{00000000-0005-0000-0000-0000939E0000}"/>
    <cellStyle name="Note 3 2 3 3 6" xfId="41523" xr:uid="{00000000-0005-0000-0000-0000949E0000}"/>
    <cellStyle name="Note 3 2 3 4" xfId="3600" xr:uid="{00000000-0005-0000-0000-0000959E0000}"/>
    <cellStyle name="Note 3 2 3 4 2" xfId="10706" xr:uid="{00000000-0005-0000-0000-0000969E0000}"/>
    <cellStyle name="Note 3 2 3 4 3" xfId="17807" xr:uid="{00000000-0005-0000-0000-0000979E0000}"/>
    <cellStyle name="Note 3 2 3 4 4" xfId="24909" xr:uid="{00000000-0005-0000-0000-0000989E0000}"/>
    <cellStyle name="Note 3 2 3 4 5" xfId="32011" xr:uid="{00000000-0005-0000-0000-0000999E0000}"/>
    <cellStyle name="Note 3 2 3 4 6" xfId="41524" xr:uid="{00000000-0005-0000-0000-00009A9E0000}"/>
    <cellStyle name="Note 3 2 3 5" xfId="7866" xr:uid="{00000000-0005-0000-0000-00009B9E0000}"/>
    <cellStyle name="Note 3 2 3 6" xfId="14967" xr:uid="{00000000-0005-0000-0000-00009C9E0000}"/>
    <cellStyle name="Note 3 2 3 7" xfId="22069" xr:uid="{00000000-0005-0000-0000-00009D9E0000}"/>
    <cellStyle name="Note 3 2 3 8" xfId="29171" xr:uid="{00000000-0005-0000-0000-00009E9E0000}"/>
    <cellStyle name="Note 3 2 3 9" xfId="41525" xr:uid="{00000000-0005-0000-0000-00009F9E0000}"/>
    <cellStyle name="Note 3 2 4" xfId="900" xr:uid="{00000000-0005-0000-0000-0000A09E0000}"/>
    <cellStyle name="Note 3 2 4 2" xfId="2391" xr:uid="{00000000-0005-0000-0000-0000A19E0000}"/>
    <cellStyle name="Note 3 2 4 2 2" xfId="6659" xr:uid="{00000000-0005-0000-0000-0000A29E0000}"/>
    <cellStyle name="Note 3 2 4 2 2 2" xfId="13759" xr:uid="{00000000-0005-0000-0000-0000A39E0000}"/>
    <cellStyle name="Note 3 2 4 2 2 3" xfId="20860" xr:uid="{00000000-0005-0000-0000-0000A49E0000}"/>
    <cellStyle name="Note 3 2 4 2 2 4" xfId="27962" xr:uid="{00000000-0005-0000-0000-0000A59E0000}"/>
    <cellStyle name="Note 3 2 4 2 2 5" xfId="35064" xr:uid="{00000000-0005-0000-0000-0000A69E0000}"/>
    <cellStyle name="Note 3 2 4 2 2 6" xfId="41526" xr:uid="{00000000-0005-0000-0000-0000A79E0000}"/>
    <cellStyle name="Note 3 2 4 2 3" xfId="9499" xr:uid="{00000000-0005-0000-0000-0000A89E0000}"/>
    <cellStyle name="Note 3 2 4 2 4" xfId="16600" xr:uid="{00000000-0005-0000-0000-0000A99E0000}"/>
    <cellStyle name="Note 3 2 4 2 5" xfId="23702" xr:uid="{00000000-0005-0000-0000-0000AA9E0000}"/>
    <cellStyle name="Note 3 2 4 2 6" xfId="30804" xr:uid="{00000000-0005-0000-0000-0000AB9E0000}"/>
    <cellStyle name="Note 3 2 4 2 7" xfId="41527" xr:uid="{00000000-0005-0000-0000-0000AC9E0000}"/>
    <cellStyle name="Note 3 2 4 3" xfId="5238" xr:uid="{00000000-0005-0000-0000-0000AD9E0000}"/>
    <cellStyle name="Note 3 2 4 3 2" xfId="12339" xr:uid="{00000000-0005-0000-0000-0000AE9E0000}"/>
    <cellStyle name="Note 3 2 4 3 2 2" xfId="41528" xr:uid="{00000000-0005-0000-0000-0000AF9E0000}"/>
    <cellStyle name="Note 3 2 4 3 3" xfId="19440" xr:uid="{00000000-0005-0000-0000-0000B09E0000}"/>
    <cellStyle name="Note 3 2 4 3 4" xfId="26542" xr:uid="{00000000-0005-0000-0000-0000B19E0000}"/>
    <cellStyle name="Note 3 2 4 3 5" xfId="33644" xr:uid="{00000000-0005-0000-0000-0000B29E0000}"/>
    <cellStyle name="Note 3 2 4 3 6" xfId="41529" xr:uid="{00000000-0005-0000-0000-0000B39E0000}"/>
    <cellStyle name="Note 3 2 4 4" xfId="3813" xr:uid="{00000000-0005-0000-0000-0000B49E0000}"/>
    <cellStyle name="Note 3 2 4 4 2" xfId="10919" xr:uid="{00000000-0005-0000-0000-0000B59E0000}"/>
    <cellStyle name="Note 3 2 4 4 3" xfId="18020" xr:uid="{00000000-0005-0000-0000-0000B69E0000}"/>
    <cellStyle name="Note 3 2 4 4 4" xfId="25122" xr:uid="{00000000-0005-0000-0000-0000B79E0000}"/>
    <cellStyle name="Note 3 2 4 4 5" xfId="32224" xr:uid="{00000000-0005-0000-0000-0000B89E0000}"/>
    <cellStyle name="Note 3 2 4 4 6" xfId="41530" xr:uid="{00000000-0005-0000-0000-0000B99E0000}"/>
    <cellStyle name="Note 3 2 4 5" xfId="8079" xr:uid="{00000000-0005-0000-0000-0000BA9E0000}"/>
    <cellStyle name="Note 3 2 4 6" xfId="15180" xr:uid="{00000000-0005-0000-0000-0000BB9E0000}"/>
    <cellStyle name="Note 3 2 4 7" xfId="22282" xr:uid="{00000000-0005-0000-0000-0000BC9E0000}"/>
    <cellStyle name="Note 3 2 4 8" xfId="29384" xr:uid="{00000000-0005-0000-0000-0000BD9E0000}"/>
    <cellStyle name="Note 3 2 4 9" xfId="41531" xr:uid="{00000000-0005-0000-0000-0000BE9E0000}"/>
    <cellStyle name="Note 3 2 5" xfId="1042" xr:uid="{00000000-0005-0000-0000-0000BF9E0000}"/>
    <cellStyle name="Note 3 2 5 2" xfId="2533" xr:uid="{00000000-0005-0000-0000-0000C09E0000}"/>
    <cellStyle name="Note 3 2 5 2 2" xfId="6801" xr:uid="{00000000-0005-0000-0000-0000C19E0000}"/>
    <cellStyle name="Note 3 2 5 2 2 2" xfId="13901" xr:uid="{00000000-0005-0000-0000-0000C29E0000}"/>
    <cellStyle name="Note 3 2 5 2 2 3" xfId="21002" xr:uid="{00000000-0005-0000-0000-0000C39E0000}"/>
    <cellStyle name="Note 3 2 5 2 2 4" xfId="28104" xr:uid="{00000000-0005-0000-0000-0000C49E0000}"/>
    <cellStyle name="Note 3 2 5 2 2 5" xfId="35206" xr:uid="{00000000-0005-0000-0000-0000C59E0000}"/>
    <cellStyle name="Note 3 2 5 2 3" xfId="9641" xr:uid="{00000000-0005-0000-0000-0000C69E0000}"/>
    <cellStyle name="Note 3 2 5 2 4" xfId="16742" xr:uid="{00000000-0005-0000-0000-0000C79E0000}"/>
    <cellStyle name="Note 3 2 5 2 5" xfId="23844" xr:uid="{00000000-0005-0000-0000-0000C89E0000}"/>
    <cellStyle name="Note 3 2 5 2 6" xfId="30946" xr:uid="{00000000-0005-0000-0000-0000C99E0000}"/>
    <cellStyle name="Note 3 2 5 2 7" xfId="41532" xr:uid="{00000000-0005-0000-0000-0000CA9E0000}"/>
    <cellStyle name="Note 3 2 5 3" xfId="5380" xr:uid="{00000000-0005-0000-0000-0000CB9E0000}"/>
    <cellStyle name="Note 3 2 5 3 2" xfId="12481" xr:uid="{00000000-0005-0000-0000-0000CC9E0000}"/>
    <cellStyle name="Note 3 2 5 3 3" xfId="19582" xr:uid="{00000000-0005-0000-0000-0000CD9E0000}"/>
    <cellStyle name="Note 3 2 5 3 4" xfId="26684" xr:uid="{00000000-0005-0000-0000-0000CE9E0000}"/>
    <cellStyle name="Note 3 2 5 3 5" xfId="33786" xr:uid="{00000000-0005-0000-0000-0000CF9E0000}"/>
    <cellStyle name="Note 3 2 5 4" xfId="3955" xr:uid="{00000000-0005-0000-0000-0000D09E0000}"/>
    <cellStyle name="Note 3 2 5 4 2" xfId="11061" xr:uid="{00000000-0005-0000-0000-0000D19E0000}"/>
    <cellStyle name="Note 3 2 5 4 3" xfId="18162" xr:uid="{00000000-0005-0000-0000-0000D29E0000}"/>
    <cellStyle name="Note 3 2 5 4 4" xfId="25264" xr:uid="{00000000-0005-0000-0000-0000D39E0000}"/>
    <cellStyle name="Note 3 2 5 4 5" xfId="32366" xr:uid="{00000000-0005-0000-0000-0000D49E0000}"/>
    <cellStyle name="Note 3 2 5 5" xfId="8221" xr:uid="{00000000-0005-0000-0000-0000D59E0000}"/>
    <cellStyle name="Note 3 2 5 6" xfId="15322" xr:uid="{00000000-0005-0000-0000-0000D69E0000}"/>
    <cellStyle name="Note 3 2 5 7" xfId="22424" xr:uid="{00000000-0005-0000-0000-0000D79E0000}"/>
    <cellStyle name="Note 3 2 5 8" xfId="29526" xr:uid="{00000000-0005-0000-0000-0000D89E0000}"/>
    <cellStyle name="Note 3 2 5 9" xfId="41533" xr:uid="{00000000-0005-0000-0000-0000D99E0000}"/>
    <cellStyle name="Note 3 2 6" xfId="1468" xr:uid="{00000000-0005-0000-0000-0000DA9E0000}"/>
    <cellStyle name="Note 3 2 6 2" xfId="2959" xr:uid="{00000000-0005-0000-0000-0000DB9E0000}"/>
    <cellStyle name="Note 3 2 6 2 2" xfId="7227" xr:uid="{00000000-0005-0000-0000-0000DC9E0000}"/>
    <cellStyle name="Note 3 2 6 2 2 2" xfId="14327" xr:uid="{00000000-0005-0000-0000-0000DD9E0000}"/>
    <cellStyle name="Note 3 2 6 2 2 3" xfId="21428" xr:uid="{00000000-0005-0000-0000-0000DE9E0000}"/>
    <cellStyle name="Note 3 2 6 2 2 4" xfId="28530" xr:uid="{00000000-0005-0000-0000-0000DF9E0000}"/>
    <cellStyle name="Note 3 2 6 2 2 5" xfId="35632" xr:uid="{00000000-0005-0000-0000-0000E09E0000}"/>
    <cellStyle name="Note 3 2 6 2 3" xfId="10067" xr:uid="{00000000-0005-0000-0000-0000E19E0000}"/>
    <cellStyle name="Note 3 2 6 2 4" xfId="17168" xr:uid="{00000000-0005-0000-0000-0000E29E0000}"/>
    <cellStyle name="Note 3 2 6 2 5" xfId="24270" xr:uid="{00000000-0005-0000-0000-0000E39E0000}"/>
    <cellStyle name="Note 3 2 6 2 6" xfId="31372" xr:uid="{00000000-0005-0000-0000-0000E49E0000}"/>
    <cellStyle name="Note 3 2 6 2 7" xfId="41534" xr:uid="{00000000-0005-0000-0000-0000E59E0000}"/>
    <cellStyle name="Note 3 2 6 3" xfId="5806" xr:uid="{00000000-0005-0000-0000-0000E69E0000}"/>
    <cellStyle name="Note 3 2 6 3 2" xfId="12907" xr:uid="{00000000-0005-0000-0000-0000E79E0000}"/>
    <cellStyle name="Note 3 2 6 3 3" xfId="20008" xr:uid="{00000000-0005-0000-0000-0000E89E0000}"/>
    <cellStyle name="Note 3 2 6 3 4" xfId="27110" xr:uid="{00000000-0005-0000-0000-0000E99E0000}"/>
    <cellStyle name="Note 3 2 6 3 5" xfId="34212" xr:uid="{00000000-0005-0000-0000-0000EA9E0000}"/>
    <cellStyle name="Note 3 2 6 4" xfId="4381" xr:uid="{00000000-0005-0000-0000-0000EB9E0000}"/>
    <cellStyle name="Note 3 2 6 4 2" xfId="11487" xr:uid="{00000000-0005-0000-0000-0000EC9E0000}"/>
    <cellStyle name="Note 3 2 6 4 3" xfId="18588" xr:uid="{00000000-0005-0000-0000-0000ED9E0000}"/>
    <cellStyle name="Note 3 2 6 4 4" xfId="25690" xr:uid="{00000000-0005-0000-0000-0000EE9E0000}"/>
    <cellStyle name="Note 3 2 6 4 5" xfId="32792" xr:uid="{00000000-0005-0000-0000-0000EF9E0000}"/>
    <cellStyle name="Note 3 2 6 5" xfId="8647" xr:uid="{00000000-0005-0000-0000-0000F09E0000}"/>
    <cellStyle name="Note 3 2 6 6" xfId="15748" xr:uid="{00000000-0005-0000-0000-0000F19E0000}"/>
    <cellStyle name="Note 3 2 6 7" xfId="22850" xr:uid="{00000000-0005-0000-0000-0000F29E0000}"/>
    <cellStyle name="Note 3 2 6 8" xfId="29952" xr:uid="{00000000-0005-0000-0000-0000F39E0000}"/>
    <cellStyle name="Note 3 2 6 9" xfId="41535" xr:uid="{00000000-0005-0000-0000-0000F49E0000}"/>
    <cellStyle name="Note 3 2 7" xfId="1752" xr:uid="{00000000-0005-0000-0000-0000F59E0000}"/>
    <cellStyle name="Note 3 2 7 2" xfId="6020" xr:uid="{00000000-0005-0000-0000-0000F69E0000}"/>
    <cellStyle name="Note 3 2 7 2 2" xfId="13120" xr:uid="{00000000-0005-0000-0000-0000F79E0000}"/>
    <cellStyle name="Note 3 2 7 2 3" xfId="20221" xr:uid="{00000000-0005-0000-0000-0000F89E0000}"/>
    <cellStyle name="Note 3 2 7 2 4" xfId="27323" xr:uid="{00000000-0005-0000-0000-0000F99E0000}"/>
    <cellStyle name="Note 3 2 7 2 5" xfId="34425" xr:uid="{00000000-0005-0000-0000-0000FA9E0000}"/>
    <cellStyle name="Note 3 2 7 3" xfId="8860" xr:uid="{00000000-0005-0000-0000-0000FB9E0000}"/>
    <cellStyle name="Note 3 2 7 4" xfId="15961" xr:uid="{00000000-0005-0000-0000-0000FC9E0000}"/>
    <cellStyle name="Note 3 2 7 5" xfId="23063" xr:uid="{00000000-0005-0000-0000-0000FD9E0000}"/>
    <cellStyle name="Note 3 2 7 6" xfId="30165" xr:uid="{00000000-0005-0000-0000-0000FE9E0000}"/>
    <cellStyle name="Note 3 2 7 7" xfId="41536" xr:uid="{00000000-0005-0000-0000-0000FF9E0000}"/>
    <cellStyle name="Note 3 2 8" xfId="4599" xr:uid="{00000000-0005-0000-0000-0000009F0000}"/>
    <cellStyle name="Note 3 2 8 2" xfId="11700" xr:uid="{00000000-0005-0000-0000-0000019F0000}"/>
    <cellStyle name="Note 3 2 8 3" xfId="18801" xr:uid="{00000000-0005-0000-0000-0000029F0000}"/>
    <cellStyle name="Note 3 2 8 4" xfId="25903" xr:uid="{00000000-0005-0000-0000-0000039F0000}"/>
    <cellStyle name="Note 3 2 8 5" xfId="33005" xr:uid="{00000000-0005-0000-0000-0000049F0000}"/>
    <cellStyle name="Note 3 2 9" xfId="3174" xr:uid="{00000000-0005-0000-0000-0000059F0000}"/>
    <cellStyle name="Note 3 2 9 2" xfId="10280" xr:uid="{00000000-0005-0000-0000-0000069F0000}"/>
    <cellStyle name="Note 3 2 9 3" xfId="17381" xr:uid="{00000000-0005-0000-0000-0000079F0000}"/>
    <cellStyle name="Note 3 2 9 4" xfId="24483" xr:uid="{00000000-0005-0000-0000-0000089F0000}"/>
    <cellStyle name="Note 3 2 9 5" xfId="31585" xr:uid="{00000000-0005-0000-0000-0000099F0000}"/>
    <cellStyle name="Note 3 3" xfId="190" xr:uid="{00000000-0005-0000-0000-00000A9F0000}"/>
    <cellStyle name="Note 3 3 10" xfId="7369" xr:uid="{00000000-0005-0000-0000-00000B9F0000}"/>
    <cellStyle name="Note 3 3 11" xfId="14470" xr:uid="{00000000-0005-0000-0000-00000C9F0000}"/>
    <cellStyle name="Note 3 3 12" xfId="21572" xr:uid="{00000000-0005-0000-0000-00000D9F0000}"/>
    <cellStyle name="Note 3 3 13" xfId="28674" xr:uid="{00000000-0005-0000-0000-00000E9F0000}"/>
    <cellStyle name="Note 3 3 14" xfId="35776" xr:uid="{00000000-0005-0000-0000-00000F9F0000}"/>
    <cellStyle name="Note 3 3 15" xfId="41537" xr:uid="{00000000-0005-0000-0000-0000109F0000}"/>
    <cellStyle name="Note 3 3 2" xfId="403" xr:uid="{00000000-0005-0000-0000-0000119F0000}"/>
    <cellStyle name="Note 3 3 2 2" xfId="1894" xr:uid="{00000000-0005-0000-0000-0000129F0000}"/>
    <cellStyle name="Note 3 3 2 2 2" xfId="6162" xr:uid="{00000000-0005-0000-0000-0000139F0000}"/>
    <cellStyle name="Note 3 3 2 2 2 2" xfId="13262" xr:uid="{00000000-0005-0000-0000-0000149F0000}"/>
    <cellStyle name="Note 3 3 2 2 2 3" xfId="20363" xr:uid="{00000000-0005-0000-0000-0000159F0000}"/>
    <cellStyle name="Note 3 3 2 2 2 4" xfId="27465" xr:uid="{00000000-0005-0000-0000-0000169F0000}"/>
    <cellStyle name="Note 3 3 2 2 2 5" xfId="34567" xr:uid="{00000000-0005-0000-0000-0000179F0000}"/>
    <cellStyle name="Note 3 3 2 2 2 6" xfId="41538" xr:uid="{00000000-0005-0000-0000-0000189F0000}"/>
    <cellStyle name="Note 3 3 2 2 3" xfId="9002" xr:uid="{00000000-0005-0000-0000-0000199F0000}"/>
    <cellStyle name="Note 3 3 2 2 4" xfId="16103" xr:uid="{00000000-0005-0000-0000-00001A9F0000}"/>
    <cellStyle name="Note 3 3 2 2 5" xfId="23205" xr:uid="{00000000-0005-0000-0000-00001B9F0000}"/>
    <cellStyle name="Note 3 3 2 2 6" xfId="30307" xr:uid="{00000000-0005-0000-0000-00001C9F0000}"/>
    <cellStyle name="Note 3 3 2 2 7" xfId="41539" xr:uid="{00000000-0005-0000-0000-00001D9F0000}"/>
    <cellStyle name="Note 3 3 2 3" xfId="4741" xr:uid="{00000000-0005-0000-0000-00001E9F0000}"/>
    <cellStyle name="Note 3 3 2 3 2" xfId="11842" xr:uid="{00000000-0005-0000-0000-00001F9F0000}"/>
    <cellStyle name="Note 3 3 2 3 2 2" xfId="41540" xr:uid="{00000000-0005-0000-0000-0000209F0000}"/>
    <cellStyle name="Note 3 3 2 3 3" xfId="18943" xr:uid="{00000000-0005-0000-0000-0000219F0000}"/>
    <cellStyle name="Note 3 3 2 3 4" xfId="26045" xr:uid="{00000000-0005-0000-0000-0000229F0000}"/>
    <cellStyle name="Note 3 3 2 3 5" xfId="33147" xr:uid="{00000000-0005-0000-0000-0000239F0000}"/>
    <cellStyle name="Note 3 3 2 3 6" xfId="41541" xr:uid="{00000000-0005-0000-0000-0000249F0000}"/>
    <cellStyle name="Note 3 3 2 4" xfId="3316" xr:uid="{00000000-0005-0000-0000-0000259F0000}"/>
    <cellStyle name="Note 3 3 2 4 2" xfId="10422" xr:uid="{00000000-0005-0000-0000-0000269F0000}"/>
    <cellStyle name="Note 3 3 2 4 3" xfId="17523" xr:uid="{00000000-0005-0000-0000-0000279F0000}"/>
    <cellStyle name="Note 3 3 2 4 4" xfId="24625" xr:uid="{00000000-0005-0000-0000-0000289F0000}"/>
    <cellStyle name="Note 3 3 2 4 5" xfId="31727" xr:uid="{00000000-0005-0000-0000-0000299F0000}"/>
    <cellStyle name="Note 3 3 2 4 6" xfId="41542" xr:uid="{00000000-0005-0000-0000-00002A9F0000}"/>
    <cellStyle name="Note 3 3 2 5" xfId="7582" xr:uid="{00000000-0005-0000-0000-00002B9F0000}"/>
    <cellStyle name="Note 3 3 2 6" xfId="14683" xr:uid="{00000000-0005-0000-0000-00002C9F0000}"/>
    <cellStyle name="Note 3 3 2 7" xfId="21785" xr:uid="{00000000-0005-0000-0000-00002D9F0000}"/>
    <cellStyle name="Note 3 3 2 8" xfId="28887" xr:uid="{00000000-0005-0000-0000-00002E9F0000}"/>
    <cellStyle name="Note 3 3 2 9" xfId="41543" xr:uid="{00000000-0005-0000-0000-00002F9F0000}"/>
    <cellStyle name="Note 3 3 3" xfId="616" xr:uid="{00000000-0005-0000-0000-0000309F0000}"/>
    <cellStyle name="Note 3 3 3 2" xfId="2107" xr:uid="{00000000-0005-0000-0000-0000319F0000}"/>
    <cellStyle name="Note 3 3 3 2 2" xfId="6375" xr:uid="{00000000-0005-0000-0000-0000329F0000}"/>
    <cellStyle name="Note 3 3 3 2 2 2" xfId="13475" xr:uid="{00000000-0005-0000-0000-0000339F0000}"/>
    <cellStyle name="Note 3 3 3 2 2 3" xfId="20576" xr:uid="{00000000-0005-0000-0000-0000349F0000}"/>
    <cellStyle name="Note 3 3 3 2 2 4" xfId="27678" xr:uid="{00000000-0005-0000-0000-0000359F0000}"/>
    <cellStyle name="Note 3 3 3 2 2 5" xfId="34780" xr:uid="{00000000-0005-0000-0000-0000369F0000}"/>
    <cellStyle name="Note 3 3 3 2 2 6" xfId="41544" xr:uid="{00000000-0005-0000-0000-0000379F0000}"/>
    <cellStyle name="Note 3 3 3 2 3" xfId="9215" xr:uid="{00000000-0005-0000-0000-0000389F0000}"/>
    <cellStyle name="Note 3 3 3 2 4" xfId="16316" xr:uid="{00000000-0005-0000-0000-0000399F0000}"/>
    <cellStyle name="Note 3 3 3 2 5" xfId="23418" xr:uid="{00000000-0005-0000-0000-00003A9F0000}"/>
    <cellStyle name="Note 3 3 3 2 6" xfId="30520" xr:uid="{00000000-0005-0000-0000-00003B9F0000}"/>
    <cellStyle name="Note 3 3 3 2 7" xfId="41545" xr:uid="{00000000-0005-0000-0000-00003C9F0000}"/>
    <cellStyle name="Note 3 3 3 3" xfId="4954" xr:uid="{00000000-0005-0000-0000-00003D9F0000}"/>
    <cellStyle name="Note 3 3 3 3 2" xfId="12055" xr:uid="{00000000-0005-0000-0000-00003E9F0000}"/>
    <cellStyle name="Note 3 3 3 3 2 2" xfId="41546" xr:uid="{00000000-0005-0000-0000-00003F9F0000}"/>
    <cellStyle name="Note 3 3 3 3 3" xfId="19156" xr:uid="{00000000-0005-0000-0000-0000409F0000}"/>
    <cellStyle name="Note 3 3 3 3 4" xfId="26258" xr:uid="{00000000-0005-0000-0000-0000419F0000}"/>
    <cellStyle name="Note 3 3 3 3 5" xfId="33360" xr:uid="{00000000-0005-0000-0000-0000429F0000}"/>
    <cellStyle name="Note 3 3 3 3 6" xfId="41547" xr:uid="{00000000-0005-0000-0000-0000439F0000}"/>
    <cellStyle name="Note 3 3 3 4" xfId="3529" xr:uid="{00000000-0005-0000-0000-0000449F0000}"/>
    <cellStyle name="Note 3 3 3 4 2" xfId="10635" xr:uid="{00000000-0005-0000-0000-0000459F0000}"/>
    <cellStyle name="Note 3 3 3 4 3" xfId="17736" xr:uid="{00000000-0005-0000-0000-0000469F0000}"/>
    <cellStyle name="Note 3 3 3 4 4" xfId="24838" xr:uid="{00000000-0005-0000-0000-0000479F0000}"/>
    <cellStyle name="Note 3 3 3 4 5" xfId="31940" xr:uid="{00000000-0005-0000-0000-0000489F0000}"/>
    <cellStyle name="Note 3 3 3 4 6" xfId="41548" xr:uid="{00000000-0005-0000-0000-0000499F0000}"/>
    <cellStyle name="Note 3 3 3 5" xfId="7795" xr:uid="{00000000-0005-0000-0000-00004A9F0000}"/>
    <cellStyle name="Note 3 3 3 6" xfId="14896" xr:uid="{00000000-0005-0000-0000-00004B9F0000}"/>
    <cellStyle name="Note 3 3 3 7" xfId="21998" xr:uid="{00000000-0005-0000-0000-00004C9F0000}"/>
    <cellStyle name="Note 3 3 3 8" xfId="29100" xr:uid="{00000000-0005-0000-0000-00004D9F0000}"/>
    <cellStyle name="Note 3 3 3 9" xfId="41549" xr:uid="{00000000-0005-0000-0000-00004E9F0000}"/>
    <cellStyle name="Note 3 3 4" xfId="829" xr:uid="{00000000-0005-0000-0000-00004F9F0000}"/>
    <cellStyle name="Note 3 3 4 2" xfId="2320" xr:uid="{00000000-0005-0000-0000-0000509F0000}"/>
    <cellStyle name="Note 3 3 4 2 2" xfId="6588" xr:uid="{00000000-0005-0000-0000-0000519F0000}"/>
    <cellStyle name="Note 3 3 4 2 2 2" xfId="13688" xr:uid="{00000000-0005-0000-0000-0000529F0000}"/>
    <cellStyle name="Note 3 3 4 2 2 3" xfId="20789" xr:uid="{00000000-0005-0000-0000-0000539F0000}"/>
    <cellStyle name="Note 3 3 4 2 2 4" xfId="27891" xr:uid="{00000000-0005-0000-0000-0000549F0000}"/>
    <cellStyle name="Note 3 3 4 2 2 5" xfId="34993" xr:uid="{00000000-0005-0000-0000-0000559F0000}"/>
    <cellStyle name="Note 3 3 4 2 2 6" xfId="41550" xr:uid="{00000000-0005-0000-0000-0000569F0000}"/>
    <cellStyle name="Note 3 3 4 2 3" xfId="9428" xr:uid="{00000000-0005-0000-0000-0000579F0000}"/>
    <cellStyle name="Note 3 3 4 2 4" xfId="16529" xr:uid="{00000000-0005-0000-0000-0000589F0000}"/>
    <cellStyle name="Note 3 3 4 2 5" xfId="23631" xr:uid="{00000000-0005-0000-0000-0000599F0000}"/>
    <cellStyle name="Note 3 3 4 2 6" xfId="30733" xr:uid="{00000000-0005-0000-0000-00005A9F0000}"/>
    <cellStyle name="Note 3 3 4 2 7" xfId="41551" xr:uid="{00000000-0005-0000-0000-00005B9F0000}"/>
    <cellStyle name="Note 3 3 4 3" xfId="5167" xr:uid="{00000000-0005-0000-0000-00005C9F0000}"/>
    <cellStyle name="Note 3 3 4 3 2" xfId="12268" xr:uid="{00000000-0005-0000-0000-00005D9F0000}"/>
    <cellStyle name="Note 3 3 4 3 2 2" xfId="41552" xr:uid="{00000000-0005-0000-0000-00005E9F0000}"/>
    <cellStyle name="Note 3 3 4 3 3" xfId="19369" xr:uid="{00000000-0005-0000-0000-00005F9F0000}"/>
    <cellStyle name="Note 3 3 4 3 4" xfId="26471" xr:uid="{00000000-0005-0000-0000-0000609F0000}"/>
    <cellStyle name="Note 3 3 4 3 5" xfId="33573" xr:uid="{00000000-0005-0000-0000-0000619F0000}"/>
    <cellStyle name="Note 3 3 4 3 6" xfId="41553" xr:uid="{00000000-0005-0000-0000-0000629F0000}"/>
    <cellStyle name="Note 3 3 4 4" xfId="3742" xr:uid="{00000000-0005-0000-0000-0000639F0000}"/>
    <cellStyle name="Note 3 3 4 4 2" xfId="10848" xr:uid="{00000000-0005-0000-0000-0000649F0000}"/>
    <cellStyle name="Note 3 3 4 4 3" xfId="17949" xr:uid="{00000000-0005-0000-0000-0000659F0000}"/>
    <cellStyle name="Note 3 3 4 4 4" xfId="25051" xr:uid="{00000000-0005-0000-0000-0000669F0000}"/>
    <cellStyle name="Note 3 3 4 4 5" xfId="32153" xr:uid="{00000000-0005-0000-0000-0000679F0000}"/>
    <cellStyle name="Note 3 3 4 4 6" xfId="41554" xr:uid="{00000000-0005-0000-0000-0000689F0000}"/>
    <cellStyle name="Note 3 3 4 5" xfId="8008" xr:uid="{00000000-0005-0000-0000-0000699F0000}"/>
    <cellStyle name="Note 3 3 4 6" xfId="15109" xr:uid="{00000000-0005-0000-0000-00006A9F0000}"/>
    <cellStyle name="Note 3 3 4 7" xfId="22211" xr:uid="{00000000-0005-0000-0000-00006B9F0000}"/>
    <cellStyle name="Note 3 3 4 8" xfId="29313" xr:uid="{00000000-0005-0000-0000-00006C9F0000}"/>
    <cellStyle name="Note 3 3 4 9" xfId="41555" xr:uid="{00000000-0005-0000-0000-00006D9F0000}"/>
    <cellStyle name="Note 3 3 5" xfId="1184" xr:uid="{00000000-0005-0000-0000-00006E9F0000}"/>
    <cellStyle name="Note 3 3 5 2" xfId="2675" xr:uid="{00000000-0005-0000-0000-00006F9F0000}"/>
    <cellStyle name="Note 3 3 5 2 2" xfId="6943" xr:uid="{00000000-0005-0000-0000-0000709F0000}"/>
    <cellStyle name="Note 3 3 5 2 2 2" xfId="14043" xr:uid="{00000000-0005-0000-0000-0000719F0000}"/>
    <cellStyle name="Note 3 3 5 2 2 3" xfId="21144" xr:uid="{00000000-0005-0000-0000-0000729F0000}"/>
    <cellStyle name="Note 3 3 5 2 2 4" xfId="28246" xr:uid="{00000000-0005-0000-0000-0000739F0000}"/>
    <cellStyle name="Note 3 3 5 2 2 5" xfId="35348" xr:uid="{00000000-0005-0000-0000-0000749F0000}"/>
    <cellStyle name="Note 3 3 5 2 3" xfId="9783" xr:uid="{00000000-0005-0000-0000-0000759F0000}"/>
    <cellStyle name="Note 3 3 5 2 4" xfId="16884" xr:uid="{00000000-0005-0000-0000-0000769F0000}"/>
    <cellStyle name="Note 3 3 5 2 5" xfId="23986" xr:uid="{00000000-0005-0000-0000-0000779F0000}"/>
    <cellStyle name="Note 3 3 5 2 6" xfId="31088" xr:uid="{00000000-0005-0000-0000-0000789F0000}"/>
    <cellStyle name="Note 3 3 5 2 7" xfId="41556" xr:uid="{00000000-0005-0000-0000-0000799F0000}"/>
    <cellStyle name="Note 3 3 5 3" xfId="5522" xr:uid="{00000000-0005-0000-0000-00007A9F0000}"/>
    <cellStyle name="Note 3 3 5 3 2" xfId="12623" xr:uid="{00000000-0005-0000-0000-00007B9F0000}"/>
    <cellStyle name="Note 3 3 5 3 3" xfId="19724" xr:uid="{00000000-0005-0000-0000-00007C9F0000}"/>
    <cellStyle name="Note 3 3 5 3 4" xfId="26826" xr:uid="{00000000-0005-0000-0000-00007D9F0000}"/>
    <cellStyle name="Note 3 3 5 3 5" xfId="33928" xr:uid="{00000000-0005-0000-0000-00007E9F0000}"/>
    <cellStyle name="Note 3 3 5 4" xfId="4097" xr:uid="{00000000-0005-0000-0000-00007F9F0000}"/>
    <cellStyle name="Note 3 3 5 4 2" xfId="11203" xr:uid="{00000000-0005-0000-0000-0000809F0000}"/>
    <cellStyle name="Note 3 3 5 4 3" xfId="18304" xr:uid="{00000000-0005-0000-0000-0000819F0000}"/>
    <cellStyle name="Note 3 3 5 4 4" xfId="25406" xr:uid="{00000000-0005-0000-0000-0000829F0000}"/>
    <cellStyle name="Note 3 3 5 4 5" xfId="32508" xr:uid="{00000000-0005-0000-0000-0000839F0000}"/>
    <cellStyle name="Note 3 3 5 5" xfId="8363" xr:uid="{00000000-0005-0000-0000-0000849F0000}"/>
    <cellStyle name="Note 3 3 5 6" xfId="15464" xr:uid="{00000000-0005-0000-0000-0000859F0000}"/>
    <cellStyle name="Note 3 3 5 7" xfId="22566" xr:uid="{00000000-0005-0000-0000-0000869F0000}"/>
    <cellStyle name="Note 3 3 5 8" xfId="29668" xr:uid="{00000000-0005-0000-0000-0000879F0000}"/>
    <cellStyle name="Note 3 3 5 9" xfId="41557" xr:uid="{00000000-0005-0000-0000-0000889F0000}"/>
    <cellStyle name="Note 3 3 6" xfId="1397" xr:uid="{00000000-0005-0000-0000-0000899F0000}"/>
    <cellStyle name="Note 3 3 6 2" xfId="2888" xr:uid="{00000000-0005-0000-0000-00008A9F0000}"/>
    <cellStyle name="Note 3 3 6 2 2" xfId="7156" xr:uid="{00000000-0005-0000-0000-00008B9F0000}"/>
    <cellStyle name="Note 3 3 6 2 2 2" xfId="14256" xr:uid="{00000000-0005-0000-0000-00008C9F0000}"/>
    <cellStyle name="Note 3 3 6 2 2 3" xfId="21357" xr:uid="{00000000-0005-0000-0000-00008D9F0000}"/>
    <cellStyle name="Note 3 3 6 2 2 4" xfId="28459" xr:uid="{00000000-0005-0000-0000-00008E9F0000}"/>
    <cellStyle name="Note 3 3 6 2 2 5" xfId="35561" xr:uid="{00000000-0005-0000-0000-00008F9F0000}"/>
    <cellStyle name="Note 3 3 6 2 3" xfId="9996" xr:uid="{00000000-0005-0000-0000-0000909F0000}"/>
    <cellStyle name="Note 3 3 6 2 4" xfId="17097" xr:uid="{00000000-0005-0000-0000-0000919F0000}"/>
    <cellStyle name="Note 3 3 6 2 5" xfId="24199" xr:uid="{00000000-0005-0000-0000-0000929F0000}"/>
    <cellStyle name="Note 3 3 6 2 6" xfId="31301" xr:uid="{00000000-0005-0000-0000-0000939F0000}"/>
    <cellStyle name="Note 3 3 6 2 7" xfId="41558" xr:uid="{00000000-0005-0000-0000-0000949F0000}"/>
    <cellStyle name="Note 3 3 6 3" xfId="5735" xr:uid="{00000000-0005-0000-0000-0000959F0000}"/>
    <cellStyle name="Note 3 3 6 3 2" xfId="12836" xr:uid="{00000000-0005-0000-0000-0000969F0000}"/>
    <cellStyle name="Note 3 3 6 3 3" xfId="19937" xr:uid="{00000000-0005-0000-0000-0000979F0000}"/>
    <cellStyle name="Note 3 3 6 3 4" xfId="27039" xr:uid="{00000000-0005-0000-0000-0000989F0000}"/>
    <cellStyle name="Note 3 3 6 3 5" xfId="34141" xr:uid="{00000000-0005-0000-0000-0000999F0000}"/>
    <cellStyle name="Note 3 3 6 4" xfId="4310" xr:uid="{00000000-0005-0000-0000-00009A9F0000}"/>
    <cellStyle name="Note 3 3 6 4 2" xfId="11416" xr:uid="{00000000-0005-0000-0000-00009B9F0000}"/>
    <cellStyle name="Note 3 3 6 4 3" xfId="18517" xr:uid="{00000000-0005-0000-0000-00009C9F0000}"/>
    <cellStyle name="Note 3 3 6 4 4" xfId="25619" xr:uid="{00000000-0005-0000-0000-00009D9F0000}"/>
    <cellStyle name="Note 3 3 6 4 5" xfId="32721" xr:uid="{00000000-0005-0000-0000-00009E9F0000}"/>
    <cellStyle name="Note 3 3 6 5" xfId="8576" xr:uid="{00000000-0005-0000-0000-00009F9F0000}"/>
    <cellStyle name="Note 3 3 6 6" xfId="15677" xr:uid="{00000000-0005-0000-0000-0000A09F0000}"/>
    <cellStyle name="Note 3 3 6 7" xfId="22779" xr:uid="{00000000-0005-0000-0000-0000A19F0000}"/>
    <cellStyle name="Note 3 3 6 8" xfId="29881" xr:uid="{00000000-0005-0000-0000-0000A29F0000}"/>
    <cellStyle name="Note 3 3 6 9" xfId="41559" xr:uid="{00000000-0005-0000-0000-0000A39F0000}"/>
    <cellStyle name="Note 3 3 7" xfId="1681" xr:uid="{00000000-0005-0000-0000-0000A49F0000}"/>
    <cellStyle name="Note 3 3 7 2" xfId="5949" xr:uid="{00000000-0005-0000-0000-0000A59F0000}"/>
    <cellStyle name="Note 3 3 7 2 2" xfId="13049" xr:uid="{00000000-0005-0000-0000-0000A69F0000}"/>
    <cellStyle name="Note 3 3 7 2 3" xfId="20150" xr:uid="{00000000-0005-0000-0000-0000A79F0000}"/>
    <cellStyle name="Note 3 3 7 2 4" xfId="27252" xr:uid="{00000000-0005-0000-0000-0000A89F0000}"/>
    <cellStyle name="Note 3 3 7 2 5" xfId="34354" xr:uid="{00000000-0005-0000-0000-0000A99F0000}"/>
    <cellStyle name="Note 3 3 7 3" xfId="8789" xr:uid="{00000000-0005-0000-0000-0000AA9F0000}"/>
    <cellStyle name="Note 3 3 7 4" xfId="15890" xr:uid="{00000000-0005-0000-0000-0000AB9F0000}"/>
    <cellStyle name="Note 3 3 7 5" xfId="22992" xr:uid="{00000000-0005-0000-0000-0000AC9F0000}"/>
    <cellStyle name="Note 3 3 7 6" xfId="30094" xr:uid="{00000000-0005-0000-0000-0000AD9F0000}"/>
    <cellStyle name="Note 3 3 7 7" xfId="41560" xr:uid="{00000000-0005-0000-0000-0000AE9F0000}"/>
    <cellStyle name="Note 3 3 8" xfId="4528" xr:uid="{00000000-0005-0000-0000-0000AF9F0000}"/>
    <cellStyle name="Note 3 3 8 2" xfId="11629" xr:uid="{00000000-0005-0000-0000-0000B09F0000}"/>
    <cellStyle name="Note 3 3 8 3" xfId="18730" xr:uid="{00000000-0005-0000-0000-0000B19F0000}"/>
    <cellStyle name="Note 3 3 8 4" xfId="25832" xr:uid="{00000000-0005-0000-0000-0000B29F0000}"/>
    <cellStyle name="Note 3 3 8 5" xfId="32934" xr:uid="{00000000-0005-0000-0000-0000B39F0000}"/>
    <cellStyle name="Note 3 3 9" xfId="3103" xr:uid="{00000000-0005-0000-0000-0000B49F0000}"/>
    <cellStyle name="Note 3 3 9 2" xfId="10209" xr:uid="{00000000-0005-0000-0000-0000B59F0000}"/>
    <cellStyle name="Note 3 3 9 3" xfId="17310" xr:uid="{00000000-0005-0000-0000-0000B69F0000}"/>
    <cellStyle name="Note 3 3 9 4" xfId="24412" xr:uid="{00000000-0005-0000-0000-0000B79F0000}"/>
    <cellStyle name="Note 3 3 9 5" xfId="31514" xr:uid="{00000000-0005-0000-0000-0000B89F0000}"/>
    <cellStyle name="Note 3 4" xfId="332" xr:uid="{00000000-0005-0000-0000-0000B99F0000}"/>
    <cellStyle name="Note 3 4 10" xfId="41561" xr:uid="{00000000-0005-0000-0000-0000BA9F0000}"/>
    <cellStyle name="Note 3 4 2" xfId="1113" xr:uid="{00000000-0005-0000-0000-0000BB9F0000}"/>
    <cellStyle name="Note 3 4 2 2" xfId="2604" xr:uid="{00000000-0005-0000-0000-0000BC9F0000}"/>
    <cellStyle name="Note 3 4 2 2 2" xfId="6872" xr:uid="{00000000-0005-0000-0000-0000BD9F0000}"/>
    <cellStyle name="Note 3 4 2 2 2 2" xfId="13972" xr:uid="{00000000-0005-0000-0000-0000BE9F0000}"/>
    <cellStyle name="Note 3 4 2 2 2 3" xfId="21073" xr:uid="{00000000-0005-0000-0000-0000BF9F0000}"/>
    <cellStyle name="Note 3 4 2 2 2 4" xfId="28175" xr:uid="{00000000-0005-0000-0000-0000C09F0000}"/>
    <cellStyle name="Note 3 4 2 2 2 5" xfId="35277" xr:uid="{00000000-0005-0000-0000-0000C19F0000}"/>
    <cellStyle name="Note 3 4 2 2 2 6" xfId="41562" xr:uid="{00000000-0005-0000-0000-0000C29F0000}"/>
    <cellStyle name="Note 3 4 2 2 3" xfId="9712" xr:uid="{00000000-0005-0000-0000-0000C39F0000}"/>
    <cellStyle name="Note 3 4 2 2 4" xfId="16813" xr:uid="{00000000-0005-0000-0000-0000C49F0000}"/>
    <cellStyle name="Note 3 4 2 2 5" xfId="23915" xr:uid="{00000000-0005-0000-0000-0000C59F0000}"/>
    <cellStyle name="Note 3 4 2 2 6" xfId="31017" xr:uid="{00000000-0005-0000-0000-0000C69F0000}"/>
    <cellStyle name="Note 3 4 2 2 7" xfId="41563" xr:uid="{00000000-0005-0000-0000-0000C79F0000}"/>
    <cellStyle name="Note 3 4 2 3" xfId="5451" xr:uid="{00000000-0005-0000-0000-0000C89F0000}"/>
    <cellStyle name="Note 3 4 2 3 2" xfId="12552" xr:uid="{00000000-0005-0000-0000-0000C99F0000}"/>
    <cellStyle name="Note 3 4 2 3 2 2" xfId="41564" xr:uid="{00000000-0005-0000-0000-0000CA9F0000}"/>
    <cellStyle name="Note 3 4 2 3 3" xfId="19653" xr:uid="{00000000-0005-0000-0000-0000CB9F0000}"/>
    <cellStyle name="Note 3 4 2 3 4" xfId="26755" xr:uid="{00000000-0005-0000-0000-0000CC9F0000}"/>
    <cellStyle name="Note 3 4 2 3 5" xfId="33857" xr:uid="{00000000-0005-0000-0000-0000CD9F0000}"/>
    <cellStyle name="Note 3 4 2 3 6" xfId="41565" xr:uid="{00000000-0005-0000-0000-0000CE9F0000}"/>
    <cellStyle name="Note 3 4 2 4" xfId="4026" xr:uid="{00000000-0005-0000-0000-0000CF9F0000}"/>
    <cellStyle name="Note 3 4 2 4 2" xfId="11132" xr:uid="{00000000-0005-0000-0000-0000D09F0000}"/>
    <cellStyle name="Note 3 4 2 4 3" xfId="18233" xr:uid="{00000000-0005-0000-0000-0000D19F0000}"/>
    <cellStyle name="Note 3 4 2 4 4" xfId="25335" xr:uid="{00000000-0005-0000-0000-0000D29F0000}"/>
    <cellStyle name="Note 3 4 2 4 5" xfId="32437" xr:uid="{00000000-0005-0000-0000-0000D39F0000}"/>
    <cellStyle name="Note 3 4 2 4 6" xfId="41566" xr:uid="{00000000-0005-0000-0000-0000D49F0000}"/>
    <cellStyle name="Note 3 4 2 5" xfId="8292" xr:uid="{00000000-0005-0000-0000-0000D59F0000}"/>
    <cellStyle name="Note 3 4 2 6" xfId="15393" xr:uid="{00000000-0005-0000-0000-0000D69F0000}"/>
    <cellStyle name="Note 3 4 2 7" xfId="22495" xr:uid="{00000000-0005-0000-0000-0000D79F0000}"/>
    <cellStyle name="Note 3 4 2 8" xfId="29597" xr:uid="{00000000-0005-0000-0000-0000D89F0000}"/>
    <cellStyle name="Note 3 4 2 9" xfId="41567" xr:uid="{00000000-0005-0000-0000-0000D99F0000}"/>
    <cellStyle name="Note 3 4 3" xfId="1823" xr:uid="{00000000-0005-0000-0000-0000DA9F0000}"/>
    <cellStyle name="Note 3 4 3 2" xfId="6091" xr:uid="{00000000-0005-0000-0000-0000DB9F0000}"/>
    <cellStyle name="Note 3 4 3 2 2" xfId="13191" xr:uid="{00000000-0005-0000-0000-0000DC9F0000}"/>
    <cellStyle name="Note 3 4 3 2 2 2" xfId="41568" xr:uid="{00000000-0005-0000-0000-0000DD9F0000}"/>
    <cellStyle name="Note 3 4 3 2 3" xfId="20292" xr:uid="{00000000-0005-0000-0000-0000DE9F0000}"/>
    <cellStyle name="Note 3 4 3 2 4" xfId="27394" xr:uid="{00000000-0005-0000-0000-0000DF9F0000}"/>
    <cellStyle name="Note 3 4 3 2 5" xfId="34496" xr:uid="{00000000-0005-0000-0000-0000E09F0000}"/>
    <cellStyle name="Note 3 4 3 2 6" xfId="41569" xr:uid="{00000000-0005-0000-0000-0000E19F0000}"/>
    <cellStyle name="Note 3 4 3 3" xfId="8931" xr:uid="{00000000-0005-0000-0000-0000E29F0000}"/>
    <cellStyle name="Note 3 4 3 3 2" xfId="41570" xr:uid="{00000000-0005-0000-0000-0000E39F0000}"/>
    <cellStyle name="Note 3 4 3 3 3" xfId="41571" xr:uid="{00000000-0005-0000-0000-0000E49F0000}"/>
    <cellStyle name="Note 3 4 3 4" xfId="16032" xr:uid="{00000000-0005-0000-0000-0000E59F0000}"/>
    <cellStyle name="Note 3 4 3 4 2" xfId="41572" xr:uid="{00000000-0005-0000-0000-0000E69F0000}"/>
    <cellStyle name="Note 3 4 3 5" xfId="23134" xr:uid="{00000000-0005-0000-0000-0000E79F0000}"/>
    <cellStyle name="Note 3 4 3 6" xfId="30236" xr:uid="{00000000-0005-0000-0000-0000E89F0000}"/>
    <cellStyle name="Note 3 4 3 7" xfId="41573" xr:uid="{00000000-0005-0000-0000-0000E99F0000}"/>
    <cellStyle name="Note 3 4 4" xfId="4670" xr:uid="{00000000-0005-0000-0000-0000EA9F0000}"/>
    <cellStyle name="Note 3 4 4 2" xfId="11771" xr:uid="{00000000-0005-0000-0000-0000EB9F0000}"/>
    <cellStyle name="Note 3 4 4 2 2" xfId="41574" xr:uid="{00000000-0005-0000-0000-0000EC9F0000}"/>
    <cellStyle name="Note 3 4 4 2 3" xfId="41575" xr:uid="{00000000-0005-0000-0000-0000ED9F0000}"/>
    <cellStyle name="Note 3 4 4 3" xfId="18872" xr:uid="{00000000-0005-0000-0000-0000EE9F0000}"/>
    <cellStyle name="Note 3 4 4 3 2" xfId="41576" xr:uid="{00000000-0005-0000-0000-0000EF9F0000}"/>
    <cellStyle name="Note 3 4 4 3 3" xfId="41577" xr:uid="{00000000-0005-0000-0000-0000F09F0000}"/>
    <cellStyle name="Note 3 4 4 4" xfId="25974" xr:uid="{00000000-0005-0000-0000-0000F19F0000}"/>
    <cellStyle name="Note 3 4 4 4 2" xfId="41578" xr:uid="{00000000-0005-0000-0000-0000F29F0000}"/>
    <cellStyle name="Note 3 4 4 5" xfId="33076" xr:uid="{00000000-0005-0000-0000-0000F39F0000}"/>
    <cellStyle name="Note 3 4 4 6" xfId="41579" xr:uid="{00000000-0005-0000-0000-0000F49F0000}"/>
    <cellStyle name="Note 3 4 5" xfId="3245" xr:uid="{00000000-0005-0000-0000-0000F59F0000}"/>
    <cellStyle name="Note 3 4 5 2" xfId="10351" xr:uid="{00000000-0005-0000-0000-0000F69F0000}"/>
    <cellStyle name="Note 3 4 5 2 2" xfId="41580" xr:uid="{00000000-0005-0000-0000-0000F79F0000}"/>
    <cellStyle name="Note 3 4 5 3" xfId="17452" xr:uid="{00000000-0005-0000-0000-0000F89F0000}"/>
    <cellStyle name="Note 3 4 5 4" xfId="24554" xr:uid="{00000000-0005-0000-0000-0000F99F0000}"/>
    <cellStyle name="Note 3 4 5 5" xfId="31656" xr:uid="{00000000-0005-0000-0000-0000FA9F0000}"/>
    <cellStyle name="Note 3 4 5 6" xfId="41581" xr:uid="{00000000-0005-0000-0000-0000FB9F0000}"/>
    <cellStyle name="Note 3 4 6" xfId="7511" xr:uid="{00000000-0005-0000-0000-0000FC9F0000}"/>
    <cellStyle name="Note 3 4 6 2" xfId="41582" xr:uid="{00000000-0005-0000-0000-0000FD9F0000}"/>
    <cellStyle name="Note 3 4 6 3" xfId="41583" xr:uid="{00000000-0005-0000-0000-0000FE9F0000}"/>
    <cellStyle name="Note 3 4 7" xfId="14612" xr:uid="{00000000-0005-0000-0000-0000FF9F0000}"/>
    <cellStyle name="Note 3 4 7 2" xfId="41584" xr:uid="{00000000-0005-0000-0000-000000A00000}"/>
    <cellStyle name="Note 3 4 8" xfId="21714" xr:uid="{00000000-0005-0000-0000-000001A00000}"/>
    <cellStyle name="Note 3 4 9" xfId="28816" xr:uid="{00000000-0005-0000-0000-000002A00000}"/>
    <cellStyle name="Note 3 5" xfId="545" xr:uid="{00000000-0005-0000-0000-000003A00000}"/>
    <cellStyle name="Note 3 5 2" xfId="2036" xr:uid="{00000000-0005-0000-0000-000004A00000}"/>
    <cellStyle name="Note 3 5 2 2" xfId="6304" xr:uid="{00000000-0005-0000-0000-000005A00000}"/>
    <cellStyle name="Note 3 5 2 2 2" xfId="13404" xr:uid="{00000000-0005-0000-0000-000006A00000}"/>
    <cellStyle name="Note 3 5 2 2 3" xfId="20505" xr:uid="{00000000-0005-0000-0000-000007A00000}"/>
    <cellStyle name="Note 3 5 2 2 4" xfId="27607" xr:uid="{00000000-0005-0000-0000-000008A00000}"/>
    <cellStyle name="Note 3 5 2 2 5" xfId="34709" xr:uid="{00000000-0005-0000-0000-000009A00000}"/>
    <cellStyle name="Note 3 5 2 2 6" xfId="41585" xr:uid="{00000000-0005-0000-0000-00000AA00000}"/>
    <cellStyle name="Note 3 5 2 3" xfId="9144" xr:uid="{00000000-0005-0000-0000-00000BA00000}"/>
    <cellStyle name="Note 3 5 2 4" xfId="16245" xr:uid="{00000000-0005-0000-0000-00000CA00000}"/>
    <cellStyle name="Note 3 5 2 5" xfId="23347" xr:uid="{00000000-0005-0000-0000-00000DA00000}"/>
    <cellStyle name="Note 3 5 2 6" xfId="30449" xr:uid="{00000000-0005-0000-0000-00000EA00000}"/>
    <cellStyle name="Note 3 5 2 7" xfId="41586" xr:uid="{00000000-0005-0000-0000-00000FA00000}"/>
    <cellStyle name="Note 3 5 3" xfId="4883" xr:uid="{00000000-0005-0000-0000-000010A00000}"/>
    <cellStyle name="Note 3 5 3 2" xfId="11984" xr:uid="{00000000-0005-0000-0000-000011A00000}"/>
    <cellStyle name="Note 3 5 3 2 2" xfId="41587" xr:uid="{00000000-0005-0000-0000-000012A00000}"/>
    <cellStyle name="Note 3 5 3 3" xfId="19085" xr:uid="{00000000-0005-0000-0000-000013A00000}"/>
    <cellStyle name="Note 3 5 3 4" xfId="26187" xr:uid="{00000000-0005-0000-0000-000014A00000}"/>
    <cellStyle name="Note 3 5 3 5" xfId="33289" xr:uid="{00000000-0005-0000-0000-000015A00000}"/>
    <cellStyle name="Note 3 5 3 6" xfId="41588" xr:uid="{00000000-0005-0000-0000-000016A00000}"/>
    <cellStyle name="Note 3 5 4" xfId="3458" xr:uid="{00000000-0005-0000-0000-000017A00000}"/>
    <cellStyle name="Note 3 5 4 2" xfId="10564" xr:uid="{00000000-0005-0000-0000-000018A00000}"/>
    <cellStyle name="Note 3 5 4 3" xfId="17665" xr:uid="{00000000-0005-0000-0000-000019A00000}"/>
    <cellStyle name="Note 3 5 4 4" xfId="24767" xr:uid="{00000000-0005-0000-0000-00001AA00000}"/>
    <cellStyle name="Note 3 5 4 5" xfId="31869" xr:uid="{00000000-0005-0000-0000-00001BA00000}"/>
    <cellStyle name="Note 3 5 4 6" xfId="41589" xr:uid="{00000000-0005-0000-0000-00001CA00000}"/>
    <cellStyle name="Note 3 5 5" xfId="7724" xr:uid="{00000000-0005-0000-0000-00001DA00000}"/>
    <cellStyle name="Note 3 5 6" xfId="14825" xr:uid="{00000000-0005-0000-0000-00001EA00000}"/>
    <cellStyle name="Note 3 5 7" xfId="21927" xr:uid="{00000000-0005-0000-0000-00001FA00000}"/>
    <cellStyle name="Note 3 5 8" xfId="29029" xr:uid="{00000000-0005-0000-0000-000020A00000}"/>
    <cellStyle name="Note 3 5 9" xfId="41590" xr:uid="{00000000-0005-0000-0000-000021A00000}"/>
    <cellStyle name="Note 3 6" xfId="758" xr:uid="{00000000-0005-0000-0000-000022A00000}"/>
    <cellStyle name="Note 3 6 2" xfId="2249" xr:uid="{00000000-0005-0000-0000-000023A00000}"/>
    <cellStyle name="Note 3 6 2 2" xfId="6517" xr:uid="{00000000-0005-0000-0000-000024A00000}"/>
    <cellStyle name="Note 3 6 2 2 2" xfId="13617" xr:uid="{00000000-0005-0000-0000-000025A00000}"/>
    <cellStyle name="Note 3 6 2 2 3" xfId="20718" xr:uid="{00000000-0005-0000-0000-000026A00000}"/>
    <cellStyle name="Note 3 6 2 2 4" xfId="27820" xr:uid="{00000000-0005-0000-0000-000027A00000}"/>
    <cellStyle name="Note 3 6 2 2 5" xfId="34922" xr:uid="{00000000-0005-0000-0000-000028A00000}"/>
    <cellStyle name="Note 3 6 2 2 6" xfId="41591" xr:uid="{00000000-0005-0000-0000-000029A00000}"/>
    <cellStyle name="Note 3 6 2 3" xfId="9357" xr:uid="{00000000-0005-0000-0000-00002AA00000}"/>
    <cellStyle name="Note 3 6 2 4" xfId="16458" xr:uid="{00000000-0005-0000-0000-00002BA00000}"/>
    <cellStyle name="Note 3 6 2 5" xfId="23560" xr:uid="{00000000-0005-0000-0000-00002CA00000}"/>
    <cellStyle name="Note 3 6 2 6" xfId="30662" xr:uid="{00000000-0005-0000-0000-00002DA00000}"/>
    <cellStyle name="Note 3 6 2 7" xfId="41592" xr:uid="{00000000-0005-0000-0000-00002EA00000}"/>
    <cellStyle name="Note 3 6 3" xfId="5096" xr:uid="{00000000-0005-0000-0000-00002FA00000}"/>
    <cellStyle name="Note 3 6 3 2" xfId="12197" xr:uid="{00000000-0005-0000-0000-000030A00000}"/>
    <cellStyle name="Note 3 6 3 2 2" xfId="41593" xr:uid="{00000000-0005-0000-0000-000031A00000}"/>
    <cellStyle name="Note 3 6 3 3" xfId="19298" xr:uid="{00000000-0005-0000-0000-000032A00000}"/>
    <cellStyle name="Note 3 6 3 4" xfId="26400" xr:uid="{00000000-0005-0000-0000-000033A00000}"/>
    <cellStyle name="Note 3 6 3 5" xfId="33502" xr:uid="{00000000-0005-0000-0000-000034A00000}"/>
    <cellStyle name="Note 3 6 3 6" xfId="41594" xr:uid="{00000000-0005-0000-0000-000035A00000}"/>
    <cellStyle name="Note 3 6 4" xfId="3671" xr:uid="{00000000-0005-0000-0000-000036A00000}"/>
    <cellStyle name="Note 3 6 4 2" xfId="10777" xr:uid="{00000000-0005-0000-0000-000037A00000}"/>
    <cellStyle name="Note 3 6 4 3" xfId="17878" xr:uid="{00000000-0005-0000-0000-000038A00000}"/>
    <cellStyle name="Note 3 6 4 4" xfId="24980" xr:uid="{00000000-0005-0000-0000-000039A00000}"/>
    <cellStyle name="Note 3 6 4 5" xfId="32082" xr:uid="{00000000-0005-0000-0000-00003AA00000}"/>
    <cellStyle name="Note 3 6 4 6" xfId="41595" xr:uid="{00000000-0005-0000-0000-00003BA00000}"/>
    <cellStyle name="Note 3 6 5" xfId="7937" xr:uid="{00000000-0005-0000-0000-00003CA00000}"/>
    <cellStyle name="Note 3 6 6" xfId="15038" xr:uid="{00000000-0005-0000-0000-00003DA00000}"/>
    <cellStyle name="Note 3 6 7" xfId="22140" xr:uid="{00000000-0005-0000-0000-00003EA00000}"/>
    <cellStyle name="Note 3 6 8" xfId="29242" xr:uid="{00000000-0005-0000-0000-00003FA00000}"/>
    <cellStyle name="Note 3 6 9" xfId="41596" xr:uid="{00000000-0005-0000-0000-000040A00000}"/>
    <cellStyle name="Note 3 7" xfId="971" xr:uid="{00000000-0005-0000-0000-000041A00000}"/>
    <cellStyle name="Note 3 7 2" xfId="2462" xr:uid="{00000000-0005-0000-0000-000042A00000}"/>
    <cellStyle name="Note 3 7 2 2" xfId="6730" xr:uid="{00000000-0005-0000-0000-000043A00000}"/>
    <cellStyle name="Note 3 7 2 2 2" xfId="13830" xr:uid="{00000000-0005-0000-0000-000044A00000}"/>
    <cellStyle name="Note 3 7 2 2 3" xfId="20931" xr:uid="{00000000-0005-0000-0000-000045A00000}"/>
    <cellStyle name="Note 3 7 2 2 4" xfId="28033" xr:uid="{00000000-0005-0000-0000-000046A00000}"/>
    <cellStyle name="Note 3 7 2 2 5" xfId="35135" xr:uid="{00000000-0005-0000-0000-000047A00000}"/>
    <cellStyle name="Note 3 7 2 2 6" xfId="41597" xr:uid="{00000000-0005-0000-0000-000048A00000}"/>
    <cellStyle name="Note 3 7 2 3" xfId="9570" xr:uid="{00000000-0005-0000-0000-000049A00000}"/>
    <cellStyle name="Note 3 7 2 4" xfId="16671" xr:uid="{00000000-0005-0000-0000-00004AA00000}"/>
    <cellStyle name="Note 3 7 2 5" xfId="23773" xr:uid="{00000000-0005-0000-0000-00004BA00000}"/>
    <cellStyle name="Note 3 7 2 6" xfId="30875" xr:uid="{00000000-0005-0000-0000-00004CA00000}"/>
    <cellStyle name="Note 3 7 2 7" xfId="41598" xr:uid="{00000000-0005-0000-0000-00004DA00000}"/>
    <cellStyle name="Note 3 7 3" xfId="5309" xr:uid="{00000000-0005-0000-0000-00004EA00000}"/>
    <cellStyle name="Note 3 7 3 2" xfId="12410" xr:uid="{00000000-0005-0000-0000-00004FA00000}"/>
    <cellStyle name="Note 3 7 3 2 2" xfId="41599" xr:uid="{00000000-0005-0000-0000-000050A00000}"/>
    <cellStyle name="Note 3 7 3 3" xfId="19511" xr:uid="{00000000-0005-0000-0000-000051A00000}"/>
    <cellStyle name="Note 3 7 3 4" xfId="26613" xr:uid="{00000000-0005-0000-0000-000052A00000}"/>
    <cellStyle name="Note 3 7 3 5" xfId="33715" xr:uid="{00000000-0005-0000-0000-000053A00000}"/>
    <cellStyle name="Note 3 7 3 6" xfId="41600" xr:uid="{00000000-0005-0000-0000-000054A00000}"/>
    <cellStyle name="Note 3 7 4" xfId="3884" xr:uid="{00000000-0005-0000-0000-000055A00000}"/>
    <cellStyle name="Note 3 7 4 2" xfId="10990" xr:uid="{00000000-0005-0000-0000-000056A00000}"/>
    <cellStyle name="Note 3 7 4 3" xfId="18091" xr:uid="{00000000-0005-0000-0000-000057A00000}"/>
    <cellStyle name="Note 3 7 4 4" xfId="25193" xr:uid="{00000000-0005-0000-0000-000058A00000}"/>
    <cellStyle name="Note 3 7 4 5" xfId="32295" xr:uid="{00000000-0005-0000-0000-000059A00000}"/>
    <cellStyle name="Note 3 7 4 6" xfId="41601" xr:uid="{00000000-0005-0000-0000-00005AA00000}"/>
    <cellStyle name="Note 3 7 5" xfId="8150" xr:uid="{00000000-0005-0000-0000-00005BA00000}"/>
    <cellStyle name="Note 3 7 6" xfId="15251" xr:uid="{00000000-0005-0000-0000-00005CA00000}"/>
    <cellStyle name="Note 3 7 7" xfId="22353" xr:uid="{00000000-0005-0000-0000-00005DA00000}"/>
    <cellStyle name="Note 3 7 8" xfId="29455" xr:uid="{00000000-0005-0000-0000-00005EA00000}"/>
    <cellStyle name="Note 3 7 9" xfId="41602" xr:uid="{00000000-0005-0000-0000-00005FA00000}"/>
    <cellStyle name="Note 3 8" xfId="1326" xr:uid="{00000000-0005-0000-0000-000060A00000}"/>
    <cellStyle name="Note 3 8 2" xfId="2817" xr:uid="{00000000-0005-0000-0000-000061A00000}"/>
    <cellStyle name="Note 3 8 2 2" xfId="7085" xr:uid="{00000000-0005-0000-0000-000062A00000}"/>
    <cellStyle name="Note 3 8 2 2 2" xfId="14185" xr:uid="{00000000-0005-0000-0000-000063A00000}"/>
    <cellStyle name="Note 3 8 2 2 3" xfId="21286" xr:uid="{00000000-0005-0000-0000-000064A00000}"/>
    <cellStyle name="Note 3 8 2 2 4" xfId="28388" xr:uid="{00000000-0005-0000-0000-000065A00000}"/>
    <cellStyle name="Note 3 8 2 2 5" xfId="35490" xr:uid="{00000000-0005-0000-0000-000066A00000}"/>
    <cellStyle name="Note 3 8 2 3" xfId="9925" xr:uid="{00000000-0005-0000-0000-000067A00000}"/>
    <cellStyle name="Note 3 8 2 4" xfId="17026" xr:uid="{00000000-0005-0000-0000-000068A00000}"/>
    <cellStyle name="Note 3 8 2 5" xfId="24128" xr:uid="{00000000-0005-0000-0000-000069A00000}"/>
    <cellStyle name="Note 3 8 2 6" xfId="31230" xr:uid="{00000000-0005-0000-0000-00006AA00000}"/>
    <cellStyle name="Note 3 8 2 7" xfId="41603" xr:uid="{00000000-0005-0000-0000-00006BA00000}"/>
    <cellStyle name="Note 3 8 3" xfId="5664" xr:uid="{00000000-0005-0000-0000-00006CA00000}"/>
    <cellStyle name="Note 3 8 3 2" xfId="12765" xr:uid="{00000000-0005-0000-0000-00006DA00000}"/>
    <cellStyle name="Note 3 8 3 3" xfId="19866" xr:uid="{00000000-0005-0000-0000-00006EA00000}"/>
    <cellStyle name="Note 3 8 3 4" xfId="26968" xr:uid="{00000000-0005-0000-0000-00006FA00000}"/>
    <cellStyle name="Note 3 8 3 5" xfId="34070" xr:uid="{00000000-0005-0000-0000-000070A00000}"/>
    <cellStyle name="Note 3 8 4" xfId="4239" xr:uid="{00000000-0005-0000-0000-000071A00000}"/>
    <cellStyle name="Note 3 8 4 2" xfId="11345" xr:uid="{00000000-0005-0000-0000-000072A00000}"/>
    <cellStyle name="Note 3 8 4 3" xfId="18446" xr:uid="{00000000-0005-0000-0000-000073A00000}"/>
    <cellStyle name="Note 3 8 4 4" xfId="25548" xr:uid="{00000000-0005-0000-0000-000074A00000}"/>
    <cellStyle name="Note 3 8 4 5" xfId="32650" xr:uid="{00000000-0005-0000-0000-000075A00000}"/>
    <cellStyle name="Note 3 8 5" xfId="8505" xr:uid="{00000000-0005-0000-0000-000076A00000}"/>
    <cellStyle name="Note 3 8 6" xfId="15606" xr:uid="{00000000-0005-0000-0000-000077A00000}"/>
    <cellStyle name="Note 3 8 7" xfId="22708" xr:uid="{00000000-0005-0000-0000-000078A00000}"/>
    <cellStyle name="Note 3 8 8" xfId="29810" xr:uid="{00000000-0005-0000-0000-000079A00000}"/>
    <cellStyle name="Note 3 8 9" xfId="41604" xr:uid="{00000000-0005-0000-0000-00007AA00000}"/>
    <cellStyle name="Note 3 9" xfId="1610" xr:uid="{00000000-0005-0000-0000-00007BA00000}"/>
    <cellStyle name="Note 3 9 2" xfId="5878" xr:uid="{00000000-0005-0000-0000-00007CA00000}"/>
    <cellStyle name="Note 3 9 2 2" xfId="12978" xr:uid="{00000000-0005-0000-0000-00007DA00000}"/>
    <cellStyle name="Note 3 9 2 3" xfId="20079" xr:uid="{00000000-0005-0000-0000-00007EA00000}"/>
    <cellStyle name="Note 3 9 2 4" xfId="27181" xr:uid="{00000000-0005-0000-0000-00007FA00000}"/>
    <cellStyle name="Note 3 9 2 5" xfId="34283" xr:uid="{00000000-0005-0000-0000-000080A00000}"/>
    <cellStyle name="Note 3 9 2 6" xfId="41605" xr:uid="{00000000-0005-0000-0000-000081A00000}"/>
    <cellStyle name="Note 3 9 3" xfId="8718" xr:uid="{00000000-0005-0000-0000-000082A00000}"/>
    <cellStyle name="Note 3 9 4" xfId="15819" xr:uid="{00000000-0005-0000-0000-000083A00000}"/>
    <cellStyle name="Note 3 9 5" xfId="22921" xr:uid="{00000000-0005-0000-0000-000084A00000}"/>
    <cellStyle name="Note 3 9 6" xfId="30023" xr:uid="{00000000-0005-0000-0000-000085A00000}"/>
    <cellStyle name="Note 3 9 7" xfId="41606" xr:uid="{00000000-0005-0000-0000-000086A00000}"/>
    <cellStyle name="Note 4" xfId="131" xr:uid="{00000000-0005-0000-0000-000087A00000}"/>
    <cellStyle name="Note 4 10" xfId="4471" xr:uid="{00000000-0005-0000-0000-000088A00000}"/>
    <cellStyle name="Note 4 10 2" xfId="11572" xr:uid="{00000000-0005-0000-0000-000089A00000}"/>
    <cellStyle name="Note 4 10 3" xfId="18673" xr:uid="{00000000-0005-0000-0000-00008AA00000}"/>
    <cellStyle name="Note 4 10 4" xfId="25775" xr:uid="{00000000-0005-0000-0000-00008BA00000}"/>
    <cellStyle name="Note 4 10 5" xfId="32877" xr:uid="{00000000-0005-0000-0000-00008CA00000}"/>
    <cellStyle name="Note 4 11" xfId="3046" xr:uid="{00000000-0005-0000-0000-00008DA00000}"/>
    <cellStyle name="Note 4 11 2" xfId="10152" xr:uid="{00000000-0005-0000-0000-00008EA00000}"/>
    <cellStyle name="Note 4 11 3" xfId="17253" xr:uid="{00000000-0005-0000-0000-00008FA00000}"/>
    <cellStyle name="Note 4 11 4" xfId="24355" xr:uid="{00000000-0005-0000-0000-000090A00000}"/>
    <cellStyle name="Note 4 11 5" xfId="31457" xr:uid="{00000000-0005-0000-0000-000091A00000}"/>
    <cellStyle name="Note 4 12" xfId="7312" xr:uid="{00000000-0005-0000-0000-000092A00000}"/>
    <cellStyle name="Note 4 13" xfId="14413" xr:uid="{00000000-0005-0000-0000-000093A00000}"/>
    <cellStyle name="Note 4 14" xfId="21515" xr:uid="{00000000-0005-0000-0000-000094A00000}"/>
    <cellStyle name="Note 4 15" xfId="28617" xr:uid="{00000000-0005-0000-0000-000095A00000}"/>
    <cellStyle name="Note 4 16" xfId="35719" xr:uid="{00000000-0005-0000-0000-000096A00000}"/>
    <cellStyle name="Note 4 17" xfId="41607" xr:uid="{00000000-0005-0000-0000-000097A00000}"/>
    <cellStyle name="Note 4 18" xfId="41608" xr:uid="{00000000-0005-0000-0000-000098A00000}"/>
    <cellStyle name="Note 4 2" xfId="275" xr:uid="{00000000-0005-0000-0000-000099A00000}"/>
    <cellStyle name="Note 4 2 10" xfId="7454" xr:uid="{00000000-0005-0000-0000-00009AA00000}"/>
    <cellStyle name="Note 4 2 11" xfId="14555" xr:uid="{00000000-0005-0000-0000-00009BA00000}"/>
    <cellStyle name="Note 4 2 12" xfId="21657" xr:uid="{00000000-0005-0000-0000-00009CA00000}"/>
    <cellStyle name="Note 4 2 13" xfId="28759" xr:uid="{00000000-0005-0000-0000-00009DA00000}"/>
    <cellStyle name="Note 4 2 14" xfId="35861" xr:uid="{00000000-0005-0000-0000-00009EA00000}"/>
    <cellStyle name="Note 4 2 15" xfId="41609" xr:uid="{00000000-0005-0000-0000-00009FA00000}"/>
    <cellStyle name="Note 4 2 2" xfId="488" xr:uid="{00000000-0005-0000-0000-0000A0A00000}"/>
    <cellStyle name="Note 4 2 2 10" xfId="41610" xr:uid="{00000000-0005-0000-0000-0000A1A00000}"/>
    <cellStyle name="Note 4 2 2 2" xfId="1269" xr:uid="{00000000-0005-0000-0000-0000A2A00000}"/>
    <cellStyle name="Note 4 2 2 2 2" xfId="2760" xr:uid="{00000000-0005-0000-0000-0000A3A00000}"/>
    <cellStyle name="Note 4 2 2 2 2 2" xfId="7028" xr:uid="{00000000-0005-0000-0000-0000A4A00000}"/>
    <cellStyle name="Note 4 2 2 2 2 2 2" xfId="14128" xr:uid="{00000000-0005-0000-0000-0000A5A00000}"/>
    <cellStyle name="Note 4 2 2 2 2 2 3" xfId="21229" xr:uid="{00000000-0005-0000-0000-0000A6A00000}"/>
    <cellStyle name="Note 4 2 2 2 2 2 4" xfId="28331" xr:uid="{00000000-0005-0000-0000-0000A7A00000}"/>
    <cellStyle name="Note 4 2 2 2 2 2 5" xfId="35433" xr:uid="{00000000-0005-0000-0000-0000A8A00000}"/>
    <cellStyle name="Note 4 2 2 2 2 3" xfId="9868" xr:uid="{00000000-0005-0000-0000-0000A9A00000}"/>
    <cellStyle name="Note 4 2 2 2 2 4" xfId="16969" xr:uid="{00000000-0005-0000-0000-0000AAA00000}"/>
    <cellStyle name="Note 4 2 2 2 2 5" xfId="24071" xr:uid="{00000000-0005-0000-0000-0000ABA00000}"/>
    <cellStyle name="Note 4 2 2 2 2 6" xfId="31173" xr:uid="{00000000-0005-0000-0000-0000ACA00000}"/>
    <cellStyle name="Note 4 2 2 2 2 7" xfId="41611" xr:uid="{00000000-0005-0000-0000-0000ADA00000}"/>
    <cellStyle name="Note 4 2 2 2 3" xfId="5607" xr:uid="{00000000-0005-0000-0000-0000AEA00000}"/>
    <cellStyle name="Note 4 2 2 2 3 2" xfId="12708" xr:uid="{00000000-0005-0000-0000-0000AFA00000}"/>
    <cellStyle name="Note 4 2 2 2 3 3" xfId="19809" xr:uid="{00000000-0005-0000-0000-0000B0A00000}"/>
    <cellStyle name="Note 4 2 2 2 3 4" xfId="26911" xr:uid="{00000000-0005-0000-0000-0000B1A00000}"/>
    <cellStyle name="Note 4 2 2 2 3 5" xfId="34013" xr:uid="{00000000-0005-0000-0000-0000B2A00000}"/>
    <cellStyle name="Note 4 2 2 2 4" xfId="4182" xr:uid="{00000000-0005-0000-0000-0000B3A00000}"/>
    <cellStyle name="Note 4 2 2 2 4 2" xfId="11288" xr:uid="{00000000-0005-0000-0000-0000B4A00000}"/>
    <cellStyle name="Note 4 2 2 2 4 3" xfId="18389" xr:uid="{00000000-0005-0000-0000-0000B5A00000}"/>
    <cellStyle name="Note 4 2 2 2 4 4" xfId="25491" xr:uid="{00000000-0005-0000-0000-0000B6A00000}"/>
    <cellStyle name="Note 4 2 2 2 4 5" xfId="32593" xr:uid="{00000000-0005-0000-0000-0000B7A00000}"/>
    <cellStyle name="Note 4 2 2 2 5" xfId="8448" xr:uid="{00000000-0005-0000-0000-0000B8A00000}"/>
    <cellStyle name="Note 4 2 2 2 6" xfId="15549" xr:uid="{00000000-0005-0000-0000-0000B9A00000}"/>
    <cellStyle name="Note 4 2 2 2 7" xfId="22651" xr:uid="{00000000-0005-0000-0000-0000BAA00000}"/>
    <cellStyle name="Note 4 2 2 2 8" xfId="29753" xr:uid="{00000000-0005-0000-0000-0000BBA00000}"/>
    <cellStyle name="Note 4 2 2 2 9" xfId="41612" xr:uid="{00000000-0005-0000-0000-0000BCA00000}"/>
    <cellStyle name="Note 4 2 2 3" xfId="1979" xr:uid="{00000000-0005-0000-0000-0000BDA00000}"/>
    <cellStyle name="Note 4 2 2 3 2" xfId="6247" xr:uid="{00000000-0005-0000-0000-0000BEA00000}"/>
    <cellStyle name="Note 4 2 2 3 2 2" xfId="13347" xr:uid="{00000000-0005-0000-0000-0000BFA00000}"/>
    <cellStyle name="Note 4 2 2 3 2 3" xfId="20448" xr:uid="{00000000-0005-0000-0000-0000C0A00000}"/>
    <cellStyle name="Note 4 2 2 3 2 4" xfId="27550" xr:uid="{00000000-0005-0000-0000-0000C1A00000}"/>
    <cellStyle name="Note 4 2 2 3 2 5" xfId="34652" xr:uid="{00000000-0005-0000-0000-0000C2A00000}"/>
    <cellStyle name="Note 4 2 2 3 2 6" xfId="41613" xr:uid="{00000000-0005-0000-0000-0000C3A00000}"/>
    <cellStyle name="Note 4 2 2 3 3" xfId="9087" xr:uid="{00000000-0005-0000-0000-0000C4A00000}"/>
    <cellStyle name="Note 4 2 2 3 4" xfId="16188" xr:uid="{00000000-0005-0000-0000-0000C5A00000}"/>
    <cellStyle name="Note 4 2 2 3 5" xfId="23290" xr:uid="{00000000-0005-0000-0000-0000C6A00000}"/>
    <cellStyle name="Note 4 2 2 3 6" xfId="30392" xr:uid="{00000000-0005-0000-0000-0000C7A00000}"/>
    <cellStyle name="Note 4 2 2 3 7" xfId="41614" xr:uid="{00000000-0005-0000-0000-0000C8A00000}"/>
    <cellStyle name="Note 4 2 2 4" xfId="4826" xr:uid="{00000000-0005-0000-0000-0000C9A00000}"/>
    <cellStyle name="Note 4 2 2 4 2" xfId="11927" xr:uid="{00000000-0005-0000-0000-0000CAA00000}"/>
    <cellStyle name="Note 4 2 2 4 3" xfId="19028" xr:uid="{00000000-0005-0000-0000-0000CBA00000}"/>
    <cellStyle name="Note 4 2 2 4 4" xfId="26130" xr:uid="{00000000-0005-0000-0000-0000CCA00000}"/>
    <cellStyle name="Note 4 2 2 4 5" xfId="33232" xr:uid="{00000000-0005-0000-0000-0000CDA00000}"/>
    <cellStyle name="Note 4 2 2 4 6" xfId="41615" xr:uid="{00000000-0005-0000-0000-0000CEA00000}"/>
    <cellStyle name="Note 4 2 2 5" xfId="3401" xr:uid="{00000000-0005-0000-0000-0000CFA00000}"/>
    <cellStyle name="Note 4 2 2 5 2" xfId="10507" xr:uid="{00000000-0005-0000-0000-0000D0A00000}"/>
    <cellStyle name="Note 4 2 2 5 3" xfId="17608" xr:uid="{00000000-0005-0000-0000-0000D1A00000}"/>
    <cellStyle name="Note 4 2 2 5 4" xfId="24710" xr:uid="{00000000-0005-0000-0000-0000D2A00000}"/>
    <cellStyle name="Note 4 2 2 5 5" xfId="31812" xr:uid="{00000000-0005-0000-0000-0000D3A00000}"/>
    <cellStyle name="Note 4 2 2 6" xfId="7667" xr:uid="{00000000-0005-0000-0000-0000D4A00000}"/>
    <cellStyle name="Note 4 2 2 7" xfId="14768" xr:uid="{00000000-0005-0000-0000-0000D5A00000}"/>
    <cellStyle name="Note 4 2 2 8" xfId="21870" xr:uid="{00000000-0005-0000-0000-0000D6A00000}"/>
    <cellStyle name="Note 4 2 2 9" xfId="28972" xr:uid="{00000000-0005-0000-0000-0000D7A00000}"/>
    <cellStyle name="Note 4 2 3" xfId="701" xr:uid="{00000000-0005-0000-0000-0000D8A00000}"/>
    <cellStyle name="Note 4 2 3 2" xfId="2192" xr:uid="{00000000-0005-0000-0000-0000D9A00000}"/>
    <cellStyle name="Note 4 2 3 2 2" xfId="6460" xr:uid="{00000000-0005-0000-0000-0000DAA00000}"/>
    <cellStyle name="Note 4 2 3 2 2 2" xfId="13560" xr:uid="{00000000-0005-0000-0000-0000DBA00000}"/>
    <cellStyle name="Note 4 2 3 2 2 3" xfId="20661" xr:uid="{00000000-0005-0000-0000-0000DCA00000}"/>
    <cellStyle name="Note 4 2 3 2 2 4" xfId="27763" xr:uid="{00000000-0005-0000-0000-0000DDA00000}"/>
    <cellStyle name="Note 4 2 3 2 2 5" xfId="34865" xr:uid="{00000000-0005-0000-0000-0000DEA00000}"/>
    <cellStyle name="Note 4 2 3 2 2 6" xfId="41616" xr:uid="{00000000-0005-0000-0000-0000DFA00000}"/>
    <cellStyle name="Note 4 2 3 2 3" xfId="9300" xr:uid="{00000000-0005-0000-0000-0000E0A00000}"/>
    <cellStyle name="Note 4 2 3 2 4" xfId="16401" xr:uid="{00000000-0005-0000-0000-0000E1A00000}"/>
    <cellStyle name="Note 4 2 3 2 5" xfId="23503" xr:uid="{00000000-0005-0000-0000-0000E2A00000}"/>
    <cellStyle name="Note 4 2 3 2 6" xfId="30605" xr:uid="{00000000-0005-0000-0000-0000E3A00000}"/>
    <cellStyle name="Note 4 2 3 2 7" xfId="41617" xr:uid="{00000000-0005-0000-0000-0000E4A00000}"/>
    <cellStyle name="Note 4 2 3 3" xfId="5039" xr:uid="{00000000-0005-0000-0000-0000E5A00000}"/>
    <cellStyle name="Note 4 2 3 3 2" xfId="12140" xr:uid="{00000000-0005-0000-0000-0000E6A00000}"/>
    <cellStyle name="Note 4 2 3 3 2 2" xfId="41618" xr:uid="{00000000-0005-0000-0000-0000E7A00000}"/>
    <cellStyle name="Note 4 2 3 3 3" xfId="19241" xr:uid="{00000000-0005-0000-0000-0000E8A00000}"/>
    <cellStyle name="Note 4 2 3 3 4" xfId="26343" xr:uid="{00000000-0005-0000-0000-0000E9A00000}"/>
    <cellStyle name="Note 4 2 3 3 5" xfId="33445" xr:uid="{00000000-0005-0000-0000-0000EAA00000}"/>
    <cellStyle name="Note 4 2 3 3 6" xfId="41619" xr:uid="{00000000-0005-0000-0000-0000EBA00000}"/>
    <cellStyle name="Note 4 2 3 4" xfId="3614" xr:uid="{00000000-0005-0000-0000-0000ECA00000}"/>
    <cellStyle name="Note 4 2 3 4 2" xfId="10720" xr:uid="{00000000-0005-0000-0000-0000EDA00000}"/>
    <cellStyle name="Note 4 2 3 4 3" xfId="17821" xr:uid="{00000000-0005-0000-0000-0000EEA00000}"/>
    <cellStyle name="Note 4 2 3 4 4" xfId="24923" xr:uid="{00000000-0005-0000-0000-0000EFA00000}"/>
    <cellStyle name="Note 4 2 3 4 5" xfId="32025" xr:uid="{00000000-0005-0000-0000-0000F0A00000}"/>
    <cellStyle name="Note 4 2 3 4 6" xfId="41620" xr:uid="{00000000-0005-0000-0000-0000F1A00000}"/>
    <cellStyle name="Note 4 2 3 5" xfId="7880" xr:uid="{00000000-0005-0000-0000-0000F2A00000}"/>
    <cellStyle name="Note 4 2 3 6" xfId="14981" xr:uid="{00000000-0005-0000-0000-0000F3A00000}"/>
    <cellStyle name="Note 4 2 3 7" xfId="22083" xr:uid="{00000000-0005-0000-0000-0000F4A00000}"/>
    <cellStyle name="Note 4 2 3 8" xfId="29185" xr:uid="{00000000-0005-0000-0000-0000F5A00000}"/>
    <cellStyle name="Note 4 2 3 9" xfId="41621" xr:uid="{00000000-0005-0000-0000-0000F6A00000}"/>
    <cellStyle name="Note 4 2 4" xfId="914" xr:uid="{00000000-0005-0000-0000-0000F7A00000}"/>
    <cellStyle name="Note 4 2 4 2" xfId="2405" xr:uid="{00000000-0005-0000-0000-0000F8A00000}"/>
    <cellStyle name="Note 4 2 4 2 2" xfId="6673" xr:uid="{00000000-0005-0000-0000-0000F9A00000}"/>
    <cellStyle name="Note 4 2 4 2 2 2" xfId="13773" xr:uid="{00000000-0005-0000-0000-0000FAA00000}"/>
    <cellStyle name="Note 4 2 4 2 2 3" xfId="20874" xr:uid="{00000000-0005-0000-0000-0000FBA00000}"/>
    <cellStyle name="Note 4 2 4 2 2 4" xfId="27976" xr:uid="{00000000-0005-0000-0000-0000FCA00000}"/>
    <cellStyle name="Note 4 2 4 2 2 5" xfId="35078" xr:uid="{00000000-0005-0000-0000-0000FDA00000}"/>
    <cellStyle name="Note 4 2 4 2 2 6" xfId="41622" xr:uid="{00000000-0005-0000-0000-0000FEA00000}"/>
    <cellStyle name="Note 4 2 4 2 3" xfId="9513" xr:uid="{00000000-0005-0000-0000-0000FFA00000}"/>
    <cellStyle name="Note 4 2 4 2 4" xfId="16614" xr:uid="{00000000-0005-0000-0000-000000A10000}"/>
    <cellStyle name="Note 4 2 4 2 5" xfId="23716" xr:uid="{00000000-0005-0000-0000-000001A10000}"/>
    <cellStyle name="Note 4 2 4 2 6" xfId="30818" xr:uid="{00000000-0005-0000-0000-000002A10000}"/>
    <cellStyle name="Note 4 2 4 2 7" xfId="41623" xr:uid="{00000000-0005-0000-0000-000003A10000}"/>
    <cellStyle name="Note 4 2 4 3" xfId="5252" xr:uid="{00000000-0005-0000-0000-000004A10000}"/>
    <cellStyle name="Note 4 2 4 3 2" xfId="12353" xr:uid="{00000000-0005-0000-0000-000005A10000}"/>
    <cellStyle name="Note 4 2 4 3 2 2" xfId="41624" xr:uid="{00000000-0005-0000-0000-000006A10000}"/>
    <cellStyle name="Note 4 2 4 3 3" xfId="19454" xr:uid="{00000000-0005-0000-0000-000007A10000}"/>
    <cellStyle name="Note 4 2 4 3 4" xfId="26556" xr:uid="{00000000-0005-0000-0000-000008A10000}"/>
    <cellStyle name="Note 4 2 4 3 5" xfId="33658" xr:uid="{00000000-0005-0000-0000-000009A10000}"/>
    <cellStyle name="Note 4 2 4 3 6" xfId="41625" xr:uid="{00000000-0005-0000-0000-00000AA10000}"/>
    <cellStyle name="Note 4 2 4 4" xfId="3827" xr:uid="{00000000-0005-0000-0000-00000BA10000}"/>
    <cellStyle name="Note 4 2 4 4 2" xfId="10933" xr:uid="{00000000-0005-0000-0000-00000CA10000}"/>
    <cellStyle name="Note 4 2 4 4 3" xfId="18034" xr:uid="{00000000-0005-0000-0000-00000DA10000}"/>
    <cellStyle name="Note 4 2 4 4 4" xfId="25136" xr:uid="{00000000-0005-0000-0000-00000EA10000}"/>
    <cellStyle name="Note 4 2 4 4 5" xfId="32238" xr:uid="{00000000-0005-0000-0000-00000FA10000}"/>
    <cellStyle name="Note 4 2 4 4 6" xfId="41626" xr:uid="{00000000-0005-0000-0000-000010A10000}"/>
    <cellStyle name="Note 4 2 4 5" xfId="8093" xr:uid="{00000000-0005-0000-0000-000011A10000}"/>
    <cellStyle name="Note 4 2 4 6" xfId="15194" xr:uid="{00000000-0005-0000-0000-000012A10000}"/>
    <cellStyle name="Note 4 2 4 7" xfId="22296" xr:uid="{00000000-0005-0000-0000-000013A10000}"/>
    <cellStyle name="Note 4 2 4 8" xfId="29398" xr:uid="{00000000-0005-0000-0000-000014A10000}"/>
    <cellStyle name="Note 4 2 4 9" xfId="41627" xr:uid="{00000000-0005-0000-0000-000015A10000}"/>
    <cellStyle name="Note 4 2 5" xfId="1056" xr:uid="{00000000-0005-0000-0000-000016A10000}"/>
    <cellStyle name="Note 4 2 5 2" xfId="2547" xr:uid="{00000000-0005-0000-0000-000017A10000}"/>
    <cellStyle name="Note 4 2 5 2 2" xfId="6815" xr:uid="{00000000-0005-0000-0000-000018A10000}"/>
    <cellStyle name="Note 4 2 5 2 2 2" xfId="13915" xr:uid="{00000000-0005-0000-0000-000019A10000}"/>
    <cellStyle name="Note 4 2 5 2 2 3" xfId="21016" xr:uid="{00000000-0005-0000-0000-00001AA10000}"/>
    <cellStyle name="Note 4 2 5 2 2 4" xfId="28118" xr:uid="{00000000-0005-0000-0000-00001BA10000}"/>
    <cellStyle name="Note 4 2 5 2 2 5" xfId="35220" xr:uid="{00000000-0005-0000-0000-00001CA10000}"/>
    <cellStyle name="Note 4 2 5 2 3" xfId="9655" xr:uid="{00000000-0005-0000-0000-00001DA10000}"/>
    <cellStyle name="Note 4 2 5 2 4" xfId="16756" xr:uid="{00000000-0005-0000-0000-00001EA10000}"/>
    <cellStyle name="Note 4 2 5 2 5" xfId="23858" xr:uid="{00000000-0005-0000-0000-00001FA10000}"/>
    <cellStyle name="Note 4 2 5 2 6" xfId="30960" xr:uid="{00000000-0005-0000-0000-000020A10000}"/>
    <cellStyle name="Note 4 2 5 2 7" xfId="41628" xr:uid="{00000000-0005-0000-0000-000021A10000}"/>
    <cellStyle name="Note 4 2 5 3" xfId="5394" xr:uid="{00000000-0005-0000-0000-000022A10000}"/>
    <cellStyle name="Note 4 2 5 3 2" xfId="12495" xr:uid="{00000000-0005-0000-0000-000023A10000}"/>
    <cellStyle name="Note 4 2 5 3 3" xfId="19596" xr:uid="{00000000-0005-0000-0000-000024A10000}"/>
    <cellStyle name="Note 4 2 5 3 4" xfId="26698" xr:uid="{00000000-0005-0000-0000-000025A10000}"/>
    <cellStyle name="Note 4 2 5 3 5" xfId="33800" xr:uid="{00000000-0005-0000-0000-000026A10000}"/>
    <cellStyle name="Note 4 2 5 4" xfId="3969" xr:uid="{00000000-0005-0000-0000-000027A10000}"/>
    <cellStyle name="Note 4 2 5 4 2" xfId="11075" xr:uid="{00000000-0005-0000-0000-000028A10000}"/>
    <cellStyle name="Note 4 2 5 4 3" xfId="18176" xr:uid="{00000000-0005-0000-0000-000029A10000}"/>
    <cellStyle name="Note 4 2 5 4 4" xfId="25278" xr:uid="{00000000-0005-0000-0000-00002AA10000}"/>
    <cellStyle name="Note 4 2 5 4 5" xfId="32380" xr:uid="{00000000-0005-0000-0000-00002BA10000}"/>
    <cellStyle name="Note 4 2 5 5" xfId="8235" xr:uid="{00000000-0005-0000-0000-00002CA10000}"/>
    <cellStyle name="Note 4 2 5 6" xfId="15336" xr:uid="{00000000-0005-0000-0000-00002DA10000}"/>
    <cellStyle name="Note 4 2 5 7" xfId="22438" xr:uid="{00000000-0005-0000-0000-00002EA10000}"/>
    <cellStyle name="Note 4 2 5 8" xfId="29540" xr:uid="{00000000-0005-0000-0000-00002FA10000}"/>
    <cellStyle name="Note 4 2 5 9" xfId="41629" xr:uid="{00000000-0005-0000-0000-000030A10000}"/>
    <cellStyle name="Note 4 2 6" xfId="1482" xr:uid="{00000000-0005-0000-0000-000031A10000}"/>
    <cellStyle name="Note 4 2 6 2" xfId="2973" xr:uid="{00000000-0005-0000-0000-000032A10000}"/>
    <cellStyle name="Note 4 2 6 2 2" xfId="7241" xr:uid="{00000000-0005-0000-0000-000033A10000}"/>
    <cellStyle name="Note 4 2 6 2 2 2" xfId="14341" xr:uid="{00000000-0005-0000-0000-000034A10000}"/>
    <cellStyle name="Note 4 2 6 2 2 3" xfId="21442" xr:uid="{00000000-0005-0000-0000-000035A10000}"/>
    <cellStyle name="Note 4 2 6 2 2 4" xfId="28544" xr:uid="{00000000-0005-0000-0000-000036A10000}"/>
    <cellStyle name="Note 4 2 6 2 2 5" xfId="35646" xr:uid="{00000000-0005-0000-0000-000037A10000}"/>
    <cellStyle name="Note 4 2 6 2 3" xfId="10081" xr:uid="{00000000-0005-0000-0000-000038A10000}"/>
    <cellStyle name="Note 4 2 6 2 4" xfId="17182" xr:uid="{00000000-0005-0000-0000-000039A10000}"/>
    <cellStyle name="Note 4 2 6 2 5" xfId="24284" xr:uid="{00000000-0005-0000-0000-00003AA10000}"/>
    <cellStyle name="Note 4 2 6 2 6" xfId="31386" xr:uid="{00000000-0005-0000-0000-00003BA10000}"/>
    <cellStyle name="Note 4 2 6 2 7" xfId="41630" xr:uid="{00000000-0005-0000-0000-00003CA10000}"/>
    <cellStyle name="Note 4 2 6 3" xfId="5820" xr:uid="{00000000-0005-0000-0000-00003DA10000}"/>
    <cellStyle name="Note 4 2 6 3 2" xfId="12921" xr:uid="{00000000-0005-0000-0000-00003EA10000}"/>
    <cellStyle name="Note 4 2 6 3 3" xfId="20022" xr:uid="{00000000-0005-0000-0000-00003FA10000}"/>
    <cellStyle name="Note 4 2 6 3 4" xfId="27124" xr:uid="{00000000-0005-0000-0000-000040A10000}"/>
    <cellStyle name="Note 4 2 6 3 5" xfId="34226" xr:uid="{00000000-0005-0000-0000-000041A10000}"/>
    <cellStyle name="Note 4 2 6 4" xfId="4395" xr:uid="{00000000-0005-0000-0000-000042A10000}"/>
    <cellStyle name="Note 4 2 6 4 2" xfId="11501" xr:uid="{00000000-0005-0000-0000-000043A10000}"/>
    <cellStyle name="Note 4 2 6 4 3" xfId="18602" xr:uid="{00000000-0005-0000-0000-000044A10000}"/>
    <cellStyle name="Note 4 2 6 4 4" xfId="25704" xr:uid="{00000000-0005-0000-0000-000045A10000}"/>
    <cellStyle name="Note 4 2 6 4 5" xfId="32806" xr:uid="{00000000-0005-0000-0000-000046A10000}"/>
    <cellStyle name="Note 4 2 6 5" xfId="8661" xr:uid="{00000000-0005-0000-0000-000047A10000}"/>
    <cellStyle name="Note 4 2 6 6" xfId="15762" xr:uid="{00000000-0005-0000-0000-000048A10000}"/>
    <cellStyle name="Note 4 2 6 7" xfId="22864" xr:uid="{00000000-0005-0000-0000-000049A10000}"/>
    <cellStyle name="Note 4 2 6 8" xfId="29966" xr:uid="{00000000-0005-0000-0000-00004AA10000}"/>
    <cellStyle name="Note 4 2 6 9" xfId="41631" xr:uid="{00000000-0005-0000-0000-00004BA10000}"/>
    <cellStyle name="Note 4 2 7" xfId="1766" xr:uid="{00000000-0005-0000-0000-00004CA10000}"/>
    <cellStyle name="Note 4 2 7 2" xfId="6034" xr:uid="{00000000-0005-0000-0000-00004DA10000}"/>
    <cellStyle name="Note 4 2 7 2 2" xfId="13134" xr:uid="{00000000-0005-0000-0000-00004EA10000}"/>
    <cellStyle name="Note 4 2 7 2 3" xfId="20235" xr:uid="{00000000-0005-0000-0000-00004FA10000}"/>
    <cellStyle name="Note 4 2 7 2 4" xfId="27337" xr:uid="{00000000-0005-0000-0000-000050A10000}"/>
    <cellStyle name="Note 4 2 7 2 5" xfId="34439" xr:uid="{00000000-0005-0000-0000-000051A10000}"/>
    <cellStyle name="Note 4 2 7 3" xfId="8874" xr:uid="{00000000-0005-0000-0000-000052A10000}"/>
    <cellStyle name="Note 4 2 7 4" xfId="15975" xr:uid="{00000000-0005-0000-0000-000053A10000}"/>
    <cellStyle name="Note 4 2 7 5" xfId="23077" xr:uid="{00000000-0005-0000-0000-000054A10000}"/>
    <cellStyle name="Note 4 2 7 6" xfId="30179" xr:uid="{00000000-0005-0000-0000-000055A10000}"/>
    <cellStyle name="Note 4 2 7 7" xfId="41632" xr:uid="{00000000-0005-0000-0000-000056A10000}"/>
    <cellStyle name="Note 4 2 8" xfId="4613" xr:uid="{00000000-0005-0000-0000-000057A10000}"/>
    <cellStyle name="Note 4 2 8 2" xfId="11714" xr:uid="{00000000-0005-0000-0000-000058A10000}"/>
    <cellStyle name="Note 4 2 8 3" xfId="18815" xr:uid="{00000000-0005-0000-0000-000059A10000}"/>
    <cellStyle name="Note 4 2 8 4" xfId="25917" xr:uid="{00000000-0005-0000-0000-00005AA10000}"/>
    <cellStyle name="Note 4 2 8 5" xfId="33019" xr:uid="{00000000-0005-0000-0000-00005BA10000}"/>
    <cellStyle name="Note 4 2 9" xfId="3188" xr:uid="{00000000-0005-0000-0000-00005CA10000}"/>
    <cellStyle name="Note 4 2 9 2" xfId="10294" xr:uid="{00000000-0005-0000-0000-00005DA10000}"/>
    <cellStyle name="Note 4 2 9 3" xfId="17395" xr:uid="{00000000-0005-0000-0000-00005EA10000}"/>
    <cellStyle name="Note 4 2 9 4" xfId="24497" xr:uid="{00000000-0005-0000-0000-00005FA10000}"/>
    <cellStyle name="Note 4 2 9 5" xfId="31599" xr:uid="{00000000-0005-0000-0000-000060A10000}"/>
    <cellStyle name="Note 4 3" xfId="204" xr:uid="{00000000-0005-0000-0000-000061A10000}"/>
    <cellStyle name="Note 4 3 10" xfId="7383" xr:uid="{00000000-0005-0000-0000-000062A10000}"/>
    <cellStyle name="Note 4 3 11" xfId="14484" xr:uid="{00000000-0005-0000-0000-000063A10000}"/>
    <cellStyle name="Note 4 3 12" xfId="21586" xr:uid="{00000000-0005-0000-0000-000064A10000}"/>
    <cellStyle name="Note 4 3 13" xfId="28688" xr:uid="{00000000-0005-0000-0000-000065A10000}"/>
    <cellStyle name="Note 4 3 14" xfId="35790" xr:uid="{00000000-0005-0000-0000-000066A10000}"/>
    <cellStyle name="Note 4 3 15" xfId="41633" xr:uid="{00000000-0005-0000-0000-000067A10000}"/>
    <cellStyle name="Note 4 3 2" xfId="417" xr:uid="{00000000-0005-0000-0000-000068A10000}"/>
    <cellStyle name="Note 4 3 2 2" xfId="1908" xr:uid="{00000000-0005-0000-0000-000069A10000}"/>
    <cellStyle name="Note 4 3 2 2 2" xfId="6176" xr:uid="{00000000-0005-0000-0000-00006AA10000}"/>
    <cellStyle name="Note 4 3 2 2 2 2" xfId="13276" xr:uid="{00000000-0005-0000-0000-00006BA10000}"/>
    <cellStyle name="Note 4 3 2 2 2 3" xfId="20377" xr:uid="{00000000-0005-0000-0000-00006CA10000}"/>
    <cellStyle name="Note 4 3 2 2 2 4" xfId="27479" xr:uid="{00000000-0005-0000-0000-00006DA10000}"/>
    <cellStyle name="Note 4 3 2 2 2 5" xfId="34581" xr:uid="{00000000-0005-0000-0000-00006EA10000}"/>
    <cellStyle name="Note 4 3 2 2 3" xfId="9016" xr:uid="{00000000-0005-0000-0000-00006FA10000}"/>
    <cellStyle name="Note 4 3 2 2 4" xfId="16117" xr:uid="{00000000-0005-0000-0000-000070A10000}"/>
    <cellStyle name="Note 4 3 2 2 5" xfId="23219" xr:uid="{00000000-0005-0000-0000-000071A10000}"/>
    <cellStyle name="Note 4 3 2 2 6" xfId="30321" xr:uid="{00000000-0005-0000-0000-000072A10000}"/>
    <cellStyle name="Note 4 3 2 2 7" xfId="41634" xr:uid="{00000000-0005-0000-0000-000073A10000}"/>
    <cellStyle name="Note 4 3 2 3" xfId="4755" xr:uid="{00000000-0005-0000-0000-000074A10000}"/>
    <cellStyle name="Note 4 3 2 3 2" xfId="11856" xr:uid="{00000000-0005-0000-0000-000075A10000}"/>
    <cellStyle name="Note 4 3 2 3 3" xfId="18957" xr:uid="{00000000-0005-0000-0000-000076A10000}"/>
    <cellStyle name="Note 4 3 2 3 4" xfId="26059" xr:uid="{00000000-0005-0000-0000-000077A10000}"/>
    <cellStyle name="Note 4 3 2 3 5" xfId="33161" xr:uid="{00000000-0005-0000-0000-000078A10000}"/>
    <cellStyle name="Note 4 3 2 4" xfId="3330" xr:uid="{00000000-0005-0000-0000-000079A10000}"/>
    <cellStyle name="Note 4 3 2 4 2" xfId="10436" xr:uid="{00000000-0005-0000-0000-00007AA10000}"/>
    <cellStyle name="Note 4 3 2 4 3" xfId="17537" xr:uid="{00000000-0005-0000-0000-00007BA10000}"/>
    <cellStyle name="Note 4 3 2 4 4" xfId="24639" xr:uid="{00000000-0005-0000-0000-00007CA10000}"/>
    <cellStyle name="Note 4 3 2 4 5" xfId="31741" xr:uid="{00000000-0005-0000-0000-00007DA10000}"/>
    <cellStyle name="Note 4 3 2 5" xfId="7596" xr:uid="{00000000-0005-0000-0000-00007EA10000}"/>
    <cellStyle name="Note 4 3 2 6" xfId="14697" xr:uid="{00000000-0005-0000-0000-00007FA10000}"/>
    <cellStyle name="Note 4 3 2 7" xfId="21799" xr:uid="{00000000-0005-0000-0000-000080A10000}"/>
    <cellStyle name="Note 4 3 2 8" xfId="28901" xr:uid="{00000000-0005-0000-0000-000081A10000}"/>
    <cellStyle name="Note 4 3 2 9" xfId="41635" xr:uid="{00000000-0005-0000-0000-000082A10000}"/>
    <cellStyle name="Note 4 3 3" xfId="630" xr:uid="{00000000-0005-0000-0000-000083A10000}"/>
    <cellStyle name="Note 4 3 3 2" xfId="2121" xr:uid="{00000000-0005-0000-0000-000084A10000}"/>
    <cellStyle name="Note 4 3 3 2 2" xfId="6389" xr:uid="{00000000-0005-0000-0000-000085A10000}"/>
    <cellStyle name="Note 4 3 3 2 2 2" xfId="13489" xr:uid="{00000000-0005-0000-0000-000086A10000}"/>
    <cellStyle name="Note 4 3 3 2 2 3" xfId="20590" xr:uid="{00000000-0005-0000-0000-000087A10000}"/>
    <cellStyle name="Note 4 3 3 2 2 4" xfId="27692" xr:uid="{00000000-0005-0000-0000-000088A10000}"/>
    <cellStyle name="Note 4 3 3 2 2 5" xfId="34794" xr:uid="{00000000-0005-0000-0000-000089A10000}"/>
    <cellStyle name="Note 4 3 3 2 3" xfId="9229" xr:uid="{00000000-0005-0000-0000-00008AA10000}"/>
    <cellStyle name="Note 4 3 3 2 4" xfId="16330" xr:uid="{00000000-0005-0000-0000-00008BA10000}"/>
    <cellStyle name="Note 4 3 3 2 5" xfId="23432" xr:uid="{00000000-0005-0000-0000-00008CA10000}"/>
    <cellStyle name="Note 4 3 3 2 6" xfId="30534" xr:uid="{00000000-0005-0000-0000-00008DA10000}"/>
    <cellStyle name="Note 4 3 3 2 7" xfId="41636" xr:uid="{00000000-0005-0000-0000-00008EA10000}"/>
    <cellStyle name="Note 4 3 3 3" xfId="4968" xr:uid="{00000000-0005-0000-0000-00008FA10000}"/>
    <cellStyle name="Note 4 3 3 3 2" xfId="12069" xr:uid="{00000000-0005-0000-0000-000090A10000}"/>
    <cellStyle name="Note 4 3 3 3 3" xfId="19170" xr:uid="{00000000-0005-0000-0000-000091A10000}"/>
    <cellStyle name="Note 4 3 3 3 4" xfId="26272" xr:uid="{00000000-0005-0000-0000-000092A10000}"/>
    <cellStyle name="Note 4 3 3 3 5" xfId="33374" xr:uid="{00000000-0005-0000-0000-000093A10000}"/>
    <cellStyle name="Note 4 3 3 4" xfId="3543" xr:uid="{00000000-0005-0000-0000-000094A10000}"/>
    <cellStyle name="Note 4 3 3 4 2" xfId="10649" xr:uid="{00000000-0005-0000-0000-000095A10000}"/>
    <cellStyle name="Note 4 3 3 4 3" xfId="17750" xr:uid="{00000000-0005-0000-0000-000096A10000}"/>
    <cellStyle name="Note 4 3 3 4 4" xfId="24852" xr:uid="{00000000-0005-0000-0000-000097A10000}"/>
    <cellStyle name="Note 4 3 3 4 5" xfId="31954" xr:uid="{00000000-0005-0000-0000-000098A10000}"/>
    <cellStyle name="Note 4 3 3 5" xfId="7809" xr:uid="{00000000-0005-0000-0000-000099A10000}"/>
    <cellStyle name="Note 4 3 3 6" xfId="14910" xr:uid="{00000000-0005-0000-0000-00009AA10000}"/>
    <cellStyle name="Note 4 3 3 7" xfId="22012" xr:uid="{00000000-0005-0000-0000-00009BA10000}"/>
    <cellStyle name="Note 4 3 3 8" xfId="29114" xr:uid="{00000000-0005-0000-0000-00009CA10000}"/>
    <cellStyle name="Note 4 3 3 9" xfId="41637" xr:uid="{00000000-0005-0000-0000-00009DA10000}"/>
    <cellStyle name="Note 4 3 4" xfId="843" xr:uid="{00000000-0005-0000-0000-00009EA10000}"/>
    <cellStyle name="Note 4 3 4 2" xfId="2334" xr:uid="{00000000-0005-0000-0000-00009FA10000}"/>
    <cellStyle name="Note 4 3 4 2 2" xfId="6602" xr:uid="{00000000-0005-0000-0000-0000A0A10000}"/>
    <cellStyle name="Note 4 3 4 2 2 2" xfId="13702" xr:uid="{00000000-0005-0000-0000-0000A1A10000}"/>
    <cellStyle name="Note 4 3 4 2 2 3" xfId="20803" xr:uid="{00000000-0005-0000-0000-0000A2A10000}"/>
    <cellStyle name="Note 4 3 4 2 2 4" xfId="27905" xr:uid="{00000000-0005-0000-0000-0000A3A10000}"/>
    <cellStyle name="Note 4 3 4 2 2 5" xfId="35007" xr:uid="{00000000-0005-0000-0000-0000A4A10000}"/>
    <cellStyle name="Note 4 3 4 2 3" xfId="9442" xr:uid="{00000000-0005-0000-0000-0000A5A10000}"/>
    <cellStyle name="Note 4 3 4 2 4" xfId="16543" xr:uid="{00000000-0005-0000-0000-0000A6A10000}"/>
    <cellStyle name="Note 4 3 4 2 5" xfId="23645" xr:uid="{00000000-0005-0000-0000-0000A7A10000}"/>
    <cellStyle name="Note 4 3 4 2 6" xfId="30747" xr:uid="{00000000-0005-0000-0000-0000A8A10000}"/>
    <cellStyle name="Note 4 3 4 3" xfId="5181" xr:uid="{00000000-0005-0000-0000-0000A9A10000}"/>
    <cellStyle name="Note 4 3 4 3 2" xfId="12282" xr:uid="{00000000-0005-0000-0000-0000AAA10000}"/>
    <cellStyle name="Note 4 3 4 3 3" xfId="19383" xr:uid="{00000000-0005-0000-0000-0000ABA10000}"/>
    <cellStyle name="Note 4 3 4 3 4" xfId="26485" xr:uid="{00000000-0005-0000-0000-0000ACA10000}"/>
    <cellStyle name="Note 4 3 4 3 5" xfId="33587" xr:uid="{00000000-0005-0000-0000-0000ADA10000}"/>
    <cellStyle name="Note 4 3 4 4" xfId="3756" xr:uid="{00000000-0005-0000-0000-0000AEA10000}"/>
    <cellStyle name="Note 4 3 4 4 2" xfId="10862" xr:uid="{00000000-0005-0000-0000-0000AFA10000}"/>
    <cellStyle name="Note 4 3 4 4 3" xfId="17963" xr:uid="{00000000-0005-0000-0000-0000B0A10000}"/>
    <cellStyle name="Note 4 3 4 4 4" xfId="25065" xr:uid="{00000000-0005-0000-0000-0000B1A10000}"/>
    <cellStyle name="Note 4 3 4 4 5" xfId="32167" xr:uid="{00000000-0005-0000-0000-0000B2A10000}"/>
    <cellStyle name="Note 4 3 4 5" xfId="8022" xr:uid="{00000000-0005-0000-0000-0000B3A10000}"/>
    <cellStyle name="Note 4 3 4 6" xfId="15123" xr:uid="{00000000-0005-0000-0000-0000B4A10000}"/>
    <cellStyle name="Note 4 3 4 7" xfId="22225" xr:uid="{00000000-0005-0000-0000-0000B5A10000}"/>
    <cellStyle name="Note 4 3 4 8" xfId="29327" xr:uid="{00000000-0005-0000-0000-0000B6A10000}"/>
    <cellStyle name="Note 4 3 4 9" xfId="41638" xr:uid="{00000000-0005-0000-0000-0000B7A10000}"/>
    <cellStyle name="Note 4 3 5" xfId="1198" xr:uid="{00000000-0005-0000-0000-0000B8A10000}"/>
    <cellStyle name="Note 4 3 5 2" xfId="2689" xr:uid="{00000000-0005-0000-0000-0000B9A10000}"/>
    <cellStyle name="Note 4 3 5 2 2" xfId="6957" xr:uid="{00000000-0005-0000-0000-0000BAA10000}"/>
    <cellStyle name="Note 4 3 5 2 2 2" xfId="14057" xr:uid="{00000000-0005-0000-0000-0000BBA10000}"/>
    <cellStyle name="Note 4 3 5 2 2 3" xfId="21158" xr:uid="{00000000-0005-0000-0000-0000BCA10000}"/>
    <cellStyle name="Note 4 3 5 2 2 4" xfId="28260" xr:uid="{00000000-0005-0000-0000-0000BDA10000}"/>
    <cellStyle name="Note 4 3 5 2 2 5" xfId="35362" xr:uid="{00000000-0005-0000-0000-0000BEA10000}"/>
    <cellStyle name="Note 4 3 5 2 3" xfId="9797" xr:uid="{00000000-0005-0000-0000-0000BFA10000}"/>
    <cellStyle name="Note 4 3 5 2 4" xfId="16898" xr:uid="{00000000-0005-0000-0000-0000C0A10000}"/>
    <cellStyle name="Note 4 3 5 2 5" xfId="24000" xr:uid="{00000000-0005-0000-0000-0000C1A10000}"/>
    <cellStyle name="Note 4 3 5 2 6" xfId="31102" xr:uid="{00000000-0005-0000-0000-0000C2A10000}"/>
    <cellStyle name="Note 4 3 5 3" xfId="5536" xr:uid="{00000000-0005-0000-0000-0000C3A10000}"/>
    <cellStyle name="Note 4 3 5 3 2" xfId="12637" xr:uid="{00000000-0005-0000-0000-0000C4A10000}"/>
    <cellStyle name="Note 4 3 5 3 3" xfId="19738" xr:uid="{00000000-0005-0000-0000-0000C5A10000}"/>
    <cellStyle name="Note 4 3 5 3 4" xfId="26840" xr:uid="{00000000-0005-0000-0000-0000C6A10000}"/>
    <cellStyle name="Note 4 3 5 3 5" xfId="33942" xr:uid="{00000000-0005-0000-0000-0000C7A10000}"/>
    <cellStyle name="Note 4 3 5 4" xfId="4111" xr:uid="{00000000-0005-0000-0000-0000C8A10000}"/>
    <cellStyle name="Note 4 3 5 4 2" xfId="11217" xr:uid="{00000000-0005-0000-0000-0000C9A10000}"/>
    <cellStyle name="Note 4 3 5 4 3" xfId="18318" xr:uid="{00000000-0005-0000-0000-0000CAA10000}"/>
    <cellStyle name="Note 4 3 5 4 4" xfId="25420" xr:uid="{00000000-0005-0000-0000-0000CBA10000}"/>
    <cellStyle name="Note 4 3 5 4 5" xfId="32522" xr:uid="{00000000-0005-0000-0000-0000CCA10000}"/>
    <cellStyle name="Note 4 3 5 5" xfId="8377" xr:uid="{00000000-0005-0000-0000-0000CDA10000}"/>
    <cellStyle name="Note 4 3 5 6" xfId="15478" xr:uid="{00000000-0005-0000-0000-0000CEA10000}"/>
    <cellStyle name="Note 4 3 5 7" xfId="22580" xr:uid="{00000000-0005-0000-0000-0000CFA10000}"/>
    <cellStyle name="Note 4 3 5 8" xfId="29682" xr:uid="{00000000-0005-0000-0000-0000D0A10000}"/>
    <cellStyle name="Note 4 3 6" xfId="1411" xr:uid="{00000000-0005-0000-0000-0000D1A10000}"/>
    <cellStyle name="Note 4 3 6 2" xfId="2902" xr:uid="{00000000-0005-0000-0000-0000D2A10000}"/>
    <cellStyle name="Note 4 3 6 2 2" xfId="7170" xr:uid="{00000000-0005-0000-0000-0000D3A10000}"/>
    <cellStyle name="Note 4 3 6 2 2 2" xfId="14270" xr:uid="{00000000-0005-0000-0000-0000D4A10000}"/>
    <cellStyle name="Note 4 3 6 2 2 3" xfId="21371" xr:uid="{00000000-0005-0000-0000-0000D5A10000}"/>
    <cellStyle name="Note 4 3 6 2 2 4" xfId="28473" xr:uid="{00000000-0005-0000-0000-0000D6A10000}"/>
    <cellStyle name="Note 4 3 6 2 2 5" xfId="35575" xr:uid="{00000000-0005-0000-0000-0000D7A10000}"/>
    <cellStyle name="Note 4 3 6 2 3" xfId="10010" xr:uid="{00000000-0005-0000-0000-0000D8A10000}"/>
    <cellStyle name="Note 4 3 6 2 4" xfId="17111" xr:uid="{00000000-0005-0000-0000-0000D9A10000}"/>
    <cellStyle name="Note 4 3 6 2 5" xfId="24213" xr:uid="{00000000-0005-0000-0000-0000DAA10000}"/>
    <cellStyle name="Note 4 3 6 2 6" xfId="31315" xr:uid="{00000000-0005-0000-0000-0000DBA10000}"/>
    <cellStyle name="Note 4 3 6 3" xfId="5749" xr:uid="{00000000-0005-0000-0000-0000DCA10000}"/>
    <cellStyle name="Note 4 3 6 3 2" xfId="12850" xr:uid="{00000000-0005-0000-0000-0000DDA10000}"/>
    <cellStyle name="Note 4 3 6 3 3" xfId="19951" xr:uid="{00000000-0005-0000-0000-0000DEA10000}"/>
    <cellStyle name="Note 4 3 6 3 4" xfId="27053" xr:uid="{00000000-0005-0000-0000-0000DFA10000}"/>
    <cellStyle name="Note 4 3 6 3 5" xfId="34155" xr:uid="{00000000-0005-0000-0000-0000E0A10000}"/>
    <cellStyle name="Note 4 3 6 4" xfId="4324" xr:uid="{00000000-0005-0000-0000-0000E1A10000}"/>
    <cellStyle name="Note 4 3 6 4 2" xfId="11430" xr:uid="{00000000-0005-0000-0000-0000E2A10000}"/>
    <cellStyle name="Note 4 3 6 4 3" xfId="18531" xr:uid="{00000000-0005-0000-0000-0000E3A10000}"/>
    <cellStyle name="Note 4 3 6 4 4" xfId="25633" xr:uid="{00000000-0005-0000-0000-0000E4A10000}"/>
    <cellStyle name="Note 4 3 6 4 5" xfId="32735" xr:uid="{00000000-0005-0000-0000-0000E5A10000}"/>
    <cellStyle name="Note 4 3 6 5" xfId="8590" xr:uid="{00000000-0005-0000-0000-0000E6A10000}"/>
    <cellStyle name="Note 4 3 6 6" xfId="15691" xr:uid="{00000000-0005-0000-0000-0000E7A10000}"/>
    <cellStyle name="Note 4 3 6 7" xfId="22793" xr:uid="{00000000-0005-0000-0000-0000E8A10000}"/>
    <cellStyle name="Note 4 3 6 8" xfId="29895" xr:uid="{00000000-0005-0000-0000-0000E9A10000}"/>
    <cellStyle name="Note 4 3 7" xfId="1695" xr:uid="{00000000-0005-0000-0000-0000EAA10000}"/>
    <cellStyle name="Note 4 3 7 2" xfId="5963" xr:uid="{00000000-0005-0000-0000-0000EBA10000}"/>
    <cellStyle name="Note 4 3 7 2 2" xfId="13063" xr:uid="{00000000-0005-0000-0000-0000ECA10000}"/>
    <cellStyle name="Note 4 3 7 2 3" xfId="20164" xr:uid="{00000000-0005-0000-0000-0000EDA10000}"/>
    <cellStyle name="Note 4 3 7 2 4" xfId="27266" xr:uid="{00000000-0005-0000-0000-0000EEA10000}"/>
    <cellStyle name="Note 4 3 7 2 5" xfId="34368" xr:uid="{00000000-0005-0000-0000-0000EFA10000}"/>
    <cellStyle name="Note 4 3 7 3" xfId="8803" xr:uid="{00000000-0005-0000-0000-0000F0A10000}"/>
    <cellStyle name="Note 4 3 7 4" xfId="15904" xr:uid="{00000000-0005-0000-0000-0000F1A10000}"/>
    <cellStyle name="Note 4 3 7 5" xfId="23006" xr:uid="{00000000-0005-0000-0000-0000F2A10000}"/>
    <cellStyle name="Note 4 3 7 6" xfId="30108" xr:uid="{00000000-0005-0000-0000-0000F3A10000}"/>
    <cellStyle name="Note 4 3 8" xfId="4542" xr:uid="{00000000-0005-0000-0000-0000F4A10000}"/>
    <cellStyle name="Note 4 3 8 2" xfId="11643" xr:uid="{00000000-0005-0000-0000-0000F5A10000}"/>
    <cellStyle name="Note 4 3 8 3" xfId="18744" xr:uid="{00000000-0005-0000-0000-0000F6A10000}"/>
    <cellStyle name="Note 4 3 8 4" xfId="25846" xr:uid="{00000000-0005-0000-0000-0000F7A10000}"/>
    <cellStyle name="Note 4 3 8 5" xfId="32948" xr:uid="{00000000-0005-0000-0000-0000F8A10000}"/>
    <cellStyle name="Note 4 3 9" xfId="3117" xr:uid="{00000000-0005-0000-0000-0000F9A10000}"/>
    <cellStyle name="Note 4 3 9 2" xfId="10223" xr:uid="{00000000-0005-0000-0000-0000FAA10000}"/>
    <cellStyle name="Note 4 3 9 3" xfId="17324" xr:uid="{00000000-0005-0000-0000-0000FBA10000}"/>
    <cellStyle name="Note 4 3 9 4" xfId="24426" xr:uid="{00000000-0005-0000-0000-0000FCA10000}"/>
    <cellStyle name="Note 4 3 9 5" xfId="31528" xr:uid="{00000000-0005-0000-0000-0000FDA10000}"/>
    <cellStyle name="Note 4 4" xfId="346" xr:uid="{00000000-0005-0000-0000-0000FEA10000}"/>
    <cellStyle name="Note 4 4 10" xfId="41639" xr:uid="{00000000-0005-0000-0000-0000FFA10000}"/>
    <cellStyle name="Note 4 4 2" xfId="1127" xr:uid="{00000000-0005-0000-0000-000000A20000}"/>
    <cellStyle name="Note 4 4 2 2" xfId="2618" xr:uid="{00000000-0005-0000-0000-000001A20000}"/>
    <cellStyle name="Note 4 4 2 2 2" xfId="6886" xr:uid="{00000000-0005-0000-0000-000002A20000}"/>
    <cellStyle name="Note 4 4 2 2 2 2" xfId="13986" xr:uid="{00000000-0005-0000-0000-000003A20000}"/>
    <cellStyle name="Note 4 4 2 2 2 3" xfId="21087" xr:uid="{00000000-0005-0000-0000-000004A20000}"/>
    <cellStyle name="Note 4 4 2 2 2 4" xfId="28189" xr:uid="{00000000-0005-0000-0000-000005A20000}"/>
    <cellStyle name="Note 4 4 2 2 2 5" xfId="35291" xr:uid="{00000000-0005-0000-0000-000006A20000}"/>
    <cellStyle name="Note 4 4 2 2 3" xfId="9726" xr:uid="{00000000-0005-0000-0000-000007A20000}"/>
    <cellStyle name="Note 4 4 2 2 4" xfId="16827" xr:uid="{00000000-0005-0000-0000-000008A20000}"/>
    <cellStyle name="Note 4 4 2 2 5" xfId="23929" xr:uid="{00000000-0005-0000-0000-000009A20000}"/>
    <cellStyle name="Note 4 4 2 2 6" xfId="31031" xr:uid="{00000000-0005-0000-0000-00000AA20000}"/>
    <cellStyle name="Note 4 4 2 2 7" xfId="41640" xr:uid="{00000000-0005-0000-0000-00000BA20000}"/>
    <cellStyle name="Note 4 4 2 3" xfId="5465" xr:uid="{00000000-0005-0000-0000-00000CA20000}"/>
    <cellStyle name="Note 4 4 2 3 2" xfId="12566" xr:uid="{00000000-0005-0000-0000-00000DA20000}"/>
    <cellStyle name="Note 4 4 2 3 3" xfId="19667" xr:uid="{00000000-0005-0000-0000-00000EA20000}"/>
    <cellStyle name="Note 4 4 2 3 4" xfId="26769" xr:uid="{00000000-0005-0000-0000-00000FA20000}"/>
    <cellStyle name="Note 4 4 2 3 5" xfId="33871" xr:uid="{00000000-0005-0000-0000-000010A20000}"/>
    <cellStyle name="Note 4 4 2 4" xfId="4040" xr:uid="{00000000-0005-0000-0000-000011A20000}"/>
    <cellStyle name="Note 4 4 2 4 2" xfId="11146" xr:uid="{00000000-0005-0000-0000-000012A20000}"/>
    <cellStyle name="Note 4 4 2 4 3" xfId="18247" xr:uid="{00000000-0005-0000-0000-000013A20000}"/>
    <cellStyle name="Note 4 4 2 4 4" xfId="25349" xr:uid="{00000000-0005-0000-0000-000014A20000}"/>
    <cellStyle name="Note 4 4 2 4 5" xfId="32451" xr:uid="{00000000-0005-0000-0000-000015A20000}"/>
    <cellStyle name="Note 4 4 2 5" xfId="8306" xr:uid="{00000000-0005-0000-0000-000016A20000}"/>
    <cellStyle name="Note 4 4 2 6" xfId="15407" xr:uid="{00000000-0005-0000-0000-000017A20000}"/>
    <cellStyle name="Note 4 4 2 7" xfId="22509" xr:uid="{00000000-0005-0000-0000-000018A20000}"/>
    <cellStyle name="Note 4 4 2 8" xfId="29611" xr:uid="{00000000-0005-0000-0000-000019A20000}"/>
    <cellStyle name="Note 4 4 2 9" xfId="41641" xr:uid="{00000000-0005-0000-0000-00001AA20000}"/>
    <cellStyle name="Note 4 4 3" xfId="1837" xr:uid="{00000000-0005-0000-0000-00001BA20000}"/>
    <cellStyle name="Note 4 4 3 2" xfId="6105" xr:uid="{00000000-0005-0000-0000-00001CA20000}"/>
    <cellStyle name="Note 4 4 3 2 2" xfId="13205" xr:uid="{00000000-0005-0000-0000-00001DA20000}"/>
    <cellStyle name="Note 4 4 3 2 3" xfId="20306" xr:uid="{00000000-0005-0000-0000-00001EA20000}"/>
    <cellStyle name="Note 4 4 3 2 4" xfId="27408" xr:uid="{00000000-0005-0000-0000-00001FA20000}"/>
    <cellStyle name="Note 4 4 3 2 5" xfId="34510" xr:uid="{00000000-0005-0000-0000-000020A20000}"/>
    <cellStyle name="Note 4 4 3 2 6" xfId="41642" xr:uid="{00000000-0005-0000-0000-000021A20000}"/>
    <cellStyle name="Note 4 4 3 3" xfId="8945" xr:uid="{00000000-0005-0000-0000-000022A20000}"/>
    <cellStyle name="Note 4 4 3 4" xfId="16046" xr:uid="{00000000-0005-0000-0000-000023A20000}"/>
    <cellStyle name="Note 4 4 3 5" xfId="23148" xr:uid="{00000000-0005-0000-0000-000024A20000}"/>
    <cellStyle name="Note 4 4 3 6" xfId="30250" xr:uid="{00000000-0005-0000-0000-000025A20000}"/>
    <cellStyle name="Note 4 4 3 7" xfId="41643" xr:uid="{00000000-0005-0000-0000-000026A20000}"/>
    <cellStyle name="Note 4 4 4" xfId="4684" xr:uid="{00000000-0005-0000-0000-000027A20000}"/>
    <cellStyle name="Note 4 4 4 2" xfId="11785" xr:uid="{00000000-0005-0000-0000-000028A20000}"/>
    <cellStyle name="Note 4 4 4 3" xfId="18886" xr:uid="{00000000-0005-0000-0000-000029A20000}"/>
    <cellStyle name="Note 4 4 4 4" xfId="25988" xr:uid="{00000000-0005-0000-0000-00002AA20000}"/>
    <cellStyle name="Note 4 4 4 5" xfId="33090" xr:uid="{00000000-0005-0000-0000-00002BA20000}"/>
    <cellStyle name="Note 4 4 4 6" xfId="41644" xr:uid="{00000000-0005-0000-0000-00002CA20000}"/>
    <cellStyle name="Note 4 4 5" xfId="3259" xr:uid="{00000000-0005-0000-0000-00002DA20000}"/>
    <cellStyle name="Note 4 4 5 2" xfId="10365" xr:uid="{00000000-0005-0000-0000-00002EA20000}"/>
    <cellStyle name="Note 4 4 5 3" xfId="17466" xr:uid="{00000000-0005-0000-0000-00002FA20000}"/>
    <cellStyle name="Note 4 4 5 4" xfId="24568" xr:uid="{00000000-0005-0000-0000-000030A20000}"/>
    <cellStyle name="Note 4 4 5 5" xfId="31670" xr:uid="{00000000-0005-0000-0000-000031A20000}"/>
    <cellStyle name="Note 4 4 6" xfId="7525" xr:uid="{00000000-0005-0000-0000-000032A20000}"/>
    <cellStyle name="Note 4 4 7" xfId="14626" xr:uid="{00000000-0005-0000-0000-000033A20000}"/>
    <cellStyle name="Note 4 4 8" xfId="21728" xr:uid="{00000000-0005-0000-0000-000034A20000}"/>
    <cellStyle name="Note 4 4 9" xfId="28830" xr:uid="{00000000-0005-0000-0000-000035A20000}"/>
    <cellStyle name="Note 4 5" xfId="559" xr:uid="{00000000-0005-0000-0000-000036A20000}"/>
    <cellStyle name="Note 4 5 2" xfId="2050" xr:uid="{00000000-0005-0000-0000-000037A20000}"/>
    <cellStyle name="Note 4 5 2 2" xfId="6318" xr:uid="{00000000-0005-0000-0000-000038A20000}"/>
    <cellStyle name="Note 4 5 2 2 2" xfId="13418" xr:uid="{00000000-0005-0000-0000-000039A20000}"/>
    <cellStyle name="Note 4 5 2 2 3" xfId="20519" xr:uid="{00000000-0005-0000-0000-00003AA20000}"/>
    <cellStyle name="Note 4 5 2 2 4" xfId="27621" xr:uid="{00000000-0005-0000-0000-00003BA20000}"/>
    <cellStyle name="Note 4 5 2 2 5" xfId="34723" xr:uid="{00000000-0005-0000-0000-00003CA20000}"/>
    <cellStyle name="Note 4 5 2 2 6" xfId="41645" xr:uid="{00000000-0005-0000-0000-00003DA20000}"/>
    <cellStyle name="Note 4 5 2 3" xfId="9158" xr:uid="{00000000-0005-0000-0000-00003EA20000}"/>
    <cellStyle name="Note 4 5 2 4" xfId="16259" xr:uid="{00000000-0005-0000-0000-00003FA20000}"/>
    <cellStyle name="Note 4 5 2 5" xfId="23361" xr:uid="{00000000-0005-0000-0000-000040A20000}"/>
    <cellStyle name="Note 4 5 2 6" xfId="30463" xr:uid="{00000000-0005-0000-0000-000041A20000}"/>
    <cellStyle name="Note 4 5 2 7" xfId="41646" xr:uid="{00000000-0005-0000-0000-000042A20000}"/>
    <cellStyle name="Note 4 5 3" xfId="4897" xr:uid="{00000000-0005-0000-0000-000043A20000}"/>
    <cellStyle name="Note 4 5 3 2" xfId="11998" xr:uid="{00000000-0005-0000-0000-000044A20000}"/>
    <cellStyle name="Note 4 5 3 2 2" xfId="41647" xr:uid="{00000000-0005-0000-0000-000045A20000}"/>
    <cellStyle name="Note 4 5 3 3" xfId="19099" xr:uid="{00000000-0005-0000-0000-000046A20000}"/>
    <cellStyle name="Note 4 5 3 4" xfId="26201" xr:uid="{00000000-0005-0000-0000-000047A20000}"/>
    <cellStyle name="Note 4 5 3 5" xfId="33303" xr:uid="{00000000-0005-0000-0000-000048A20000}"/>
    <cellStyle name="Note 4 5 3 6" xfId="41648" xr:uid="{00000000-0005-0000-0000-000049A20000}"/>
    <cellStyle name="Note 4 5 4" xfId="3472" xr:uid="{00000000-0005-0000-0000-00004AA20000}"/>
    <cellStyle name="Note 4 5 4 2" xfId="10578" xr:uid="{00000000-0005-0000-0000-00004BA20000}"/>
    <cellStyle name="Note 4 5 4 3" xfId="17679" xr:uid="{00000000-0005-0000-0000-00004CA20000}"/>
    <cellStyle name="Note 4 5 4 4" xfId="24781" xr:uid="{00000000-0005-0000-0000-00004DA20000}"/>
    <cellStyle name="Note 4 5 4 5" xfId="31883" xr:uid="{00000000-0005-0000-0000-00004EA20000}"/>
    <cellStyle name="Note 4 5 4 6" xfId="41649" xr:uid="{00000000-0005-0000-0000-00004FA20000}"/>
    <cellStyle name="Note 4 5 5" xfId="7738" xr:uid="{00000000-0005-0000-0000-000050A20000}"/>
    <cellStyle name="Note 4 5 6" xfId="14839" xr:uid="{00000000-0005-0000-0000-000051A20000}"/>
    <cellStyle name="Note 4 5 7" xfId="21941" xr:uid="{00000000-0005-0000-0000-000052A20000}"/>
    <cellStyle name="Note 4 5 8" xfId="29043" xr:uid="{00000000-0005-0000-0000-000053A20000}"/>
    <cellStyle name="Note 4 5 9" xfId="41650" xr:uid="{00000000-0005-0000-0000-000054A20000}"/>
    <cellStyle name="Note 4 6" xfId="772" xr:uid="{00000000-0005-0000-0000-000055A20000}"/>
    <cellStyle name="Note 4 6 2" xfId="2263" xr:uid="{00000000-0005-0000-0000-000056A20000}"/>
    <cellStyle name="Note 4 6 2 2" xfId="6531" xr:uid="{00000000-0005-0000-0000-000057A20000}"/>
    <cellStyle name="Note 4 6 2 2 2" xfId="13631" xr:uid="{00000000-0005-0000-0000-000058A20000}"/>
    <cellStyle name="Note 4 6 2 2 3" xfId="20732" xr:uid="{00000000-0005-0000-0000-000059A20000}"/>
    <cellStyle name="Note 4 6 2 2 4" xfId="27834" xr:uid="{00000000-0005-0000-0000-00005AA20000}"/>
    <cellStyle name="Note 4 6 2 2 5" xfId="34936" xr:uid="{00000000-0005-0000-0000-00005BA20000}"/>
    <cellStyle name="Note 4 6 2 3" xfId="9371" xr:uid="{00000000-0005-0000-0000-00005CA20000}"/>
    <cellStyle name="Note 4 6 2 4" xfId="16472" xr:uid="{00000000-0005-0000-0000-00005DA20000}"/>
    <cellStyle name="Note 4 6 2 5" xfId="23574" xr:uid="{00000000-0005-0000-0000-00005EA20000}"/>
    <cellStyle name="Note 4 6 2 6" xfId="30676" xr:uid="{00000000-0005-0000-0000-00005FA20000}"/>
    <cellStyle name="Note 4 6 2 7" xfId="41651" xr:uid="{00000000-0005-0000-0000-000060A20000}"/>
    <cellStyle name="Note 4 6 3" xfId="5110" xr:uid="{00000000-0005-0000-0000-000061A20000}"/>
    <cellStyle name="Note 4 6 3 2" xfId="12211" xr:uid="{00000000-0005-0000-0000-000062A20000}"/>
    <cellStyle name="Note 4 6 3 3" xfId="19312" xr:uid="{00000000-0005-0000-0000-000063A20000}"/>
    <cellStyle name="Note 4 6 3 4" xfId="26414" xr:uid="{00000000-0005-0000-0000-000064A20000}"/>
    <cellStyle name="Note 4 6 3 5" xfId="33516" xr:uid="{00000000-0005-0000-0000-000065A20000}"/>
    <cellStyle name="Note 4 6 4" xfId="3685" xr:uid="{00000000-0005-0000-0000-000066A20000}"/>
    <cellStyle name="Note 4 6 4 2" xfId="10791" xr:uid="{00000000-0005-0000-0000-000067A20000}"/>
    <cellStyle name="Note 4 6 4 3" xfId="17892" xr:uid="{00000000-0005-0000-0000-000068A20000}"/>
    <cellStyle name="Note 4 6 4 4" xfId="24994" xr:uid="{00000000-0005-0000-0000-000069A20000}"/>
    <cellStyle name="Note 4 6 4 5" xfId="32096" xr:uid="{00000000-0005-0000-0000-00006AA20000}"/>
    <cellStyle name="Note 4 6 5" xfId="7951" xr:uid="{00000000-0005-0000-0000-00006BA20000}"/>
    <cellStyle name="Note 4 6 6" xfId="15052" xr:uid="{00000000-0005-0000-0000-00006CA20000}"/>
    <cellStyle name="Note 4 6 7" xfId="22154" xr:uid="{00000000-0005-0000-0000-00006DA20000}"/>
    <cellStyle name="Note 4 6 8" xfId="29256" xr:uid="{00000000-0005-0000-0000-00006EA20000}"/>
    <cellStyle name="Note 4 6 9" xfId="41652" xr:uid="{00000000-0005-0000-0000-00006FA20000}"/>
    <cellStyle name="Note 4 7" xfId="985" xr:uid="{00000000-0005-0000-0000-000070A20000}"/>
    <cellStyle name="Note 4 7 2" xfId="2476" xr:uid="{00000000-0005-0000-0000-000071A20000}"/>
    <cellStyle name="Note 4 7 2 2" xfId="6744" xr:uid="{00000000-0005-0000-0000-000072A20000}"/>
    <cellStyle name="Note 4 7 2 2 2" xfId="13844" xr:uid="{00000000-0005-0000-0000-000073A20000}"/>
    <cellStyle name="Note 4 7 2 2 3" xfId="20945" xr:uid="{00000000-0005-0000-0000-000074A20000}"/>
    <cellStyle name="Note 4 7 2 2 4" xfId="28047" xr:uid="{00000000-0005-0000-0000-000075A20000}"/>
    <cellStyle name="Note 4 7 2 2 5" xfId="35149" xr:uid="{00000000-0005-0000-0000-000076A20000}"/>
    <cellStyle name="Note 4 7 2 3" xfId="9584" xr:uid="{00000000-0005-0000-0000-000077A20000}"/>
    <cellStyle name="Note 4 7 2 4" xfId="16685" xr:uid="{00000000-0005-0000-0000-000078A20000}"/>
    <cellStyle name="Note 4 7 2 5" xfId="23787" xr:uid="{00000000-0005-0000-0000-000079A20000}"/>
    <cellStyle name="Note 4 7 2 6" xfId="30889" xr:uid="{00000000-0005-0000-0000-00007AA20000}"/>
    <cellStyle name="Note 4 7 2 7" xfId="41653" xr:uid="{00000000-0005-0000-0000-00007BA20000}"/>
    <cellStyle name="Note 4 7 3" xfId="5323" xr:uid="{00000000-0005-0000-0000-00007CA20000}"/>
    <cellStyle name="Note 4 7 3 2" xfId="12424" xr:uid="{00000000-0005-0000-0000-00007DA20000}"/>
    <cellStyle name="Note 4 7 3 3" xfId="19525" xr:uid="{00000000-0005-0000-0000-00007EA20000}"/>
    <cellStyle name="Note 4 7 3 4" xfId="26627" xr:uid="{00000000-0005-0000-0000-00007FA20000}"/>
    <cellStyle name="Note 4 7 3 5" xfId="33729" xr:uid="{00000000-0005-0000-0000-000080A20000}"/>
    <cellStyle name="Note 4 7 4" xfId="3898" xr:uid="{00000000-0005-0000-0000-000081A20000}"/>
    <cellStyle name="Note 4 7 4 2" xfId="11004" xr:uid="{00000000-0005-0000-0000-000082A20000}"/>
    <cellStyle name="Note 4 7 4 3" xfId="18105" xr:uid="{00000000-0005-0000-0000-000083A20000}"/>
    <cellStyle name="Note 4 7 4 4" xfId="25207" xr:uid="{00000000-0005-0000-0000-000084A20000}"/>
    <cellStyle name="Note 4 7 4 5" xfId="32309" xr:uid="{00000000-0005-0000-0000-000085A20000}"/>
    <cellStyle name="Note 4 7 5" xfId="8164" xr:uid="{00000000-0005-0000-0000-000086A20000}"/>
    <cellStyle name="Note 4 7 6" xfId="15265" xr:uid="{00000000-0005-0000-0000-000087A20000}"/>
    <cellStyle name="Note 4 7 7" xfId="22367" xr:uid="{00000000-0005-0000-0000-000088A20000}"/>
    <cellStyle name="Note 4 7 8" xfId="29469" xr:uid="{00000000-0005-0000-0000-000089A20000}"/>
    <cellStyle name="Note 4 7 9" xfId="41654" xr:uid="{00000000-0005-0000-0000-00008AA20000}"/>
    <cellStyle name="Note 4 8" xfId="1340" xr:uid="{00000000-0005-0000-0000-00008BA20000}"/>
    <cellStyle name="Note 4 8 2" xfId="2831" xr:uid="{00000000-0005-0000-0000-00008CA20000}"/>
    <cellStyle name="Note 4 8 2 2" xfId="7099" xr:uid="{00000000-0005-0000-0000-00008DA20000}"/>
    <cellStyle name="Note 4 8 2 2 2" xfId="14199" xr:uid="{00000000-0005-0000-0000-00008EA20000}"/>
    <cellStyle name="Note 4 8 2 2 3" xfId="21300" xr:uid="{00000000-0005-0000-0000-00008FA20000}"/>
    <cellStyle name="Note 4 8 2 2 4" xfId="28402" xr:uid="{00000000-0005-0000-0000-000090A20000}"/>
    <cellStyle name="Note 4 8 2 2 5" xfId="35504" xr:uid="{00000000-0005-0000-0000-000091A20000}"/>
    <cellStyle name="Note 4 8 2 3" xfId="9939" xr:uid="{00000000-0005-0000-0000-000092A20000}"/>
    <cellStyle name="Note 4 8 2 4" xfId="17040" xr:uid="{00000000-0005-0000-0000-000093A20000}"/>
    <cellStyle name="Note 4 8 2 5" xfId="24142" xr:uid="{00000000-0005-0000-0000-000094A20000}"/>
    <cellStyle name="Note 4 8 2 6" xfId="31244" xr:uid="{00000000-0005-0000-0000-000095A20000}"/>
    <cellStyle name="Note 4 8 3" xfId="5678" xr:uid="{00000000-0005-0000-0000-000096A20000}"/>
    <cellStyle name="Note 4 8 3 2" xfId="12779" xr:uid="{00000000-0005-0000-0000-000097A20000}"/>
    <cellStyle name="Note 4 8 3 3" xfId="19880" xr:uid="{00000000-0005-0000-0000-000098A20000}"/>
    <cellStyle name="Note 4 8 3 4" xfId="26982" xr:uid="{00000000-0005-0000-0000-000099A20000}"/>
    <cellStyle name="Note 4 8 3 5" xfId="34084" xr:uid="{00000000-0005-0000-0000-00009AA20000}"/>
    <cellStyle name="Note 4 8 4" xfId="4253" xr:uid="{00000000-0005-0000-0000-00009BA20000}"/>
    <cellStyle name="Note 4 8 4 2" xfId="11359" xr:uid="{00000000-0005-0000-0000-00009CA20000}"/>
    <cellStyle name="Note 4 8 4 3" xfId="18460" xr:uid="{00000000-0005-0000-0000-00009DA20000}"/>
    <cellStyle name="Note 4 8 4 4" xfId="25562" xr:uid="{00000000-0005-0000-0000-00009EA20000}"/>
    <cellStyle name="Note 4 8 4 5" xfId="32664" xr:uid="{00000000-0005-0000-0000-00009FA20000}"/>
    <cellStyle name="Note 4 8 5" xfId="8519" xr:uid="{00000000-0005-0000-0000-0000A0A20000}"/>
    <cellStyle name="Note 4 8 6" xfId="15620" xr:uid="{00000000-0005-0000-0000-0000A1A20000}"/>
    <cellStyle name="Note 4 8 7" xfId="22722" xr:uid="{00000000-0005-0000-0000-0000A2A20000}"/>
    <cellStyle name="Note 4 8 8" xfId="29824" xr:uid="{00000000-0005-0000-0000-0000A3A20000}"/>
    <cellStyle name="Note 4 8 9" xfId="41655" xr:uid="{00000000-0005-0000-0000-0000A4A20000}"/>
    <cellStyle name="Note 4 9" xfId="1624" xr:uid="{00000000-0005-0000-0000-0000A5A20000}"/>
    <cellStyle name="Note 4 9 2" xfId="5892" xr:uid="{00000000-0005-0000-0000-0000A6A20000}"/>
    <cellStyle name="Note 4 9 2 2" xfId="12992" xr:uid="{00000000-0005-0000-0000-0000A7A20000}"/>
    <cellStyle name="Note 4 9 2 3" xfId="20093" xr:uid="{00000000-0005-0000-0000-0000A8A20000}"/>
    <cellStyle name="Note 4 9 2 4" xfId="27195" xr:uid="{00000000-0005-0000-0000-0000A9A20000}"/>
    <cellStyle name="Note 4 9 2 5" xfId="34297" xr:uid="{00000000-0005-0000-0000-0000AAA20000}"/>
    <cellStyle name="Note 4 9 3" xfId="8732" xr:uid="{00000000-0005-0000-0000-0000ABA20000}"/>
    <cellStyle name="Note 4 9 4" xfId="15833" xr:uid="{00000000-0005-0000-0000-0000ACA20000}"/>
    <cellStyle name="Note 4 9 5" xfId="22935" xr:uid="{00000000-0005-0000-0000-0000ADA20000}"/>
    <cellStyle name="Note 4 9 6" xfId="30037" xr:uid="{00000000-0005-0000-0000-0000AEA20000}"/>
    <cellStyle name="Note 5" xfId="41656" xr:uid="{00000000-0005-0000-0000-0000AFA20000}"/>
    <cellStyle name="Note 6" xfId="41657" xr:uid="{00000000-0005-0000-0000-0000B0A20000}"/>
    <cellStyle name="Note 7" xfId="41658" xr:uid="{00000000-0005-0000-0000-0000B1A20000}"/>
    <cellStyle name="Note 8" xfId="41659" xr:uid="{00000000-0005-0000-0000-0000B2A20000}"/>
    <cellStyle name="Output" xfId="34" builtinId="21" customBuiltin="1"/>
    <cellStyle name="Output 2" xfId="41660" xr:uid="{00000000-0005-0000-0000-0000B4A20000}"/>
    <cellStyle name="Output 3" xfId="41661" xr:uid="{00000000-0005-0000-0000-0000B5A20000}"/>
    <cellStyle name="Percent" xfId="35877" builtinId="5"/>
    <cellStyle name="Percent 2" xfId="35880" xr:uid="{00000000-0005-0000-0000-0000B7A20000}"/>
    <cellStyle name="Percent 3" xfId="35885" xr:uid="{00000000-0005-0000-0000-0000B8A20000}"/>
    <cellStyle name="Percent 4" xfId="35889" xr:uid="{00000000-0005-0000-0000-0000B9A20000}"/>
    <cellStyle name="Percent 5" xfId="35891" xr:uid="{00000000-0005-0000-0000-0000BAA20000}"/>
    <cellStyle name="Title" xfId="25" builtinId="15" customBuiltin="1"/>
    <cellStyle name="Title 2" xfId="41662" xr:uid="{00000000-0005-0000-0000-0000BCA20000}"/>
    <cellStyle name="Total" xfId="40" builtinId="25" customBuiltin="1"/>
    <cellStyle name="Total 2" xfId="41663" xr:uid="{00000000-0005-0000-0000-0000BEA20000}"/>
    <cellStyle name="Total 3" xfId="41664" xr:uid="{00000000-0005-0000-0000-0000BFA20000}"/>
    <cellStyle name="Warning Text" xfId="38" builtinId="11" customBuiltin="1"/>
    <cellStyle name="Warning Text 2" xfId="41665" xr:uid="{00000000-0005-0000-0000-0000C1A20000}"/>
    <cellStyle name="Warning Text 3" xfId="41666" xr:uid="{00000000-0005-0000-0000-0000C2A20000}"/>
  </cellStyles>
  <dxfs count="12">
    <dxf>
      <font>
        <b/>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alignment horizontal="center" vertical="bottom" textRotation="0" wrapText="0" indent="0" justifyLastLine="0" shrinkToFit="0" readingOrder="0"/>
    </dxf>
    <dxf>
      <font>
        <b/>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2"/>
        <color auto="1"/>
        <name val="Arial"/>
        <family val="2"/>
        <scheme val="none"/>
      </font>
      <alignment horizontal="center" vertical="bottom" textRotation="0" wrapText="0" indent="0" justifyLastLine="0" shrinkToFit="0" readingOrder="0"/>
    </dxf>
    <dxf>
      <font>
        <b/>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ill>
        <patternFill patternType="solid">
          <fgColor indexed="64"/>
          <bgColor rgb="FF33CC33"/>
        </patternFill>
      </fill>
    </dxf>
    <dxf>
      <font>
        <b/>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s>
  <tableStyles count="0" defaultTableStyle="TableStyleMedium9" defaultPivotStyle="PivotStyleLight16"/>
  <colors>
    <mruColors>
      <color rgb="FF008000"/>
      <color rgb="FF00FF00"/>
      <color rgb="FF33CC33"/>
      <color rgb="FF0000CC"/>
      <color rgb="FF009900"/>
      <color rgb="FFFF9900"/>
      <color rgb="FF3333FF"/>
      <color rgb="FF66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5.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4.xml"/><Relationship Id="rId78" Type="http://schemas.openxmlformats.org/officeDocument/2006/relationships/styles" Target="styles.xml"/><Relationship Id="rId8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onnections" Target="connection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3.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1.xml"/><Relationship Id="rId75"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n-US"/>
              <a:t>Expenses and Program Revenues - Governmental Activities</a:t>
            </a:r>
          </a:p>
        </c:rich>
      </c:tx>
      <c:layout>
        <c:manualLayout>
          <c:xMode val="edge"/>
          <c:yMode val="edge"/>
          <c:x val="0.18037119928478437"/>
          <c:y val="3.0404348041401012E-2"/>
        </c:manualLayout>
      </c:layout>
      <c:overlay val="0"/>
      <c:spPr>
        <a:noFill/>
        <a:ln w="25400">
          <a:noFill/>
        </a:ln>
      </c:spPr>
    </c:title>
    <c:autoTitleDeleted val="0"/>
    <c:view3D>
      <c:rotX val="35"/>
      <c:hPercent val="34"/>
      <c:rotY val="44"/>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6.7738440324114094E-2"/>
          <c:y val="0.19412579456418497"/>
          <c:w val="0.92082834922735446"/>
          <c:h val="0.59406222697314359"/>
        </c:manualLayout>
      </c:layout>
      <c:bar3DChart>
        <c:barDir val="col"/>
        <c:grouping val="clustered"/>
        <c:varyColors val="0"/>
        <c:ser>
          <c:idx val="0"/>
          <c:order val="0"/>
          <c:tx>
            <c:v>Expenses</c:v>
          </c:tx>
          <c:spPr>
            <a:solidFill>
              <a:srgbClr val="9999FF"/>
            </a:solidFill>
            <a:ln w="12700">
              <a:solidFill>
                <a:srgbClr val="000000"/>
              </a:solidFill>
              <a:prstDash val="solid"/>
            </a:ln>
          </c:spPr>
          <c:invertIfNegative val="0"/>
          <c:cat>
            <c:strRef>
              <c:f>'Stmet of Actvty'!$B$147:$B$153</c:f>
              <c:strCache>
                <c:ptCount val="7"/>
                <c:pt idx="0">
                  <c:v>General government</c:v>
                </c:pt>
                <c:pt idx="1">
                  <c:v>Public safety</c:v>
                </c:pt>
                <c:pt idx="2">
                  <c:v>Public works</c:v>
                </c:pt>
                <c:pt idx="3">
                  <c:v>Public health</c:v>
                </c:pt>
                <c:pt idx="4">
                  <c:v>Social and economic</c:v>
                </c:pt>
                <c:pt idx="5">
                  <c:v>Culture and recreation</c:v>
                </c:pt>
                <c:pt idx="6">
                  <c:v>Interest on long-term debt</c:v>
                </c:pt>
              </c:strCache>
            </c:strRef>
          </c:cat>
          <c:val>
            <c:numRef>
              <c:f>'Stmet of Actvty'!$C$147:$C$153</c:f>
              <c:numCache>
                <c:formatCode>#,##0_);\(#,##0\)</c:formatCode>
                <c:ptCount val="7"/>
                <c:pt idx="0">
                  <c:v>19685231</c:v>
                </c:pt>
                <c:pt idx="1">
                  <c:v>22106905</c:v>
                </c:pt>
                <c:pt idx="2">
                  <c:v>9013169</c:v>
                </c:pt>
                <c:pt idx="3">
                  <c:v>6447650</c:v>
                </c:pt>
                <c:pt idx="4">
                  <c:v>1033036</c:v>
                </c:pt>
                <c:pt idx="5">
                  <c:v>143769</c:v>
                </c:pt>
                <c:pt idx="6">
                  <c:v>471210</c:v>
                </c:pt>
              </c:numCache>
            </c:numRef>
          </c:val>
          <c:extLst>
            <c:ext xmlns:c16="http://schemas.microsoft.com/office/drawing/2014/chart" uri="{C3380CC4-5D6E-409C-BE32-E72D297353CC}">
              <c16:uniqueId val="{00000000-6E16-4AC9-BF61-DB71842C704F}"/>
            </c:ext>
          </c:extLst>
        </c:ser>
        <c:ser>
          <c:idx val="1"/>
          <c:order val="1"/>
          <c:tx>
            <c:strRef>
              <c:f>'Stmet of Actvty'!$E$145</c:f>
              <c:strCache>
                <c:ptCount val="1"/>
                <c:pt idx="0">
                  <c:v>Program Revenues</c:v>
                </c:pt>
              </c:strCache>
            </c:strRef>
          </c:tx>
          <c:spPr>
            <a:solidFill>
              <a:srgbClr val="993366"/>
            </a:solidFill>
            <a:ln w="12700">
              <a:solidFill>
                <a:srgbClr val="000000"/>
              </a:solidFill>
              <a:prstDash val="solid"/>
            </a:ln>
          </c:spPr>
          <c:invertIfNegative val="0"/>
          <c:cat>
            <c:strRef>
              <c:f>'Stmet of Actvty'!$B$147:$B$153</c:f>
              <c:strCache>
                <c:ptCount val="7"/>
                <c:pt idx="0">
                  <c:v>General government</c:v>
                </c:pt>
                <c:pt idx="1">
                  <c:v>Public safety</c:v>
                </c:pt>
                <c:pt idx="2">
                  <c:v>Public works</c:v>
                </c:pt>
                <c:pt idx="3">
                  <c:v>Public health</c:v>
                </c:pt>
                <c:pt idx="4">
                  <c:v>Social and economic</c:v>
                </c:pt>
                <c:pt idx="5">
                  <c:v>Culture and recreation</c:v>
                </c:pt>
                <c:pt idx="6">
                  <c:v>Interest on long-term debt</c:v>
                </c:pt>
              </c:strCache>
            </c:strRef>
          </c:cat>
          <c:val>
            <c:numRef>
              <c:f>'Stmet of Actvty'!$E$147:$E$153</c:f>
              <c:numCache>
                <c:formatCode>#,##0_);\(#,##0\)</c:formatCode>
                <c:ptCount val="7"/>
                <c:pt idx="0">
                  <c:v>2437030</c:v>
                </c:pt>
                <c:pt idx="1">
                  <c:v>4044956</c:v>
                </c:pt>
                <c:pt idx="2">
                  <c:v>1235624</c:v>
                </c:pt>
                <c:pt idx="3">
                  <c:v>2342791</c:v>
                </c:pt>
                <c:pt idx="4">
                  <c:v>103886</c:v>
                </c:pt>
                <c:pt idx="5">
                  <c:v>360585</c:v>
                </c:pt>
                <c:pt idx="6">
                  <c:v>0</c:v>
                </c:pt>
              </c:numCache>
            </c:numRef>
          </c:val>
          <c:extLst>
            <c:ext xmlns:c16="http://schemas.microsoft.com/office/drawing/2014/chart" uri="{C3380CC4-5D6E-409C-BE32-E72D297353CC}">
              <c16:uniqueId val="{00000001-6E16-4AC9-BF61-DB71842C704F}"/>
            </c:ext>
          </c:extLst>
        </c:ser>
        <c:dLbls>
          <c:showLegendKey val="0"/>
          <c:showVal val="0"/>
          <c:showCatName val="0"/>
          <c:showSerName val="0"/>
          <c:showPercent val="0"/>
          <c:showBubbleSize val="0"/>
        </c:dLbls>
        <c:gapWidth val="150"/>
        <c:shape val="box"/>
        <c:axId val="105212544"/>
        <c:axId val="105234816"/>
        <c:axId val="0"/>
      </c:bar3DChart>
      <c:catAx>
        <c:axId val="10521254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5234816"/>
        <c:crosses val="autoZero"/>
        <c:auto val="1"/>
        <c:lblAlgn val="ctr"/>
        <c:lblOffset val="100"/>
        <c:tickLblSkip val="1"/>
        <c:tickMarkSkip val="1"/>
        <c:noMultiLvlLbl val="0"/>
      </c:catAx>
      <c:valAx>
        <c:axId val="105234816"/>
        <c:scaling>
          <c:orientation val="minMax"/>
          <c:max val="15000000"/>
        </c:scaling>
        <c:delete val="0"/>
        <c:axPos val="l"/>
        <c:numFmt formatCode="#,##0_);\(#,##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5212544"/>
        <c:crosses val="autoZero"/>
        <c:crossBetween val="between"/>
        <c:dispUnits>
          <c:builtInUnit val="thousands"/>
          <c:dispUnitsLbl>
            <c:layout>
              <c:manualLayout>
                <c:xMode val="edge"/>
                <c:yMode val="edge"/>
                <c:x val="3.0235834462438011E-2"/>
                <c:y val="0.1878807945555882"/>
              </c:manualLayout>
            </c:layout>
            <c:spPr>
              <a:noFill/>
              <a:ln w="25400">
                <a:noFill/>
              </a:ln>
            </c:spPr>
            <c:txPr>
              <a:bodyPr rot="0" vert="horz"/>
              <a:lstStyle/>
              <a:p>
                <a:pPr algn="ctr">
                  <a:defRPr sz="1000" b="1" i="0" u="none" strike="noStrike" baseline="0">
                    <a:solidFill>
                      <a:srgbClr val="000000"/>
                    </a:solidFill>
                    <a:latin typeface="Arial"/>
                    <a:ea typeface="Arial"/>
                    <a:cs typeface="Arial"/>
                  </a:defRPr>
                </a:pPr>
                <a:endParaRPr lang="en-US"/>
              </a:p>
            </c:txPr>
          </c:dispUnitsLbl>
        </c:dispUnits>
      </c:valAx>
      <c:spPr>
        <a:noFill/>
        <a:ln w="25400">
          <a:noFill/>
        </a:ln>
      </c:spPr>
    </c:plotArea>
    <c:legend>
      <c:legendPos val="b"/>
      <c:layout>
        <c:manualLayout>
          <c:xMode val="edge"/>
          <c:yMode val="edge"/>
          <c:x val="0.29140404929471392"/>
          <c:y val="0.88407560613346459"/>
          <c:w val="0.33069970846195246"/>
          <c:h val="6.3147377804189553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n-US"/>
              <a:t>Revenues by Source - Governmental Activities</a:t>
            </a:r>
          </a:p>
        </c:rich>
      </c:tx>
      <c:layout>
        <c:manualLayout>
          <c:xMode val="edge"/>
          <c:yMode val="edge"/>
          <c:x val="0.25822956226668198"/>
          <c:y val="2.416550957112263E-2"/>
        </c:manualLayout>
      </c:layout>
      <c:overlay val="0"/>
      <c:spPr>
        <a:noFill/>
        <a:ln w="25400">
          <a:noFill/>
        </a:ln>
      </c:spPr>
    </c:title>
    <c:autoTitleDeleted val="0"/>
    <c:view3D>
      <c:rotX val="15"/>
      <c:rotY val="320"/>
      <c:rAngAx val="0"/>
      <c:perspective val="0"/>
    </c:view3D>
    <c:floor>
      <c:thickness val="0"/>
    </c:floor>
    <c:sideWall>
      <c:thickness val="0"/>
    </c:sideWall>
    <c:backWall>
      <c:thickness val="0"/>
    </c:backWall>
    <c:plotArea>
      <c:layout>
        <c:manualLayout>
          <c:layoutTarget val="inner"/>
          <c:xMode val="edge"/>
          <c:yMode val="edge"/>
          <c:x val="0.27959873037276017"/>
          <c:y val="0.40611585070655076"/>
          <c:w val="0.50572591406033562"/>
          <c:h val="0.40702785405097242"/>
        </c:manualLayout>
      </c:layout>
      <c:pie3DChart>
        <c:varyColors val="1"/>
        <c:ser>
          <c:idx val="0"/>
          <c:order val="0"/>
          <c:spPr>
            <a:solidFill>
              <a:srgbClr val="9999FF"/>
            </a:solidFill>
            <a:ln w="12700">
              <a:solidFill>
                <a:srgbClr val="000000"/>
              </a:solidFill>
              <a:prstDash val="solid"/>
            </a:ln>
          </c:spPr>
          <c:dPt>
            <c:idx val="0"/>
            <c:bubble3D val="0"/>
            <c:spPr>
              <a:solidFill>
                <a:srgbClr val="0000FF"/>
              </a:solidFill>
              <a:ln w="12700">
                <a:solidFill>
                  <a:srgbClr val="000000"/>
                </a:solidFill>
                <a:prstDash val="solid"/>
              </a:ln>
            </c:spPr>
            <c:extLst>
              <c:ext xmlns:c16="http://schemas.microsoft.com/office/drawing/2014/chart" uri="{C3380CC4-5D6E-409C-BE32-E72D297353CC}">
                <c16:uniqueId val="{00000001-4530-40C8-A6E8-CC2ECB642161}"/>
              </c:ext>
            </c:extLst>
          </c:dPt>
          <c:dPt>
            <c:idx val="1"/>
            <c:bubble3D val="0"/>
            <c:spPr>
              <a:solidFill>
                <a:srgbClr val="CC99FF"/>
              </a:solidFill>
              <a:ln w="12700">
                <a:solidFill>
                  <a:srgbClr val="000000"/>
                </a:solidFill>
                <a:prstDash val="solid"/>
              </a:ln>
            </c:spPr>
            <c:extLst>
              <c:ext xmlns:c16="http://schemas.microsoft.com/office/drawing/2014/chart" uri="{C3380CC4-5D6E-409C-BE32-E72D297353CC}">
                <c16:uniqueId val="{00000003-4530-40C8-A6E8-CC2ECB642161}"/>
              </c:ext>
            </c:extLst>
          </c:dPt>
          <c:dPt>
            <c:idx val="2"/>
            <c:bubble3D val="0"/>
            <c:spPr>
              <a:solidFill>
                <a:srgbClr val="000080"/>
              </a:solidFill>
              <a:ln w="12700">
                <a:solidFill>
                  <a:srgbClr val="000000"/>
                </a:solidFill>
                <a:prstDash val="solid"/>
              </a:ln>
            </c:spPr>
            <c:extLst>
              <c:ext xmlns:c16="http://schemas.microsoft.com/office/drawing/2014/chart" uri="{C3380CC4-5D6E-409C-BE32-E72D297353CC}">
                <c16:uniqueId val="{00000005-4530-40C8-A6E8-CC2ECB642161}"/>
              </c:ext>
            </c:extLst>
          </c:dPt>
          <c:dPt>
            <c:idx val="4"/>
            <c:bubble3D val="0"/>
            <c:spPr>
              <a:solidFill>
                <a:srgbClr val="008080"/>
              </a:solidFill>
              <a:ln w="12700">
                <a:solidFill>
                  <a:srgbClr val="000000"/>
                </a:solidFill>
                <a:prstDash val="solid"/>
              </a:ln>
            </c:spPr>
            <c:extLst>
              <c:ext xmlns:c16="http://schemas.microsoft.com/office/drawing/2014/chart" uri="{C3380CC4-5D6E-409C-BE32-E72D297353CC}">
                <c16:uniqueId val="{00000007-4530-40C8-A6E8-CC2ECB642161}"/>
              </c:ext>
            </c:extLst>
          </c:dPt>
          <c:dPt>
            <c:idx val="5"/>
            <c:bubble3D val="0"/>
            <c:spPr>
              <a:solidFill>
                <a:srgbClr val="FFFF00"/>
              </a:solidFill>
              <a:ln w="12700">
                <a:solidFill>
                  <a:srgbClr val="000000"/>
                </a:solidFill>
                <a:prstDash val="solid"/>
              </a:ln>
            </c:spPr>
            <c:extLst>
              <c:ext xmlns:c16="http://schemas.microsoft.com/office/drawing/2014/chart" uri="{C3380CC4-5D6E-409C-BE32-E72D297353CC}">
                <c16:uniqueId val="{00000009-4530-40C8-A6E8-CC2ECB642161}"/>
              </c:ext>
            </c:extLst>
          </c:dPt>
          <c:dLbls>
            <c:dLbl>
              <c:idx val="0"/>
              <c:layout>
                <c:manualLayout>
                  <c:x val="8.6296707391191343E-2"/>
                  <c:y val="-0.1535061530136760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530-40C8-A6E8-CC2ECB642161}"/>
                </c:ext>
              </c:extLst>
            </c:dLbl>
            <c:dLbl>
              <c:idx val="1"/>
              <c:layout>
                <c:manualLayout>
                  <c:x val="-3.2603953364691046E-2"/>
                  <c:y val="-9.87682673926052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530-40C8-A6E8-CC2ECB642161}"/>
                </c:ext>
              </c:extLst>
            </c:dLbl>
            <c:dLbl>
              <c:idx val="2"/>
              <c:layout>
                <c:manualLayout>
                  <c:x val="5.2797146008849112E-2"/>
                  <c:y val="-4.3733176264726101E-2"/>
                </c:manualLayout>
              </c:layout>
              <c:numFmt formatCode="0.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530-40C8-A6E8-CC2ECB642161}"/>
                </c:ext>
              </c:extLst>
            </c:dLbl>
            <c:dLbl>
              <c:idx val="3"/>
              <c:layout>
                <c:manualLayout>
                  <c:x val="0.15684874341737901"/>
                  <c:y val="-7.049002310588599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4530-40C8-A6E8-CC2ECB642161}"/>
                </c:ext>
              </c:extLst>
            </c:dLbl>
            <c:dLbl>
              <c:idx val="4"/>
              <c:layout>
                <c:manualLayout>
                  <c:x val="-2.2889815471925552E-2"/>
                  <c:y val="6.670839006233210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530-40C8-A6E8-CC2ECB642161}"/>
                </c:ext>
              </c:extLst>
            </c:dLbl>
            <c:dLbl>
              <c:idx val="5"/>
              <c:layout>
                <c:manualLayout>
                  <c:x val="-2.8579106611404892E-2"/>
                  <c:y val="-0.1153258072384032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530-40C8-A6E8-CC2ECB642161}"/>
                </c:ext>
              </c:extLst>
            </c:dLbl>
            <c:dLbl>
              <c:idx val="6"/>
              <c:layout>
                <c:manualLayout>
                  <c:xMode val="edge"/>
                  <c:yMode val="edge"/>
                  <c:x val="0.14935198438044694"/>
                  <c:y val="0.4981624466096973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530-40C8-A6E8-CC2ECB642161}"/>
                </c:ext>
              </c:extLst>
            </c:dLbl>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'Stmet of Actvty'!$B$161:$B$166</c:f>
              <c:strCache>
                <c:ptCount val="6"/>
                <c:pt idx="0">
                  <c:v>Charges for Services</c:v>
                </c:pt>
                <c:pt idx="1">
                  <c:v>Operating Grants and Contributions</c:v>
                </c:pt>
                <c:pt idx="2">
                  <c:v>Capital Grants and Contributions</c:v>
                </c:pt>
                <c:pt idx="3">
                  <c:v>Taxes</c:v>
                </c:pt>
                <c:pt idx="4">
                  <c:v>Grant and contributions not restricted to specific programs</c:v>
                </c:pt>
                <c:pt idx="5">
                  <c:v>Miscellaneous</c:v>
                </c:pt>
              </c:strCache>
            </c:strRef>
          </c:cat>
          <c:val>
            <c:numRef>
              <c:f>'Stmet of Actvty'!$C$161:$C$166</c:f>
              <c:numCache>
                <c:formatCode>#,##0_);\(#,##0\)</c:formatCode>
                <c:ptCount val="6"/>
                <c:pt idx="0">
                  <c:v>4113905</c:v>
                </c:pt>
                <c:pt idx="1">
                  <c:v>6090409</c:v>
                </c:pt>
                <c:pt idx="2">
                  <c:v>320558</c:v>
                </c:pt>
                <c:pt idx="3">
                  <c:v>39671124</c:v>
                </c:pt>
                <c:pt idx="4">
                  <c:v>6993408</c:v>
                </c:pt>
                <c:pt idx="5">
                  <c:v>3829372</c:v>
                </c:pt>
              </c:numCache>
            </c:numRef>
          </c:val>
          <c:extLst>
            <c:ext xmlns:c16="http://schemas.microsoft.com/office/drawing/2014/chart" uri="{C3380CC4-5D6E-409C-BE32-E72D297353CC}">
              <c16:uniqueId val="{0000000C-4530-40C8-A6E8-CC2ECB642161}"/>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sz="1400" baseline="0"/>
              <a:t>Expenses and Program Revenues - Business-type Activities</a:t>
            </a:r>
          </a:p>
        </c:rich>
      </c:tx>
      <c:layout>
        <c:manualLayout>
          <c:xMode val="edge"/>
          <c:yMode val="edge"/>
          <c:x val="0.20827599975033631"/>
          <c:y val="4.3038380014841594E-2"/>
        </c:manualLayout>
      </c:layout>
      <c:overlay val="0"/>
      <c:spPr>
        <a:noFill/>
        <a:ln w="25400">
          <a:noFill/>
        </a:ln>
      </c:spPr>
    </c:title>
    <c:autoTitleDeleted val="0"/>
    <c:view3D>
      <c:rotX val="15"/>
      <c:hPercent val="32"/>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0028002833207966"/>
          <c:y val="0.20885050696232341"/>
          <c:w val="0.86563564686660865"/>
          <c:h val="0.51860631504127452"/>
        </c:manualLayout>
      </c:layout>
      <c:bar3DChart>
        <c:barDir val="col"/>
        <c:grouping val="clustered"/>
        <c:varyColors val="0"/>
        <c:ser>
          <c:idx val="0"/>
          <c:order val="0"/>
          <c:tx>
            <c:strRef>
              <c:f>'Stmet of Actvty'!$C$190</c:f>
              <c:strCache>
                <c:ptCount val="1"/>
                <c:pt idx="0">
                  <c:v>Expenses</c:v>
                </c:pt>
              </c:strCache>
            </c:strRef>
          </c:tx>
          <c:spPr>
            <a:solidFill>
              <a:srgbClr val="9999FF"/>
            </a:solidFill>
            <a:ln w="12700">
              <a:solidFill>
                <a:srgbClr val="000000"/>
              </a:solidFill>
              <a:prstDash val="solid"/>
            </a:ln>
          </c:spPr>
          <c:invertIfNegative val="0"/>
          <c:cat>
            <c:strRef>
              <c:f>'Stmet of Actvty'!$B$192:$B$193</c:f>
              <c:strCache>
                <c:ptCount val="2"/>
                <c:pt idx="0">
                  <c:v>Solid waste</c:v>
                </c:pt>
                <c:pt idx="1">
                  <c:v>Fairgrounds</c:v>
                </c:pt>
              </c:strCache>
            </c:strRef>
          </c:cat>
          <c:val>
            <c:numRef>
              <c:f>'Stmet of Actvty'!$C$192:$C$193</c:f>
              <c:numCache>
                <c:formatCode>#,##0_);\(#,##0\)</c:formatCode>
                <c:ptCount val="2"/>
                <c:pt idx="0">
                  <c:v>2993812</c:v>
                </c:pt>
                <c:pt idx="1">
                  <c:v>2021354</c:v>
                </c:pt>
              </c:numCache>
            </c:numRef>
          </c:val>
          <c:extLst>
            <c:ext xmlns:c16="http://schemas.microsoft.com/office/drawing/2014/chart" uri="{C3380CC4-5D6E-409C-BE32-E72D297353CC}">
              <c16:uniqueId val="{00000000-1EFE-4EC5-B76C-0C8AA279B8E5}"/>
            </c:ext>
          </c:extLst>
        </c:ser>
        <c:ser>
          <c:idx val="1"/>
          <c:order val="1"/>
          <c:tx>
            <c:strRef>
              <c:f>'Stmet of Actvty'!$E$190</c:f>
              <c:strCache>
                <c:ptCount val="1"/>
                <c:pt idx="0">
                  <c:v>Program Revenues</c:v>
                </c:pt>
              </c:strCache>
            </c:strRef>
          </c:tx>
          <c:spPr>
            <a:solidFill>
              <a:srgbClr val="993366"/>
            </a:solidFill>
            <a:ln w="12700">
              <a:solidFill>
                <a:srgbClr val="000000"/>
              </a:solidFill>
              <a:prstDash val="solid"/>
            </a:ln>
          </c:spPr>
          <c:invertIfNegative val="0"/>
          <c:cat>
            <c:strRef>
              <c:f>'Stmet of Actvty'!$B$192:$B$193</c:f>
              <c:strCache>
                <c:ptCount val="2"/>
                <c:pt idx="0">
                  <c:v>Solid waste</c:v>
                </c:pt>
                <c:pt idx="1">
                  <c:v>Fairgrounds</c:v>
                </c:pt>
              </c:strCache>
            </c:strRef>
          </c:cat>
          <c:val>
            <c:numRef>
              <c:f>'Stmet of Actvty'!$E$192:$E$193</c:f>
              <c:numCache>
                <c:formatCode>#,##0_);\(#,##0\)</c:formatCode>
                <c:ptCount val="2"/>
                <c:pt idx="0">
                  <c:v>3099442</c:v>
                </c:pt>
                <c:pt idx="1">
                  <c:v>1276827</c:v>
                </c:pt>
              </c:numCache>
            </c:numRef>
          </c:val>
          <c:extLst>
            <c:ext xmlns:c16="http://schemas.microsoft.com/office/drawing/2014/chart" uri="{C3380CC4-5D6E-409C-BE32-E72D297353CC}">
              <c16:uniqueId val="{00000001-1EFE-4EC5-B76C-0C8AA279B8E5}"/>
            </c:ext>
          </c:extLst>
        </c:ser>
        <c:dLbls>
          <c:showLegendKey val="0"/>
          <c:showVal val="0"/>
          <c:showCatName val="0"/>
          <c:showSerName val="0"/>
          <c:showPercent val="0"/>
          <c:showBubbleSize val="0"/>
        </c:dLbls>
        <c:gapWidth val="150"/>
        <c:shape val="box"/>
        <c:axId val="112071424"/>
        <c:axId val="112072960"/>
        <c:axId val="0"/>
      </c:bar3DChart>
      <c:catAx>
        <c:axId val="11207142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2072960"/>
        <c:crosses val="autoZero"/>
        <c:auto val="1"/>
        <c:lblAlgn val="ctr"/>
        <c:lblOffset val="100"/>
        <c:tickLblSkip val="1"/>
        <c:tickMarkSkip val="1"/>
        <c:noMultiLvlLbl val="0"/>
      </c:catAx>
      <c:valAx>
        <c:axId val="112072960"/>
        <c:scaling>
          <c:orientation val="minMax"/>
          <c:max val="4000000"/>
        </c:scaling>
        <c:delete val="0"/>
        <c:axPos val="l"/>
        <c:numFmt formatCode="#,##0_);\(#,##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2071424"/>
        <c:crosses val="autoZero"/>
        <c:crossBetween val="between"/>
        <c:dispUnits>
          <c:builtInUnit val="thousands"/>
          <c:dispUnitsLbl>
            <c:layout>
              <c:manualLayout>
                <c:xMode val="edge"/>
                <c:yMode val="edge"/>
                <c:x val="4.4460775735794093E-2"/>
                <c:y val="0.19946402774050001"/>
              </c:manualLayout>
            </c:layout>
            <c:spPr>
              <a:noFill/>
              <a:ln w="25400">
                <a:noFill/>
              </a:ln>
            </c:spPr>
            <c:txPr>
              <a:bodyPr rot="0" vert="horz"/>
              <a:lstStyle/>
              <a:p>
                <a:pPr algn="ctr">
                  <a:defRPr sz="1100" b="1" i="0" u="none" strike="noStrike" baseline="0">
                    <a:solidFill>
                      <a:srgbClr val="000000"/>
                    </a:solidFill>
                    <a:latin typeface="Arial"/>
                    <a:ea typeface="Arial"/>
                    <a:cs typeface="Arial"/>
                  </a:defRPr>
                </a:pPr>
                <a:endParaRPr lang="en-US"/>
              </a:p>
            </c:txPr>
          </c:dispUnitsLbl>
        </c:dispUnits>
      </c:valAx>
      <c:spPr>
        <a:noFill/>
        <a:ln w="25400">
          <a:noFill/>
        </a:ln>
      </c:spPr>
    </c:plotArea>
    <c:legend>
      <c:legendPos val="b"/>
      <c:layout>
        <c:manualLayout>
          <c:xMode val="edge"/>
          <c:yMode val="edge"/>
          <c:x val="0.26971868123879705"/>
          <c:y val="0.84478859573832898"/>
          <c:w val="0.4718693779008637"/>
          <c:h val="6.0225954023714418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5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sz="1400"/>
              <a:t>Revenues by Source - Business-type Activities</a:t>
            </a:r>
          </a:p>
        </c:rich>
      </c:tx>
      <c:layout>
        <c:manualLayout>
          <c:xMode val="edge"/>
          <c:yMode val="edge"/>
          <c:x val="0.21220205541459691"/>
          <c:y val="6.357238186009502E-2"/>
        </c:manualLayout>
      </c:layout>
      <c:overlay val="0"/>
      <c:spPr>
        <a:noFill/>
        <a:ln w="25400">
          <a:noFill/>
        </a:ln>
      </c:spPr>
    </c:title>
    <c:autoTitleDeleted val="0"/>
    <c:view3D>
      <c:rotX val="15"/>
      <c:rotY val="60"/>
      <c:rAngAx val="0"/>
      <c:perspective val="0"/>
    </c:view3D>
    <c:floor>
      <c:thickness val="0"/>
    </c:floor>
    <c:sideWall>
      <c:thickness val="0"/>
    </c:sideWall>
    <c:backWall>
      <c:thickness val="0"/>
    </c:backWall>
    <c:plotArea>
      <c:layout>
        <c:manualLayout>
          <c:layoutTarget val="inner"/>
          <c:xMode val="edge"/>
          <c:yMode val="edge"/>
          <c:x val="0.23460567340655017"/>
          <c:y val="0.42638720102829336"/>
          <c:w val="0.50832075211475969"/>
          <c:h val="0.41134449852846333"/>
        </c:manualLayout>
      </c:layout>
      <c:pie3DChart>
        <c:varyColors val="1"/>
        <c:ser>
          <c:idx val="0"/>
          <c:order val="0"/>
          <c:spPr>
            <a:solidFill>
              <a:srgbClr val="9999FF"/>
            </a:solidFill>
            <a:ln w="12700">
              <a:solidFill>
                <a:srgbClr val="000000"/>
              </a:solidFill>
              <a:prstDash val="solid"/>
            </a:ln>
          </c:spPr>
          <c:dPt>
            <c:idx val="1"/>
            <c:bubble3D val="0"/>
            <c:spPr>
              <a:solidFill>
                <a:srgbClr val="FFFF00"/>
              </a:solidFill>
              <a:ln w="12700">
                <a:solidFill>
                  <a:srgbClr val="000000"/>
                </a:solidFill>
                <a:prstDash val="solid"/>
              </a:ln>
            </c:spPr>
            <c:extLst>
              <c:ext xmlns:c16="http://schemas.microsoft.com/office/drawing/2014/chart" uri="{C3380CC4-5D6E-409C-BE32-E72D297353CC}">
                <c16:uniqueId val="{00000001-50DE-4290-BA95-AB93002145F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0DE-4290-BA95-AB93002145F9}"/>
              </c:ext>
            </c:extLst>
          </c:dPt>
          <c:dPt>
            <c:idx val="3"/>
            <c:bubble3D val="0"/>
            <c:spPr>
              <a:solidFill>
                <a:srgbClr val="000000"/>
              </a:solidFill>
              <a:ln w="12700">
                <a:solidFill>
                  <a:srgbClr val="000000"/>
                </a:solidFill>
                <a:prstDash val="solid"/>
              </a:ln>
            </c:spPr>
            <c:extLst>
              <c:ext xmlns:c16="http://schemas.microsoft.com/office/drawing/2014/chart" uri="{C3380CC4-5D6E-409C-BE32-E72D297353CC}">
                <c16:uniqueId val="{00000005-50DE-4290-BA95-AB93002145F9}"/>
              </c:ext>
            </c:extLst>
          </c:dPt>
          <c:dLbls>
            <c:dLbl>
              <c:idx val="0"/>
              <c:layout>
                <c:manualLayout>
                  <c:x val="-5.5785875602758946E-2"/>
                  <c:y val="4.448758944945165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0DE-4290-BA95-AB93002145F9}"/>
                </c:ext>
              </c:extLst>
            </c:dLbl>
            <c:dLbl>
              <c:idx val="1"/>
              <c:layout>
                <c:manualLayout>
                  <c:x val="-6.5867545626564106E-2"/>
                  <c:y val="-0.1390976351334041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0DE-4290-BA95-AB93002145F9}"/>
                </c:ext>
              </c:extLst>
            </c:dLbl>
            <c:dLbl>
              <c:idx val="2"/>
              <c:layout>
                <c:manualLayout>
                  <c:x val="3.1463464337251008E-2"/>
                  <c:y val="-8.99715590801182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0DE-4290-BA95-AB93002145F9}"/>
                </c:ext>
              </c:extLst>
            </c:dLbl>
            <c:dLbl>
              <c:idx val="3"/>
              <c:layout>
                <c:manualLayout>
                  <c:x val="0.11149201355428642"/>
                  <c:y val="0.1496707127949758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0DE-4290-BA95-AB93002145F9}"/>
                </c:ext>
              </c:extLst>
            </c:dLbl>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'Stmet of Actvty'!$B$219:$B$221</c:f>
              <c:strCache>
                <c:ptCount val="3"/>
                <c:pt idx="0">
                  <c:v>Charges for Services</c:v>
                </c:pt>
                <c:pt idx="1">
                  <c:v>Taxes</c:v>
                </c:pt>
                <c:pt idx="2">
                  <c:v>     Miscellaneous</c:v>
                </c:pt>
              </c:strCache>
            </c:strRef>
          </c:cat>
          <c:val>
            <c:numRef>
              <c:f>'Stmet of Actvty'!$C$219:$C$221</c:f>
              <c:numCache>
                <c:formatCode>#,##0_);\(#,##0\)</c:formatCode>
                <c:ptCount val="3"/>
                <c:pt idx="0">
                  <c:v>4356919</c:v>
                </c:pt>
                <c:pt idx="1">
                  <c:v>552792</c:v>
                </c:pt>
                <c:pt idx="2">
                  <c:v>181464</c:v>
                </c:pt>
              </c:numCache>
            </c:numRef>
          </c:val>
          <c:extLst>
            <c:ext xmlns:c16="http://schemas.microsoft.com/office/drawing/2014/chart" uri="{C3380CC4-5D6E-409C-BE32-E72D297353CC}">
              <c16:uniqueId val="{00000007-50DE-4290-BA95-AB93002145F9}"/>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trlProps/ctrlProp1.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15</xdr:col>
      <xdr:colOff>488156</xdr:colOff>
      <xdr:row>56</xdr:row>
      <xdr:rowOff>178593</xdr:rowOff>
    </xdr:from>
    <xdr:to>
      <xdr:col>15</xdr:col>
      <xdr:colOff>559593</xdr:colOff>
      <xdr:row>64</xdr:row>
      <xdr:rowOff>71437</xdr:rowOff>
    </xdr:to>
    <xdr:cxnSp macro="">
      <xdr:nvCxnSpPr>
        <xdr:cNvPr id="3" name="Straight Arrow Connector 2">
          <a:extLst>
            <a:ext uri="{FF2B5EF4-FFF2-40B4-BE49-F238E27FC236}">
              <a16:creationId xmlns:a16="http://schemas.microsoft.com/office/drawing/2014/main" id="{00000000-0008-0000-0400-000003000000}"/>
            </a:ext>
          </a:extLst>
        </xdr:cNvPr>
        <xdr:cNvCxnSpPr/>
      </xdr:nvCxnSpPr>
      <xdr:spPr bwMode="auto">
        <a:xfrm>
          <a:off x="32670750" y="3821906"/>
          <a:ext cx="71437" cy="1464469"/>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38100</xdr:colOff>
          <xdr:row>0</xdr:row>
          <xdr:rowOff>0</xdr:rowOff>
        </xdr:from>
        <xdr:to>
          <xdr:col>9</xdr:col>
          <xdr:colOff>590550</xdr:colOff>
          <xdr:row>0</xdr:row>
          <xdr:rowOff>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9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145</xdr:col>
      <xdr:colOff>38100</xdr:colOff>
      <xdr:row>91</xdr:row>
      <xdr:rowOff>104775</xdr:rowOff>
    </xdr:from>
    <xdr:to>
      <xdr:col>146</xdr:col>
      <xdr:colOff>0</xdr:colOff>
      <xdr:row>91</xdr:row>
      <xdr:rowOff>104775</xdr:rowOff>
    </xdr:to>
    <xdr:sp macro="" textlink="">
      <xdr:nvSpPr>
        <xdr:cNvPr id="1334" name="Line 7">
          <a:extLst>
            <a:ext uri="{FF2B5EF4-FFF2-40B4-BE49-F238E27FC236}">
              <a16:creationId xmlns:a16="http://schemas.microsoft.com/office/drawing/2014/main" id="{00000000-0008-0000-0A00-000036050000}"/>
            </a:ext>
          </a:extLst>
        </xdr:cNvPr>
        <xdr:cNvSpPr>
          <a:spLocks noChangeShapeType="1"/>
        </xdr:cNvSpPr>
      </xdr:nvSpPr>
      <xdr:spPr bwMode="auto">
        <a:xfrm flipH="1">
          <a:off x="123310650" y="17097375"/>
          <a:ext cx="609600" cy="0"/>
        </a:xfrm>
        <a:prstGeom prst="line">
          <a:avLst/>
        </a:prstGeom>
        <a:noFill/>
        <a:ln w="9525">
          <a:solidFill>
            <a:srgbClr val="000000"/>
          </a:solidFill>
          <a:round/>
          <a:headEnd/>
          <a:tailEnd type="triangle" w="med" len="med"/>
        </a:ln>
      </xdr:spPr>
    </xdr:sp>
    <xdr:clientData/>
  </xdr:twoCellAnchor>
  <xdr:twoCellAnchor>
    <xdr:from>
      <xdr:col>145</xdr:col>
      <xdr:colOff>47625</xdr:colOff>
      <xdr:row>134</xdr:row>
      <xdr:rowOff>104775</xdr:rowOff>
    </xdr:from>
    <xdr:to>
      <xdr:col>145</xdr:col>
      <xdr:colOff>638175</xdr:colOff>
      <xdr:row>134</xdr:row>
      <xdr:rowOff>104775</xdr:rowOff>
    </xdr:to>
    <xdr:sp macro="" textlink="">
      <xdr:nvSpPr>
        <xdr:cNvPr id="1335" name="Line 8">
          <a:extLst>
            <a:ext uri="{FF2B5EF4-FFF2-40B4-BE49-F238E27FC236}">
              <a16:creationId xmlns:a16="http://schemas.microsoft.com/office/drawing/2014/main" id="{00000000-0008-0000-0A00-000037050000}"/>
            </a:ext>
          </a:extLst>
        </xdr:cNvPr>
        <xdr:cNvSpPr>
          <a:spLocks noChangeShapeType="1"/>
        </xdr:cNvSpPr>
      </xdr:nvSpPr>
      <xdr:spPr bwMode="auto">
        <a:xfrm flipH="1">
          <a:off x="123320175" y="22698075"/>
          <a:ext cx="590550" cy="0"/>
        </a:xfrm>
        <a:prstGeom prst="line">
          <a:avLst/>
        </a:prstGeom>
        <a:noFill/>
        <a:ln w="9525">
          <a:solidFill>
            <a:srgbClr val="000000"/>
          </a:solidFill>
          <a:round/>
          <a:headEnd/>
          <a:tailEnd type="triangle" w="med" len="med"/>
        </a:ln>
      </xdr:spPr>
    </xdr:sp>
    <xdr:clientData/>
  </xdr:twoCellAnchor>
  <xdr:twoCellAnchor>
    <xdr:from>
      <xdr:col>146</xdr:col>
      <xdr:colOff>0</xdr:colOff>
      <xdr:row>91</xdr:row>
      <xdr:rowOff>104775</xdr:rowOff>
    </xdr:from>
    <xdr:to>
      <xdr:col>146</xdr:col>
      <xdr:colOff>0</xdr:colOff>
      <xdr:row>134</xdr:row>
      <xdr:rowOff>104775</xdr:rowOff>
    </xdr:to>
    <xdr:sp macro="" textlink="">
      <xdr:nvSpPr>
        <xdr:cNvPr id="1336" name="Line 9">
          <a:extLst>
            <a:ext uri="{FF2B5EF4-FFF2-40B4-BE49-F238E27FC236}">
              <a16:creationId xmlns:a16="http://schemas.microsoft.com/office/drawing/2014/main" id="{00000000-0008-0000-0A00-000038050000}"/>
            </a:ext>
          </a:extLst>
        </xdr:cNvPr>
        <xdr:cNvSpPr>
          <a:spLocks noChangeShapeType="1"/>
        </xdr:cNvSpPr>
      </xdr:nvSpPr>
      <xdr:spPr bwMode="auto">
        <a:xfrm>
          <a:off x="123920250" y="17097375"/>
          <a:ext cx="0" cy="5600700"/>
        </a:xfrm>
        <a:prstGeom prst="line">
          <a:avLst/>
        </a:prstGeom>
        <a:noFill/>
        <a:ln w="9525">
          <a:solidFill>
            <a:srgbClr val="000000"/>
          </a:solidFill>
          <a:round/>
          <a:headEnd/>
          <a:tailEnd/>
        </a:ln>
      </xdr:spPr>
    </xdr:sp>
    <xdr:clientData/>
  </xdr:twoCellAnchor>
  <xdr:twoCellAnchor>
    <xdr:from>
      <xdr:col>144</xdr:col>
      <xdr:colOff>609600</xdr:colOff>
      <xdr:row>102</xdr:row>
      <xdr:rowOff>123825</xdr:rowOff>
    </xdr:from>
    <xdr:to>
      <xdr:col>145</xdr:col>
      <xdr:colOff>390525</xdr:colOff>
      <xdr:row>102</xdr:row>
      <xdr:rowOff>123825</xdr:rowOff>
    </xdr:to>
    <xdr:sp macro="" textlink="">
      <xdr:nvSpPr>
        <xdr:cNvPr id="1337" name="Line 10">
          <a:extLst>
            <a:ext uri="{FF2B5EF4-FFF2-40B4-BE49-F238E27FC236}">
              <a16:creationId xmlns:a16="http://schemas.microsoft.com/office/drawing/2014/main" id="{00000000-0008-0000-0A00-000039050000}"/>
            </a:ext>
          </a:extLst>
        </xdr:cNvPr>
        <xdr:cNvSpPr>
          <a:spLocks noChangeShapeType="1"/>
        </xdr:cNvSpPr>
      </xdr:nvSpPr>
      <xdr:spPr bwMode="auto">
        <a:xfrm flipH="1">
          <a:off x="123234450" y="18916650"/>
          <a:ext cx="428625" cy="0"/>
        </a:xfrm>
        <a:prstGeom prst="line">
          <a:avLst/>
        </a:prstGeom>
        <a:noFill/>
        <a:ln w="9525">
          <a:solidFill>
            <a:srgbClr val="000000"/>
          </a:solidFill>
          <a:round/>
          <a:headEnd/>
          <a:tailEnd type="triangle" w="med" len="med"/>
        </a:ln>
      </xdr:spPr>
    </xdr:sp>
    <xdr:clientData/>
  </xdr:twoCellAnchor>
  <xdr:twoCellAnchor>
    <xdr:from>
      <xdr:col>144</xdr:col>
      <xdr:colOff>600075</xdr:colOff>
      <xdr:row>140</xdr:row>
      <xdr:rowOff>114300</xdr:rowOff>
    </xdr:from>
    <xdr:to>
      <xdr:col>145</xdr:col>
      <xdr:colOff>352425</xdr:colOff>
      <xdr:row>140</xdr:row>
      <xdr:rowOff>114300</xdr:rowOff>
    </xdr:to>
    <xdr:sp macro="" textlink="">
      <xdr:nvSpPr>
        <xdr:cNvPr id="1338" name="Line 11">
          <a:extLst>
            <a:ext uri="{FF2B5EF4-FFF2-40B4-BE49-F238E27FC236}">
              <a16:creationId xmlns:a16="http://schemas.microsoft.com/office/drawing/2014/main" id="{00000000-0008-0000-0A00-00003A050000}"/>
            </a:ext>
          </a:extLst>
        </xdr:cNvPr>
        <xdr:cNvSpPr>
          <a:spLocks noChangeShapeType="1"/>
        </xdr:cNvSpPr>
      </xdr:nvSpPr>
      <xdr:spPr bwMode="auto">
        <a:xfrm flipH="1">
          <a:off x="123224925" y="23907750"/>
          <a:ext cx="400050" cy="0"/>
        </a:xfrm>
        <a:prstGeom prst="line">
          <a:avLst/>
        </a:prstGeom>
        <a:noFill/>
        <a:ln w="9525">
          <a:solidFill>
            <a:srgbClr val="000000"/>
          </a:solidFill>
          <a:round/>
          <a:headEnd/>
          <a:tailEnd type="triangle" w="med" len="med"/>
        </a:ln>
      </xdr:spPr>
    </xdr:sp>
    <xdr:clientData/>
  </xdr:twoCellAnchor>
  <xdr:twoCellAnchor>
    <xdr:from>
      <xdr:col>145</xdr:col>
      <xdr:colOff>371475</xdr:colOff>
      <xdr:row>102</xdr:row>
      <xdr:rowOff>123825</xdr:rowOff>
    </xdr:from>
    <xdr:to>
      <xdr:col>145</xdr:col>
      <xdr:colOff>390525</xdr:colOff>
      <xdr:row>140</xdr:row>
      <xdr:rowOff>114300</xdr:rowOff>
    </xdr:to>
    <xdr:sp macro="" textlink="">
      <xdr:nvSpPr>
        <xdr:cNvPr id="1339" name="Line 12">
          <a:extLst>
            <a:ext uri="{FF2B5EF4-FFF2-40B4-BE49-F238E27FC236}">
              <a16:creationId xmlns:a16="http://schemas.microsoft.com/office/drawing/2014/main" id="{00000000-0008-0000-0A00-00003B050000}"/>
            </a:ext>
          </a:extLst>
        </xdr:cNvPr>
        <xdr:cNvSpPr>
          <a:spLocks noChangeShapeType="1"/>
        </xdr:cNvSpPr>
      </xdr:nvSpPr>
      <xdr:spPr bwMode="auto">
        <a:xfrm flipH="1">
          <a:off x="123644025" y="18916650"/>
          <a:ext cx="19050" cy="4991100"/>
        </a:xfrm>
        <a:prstGeom prst="line">
          <a:avLst/>
        </a:prstGeom>
        <a:noFill/>
        <a:ln w="9525">
          <a:solidFill>
            <a:srgbClr val="000000"/>
          </a:solidFill>
          <a:round/>
          <a:headEnd/>
          <a:tailEnd/>
        </a:ln>
      </xdr:spPr>
    </xdr:sp>
    <xdr:clientData/>
  </xdr:twoCellAnchor>
  <xdr:twoCellAnchor>
    <xdr:from>
      <xdr:col>139</xdr:col>
      <xdr:colOff>127000</xdr:colOff>
      <xdr:row>45</xdr:row>
      <xdr:rowOff>127000</xdr:rowOff>
    </xdr:from>
    <xdr:to>
      <xdr:col>142</xdr:col>
      <xdr:colOff>647700</xdr:colOff>
      <xdr:row>45</xdr:row>
      <xdr:rowOff>127000</xdr:rowOff>
    </xdr:to>
    <xdr:cxnSp macro="">
      <xdr:nvCxnSpPr>
        <xdr:cNvPr id="9" name="Straight Arrow Connector 8">
          <a:extLst>
            <a:ext uri="{FF2B5EF4-FFF2-40B4-BE49-F238E27FC236}">
              <a16:creationId xmlns:a16="http://schemas.microsoft.com/office/drawing/2014/main" id="{00000000-0008-0000-0A00-000009000000}"/>
            </a:ext>
          </a:extLst>
        </xdr:cNvPr>
        <xdr:cNvCxnSpPr/>
      </xdr:nvCxnSpPr>
      <xdr:spPr bwMode="auto">
        <a:xfrm>
          <a:off x="125577600" y="9258300"/>
          <a:ext cx="3187700" cy="0"/>
        </a:xfrm>
        <a:prstGeom prst="straightConnector1">
          <a:avLst/>
        </a:prstGeom>
        <a:solidFill>
          <a:srgbClr val="FFFFFF"/>
        </a:solidFill>
        <a:ln w="9525" cap="flat" cmpd="sng" algn="ctr">
          <a:solidFill>
            <a:srgbClr val="000000"/>
          </a:solidFill>
          <a:prstDash val="solid"/>
          <a:round/>
          <a:headEnd type="none" w="med" len="med"/>
          <a:tailEnd type="arrow"/>
        </a:ln>
        <a:effectLst/>
      </xdr:spPr>
    </xdr:cxnSp>
    <xdr:clientData/>
  </xdr:twoCellAnchor>
  <xdr:twoCellAnchor>
    <xdr:from>
      <xdr:col>139</xdr:col>
      <xdr:colOff>139700</xdr:colOff>
      <xdr:row>46</xdr:row>
      <xdr:rowOff>114300</xdr:rowOff>
    </xdr:from>
    <xdr:to>
      <xdr:col>142</xdr:col>
      <xdr:colOff>660400</xdr:colOff>
      <xdr:row>46</xdr:row>
      <xdr:rowOff>114300</xdr:rowOff>
    </xdr:to>
    <xdr:cxnSp macro="">
      <xdr:nvCxnSpPr>
        <xdr:cNvPr id="11" name="Straight Arrow Connector 10">
          <a:extLst>
            <a:ext uri="{FF2B5EF4-FFF2-40B4-BE49-F238E27FC236}">
              <a16:creationId xmlns:a16="http://schemas.microsoft.com/office/drawing/2014/main" id="{00000000-0008-0000-0A00-00000B000000}"/>
            </a:ext>
          </a:extLst>
        </xdr:cNvPr>
        <xdr:cNvCxnSpPr/>
      </xdr:nvCxnSpPr>
      <xdr:spPr bwMode="auto">
        <a:xfrm>
          <a:off x="125590300" y="9448800"/>
          <a:ext cx="3187700" cy="0"/>
        </a:xfrm>
        <a:prstGeom prst="straightConnector1">
          <a:avLst/>
        </a:prstGeom>
        <a:solidFill>
          <a:srgbClr val="FFFFFF"/>
        </a:solidFill>
        <a:ln w="9525" cap="flat" cmpd="sng" algn="ctr">
          <a:solidFill>
            <a:srgbClr val="000000"/>
          </a:solidFill>
          <a:prstDash val="solid"/>
          <a:round/>
          <a:headEnd type="none" w="med" len="med"/>
          <a:tailEnd type="arrow"/>
        </a:ln>
        <a:effectLst/>
      </xdr:spPr>
    </xdr:cxnSp>
    <xdr:clientData/>
  </xdr:twoCellAnchor>
  <xdr:twoCellAnchor>
    <xdr:from>
      <xdr:col>131</xdr:col>
      <xdr:colOff>353785</xdr:colOff>
      <xdr:row>311</xdr:row>
      <xdr:rowOff>122464</xdr:rowOff>
    </xdr:from>
    <xdr:to>
      <xdr:col>132</xdr:col>
      <xdr:colOff>27214</xdr:colOff>
      <xdr:row>312</xdr:row>
      <xdr:rowOff>95250</xdr:rowOff>
    </xdr:to>
    <xdr:cxnSp macro="">
      <xdr:nvCxnSpPr>
        <xdr:cNvPr id="13" name="Straight Arrow Connector 12">
          <a:extLst>
            <a:ext uri="{FF2B5EF4-FFF2-40B4-BE49-F238E27FC236}">
              <a16:creationId xmlns:a16="http://schemas.microsoft.com/office/drawing/2014/main" id="{00000000-0008-0000-0A00-00000D000000}"/>
            </a:ext>
          </a:extLst>
        </xdr:cNvPr>
        <xdr:cNvCxnSpPr/>
      </xdr:nvCxnSpPr>
      <xdr:spPr bwMode="auto">
        <a:xfrm flipV="1">
          <a:off x="120913071" y="42862500"/>
          <a:ext cx="625929" cy="176893"/>
        </a:xfrm>
        <a:prstGeom prst="straightConnector1">
          <a:avLst/>
        </a:prstGeom>
        <a:solidFill>
          <a:srgbClr val="FFFFFF"/>
        </a:solidFill>
        <a:ln w="9525" cap="flat" cmpd="sng" algn="ctr">
          <a:solidFill>
            <a:srgbClr val="000000"/>
          </a:solidFill>
          <a:prstDash val="solid"/>
          <a:round/>
          <a:headEnd type="none" w="med" len="med"/>
          <a:tailEnd type="arrow"/>
        </a:ln>
        <a:effectLst/>
      </xdr:spPr>
    </xdr:cxnSp>
    <xdr:clientData/>
  </xdr:twoCellAnchor>
  <xdr:twoCellAnchor>
    <xdr:from>
      <xdr:col>131</xdr:col>
      <xdr:colOff>353785</xdr:colOff>
      <xdr:row>251</xdr:row>
      <xdr:rowOff>122464</xdr:rowOff>
    </xdr:from>
    <xdr:to>
      <xdr:col>132</xdr:col>
      <xdr:colOff>27214</xdr:colOff>
      <xdr:row>252</xdr:row>
      <xdr:rowOff>95250</xdr:rowOff>
    </xdr:to>
    <xdr:cxnSp macro="">
      <xdr:nvCxnSpPr>
        <xdr:cNvPr id="12" name="Straight Arrow Connector 11">
          <a:extLst>
            <a:ext uri="{FF2B5EF4-FFF2-40B4-BE49-F238E27FC236}">
              <a16:creationId xmlns:a16="http://schemas.microsoft.com/office/drawing/2014/main" id="{00000000-0008-0000-0A00-00000C000000}"/>
            </a:ext>
          </a:extLst>
        </xdr:cNvPr>
        <xdr:cNvCxnSpPr/>
      </xdr:nvCxnSpPr>
      <xdr:spPr bwMode="auto">
        <a:xfrm flipV="1">
          <a:off x="129053344" y="48038817"/>
          <a:ext cx="1309488" cy="174492"/>
        </a:xfrm>
        <a:prstGeom prst="straightConnector1">
          <a:avLst/>
        </a:prstGeom>
        <a:solidFill>
          <a:srgbClr val="FFFFFF"/>
        </a:solidFill>
        <a:ln w="9525" cap="flat" cmpd="sng" algn="ctr">
          <a:solidFill>
            <a:srgbClr val="000000"/>
          </a:solidFill>
          <a:prstDash val="solid"/>
          <a:round/>
          <a:headEnd type="none" w="med" len="med"/>
          <a:tailEnd type="arrow"/>
        </a:ln>
        <a:effectLst/>
      </xdr:spPr>
    </xdr:cxnSp>
    <xdr:clientData/>
  </xdr:twoCellAnchor>
  <mc:AlternateContent xmlns:mc="http://schemas.openxmlformats.org/markup-compatibility/2006">
    <mc:Choice xmlns:a14="http://schemas.microsoft.com/office/drawing/2010/main" Requires="a14">
      <xdr:twoCellAnchor>
        <xdr:from>
          <xdr:col>1</xdr:col>
          <xdr:colOff>2486025</xdr:colOff>
          <xdr:row>0</xdr:row>
          <xdr:rowOff>0</xdr:rowOff>
        </xdr:from>
        <xdr:to>
          <xdr:col>1</xdr:col>
          <xdr:colOff>2486025</xdr:colOff>
          <xdr:row>0</xdr:row>
          <xdr:rowOff>0</xdr:rowOff>
        </xdr:to>
        <xdr:sp macro="" textlink="">
          <xdr:nvSpPr>
            <xdr:cNvPr id="1025" name="Button 1" hidden="1">
              <a:extLst>
                <a:ext uri="{63B3BB69-23CF-44E3-9099-C40C66FF867C}">
                  <a14:compatExt spid="_x0000_s1025"/>
                </a:ext>
                <a:ext uri="{FF2B5EF4-FFF2-40B4-BE49-F238E27FC236}">
                  <a16:creationId xmlns:a16="http://schemas.microsoft.com/office/drawing/2014/main" id="{00000000-0008-0000-0A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a:t>
              </a:r>
            </a:p>
          </xdr:txBody>
        </xdr:sp>
        <xdr:clientData fLocksWithSheet="0"/>
      </xdr:twoCellAnchor>
    </mc:Choice>
    <mc:Fallback/>
  </mc:AlternateContent>
  <xdr:twoCellAnchor>
    <xdr:from>
      <xdr:col>122</xdr:col>
      <xdr:colOff>666750</xdr:colOff>
      <xdr:row>61</xdr:row>
      <xdr:rowOff>119063</xdr:rowOff>
    </xdr:from>
    <xdr:to>
      <xdr:col>124</xdr:col>
      <xdr:colOff>190500</xdr:colOff>
      <xdr:row>62</xdr:row>
      <xdr:rowOff>47625</xdr:rowOff>
    </xdr:to>
    <xdr:cxnSp macro="">
      <xdr:nvCxnSpPr>
        <xdr:cNvPr id="3" name="Straight Arrow Connector 2">
          <a:extLst>
            <a:ext uri="{FF2B5EF4-FFF2-40B4-BE49-F238E27FC236}">
              <a16:creationId xmlns:a16="http://schemas.microsoft.com/office/drawing/2014/main" id="{00000000-0008-0000-0A00-000003000000}"/>
            </a:ext>
          </a:extLst>
        </xdr:cNvPr>
        <xdr:cNvCxnSpPr/>
      </xdr:nvCxnSpPr>
      <xdr:spPr bwMode="auto">
        <a:xfrm>
          <a:off x="123205875" y="10846594"/>
          <a:ext cx="1524000" cy="142875"/>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129</xdr:row>
      <xdr:rowOff>0</xdr:rowOff>
    </xdr:from>
    <xdr:to>
      <xdr:col>13</xdr:col>
      <xdr:colOff>0</xdr:colOff>
      <xdr:row>153</xdr:row>
      <xdr:rowOff>152400</xdr:rowOff>
    </xdr:to>
    <xdr:graphicFrame macro="">
      <xdr:nvGraphicFramePr>
        <xdr:cNvPr id="9458" name="Chart 50">
          <a:extLst>
            <a:ext uri="{FF2B5EF4-FFF2-40B4-BE49-F238E27FC236}">
              <a16:creationId xmlns:a16="http://schemas.microsoft.com/office/drawing/2014/main" id="{00000000-0008-0000-0C00-0000F2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159</xdr:row>
      <xdr:rowOff>0</xdr:rowOff>
    </xdr:from>
    <xdr:to>
      <xdr:col>13</xdr:col>
      <xdr:colOff>0</xdr:colOff>
      <xdr:row>183</xdr:row>
      <xdr:rowOff>152400</xdr:rowOff>
    </xdr:to>
    <xdr:graphicFrame macro="">
      <xdr:nvGraphicFramePr>
        <xdr:cNvPr id="9459" name="Chart 51">
          <a:extLst>
            <a:ext uri="{FF2B5EF4-FFF2-40B4-BE49-F238E27FC236}">
              <a16:creationId xmlns:a16="http://schemas.microsoft.com/office/drawing/2014/main" id="{00000000-0008-0000-0C00-0000F3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5</xdr:col>
      <xdr:colOff>9525</xdr:colOff>
      <xdr:row>187</xdr:row>
      <xdr:rowOff>28575</xdr:rowOff>
    </xdr:from>
    <xdr:to>
      <xdr:col>13</xdr:col>
      <xdr:colOff>0</xdr:colOff>
      <xdr:row>212</xdr:row>
      <xdr:rowOff>0</xdr:rowOff>
    </xdr:to>
    <xdr:graphicFrame macro="">
      <xdr:nvGraphicFramePr>
        <xdr:cNvPr id="9460" name="Chart 52">
          <a:extLst>
            <a:ext uri="{FF2B5EF4-FFF2-40B4-BE49-F238E27FC236}">
              <a16:creationId xmlns:a16="http://schemas.microsoft.com/office/drawing/2014/main" id="{00000000-0008-0000-0C00-0000F4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1387929</xdr:colOff>
      <xdr:row>214</xdr:row>
      <xdr:rowOff>1</xdr:rowOff>
    </xdr:from>
    <xdr:to>
      <xdr:col>13</xdr:col>
      <xdr:colOff>13607</xdr:colOff>
      <xdr:row>235</xdr:row>
      <xdr:rowOff>81643</xdr:rowOff>
    </xdr:to>
    <xdr:graphicFrame macro="">
      <xdr:nvGraphicFramePr>
        <xdr:cNvPr id="9461" name="Chart 53">
          <a:extLst>
            <a:ext uri="{FF2B5EF4-FFF2-40B4-BE49-F238E27FC236}">
              <a16:creationId xmlns:a16="http://schemas.microsoft.com/office/drawing/2014/main" id="{00000000-0008-0000-0C00-0000F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18</xdr:col>
      <xdr:colOff>61851</xdr:colOff>
      <xdr:row>141</xdr:row>
      <xdr:rowOff>235032</xdr:rowOff>
    </xdr:from>
    <xdr:to>
      <xdr:col>24</xdr:col>
      <xdr:colOff>111331</xdr:colOff>
      <xdr:row>147</xdr:row>
      <xdr:rowOff>259773</xdr:rowOff>
    </xdr:to>
    <xdr:cxnSp macro="">
      <xdr:nvCxnSpPr>
        <xdr:cNvPr id="3" name="Straight Arrow Connector 2">
          <a:extLst>
            <a:ext uri="{FF2B5EF4-FFF2-40B4-BE49-F238E27FC236}">
              <a16:creationId xmlns:a16="http://schemas.microsoft.com/office/drawing/2014/main" id="{00000000-0008-0000-0E00-000003000000}"/>
            </a:ext>
          </a:extLst>
        </xdr:cNvPr>
        <xdr:cNvCxnSpPr/>
      </xdr:nvCxnSpPr>
      <xdr:spPr bwMode="auto">
        <a:xfrm>
          <a:off x="16353312" y="16984188"/>
          <a:ext cx="3488376" cy="180604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1041400</xdr:colOff>
      <xdr:row>23</xdr:row>
      <xdr:rowOff>88900</xdr:rowOff>
    </xdr:from>
    <xdr:to>
      <xdr:col>5</xdr:col>
      <xdr:colOff>1087119</xdr:colOff>
      <xdr:row>24</xdr:row>
      <xdr:rowOff>139700</xdr:rowOff>
    </xdr:to>
    <xdr:sp macro="" textlink="">
      <xdr:nvSpPr>
        <xdr:cNvPr id="2" name="Right Brace 1">
          <a:extLst>
            <a:ext uri="{FF2B5EF4-FFF2-40B4-BE49-F238E27FC236}">
              <a16:creationId xmlns:a16="http://schemas.microsoft.com/office/drawing/2014/main" id="{00000000-0008-0000-1100-000002000000}"/>
            </a:ext>
          </a:extLst>
        </xdr:cNvPr>
        <xdr:cNvSpPr/>
      </xdr:nvSpPr>
      <xdr:spPr bwMode="auto">
        <a:xfrm>
          <a:off x="7975600" y="4622800"/>
          <a:ext cx="45719" cy="241300"/>
        </a:xfrm>
        <a:prstGeom prst="rightBrace">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158</xdr:col>
      <xdr:colOff>123825</xdr:colOff>
      <xdr:row>5</xdr:row>
      <xdr:rowOff>123825</xdr:rowOff>
    </xdr:from>
    <xdr:to>
      <xdr:col>159</xdr:col>
      <xdr:colOff>38100</xdr:colOff>
      <xdr:row>8</xdr:row>
      <xdr:rowOff>47625</xdr:rowOff>
    </xdr:to>
    <xdr:cxnSp macro="">
      <xdr:nvCxnSpPr>
        <xdr:cNvPr id="3" name="Straight Arrow Connector 2">
          <a:extLst>
            <a:ext uri="{FF2B5EF4-FFF2-40B4-BE49-F238E27FC236}">
              <a16:creationId xmlns:a16="http://schemas.microsoft.com/office/drawing/2014/main" id="{00000000-0008-0000-3500-000003000000}"/>
            </a:ext>
          </a:extLst>
        </xdr:cNvPr>
        <xdr:cNvCxnSpPr/>
      </xdr:nvCxnSpPr>
      <xdr:spPr bwMode="auto">
        <a:xfrm flipV="1">
          <a:off x="108251625" y="609600"/>
          <a:ext cx="266700" cy="342900"/>
        </a:xfrm>
        <a:prstGeom prst="straightConnector1">
          <a:avLst/>
        </a:prstGeom>
        <a:ln>
          <a:headEnd type="none" w="med" len="med"/>
          <a:tailEnd type="arrow"/>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133350</xdr:colOff>
      <xdr:row>218</xdr:row>
      <xdr:rowOff>104775</xdr:rowOff>
    </xdr:from>
    <xdr:to>
      <xdr:col>6</xdr:col>
      <xdr:colOff>19050</xdr:colOff>
      <xdr:row>239</xdr:row>
      <xdr:rowOff>142875</xdr:rowOff>
    </xdr:to>
    <xdr:cxnSp macro="">
      <xdr:nvCxnSpPr>
        <xdr:cNvPr id="3" name="Straight Arrow Connector 2">
          <a:extLst>
            <a:ext uri="{FF2B5EF4-FFF2-40B4-BE49-F238E27FC236}">
              <a16:creationId xmlns:a16="http://schemas.microsoft.com/office/drawing/2014/main" id="{00000000-0008-0000-4000-000003000000}"/>
            </a:ext>
          </a:extLst>
        </xdr:cNvPr>
        <xdr:cNvCxnSpPr/>
      </xdr:nvCxnSpPr>
      <xdr:spPr bwMode="auto">
        <a:xfrm flipH="1" flipV="1">
          <a:off x="4762500" y="32013525"/>
          <a:ext cx="495300" cy="3438525"/>
        </a:xfrm>
        <a:prstGeom prst="straightConnector1">
          <a:avLst/>
        </a:prstGeom>
        <a:solidFill>
          <a:srgbClr val="FFFFFF"/>
        </a:solidFill>
        <a:ln w="9525" cap="flat" cmpd="sng" algn="ctr">
          <a:solidFill>
            <a:srgbClr val="000000"/>
          </a:solidFill>
          <a:prstDash val="solid"/>
          <a:round/>
          <a:headEnd type="none" w="med" len="med"/>
          <a:tailEnd type="arrow"/>
        </a:ln>
        <a:effectLst/>
      </xdr:spPr>
    </xdr:cxnSp>
    <xdr:clientData/>
  </xdr:twoCellAnchor>
  <xdr:twoCellAnchor>
    <xdr:from>
      <xdr:col>5</xdr:col>
      <xdr:colOff>285750</xdr:colOff>
      <xdr:row>475</xdr:row>
      <xdr:rowOff>85725</xdr:rowOff>
    </xdr:from>
    <xdr:to>
      <xdr:col>6</xdr:col>
      <xdr:colOff>19050</xdr:colOff>
      <xdr:row>475</xdr:row>
      <xdr:rowOff>95250</xdr:rowOff>
    </xdr:to>
    <xdr:cxnSp macro="">
      <xdr:nvCxnSpPr>
        <xdr:cNvPr id="7" name="Straight Arrow Connector 6">
          <a:extLst>
            <a:ext uri="{FF2B5EF4-FFF2-40B4-BE49-F238E27FC236}">
              <a16:creationId xmlns:a16="http://schemas.microsoft.com/office/drawing/2014/main" id="{00000000-0008-0000-4000-000007000000}"/>
            </a:ext>
          </a:extLst>
        </xdr:cNvPr>
        <xdr:cNvCxnSpPr/>
      </xdr:nvCxnSpPr>
      <xdr:spPr bwMode="auto">
        <a:xfrm flipH="1" flipV="1">
          <a:off x="4914900" y="71361300"/>
          <a:ext cx="342900" cy="9525"/>
        </a:xfrm>
        <a:prstGeom prst="straightConnector1">
          <a:avLst/>
        </a:prstGeom>
        <a:solidFill>
          <a:srgbClr val="FFFFFF"/>
        </a:solidFill>
        <a:ln w="9525" cap="flat" cmpd="sng" algn="ctr">
          <a:solidFill>
            <a:srgbClr val="000000"/>
          </a:solidFill>
          <a:prstDash val="solid"/>
          <a:round/>
          <a:headEnd type="none" w="med" len="med"/>
          <a:tailEnd type="arrow"/>
        </a:ln>
        <a:effectLst/>
      </xdr:spPr>
    </xdr:cxnSp>
    <xdr:clientData/>
  </xdr:twoCellAnchor>
  <xdr:twoCellAnchor>
    <xdr:from>
      <xdr:col>5</xdr:col>
      <xdr:colOff>76200</xdr:colOff>
      <xdr:row>476</xdr:row>
      <xdr:rowOff>0</xdr:rowOff>
    </xdr:from>
    <xdr:to>
      <xdr:col>6</xdr:col>
      <xdr:colOff>19050</xdr:colOff>
      <xdr:row>490</xdr:row>
      <xdr:rowOff>85726</xdr:rowOff>
    </xdr:to>
    <xdr:cxnSp macro="">
      <xdr:nvCxnSpPr>
        <xdr:cNvPr id="4" name="Straight Arrow Connector 3">
          <a:extLst>
            <a:ext uri="{FF2B5EF4-FFF2-40B4-BE49-F238E27FC236}">
              <a16:creationId xmlns:a16="http://schemas.microsoft.com/office/drawing/2014/main" id="{00000000-0008-0000-4000-000004000000}"/>
            </a:ext>
          </a:extLst>
        </xdr:cNvPr>
        <xdr:cNvCxnSpPr/>
      </xdr:nvCxnSpPr>
      <xdr:spPr bwMode="auto">
        <a:xfrm flipH="1">
          <a:off x="4705350" y="71437500"/>
          <a:ext cx="552450" cy="2352676"/>
        </a:xfrm>
        <a:prstGeom prst="straightConnector1">
          <a:avLst/>
        </a:prstGeom>
        <a:solidFill>
          <a:srgbClr val="FFFFFF"/>
        </a:solidFill>
        <a:ln w="9525" cap="flat" cmpd="sng" algn="ctr">
          <a:solidFill>
            <a:srgbClr val="000000"/>
          </a:solidFill>
          <a:prstDash val="solid"/>
          <a:round/>
          <a:headEnd type="none" w="med" len="med"/>
          <a:tailEnd type="arrow"/>
        </a:ln>
        <a:effectLst/>
      </xdr:spPr>
    </xdr:cxnSp>
    <xdr:clientData/>
  </xdr:twoCellAnchor>
  <xdr:twoCellAnchor>
    <xdr:from>
      <xdr:col>5</xdr:col>
      <xdr:colOff>0</xdr:colOff>
      <xdr:row>475</xdr:row>
      <xdr:rowOff>142875</xdr:rowOff>
    </xdr:from>
    <xdr:to>
      <xdr:col>6</xdr:col>
      <xdr:colOff>9525</xdr:colOff>
      <xdr:row>485</xdr:row>
      <xdr:rowOff>114301</xdr:rowOff>
    </xdr:to>
    <xdr:cxnSp macro="">
      <xdr:nvCxnSpPr>
        <xdr:cNvPr id="5" name="Straight Arrow Connector 4">
          <a:extLst>
            <a:ext uri="{FF2B5EF4-FFF2-40B4-BE49-F238E27FC236}">
              <a16:creationId xmlns:a16="http://schemas.microsoft.com/office/drawing/2014/main" id="{00000000-0008-0000-4000-000005000000}"/>
            </a:ext>
          </a:extLst>
        </xdr:cNvPr>
        <xdr:cNvCxnSpPr/>
      </xdr:nvCxnSpPr>
      <xdr:spPr bwMode="auto">
        <a:xfrm flipH="1">
          <a:off x="4629150" y="71418450"/>
          <a:ext cx="619125" cy="1590676"/>
        </a:xfrm>
        <a:prstGeom prst="straightConnector1">
          <a:avLst/>
        </a:prstGeom>
        <a:solidFill>
          <a:srgbClr val="FFFFFF"/>
        </a:solidFill>
        <a:ln w="9525" cap="flat" cmpd="sng" algn="ctr">
          <a:solidFill>
            <a:srgbClr val="000000"/>
          </a:solidFill>
          <a:prstDash val="solid"/>
          <a:round/>
          <a:headEnd type="none" w="med" len="med"/>
          <a:tailEnd type="arrow"/>
        </a:ln>
        <a:effectLst/>
      </xdr:spPr>
    </xdr:cxnSp>
    <xdr:clientData/>
  </xdr:twoCellAnchor>
  <xdr:twoCellAnchor>
    <xdr:from>
      <xdr:col>5</xdr:col>
      <xdr:colOff>19050</xdr:colOff>
      <xdr:row>475</xdr:row>
      <xdr:rowOff>123825</xdr:rowOff>
    </xdr:from>
    <xdr:to>
      <xdr:col>6</xdr:col>
      <xdr:colOff>0</xdr:colOff>
      <xdr:row>480</xdr:row>
      <xdr:rowOff>114300</xdr:rowOff>
    </xdr:to>
    <xdr:cxnSp macro="">
      <xdr:nvCxnSpPr>
        <xdr:cNvPr id="6" name="Straight Arrow Connector 5">
          <a:extLst>
            <a:ext uri="{FF2B5EF4-FFF2-40B4-BE49-F238E27FC236}">
              <a16:creationId xmlns:a16="http://schemas.microsoft.com/office/drawing/2014/main" id="{00000000-0008-0000-4000-000006000000}"/>
            </a:ext>
          </a:extLst>
        </xdr:cNvPr>
        <xdr:cNvCxnSpPr/>
      </xdr:nvCxnSpPr>
      <xdr:spPr bwMode="auto">
        <a:xfrm flipH="1">
          <a:off x="4648200" y="71399400"/>
          <a:ext cx="590550" cy="800100"/>
        </a:xfrm>
        <a:prstGeom prst="straightConnector1">
          <a:avLst/>
        </a:prstGeom>
        <a:solidFill>
          <a:srgbClr val="FFFFFF"/>
        </a:solidFill>
        <a:ln w="9525" cap="flat" cmpd="sng" algn="ctr">
          <a:solidFill>
            <a:srgbClr val="000000"/>
          </a:solidFill>
          <a:prstDash val="solid"/>
          <a:round/>
          <a:headEnd type="none" w="med" len="med"/>
          <a:tailEnd type="arrow"/>
        </a:ln>
        <a:effectLst/>
      </xdr:spPr>
    </xdr:cxnSp>
    <xdr:clientData/>
  </xdr:twoCellAnchor>
  <xdr:twoCellAnchor>
    <xdr:from>
      <xdr:col>5</xdr:col>
      <xdr:colOff>19050</xdr:colOff>
      <xdr:row>474</xdr:row>
      <xdr:rowOff>104776</xdr:rowOff>
    </xdr:from>
    <xdr:to>
      <xdr:col>5</xdr:col>
      <xdr:colOff>600075</xdr:colOff>
      <xdr:row>475</xdr:row>
      <xdr:rowOff>95250</xdr:rowOff>
    </xdr:to>
    <xdr:cxnSp macro="">
      <xdr:nvCxnSpPr>
        <xdr:cNvPr id="12" name="Straight Arrow Connector 11">
          <a:extLst>
            <a:ext uri="{FF2B5EF4-FFF2-40B4-BE49-F238E27FC236}">
              <a16:creationId xmlns:a16="http://schemas.microsoft.com/office/drawing/2014/main" id="{00000000-0008-0000-4000-00000C000000}"/>
            </a:ext>
          </a:extLst>
        </xdr:cNvPr>
        <xdr:cNvCxnSpPr/>
      </xdr:nvCxnSpPr>
      <xdr:spPr bwMode="auto">
        <a:xfrm flipH="1">
          <a:off x="4648200" y="71218426"/>
          <a:ext cx="581025" cy="152399"/>
        </a:xfrm>
        <a:prstGeom prst="straightConnector1">
          <a:avLst/>
        </a:prstGeom>
        <a:solidFill>
          <a:srgbClr val="FFFFFF"/>
        </a:solidFill>
        <a:ln w="9525" cap="flat" cmpd="sng" algn="ctr">
          <a:solidFill>
            <a:srgbClr val="000000"/>
          </a:solidFill>
          <a:prstDash val="solid"/>
          <a:round/>
          <a:headEnd type="none" w="med" len="med"/>
          <a:tailEnd type="arrow"/>
        </a:ln>
        <a:effectLst/>
      </xdr:spPr>
    </xdr:cxn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Treasurer\TreasShare\CAFR\Cash%20&amp;%20Invest\Deposits&amp;Investments.xlsx" TargetMode="External"/><Relationship Id="rId1" Type="http://schemas.openxmlformats.org/officeDocument/2006/relationships/externalLinkPath" Target="Cash%20&amp;%20Invest/Deposits&amp;Investmen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Magda's%20Information\A%20-%20DOA%20CLIENTS\NEW%20CLIENT%20WP'S\Cty_G34_\601_G34_County_2006_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sd.mt.gov/Magdas%20Information/A-DOACLIENTS/DOACLIENTS-MAGDA/Whitefish,%20City%20of/FY%202012/Newest%20financials/Magda's%20AFR-State/GASB%2054-State%20AFR/Magda's%20AFR-State/1-Magda's%20State%20AFR%20For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A/AFR-CCT-FY2019-Version19.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cc-ccb-wf1\ccb\ACTSHARE\2015CAFR\DOA%20reports\Database-Ledger-Load-V15tes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fsd.mt.gov/Portals/24/LGSB/Forms/AccountingSystemsProgram/3_AnnualFinancialReports_CountyCityTown/Database-Ledger-Load-Updated-Feb2015-V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 3"/>
      <sheetName val="Input Sheet"/>
      <sheetName val="Invest Port"/>
      <sheetName val="Cash"/>
      <sheetName val="Cash Recon"/>
      <sheetName val="SCHEDULE OF REC. &amp; DISB."/>
      <sheetName val="Invest Pool NP"/>
      <sheetName val="Invest Pool Chg in Net P"/>
      <sheetName val="Interest Distr"/>
      <sheetName val="STIP-input"/>
      <sheetName val="A"/>
      <sheetName val="B"/>
      <sheetName val="Exter cash"/>
      <sheetName val="Other Invest"/>
      <sheetName val="Tr&amp;AgcyRec"/>
      <sheetName val="Tr&amp; AgcyMaint"/>
      <sheetName val="Spec Dist"/>
      <sheetName val="Investment Activity"/>
      <sheetName val="Int Worksheet(dont use FY21)"/>
      <sheetName val="Int cash(dont use in fy18)"/>
      <sheetName val="Fx(dont use in fy18)"/>
      <sheetName val="C(don't use in fy18)"/>
      <sheetName val="D(don't use in fy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CWPBI"/>
      <sheetName val="Set-up"/>
      <sheetName val="PrintHideUnhide"/>
      <sheetName val="InputBSDiagnostic"/>
      <sheetName val="InputISDiagnostic"/>
      <sheetName val="AdjustDiagnostic"/>
      <sheetName val="FinStmtDiagnostic"/>
      <sheetName val="AFR Gov- BSheet"/>
      <sheetName val="AFR Gov- Inc. State"/>
      <sheetName val="AFR Prop - BSheet"/>
      <sheetName val="AFR Prop - IS"/>
      <sheetName val="AFR Fid BS"/>
      <sheetName val="AFR Fid IS"/>
      <sheetName val="Major_Budgets"/>
      <sheetName val="Revenue_Coding"/>
      <sheetName val="Cash Flow Wksht"/>
      <sheetName val="PY_GASB34"/>
      <sheetName val="Analytical"/>
      <sheetName val="InService Funds"/>
      <sheetName val="AuditAdjGov"/>
      <sheetName val="AuditAdjProp"/>
      <sheetName val="Audit Adj Fid"/>
      <sheetName val="SummaryOfAdjustments"/>
      <sheetName val="GASB Adj Gov"/>
      <sheetName val="GASB Adj Prop"/>
      <sheetName val="Stmt of NA"/>
      <sheetName val="Stmt of Act"/>
      <sheetName val="Fund BS"/>
      <sheetName val="Fund IS"/>
      <sheetName val="Rec. BS"/>
      <sheetName val="Rec. IS"/>
      <sheetName val="Prop B.S."/>
      <sheetName val="Prop IS"/>
      <sheetName val="Fid B.S. "/>
      <sheetName val="Fid Inc Stmt"/>
      <sheetName val="Cash Flow Stmt"/>
      <sheetName val="Budget"/>
      <sheetName val="Budget Rec"/>
      <sheetName val="MD&amp;A Comps"/>
      <sheetName val="Majors"/>
      <sheetName val="AcctSort"/>
      <sheetName val="Rev Summary"/>
      <sheetName val="Gov BS"/>
      <sheetName val="Gov IS"/>
      <sheetName val="Ent BS"/>
      <sheetName val="Ent 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TOC_SETUP-PRINT"/>
      <sheetName val="Input Gov't Funds- BSheet"/>
      <sheetName val="Input Gov't Funds-Income Stmt"/>
      <sheetName val="Input Gen&amp;SpecRev BudgetbyFund"/>
      <sheetName val="Input Debt Service BudgetbyFund"/>
      <sheetName val="Input Capital Proj BudgetbyFund"/>
      <sheetName val="Input Permanent BudgetbyFund"/>
      <sheetName val="Input Prop Funds - BSheet"/>
      <sheetName val="Input Prop Funds - Income Stmt"/>
      <sheetName val="Input Trust &amp; Agency - BSheet"/>
      <sheetName val="InputTrust &amp; Agency-Income Stmt"/>
      <sheetName val="Internal Serv Fund Allocation"/>
      <sheetName val="Input RevenueCoding by Fund"/>
      <sheetName val="Input PY Gov't-Wide Statements"/>
      <sheetName val="Stmt Cash Flow-All Prop&amp;IS Fund"/>
      <sheetName val="GASB Adj Gov't Funds"/>
      <sheetName val="GASB Adj Prop Funds"/>
      <sheetName val="Cover Page"/>
      <sheetName val="Table of Contents"/>
      <sheetName val="INTROD. SECT. COVER"/>
      <sheetName val="LTR. OF TRANSMITTAL"/>
      <sheetName val="ELECTED OFFICIALS-OFFICERS"/>
      <sheetName val="FIN. SECTION COVER"/>
      <sheetName val="MD&amp;A COVER"/>
      <sheetName val="BASIC FS COVER"/>
      <sheetName val="Statement of Net Assets"/>
      <sheetName val="Statement of Activities"/>
      <sheetName val="Reconciliation-Balance Sheet"/>
      <sheetName val="Reconsiliation-Income Stmt"/>
      <sheetName val="Fund Level-Gov't Balance Sheet"/>
      <sheetName val="Fund Level-Gov't Income Stmt"/>
      <sheetName val="Fund Level-Prop Stmt Net Assets"/>
      <sheetName val="Fund Level-Prop Income Stmt"/>
      <sheetName val="Stmt Cash Flow-MajorProp Funds"/>
      <sheetName val="Fiduciary-Stmt of Net Assets"/>
      <sheetName val="Fiduciary-Stmt of Chg Net Asset"/>
      <sheetName val="NOTES TO FINANCIAL STMT (1)"/>
      <sheetName val="NOTES TO FINANCIAL STMT (2)"/>
      <sheetName val="NOTES TO FINANCIAL STMT (3)"/>
      <sheetName val="NOTES TO FINANCIAL STMT (4)"/>
      <sheetName val="NOTES TO FINANCIAL STMT (5)"/>
      <sheetName val="NOTES TO FINANCIAL STMT (6)"/>
      <sheetName val="NOTES TO FINANCIAL STMT (7)"/>
      <sheetName val="NOTES TO FINANCIAL STMT (8)"/>
      <sheetName val="NOTES TO FINANCIAL STMT (9)"/>
      <sheetName val="NOTES TO FINANCIAL STMT (10)"/>
      <sheetName val="NOTES TO FINANCIAL STMT (11)"/>
      <sheetName val="NOTES TO FINANCIAL STMT (12)"/>
      <sheetName val="RSI COVER"/>
      <sheetName val="General Fund-Budget to Actual"/>
      <sheetName val="Major SR-Bud to Act IncStmt"/>
      <sheetName val="OTHER SUPP. INFO. COVER"/>
      <sheetName val="Non-Major Spec Rev-BSheet"/>
      <sheetName val="Non-Maj SR-Bud to Act IncStmt"/>
      <sheetName val="Non-Major Debt Funds-BSheet"/>
      <sheetName val="Non-Maj Debt-Bud to Act IncStmt"/>
      <sheetName val="Non-Major CP Funds-BSheet"/>
      <sheetName val="Non-Major CP-Bud to Act IncStmt"/>
      <sheetName val="Permanent Funds-BSheet"/>
      <sheetName val="Permanent-Bud to Act IncStmt"/>
      <sheetName val="Non-Major Prop Stmt Net Assets"/>
      <sheetName val="Non-Major Prop Income Stmt"/>
      <sheetName val="Cash Flows-Non-MajorProp Funds"/>
      <sheetName val="Int Serv - Comb Stmt Net Assets"/>
      <sheetName val="Int Serv - Comb Income Stmt"/>
      <sheetName val="Stmt Cash Flow-All Int Ser Fund"/>
      <sheetName val="FED.-ST. INTERGOVERNMENTAL"/>
      <sheetName val="SCHEDULE OF REC. &amp; DISB."/>
      <sheetName val="CASH RECONCILIATION"/>
      <sheetName val="GEN. INFO.  SECT. COVER"/>
      <sheetName val="GENERAL INFORMATION"/>
      <sheetName val="Auto Gov'tMajor Funds-Fund Stmt"/>
      <sheetName val="Auto Major SR-Budget to Actual"/>
      <sheetName val="Auto Major SR-OrgFinal Budget"/>
      <sheetName val="Auto PropMajor Funds-Fund Stmt"/>
      <sheetName val="Auto Non-Major Spe Re Fund Stmt"/>
      <sheetName val="Auto Non-Major Debt Fund Stmt"/>
      <sheetName val="Auto Non-Major CP Fund Stmt"/>
      <sheetName val="Auto Non-Major Perm Fund-BSheet"/>
      <sheetName val="Auto Non-Major Prop Fund Stmt"/>
      <sheetName val="Gov't BS-Major Funds"/>
      <sheetName val="Gov't IS-Major Funds"/>
      <sheetName val="Proprietary BS-Major Funds"/>
      <sheetName val="Proprietary IS-Major Funds"/>
      <sheetName val="Majors"/>
      <sheetName val="RevCodeSummary-Stmt of 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A)"/>
      <sheetName val="NOTES TO FIN ST (33B)"/>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ow r="4">
          <cell r="A4" t="str">
            <v>FISCAL YEAR ENDING JUNE 30, 2019</v>
          </cell>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93"/>
      <sheetData sheetId="94"/>
      <sheetData sheetId="95"/>
      <sheetData sheetId="9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LEDGER LOAD INPUT"/>
      <sheetName val="DATABASE LEDGER LOAD"/>
      <sheetName val="List-County &amp; Entity Codes  "/>
      <sheetName val="Balance Check"/>
      <sheetName val="Sheet1"/>
      <sheetName val="Sheet2"/>
      <sheetName val="Sheet3"/>
    </sheetNames>
    <sheetDataSet>
      <sheetData sheetId="0" refreshError="1"/>
      <sheetData sheetId="1" refreshError="1"/>
      <sheetData sheetId="2" refreshError="1"/>
      <sheetData sheetId="3">
        <row r="5">
          <cell r="A5" t="str">
            <v>Beaverhead County</v>
          </cell>
          <cell r="B5" t="str">
            <v>010101</v>
          </cell>
          <cell r="C5" t="str">
            <v>010101</v>
          </cell>
        </row>
        <row r="6">
          <cell r="A6" t="str">
            <v>Big Horn County</v>
          </cell>
          <cell r="B6" t="str">
            <v>010201</v>
          </cell>
          <cell r="C6" t="str">
            <v>010201</v>
          </cell>
        </row>
        <row r="7">
          <cell r="A7" t="str">
            <v>Blaine County</v>
          </cell>
          <cell r="B7" t="str">
            <v>010301</v>
          </cell>
          <cell r="C7" t="str">
            <v>010301</v>
          </cell>
        </row>
        <row r="8">
          <cell r="A8" t="str">
            <v>Broadwater County</v>
          </cell>
          <cell r="B8" t="str">
            <v>010401</v>
          </cell>
          <cell r="C8" t="str">
            <v>010401</v>
          </cell>
        </row>
        <row r="9">
          <cell r="A9" t="str">
            <v>Carbon County</v>
          </cell>
          <cell r="B9" t="str">
            <v>010501</v>
          </cell>
          <cell r="C9" t="str">
            <v>010501</v>
          </cell>
        </row>
        <row r="10">
          <cell r="A10" t="str">
            <v>Carter County</v>
          </cell>
          <cell r="B10" t="str">
            <v>010601</v>
          </cell>
          <cell r="C10" t="str">
            <v>010601</v>
          </cell>
        </row>
        <row r="11">
          <cell r="A11" t="str">
            <v>Cascade County</v>
          </cell>
          <cell r="B11" t="str">
            <v>010701</v>
          </cell>
          <cell r="C11" t="str">
            <v>010701</v>
          </cell>
        </row>
        <row r="12">
          <cell r="A12" t="str">
            <v>Chouteau County</v>
          </cell>
          <cell r="B12" t="str">
            <v>010801</v>
          </cell>
          <cell r="C12" t="str">
            <v>010801</v>
          </cell>
        </row>
        <row r="13">
          <cell r="A13" t="str">
            <v>Custer County</v>
          </cell>
          <cell r="B13" t="str">
            <v>010901</v>
          </cell>
          <cell r="C13" t="str">
            <v>010901</v>
          </cell>
        </row>
        <row r="14">
          <cell r="A14" t="str">
            <v>Daniels County</v>
          </cell>
          <cell r="B14" t="str">
            <v>011001</v>
          </cell>
          <cell r="C14" t="str">
            <v>011001</v>
          </cell>
        </row>
        <row r="15">
          <cell r="A15" t="str">
            <v>Dawson County</v>
          </cell>
          <cell r="B15" t="str">
            <v>011101</v>
          </cell>
          <cell r="C15" t="str">
            <v>011101</v>
          </cell>
        </row>
        <row r="16">
          <cell r="A16" t="str">
            <v>Anaconda-Deer Lodge County</v>
          </cell>
          <cell r="B16" t="str">
            <v>011201</v>
          </cell>
          <cell r="C16" t="str">
            <v>011201</v>
          </cell>
        </row>
        <row r="17">
          <cell r="A17" t="str">
            <v>Fallon County</v>
          </cell>
          <cell r="B17" t="str">
            <v>011301</v>
          </cell>
          <cell r="C17" t="str">
            <v>011301</v>
          </cell>
        </row>
        <row r="18">
          <cell r="A18" t="str">
            <v>Fergus County</v>
          </cell>
          <cell r="B18" t="str">
            <v>011401</v>
          </cell>
          <cell r="C18" t="str">
            <v>011401</v>
          </cell>
        </row>
        <row r="19">
          <cell r="A19" t="str">
            <v>Flathead County</v>
          </cell>
          <cell r="B19" t="str">
            <v>011501</v>
          </cell>
          <cell r="C19" t="str">
            <v>011501</v>
          </cell>
        </row>
        <row r="20">
          <cell r="A20" t="str">
            <v>Gallatin County</v>
          </cell>
          <cell r="B20" t="str">
            <v>011601</v>
          </cell>
          <cell r="C20" t="str">
            <v>011601</v>
          </cell>
        </row>
        <row r="21">
          <cell r="A21" t="str">
            <v>Garfield County</v>
          </cell>
          <cell r="B21" t="str">
            <v>011701</v>
          </cell>
          <cell r="C21" t="str">
            <v>011701</v>
          </cell>
        </row>
        <row r="22">
          <cell r="A22" t="str">
            <v>Glacier County</v>
          </cell>
          <cell r="B22" t="str">
            <v>011801</v>
          </cell>
          <cell r="C22" t="str">
            <v>011801</v>
          </cell>
        </row>
        <row r="23">
          <cell r="A23" t="str">
            <v>Golden Valley County</v>
          </cell>
          <cell r="B23" t="str">
            <v>011901</v>
          </cell>
          <cell r="C23" t="str">
            <v>011901</v>
          </cell>
        </row>
        <row r="24">
          <cell r="A24" t="str">
            <v>Granite County</v>
          </cell>
          <cell r="B24" t="str">
            <v>012001</v>
          </cell>
          <cell r="C24" t="str">
            <v>012001</v>
          </cell>
        </row>
        <row r="25">
          <cell r="A25" t="str">
            <v>Hill County</v>
          </cell>
          <cell r="B25" t="str">
            <v>012101</v>
          </cell>
          <cell r="C25" t="str">
            <v>012101</v>
          </cell>
        </row>
        <row r="26">
          <cell r="A26" t="str">
            <v>Jefferson County</v>
          </cell>
          <cell r="B26" t="str">
            <v>012201</v>
          </cell>
          <cell r="C26" t="str">
            <v>012201</v>
          </cell>
        </row>
        <row r="27">
          <cell r="A27" t="str">
            <v>Judith Basin County</v>
          </cell>
          <cell r="B27" t="str">
            <v>012301</v>
          </cell>
          <cell r="C27" t="str">
            <v>012301</v>
          </cell>
        </row>
        <row r="28">
          <cell r="A28" t="str">
            <v>Lake County</v>
          </cell>
          <cell r="B28" t="str">
            <v>012401</v>
          </cell>
          <cell r="C28" t="str">
            <v>012401</v>
          </cell>
        </row>
        <row r="29">
          <cell r="A29" t="str">
            <v>Lewis and Clark County</v>
          </cell>
          <cell r="B29" t="str">
            <v>012501</v>
          </cell>
          <cell r="C29" t="str">
            <v>012501</v>
          </cell>
        </row>
        <row r="30">
          <cell r="A30" t="str">
            <v>Liberty County</v>
          </cell>
          <cell r="B30" t="str">
            <v>012601</v>
          </cell>
          <cell r="C30" t="str">
            <v>012601</v>
          </cell>
        </row>
        <row r="31">
          <cell r="A31" t="str">
            <v>Lincoln County</v>
          </cell>
          <cell r="B31" t="str">
            <v>012701</v>
          </cell>
          <cell r="C31" t="str">
            <v>012701</v>
          </cell>
        </row>
        <row r="32">
          <cell r="A32" t="str">
            <v>Madison County</v>
          </cell>
          <cell r="B32" t="str">
            <v>012801</v>
          </cell>
          <cell r="C32" t="str">
            <v>012801</v>
          </cell>
        </row>
        <row r="33">
          <cell r="A33" t="str">
            <v>McCone County</v>
          </cell>
          <cell r="B33" t="str">
            <v>012901</v>
          </cell>
          <cell r="C33" t="str">
            <v>012901</v>
          </cell>
        </row>
        <row r="34">
          <cell r="A34" t="str">
            <v>Meagher County</v>
          </cell>
          <cell r="B34" t="str">
            <v>013001</v>
          </cell>
          <cell r="C34" t="str">
            <v>013001</v>
          </cell>
        </row>
        <row r="35">
          <cell r="A35" t="str">
            <v>Mineral County</v>
          </cell>
          <cell r="B35" t="str">
            <v>013101</v>
          </cell>
          <cell r="C35" t="str">
            <v>013101</v>
          </cell>
        </row>
        <row r="36">
          <cell r="A36" t="str">
            <v>Missoula County</v>
          </cell>
          <cell r="B36" t="str">
            <v>013201</v>
          </cell>
          <cell r="C36" t="str">
            <v>013201</v>
          </cell>
        </row>
        <row r="37">
          <cell r="A37" t="str">
            <v>Musselshell County</v>
          </cell>
          <cell r="B37" t="str">
            <v>013301</v>
          </cell>
          <cell r="C37" t="str">
            <v>013301</v>
          </cell>
        </row>
        <row r="38">
          <cell r="A38" t="str">
            <v>Park County</v>
          </cell>
          <cell r="B38" t="str">
            <v>013401</v>
          </cell>
          <cell r="C38" t="str">
            <v>013401</v>
          </cell>
        </row>
        <row r="39">
          <cell r="A39" t="str">
            <v>Petroleum County</v>
          </cell>
          <cell r="B39" t="str">
            <v>013501</v>
          </cell>
          <cell r="C39" t="str">
            <v>013501</v>
          </cell>
        </row>
        <row r="40">
          <cell r="A40" t="str">
            <v>Phillips County</v>
          </cell>
          <cell r="B40" t="str">
            <v>013601</v>
          </cell>
          <cell r="C40" t="str">
            <v>013601</v>
          </cell>
        </row>
        <row r="41">
          <cell r="A41" t="str">
            <v>Pondera County</v>
          </cell>
          <cell r="B41" t="str">
            <v>013701</v>
          </cell>
          <cell r="C41" t="str">
            <v>013701</v>
          </cell>
        </row>
        <row r="42">
          <cell r="A42" t="str">
            <v>Powder River County</v>
          </cell>
          <cell r="B42" t="str">
            <v>013801</v>
          </cell>
          <cell r="C42" t="str">
            <v>013801</v>
          </cell>
        </row>
        <row r="43">
          <cell r="A43" t="str">
            <v>Powell County</v>
          </cell>
          <cell r="B43" t="str">
            <v>013901</v>
          </cell>
          <cell r="C43" t="str">
            <v>013901</v>
          </cell>
        </row>
        <row r="44">
          <cell r="A44" t="str">
            <v>Prairie County</v>
          </cell>
          <cell r="B44" t="str">
            <v>014001</v>
          </cell>
          <cell r="C44" t="str">
            <v>014001</v>
          </cell>
        </row>
        <row r="45">
          <cell r="A45" t="str">
            <v>Ravalli County</v>
          </cell>
          <cell r="B45" t="str">
            <v>014101</v>
          </cell>
          <cell r="C45" t="str">
            <v>014101</v>
          </cell>
        </row>
        <row r="46">
          <cell r="A46" t="str">
            <v>Richland County</v>
          </cell>
          <cell r="B46" t="str">
            <v>014201</v>
          </cell>
          <cell r="C46" t="str">
            <v>014201</v>
          </cell>
        </row>
        <row r="47">
          <cell r="A47" t="str">
            <v>Roosevelt County</v>
          </cell>
          <cell r="B47" t="str">
            <v>014301</v>
          </cell>
          <cell r="C47" t="str">
            <v>014301</v>
          </cell>
        </row>
        <row r="48">
          <cell r="A48" t="str">
            <v>Rosebud County</v>
          </cell>
          <cell r="B48" t="str">
            <v>014401</v>
          </cell>
          <cell r="C48" t="str">
            <v>014401</v>
          </cell>
        </row>
        <row r="49">
          <cell r="A49" t="str">
            <v>Sanders County</v>
          </cell>
          <cell r="B49" t="str">
            <v>014501</v>
          </cell>
          <cell r="C49" t="str">
            <v>014501</v>
          </cell>
        </row>
        <row r="50">
          <cell r="A50" t="str">
            <v>Sheridan County</v>
          </cell>
          <cell r="B50" t="str">
            <v>014601</v>
          </cell>
          <cell r="C50" t="str">
            <v>014601</v>
          </cell>
        </row>
        <row r="51">
          <cell r="A51" t="str">
            <v>City &amp; County/Butte-Silver Bow</v>
          </cell>
          <cell r="B51" t="str">
            <v>014701</v>
          </cell>
          <cell r="C51" t="str">
            <v>014701</v>
          </cell>
        </row>
        <row r="52">
          <cell r="A52" t="str">
            <v>Stillwater County</v>
          </cell>
          <cell r="B52" t="str">
            <v>014801</v>
          </cell>
          <cell r="C52" t="str">
            <v>014801</v>
          </cell>
        </row>
        <row r="53">
          <cell r="A53" t="str">
            <v>Sweet Grass County</v>
          </cell>
          <cell r="B53" t="str">
            <v>014901</v>
          </cell>
          <cell r="C53" t="str">
            <v>014901</v>
          </cell>
        </row>
        <row r="54">
          <cell r="A54" t="str">
            <v>Teton County</v>
          </cell>
          <cell r="B54" t="str">
            <v>015001</v>
          </cell>
          <cell r="C54" t="str">
            <v>015001</v>
          </cell>
        </row>
        <row r="55">
          <cell r="A55" t="str">
            <v>Toole County</v>
          </cell>
          <cell r="B55" t="str">
            <v>015101</v>
          </cell>
          <cell r="C55" t="str">
            <v>015101</v>
          </cell>
        </row>
        <row r="56">
          <cell r="A56" t="str">
            <v>Treasure County</v>
          </cell>
          <cell r="B56" t="str">
            <v>015201</v>
          </cell>
          <cell r="C56" t="str">
            <v>015201</v>
          </cell>
        </row>
        <row r="57">
          <cell r="A57" t="str">
            <v>Valley County</v>
          </cell>
          <cell r="B57" t="str">
            <v>015301</v>
          </cell>
          <cell r="C57" t="str">
            <v>015301</v>
          </cell>
        </row>
        <row r="58">
          <cell r="A58" t="str">
            <v>Wheatland County</v>
          </cell>
          <cell r="B58" t="str">
            <v>015401</v>
          </cell>
          <cell r="C58" t="str">
            <v>015401</v>
          </cell>
        </row>
        <row r="59">
          <cell r="A59" t="str">
            <v>Wibaux County</v>
          </cell>
          <cell r="B59" t="str">
            <v>015501</v>
          </cell>
          <cell r="C59" t="str">
            <v>015501</v>
          </cell>
        </row>
        <row r="60">
          <cell r="A60" t="str">
            <v>Yellowstone County</v>
          </cell>
          <cell r="B60" t="str">
            <v>015601</v>
          </cell>
          <cell r="C60" t="str">
            <v>015601</v>
          </cell>
        </row>
        <row r="62">
          <cell r="A62" t="str">
            <v>City and Towns:</v>
          </cell>
        </row>
        <row r="63">
          <cell r="A63" t="str">
            <v>City of Dillon</v>
          </cell>
          <cell r="B63" t="str">
            <v>010101</v>
          </cell>
          <cell r="C63" t="str">
            <v>020101</v>
          </cell>
        </row>
        <row r="64">
          <cell r="A64" t="str">
            <v>Town of Lima</v>
          </cell>
          <cell r="B64" t="str">
            <v>010101</v>
          </cell>
          <cell r="C64" t="str">
            <v>020102</v>
          </cell>
        </row>
        <row r="65">
          <cell r="A65" t="str">
            <v>City of Hardin</v>
          </cell>
          <cell r="B65" t="str">
            <v>010201</v>
          </cell>
          <cell r="C65" t="str">
            <v>020201</v>
          </cell>
        </row>
        <row r="66">
          <cell r="A66" t="str">
            <v>Town of Lodge Grass</v>
          </cell>
          <cell r="B66" t="str">
            <v>010201</v>
          </cell>
          <cell r="C66" t="str">
            <v>020202</v>
          </cell>
        </row>
        <row r="67">
          <cell r="A67" t="str">
            <v>City of Chinook</v>
          </cell>
          <cell r="B67" t="str">
            <v>010301</v>
          </cell>
          <cell r="C67" t="str">
            <v>020301</v>
          </cell>
        </row>
        <row r="68">
          <cell r="A68" t="str">
            <v>City of Harlem</v>
          </cell>
          <cell r="B68" t="str">
            <v>010301</v>
          </cell>
          <cell r="C68" t="str">
            <v>020302</v>
          </cell>
        </row>
        <row r="69">
          <cell r="A69" t="str">
            <v>City of Townsend</v>
          </cell>
          <cell r="B69" t="str">
            <v>010401</v>
          </cell>
          <cell r="C69" t="str">
            <v>020401</v>
          </cell>
        </row>
        <row r="70">
          <cell r="A70" t="str">
            <v>Town of Bearcreek</v>
          </cell>
          <cell r="B70" t="str">
            <v>010501</v>
          </cell>
          <cell r="C70" t="str">
            <v>020501</v>
          </cell>
        </row>
        <row r="71">
          <cell r="A71" t="str">
            <v>Town of Bridger</v>
          </cell>
          <cell r="B71" t="str">
            <v>010501</v>
          </cell>
          <cell r="C71" t="str">
            <v>020502</v>
          </cell>
        </row>
        <row r="72">
          <cell r="A72" t="str">
            <v>Town of Fromberg</v>
          </cell>
          <cell r="B72" t="str">
            <v>010501</v>
          </cell>
          <cell r="C72" t="str">
            <v>020503</v>
          </cell>
        </row>
        <row r="73">
          <cell r="A73" t="str">
            <v>Town of Joliet</v>
          </cell>
          <cell r="B73" t="str">
            <v>010501</v>
          </cell>
          <cell r="C73" t="str">
            <v>020504</v>
          </cell>
        </row>
        <row r="74">
          <cell r="A74" t="str">
            <v>City of Red Lodge</v>
          </cell>
          <cell r="B74" t="str">
            <v>010501</v>
          </cell>
          <cell r="C74" t="str">
            <v>020505</v>
          </cell>
        </row>
        <row r="75">
          <cell r="A75" t="str">
            <v>Town of Ekalaka</v>
          </cell>
          <cell r="B75" t="str">
            <v>010601</v>
          </cell>
          <cell r="C75" t="str">
            <v>020601</v>
          </cell>
        </row>
        <row r="76">
          <cell r="A76" t="str">
            <v>Town of Belt</v>
          </cell>
          <cell r="B76" t="str">
            <v>010701</v>
          </cell>
          <cell r="C76" t="str">
            <v>020701</v>
          </cell>
        </row>
        <row r="77">
          <cell r="A77" t="str">
            <v>Town of Cascade</v>
          </cell>
          <cell r="B77" t="str">
            <v>010701</v>
          </cell>
          <cell r="C77" t="str">
            <v>020702</v>
          </cell>
        </row>
        <row r="78">
          <cell r="A78" t="str">
            <v>City of Great Falls</v>
          </cell>
          <cell r="B78" t="str">
            <v>010701</v>
          </cell>
          <cell r="C78" t="str">
            <v>020703</v>
          </cell>
        </row>
        <row r="79">
          <cell r="A79" t="str">
            <v>Town of Neihart</v>
          </cell>
          <cell r="B79" t="str">
            <v>010701</v>
          </cell>
          <cell r="C79" t="str">
            <v>020704</v>
          </cell>
        </row>
        <row r="80">
          <cell r="A80" t="str">
            <v>Town of Big Sandy</v>
          </cell>
          <cell r="B80" t="str">
            <v>010801</v>
          </cell>
          <cell r="C80" t="str">
            <v>020801</v>
          </cell>
        </row>
        <row r="81">
          <cell r="A81" t="str">
            <v>City of Fort Benton</v>
          </cell>
          <cell r="B81" t="str">
            <v>010801</v>
          </cell>
          <cell r="C81" t="str">
            <v>020802</v>
          </cell>
        </row>
        <row r="82">
          <cell r="A82" t="str">
            <v>Town of Geraldine</v>
          </cell>
          <cell r="B82" t="str">
            <v>010801</v>
          </cell>
          <cell r="C82" t="str">
            <v>020803</v>
          </cell>
        </row>
        <row r="83">
          <cell r="A83" t="str">
            <v>Town of Ismay</v>
          </cell>
          <cell r="B83" t="str">
            <v>010901</v>
          </cell>
          <cell r="C83" t="str">
            <v>020901</v>
          </cell>
        </row>
        <row r="84">
          <cell r="A84" t="str">
            <v>City of Miles City</v>
          </cell>
          <cell r="B84" t="str">
            <v>010901</v>
          </cell>
          <cell r="C84" t="str">
            <v>020902</v>
          </cell>
        </row>
        <row r="85">
          <cell r="A85" t="str">
            <v>Town of Flaxville</v>
          </cell>
          <cell r="B85" t="str">
            <v>011001</v>
          </cell>
          <cell r="C85" t="str">
            <v>021001</v>
          </cell>
        </row>
        <row r="86">
          <cell r="A86" t="str">
            <v>City of Scobey</v>
          </cell>
          <cell r="B86" t="str">
            <v>011001</v>
          </cell>
          <cell r="C86" t="str">
            <v>021002</v>
          </cell>
        </row>
        <row r="87">
          <cell r="A87" t="str">
            <v>City of Glendive</v>
          </cell>
          <cell r="B87" t="str">
            <v>011101</v>
          </cell>
          <cell r="C87" t="str">
            <v>021101</v>
          </cell>
        </row>
        <row r="88">
          <cell r="A88" t="str">
            <v>Town of Richey</v>
          </cell>
          <cell r="B88" t="str">
            <v>011101</v>
          </cell>
          <cell r="C88" t="str">
            <v>021102</v>
          </cell>
        </row>
        <row r="89">
          <cell r="A89" t="str">
            <v>City of Baker</v>
          </cell>
          <cell r="B89" t="str">
            <v>011301</v>
          </cell>
          <cell r="C89" t="str">
            <v>021301</v>
          </cell>
        </row>
        <row r="90">
          <cell r="A90" t="str">
            <v>Town of Plevna</v>
          </cell>
          <cell r="B90" t="str">
            <v>011301</v>
          </cell>
          <cell r="C90" t="str">
            <v>021302</v>
          </cell>
        </row>
        <row r="91">
          <cell r="A91" t="str">
            <v>Town of Denton</v>
          </cell>
          <cell r="B91" t="str">
            <v>011401</v>
          </cell>
          <cell r="C91" t="str">
            <v>021401</v>
          </cell>
        </row>
        <row r="92">
          <cell r="A92" t="str">
            <v>Town of Grass Range</v>
          </cell>
          <cell r="B92" t="str">
            <v>011401</v>
          </cell>
          <cell r="C92" t="str">
            <v>021402</v>
          </cell>
        </row>
        <row r="93">
          <cell r="A93" t="str">
            <v>City of Lewistown</v>
          </cell>
          <cell r="B93" t="str">
            <v>011401</v>
          </cell>
          <cell r="C93" t="str">
            <v>021403</v>
          </cell>
        </row>
        <row r="94">
          <cell r="A94" t="str">
            <v>Town of Moore</v>
          </cell>
          <cell r="B94" t="str">
            <v>011401</v>
          </cell>
          <cell r="C94" t="str">
            <v>021404</v>
          </cell>
        </row>
        <row r="95">
          <cell r="A95" t="str">
            <v>Town of Winifred</v>
          </cell>
          <cell r="B95" t="str">
            <v>011401</v>
          </cell>
          <cell r="C95" t="str">
            <v>021405</v>
          </cell>
        </row>
        <row r="96">
          <cell r="A96" t="str">
            <v>City of Columbia Falls</v>
          </cell>
          <cell r="B96" t="str">
            <v>011501</v>
          </cell>
          <cell r="C96" t="str">
            <v>021501</v>
          </cell>
        </row>
        <row r="97">
          <cell r="A97" t="str">
            <v>City of Kalispell</v>
          </cell>
          <cell r="B97" t="str">
            <v>011501</v>
          </cell>
          <cell r="C97" t="str">
            <v>021502</v>
          </cell>
        </row>
        <row r="98">
          <cell r="A98" t="str">
            <v>City of Whitefish</v>
          </cell>
          <cell r="B98" t="str">
            <v>011501</v>
          </cell>
          <cell r="C98" t="str">
            <v>021503</v>
          </cell>
        </row>
        <row r="99">
          <cell r="A99" t="str">
            <v>City of Belgrade</v>
          </cell>
          <cell r="B99" t="str">
            <v>011601</v>
          </cell>
          <cell r="C99" t="str">
            <v>021601</v>
          </cell>
        </row>
        <row r="100">
          <cell r="A100" t="str">
            <v>City of Bozeman</v>
          </cell>
          <cell r="B100" t="str">
            <v>011601</v>
          </cell>
          <cell r="C100" t="str">
            <v>021602</v>
          </cell>
        </row>
        <row r="101">
          <cell r="A101" t="str">
            <v>Town of Manhattan</v>
          </cell>
          <cell r="B101" t="str">
            <v>011601</v>
          </cell>
          <cell r="C101" t="str">
            <v>021603</v>
          </cell>
        </row>
        <row r="102">
          <cell r="A102" t="str">
            <v>City of Three Forks</v>
          </cell>
          <cell r="B102" t="str">
            <v>011601</v>
          </cell>
          <cell r="C102" t="str">
            <v>021604</v>
          </cell>
        </row>
        <row r="103">
          <cell r="A103" t="str">
            <v>Town of West Yellowstone</v>
          </cell>
          <cell r="B103" t="str">
            <v>011601</v>
          </cell>
          <cell r="C103" t="str">
            <v>021605</v>
          </cell>
        </row>
        <row r="104">
          <cell r="A104" t="str">
            <v>Town of Jordan</v>
          </cell>
          <cell r="B104" t="str">
            <v>011701</v>
          </cell>
          <cell r="C104" t="str">
            <v>021701</v>
          </cell>
        </row>
        <row r="105">
          <cell r="A105" t="str">
            <v>Town of Browning</v>
          </cell>
          <cell r="B105" t="str">
            <v>011801</v>
          </cell>
          <cell r="C105" t="str">
            <v>021801</v>
          </cell>
        </row>
        <row r="106">
          <cell r="A106" t="str">
            <v>City of Cut Bank</v>
          </cell>
          <cell r="B106" t="str">
            <v>011801</v>
          </cell>
          <cell r="C106" t="str">
            <v>021802</v>
          </cell>
        </row>
        <row r="107">
          <cell r="A107" t="str">
            <v>Town of Lavina</v>
          </cell>
          <cell r="B107" t="str">
            <v>011901</v>
          </cell>
          <cell r="C107" t="str">
            <v>021901</v>
          </cell>
        </row>
        <row r="108">
          <cell r="A108" t="str">
            <v>Town of Ryegate</v>
          </cell>
          <cell r="B108" t="str">
            <v>011901</v>
          </cell>
          <cell r="C108" t="str">
            <v>021902</v>
          </cell>
        </row>
        <row r="109">
          <cell r="A109" t="str">
            <v>Town of Drummond</v>
          </cell>
          <cell r="B109" t="str">
            <v>012001</v>
          </cell>
          <cell r="C109" t="str">
            <v>022001</v>
          </cell>
        </row>
        <row r="110">
          <cell r="A110" t="str">
            <v>Town of Philipsburg</v>
          </cell>
          <cell r="B110" t="str">
            <v>012001</v>
          </cell>
          <cell r="C110" t="str">
            <v>022002</v>
          </cell>
        </row>
        <row r="111">
          <cell r="A111" t="str">
            <v>City of Havre</v>
          </cell>
          <cell r="B111" t="str">
            <v>012101</v>
          </cell>
          <cell r="C111" t="str">
            <v>022101</v>
          </cell>
        </row>
        <row r="112">
          <cell r="A112" t="str">
            <v>Town of Hingham</v>
          </cell>
          <cell r="B112" t="str">
            <v>012101</v>
          </cell>
          <cell r="C112" t="str">
            <v>022102</v>
          </cell>
        </row>
        <row r="113">
          <cell r="A113" t="str">
            <v>City of Boulder</v>
          </cell>
          <cell r="B113" t="str">
            <v>012201</v>
          </cell>
          <cell r="C113" t="str">
            <v>022201</v>
          </cell>
        </row>
        <row r="114">
          <cell r="A114" t="str">
            <v>Town of Whitehall</v>
          </cell>
          <cell r="B114" t="str">
            <v>012201</v>
          </cell>
          <cell r="C114" t="str">
            <v>022202</v>
          </cell>
        </row>
        <row r="115">
          <cell r="A115" t="str">
            <v>Town of Hobson</v>
          </cell>
          <cell r="B115" t="str">
            <v>012301</v>
          </cell>
          <cell r="C115" t="str">
            <v>022301</v>
          </cell>
        </row>
        <row r="116">
          <cell r="A116" t="str">
            <v>Town of Stanford</v>
          </cell>
          <cell r="B116" t="str">
            <v>012301</v>
          </cell>
          <cell r="C116" t="str">
            <v>022302</v>
          </cell>
        </row>
        <row r="117">
          <cell r="A117" t="str">
            <v>City of Polson</v>
          </cell>
          <cell r="B117" t="str">
            <v>012401</v>
          </cell>
          <cell r="C117" t="str">
            <v>022401</v>
          </cell>
        </row>
        <row r="118">
          <cell r="A118" t="str">
            <v>City of Ronan</v>
          </cell>
          <cell r="B118" t="str">
            <v>012401</v>
          </cell>
          <cell r="C118" t="str">
            <v>022402</v>
          </cell>
        </row>
        <row r="119">
          <cell r="A119" t="str">
            <v>Town of St. Ignatius</v>
          </cell>
          <cell r="B119" t="str">
            <v>012401</v>
          </cell>
          <cell r="C119" t="str">
            <v>022403</v>
          </cell>
        </row>
        <row r="120">
          <cell r="A120" t="str">
            <v>City of East Helena</v>
          </cell>
          <cell r="B120" t="str">
            <v>012501</v>
          </cell>
          <cell r="C120" t="str">
            <v>022501</v>
          </cell>
        </row>
        <row r="121">
          <cell r="A121" t="str">
            <v>City of Helena</v>
          </cell>
          <cell r="B121" t="str">
            <v>012501</v>
          </cell>
          <cell r="C121" t="str">
            <v>022502</v>
          </cell>
        </row>
        <row r="122">
          <cell r="A122" t="str">
            <v>Town of Chester</v>
          </cell>
          <cell r="B122" t="str">
            <v>012601</v>
          </cell>
          <cell r="C122" t="str">
            <v>022601</v>
          </cell>
        </row>
        <row r="123">
          <cell r="A123" t="str">
            <v>Town of Eureka</v>
          </cell>
          <cell r="B123" t="str">
            <v>012701</v>
          </cell>
          <cell r="C123" t="str">
            <v>022701</v>
          </cell>
        </row>
        <row r="124">
          <cell r="A124" t="str">
            <v>City of Libby</v>
          </cell>
          <cell r="B124" t="str">
            <v>012701</v>
          </cell>
          <cell r="C124" t="str">
            <v>022702</v>
          </cell>
        </row>
        <row r="125">
          <cell r="A125" t="str">
            <v>Town Of Rexford</v>
          </cell>
          <cell r="B125" t="str">
            <v>012701</v>
          </cell>
          <cell r="C125" t="str">
            <v>022703</v>
          </cell>
        </row>
        <row r="126">
          <cell r="A126" t="str">
            <v>City of Troy</v>
          </cell>
          <cell r="B126" t="str">
            <v>012701</v>
          </cell>
          <cell r="C126" t="str">
            <v>022704</v>
          </cell>
        </row>
        <row r="127">
          <cell r="A127" t="str">
            <v>Town of Ennis</v>
          </cell>
          <cell r="B127" t="str">
            <v>012801</v>
          </cell>
          <cell r="C127" t="str">
            <v>022801</v>
          </cell>
        </row>
        <row r="128">
          <cell r="A128" t="str">
            <v>Town of Sheridan</v>
          </cell>
          <cell r="B128" t="str">
            <v>012801</v>
          </cell>
          <cell r="C128" t="str">
            <v>022802</v>
          </cell>
        </row>
        <row r="129">
          <cell r="A129" t="str">
            <v>Town of Twin Bridges</v>
          </cell>
          <cell r="B129" t="str">
            <v>012801</v>
          </cell>
          <cell r="C129" t="str">
            <v>022803</v>
          </cell>
        </row>
        <row r="130">
          <cell r="A130" t="str">
            <v>Town of Virginia City</v>
          </cell>
          <cell r="B130" t="str">
            <v>012801</v>
          </cell>
          <cell r="C130" t="str">
            <v>022804</v>
          </cell>
        </row>
        <row r="131">
          <cell r="A131" t="str">
            <v>Town of Circle</v>
          </cell>
          <cell r="B131" t="str">
            <v>012901</v>
          </cell>
          <cell r="C131" t="str">
            <v>022901</v>
          </cell>
        </row>
        <row r="132">
          <cell r="A132" t="str">
            <v>City of White Sulphur Springs</v>
          </cell>
          <cell r="B132" t="str">
            <v>013001</v>
          </cell>
          <cell r="C132" t="str">
            <v>023001</v>
          </cell>
        </row>
        <row r="133">
          <cell r="A133" t="str">
            <v>Town of Alberton</v>
          </cell>
          <cell r="B133" t="str">
            <v>013101</v>
          </cell>
          <cell r="C133" t="str">
            <v>023101</v>
          </cell>
        </row>
        <row r="134">
          <cell r="A134" t="str">
            <v>Town Of Superior</v>
          </cell>
          <cell r="B134" t="str">
            <v>013101</v>
          </cell>
          <cell r="C134" t="str">
            <v>023102</v>
          </cell>
        </row>
        <row r="135">
          <cell r="A135" t="str">
            <v>City of Missoula</v>
          </cell>
          <cell r="B135" t="str">
            <v>013201</v>
          </cell>
          <cell r="C135" t="str">
            <v>023201</v>
          </cell>
        </row>
        <row r="136">
          <cell r="A136" t="str">
            <v>Town of Melstone</v>
          </cell>
          <cell r="B136" t="str">
            <v>013301</v>
          </cell>
          <cell r="C136" t="str">
            <v>023301</v>
          </cell>
        </row>
        <row r="137">
          <cell r="A137" t="str">
            <v>City of Roundup</v>
          </cell>
          <cell r="B137" t="str">
            <v>013301</v>
          </cell>
          <cell r="C137" t="str">
            <v>023302</v>
          </cell>
        </row>
        <row r="138">
          <cell r="A138" t="str">
            <v>Town of Clyde Park</v>
          </cell>
          <cell r="B138" t="str">
            <v>013401</v>
          </cell>
          <cell r="C138" t="str">
            <v>023401</v>
          </cell>
        </row>
        <row r="139">
          <cell r="A139" t="str">
            <v>City of Livingston</v>
          </cell>
          <cell r="B139" t="str">
            <v>013401</v>
          </cell>
          <cell r="C139" t="str">
            <v>023402</v>
          </cell>
        </row>
        <row r="140">
          <cell r="A140" t="str">
            <v>Town of Winnett</v>
          </cell>
          <cell r="B140" t="str">
            <v>013501</v>
          </cell>
          <cell r="C140" t="str">
            <v>023501</v>
          </cell>
        </row>
        <row r="141">
          <cell r="A141" t="str">
            <v>Town of Dodson</v>
          </cell>
          <cell r="B141" t="str">
            <v>013601</v>
          </cell>
          <cell r="C141" t="str">
            <v>023601</v>
          </cell>
        </row>
        <row r="142">
          <cell r="A142" t="str">
            <v>City of Malta</v>
          </cell>
          <cell r="B142" t="str">
            <v>013601</v>
          </cell>
          <cell r="C142" t="str">
            <v>023602</v>
          </cell>
        </row>
        <row r="143">
          <cell r="A143" t="str">
            <v>Town of Saco</v>
          </cell>
          <cell r="B143" t="str">
            <v>013601</v>
          </cell>
          <cell r="C143" t="str">
            <v>023603</v>
          </cell>
        </row>
        <row r="144">
          <cell r="A144" t="str">
            <v>City of Conrad</v>
          </cell>
          <cell r="B144" t="str">
            <v>013701</v>
          </cell>
          <cell r="C144" t="str">
            <v>023701</v>
          </cell>
        </row>
        <row r="145">
          <cell r="A145" t="str">
            <v>Town of Valier</v>
          </cell>
          <cell r="B145" t="str">
            <v>013701</v>
          </cell>
          <cell r="C145" t="str">
            <v>023702</v>
          </cell>
        </row>
        <row r="146">
          <cell r="A146" t="str">
            <v>Town of Broadus</v>
          </cell>
          <cell r="B146" t="str">
            <v>013801</v>
          </cell>
          <cell r="C146" t="str">
            <v>023801</v>
          </cell>
        </row>
        <row r="147">
          <cell r="A147" t="str">
            <v>City of Deer Lodge</v>
          </cell>
          <cell r="B147" t="str">
            <v>013901</v>
          </cell>
          <cell r="C147" t="str">
            <v>023901</v>
          </cell>
        </row>
        <row r="148">
          <cell r="A148" t="str">
            <v>Town of Terry</v>
          </cell>
          <cell r="B148" t="str">
            <v>014001</v>
          </cell>
          <cell r="C148" t="str">
            <v>024001</v>
          </cell>
        </row>
        <row r="149">
          <cell r="A149" t="str">
            <v>Town of Darby</v>
          </cell>
          <cell r="B149" t="str">
            <v>014101</v>
          </cell>
          <cell r="C149" t="str">
            <v>024101</v>
          </cell>
        </row>
        <row r="150">
          <cell r="A150" t="str">
            <v>City of Hamilton</v>
          </cell>
          <cell r="B150" t="str">
            <v>014101</v>
          </cell>
          <cell r="C150" t="str">
            <v>024102</v>
          </cell>
        </row>
        <row r="151">
          <cell r="A151" t="str">
            <v>Town of Pinesdale</v>
          </cell>
          <cell r="B151" t="str">
            <v>014101</v>
          </cell>
          <cell r="C151" t="str">
            <v>024103</v>
          </cell>
        </row>
        <row r="152">
          <cell r="A152" t="str">
            <v>Town of Stevensville</v>
          </cell>
          <cell r="B152" t="str">
            <v>014101</v>
          </cell>
          <cell r="C152" t="str">
            <v>024104</v>
          </cell>
        </row>
        <row r="153">
          <cell r="A153" t="str">
            <v>Town of Fairview</v>
          </cell>
          <cell r="B153" t="str">
            <v>014201</v>
          </cell>
          <cell r="C153" t="str">
            <v>024201</v>
          </cell>
        </row>
        <row r="154">
          <cell r="A154" t="str">
            <v>City of Sidney</v>
          </cell>
          <cell r="B154" t="str">
            <v>014201</v>
          </cell>
          <cell r="C154" t="str">
            <v>024202</v>
          </cell>
        </row>
        <row r="155">
          <cell r="A155" t="str">
            <v>Town of Bainville</v>
          </cell>
          <cell r="B155" t="str">
            <v>014301</v>
          </cell>
          <cell r="C155" t="str">
            <v>024301</v>
          </cell>
        </row>
        <row r="156">
          <cell r="A156" t="str">
            <v>Town of Brockton</v>
          </cell>
          <cell r="B156" t="str">
            <v>014301</v>
          </cell>
          <cell r="C156" t="str">
            <v>024302</v>
          </cell>
        </row>
        <row r="157">
          <cell r="A157" t="str">
            <v>Town of Culbertson</v>
          </cell>
          <cell r="B157" t="str">
            <v>014301</v>
          </cell>
          <cell r="C157" t="str">
            <v>024303</v>
          </cell>
        </row>
        <row r="158">
          <cell r="A158" t="str">
            <v>Town of Froid</v>
          </cell>
          <cell r="B158" t="str">
            <v>014301</v>
          </cell>
          <cell r="C158" t="str">
            <v>024304</v>
          </cell>
        </row>
        <row r="159">
          <cell r="A159" t="str">
            <v>City of Poplar</v>
          </cell>
          <cell r="B159" t="str">
            <v>014301</v>
          </cell>
          <cell r="C159" t="str">
            <v>024305</v>
          </cell>
        </row>
        <row r="160">
          <cell r="A160" t="str">
            <v>City of Wolf Point</v>
          </cell>
          <cell r="B160" t="str">
            <v>014301</v>
          </cell>
          <cell r="C160" t="str">
            <v>024306</v>
          </cell>
        </row>
        <row r="161">
          <cell r="A161" t="str">
            <v>City of Forsyth</v>
          </cell>
          <cell r="B161" t="str">
            <v>014401</v>
          </cell>
          <cell r="C161" t="str">
            <v>024401</v>
          </cell>
        </row>
        <row r="162">
          <cell r="A162" t="str">
            <v>City of Colstrip</v>
          </cell>
          <cell r="B162" t="str">
            <v>014401</v>
          </cell>
          <cell r="C162" t="str">
            <v>024402</v>
          </cell>
        </row>
        <row r="163">
          <cell r="A163" t="str">
            <v>Town of Hot Springs</v>
          </cell>
          <cell r="B163" t="str">
            <v>014501</v>
          </cell>
          <cell r="C163" t="str">
            <v>024501</v>
          </cell>
        </row>
        <row r="164">
          <cell r="A164" t="str">
            <v>Town of Plains</v>
          </cell>
          <cell r="B164" t="str">
            <v>014501</v>
          </cell>
          <cell r="C164" t="str">
            <v>024502</v>
          </cell>
        </row>
        <row r="165">
          <cell r="A165" t="str">
            <v>City of Thompson Falls</v>
          </cell>
          <cell r="B165" t="str">
            <v>014501</v>
          </cell>
          <cell r="C165" t="str">
            <v>024503</v>
          </cell>
        </row>
        <row r="166">
          <cell r="A166" t="str">
            <v>Town of Medicine Lake</v>
          </cell>
          <cell r="B166" t="str">
            <v>014601</v>
          </cell>
          <cell r="C166" t="str">
            <v>024601</v>
          </cell>
        </row>
        <row r="167">
          <cell r="A167" t="str">
            <v>Town of Outlook</v>
          </cell>
          <cell r="B167" t="str">
            <v>014601</v>
          </cell>
          <cell r="C167" t="str">
            <v>024602</v>
          </cell>
        </row>
        <row r="168">
          <cell r="A168" t="str">
            <v>City of Plentywood</v>
          </cell>
          <cell r="B168" t="str">
            <v>014601</v>
          </cell>
          <cell r="C168" t="str">
            <v>024603</v>
          </cell>
        </row>
        <row r="169">
          <cell r="A169" t="str">
            <v>Town of Westby</v>
          </cell>
          <cell r="B169" t="str">
            <v>014601</v>
          </cell>
          <cell r="C169" t="str">
            <v>024604</v>
          </cell>
        </row>
        <row r="170">
          <cell r="A170" t="str">
            <v>Town of Walkerville</v>
          </cell>
          <cell r="B170" t="str">
            <v>014701</v>
          </cell>
          <cell r="C170" t="str">
            <v>024702</v>
          </cell>
        </row>
        <row r="171">
          <cell r="A171" t="str">
            <v>Town of Columbus</v>
          </cell>
          <cell r="B171" t="str">
            <v>014801</v>
          </cell>
          <cell r="C171" t="str">
            <v>024801</v>
          </cell>
        </row>
        <row r="172">
          <cell r="A172" t="str">
            <v>City of Big Timber</v>
          </cell>
          <cell r="B172" t="str">
            <v>014901</v>
          </cell>
          <cell r="C172" t="str">
            <v>024901</v>
          </cell>
        </row>
        <row r="173">
          <cell r="A173" t="str">
            <v>City of Choteau</v>
          </cell>
          <cell r="B173" t="str">
            <v>015001</v>
          </cell>
          <cell r="C173" t="str">
            <v>025001</v>
          </cell>
        </row>
        <row r="174">
          <cell r="A174" t="str">
            <v>Town of Dutton</v>
          </cell>
          <cell r="B174" t="str">
            <v>015001</v>
          </cell>
          <cell r="C174" t="str">
            <v>025002</v>
          </cell>
        </row>
        <row r="175">
          <cell r="A175" t="str">
            <v>Town of Fairfield</v>
          </cell>
          <cell r="B175" t="str">
            <v>015001</v>
          </cell>
          <cell r="C175" t="str">
            <v>025003</v>
          </cell>
        </row>
        <row r="176">
          <cell r="A176" t="str">
            <v>Town of Kevin</v>
          </cell>
          <cell r="B176" t="str">
            <v>015101</v>
          </cell>
          <cell r="C176" t="str">
            <v>025101</v>
          </cell>
        </row>
        <row r="177">
          <cell r="A177" t="str">
            <v>City of Shelby</v>
          </cell>
          <cell r="B177" t="str">
            <v>015101</v>
          </cell>
          <cell r="C177" t="str">
            <v>025102</v>
          </cell>
        </row>
        <row r="178">
          <cell r="A178" t="str">
            <v>Town of Sunburst</v>
          </cell>
          <cell r="B178" t="str">
            <v>015101</v>
          </cell>
          <cell r="C178" t="str">
            <v>025103</v>
          </cell>
        </row>
        <row r="179">
          <cell r="A179" t="str">
            <v>Town of Hysham</v>
          </cell>
          <cell r="B179" t="str">
            <v>015201</v>
          </cell>
          <cell r="C179" t="str">
            <v>025201</v>
          </cell>
        </row>
        <row r="180">
          <cell r="A180" t="str">
            <v>Town of Fort Peck</v>
          </cell>
          <cell r="B180" t="str">
            <v>015301</v>
          </cell>
          <cell r="C180" t="str">
            <v>025301</v>
          </cell>
        </row>
        <row r="181">
          <cell r="A181" t="str">
            <v>City of Glasgow</v>
          </cell>
          <cell r="B181" t="str">
            <v>015301</v>
          </cell>
          <cell r="C181" t="str">
            <v>025302</v>
          </cell>
        </row>
        <row r="182">
          <cell r="A182" t="str">
            <v>Town of Nashua</v>
          </cell>
          <cell r="B182" t="str">
            <v>015301</v>
          </cell>
          <cell r="C182" t="str">
            <v>025303</v>
          </cell>
        </row>
        <row r="183">
          <cell r="A183" t="str">
            <v>Town of Opheim</v>
          </cell>
          <cell r="B183" t="str">
            <v>015301</v>
          </cell>
          <cell r="C183" t="str">
            <v>025304</v>
          </cell>
        </row>
        <row r="184">
          <cell r="A184" t="str">
            <v>City of Harlowton</v>
          </cell>
          <cell r="B184" t="str">
            <v>015401</v>
          </cell>
          <cell r="C184" t="str">
            <v>025401</v>
          </cell>
        </row>
        <row r="185">
          <cell r="A185" t="str">
            <v>Town of Judith Gap</v>
          </cell>
          <cell r="B185" t="str">
            <v>015401</v>
          </cell>
          <cell r="C185" t="str">
            <v>025402</v>
          </cell>
        </row>
        <row r="186">
          <cell r="A186" t="str">
            <v>Town of Wibaux</v>
          </cell>
          <cell r="B186" t="str">
            <v>015501</v>
          </cell>
          <cell r="C186" t="str">
            <v>025501</v>
          </cell>
        </row>
        <row r="187">
          <cell r="A187" t="str">
            <v>City of Billings</v>
          </cell>
          <cell r="B187" t="str">
            <v>015601</v>
          </cell>
          <cell r="C187" t="str">
            <v>025601</v>
          </cell>
        </row>
        <row r="188">
          <cell r="A188" t="str">
            <v>Town of Broadview</v>
          </cell>
          <cell r="B188" t="str">
            <v>015601</v>
          </cell>
          <cell r="C188" t="str">
            <v>025602</v>
          </cell>
        </row>
        <row r="189">
          <cell r="A189" t="str">
            <v>City of Laurel</v>
          </cell>
          <cell r="B189" t="str">
            <v>015601</v>
          </cell>
          <cell r="C189" t="str">
            <v>025603</v>
          </cell>
        </row>
      </sheetData>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LEDGER LOAD INPUT"/>
      <sheetName val="DATABASE LEDGER LOAD"/>
      <sheetName val="List-County &amp; Entity Codes  "/>
      <sheetName val="Balance Check"/>
      <sheetName val="Sheet1"/>
      <sheetName val="Sheet2"/>
    </sheetNames>
    <sheetDataSet>
      <sheetData sheetId="0"/>
      <sheetData sheetId="1"/>
      <sheetData sheetId="2"/>
      <sheetData sheetId="3">
        <row r="5">
          <cell r="A5" t="str">
            <v>Beaverhead County</v>
          </cell>
        </row>
      </sheetData>
      <sheetData sheetId="4"/>
      <sheetData sheetId="5"/>
      <sheetData sheetId="6"/>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Query from HTEDTA2" connectionId="11" xr16:uid="{00000000-0016-0000-3300-000000000000}" autoFormatId="16" applyNumberFormats="0" applyBorderFormats="0" applyFontFormats="0" applyPatternFormats="0" applyAlignmentFormats="0" applyWidthHeightFormats="0">
  <queryTableRefresh nextId="3">
    <queryTableFields count="2">
      <queryTableField id="1" name="ERC001" tableColumnId="1"/>
      <queryTableField id="2" name="ERC002" tableColumnId="2"/>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Query from HTEDTA2" connectionId="12" xr16:uid="{00000000-0016-0000-3B00-000009000000}" autoFormatId="16" applyNumberFormats="0" applyBorderFormats="0" applyFontFormats="0" applyPatternFormats="0" applyAlignmentFormats="0" applyWidthHeightFormats="0">
  <queryTableRefresh nextId="20">
    <queryTableFields count="19">
      <queryTableField id="1" name="ERC001" tableColumnId="1"/>
      <queryTableField id="2" name="ERC002" tableColumnId="2"/>
      <queryTableField id="3" name="ERC003" tableColumnId="3"/>
      <queryTableField id="4" name="ERC004" tableColumnId="4"/>
      <queryTableField id="5" name="ERC005" tableColumnId="5"/>
      <queryTableField id="6" name="ERC006" tableColumnId="6"/>
      <queryTableField id="7" name="ERC007" tableColumnId="7"/>
      <queryTableField id="8" name="ERC008" tableColumnId="8"/>
      <queryTableField id="9" name="ERC009" tableColumnId="9"/>
      <queryTableField id="10" name="ERC010" tableColumnId="10"/>
      <queryTableField id="11" name="ERC011" tableColumnId="11"/>
      <queryTableField id="12" name="ERC012" tableColumnId="12"/>
      <queryTableField id="13" name="ERC013" tableColumnId="13"/>
      <queryTableField id="14" name="ERC014" tableColumnId="14"/>
      <queryTableField id="15" name="ERC015" tableColumnId="15"/>
      <queryTableField id="16" name="ERC016" tableColumnId="16"/>
      <queryTableField id="17" name="ERC017" tableColumnId="17"/>
      <queryTableField id="18" name="ERC018" tableColumnId="18"/>
      <queryTableField id="19" name="ERC019" tableColumnId="19"/>
    </queryTableFields>
  </queryTableRefresh>
</queryTable>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Query from HTEDTA28" connectionId="13" xr16:uid="{00000000-0016-0000-3C00-00000A000000}" autoFormatId="16" applyNumberFormats="0" applyBorderFormats="0" applyFontFormats="0" applyPatternFormats="0" applyAlignmentFormats="0" applyWidthHeightFormats="0">
  <queryTableRefresh nextId="21">
    <queryTableFields count="19">
      <queryTableField id="1" name="ERC001" tableColumnId="1"/>
      <queryTableField id="2" name="ERC002" tableColumnId="2"/>
      <queryTableField id="3" name="ERC003" tableColumnId="3"/>
      <queryTableField id="4" name="ERC004" tableColumnId="4"/>
      <queryTableField id="5" name="ERC005" tableColumnId="5"/>
      <queryTableField id="6" name="ERC006" tableColumnId="6"/>
      <queryTableField id="7" name="ERC007" tableColumnId="7"/>
      <queryTableField id="8" name="ERC008" tableColumnId="8"/>
      <queryTableField id="9" name="ERC009" tableColumnId="9"/>
      <queryTableField id="10" name="ERC010" tableColumnId="10"/>
      <queryTableField id="11" name="ERC011" tableColumnId="11"/>
      <queryTableField id="12" name="ERC012" tableColumnId="12"/>
      <queryTableField id="13" name="ERC013" tableColumnId="13"/>
      <queryTableField id="14" name="ERC014" tableColumnId="14"/>
      <queryTableField id="15" name="ERC015" tableColumnId="15"/>
      <queryTableField id="16" name="ERC016" tableColumnId="16"/>
      <queryTableField id="17" name="ERC017" tableColumnId="17"/>
      <queryTableField id="18" name="ERC018" tableColumnId="18"/>
      <queryTableField id="19" name="ERC019" tableColumnId="19"/>
    </queryTableFields>
  </queryTableRefresh>
</queryTable>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Query from HTEDA231_1" connectionId="5" xr16:uid="{00000000-0016-0000-3D00-00000B000000}" autoFormatId="16" applyNumberFormats="0" applyBorderFormats="0" applyFontFormats="0" applyPatternFormats="0" applyAlignmentFormats="0" applyWidthHeightFormats="0">
  <queryTableRefresh nextId="26">
    <queryTableFields count="25">
      <queryTableField id="1" name="ERC001" tableColumnId="1"/>
      <queryTableField id="2" name="ERC002" tableColumnId="2"/>
      <queryTableField id="3" name="ERC003" tableColumnId="3"/>
      <queryTableField id="4" name="ERC004" tableColumnId="4"/>
      <queryTableField id="5" name="ERC005" tableColumnId="5"/>
      <queryTableField id="6" name="ERC006" tableColumnId="6"/>
      <queryTableField id="7" name="ERC007" tableColumnId="7"/>
      <queryTableField id="8" name="ERC008" tableColumnId="8"/>
      <queryTableField id="9" name="ERC009" tableColumnId="9"/>
      <queryTableField id="10" name="ERC010" tableColumnId="10"/>
      <queryTableField id="11" name="ERC011" tableColumnId="11"/>
      <queryTableField id="12" name="ERC012" tableColumnId="12"/>
      <queryTableField id="13" name="ERC013" tableColumnId="13"/>
      <queryTableField id="14" name="ERC014" tableColumnId="14"/>
      <queryTableField id="15" name="ERC015" tableColumnId="15"/>
      <queryTableField id="16" name="ERC016" tableColumnId="16"/>
      <queryTableField id="17" name="ERC017" tableColumnId="17"/>
      <queryTableField id="18" name="ERC018" tableColumnId="18"/>
      <queryTableField id="19" name="ERC019" tableColumnId="19"/>
      <queryTableField id="20" name="ERC020" tableColumnId="20"/>
      <queryTableField id="21" name="ERC021" tableColumnId="21"/>
      <queryTableField id="22" name="ERC022" tableColumnId="22"/>
      <queryTableField id="23" name="ERC023" tableColumnId="23"/>
      <queryTableField id="24" name="ERC024" tableColumnId="24"/>
      <queryTableField id="25" name="ERC025" tableColumnId="25"/>
    </queryTableFields>
  </queryTableRefresh>
</queryTable>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ExternalData_1" connectionId="14" xr16:uid="{00000000-0016-0000-3E00-00000C000000}" autoFormatId="16" applyNumberFormats="0" applyBorderFormats="0" applyFontFormats="0" applyPatternFormats="0" applyAlignmentFormats="0" applyWidthHeightFormats="0">
  <queryTableRefresh nextId="26">
    <queryTableFields count="25">
      <queryTableField id="1" name="ERC001" tableColumnId="1"/>
      <queryTableField id="2" name="ERC002" tableColumnId="2"/>
      <queryTableField id="3" name="ERC003" tableColumnId="3"/>
      <queryTableField id="4" name="ERC004" tableColumnId="4"/>
      <queryTableField id="5" name="ERC005" tableColumnId="5"/>
      <queryTableField id="6" name="ERC006" tableColumnId="6"/>
      <queryTableField id="7" name="ERC007" tableColumnId="7"/>
      <queryTableField id="8" name="ERC008" tableColumnId="8"/>
      <queryTableField id="9" name="ERC009" tableColumnId="9"/>
      <queryTableField id="10" name="ERC010" tableColumnId="10"/>
      <queryTableField id="11" name="ERC011" tableColumnId="11"/>
      <queryTableField id="12" name="ERC012" tableColumnId="12"/>
      <queryTableField id="13" name="ERC013" tableColumnId="13"/>
      <queryTableField id="14" name="ERC014" tableColumnId="14"/>
      <queryTableField id="15" name="ERC015" tableColumnId="15"/>
      <queryTableField id="16" name="ERC016" tableColumnId="16"/>
      <queryTableField id="17" name="ERC017" tableColumnId="17"/>
      <queryTableField id="18" name="ERC018" tableColumnId="18"/>
      <queryTableField id="19" name="ERC019" tableColumnId="19"/>
      <queryTableField id="20" name="ERC020" tableColumnId="20"/>
      <queryTableField id="21" name="ERC021" tableColumnId="21"/>
      <queryTableField id="22" name="ERC022" tableColumnId="22"/>
      <queryTableField id="23" name="ERC023" tableColumnId="23"/>
      <queryTableField id="24" name="ERC024" tableColumnId="24"/>
      <queryTableField id="25" name="ERC025" tableColumnId="25"/>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CONNECTION3_1" connectionId="2" xr16:uid="{00000000-0016-0000-3400-000002000000}" autoFormatId="16" applyNumberFormats="0" applyBorderFormats="0" applyFontFormats="0" applyPatternFormats="0" applyAlignmentFormats="0" applyWidthHeightFormats="0">
  <queryTableRefresh nextId="5">
    <queryTableFields count="4">
      <queryTableField id="1" name="ERC001" tableColumnId="1"/>
      <queryTableField id="2" name="ERC002" tableColumnId="2"/>
      <queryTableField id="3" name="ERC003" tableColumnId="3"/>
      <queryTableField id="4" name="ERC004" tableColumnId="4"/>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Query from Queries_1" connectionId="1" xr16:uid="{00000000-0016-0000-3400-000001000000}" autoFormatId="16" applyNumberFormats="0" applyBorderFormats="0" applyFontFormats="1" applyPatternFormats="1" applyAlignmentFormats="0" applyWidthHeightFormats="0">
  <queryTableRefresh nextId="5">
    <queryTableFields count="4">
      <queryTableField id="1" name="ERC001"/>
      <queryTableField id="2" name="ERC002"/>
      <queryTableField id="3" name="ERC003"/>
      <queryTableField id="4" name="ERC004"/>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Query from HTEDTA28" connectionId="15" xr16:uid="{00000000-0016-0000-3600-000004000000}" autoFormatId="16" applyNumberFormats="0" applyBorderFormats="0" applyFontFormats="0" applyPatternFormats="0" applyAlignmentFormats="0" applyWidthHeightFormats="0">
  <queryTableRefresh nextId="158">
    <queryTableFields count="157">
      <queryTableField id="1" name="ERC001" tableColumnId="1"/>
      <queryTableField id="2" name="ERC002" tableColumnId="2"/>
      <queryTableField id="3" name="ERC003" tableColumnId="3"/>
      <queryTableField id="4" name="ERC004" tableColumnId="4"/>
      <queryTableField id="5" name="ERC005" tableColumnId="5"/>
      <queryTableField id="6" name="ERC006" tableColumnId="6"/>
      <queryTableField id="7" name="ERC007" tableColumnId="7"/>
      <queryTableField id="8" name="ERC008" tableColumnId="8"/>
      <queryTableField id="9" name="ERC009" tableColumnId="9"/>
      <queryTableField id="10" name="ERC010" tableColumnId="10"/>
      <queryTableField id="11" name="ERC011" tableColumnId="11"/>
      <queryTableField id="12" name="ERC012" tableColumnId="12"/>
      <queryTableField id="13" name="ERC013" tableColumnId="13"/>
      <queryTableField id="14" name="ERC014" tableColumnId="14"/>
      <queryTableField id="15" name="ERC015" tableColumnId="15"/>
      <queryTableField id="16" name="ERC016" tableColumnId="16"/>
      <queryTableField id="17" name="ERC017" tableColumnId="17"/>
      <queryTableField id="18" name="ERC018" tableColumnId="18"/>
      <queryTableField id="19" name="ERC019" tableColumnId="19"/>
      <queryTableField id="20" name="ERC020" tableColumnId="20"/>
      <queryTableField id="21" name="ERC021" tableColumnId="21"/>
      <queryTableField id="22" name="ERC022" tableColumnId="22"/>
      <queryTableField id="23" name="ERC023" tableColumnId="23"/>
      <queryTableField id="24" name="ERC024" tableColumnId="24"/>
      <queryTableField id="25" name="ERC025" tableColumnId="25"/>
      <queryTableField id="26" name="ERC026" tableColumnId="26"/>
      <queryTableField id="27" name="ERC027" tableColumnId="27"/>
      <queryTableField id="28" name="ERC028" tableColumnId="28"/>
      <queryTableField id="29" name="ERC029" tableColumnId="29"/>
      <queryTableField id="30" name="ERC030" tableColumnId="30"/>
      <queryTableField id="31" name="ERC031" tableColumnId="31"/>
      <queryTableField id="32" name="ERC032" tableColumnId="32"/>
      <queryTableField id="33" name="ERC033" tableColumnId="33"/>
      <queryTableField id="34" name="ERC034" tableColumnId="34"/>
      <queryTableField id="35" name="ERC035" tableColumnId="35"/>
      <queryTableField id="36" name="ERC036" tableColumnId="36"/>
      <queryTableField id="37" name="ERC037" tableColumnId="37"/>
      <queryTableField id="38" name="ERC038" tableColumnId="38"/>
      <queryTableField id="39" name="ERC039" tableColumnId="39"/>
      <queryTableField id="40" name="ERC040" tableColumnId="40"/>
      <queryTableField id="41" name="ERC041" tableColumnId="41"/>
      <queryTableField id="42" name="ERC042" tableColumnId="42"/>
      <queryTableField id="43" name="ERC043" tableColumnId="43"/>
      <queryTableField id="44" name="ERC044" tableColumnId="44"/>
      <queryTableField id="45" name="ERC045" tableColumnId="45"/>
      <queryTableField id="46" name="ERC046" tableColumnId="46"/>
      <queryTableField id="47" name="ERC047" tableColumnId="47"/>
      <queryTableField id="48" name="ERC048" tableColumnId="48"/>
      <queryTableField id="49" name="ERC049" tableColumnId="49"/>
      <queryTableField id="50" name="ERC050" tableColumnId="50"/>
      <queryTableField id="51" name="ERC051" tableColumnId="51"/>
      <queryTableField id="52" name="ERC052" tableColumnId="52"/>
      <queryTableField id="53" name="ERC053" tableColumnId="53"/>
      <queryTableField id="54" name="ERC054" tableColumnId="54"/>
      <queryTableField id="55" name="ERC055" tableColumnId="55"/>
      <queryTableField id="56" name="ERC056" tableColumnId="56"/>
      <queryTableField id="57" name="ERC057" tableColumnId="57"/>
      <queryTableField id="58" name="ERC058" tableColumnId="58"/>
      <queryTableField id="59" name="ERC059" tableColumnId="59"/>
      <queryTableField id="60" name="ERC060" tableColumnId="60"/>
      <queryTableField id="61" name="ERC061" tableColumnId="61"/>
      <queryTableField id="62" name="ERC062" tableColumnId="62"/>
      <queryTableField id="63" name="ERC063" tableColumnId="63"/>
      <queryTableField id="64" name="ERC064" tableColumnId="64"/>
      <queryTableField id="65" name="ERC065" tableColumnId="65"/>
      <queryTableField id="66" name="ERC066" tableColumnId="66"/>
      <queryTableField id="67" name="ERC067" tableColumnId="67"/>
      <queryTableField id="68" name="ERC068" tableColumnId="68"/>
      <queryTableField id="69" name="ERC069" tableColumnId="69"/>
      <queryTableField id="70" name="ERC070" tableColumnId="70"/>
      <queryTableField id="71" name="ERC071" tableColumnId="71"/>
      <queryTableField id="72" name="ERC072" tableColumnId="72"/>
      <queryTableField id="73" name="ERC073" tableColumnId="73"/>
      <queryTableField id="74" name="ERC074" tableColumnId="74"/>
      <queryTableField id="75" name="ERC075" tableColumnId="75"/>
      <queryTableField id="76" name="ERC076" tableColumnId="76"/>
      <queryTableField id="77" name="ERC077" tableColumnId="77"/>
      <queryTableField id="78" name="ERC078" tableColumnId="78"/>
      <queryTableField id="79" name="ERC079" tableColumnId="79"/>
      <queryTableField id="80" name="ERC080" tableColumnId="80"/>
      <queryTableField id="81" name="ERC081" tableColumnId="81"/>
      <queryTableField id="82" name="ERC082" tableColumnId="82"/>
      <queryTableField id="83" name="ERC083" tableColumnId="83"/>
      <queryTableField id="84" name="ERC084" tableColumnId="84"/>
      <queryTableField id="85" name="ERC085" tableColumnId="85"/>
      <queryTableField id="86" name="ERC086" tableColumnId="86"/>
      <queryTableField id="87" name="ERC087" tableColumnId="87"/>
      <queryTableField id="88" name="ERC088" tableColumnId="88"/>
      <queryTableField id="89" name="ERC089" tableColumnId="89"/>
      <queryTableField id="90" name="ERC090" tableColumnId="90"/>
      <queryTableField id="91" name="ERC091" tableColumnId="91"/>
      <queryTableField id="92" name="ERC092" tableColumnId="92"/>
      <queryTableField id="93" name="ERC093" tableColumnId="93"/>
      <queryTableField id="94" name="ERC094" tableColumnId="94"/>
      <queryTableField id="95" name="ERC095" tableColumnId="95"/>
      <queryTableField id="96" name="ERC096" tableColumnId="96"/>
      <queryTableField id="97" name="ERC097" tableColumnId="97"/>
      <queryTableField id="98" name="ERC098" tableColumnId="98"/>
      <queryTableField id="99" name="ERC099" tableColumnId="99"/>
      <queryTableField id="100" name="ERC100" tableColumnId="100"/>
      <queryTableField id="101" name="ERC101" tableColumnId="101"/>
      <queryTableField id="102" name="ERC102" tableColumnId="102"/>
      <queryTableField id="103" name="ERC103" tableColumnId="103"/>
      <queryTableField id="104" name="ERC104" tableColumnId="104"/>
      <queryTableField id="105" name="ERC105" tableColumnId="105"/>
      <queryTableField id="106" name="ERC106" tableColumnId="106"/>
      <queryTableField id="107" name="ERC107" tableColumnId="107"/>
      <queryTableField id="108" name="ERC108" tableColumnId="108"/>
      <queryTableField id="109" name="ERC109" tableColumnId="109"/>
      <queryTableField id="110" name="ERC110" tableColumnId="110"/>
      <queryTableField id="111" name="ERC111" tableColumnId="111"/>
      <queryTableField id="112" name="ERC112" tableColumnId="112"/>
      <queryTableField id="113" name="ERC113" tableColumnId="113"/>
      <queryTableField id="114" name="ERC114" tableColumnId="114"/>
      <queryTableField id="115" name="ERC115" tableColumnId="115"/>
      <queryTableField id="116" name="ERC116" tableColumnId="116"/>
      <queryTableField id="117" name="ERC117" tableColumnId="117"/>
      <queryTableField id="118" name="ERC118" tableColumnId="118"/>
      <queryTableField id="119" name="ERC119" tableColumnId="119"/>
      <queryTableField id="120" name="ERC120" tableColumnId="120"/>
      <queryTableField id="121" name="ERC121" tableColumnId="121"/>
      <queryTableField id="122" name="ERC122" tableColumnId="122"/>
      <queryTableField id="123" name="ERC123" tableColumnId="123"/>
      <queryTableField id="124" name="ERC124" tableColumnId="124"/>
      <queryTableField id="125" name="ERC125" tableColumnId="125"/>
      <queryTableField id="126" name="ERC126" tableColumnId="126"/>
      <queryTableField id="127" name="ERC127" tableColumnId="127"/>
      <queryTableField id="128" name="ERC128" tableColumnId="128"/>
      <queryTableField id="129" name="ERC129" tableColumnId="129"/>
      <queryTableField id="130" name="ERC130" tableColumnId="130"/>
      <queryTableField id="131" name="ERC131" tableColumnId="131"/>
      <queryTableField id="132" name="ERC132" tableColumnId="132"/>
      <queryTableField id="133" name="ERC133" tableColumnId="133"/>
      <queryTableField id="134" name="ERC134" tableColumnId="134"/>
      <queryTableField id="135" name="ERC135" tableColumnId="135"/>
      <queryTableField id="136" name="ERC136" tableColumnId="136"/>
      <queryTableField id="137" name="ERC137" tableColumnId="137"/>
      <queryTableField id="138" name="ERC138" tableColumnId="138"/>
      <queryTableField id="139" name="ERC139" tableColumnId="139"/>
      <queryTableField id="140" name="ERC140" tableColumnId="140"/>
      <queryTableField id="141" name="ERC141" tableColumnId="141"/>
      <queryTableField id="142" name="ERC142" tableColumnId="142"/>
      <queryTableField id="143" name="ERC143" tableColumnId="143"/>
      <queryTableField id="144" name="ERC144" tableColumnId="144"/>
      <queryTableField id="145" name="ERC145" tableColumnId="145"/>
      <queryTableField id="146" name="ERC146" tableColumnId="146"/>
      <queryTableField id="147" name="ERC147" tableColumnId="147"/>
      <queryTableField id="148" name="ERC148" tableColumnId="148"/>
      <queryTableField id="149" name="ERC149" tableColumnId="149"/>
      <queryTableField id="150" name="ERC150" tableColumnId="150"/>
      <queryTableField id="151" name="ERC151" tableColumnId="151"/>
      <queryTableField id="152" name="ERC152" tableColumnId="152"/>
      <queryTableField id="153" name="ERC153" tableColumnId="153"/>
      <queryTableField id="154" name="ERC154" tableColumnId="154"/>
      <queryTableField id="155" name="ERC155" tableColumnId="155"/>
      <queryTableField id="156" name="ERC156" tableColumnId="156"/>
      <queryTableField id="157" name="ERC157" tableColumnId="157"/>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Query from HTEDTA2_1" connectionId="10" xr16:uid="{00000000-0016-0000-3500-000003000000}" autoFormatId="16" applyNumberFormats="0" applyBorderFormats="0" applyFontFormats="0" applyPatternFormats="0" applyAlignmentFormats="0" applyWidthHeightFormats="0">
  <queryTableRefresh nextId="55">
    <queryTableFields count="54">
      <queryTableField id="1" name="ERC001" tableColumnId="1"/>
      <queryTableField id="2" name="ERC002" tableColumnId="2"/>
      <queryTableField id="3" name="ERC003" tableColumnId="3"/>
      <queryTableField id="4" name="ERC004" tableColumnId="4"/>
      <queryTableField id="5" name="ERC005" tableColumnId="5"/>
      <queryTableField id="6" name="ERC006" tableColumnId="6"/>
      <queryTableField id="7" name="ERC007" tableColumnId="7"/>
      <queryTableField id="8" name="ERC008" tableColumnId="8"/>
      <queryTableField id="9" name="ERC009" tableColumnId="9"/>
      <queryTableField id="10" name="ERC010" tableColumnId="10"/>
      <queryTableField id="11" name="ERC011" tableColumnId="11"/>
      <queryTableField id="12" name="ERC012" tableColumnId="12"/>
      <queryTableField id="13" name="ERC013" tableColumnId="13"/>
      <queryTableField id="14" name="ERC014" tableColumnId="14"/>
      <queryTableField id="15" name="ERC015" tableColumnId="15"/>
      <queryTableField id="16" name="ERC016" tableColumnId="16"/>
      <queryTableField id="17" name="ERC017" tableColumnId="17"/>
      <queryTableField id="18" name="ERC018" tableColumnId="18"/>
      <queryTableField id="19" name="ERC019" tableColumnId="19"/>
      <queryTableField id="20" name="ERC020" tableColumnId="20"/>
      <queryTableField id="21" name="ERC021" tableColumnId="21"/>
      <queryTableField id="22" name="ERC022" tableColumnId="22"/>
      <queryTableField id="23" name="ERC023" tableColumnId="23"/>
      <queryTableField id="24" name="ERC024" tableColumnId="24"/>
      <queryTableField id="25" name="ERC025" tableColumnId="25"/>
      <queryTableField id="26" name="ERC026" tableColumnId="26"/>
      <queryTableField id="27" name="ERC027" tableColumnId="27"/>
      <queryTableField id="28" name="ERC028" tableColumnId="28"/>
      <queryTableField id="29" name="ERC029" tableColumnId="29"/>
      <queryTableField id="30" name="ERC030" tableColumnId="30"/>
      <queryTableField id="31" name="ERC031" tableColumnId="31"/>
      <queryTableField id="32" name="ERC032" tableColumnId="32"/>
      <queryTableField id="33" name="ERC033" tableColumnId="33"/>
      <queryTableField id="34" name="ERC034" tableColumnId="34"/>
      <queryTableField id="35" name="ERC035" tableColumnId="35"/>
      <queryTableField id="36" name="ERC036" tableColumnId="36"/>
      <queryTableField id="37" name="ERC037" tableColumnId="37"/>
      <queryTableField id="38" name="ERC038" tableColumnId="38"/>
      <queryTableField id="39" name="ERC039" tableColumnId="39"/>
      <queryTableField id="40" name="ERC040" tableColumnId="40"/>
      <queryTableField id="41" name="ERC041" tableColumnId="41"/>
      <queryTableField id="54" dataBound="0" tableColumnId="54"/>
      <queryTableField id="42" name="ERC042" tableColumnId="42"/>
      <queryTableField id="43" name="ERC043" tableColumnId="43"/>
      <queryTableField id="44" name="ERC044" tableColumnId="44"/>
      <queryTableField id="45" name="ERC045" tableColumnId="45"/>
      <queryTableField id="46" name="ERC046" tableColumnId="46"/>
      <queryTableField id="47" name="ERC047" tableColumnId="47"/>
      <queryTableField id="48" name="ERC048" tableColumnId="48"/>
      <queryTableField id="49" name="ERC049" tableColumnId="49"/>
      <queryTableField id="50" name="ERC050" tableColumnId="50"/>
      <queryTableField id="51" name="ERC051" tableColumnId="51"/>
      <queryTableField id="52" name="ERC052" tableColumnId="52"/>
      <queryTableField id="53" name="ERC053" tableColumnId="53"/>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Query from HTEDA23" connectionId="4" xr16:uid="{00000000-0016-0000-3700-000005000000}" autoFormatId="16" applyNumberFormats="0" applyBorderFormats="0" applyFontFormats="0" applyPatternFormats="0" applyAlignmentFormats="0" applyWidthHeightFormats="0">
  <queryTableRefresh nextId="10">
    <queryTableFields count="8">
      <queryTableField id="1" name="ERC001" tableColumnId="1"/>
      <queryTableField id="2" name="ERC002" tableColumnId="2"/>
      <queryTableField id="3" name="ERC003" tableColumnId="3"/>
      <queryTableField id="4" name="ERC004" tableColumnId="4"/>
      <queryTableField id="5" name="ERC005" tableColumnId="5"/>
      <queryTableField id="6" name="ERC006" tableColumnId="6"/>
      <queryTableField id="7" name="ERC007" tableColumnId="7"/>
      <queryTableField id="9" name="ERC008" tableColumnId="10"/>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Query from HTEDA23_1" connectionId="7" xr16:uid="{00000000-0016-0000-3800-000006000000}" autoFormatId="16" applyNumberFormats="0" applyBorderFormats="0" applyFontFormats="0" applyPatternFormats="0" applyAlignmentFormats="0" applyWidthHeightFormats="0">
  <queryTableRefresh nextId="26">
    <queryTableFields count="22">
      <queryTableField id="1" name="ERC001" tableColumnId="1"/>
      <queryTableField id="2" name="ERC002" tableColumnId="2"/>
      <queryTableField id="3" name="ERC003" tableColumnId="3"/>
      <queryTableField id="4" name="ERC004" tableColumnId="4"/>
      <queryTableField id="5" name="ERC005" tableColumnId="5"/>
      <queryTableField id="6" name="ERC006" tableColumnId="6"/>
      <queryTableField id="7" name="ERC007" tableColumnId="7"/>
      <queryTableField id="8" name="ERC008" tableColumnId="8"/>
      <queryTableField id="9" name="ERC009" tableColumnId="9"/>
      <queryTableField id="10" name="ERC010" tableColumnId="10"/>
      <queryTableField id="11" name="ERC011" tableColumnId="11"/>
      <queryTableField id="12" name="ERC012" tableColumnId="12"/>
      <queryTableField id="13" name="ERC013" tableColumnId="13"/>
      <queryTableField id="14" name="ERC014" tableColumnId="14"/>
      <queryTableField id="15" name="ERC015" tableColumnId="15"/>
      <queryTableField id="16" name="ERC016" tableColumnId="16"/>
      <queryTableField id="17" name="ERC017" tableColumnId="17"/>
      <queryTableField id="18" name="ERC018" tableColumnId="18"/>
      <queryTableField id="19" name="ERC019" tableColumnId="19"/>
      <queryTableField id="23" name="ERC020" tableColumnId="23"/>
      <queryTableField id="24" name="ERC021" tableColumnId="24"/>
      <queryTableField id="25" name="ERC022" tableColumnId="25"/>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Query from HTEDTA22_1" connectionId="9" xr16:uid="{00000000-0016-0000-3900-000007000000}" autoFormatId="16" applyNumberFormats="0" applyBorderFormats="0" applyFontFormats="0" applyPatternFormats="0" applyAlignmentFormats="0" applyWidthHeightFormats="0">
  <queryTableRefresh nextId="8">
    <queryTableFields count="7">
      <queryTableField id="1" name="ERC001" tableColumnId="1"/>
      <queryTableField id="2" name="ERC002" tableColumnId="2"/>
      <queryTableField id="3" name="ERC003" tableColumnId="3"/>
      <queryTableField id="4" name="ERC004" tableColumnId="4"/>
      <queryTableField id="5" name="ERC005" tableColumnId="5"/>
      <queryTableField id="6" name="ERC006" tableColumnId="6"/>
      <queryTableField id="7" name="ERC007" tableColumnId="7"/>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Query from HTEDA23_1" connectionId="3" xr16:uid="{00000000-0016-0000-3A00-000008000000}" autoFormatId="16" applyNumberFormats="0" applyBorderFormats="0" applyFontFormats="0" applyPatternFormats="0" applyAlignmentFormats="0" applyWidthHeightFormats="0">
  <queryTableRefresh nextId="21">
    <queryTableFields count="20">
      <queryTableField id="1" name="ERC001" tableColumnId="1"/>
      <queryTableField id="2" name="ERC002" tableColumnId="2"/>
      <queryTableField id="3" name="ERC003" tableColumnId="3"/>
      <queryTableField id="4" name="ERC004" tableColumnId="4"/>
      <queryTableField id="5" name="ERC005" tableColumnId="5"/>
      <queryTableField id="6" name="ERC006" tableColumnId="6"/>
      <queryTableField id="7" name="ERC007" tableColumnId="7"/>
      <queryTableField id="8" name="ERC008" tableColumnId="8"/>
      <queryTableField id="9" name="ERC009" tableColumnId="9"/>
      <queryTableField id="10" name="ERC010" tableColumnId="10"/>
      <queryTableField id="11" name="ERC011" tableColumnId="11"/>
      <queryTableField id="12" name="ERC012" tableColumnId="12"/>
      <queryTableField id="13" name="ERC013" tableColumnId="13"/>
      <queryTableField id="14" name="ERC014" tableColumnId="14"/>
      <queryTableField id="15" name="ERC015" tableColumnId="15"/>
      <queryTableField id="16" name="ERC016" tableColumnId="16"/>
      <queryTableField id="17" name="ERC017" tableColumnId="17"/>
      <queryTableField id="18" name="ERC018" tableColumnId="18"/>
      <queryTableField id="19" name="ERC019" tableColumnId="19"/>
      <queryTableField id="20" name="ERC020" tableColumnId="20"/>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0.xml.rels><?xml version="1.0" encoding="UTF-8" standalone="yes"?>
<Relationships xmlns="http://schemas.openxmlformats.org/package/2006/relationships"><Relationship Id="rId1" Type="http://schemas.openxmlformats.org/officeDocument/2006/relationships/queryTable" Target="../queryTables/queryTable11.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12.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13.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0000000}" name="Table_Query_from_HTEDTA210" displayName="Table_Query_from_HTEDTA210" ref="A6:B74" tableType="queryTable" totalsRowShown="0" headerRowDxfId="11">
  <autoFilter ref="A6:B74" xr:uid="{00000000-0009-0000-0100-000009000000}"/>
  <tableColumns count="2">
    <tableColumn id="1" xr3:uid="{00000000-0010-0000-0000-000001000000}" uniqueName="1" name="ERC001" queryTableFieldId="1"/>
    <tableColumn id="2" xr3:uid="{00000000-0010-0000-0000-000002000000}" uniqueName="2" name="ERC002" queryTableFieldId="2"/>
  </tableColumns>
  <tableStyleInfo name="TableStyleMedium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9000000}" name="Table_Query_from_HTEDTA28" displayName="Table_Query_from_HTEDTA28" ref="B13:T79" tableType="queryTable" totalsRowShown="0" headerRowDxfId="0">
  <autoFilter ref="B13:T79" xr:uid="{00000000-0009-0000-0100-00000B000000}"/>
  <tableColumns count="19">
    <tableColumn id="1" xr3:uid="{00000000-0010-0000-0900-000001000000}" uniqueName="1" name="ERC001" queryTableFieldId="1"/>
    <tableColumn id="2" xr3:uid="{00000000-0010-0000-0900-000002000000}" uniqueName="2" name="ERC002" queryTableFieldId="2"/>
    <tableColumn id="3" xr3:uid="{00000000-0010-0000-0900-000003000000}" uniqueName="3" name="ERC003" queryTableFieldId="3"/>
    <tableColumn id="4" xr3:uid="{00000000-0010-0000-0900-000004000000}" uniqueName="4" name="ERC004" queryTableFieldId="4"/>
    <tableColumn id="5" xr3:uid="{00000000-0010-0000-0900-000005000000}" uniqueName="5" name="ERC005" queryTableFieldId="5"/>
    <tableColumn id="6" xr3:uid="{00000000-0010-0000-0900-000006000000}" uniqueName="6" name="ERC006" queryTableFieldId="6"/>
    <tableColumn id="7" xr3:uid="{00000000-0010-0000-0900-000007000000}" uniqueName="7" name="ERC007" queryTableFieldId="7"/>
    <tableColumn id="8" xr3:uid="{00000000-0010-0000-0900-000008000000}" uniqueName="8" name="ERC008" queryTableFieldId="8"/>
    <tableColumn id="9" xr3:uid="{00000000-0010-0000-0900-000009000000}" uniqueName="9" name="ERC009" queryTableFieldId="9"/>
    <tableColumn id="10" xr3:uid="{00000000-0010-0000-0900-00000A000000}" uniqueName="10" name="ERC010" queryTableFieldId="10"/>
    <tableColumn id="11" xr3:uid="{00000000-0010-0000-0900-00000B000000}" uniqueName="11" name="ERC011" queryTableFieldId="11"/>
    <tableColumn id="12" xr3:uid="{00000000-0010-0000-0900-00000C000000}" uniqueName="12" name="ERC012" queryTableFieldId="12"/>
    <tableColumn id="13" xr3:uid="{00000000-0010-0000-0900-00000D000000}" uniqueName="13" name="ERC013" queryTableFieldId="13"/>
    <tableColumn id="14" xr3:uid="{00000000-0010-0000-0900-00000E000000}" uniqueName="14" name="ERC014" queryTableFieldId="14"/>
    <tableColumn id="15" xr3:uid="{00000000-0010-0000-0900-00000F000000}" uniqueName="15" name="ERC015" queryTableFieldId="15"/>
    <tableColumn id="16" xr3:uid="{00000000-0010-0000-0900-000010000000}" uniqueName="16" name="ERC016" queryTableFieldId="16"/>
    <tableColumn id="17" xr3:uid="{00000000-0010-0000-0900-000011000000}" uniqueName="17" name="ERC017" queryTableFieldId="17"/>
    <tableColumn id="18" xr3:uid="{00000000-0010-0000-0900-000012000000}" uniqueName="18" name="ERC018" queryTableFieldId="18"/>
    <tableColumn id="19" xr3:uid="{00000000-0010-0000-0900-000013000000}" uniqueName="19" name="ERC019" queryTableFieldId="19"/>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_Query_from_HTEDA231_1" displayName="Table_Query_from_HTEDA231_1" ref="A9:Y77" tableType="queryTable" totalsRowShown="0">
  <autoFilter ref="A9:Y77" xr:uid="{00000000-0009-0000-0100-00000D000000}"/>
  <tableColumns count="25">
    <tableColumn id="1" xr3:uid="{00000000-0010-0000-0A00-000001000000}" uniqueName="1" name="ERC001" queryTableFieldId="1"/>
    <tableColumn id="2" xr3:uid="{00000000-0010-0000-0A00-000002000000}" uniqueName="2" name="ERC002" queryTableFieldId="2"/>
    <tableColumn id="3" xr3:uid="{00000000-0010-0000-0A00-000003000000}" uniqueName="3" name="ERC003" queryTableFieldId="3"/>
    <tableColumn id="4" xr3:uid="{00000000-0010-0000-0A00-000004000000}" uniqueName="4" name="ERC004" queryTableFieldId="4"/>
    <tableColumn id="5" xr3:uid="{00000000-0010-0000-0A00-000005000000}" uniqueName="5" name="ERC005" queryTableFieldId="5"/>
    <tableColumn id="6" xr3:uid="{00000000-0010-0000-0A00-000006000000}" uniqueName="6" name="ERC006" queryTableFieldId="6"/>
    <tableColumn id="7" xr3:uid="{00000000-0010-0000-0A00-000007000000}" uniqueName="7" name="ERC007" queryTableFieldId="7"/>
    <tableColumn id="8" xr3:uid="{00000000-0010-0000-0A00-000008000000}" uniqueName="8" name="ERC008" queryTableFieldId="8"/>
    <tableColumn id="9" xr3:uid="{00000000-0010-0000-0A00-000009000000}" uniqueName="9" name="ERC009" queryTableFieldId="9"/>
    <tableColumn id="10" xr3:uid="{00000000-0010-0000-0A00-00000A000000}" uniqueName="10" name="ERC010" queryTableFieldId="10"/>
    <tableColumn id="11" xr3:uid="{00000000-0010-0000-0A00-00000B000000}" uniqueName="11" name="ERC011" queryTableFieldId="11"/>
    <tableColumn id="12" xr3:uid="{00000000-0010-0000-0A00-00000C000000}" uniqueName="12" name="ERC012" queryTableFieldId="12"/>
    <tableColumn id="13" xr3:uid="{00000000-0010-0000-0A00-00000D000000}" uniqueName="13" name="ERC013" queryTableFieldId="13"/>
    <tableColumn id="14" xr3:uid="{00000000-0010-0000-0A00-00000E000000}" uniqueName="14" name="ERC014" queryTableFieldId="14"/>
    <tableColumn id="15" xr3:uid="{00000000-0010-0000-0A00-00000F000000}" uniqueName="15" name="ERC015" queryTableFieldId="15"/>
    <tableColumn id="16" xr3:uid="{00000000-0010-0000-0A00-000010000000}" uniqueName="16" name="ERC016" queryTableFieldId="16"/>
    <tableColumn id="17" xr3:uid="{00000000-0010-0000-0A00-000011000000}" uniqueName="17" name="ERC017" queryTableFieldId="17"/>
    <tableColumn id="18" xr3:uid="{00000000-0010-0000-0A00-000012000000}" uniqueName="18" name="ERC018" queryTableFieldId="18"/>
    <tableColumn id="19" xr3:uid="{00000000-0010-0000-0A00-000013000000}" uniqueName="19" name="ERC019" queryTableFieldId="19"/>
    <tableColumn id="20" xr3:uid="{00000000-0010-0000-0A00-000014000000}" uniqueName="20" name="ERC020" queryTableFieldId="20"/>
    <tableColumn id="21" xr3:uid="{00000000-0010-0000-0A00-000015000000}" uniqueName="21" name="ERC021" queryTableFieldId="21"/>
    <tableColumn id="22" xr3:uid="{00000000-0010-0000-0A00-000016000000}" uniqueName="22" name="ERC022" queryTableFieldId="22"/>
    <tableColumn id="23" xr3:uid="{00000000-0010-0000-0A00-000017000000}" uniqueName="23" name="ERC023" queryTableFieldId="23"/>
    <tableColumn id="24" xr3:uid="{00000000-0010-0000-0A00-000018000000}" uniqueName="24" name="ERC024" queryTableFieldId="24"/>
    <tableColumn id="25" xr3:uid="{00000000-0010-0000-0A00-000019000000}" uniqueName="25" name="ERC025" queryTableFieldId="25"/>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B000000}" name="Table_ExternalData_1" displayName="Table_ExternalData_1" ref="A9:Y60" tableType="queryTable" totalsRowShown="0">
  <autoFilter ref="A9:Y60" xr:uid="{00000000-0009-0000-0100-000011000000}"/>
  <tableColumns count="25">
    <tableColumn id="1" xr3:uid="{00000000-0010-0000-0B00-000001000000}" uniqueName="1" name="ERC001" queryTableFieldId="1"/>
    <tableColumn id="2" xr3:uid="{00000000-0010-0000-0B00-000002000000}" uniqueName="2" name="ERC002" queryTableFieldId="2"/>
    <tableColumn id="3" xr3:uid="{00000000-0010-0000-0B00-000003000000}" uniqueName="3" name="ERC003" queryTableFieldId="3"/>
    <tableColumn id="4" xr3:uid="{00000000-0010-0000-0B00-000004000000}" uniqueName="4" name="ERC004" queryTableFieldId="4"/>
    <tableColumn id="5" xr3:uid="{00000000-0010-0000-0B00-000005000000}" uniqueName="5" name="ERC005" queryTableFieldId="5"/>
    <tableColumn id="6" xr3:uid="{00000000-0010-0000-0B00-000006000000}" uniqueName="6" name="ERC006" queryTableFieldId="6"/>
    <tableColumn id="7" xr3:uid="{00000000-0010-0000-0B00-000007000000}" uniqueName="7" name="ERC007" queryTableFieldId="7"/>
    <tableColumn id="8" xr3:uid="{00000000-0010-0000-0B00-000008000000}" uniqueName="8" name="ERC008" queryTableFieldId="8"/>
    <tableColumn id="9" xr3:uid="{00000000-0010-0000-0B00-000009000000}" uniqueName="9" name="ERC009" queryTableFieldId="9"/>
    <tableColumn id="10" xr3:uid="{00000000-0010-0000-0B00-00000A000000}" uniqueName="10" name="ERC010" queryTableFieldId="10"/>
    <tableColumn id="11" xr3:uid="{00000000-0010-0000-0B00-00000B000000}" uniqueName="11" name="ERC011" queryTableFieldId="11"/>
    <tableColumn id="12" xr3:uid="{00000000-0010-0000-0B00-00000C000000}" uniqueName="12" name="ERC012" queryTableFieldId="12"/>
    <tableColumn id="13" xr3:uid="{00000000-0010-0000-0B00-00000D000000}" uniqueName="13" name="ERC013" queryTableFieldId="13"/>
    <tableColumn id="14" xr3:uid="{00000000-0010-0000-0B00-00000E000000}" uniqueName="14" name="ERC014" queryTableFieldId="14"/>
    <tableColumn id="15" xr3:uid="{00000000-0010-0000-0B00-00000F000000}" uniqueName="15" name="ERC015" queryTableFieldId="15"/>
    <tableColumn id="16" xr3:uid="{00000000-0010-0000-0B00-000010000000}" uniqueName="16" name="ERC016" queryTableFieldId="16"/>
    <tableColumn id="17" xr3:uid="{00000000-0010-0000-0B00-000011000000}" uniqueName="17" name="ERC017" queryTableFieldId="17"/>
    <tableColumn id="18" xr3:uid="{00000000-0010-0000-0B00-000012000000}" uniqueName="18" name="ERC018" queryTableFieldId="18"/>
    <tableColumn id="19" xr3:uid="{00000000-0010-0000-0B00-000013000000}" uniqueName="19" name="ERC019" queryTableFieldId="19"/>
    <tableColumn id="20" xr3:uid="{00000000-0010-0000-0B00-000014000000}" uniqueName="20" name="ERC020" queryTableFieldId="20"/>
    <tableColumn id="21" xr3:uid="{00000000-0010-0000-0B00-000015000000}" uniqueName="21" name="ERC021" queryTableFieldId="21"/>
    <tableColumn id="22" xr3:uid="{00000000-0010-0000-0B00-000016000000}" uniqueName="22" name="ERC022" queryTableFieldId="22"/>
    <tableColumn id="23" xr3:uid="{00000000-0010-0000-0B00-000017000000}" uniqueName="23" name="ERC023" queryTableFieldId="23"/>
    <tableColumn id="24" xr3:uid="{00000000-0010-0000-0B00-000018000000}" uniqueName="24" name="ERC024" queryTableFieldId="24"/>
    <tableColumn id="25" xr3:uid="{00000000-0010-0000-0B00-000019000000}" uniqueName="25" name="ERC025" queryTableFieldId="25"/>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1000000}" name="Table_Query_from_CONNECTION3_1" displayName="Table_Query_from_CONNECTION3_1" ref="C5:F75" tableType="queryTable" totalsRowShown="0" headerRowDxfId="10">
  <autoFilter ref="C5:F75" xr:uid="{00000000-0009-0000-0100-00000E000000}"/>
  <tableColumns count="4">
    <tableColumn id="1" xr3:uid="{00000000-0010-0000-0100-000001000000}" uniqueName="1" name="ERC001" queryTableFieldId="1"/>
    <tableColumn id="2" xr3:uid="{00000000-0010-0000-0100-000002000000}" uniqueName="2" name="ERC002" queryTableFieldId="2"/>
    <tableColumn id="3" xr3:uid="{00000000-0010-0000-0100-000003000000}" uniqueName="3" name="ERC003" queryTableFieldId="3"/>
    <tableColumn id="4" xr3:uid="{00000000-0010-0000-0100-000004000000}" uniqueName="4" name="ERC004" queryTableFieldId="4"/>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_Query_from_HTEDTA286" displayName="Table_Query_from_HTEDTA286" ref="B13:FB95" tableType="queryTable" totalsRowShown="0" headerRowDxfId="9">
  <autoFilter ref="B13:FB95" xr:uid="{00000000-0009-0000-0100-000005000000}"/>
  <tableColumns count="157">
    <tableColumn id="1" xr3:uid="{00000000-0010-0000-0300-000001000000}" uniqueName="1" name="ERC001" queryTableFieldId="1"/>
    <tableColumn id="2" xr3:uid="{00000000-0010-0000-0300-000002000000}" uniqueName="2" name="ERC002" queryTableFieldId="2"/>
    <tableColumn id="3" xr3:uid="{00000000-0010-0000-0300-000003000000}" uniqueName="3" name="ERC003" queryTableFieldId="3"/>
    <tableColumn id="4" xr3:uid="{00000000-0010-0000-0300-000004000000}" uniqueName="4" name="ERC004" queryTableFieldId="4"/>
    <tableColumn id="5" xr3:uid="{00000000-0010-0000-0300-000005000000}" uniqueName="5" name="ERC005" queryTableFieldId="5"/>
    <tableColumn id="6" xr3:uid="{00000000-0010-0000-0300-000006000000}" uniqueName="6" name="ERC006" queryTableFieldId="6"/>
    <tableColumn id="7" xr3:uid="{00000000-0010-0000-0300-000007000000}" uniqueName="7" name="ERC007" queryTableFieldId="7"/>
    <tableColumn id="8" xr3:uid="{00000000-0010-0000-0300-000008000000}" uniqueName="8" name="ERC008" queryTableFieldId="8"/>
    <tableColumn id="9" xr3:uid="{00000000-0010-0000-0300-000009000000}" uniqueName="9" name="ERC009" queryTableFieldId="9"/>
    <tableColumn id="10" xr3:uid="{00000000-0010-0000-0300-00000A000000}" uniqueName="10" name="ERC010" queryTableFieldId="10"/>
    <tableColumn id="11" xr3:uid="{00000000-0010-0000-0300-00000B000000}" uniqueName="11" name="ERC011" queryTableFieldId="11"/>
    <tableColumn id="12" xr3:uid="{00000000-0010-0000-0300-00000C000000}" uniqueName="12" name="ERC012" queryTableFieldId="12"/>
    <tableColumn id="13" xr3:uid="{00000000-0010-0000-0300-00000D000000}" uniqueName="13" name="ERC013" queryTableFieldId="13"/>
    <tableColumn id="14" xr3:uid="{00000000-0010-0000-0300-00000E000000}" uniqueName="14" name="ERC014" queryTableFieldId="14"/>
    <tableColumn id="15" xr3:uid="{00000000-0010-0000-0300-00000F000000}" uniqueName="15" name="ERC015" queryTableFieldId="15"/>
    <tableColumn id="16" xr3:uid="{00000000-0010-0000-0300-000010000000}" uniqueName="16" name="ERC016" queryTableFieldId="16"/>
    <tableColumn id="17" xr3:uid="{00000000-0010-0000-0300-000011000000}" uniqueName="17" name="ERC017" queryTableFieldId="17"/>
    <tableColumn id="18" xr3:uid="{00000000-0010-0000-0300-000012000000}" uniqueName="18" name="ERC018" queryTableFieldId="18"/>
    <tableColumn id="19" xr3:uid="{00000000-0010-0000-0300-000013000000}" uniqueName="19" name="ERC019" queryTableFieldId="19"/>
    <tableColumn id="20" xr3:uid="{00000000-0010-0000-0300-000014000000}" uniqueName="20" name="ERC020" queryTableFieldId="20"/>
    <tableColumn id="21" xr3:uid="{00000000-0010-0000-0300-000015000000}" uniqueName="21" name="ERC021" queryTableFieldId="21"/>
    <tableColumn id="22" xr3:uid="{00000000-0010-0000-0300-000016000000}" uniqueName="22" name="ERC022" queryTableFieldId="22"/>
    <tableColumn id="23" xr3:uid="{00000000-0010-0000-0300-000017000000}" uniqueName="23" name="ERC023" queryTableFieldId="23"/>
    <tableColumn id="24" xr3:uid="{00000000-0010-0000-0300-000018000000}" uniqueName="24" name="ERC024" queryTableFieldId="24"/>
    <tableColumn id="25" xr3:uid="{00000000-0010-0000-0300-000019000000}" uniqueName="25" name="ERC025" queryTableFieldId="25"/>
    <tableColumn id="26" xr3:uid="{00000000-0010-0000-0300-00001A000000}" uniqueName="26" name="ERC026" queryTableFieldId="26"/>
    <tableColumn id="27" xr3:uid="{00000000-0010-0000-0300-00001B000000}" uniqueName="27" name="ERC027" queryTableFieldId="27"/>
    <tableColumn id="28" xr3:uid="{00000000-0010-0000-0300-00001C000000}" uniqueName="28" name="ERC028" queryTableFieldId="28"/>
    <tableColumn id="29" xr3:uid="{00000000-0010-0000-0300-00001D000000}" uniqueName="29" name="ERC029" queryTableFieldId="29"/>
    <tableColumn id="30" xr3:uid="{00000000-0010-0000-0300-00001E000000}" uniqueName="30" name="ERC030" queryTableFieldId="30"/>
    <tableColumn id="31" xr3:uid="{00000000-0010-0000-0300-00001F000000}" uniqueName="31" name="ERC031" queryTableFieldId="31"/>
    <tableColumn id="32" xr3:uid="{00000000-0010-0000-0300-000020000000}" uniqueName="32" name="ERC032" queryTableFieldId="32"/>
    <tableColumn id="33" xr3:uid="{00000000-0010-0000-0300-000021000000}" uniqueName="33" name="ERC033" queryTableFieldId="33"/>
    <tableColumn id="34" xr3:uid="{00000000-0010-0000-0300-000022000000}" uniqueName="34" name="ERC034" queryTableFieldId="34"/>
    <tableColumn id="35" xr3:uid="{00000000-0010-0000-0300-000023000000}" uniqueName="35" name="ERC035" queryTableFieldId="35"/>
    <tableColumn id="36" xr3:uid="{00000000-0010-0000-0300-000024000000}" uniqueName="36" name="ERC036" queryTableFieldId="36"/>
    <tableColumn id="37" xr3:uid="{00000000-0010-0000-0300-000025000000}" uniqueName="37" name="ERC037" queryTableFieldId="37"/>
    <tableColumn id="38" xr3:uid="{00000000-0010-0000-0300-000026000000}" uniqueName="38" name="ERC038" queryTableFieldId="38"/>
    <tableColumn id="39" xr3:uid="{00000000-0010-0000-0300-000027000000}" uniqueName="39" name="ERC039" queryTableFieldId="39"/>
    <tableColumn id="40" xr3:uid="{00000000-0010-0000-0300-000028000000}" uniqueName="40" name="ERC040" queryTableFieldId="40"/>
    <tableColumn id="41" xr3:uid="{00000000-0010-0000-0300-000029000000}" uniqueName="41" name="ERC041" queryTableFieldId="41"/>
    <tableColumn id="42" xr3:uid="{00000000-0010-0000-0300-00002A000000}" uniqueName="42" name="ERC042" queryTableFieldId="42"/>
    <tableColumn id="43" xr3:uid="{00000000-0010-0000-0300-00002B000000}" uniqueName="43" name="ERC043" queryTableFieldId="43"/>
    <tableColumn id="44" xr3:uid="{00000000-0010-0000-0300-00002C000000}" uniqueName="44" name="ERC044" queryTableFieldId="44"/>
    <tableColumn id="45" xr3:uid="{00000000-0010-0000-0300-00002D000000}" uniqueName="45" name="ERC045" queryTableFieldId="45"/>
    <tableColumn id="46" xr3:uid="{00000000-0010-0000-0300-00002E000000}" uniqueName="46" name="ERC046" queryTableFieldId="46"/>
    <tableColumn id="47" xr3:uid="{00000000-0010-0000-0300-00002F000000}" uniqueName="47" name="ERC047" queryTableFieldId="47"/>
    <tableColumn id="48" xr3:uid="{00000000-0010-0000-0300-000030000000}" uniqueName="48" name="ERC048" queryTableFieldId="48"/>
    <tableColumn id="49" xr3:uid="{00000000-0010-0000-0300-000031000000}" uniqueName="49" name="ERC049" queryTableFieldId="49"/>
    <tableColumn id="50" xr3:uid="{00000000-0010-0000-0300-000032000000}" uniqueName="50" name="ERC050" queryTableFieldId="50"/>
    <tableColumn id="51" xr3:uid="{00000000-0010-0000-0300-000033000000}" uniqueName="51" name="ERC051" queryTableFieldId="51"/>
    <tableColumn id="52" xr3:uid="{00000000-0010-0000-0300-000034000000}" uniqueName="52" name="ERC052" queryTableFieldId="52"/>
    <tableColumn id="53" xr3:uid="{00000000-0010-0000-0300-000035000000}" uniqueName="53" name="ERC053" queryTableFieldId="53"/>
    <tableColumn id="54" xr3:uid="{00000000-0010-0000-0300-000036000000}" uniqueName="54" name="ERC054" queryTableFieldId="54"/>
    <tableColumn id="55" xr3:uid="{00000000-0010-0000-0300-000037000000}" uniqueName="55" name="ERC055" queryTableFieldId="55"/>
    <tableColumn id="56" xr3:uid="{00000000-0010-0000-0300-000038000000}" uniqueName="56" name="ERC056" queryTableFieldId="56"/>
    <tableColumn id="57" xr3:uid="{00000000-0010-0000-0300-000039000000}" uniqueName="57" name="ERC057" queryTableFieldId="57"/>
    <tableColumn id="58" xr3:uid="{00000000-0010-0000-0300-00003A000000}" uniqueName="58" name="ERC058" queryTableFieldId="58"/>
    <tableColumn id="59" xr3:uid="{00000000-0010-0000-0300-00003B000000}" uniqueName="59" name="ERC059" queryTableFieldId="59"/>
    <tableColumn id="60" xr3:uid="{00000000-0010-0000-0300-00003C000000}" uniqueName="60" name="ERC060" queryTableFieldId="60"/>
    <tableColumn id="61" xr3:uid="{00000000-0010-0000-0300-00003D000000}" uniqueName="61" name="ERC061" queryTableFieldId="61"/>
    <tableColumn id="62" xr3:uid="{00000000-0010-0000-0300-00003E000000}" uniqueName="62" name="ERC062" queryTableFieldId="62"/>
    <tableColumn id="63" xr3:uid="{00000000-0010-0000-0300-00003F000000}" uniqueName="63" name="ERC063" queryTableFieldId="63"/>
    <tableColumn id="64" xr3:uid="{00000000-0010-0000-0300-000040000000}" uniqueName="64" name="ERC064" queryTableFieldId="64"/>
    <tableColumn id="65" xr3:uid="{00000000-0010-0000-0300-000041000000}" uniqueName="65" name="ERC065" queryTableFieldId="65"/>
    <tableColumn id="66" xr3:uid="{00000000-0010-0000-0300-000042000000}" uniqueName="66" name="ERC066" queryTableFieldId="66"/>
    <tableColumn id="67" xr3:uid="{00000000-0010-0000-0300-000043000000}" uniqueName="67" name="ERC067" queryTableFieldId="67"/>
    <tableColumn id="68" xr3:uid="{00000000-0010-0000-0300-000044000000}" uniqueName="68" name="ERC068" queryTableFieldId="68"/>
    <tableColumn id="69" xr3:uid="{00000000-0010-0000-0300-000045000000}" uniqueName="69" name="ERC069" queryTableFieldId="69"/>
    <tableColumn id="70" xr3:uid="{00000000-0010-0000-0300-000046000000}" uniqueName="70" name="ERC070" queryTableFieldId="70"/>
    <tableColumn id="71" xr3:uid="{00000000-0010-0000-0300-000047000000}" uniqueName="71" name="ERC071" queryTableFieldId="71"/>
    <tableColumn id="72" xr3:uid="{00000000-0010-0000-0300-000048000000}" uniqueName="72" name="ERC072" queryTableFieldId="72"/>
    <tableColumn id="73" xr3:uid="{00000000-0010-0000-0300-000049000000}" uniqueName="73" name="ERC073" queryTableFieldId="73"/>
    <tableColumn id="74" xr3:uid="{00000000-0010-0000-0300-00004A000000}" uniqueName="74" name="ERC074" queryTableFieldId="74"/>
    <tableColumn id="75" xr3:uid="{00000000-0010-0000-0300-00004B000000}" uniqueName="75" name="ERC075" queryTableFieldId="75"/>
    <tableColumn id="76" xr3:uid="{00000000-0010-0000-0300-00004C000000}" uniqueName="76" name="ERC076" queryTableFieldId="76"/>
    <tableColumn id="77" xr3:uid="{00000000-0010-0000-0300-00004D000000}" uniqueName="77" name="ERC077" queryTableFieldId="77"/>
    <tableColumn id="78" xr3:uid="{00000000-0010-0000-0300-00004E000000}" uniqueName="78" name="ERC078" queryTableFieldId="78"/>
    <tableColumn id="79" xr3:uid="{00000000-0010-0000-0300-00004F000000}" uniqueName="79" name="ERC079" queryTableFieldId="79"/>
    <tableColumn id="80" xr3:uid="{00000000-0010-0000-0300-000050000000}" uniqueName="80" name="ERC080" queryTableFieldId="80"/>
    <tableColumn id="81" xr3:uid="{00000000-0010-0000-0300-000051000000}" uniqueName="81" name="ERC081" queryTableFieldId="81"/>
    <tableColumn id="82" xr3:uid="{00000000-0010-0000-0300-000052000000}" uniqueName="82" name="ERC082" queryTableFieldId="82"/>
    <tableColumn id="83" xr3:uid="{00000000-0010-0000-0300-000053000000}" uniqueName="83" name="ERC083" queryTableFieldId="83"/>
    <tableColumn id="84" xr3:uid="{00000000-0010-0000-0300-000054000000}" uniqueName="84" name="ERC084" queryTableFieldId="84"/>
    <tableColumn id="85" xr3:uid="{00000000-0010-0000-0300-000055000000}" uniqueName="85" name="ERC085" queryTableFieldId="85"/>
    <tableColumn id="86" xr3:uid="{00000000-0010-0000-0300-000056000000}" uniqueName="86" name="ERC086" queryTableFieldId="86"/>
    <tableColumn id="87" xr3:uid="{00000000-0010-0000-0300-000057000000}" uniqueName="87" name="ERC087" queryTableFieldId="87"/>
    <tableColumn id="88" xr3:uid="{00000000-0010-0000-0300-000058000000}" uniqueName="88" name="ERC088" queryTableFieldId="88"/>
    <tableColumn id="89" xr3:uid="{00000000-0010-0000-0300-000059000000}" uniqueName="89" name="ERC089" queryTableFieldId="89"/>
    <tableColumn id="90" xr3:uid="{00000000-0010-0000-0300-00005A000000}" uniqueName="90" name="ERC090" queryTableFieldId="90"/>
    <tableColumn id="91" xr3:uid="{00000000-0010-0000-0300-00005B000000}" uniqueName="91" name="ERC091" queryTableFieldId="91"/>
    <tableColumn id="92" xr3:uid="{00000000-0010-0000-0300-00005C000000}" uniqueName="92" name="ERC092" queryTableFieldId="92"/>
    <tableColumn id="93" xr3:uid="{00000000-0010-0000-0300-00005D000000}" uniqueName="93" name="ERC093" queryTableFieldId="93"/>
    <tableColumn id="94" xr3:uid="{00000000-0010-0000-0300-00005E000000}" uniqueName="94" name="ERC094" queryTableFieldId="94"/>
    <tableColumn id="95" xr3:uid="{00000000-0010-0000-0300-00005F000000}" uniqueName="95" name="ERC095" queryTableFieldId="95"/>
    <tableColumn id="96" xr3:uid="{00000000-0010-0000-0300-000060000000}" uniqueName="96" name="ERC096" queryTableFieldId="96"/>
    <tableColumn id="97" xr3:uid="{00000000-0010-0000-0300-000061000000}" uniqueName="97" name="ERC097" queryTableFieldId="97"/>
    <tableColumn id="98" xr3:uid="{00000000-0010-0000-0300-000062000000}" uniqueName="98" name="ERC098" queryTableFieldId="98"/>
    <tableColumn id="99" xr3:uid="{00000000-0010-0000-0300-000063000000}" uniqueName="99" name="ERC099" queryTableFieldId="99"/>
    <tableColumn id="100" xr3:uid="{00000000-0010-0000-0300-000064000000}" uniqueName="100" name="ERC100" queryTableFieldId="100"/>
    <tableColumn id="101" xr3:uid="{00000000-0010-0000-0300-000065000000}" uniqueName="101" name="ERC101" queryTableFieldId="101"/>
    <tableColumn id="102" xr3:uid="{00000000-0010-0000-0300-000066000000}" uniqueName="102" name="ERC102" queryTableFieldId="102"/>
    <tableColumn id="103" xr3:uid="{00000000-0010-0000-0300-000067000000}" uniqueName="103" name="ERC103" queryTableFieldId="103"/>
    <tableColumn id="104" xr3:uid="{00000000-0010-0000-0300-000068000000}" uniqueName="104" name="ERC104" queryTableFieldId="104"/>
    <tableColumn id="105" xr3:uid="{00000000-0010-0000-0300-000069000000}" uniqueName="105" name="ERC105" queryTableFieldId="105"/>
    <tableColumn id="106" xr3:uid="{00000000-0010-0000-0300-00006A000000}" uniqueName="106" name="ERC106" queryTableFieldId="106"/>
    <tableColumn id="107" xr3:uid="{00000000-0010-0000-0300-00006B000000}" uniqueName="107" name="ERC107" queryTableFieldId="107"/>
    <tableColumn id="108" xr3:uid="{00000000-0010-0000-0300-00006C000000}" uniqueName="108" name="ERC108" queryTableFieldId="108"/>
    <tableColumn id="109" xr3:uid="{00000000-0010-0000-0300-00006D000000}" uniqueName="109" name="ERC109" queryTableFieldId="109"/>
    <tableColumn id="110" xr3:uid="{00000000-0010-0000-0300-00006E000000}" uniqueName="110" name="ERC110" queryTableFieldId="110"/>
    <tableColumn id="111" xr3:uid="{00000000-0010-0000-0300-00006F000000}" uniqueName="111" name="ERC111" queryTableFieldId="111"/>
    <tableColumn id="112" xr3:uid="{00000000-0010-0000-0300-000070000000}" uniqueName="112" name="ERC112" queryTableFieldId="112"/>
    <tableColumn id="113" xr3:uid="{00000000-0010-0000-0300-000071000000}" uniqueName="113" name="ERC113" queryTableFieldId="113"/>
    <tableColumn id="114" xr3:uid="{00000000-0010-0000-0300-000072000000}" uniqueName="114" name="ERC114" queryTableFieldId="114"/>
    <tableColumn id="115" xr3:uid="{00000000-0010-0000-0300-000073000000}" uniqueName="115" name="ERC115" queryTableFieldId="115"/>
    <tableColumn id="116" xr3:uid="{00000000-0010-0000-0300-000074000000}" uniqueName="116" name="ERC116" queryTableFieldId="116"/>
    <tableColumn id="117" xr3:uid="{00000000-0010-0000-0300-000075000000}" uniqueName="117" name="ERC117" queryTableFieldId="117"/>
    <tableColumn id="118" xr3:uid="{00000000-0010-0000-0300-000076000000}" uniqueName="118" name="ERC118" queryTableFieldId="118"/>
    <tableColumn id="119" xr3:uid="{00000000-0010-0000-0300-000077000000}" uniqueName="119" name="ERC119" queryTableFieldId="119"/>
    <tableColumn id="120" xr3:uid="{00000000-0010-0000-0300-000078000000}" uniqueName="120" name="ERC120" queryTableFieldId="120"/>
    <tableColumn id="121" xr3:uid="{00000000-0010-0000-0300-000079000000}" uniqueName="121" name="ERC121" queryTableFieldId="121"/>
    <tableColumn id="122" xr3:uid="{00000000-0010-0000-0300-00007A000000}" uniqueName="122" name="ERC122" queryTableFieldId="122"/>
    <tableColumn id="123" xr3:uid="{00000000-0010-0000-0300-00007B000000}" uniqueName="123" name="ERC123" queryTableFieldId="123"/>
    <tableColumn id="124" xr3:uid="{00000000-0010-0000-0300-00007C000000}" uniqueName="124" name="ERC124" queryTableFieldId="124"/>
    <tableColumn id="125" xr3:uid="{00000000-0010-0000-0300-00007D000000}" uniqueName="125" name="ERC125" queryTableFieldId="125"/>
    <tableColumn id="126" xr3:uid="{00000000-0010-0000-0300-00007E000000}" uniqueName="126" name="ERC126" queryTableFieldId="126"/>
    <tableColumn id="127" xr3:uid="{00000000-0010-0000-0300-00007F000000}" uniqueName="127" name="ERC127" queryTableFieldId="127"/>
    <tableColumn id="128" xr3:uid="{00000000-0010-0000-0300-000080000000}" uniqueName="128" name="ERC128" queryTableFieldId="128"/>
    <tableColumn id="129" xr3:uid="{00000000-0010-0000-0300-000081000000}" uniqueName="129" name="ERC129" queryTableFieldId="129"/>
    <tableColumn id="130" xr3:uid="{00000000-0010-0000-0300-000082000000}" uniqueName="130" name="ERC130" queryTableFieldId="130"/>
    <tableColumn id="131" xr3:uid="{00000000-0010-0000-0300-000083000000}" uniqueName="131" name="ERC131" queryTableFieldId="131"/>
    <tableColumn id="132" xr3:uid="{00000000-0010-0000-0300-000084000000}" uniqueName="132" name="ERC132" queryTableFieldId="132"/>
    <tableColumn id="133" xr3:uid="{00000000-0010-0000-0300-000085000000}" uniqueName="133" name="ERC133" queryTableFieldId="133"/>
    <tableColumn id="134" xr3:uid="{00000000-0010-0000-0300-000086000000}" uniqueName="134" name="ERC134" queryTableFieldId="134"/>
    <tableColumn id="135" xr3:uid="{00000000-0010-0000-0300-000087000000}" uniqueName="135" name="ERC135" queryTableFieldId="135"/>
    <tableColumn id="136" xr3:uid="{00000000-0010-0000-0300-000088000000}" uniqueName="136" name="ERC136" queryTableFieldId="136"/>
    <tableColumn id="137" xr3:uid="{00000000-0010-0000-0300-000089000000}" uniqueName="137" name="ERC137" queryTableFieldId="137"/>
    <tableColumn id="138" xr3:uid="{00000000-0010-0000-0300-00008A000000}" uniqueName="138" name="ERC138" queryTableFieldId="138"/>
    <tableColumn id="139" xr3:uid="{00000000-0010-0000-0300-00008B000000}" uniqueName="139" name="ERC139" queryTableFieldId="139"/>
    <tableColumn id="140" xr3:uid="{00000000-0010-0000-0300-00008C000000}" uniqueName="140" name="ERC140" queryTableFieldId="140"/>
    <tableColumn id="141" xr3:uid="{00000000-0010-0000-0300-00008D000000}" uniqueName="141" name="ERC141" queryTableFieldId="141"/>
    <tableColumn id="142" xr3:uid="{00000000-0010-0000-0300-00008E000000}" uniqueName="142" name="ERC142" queryTableFieldId="142"/>
    <tableColumn id="143" xr3:uid="{00000000-0010-0000-0300-00008F000000}" uniqueName="143" name="ERC143" queryTableFieldId="143"/>
    <tableColumn id="144" xr3:uid="{00000000-0010-0000-0300-000090000000}" uniqueName="144" name="ERC144" queryTableFieldId="144"/>
    <tableColumn id="145" xr3:uid="{00000000-0010-0000-0300-000091000000}" uniqueName="145" name="ERC145" queryTableFieldId="145"/>
    <tableColumn id="146" xr3:uid="{00000000-0010-0000-0300-000092000000}" uniqueName="146" name="ERC146" queryTableFieldId="146"/>
    <tableColumn id="147" xr3:uid="{00000000-0010-0000-0300-000093000000}" uniqueName="147" name="ERC147" queryTableFieldId="147"/>
    <tableColumn id="148" xr3:uid="{00000000-0010-0000-0300-000094000000}" uniqueName="148" name="ERC148" queryTableFieldId="148"/>
    <tableColumn id="149" xr3:uid="{00000000-0010-0000-0300-000095000000}" uniqueName="149" name="ERC149" queryTableFieldId="149"/>
    <tableColumn id="150" xr3:uid="{00000000-0010-0000-0300-000096000000}" uniqueName="150" name="ERC150" queryTableFieldId="150"/>
    <tableColumn id="151" xr3:uid="{00000000-0010-0000-0300-000097000000}" uniqueName="151" name="ERC151" queryTableFieldId="151"/>
    <tableColumn id="152" xr3:uid="{00000000-0010-0000-0300-000098000000}" uniqueName="152" name="ERC152" queryTableFieldId="152"/>
    <tableColumn id="153" xr3:uid="{00000000-0010-0000-0300-000099000000}" uniqueName="153" name="ERC153" queryTableFieldId="153"/>
    <tableColumn id="154" xr3:uid="{00000000-0010-0000-0300-00009A000000}" uniqueName="154" name="ERC154" queryTableFieldId="154"/>
    <tableColumn id="155" xr3:uid="{00000000-0010-0000-0300-00009B000000}" uniqueName="155" name="ERC155" queryTableFieldId="155"/>
    <tableColumn id="156" xr3:uid="{00000000-0010-0000-0300-00009C000000}" uniqueName="156" name="ERC156" queryTableFieldId="156"/>
    <tableColumn id="157" xr3:uid="{00000000-0010-0000-0300-00009D000000}" uniqueName="157" name="ERC157" queryTableFieldId="157"/>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_Query_from_HTEDTA2_1" displayName="Table_Query_from_HTEDTA2_1" ref="A6:BB74" tableType="queryTable" totalsRowShown="0" headerRowDxfId="8">
  <autoFilter ref="A6:BB74" xr:uid="{00000000-0009-0000-0100-000002000000}"/>
  <tableColumns count="54">
    <tableColumn id="1" xr3:uid="{00000000-0010-0000-0200-000001000000}" uniqueName="1" name="ERC001" queryTableFieldId="1"/>
    <tableColumn id="2" xr3:uid="{00000000-0010-0000-0200-000002000000}" uniqueName="2" name="ERC002" queryTableFieldId="2"/>
    <tableColumn id="3" xr3:uid="{00000000-0010-0000-0200-000003000000}" uniqueName="3" name="ERC003" queryTableFieldId="3"/>
    <tableColumn id="4" xr3:uid="{00000000-0010-0000-0200-000004000000}" uniqueName="4" name="ERC004" queryTableFieldId="4"/>
    <tableColumn id="5" xr3:uid="{00000000-0010-0000-0200-000005000000}" uniqueName="5" name="ERC005" queryTableFieldId="5"/>
    <tableColumn id="6" xr3:uid="{00000000-0010-0000-0200-000006000000}" uniqueName="6" name="ERC006" queryTableFieldId="6"/>
    <tableColumn id="7" xr3:uid="{00000000-0010-0000-0200-000007000000}" uniqueName="7" name="ERC007" queryTableFieldId="7"/>
    <tableColumn id="8" xr3:uid="{00000000-0010-0000-0200-000008000000}" uniqueName="8" name="ERC008" queryTableFieldId="8"/>
    <tableColumn id="9" xr3:uid="{00000000-0010-0000-0200-000009000000}" uniqueName="9" name="ERC009" queryTableFieldId="9"/>
    <tableColumn id="10" xr3:uid="{00000000-0010-0000-0200-00000A000000}" uniqueName="10" name="ERC010" queryTableFieldId="10"/>
    <tableColumn id="11" xr3:uid="{00000000-0010-0000-0200-00000B000000}" uniqueName="11" name="ERC011" queryTableFieldId="11"/>
    <tableColumn id="12" xr3:uid="{00000000-0010-0000-0200-00000C000000}" uniqueName="12" name="ERC012" queryTableFieldId="12"/>
    <tableColumn id="13" xr3:uid="{00000000-0010-0000-0200-00000D000000}" uniqueName="13" name="ERC013" queryTableFieldId="13"/>
    <tableColumn id="14" xr3:uid="{00000000-0010-0000-0200-00000E000000}" uniqueName="14" name="ERC014" queryTableFieldId="14"/>
    <tableColumn id="15" xr3:uid="{00000000-0010-0000-0200-00000F000000}" uniqueName="15" name="ERC015" queryTableFieldId="15"/>
    <tableColumn id="16" xr3:uid="{00000000-0010-0000-0200-000010000000}" uniqueName="16" name="ERC016" queryTableFieldId="16"/>
    <tableColumn id="17" xr3:uid="{00000000-0010-0000-0200-000011000000}" uniqueName="17" name="ERC017" queryTableFieldId="17"/>
    <tableColumn id="18" xr3:uid="{00000000-0010-0000-0200-000012000000}" uniqueName="18" name="ERC018" queryTableFieldId="18"/>
    <tableColumn id="19" xr3:uid="{00000000-0010-0000-0200-000013000000}" uniqueName="19" name="ERC019" queryTableFieldId="19"/>
    <tableColumn id="20" xr3:uid="{00000000-0010-0000-0200-000014000000}" uniqueName="20" name="ERC020" queryTableFieldId="20"/>
    <tableColumn id="21" xr3:uid="{00000000-0010-0000-0200-000015000000}" uniqueName="21" name="ERC021" queryTableFieldId="21"/>
    <tableColumn id="22" xr3:uid="{00000000-0010-0000-0200-000016000000}" uniqueName="22" name="ERC022" queryTableFieldId="22"/>
    <tableColumn id="23" xr3:uid="{00000000-0010-0000-0200-000017000000}" uniqueName="23" name="ERC023" queryTableFieldId="23"/>
    <tableColumn id="24" xr3:uid="{00000000-0010-0000-0200-000018000000}" uniqueName="24" name="ERC024" queryTableFieldId="24"/>
    <tableColumn id="25" xr3:uid="{00000000-0010-0000-0200-000019000000}" uniqueName="25" name="ERC025" queryTableFieldId="25"/>
    <tableColumn id="26" xr3:uid="{00000000-0010-0000-0200-00001A000000}" uniqueName="26" name="ERC026" queryTableFieldId="26"/>
    <tableColumn id="27" xr3:uid="{00000000-0010-0000-0200-00001B000000}" uniqueName="27" name="ERC027" queryTableFieldId="27"/>
    <tableColumn id="28" xr3:uid="{00000000-0010-0000-0200-00001C000000}" uniqueName="28" name="ERC028" queryTableFieldId="28"/>
    <tableColumn id="29" xr3:uid="{00000000-0010-0000-0200-00001D000000}" uniqueName="29" name="ERC029" queryTableFieldId="29"/>
    <tableColumn id="30" xr3:uid="{00000000-0010-0000-0200-00001E000000}" uniqueName="30" name="ERC030" queryTableFieldId="30"/>
    <tableColumn id="31" xr3:uid="{00000000-0010-0000-0200-00001F000000}" uniqueName="31" name="ERC031" queryTableFieldId="31"/>
    <tableColumn id="32" xr3:uid="{00000000-0010-0000-0200-000020000000}" uniqueName="32" name="ERC032" queryTableFieldId="32"/>
    <tableColumn id="33" xr3:uid="{00000000-0010-0000-0200-000021000000}" uniqueName="33" name="ERC033" queryTableFieldId="33"/>
    <tableColumn id="34" xr3:uid="{00000000-0010-0000-0200-000022000000}" uniqueName="34" name="ERC034" queryTableFieldId="34"/>
    <tableColumn id="35" xr3:uid="{00000000-0010-0000-0200-000023000000}" uniqueName="35" name="ERC035" queryTableFieldId="35"/>
    <tableColumn id="36" xr3:uid="{00000000-0010-0000-0200-000024000000}" uniqueName="36" name="ERC036" queryTableFieldId="36"/>
    <tableColumn id="37" xr3:uid="{00000000-0010-0000-0200-000025000000}" uniqueName="37" name="ERC037" queryTableFieldId="37"/>
    <tableColumn id="38" xr3:uid="{00000000-0010-0000-0200-000026000000}" uniqueName="38" name="ERC038" queryTableFieldId="38"/>
    <tableColumn id="39" xr3:uid="{00000000-0010-0000-0200-000027000000}" uniqueName="39" name="ERC039" queryTableFieldId="39"/>
    <tableColumn id="40" xr3:uid="{00000000-0010-0000-0200-000028000000}" uniqueName="40" name="ERC040" queryTableFieldId="40"/>
    <tableColumn id="41" xr3:uid="{00000000-0010-0000-0200-000029000000}" uniqueName="41" name="ERC041" queryTableFieldId="41"/>
    <tableColumn id="54" xr3:uid="{74049618-D5C6-498A-BA5E-3FD1C45EF83C}" uniqueName="54" name="ERC042" queryTableFieldId="54"/>
    <tableColumn id="42" xr3:uid="{00000000-0010-0000-0200-00002A000000}" uniqueName="42" name="ERC0422" queryTableFieldId="42" dataDxfId="7"/>
    <tableColumn id="43" xr3:uid="{00000000-0010-0000-0200-00002B000000}" uniqueName="43" name="ERC043" queryTableFieldId="43"/>
    <tableColumn id="44" xr3:uid="{00000000-0010-0000-0200-00002C000000}" uniqueName="44" name="ERC044" queryTableFieldId="44"/>
    <tableColumn id="45" xr3:uid="{00000000-0010-0000-0200-00002D000000}" uniqueName="45" name="ERC045" queryTableFieldId="45"/>
    <tableColumn id="46" xr3:uid="{00000000-0010-0000-0200-00002E000000}" uniqueName="46" name="ERC046" queryTableFieldId="46"/>
    <tableColumn id="47" xr3:uid="{00000000-0010-0000-0200-00002F000000}" uniqueName="47" name="ERC047" queryTableFieldId="47"/>
    <tableColumn id="48" xr3:uid="{00000000-0010-0000-0200-000030000000}" uniqueName="48" name="ERC048" queryTableFieldId="48"/>
    <tableColumn id="49" xr3:uid="{00000000-0010-0000-0200-000031000000}" uniqueName="49" name="ERC049" queryTableFieldId="49"/>
    <tableColumn id="50" xr3:uid="{00000000-0010-0000-0200-000032000000}" uniqueName="50" name="ERC050" queryTableFieldId="50"/>
    <tableColumn id="51" xr3:uid="{00000000-0010-0000-0200-000033000000}" uniqueName="51" name="ERC051" queryTableFieldId="51"/>
    <tableColumn id="52" xr3:uid="{00000000-0010-0000-0200-000034000000}" uniqueName="52" name="ERC052" queryTableFieldId="52"/>
    <tableColumn id="53" xr3:uid="{00000000-0010-0000-0200-000035000000}" uniqueName="53" name="ERC053" queryTableFieldId="53"/>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_Query_from_HTEDA232" displayName="Table_Query_from_HTEDA232" ref="A6:H74" tableType="queryTable" totalsRowShown="0" headerRowDxfId="6">
  <autoFilter ref="A6:H74" xr:uid="{00000000-0009-0000-0100-000001000000}"/>
  <tableColumns count="8">
    <tableColumn id="1" xr3:uid="{00000000-0010-0000-0400-000001000000}" uniqueName="1" name="ERC001" queryTableFieldId="1"/>
    <tableColumn id="2" xr3:uid="{00000000-0010-0000-0400-000002000000}" uniqueName="2" name="ERC002" queryTableFieldId="2"/>
    <tableColumn id="3" xr3:uid="{00000000-0010-0000-0400-000003000000}" uniqueName="3" name="ERC003" queryTableFieldId="3"/>
    <tableColumn id="4" xr3:uid="{00000000-0010-0000-0400-000004000000}" uniqueName="4" name="ERC004" queryTableFieldId="4"/>
    <tableColumn id="5" xr3:uid="{00000000-0010-0000-0400-000005000000}" uniqueName="5" name="ERC005" queryTableFieldId="5"/>
    <tableColumn id="6" xr3:uid="{00000000-0010-0000-0400-000006000000}" uniqueName="6" name="ERC006" queryTableFieldId="6"/>
    <tableColumn id="7" xr3:uid="{00000000-0010-0000-0400-000007000000}" uniqueName="7" name="ERC007" queryTableFieldId="7"/>
    <tableColumn id="10" xr3:uid="{00000000-0010-0000-0400-00000A000000}" uniqueName="10" name="ERC008" queryTableFieldId="9"/>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_Query_from_HTEDA23_19" displayName="Table_Query_from_HTEDA23_19" ref="B13:W95" tableType="queryTable" totalsRowShown="0" headerRowDxfId="5">
  <autoFilter ref="B13:W95" xr:uid="{00000000-0009-0000-0100-000008000000}"/>
  <tableColumns count="22">
    <tableColumn id="1" xr3:uid="{00000000-0010-0000-0500-000001000000}" uniqueName="1" name="ERC001" queryTableFieldId="1"/>
    <tableColumn id="2" xr3:uid="{00000000-0010-0000-0500-000002000000}" uniqueName="2" name="ERC002" queryTableFieldId="2"/>
    <tableColumn id="3" xr3:uid="{00000000-0010-0000-0500-000003000000}" uniqueName="3" name="ERC003" queryTableFieldId="3"/>
    <tableColumn id="4" xr3:uid="{00000000-0010-0000-0500-000004000000}" uniqueName="4" name="ERC004" queryTableFieldId="4"/>
    <tableColumn id="5" xr3:uid="{00000000-0010-0000-0500-000005000000}" uniqueName="5" name="ERC005" queryTableFieldId="5"/>
    <tableColumn id="6" xr3:uid="{00000000-0010-0000-0500-000006000000}" uniqueName="6" name="ERC006" queryTableFieldId="6"/>
    <tableColumn id="7" xr3:uid="{00000000-0010-0000-0500-000007000000}" uniqueName="7" name="ERC007" queryTableFieldId="7"/>
    <tableColumn id="8" xr3:uid="{00000000-0010-0000-0500-000008000000}" uniqueName="8" name="ERC008" queryTableFieldId="8"/>
    <tableColumn id="9" xr3:uid="{00000000-0010-0000-0500-000009000000}" uniqueName="9" name="ERC009" queryTableFieldId="9"/>
    <tableColumn id="10" xr3:uid="{00000000-0010-0000-0500-00000A000000}" uniqueName="10" name="ERC010" queryTableFieldId="10" dataDxfId="4"/>
    <tableColumn id="11" xr3:uid="{00000000-0010-0000-0500-00000B000000}" uniqueName="11" name="ERC011" queryTableFieldId="11"/>
    <tableColumn id="12" xr3:uid="{00000000-0010-0000-0500-00000C000000}" uniqueName="12" name="ERC012" queryTableFieldId="12"/>
    <tableColumn id="13" xr3:uid="{00000000-0010-0000-0500-00000D000000}" uniqueName="13" name="ERC013" queryTableFieldId="13"/>
    <tableColumn id="14" xr3:uid="{00000000-0010-0000-0500-00000E000000}" uniqueName="14" name="ERC014" queryTableFieldId="14"/>
    <tableColumn id="15" xr3:uid="{00000000-0010-0000-0500-00000F000000}" uniqueName="15" name="ERC015" queryTableFieldId="15"/>
    <tableColumn id="16" xr3:uid="{00000000-0010-0000-0500-000010000000}" uniqueName="16" name="ERC016" queryTableFieldId="16"/>
    <tableColumn id="17" xr3:uid="{00000000-0010-0000-0500-000011000000}" uniqueName="17" name="ERC017" queryTableFieldId="17"/>
    <tableColumn id="18" xr3:uid="{00000000-0010-0000-0500-000012000000}" uniqueName="18" name="ERC018" queryTableFieldId="18"/>
    <tableColumn id="19" xr3:uid="{00000000-0010-0000-0500-000013000000}" uniqueName="19" name="ERC019" queryTableFieldId="19"/>
    <tableColumn id="23" xr3:uid="{00000000-0010-0000-0500-000017000000}" uniqueName="23" name="ERC020" queryTableFieldId="23"/>
    <tableColumn id="24" xr3:uid="{00000000-0010-0000-0500-000018000000}" uniqueName="24" name="ERC021" queryTableFieldId="24"/>
    <tableColumn id="25" xr3:uid="{00000000-0010-0000-0500-000019000000}" uniqueName="25" name="ERC022" queryTableFieldId="25"/>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6000000}" name="Table_Query_from_HTEDTA22_1" displayName="Table_Query_from_HTEDTA22_1" ref="A6:G74" tableType="queryTable" totalsRowShown="0" headerRowDxfId="3">
  <autoFilter ref="A6:G74" xr:uid="{00000000-0009-0000-0100-000003000000}"/>
  <tableColumns count="7">
    <tableColumn id="1" xr3:uid="{00000000-0010-0000-0600-000001000000}" uniqueName="1" name="ERC001" queryTableFieldId="1"/>
    <tableColumn id="2" xr3:uid="{00000000-0010-0000-0600-000002000000}" uniqueName="2" name="ERC002" queryTableFieldId="2"/>
    <tableColumn id="3" xr3:uid="{00000000-0010-0000-0600-000003000000}" uniqueName="3" name="ERC003" queryTableFieldId="3"/>
    <tableColumn id="4" xr3:uid="{00000000-0010-0000-0600-000004000000}" uniqueName="4" name="ERC004" queryTableFieldId="4"/>
    <tableColumn id="5" xr3:uid="{00000000-0010-0000-0600-000005000000}" uniqueName="5" name="ERC005" queryTableFieldId="5"/>
    <tableColumn id="6" xr3:uid="{00000000-0010-0000-0600-000006000000}" uniqueName="6" name="ERC006" queryTableFieldId="6"/>
    <tableColumn id="7" xr3:uid="{00000000-0010-0000-0600-000007000000}" uniqueName="7" name="ERC007" queryTableFieldId="7"/>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7000000}" name="Table_Query_from_HTEDA23_15" displayName="Table_Query_from_HTEDA23_15" ref="B13:U95" tableType="queryTable" totalsRowShown="0" headerRowDxfId="2">
  <autoFilter ref="B13:U95" xr:uid="{00000000-0009-0000-0100-000004000000}"/>
  <tableColumns count="20">
    <tableColumn id="1" xr3:uid="{00000000-0010-0000-0700-000001000000}" uniqueName="1" name="ERC001" queryTableFieldId="1"/>
    <tableColumn id="2" xr3:uid="{00000000-0010-0000-0700-000002000000}" uniqueName="2" name="ERC002" queryTableFieldId="2"/>
    <tableColumn id="3" xr3:uid="{00000000-0010-0000-0700-000003000000}" uniqueName="3" name="ERC003" queryTableFieldId="3"/>
    <tableColumn id="4" xr3:uid="{00000000-0010-0000-0700-000004000000}" uniqueName="4" name="ERC004" queryTableFieldId="4"/>
    <tableColumn id="5" xr3:uid="{00000000-0010-0000-0700-000005000000}" uniqueName="5" name="ERC005" queryTableFieldId="5"/>
    <tableColumn id="6" xr3:uid="{00000000-0010-0000-0700-000006000000}" uniqueName="6" name="ERC006" queryTableFieldId="6"/>
    <tableColumn id="7" xr3:uid="{00000000-0010-0000-0700-000007000000}" uniqueName="7" name="ERC007" queryTableFieldId="7"/>
    <tableColumn id="8" xr3:uid="{00000000-0010-0000-0700-000008000000}" uniqueName="8" name="ERC008" queryTableFieldId="8"/>
    <tableColumn id="9" xr3:uid="{00000000-0010-0000-0700-000009000000}" uniqueName="9" name="ERC009" queryTableFieldId="9"/>
    <tableColumn id="10" xr3:uid="{00000000-0010-0000-0700-00000A000000}" uniqueName="10" name="ERC010" queryTableFieldId="10"/>
    <tableColumn id="11" xr3:uid="{00000000-0010-0000-0700-00000B000000}" uniqueName="11" name="ERC011" queryTableFieldId="11"/>
    <tableColumn id="12" xr3:uid="{00000000-0010-0000-0700-00000C000000}" uniqueName="12" name="ERC012" queryTableFieldId="12"/>
    <tableColumn id="13" xr3:uid="{00000000-0010-0000-0700-00000D000000}" uniqueName="13" name="ERC013" queryTableFieldId="13"/>
    <tableColumn id="14" xr3:uid="{00000000-0010-0000-0700-00000E000000}" uniqueName="14" name="ERC014" queryTableFieldId="14"/>
    <tableColumn id="15" xr3:uid="{00000000-0010-0000-0700-00000F000000}" uniqueName="15" name="ERC015" queryTableFieldId="15"/>
    <tableColumn id="16" xr3:uid="{00000000-0010-0000-0700-000010000000}" uniqueName="16" name="ERC016" queryTableFieldId="16"/>
    <tableColumn id="17" xr3:uid="{00000000-0010-0000-0700-000011000000}" uniqueName="17" name="ERC017" queryTableFieldId="17"/>
    <tableColumn id="18" xr3:uid="{00000000-0010-0000-0700-000012000000}" uniqueName="18" name="ERC018" queryTableFieldId="18"/>
    <tableColumn id="19" xr3:uid="{00000000-0010-0000-0700-000013000000}" uniqueName="19" name="ERC019" queryTableFieldId="19"/>
    <tableColumn id="20" xr3:uid="{00000000-0010-0000-0700-000014000000}" uniqueName="20" name="ERC020" queryTableFieldId="20"/>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le_Query_from_HTEDTA27" displayName="Table_Query_from_HTEDTA27" ref="B6:T74" tableType="queryTable" totalsRowShown="0" headerRowDxfId="1">
  <autoFilter ref="B6:T74" xr:uid="{00000000-0009-0000-0100-000006000000}"/>
  <tableColumns count="19">
    <tableColumn id="1" xr3:uid="{00000000-0010-0000-0800-000001000000}" uniqueName="1" name="ERC001" queryTableFieldId="1"/>
    <tableColumn id="2" xr3:uid="{00000000-0010-0000-0800-000002000000}" uniqueName="2" name="ERC002" queryTableFieldId="2"/>
    <tableColumn id="3" xr3:uid="{00000000-0010-0000-0800-000003000000}" uniqueName="3" name="ERC003" queryTableFieldId="3"/>
    <tableColumn id="4" xr3:uid="{00000000-0010-0000-0800-000004000000}" uniqueName="4" name="ERC004" queryTableFieldId="4"/>
    <tableColumn id="5" xr3:uid="{00000000-0010-0000-0800-000005000000}" uniqueName="5" name="ERC005" queryTableFieldId="5"/>
    <tableColumn id="6" xr3:uid="{00000000-0010-0000-0800-000006000000}" uniqueName="6" name="ERC006" queryTableFieldId="6"/>
    <tableColumn id="7" xr3:uid="{00000000-0010-0000-0800-000007000000}" uniqueName="7" name="ERC007" queryTableFieldId="7"/>
    <tableColumn id="8" xr3:uid="{00000000-0010-0000-0800-000008000000}" uniqueName="8" name="ERC008" queryTableFieldId="8"/>
    <tableColumn id="9" xr3:uid="{00000000-0010-0000-0800-000009000000}" uniqueName="9" name="ERC009" queryTableFieldId="9"/>
    <tableColumn id="10" xr3:uid="{00000000-0010-0000-0800-00000A000000}" uniqueName="10" name="ERC010" queryTableFieldId="10"/>
    <tableColumn id="11" xr3:uid="{00000000-0010-0000-0800-00000B000000}" uniqueName="11" name="ERC011" queryTableFieldId="11"/>
    <tableColumn id="12" xr3:uid="{00000000-0010-0000-0800-00000C000000}" uniqueName="12" name="ERC012" queryTableFieldId="12"/>
    <tableColumn id="13" xr3:uid="{00000000-0010-0000-0800-00000D000000}" uniqueName="13" name="ERC013" queryTableFieldId="13"/>
    <tableColumn id="14" xr3:uid="{00000000-0010-0000-0800-00000E000000}" uniqueName="14" name="ERC014" queryTableFieldId="14"/>
    <tableColumn id="15" xr3:uid="{00000000-0010-0000-0800-00000F000000}" uniqueName="15" name="ERC015" queryTableFieldId="15"/>
    <tableColumn id="16" xr3:uid="{00000000-0010-0000-0800-000010000000}" uniqueName="16" name="ERC016" queryTableFieldId="16"/>
    <tableColumn id="17" xr3:uid="{00000000-0010-0000-0800-000011000000}" uniqueName="17" name="ERC017" queryTableFieldId="17"/>
    <tableColumn id="18" xr3:uid="{00000000-0010-0000-0800-000012000000}" uniqueName="18" name="ERC018" queryTableFieldId="18"/>
    <tableColumn id="19" xr3:uid="{00000000-0010-0000-0800-000013000000}" uniqueName="19" name="ERC019" queryTableFieldId="19"/>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0.bin"/><Relationship Id="rId4" Type="http://schemas.openxmlformats.org/officeDocument/2006/relationships/ctrlProp" Target="../ctrlProps/ctrlProp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1.bin"/><Relationship Id="rId4" Type="http://schemas.openxmlformats.org/officeDocument/2006/relationships/ctrlProp" Target="../ctrlProps/ctrlProp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mailto:=+C34-@round(L68,0)"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queryTable" Target="../queryTables/queryTable3.xml"/><Relationship Id="rId2" Type="http://schemas.openxmlformats.org/officeDocument/2006/relationships/table" Target="../tables/table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63.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63.bin"/><Relationship Id="rId4" Type="http://schemas.openxmlformats.org/officeDocument/2006/relationships/comments" Target="../comments1.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15"/>
  <sheetViews>
    <sheetView showGridLines="0" zoomScale="90" zoomScaleNormal="90" workbookViewId="0">
      <selection activeCell="C30" sqref="C30"/>
    </sheetView>
  </sheetViews>
  <sheetFormatPr defaultRowHeight="12.75"/>
  <cols>
    <col min="1" max="1" width="55.7109375" customWidth="1"/>
    <col min="2" max="2" width="1.7109375" customWidth="1"/>
    <col min="3" max="3" width="14.7109375" customWidth="1"/>
    <col min="5" max="5" width="10.7109375" bestFit="1" customWidth="1"/>
  </cols>
  <sheetData>
    <row r="1" spans="1:6" ht="13.5">
      <c r="A1" s="839" t="s">
        <v>2385</v>
      </c>
      <c r="B1" s="840"/>
      <c r="C1" s="841">
        <f>+'FID FDS'!C11+'FID FDS'!D11+'FID FDS'!E11+'FID FDS'!F11</f>
        <v>2094655</v>
      </c>
    </row>
    <row r="2" spans="1:6" ht="13.5">
      <c r="A2" s="839" t="s">
        <v>2386</v>
      </c>
      <c r="B2" s="840"/>
      <c r="C2" s="842">
        <f>+'FID FDS'!G11+'FID FDS'!H11+'FID FDS'!I11</f>
        <v>2201768</v>
      </c>
    </row>
    <row r="3" spans="1:6" ht="13.5" hidden="1">
      <c r="A3" s="839" t="s">
        <v>2616</v>
      </c>
      <c r="B3" s="840"/>
      <c r="C3" s="842">
        <f>+'FID FDS'!B19</f>
        <v>0</v>
      </c>
    </row>
    <row r="4" spans="1:6" ht="13.5" hidden="1">
      <c r="A4" s="839"/>
      <c r="B4" s="840"/>
      <c r="C4" s="842"/>
    </row>
    <row r="5" spans="1:6" ht="13.5">
      <c r="A5" s="839" t="s">
        <v>2387</v>
      </c>
      <c r="B5" s="840"/>
      <c r="C5" s="842">
        <f>+'FID FDS'!J11</f>
        <v>319188</v>
      </c>
    </row>
    <row r="6" spans="1:6" ht="13.5">
      <c r="A6" s="839" t="s">
        <v>2594</v>
      </c>
      <c r="B6" s="840"/>
      <c r="C6" s="842">
        <f>+'FID FDS'!L11</f>
        <v>88910</v>
      </c>
    </row>
    <row r="7" spans="1:6" ht="14.25" thickBot="1">
      <c r="A7" s="843" t="s">
        <v>2388</v>
      </c>
      <c r="B7" s="840"/>
      <c r="C7" s="844">
        <f>SUM(C1:C6)</f>
        <v>4704521</v>
      </c>
      <c r="E7">
        <f>+'FIDCH FDS'!T35</f>
        <v>4704521</v>
      </c>
      <c r="F7" s="156" t="str">
        <f>IF(+E7-C7=0,"0","ERR")</f>
        <v>0</v>
      </c>
    </row>
    <row r="8" spans="1:6" ht="13.5" thickTop="1"/>
    <row r="9" spans="1:6">
      <c r="E9">
        <f>E7-C7</f>
        <v>0</v>
      </c>
    </row>
    <row r="11" spans="1:6">
      <c r="A11" s="21" t="s">
        <v>2418</v>
      </c>
      <c r="C11" s="614">
        <f>+'FIDCOMBIT NP'!D15/('Stmt of Net Pos'!R15-'FID FDS'!B12)</f>
        <v>0.40955579214845433</v>
      </c>
    </row>
    <row r="14" spans="1:6">
      <c r="C14" s="743" t="s">
        <v>2591</v>
      </c>
      <c r="D14" s="743" t="s">
        <v>2592</v>
      </c>
    </row>
    <row r="15" spans="1:6">
      <c r="C15" s="146"/>
      <c r="D15" s="211" t="s">
        <v>2593</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codeName="Sheet9"/>
  <dimension ref="A1:ES208"/>
  <sheetViews>
    <sheetView defaultGridColor="0" topLeftCell="B4" colorId="22" zoomScale="85" zoomScaleNormal="85" workbookViewId="0">
      <pane xSplit="2" ySplit="5" topLeftCell="CB83" activePane="bottomRight" state="frozen"/>
      <selection activeCell="CW10" sqref="CW10"/>
      <selection pane="topRight" activeCell="CW10" sqref="CW10"/>
      <selection pane="bottomLeft" activeCell="CW10" sqref="CW10"/>
      <selection pane="bottomRight" activeCell="CD106" sqref="CD106"/>
    </sheetView>
  </sheetViews>
  <sheetFormatPr defaultColWidth="9.7109375" defaultRowHeight="12.75"/>
  <cols>
    <col min="1" max="1" width="6.7109375" customWidth="1"/>
    <col min="2" max="2" width="55.5703125" customWidth="1"/>
    <col min="3" max="3" width="2.140625" customWidth="1"/>
    <col min="4" max="4" width="15.42578125" customWidth="1"/>
    <col min="5" max="5" width="13.5703125" customWidth="1"/>
    <col min="6" max="7" width="13.42578125" customWidth="1"/>
    <col min="8" max="8" width="12.140625" customWidth="1"/>
    <col min="9" max="9" width="11.5703125" customWidth="1"/>
    <col min="10" max="10" width="13.42578125" customWidth="1"/>
    <col min="11" max="12" width="13.28515625" customWidth="1"/>
    <col min="13" max="13" width="12.7109375" customWidth="1"/>
    <col min="14" max="15" width="12.140625" customWidth="1"/>
    <col min="16" max="16" width="14.140625" customWidth="1"/>
    <col min="17" max="17" width="15.85546875" customWidth="1"/>
    <col min="18" max="18" width="14.42578125" customWidth="1"/>
    <col min="19" max="19" width="13.42578125" customWidth="1"/>
    <col min="20" max="20" width="11.5703125" customWidth="1"/>
    <col min="21" max="21" width="14.5703125" customWidth="1"/>
    <col min="22" max="22" width="10.85546875" customWidth="1"/>
    <col min="23" max="23" width="11" customWidth="1"/>
    <col min="24" max="25" width="15.85546875" customWidth="1"/>
    <col min="26" max="26" width="15" customWidth="1"/>
    <col min="27" max="27" width="14.7109375" customWidth="1"/>
    <col min="28" max="29" width="15" customWidth="1"/>
    <col min="30" max="30" width="13.28515625" customWidth="1"/>
    <col min="31" max="31" width="10.5703125" customWidth="1"/>
    <col min="32" max="33" width="11.7109375" customWidth="1"/>
    <col min="34" max="35" width="13" customWidth="1"/>
    <col min="36" max="36" width="9.7109375" customWidth="1"/>
    <col min="37" max="37" width="16.5703125" customWidth="1"/>
    <col min="38" max="40" width="13.85546875" customWidth="1"/>
    <col min="41" max="41" width="18.7109375" customWidth="1"/>
    <col min="42" max="43" width="13.85546875" customWidth="1"/>
    <col min="44" max="44" width="17" customWidth="1"/>
    <col min="45" max="46" width="12.140625" customWidth="1"/>
    <col min="47" max="47" width="15.85546875" customWidth="1"/>
    <col min="48" max="48" width="11.5703125" customWidth="1"/>
    <col min="49" max="50" width="18.42578125" customWidth="1"/>
    <col min="51" max="51" width="13.5703125" customWidth="1"/>
    <col min="52" max="53" width="12.140625" customWidth="1"/>
    <col min="54" max="54" width="14.85546875" customWidth="1"/>
    <col min="55" max="55" width="17.7109375" customWidth="1"/>
    <col min="56" max="56" width="17.28515625" customWidth="1"/>
    <col min="57" max="57" width="4.5703125" customWidth="1"/>
    <col min="58" max="58" width="15.5703125" customWidth="1"/>
    <col min="59" max="59" width="20.28515625" customWidth="1"/>
    <col min="60" max="61" width="15.5703125" customWidth="1"/>
    <col min="62" max="62" width="13" customWidth="1"/>
    <col min="63" max="65" width="15.140625" customWidth="1"/>
    <col min="66" max="66" width="20.5703125" customWidth="1"/>
    <col min="67" max="67" width="7" customWidth="1"/>
    <col min="68" max="68" width="13.42578125" customWidth="1"/>
    <col min="69" max="69" width="16.5703125" customWidth="1"/>
    <col min="70" max="70" width="19.5703125" customWidth="1"/>
    <col min="71" max="73" width="12.7109375" customWidth="1"/>
    <col min="74" max="75" width="18.7109375" customWidth="1"/>
    <col min="76" max="76" width="5.140625" customWidth="1"/>
    <col min="77" max="77" width="14.140625" customWidth="1"/>
    <col min="78" max="78" width="20.140625" customWidth="1"/>
    <col min="79" max="79" width="15.42578125" customWidth="1"/>
    <col min="80" max="81" width="18.7109375" customWidth="1"/>
    <col min="82" max="82" width="12.140625" customWidth="1"/>
    <col min="83" max="83" width="11.5703125" customWidth="1"/>
    <col min="84" max="84" width="13.7109375" customWidth="1"/>
    <col min="85" max="85" width="16.5703125" customWidth="1"/>
    <col min="86" max="86" width="12.28515625" customWidth="1"/>
    <col min="87" max="87" width="8.28515625" customWidth="1"/>
    <col min="88" max="88" width="16.7109375" customWidth="1"/>
    <col min="89" max="89" width="16.42578125" customWidth="1"/>
    <col min="90" max="90" width="13" customWidth="1"/>
    <col min="91" max="91" width="13.5703125" customWidth="1"/>
    <col min="92" max="92" width="12.85546875" customWidth="1"/>
    <col min="93" max="93" width="11.140625" customWidth="1"/>
    <col min="94" max="97" width="15.7109375" customWidth="1"/>
    <col min="98" max="98" width="6.7109375" customWidth="1"/>
    <col min="99" max="99" width="13.85546875" customWidth="1"/>
    <col min="100" max="100" width="4.85546875" customWidth="1"/>
    <col min="101" max="101" width="14.140625" customWidth="1"/>
    <col min="102" max="103" width="14" customWidth="1"/>
    <col min="104" max="104" width="12.85546875" customWidth="1"/>
    <col min="105" max="105" width="20.28515625" customWidth="1"/>
    <col min="106" max="106" width="17" customWidth="1"/>
    <col min="107" max="107" width="12.85546875" customWidth="1"/>
    <col min="108" max="108" width="12.28515625" customWidth="1"/>
    <col min="109" max="109" width="13.140625" customWidth="1"/>
    <col min="110" max="110" width="17.42578125" customWidth="1"/>
    <col min="111" max="112" width="13" customWidth="1"/>
    <col min="113" max="113" width="14" customWidth="1"/>
    <col min="114" max="115" width="13" customWidth="1"/>
    <col min="116" max="116" width="21.140625" customWidth="1"/>
    <col min="117" max="121" width="13" customWidth="1"/>
    <col min="122" max="122" width="17.5703125" customWidth="1"/>
    <col min="123" max="124" width="14.28515625" bestFit="1" customWidth="1"/>
    <col min="126" max="126" width="7.85546875" customWidth="1"/>
    <col min="127" max="127" width="15.28515625" customWidth="1"/>
    <col min="128" max="128" width="19.5703125" customWidth="1"/>
    <col min="129" max="129" width="3.5703125" customWidth="1"/>
    <col min="130" max="130" width="15.42578125" customWidth="1"/>
    <col min="131" max="131" width="3" customWidth="1"/>
    <col min="132" max="132" width="18.140625" customWidth="1"/>
    <col min="133" max="133" width="15.42578125" customWidth="1"/>
    <col min="134" max="134" width="20.140625" customWidth="1"/>
    <col min="135" max="135" width="16.5703125" bestFit="1" customWidth="1"/>
    <col min="136" max="136" width="9.7109375" customWidth="1"/>
    <col min="137" max="137" width="11.42578125" customWidth="1"/>
    <col min="139" max="139" width="12.5703125" customWidth="1"/>
    <col min="140" max="140" width="12" bestFit="1" customWidth="1"/>
    <col min="141" max="141" width="11.5703125" bestFit="1" customWidth="1"/>
    <col min="145" max="146" width="10.7109375" bestFit="1" customWidth="1"/>
    <col min="147" max="147" width="13.42578125" bestFit="1" customWidth="1"/>
    <col min="148" max="148" width="10.28515625" bestFit="1" customWidth="1"/>
  </cols>
  <sheetData>
    <row r="1" spans="1:138" ht="15.75">
      <c r="A1" s="1"/>
      <c r="B1" s="33">
        <v>45107</v>
      </c>
      <c r="C1" s="33"/>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V1" s="1"/>
      <c r="DW1" s="1"/>
      <c r="DX1" s="1"/>
      <c r="DY1" s="1"/>
      <c r="DZ1" s="1"/>
      <c r="EC1" s="1"/>
      <c r="ED1" s="1"/>
      <c r="EE1" s="1"/>
      <c r="EF1" s="1"/>
      <c r="EG1" s="1"/>
    </row>
    <row r="2" spans="1:138" ht="15.75">
      <c r="A2" s="1"/>
      <c r="B2" s="13" t="s">
        <v>3303</v>
      </c>
      <c r="C2" s="13"/>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V2" s="1"/>
      <c r="DW2" s="1"/>
      <c r="DX2" s="1"/>
      <c r="DY2" s="1"/>
      <c r="DZ2" s="1"/>
      <c r="EC2" s="1"/>
      <c r="ED2" s="1"/>
      <c r="EE2" s="1"/>
      <c r="EF2" s="1"/>
      <c r="EG2" s="1"/>
    </row>
    <row r="3" spans="1:138" ht="15.75">
      <c r="A3" s="1"/>
      <c r="B3" s="13"/>
      <c r="C3" s="1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V3" s="1"/>
      <c r="DW3" s="1"/>
      <c r="DX3" s="1"/>
      <c r="DY3" s="1"/>
      <c r="DZ3" s="1"/>
      <c r="EC3" s="1"/>
      <c r="ED3" s="1"/>
      <c r="EE3" s="1"/>
      <c r="EF3" s="1"/>
      <c r="EG3" s="1"/>
    </row>
    <row r="4" spans="1:138" ht="15.75">
      <c r="A4" s="1"/>
      <c r="B4" s="2" t="s">
        <v>886</v>
      </c>
      <c r="C4" s="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20"/>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V4" s="1"/>
      <c r="DW4" s="1"/>
      <c r="DX4" s="1"/>
      <c r="DY4" s="1"/>
      <c r="DZ4" s="1"/>
      <c r="EC4" s="1"/>
      <c r="ED4" s="1"/>
      <c r="EE4" s="1"/>
      <c r="EF4" s="1"/>
      <c r="EG4" s="1"/>
    </row>
    <row r="5" spans="1:138" ht="15.75">
      <c r="A5" s="1"/>
      <c r="D5" s="3"/>
      <c r="E5" s="3" t="s">
        <v>1298</v>
      </c>
      <c r="F5" s="3"/>
      <c r="G5" s="3"/>
      <c r="H5" s="3"/>
      <c r="I5" s="3"/>
      <c r="J5" s="3"/>
      <c r="K5" s="3"/>
      <c r="L5" s="3" t="s">
        <v>1746</v>
      </c>
      <c r="M5" s="3"/>
      <c r="N5" s="3" t="s">
        <v>1655</v>
      </c>
      <c r="O5" s="3"/>
      <c r="P5" s="3"/>
      <c r="Q5" s="3"/>
      <c r="R5" s="3"/>
      <c r="S5" s="3"/>
      <c r="T5" s="3"/>
      <c r="U5" s="3"/>
      <c r="V5" s="3"/>
      <c r="W5" s="3"/>
      <c r="X5" s="3"/>
      <c r="Y5" s="3" t="s">
        <v>249</v>
      </c>
      <c r="Z5" s="3"/>
      <c r="AA5" s="3"/>
      <c r="AB5" s="3" t="s">
        <v>2622</v>
      </c>
      <c r="AC5" s="3"/>
      <c r="AD5" s="3"/>
      <c r="AE5" s="3"/>
      <c r="AF5" s="3"/>
      <c r="AG5" s="3" t="s">
        <v>314</v>
      </c>
      <c r="AH5" s="3" t="s">
        <v>278</v>
      </c>
      <c r="AI5" s="3" t="s">
        <v>935</v>
      </c>
      <c r="AJ5" s="3" t="s">
        <v>312</v>
      </c>
      <c r="AK5" s="13" t="s">
        <v>1907</v>
      </c>
      <c r="AL5" s="13" t="s">
        <v>894</v>
      </c>
      <c r="AM5" s="13" t="s">
        <v>894</v>
      </c>
      <c r="AN5" s="13" t="s">
        <v>1558</v>
      </c>
      <c r="AO5" s="1"/>
      <c r="AP5" s="3" t="s">
        <v>604</v>
      </c>
      <c r="AQ5" s="3" t="s">
        <v>1020</v>
      </c>
      <c r="AR5" s="3"/>
      <c r="AS5" s="3"/>
      <c r="AT5" s="3"/>
      <c r="AU5" s="3"/>
      <c r="AV5" s="3" t="s">
        <v>113</v>
      </c>
      <c r="AW5" s="274"/>
      <c r="AX5" s="60" t="s">
        <v>1046</v>
      </c>
      <c r="AY5" s="3"/>
      <c r="AZ5" s="60" t="s">
        <v>161</v>
      </c>
      <c r="BA5" s="60" t="s">
        <v>1560</v>
      </c>
      <c r="BB5" s="60"/>
      <c r="BC5" s="3" t="s">
        <v>1297</v>
      </c>
      <c r="BD5" s="3"/>
      <c r="BE5" s="3"/>
      <c r="BF5" s="3" t="s">
        <v>315</v>
      </c>
      <c r="BG5" s="3" t="s">
        <v>1518</v>
      </c>
      <c r="BH5" s="3" t="s">
        <v>1358</v>
      </c>
      <c r="BI5" s="3" t="s">
        <v>604</v>
      </c>
      <c r="BJ5" s="3" t="s">
        <v>1298</v>
      </c>
      <c r="BK5" s="3" t="s">
        <v>63</v>
      </c>
      <c r="BL5" s="3" t="s">
        <v>1655</v>
      </c>
      <c r="BM5" s="3" t="s">
        <v>2595</v>
      </c>
      <c r="BN5" s="3" t="s">
        <v>307</v>
      </c>
      <c r="BO5" s="3"/>
      <c r="BP5" s="3" t="s">
        <v>315</v>
      </c>
      <c r="BQ5" s="3" t="s">
        <v>1518</v>
      </c>
      <c r="BR5" s="3"/>
      <c r="BS5" s="3"/>
      <c r="BT5" s="3"/>
      <c r="BU5" s="3" t="s">
        <v>279</v>
      </c>
      <c r="BV5" s="3" t="s">
        <v>2595</v>
      </c>
      <c r="BW5" s="3" t="s">
        <v>1294</v>
      </c>
      <c r="BX5" s="3"/>
      <c r="BY5" s="3" t="s">
        <v>315</v>
      </c>
      <c r="BZ5" s="3" t="s">
        <v>1518</v>
      </c>
      <c r="CA5" s="3" t="s">
        <v>1518</v>
      </c>
      <c r="CB5" s="3"/>
      <c r="CC5" s="3"/>
      <c r="CD5" s="3"/>
      <c r="CE5" s="3"/>
      <c r="CF5" s="3" t="s">
        <v>308</v>
      </c>
      <c r="CG5" s="3"/>
      <c r="CH5" s="3"/>
      <c r="CI5" s="3"/>
      <c r="CJ5" s="3" t="s">
        <v>315</v>
      </c>
      <c r="CK5" s="3" t="s">
        <v>2638</v>
      </c>
      <c r="CL5" s="3" t="s">
        <v>310</v>
      </c>
      <c r="CM5" s="3" t="s">
        <v>1298</v>
      </c>
      <c r="CN5" s="3"/>
      <c r="CO5" s="3"/>
      <c r="CP5" s="3"/>
      <c r="CQ5" s="3"/>
      <c r="CR5" s="3"/>
      <c r="CS5" s="3"/>
      <c r="CT5" s="3"/>
      <c r="CU5" s="3" t="s">
        <v>315</v>
      </c>
      <c r="CW5" s="3"/>
      <c r="CX5" s="3" t="s">
        <v>425</v>
      </c>
      <c r="CY5" s="3" t="s">
        <v>294</v>
      </c>
      <c r="CZ5" s="3"/>
      <c r="DA5" s="3"/>
      <c r="DB5" s="3"/>
      <c r="DC5" s="3" t="s">
        <v>1354</v>
      </c>
      <c r="DD5" s="3" t="s">
        <v>20</v>
      </c>
      <c r="DE5" s="3"/>
      <c r="DF5" s="3" t="s">
        <v>478</v>
      </c>
      <c r="DH5" s="3" t="s">
        <v>888</v>
      </c>
      <c r="DI5" s="3"/>
      <c r="DJ5" s="3"/>
      <c r="DK5" s="3"/>
      <c r="DL5" s="3"/>
      <c r="DM5" s="3" t="s">
        <v>889</v>
      </c>
      <c r="DN5" s="3"/>
      <c r="DO5" s="3"/>
      <c r="DP5" s="3" t="s">
        <v>1618</v>
      </c>
      <c r="DQ5" s="3"/>
      <c r="DR5" s="3"/>
      <c r="DS5" s="3"/>
      <c r="DT5" s="3"/>
      <c r="DV5" s="3"/>
      <c r="DW5" s="3" t="s">
        <v>315</v>
      </c>
      <c r="DX5" s="3"/>
      <c r="DY5" s="3"/>
      <c r="DZ5" s="3" t="s">
        <v>1357</v>
      </c>
      <c r="EC5" s="3"/>
      <c r="ED5" s="3"/>
      <c r="EE5" s="3" t="s">
        <v>315</v>
      </c>
      <c r="EF5" s="3"/>
      <c r="EG5" s="3" t="s">
        <v>891</v>
      </c>
    </row>
    <row r="6" spans="1:138" ht="15.75">
      <c r="A6" s="1"/>
      <c r="B6" s="1"/>
      <c r="C6" s="1"/>
      <c r="D6" s="3"/>
      <c r="E6" s="3" t="s">
        <v>554</v>
      </c>
      <c r="F6" s="3" t="s">
        <v>894</v>
      </c>
      <c r="G6" s="3"/>
      <c r="H6" s="3" t="s">
        <v>898</v>
      </c>
      <c r="I6" s="3" t="s">
        <v>903</v>
      </c>
      <c r="J6" s="3"/>
      <c r="K6" s="3" t="s">
        <v>892</v>
      </c>
      <c r="L6" s="3" t="s">
        <v>1749</v>
      </c>
      <c r="M6" s="3" t="s">
        <v>893</v>
      </c>
      <c r="N6" s="3" t="s">
        <v>1656</v>
      </c>
      <c r="O6" s="3"/>
      <c r="P6" s="3"/>
      <c r="Q6" s="3" t="s">
        <v>1613</v>
      </c>
      <c r="R6" s="3" t="s">
        <v>901</v>
      </c>
      <c r="S6" s="3"/>
      <c r="T6" s="3" t="s">
        <v>902</v>
      </c>
      <c r="U6" s="3"/>
      <c r="V6" s="3" t="s">
        <v>904</v>
      </c>
      <c r="W6" s="3" t="s">
        <v>517</v>
      </c>
      <c r="X6" s="3" t="s">
        <v>249</v>
      </c>
      <c r="Y6" s="3" t="s">
        <v>1029</v>
      </c>
      <c r="Z6" s="3" t="s">
        <v>1019</v>
      </c>
      <c r="AA6" s="3" t="s">
        <v>518</v>
      </c>
      <c r="AB6" s="3" t="s">
        <v>2621</v>
      </c>
      <c r="AC6" s="3" t="s">
        <v>899</v>
      </c>
      <c r="AD6" s="3" t="s">
        <v>900</v>
      </c>
      <c r="AE6" s="3" t="s">
        <v>313</v>
      </c>
      <c r="AF6" s="3" t="s">
        <v>1358</v>
      </c>
      <c r="AG6" s="3" t="s">
        <v>61</v>
      </c>
      <c r="AH6" s="3" t="s">
        <v>279</v>
      </c>
      <c r="AI6" s="3" t="s">
        <v>59</v>
      </c>
      <c r="AJ6" s="3" t="s">
        <v>20</v>
      </c>
      <c r="AK6" s="13" t="s">
        <v>1561</v>
      </c>
      <c r="AL6" s="13" t="s">
        <v>1561</v>
      </c>
      <c r="AM6" s="13" t="s">
        <v>1562</v>
      </c>
      <c r="AN6" s="13" t="s">
        <v>72</v>
      </c>
      <c r="AO6" s="1061" t="s">
        <v>3022</v>
      </c>
      <c r="AP6" s="3" t="s">
        <v>1283</v>
      </c>
      <c r="AQ6" s="3" t="s">
        <v>64</v>
      </c>
      <c r="AR6" s="3"/>
      <c r="AS6" s="3" t="s">
        <v>58</v>
      </c>
      <c r="AT6" s="3" t="s">
        <v>58</v>
      </c>
      <c r="AU6" s="3"/>
      <c r="AV6" s="3" t="s">
        <v>112</v>
      </c>
      <c r="AW6" s="274"/>
      <c r="AX6" s="60" t="s">
        <v>1001</v>
      </c>
      <c r="AY6" s="3" t="s">
        <v>559</v>
      </c>
      <c r="AZ6" s="60" t="s">
        <v>1279</v>
      </c>
      <c r="BA6" s="60" t="s">
        <v>297</v>
      </c>
      <c r="BB6" s="60" t="s">
        <v>956</v>
      </c>
      <c r="BC6" s="3" t="s">
        <v>552</v>
      </c>
      <c r="BD6" s="6" t="s">
        <v>901</v>
      </c>
      <c r="BE6" s="3"/>
      <c r="BF6" s="3" t="s">
        <v>1297</v>
      </c>
      <c r="BG6" s="3" t="s">
        <v>1519</v>
      </c>
      <c r="BH6" s="3" t="s">
        <v>310</v>
      </c>
      <c r="BI6" s="3" t="s">
        <v>1283</v>
      </c>
      <c r="BJ6" s="3" t="s">
        <v>62</v>
      </c>
      <c r="BK6" s="3" t="s">
        <v>222</v>
      </c>
      <c r="BL6" s="3" t="s">
        <v>1656</v>
      </c>
      <c r="BM6" s="3" t="s">
        <v>577</v>
      </c>
      <c r="BN6" s="3" t="s">
        <v>64</v>
      </c>
      <c r="BO6" s="3"/>
      <c r="BP6" s="3" t="s">
        <v>65</v>
      </c>
      <c r="BQ6" s="3" t="s">
        <v>1520</v>
      </c>
      <c r="BR6" s="3" t="s">
        <v>67</v>
      </c>
      <c r="BS6" s="3" t="s">
        <v>882</v>
      </c>
      <c r="BT6" s="3" t="s">
        <v>883</v>
      </c>
      <c r="BU6" s="3" t="s">
        <v>761</v>
      </c>
      <c r="BV6" s="3" t="s">
        <v>577</v>
      </c>
      <c r="BW6" s="3" t="s">
        <v>1295</v>
      </c>
      <c r="BX6" s="3"/>
      <c r="BY6" s="3" t="s">
        <v>67</v>
      </c>
      <c r="BZ6" s="3" t="s">
        <v>1521</v>
      </c>
      <c r="CA6" s="3" t="s">
        <v>1522</v>
      </c>
      <c r="CB6" s="3" t="s">
        <v>1356</v>
      </c>
      <c r="CC6" s="3" t="s">
        <v>1004</v>
      </c>
      <c r="CD6" s="3" t="s">
        <v>193</v>
      </c>
      <c r="CE6" s="3" t="s">
        <v>900</v>
      </c>
      <c r="CF6" s="3" t="s">
        <v>68</v>
      </c>
      <c r="CG6" s="3" t="s">
        <v>517</v>
      </c>
      <c r="CH6" s="3" t="s">
        <v>69</v>
      </c>
      <c r="CI6" s="3"/>
      <c r="CJ6" s="3" t="s">
        <v>71</v>
      </c>
      <c r="CK6" s="3" t="s">
        <v>71</v>
      </c>
      <c r="CL6" s="3" t="s">
        <v>72</v>
      </c>
      <c r="CM6" s="3" t="s">
        <v>73</v>
      </c>
      <c r="CN6" s="3" t="s">
        <v>517</v>
      </c>
      <c r="CO6" s="3" t="s">
        <v>74</v>
      </c>
      <c r="CP6" s="3" t="s">
        <v>531</v>
      </c>
      <c r="CQ6" s="3" t="s">
        <v>532</v>
      </c>
      <c r="CR6" s="3" t="s">
        <v>1298</v>
      </c>
      <c r="CS6" s="3"/>
      <c r="CT6" s="3"/>
      <c r="CU6" s="3" t="s">
        <v>534</v>
      </c>
      <c r="CW6" s="3"/>
      <c r="CX6" s="3" t="s">
        <v>426</v>
      </c>
      <c r="CY6" s="3" t="s">
        <v>295</v>
      </c>
      <c r="CZ6" s="3" t="s">
        <v>1133</v>
      </c>
      <c r="DA6" s="3" t="s">
        <v>476</v>
      </c>
      <c r="DB6" s="3" t="s">
        <v>21</v>
      </c>
      <c r="DC6" s="3" t="s">
        <v>1188</v>
      </c>
      <c r="DD6" s="3" t="s">
        <v>1189</v>
      </c>
      <c r="DE6" s="3" t="s">
        <v>2343</v>
      </c>
      <c r="DF6" s="3" t="s">
        <v>365</v>
      </c>
      <c r="DG6" s="3" t="s">
        <v>20</v>
      </c>
      <c r="DH6" s="3" t="s">
        <v>32</v>
      </c>
      <c r="DI6" s="3" t="s">
        <v>781</v>
      </c>
      <c r="DJ6" s="3" t="s">
        <v>782</v>
      </c>
      <c r="DK6" s="3" t="s">
        <v>1129</v>
      </c>
      <c r="DL6" s="3" t="s">
        <v>1130</v>
      </c>
      <c r="DM6" s="3" t="s">
        <v>1134</v>
      </c>
      <c r="DN6" s="3" t="s">
        <v>1132</v>
      </c>
      <c r="DO6" s="3" t="s">
        <v>791</v>
      </c>
      <c r="DP6" s="3" t="s">
        <v>1627</v>
      </c>
      <c r="DQ6" s="3" t="s">
        <v>1297</v>
      </c>
      <c r="DR6" s="3"/>
      <c r="DS6" s="3"/>
      <c r="DT6" s="3"/>
      <c r="DV6" s="3"/>
      <c r="DW6" s="3" t="s">
        <v>1135</v>
      </c>
      <c r="DX6" s="3"/>
      <c r="DY6" s="3"/>
      <c r="DZ6" s="3" t="s">
        <v>535</v>
      </c>
      <c r="EC6" s="3" t="s">
        <v>2433</v>
      </c>
      <c r="ED6" s="3"/>
      <c r="EE6" s="3" t="s">
        <v>13</v>
      </c>
      <c r="EF6" s="3"/>
      <c r="EG6" s="6" t="s">
        <v>901</v>
      </c>
    </row>
    <row r="7" spans="1:138" ht="15.75">
      <c r="A7" s="1"/>
      <c r="B7" s="1"/>
      <c r="C7" s="1"/>
      <c r="D7" s="3" t="s">
        <v>890</v>
      </c>
      <c r="E7" s="3" t="s">
        <v>835</v>
      </c>
      <c r="F7" s="3" t="s">
        <v>14</v>
      </c>
      <c r="G7" s="3" t="s">
        <v>14</v>
      </c>
      <c r="H7" s="3" t="s">
        <v>1382</v>
      </c>
      <c r="I7" s="3" t="s">
        <v>1298</v>
      </c>
      <c r="J7" s="3" t="s">
        <v>1020</v>
      </c>
      <c r="K7" s="3" t="s">
        <v>70</v>
      </c>
      <c r="L7" s="3" t="s">
        <v>1338</v>
      </c>
      <c r="M7" s="3" t="s">
        <v>535</v>
      </c>
      <c r="N7" s="3" t="s">
        <v>625</v>
      </c>
      <c r="O7" s="3" t="s">
        <v>1383</v>
      </c>
      <c r="P7" s="3" t="s">
        <v>316</v>
      </c>
      <c r="Q7" s="3" t="s">
        <v>1281</v>
      </c>
      <c r="R7" s="3" t="s">
        <v>1385</v>
      </c>
      <c r="S7" s="3" t="s">
        <v>1386</v>
      </c>
      <c r="T7" s="3" t="s">
        <v>1387</v>
      </c>
      <c r="U7" s="3" t="s">
        <v>1298</v>
      </c>
      <c r="V7" s="3" t="s">
        <v>97</v>
      </c>
      <c r="W7" s="3" t="s">
        <v>636</v>
      </c>
      <c r="X7" s="3" t="s">
        <v>250</v>
      </c>
      <c r="Y7" s="3" t="s">
        <v>1003</v>
      </c>
      <c r="Z7" s="3" t="s">
        <v>538</v>
      </c>
      <c r="AA7" s="3" t="s">
        <v>537</v>
      </c>
      <c r="AB7" s="3" t="s">
        <v>1267</v>
      </c>
      <c r="AC7" s="3" t="s">
        <v>1384</v>
      </c>
      <c r="AD7" s="3" t="s">
        <v>1383</v>
      </c>
      <c r="AE7" s="3" t="s">
        <v>836</v>
      </c>
      <c r="AF7" s="3" t="s">
        <v>536</v>
      </c>
      <c r="AG7" s="3" t="s">
        <v>1339</v>
      </c>
      <c r="AH7" s="3" t="s">
        <v>280</v>
      </c>
      <c r="AI7" s="3" t="s">
        <v>1337</v>
      </c>
      <c r="AJ7" s="3" t="s">
        <v>1337</v>
      </c>
      <c r="AK7" s="3" t="s">
        <v>1564</v>
      </c>
      <c r="AL7" s="3" t="s">
        <v>1564</v>
      </c>
      <c r="AM7" s="3" t="s">
        <v>1563</v>
      </c>
      <c r="AN7" s="3" t="s">
        <v>1565</v>
      </c>
      <c r="AO7" s="1061" t="s">
        <v>3023</v>
      </c>
      <c r="AP7" s="136" t="s">
        <v>1578</v>
      </c>
      <c r="AQ7" s="3" t="s">
        <v>1618</v>
      </c>
      <c r="AR7" s="3" t="s">
        <v>553</v>
      </c>
      <c r="AS7" s="3" t="s">
        <v>20</v>
      </c>
      <c r="AT7" s="3" t="s">
        <v>20</v>
      </c>
      <c r="AU7" s="3" t="s">
        <v>1190</v>
      </c>
      <c r="AV7" s="3" t="s">
        <v>761</v>
      </c>
      <c r="AW7" s="274"/>
      <c r="AX7" s="60" t="s">
        <v>327</v>
      </c>
      <c r="AY7" s="3" t="s">
        <v>1384</v>
      </c>
      <c r="AZ7" s="60" t="s">
        <v>837</v>
      </c>
      <c r="BA7" s="60" t="s">
        <v>761</v>
      </c>
      <c r="BB7" s="60" t="s">
        <v>835</v>
      </c>
      <c r="BC7" s="3" t="s">
        <v>856</v>
      </c>
      <c r="BD7" s="6" t="s">
        <v>119</v>
      </c>
      <c r="BE7" s="3"/>
      <c r="BF7" s="3" t="s">
        <v>221</v>
      </c>
      <c r="BG7" s="3" t="s">
        <v>221</v>
      </c>
      <c r="BH7" s="3" t="s">
        <v>65</v>
      </c>
      <c r="BI7" s="3" t="s">
        <v>65</v>
      </c>
      <c r="BJ7" s="3" t="s">
        <v>65</v>
      </c>
      <c r="BK7" s="3" t="s">
        <v>65</v>
      </c>
      <c r="BL7" s="3" t="s">
        <v>1742</v>
      </c>
      <c r="BM7" s="3" t="s">
        <v>65</v>
      </c>
      <c r="BN7" s="3" t="s">
        <v>606</v>
      </c>
      <c r="BO7" s="3"/>
      <c r="BP7" s="3" t="s">
        <v>223</v>
      </c>
      <c r="BQ7" s="3" t="s">
        <v>223</v>
      </c>
      <c r="BR7" s="3" t="s">
        <v>1384</v>
      </c>
      <c r="BS7" s="3" t="s">
        <v>224</v>
      </c>
      <c r="BT7" s="3" t="s">
        <v>224</v>
      </c>
      <c r="BU7" s="3" t="s">
        <v>224</v>
      </c>
      <c r="BV7" s="3" t="s">
        <v>2603</v>
      </c>
      <c r="BW7" s="3" t="s">
        <v>224</v>
      </c>
      <c r="BX7" s="3"/>
      <c r="BY7" s="3" t="s">
        <v>224</v>
      </c>
      <c r="BZ7" s="3" t="s">
        <v>224</v>
      </c>
      <c r="CA7" s="3" t="s">
        <v>540</v>
      </c>
      <c r="CB7" s="3" t="s">
        <v>66</v>
      </c>
      <c r="CC7" s="3" t="s">
        <v>71</v>
      </c>
      <c r="CD7" s="3" t="s">
        <v>194</v>
      </c>
      <c r="CE7" s="3" t="s">
        <v>194</v>
      </c>
      <c r="CF7" s="3" t="s">
        <v>194</v>
      </c>
      <c r="CG7" s="3" t="s">
        <v>194</v>
      </c>
      <c r="CH7" s="3" t="s">
        <v>194</v>
      </c>
      <c r="CI7" s="3"/>
      <c r="CJ7" s="3" t="s">
        <v>540</v>
      </c>
      <c r="CK7" s="3" t="s">
        <v>540</v>
      </c>
      <c r="CL7" s="3" t="s">
        <v>1267</v>
      </c>
      <c r="CM7" s="3" t="s">
        <v>539</v>
      </c>
      <c r="CN7" s="3" t="s">
        <v>1268</v>
      </c>
      <c r="CO7" s="3" t="s">
        <v>222</v>
      </c>
      <c r="CP7" s="3" t="s">
        <v>1269</v>
      </c>
      <c r="CQ7" s="3" t="s">
        <v>1270</v>
      </c>
      <c r="CR7" s="3" t="s">
        <v>1270</v>
      </c>
      <c r="CS7" s="3"/>
      <c r="CT7" s="3"/>
      <c r="CU7" s="3" t="s">
        <v>223</v>
      </c>
      <c r="CW7" s="3" t="s">
        <v>316</v>
      </c>
      <c r="CX7" s="3" t="s">
        <v>586</v>
      </c>
      <c r="CY7" s="3" t="s">
        <v>296</v>
      </c>
      <c r="CZ7" s="3" t="s">
        <v>762</v>
      </c>
      <c r="DA7" s="3" t="s">
        <v>222</v>
      </c>
      <c r="DB7" s="3" t="s">
        <v>590</v>
      </c>
      <c r="DC7" s="3" t="s">
        <v>584</v>
      </c>
      <c r="DD7" s="3" t="s">
        <v>519</v>
      </c>
      <c r="DE7" s="3" t="s">
        <v>584</v>
      </c>
      <c r="DF7" s="3" t="s">
        <v>762</v>
      </c>
      <c r="DG7" s="3" t="s">
        <v>587</v>
      </c>
      <c r="DH7" s="3" t="s">
        <v>586</v>
      </c>
      <c r="DI7" s="3" t="s">
        <v>20</v>
      </c>
      <c r="DJ7" s="3" t="s">
        <v>588</v>
      </c>
      <c r="DK7" s="3" t="s">
        <v>762</v>
      </c>
      <c r="DL7" s="3" t="s">
        <v>589</v>
      </c>
      <c r="DM7" s="3" t="s">
        <v>762</v>
      </c>
      <c r="DN7" s="3" t="s">
        <v>762</v>
      </c>
      <c r="DO7" s="3" t="s">
        <v>1282</v>
      </c>
      <c r="DP7" s="3" t="s">
        <v>1628</v>
      </c>
      <c r="DQ7" s="3" t="s">
        <v>856</v>
      </c>
      <c r="DR7" s="3" t="s">
        <v>585</v>
      </c>
      <c r="DS7" s="3" t="s">
        <v>592</v>
      </c>
      <c r="DT7" s="3" t="s">
        <v>591</v>
      </c>
      <c r="DV7" s="3"/>
      <c r="DW7" s="3" t="s">
        <v>584</v>
      </c>
      <c r="DX7" s="3"/>
      <c r="DY7" s="3"/>
      <c r="DZ7" s="3" t="s">
        <v>584</v>
      </c>
      <c r="EC7" s="3" t="s">
        <v>761</v>
      </c>
      <c r="ED7" s="3"/>
      <c r="EE7" s="3" t="s">
        <v>594</v>
      </c>
      <c r="EF7" s="3"/>
      <c r="EG7" s="6" t="s">
        <v>545</v>
      </c>
    </row>
    <row r="8" spans="1:138" ht="15.75">
      <c r="A8" s="4"/>
      <c r="B8" s="4"/>
      <c r="C8" s="4"/>
      <c r="D8" s="5">
        <v>1</v>
      </c>
      <c r="E8" s="5" t="s">
        <v>516</v>
      </c>
      <c r="F8" s="5">
        <v>201</v>
      </c>
      <c r="G8" s="5">
        <v>202</v>
      </c>
      <c r="H8" s="5">
        <v>203</v>
      </c>
      <c r="I8" s="5">
        <v>204</v>
      </c>
      <c r="J8" s="5">
        <v>211</v>
      </c>
      <c r="K8" s="5">
        <v>215</v>
      </c>
      <c r="L8" s="5">
        <v>216</v>
      </c>
      <c r="M8" s="5">
        <v>218</v>
      </c>
      <c r="N8" s="5">
        <v>220</v>
      </c>
      <c r="O8" s="5">
        <v>221</v>
      </c>
      <c r="P8" s="5">
        <v>2220</v>
      </c>
      <c r="Q8" s="5">
        <v>223</v>
      </c>
      <c r="R8" s="5">
        <v>224</v>
      </c>
      <c r="S8" s="5">
        <v>225</v>
      </c>
      <c r="T8" s="5">
        <v>226</v>
      </c>
      <c r="U8" s="5">
        <v>227</v>
      </c>
      <c r="V8" s="5">
        <v>228</v>
      </c>
      <c r="W8" s="5">
        <v>229</v>
      </c>
      <c r="X8" s="5">
        <v>230</v>
      </c>
      <c r="Y8" s="5">
        <v>231</v>
      </c>
      <c r="Z8" s="5">
        <v>232</v>
      </c>
      <c r="AA8" s="5" t="s">
        <v>2629</v>
      </c>
      <c r="AB8" s="5" t="s">
        <v>2619</v>
      </c>
      <c r="AC8" s="5">
        <v>235</v>
      </c>
      <c r="AD8" s="5">
        <v>236</v>
      </c>
      <c r="AE8" s="5" t="s">
        <v>52</v>
      </c>
      <c r="AF8" s="5">
        <v>240</v>
      </c>
      <c r="AG8" s="5">
        <v>241</v>
      </c>
      <c r="AH8" s="5">
        <v>242</v>
      </c>
      <c r="AI8" s="5">
        <v>243</v>
      </c>
      <c r="AJ8" s="5">
        <v>244</v>
      </c>
      <c r="AK8" s="5">
        <v>247</v>
      </c>
      <c r="AL8" s="5">
        <v>248</v>
      </c>
      <c r="AM8" s="5">
        <v>249</v>
      </c>
      <c r="AN8" s="5">
        <v>250</v>
      </c>
      <c r="AO8" s="1062" t="s">
        <v>3024</v>
      </c>
      <c r="AP8" s="136" t="s">
        <v>1579</v>
      </c>
      <c r="AQ8" s="5">
        <v>253</v>
      </c>
      <c r="AR8" s="5">
        <v>280</v>
      </c>
      <c r="AS8" s="5">
        <v>282</v>
      </c>
      <c r="AT8" s="5">
        <v>283</v>
      </c>
      <c r="AU8" s="5">
        <v>291</v>
      </c>
      <c r="AV8" s="5">
        <v>293</v>
      </c>
      <c r="AW8" s="275"/>
      <c r="AX8" s="5">
        <v>295</v>
      </c>
      <c r="AY8" s="5">
        <v>296</v>
      </c>
      <c r="AZ8" s="61">
        <v>297</v>
      </c>
      <c r="BA8" s="61">
        <v>299</v>
      </c>
      <c r="BB8" s="61" t="s">
        <v>1138</v>
      </c>
      <c r="BC8" s="61" t="s">
        <v>2596</v>
      </c>
      <c r="BD8" s="5"/>
      <c r="BE8" s="5"/>
      <c r="BF8" s="5"/>
      <c r="BG8" s="5"/>
      <c r="BH8" s="5">
        <v>500</v>
      </c>
      <c r="BI8" s="5">
        <v>501</v>
      </c>
      <c r="BJ8" s="5">
        <v>502</v>
      </c>
      <c r="BK8" s="5">
        <v>503</v>
      </c>
      <c r="BL8" s="5">
        <v>504</v>
      </c>
      <c r="BM8" s="5">
        <v>505</v>
      </c>
      <c r="BN8" s="5" t="s">
        <v>2601</v>
      </c>
      <c r="BO8" s="5"/>
      <c r="BP8" s="5"/>
      <c r="BQ8" s="5"/>
      <c r="BR8" s="5">
        <v>550</v>
      </c>
      <c r="BS8" s="5">
        <v>551</v>
      </c>
      <c r="BT8" s="5">
        <v>552</v>
      </c>
      <c r="BU8" s="5">
        <v>553</v>
      </c>
      <c r="BV8" s="5">
        <v>555</v>
      </c>
      <c r="BW8" s="5">
        <v>556</v>
      </c>
      <c r="BX8" s="3"/>
      <c r="BY8" s="5"/>
      <c r="BZ8" s="5"/>
      <c r="CA8" s="5"/>
      <c r="CB8" s="5">
        <v>601</v>
      </c>
      <c r="CC8" s="5">
        <v>602</v>
      </c>
      <c r="CD8" s="5">
        <v>610</v>
      </c>
      <c r="CE8" s="5">
        <v>611</v>
      </c>
      <c r="CF8" s="5">
        <v>612</v>
      </c>
      <c r="CG8" s="5">
        <v>613</v>
      </c>
      <c r="CH8" s="5">
        <v>614</v>
      </c>
      <c r="CI8" s="5"/>
      <c r="CJ8" s="5"/>
      <c r="CK8" s="5"/>
      <c r="CL8" s="5">
        <v>650</v>
      </c>
      <c r="CM8" s="5">
        <v>651</v>
      </c>
      <c r="CN8" s="5">
        <v>652</v>
      </c>
      <c r="CO8" s="5">
        <v>653</v>
      </c>
      <c r="CP8" s="5">
        <v>655</v>
      </c>
      <c r="CQ8" s="5">
        <v>656</v>
      </c>
      <c r="CR8" s="5">
        <v>657</v>
      </c>
      <c r="CS8" s="5"/>
      <c r="CT8" s="5"/>
      <c r="CU8" s="5"/>
      <c r="CW8" s="5">
        <v>691</v>
      </c>
      <c r="CX8" s="5">
        <v>698</v>
      </c>
      <c r="CY8" s="5">
        <v>699</v>
      </c>
      <c r="CZ8" s="5">
        <v>700</v>
      </c>
      <c r="DA8" s="5">
        <v>701</v>
      </c>
      <c r="DB8" s="5">
        <v>703</v>
      </c>
      <c r="DC8" s="5">
        <v>706</v>
      </c>
      <c r="DD8" s="5">
        <v>708</v>
      </c>
      <c r="DE8" s="5">
        <v>709</v>
      </c>
      <c r="DF8" s="5">
        <v>710</v>
      </c>
      <c r="DG8" s="5">
        <v>711</v>
      </c>
      <c r="DH8" s="5">
        <v>712</v>
      </c>
      <c r="DI8" s="5">
        <v>713</v>
      </c>
      <c r="DJ8" s="5">
        <v>714</v>
      </c>
      <c r="DK8" s="5">
        <v>715</v>
      </c>
      <c r="DL8" s="5">
        <v>716</v>
      </c>
      <c r="DM8" s="5">
        <v>717</v>
      </c>
      <c r="DN8" s="5">
        <v>718</v>
      </c>
      <c r="DO8" s="5">
        <v>790</v>
      </c>
      <c r="DP8" s="5">
        <v>793</v>
      </c>
      <c r="DQ8" s="5" t="s">
        <v>1750</v>
      </c>
      <c r="DR8" s="5" t="s">
        <v>157</v>
      </c>
      <c r="DS8" s="5" t="s">
        <v>158</v>
      </c>
      <c r="DT8" s="5" t="s">
        <v>797</v>
      </c>
      <c r="DV8" s="5"/>
      <c r="DW8" s="5"/>
      <c r="DX8" s="5"/>
      <c r="DY8" s="5"/>
      <c r="DZ8" s="5"/>
      <c r="EC8" s="5">
        <v>692</v>
      </c>
      <c r="ED8" s="5"/>
      <c r="EE8" s="5"/>
      <c r="EF8" s="5"/>
    </row>
    <row r="9" spans="1:138" ht="15.75">
      <c r="A9" s="1"/>
      <c r="B9" s="7" t="s">
        <v>596</v>
      </c>
      <c r="C9" s="7"/>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f>+BF12+D12+BP12+BY12-P12</f>
        <v>13205032</v>
      </c>
      <c r="BG9" s="1"/>
      <c r="BH9" s="1"/>
      <c r="BI9" s="1"/>
      <c r="BJ9" s="1"/>
      <c r="BK9" s="1"/>
      <c r="BL9" s="1"/>
      <c r="BM9" s="1"/>
      <c r="BN9" s="1"/>
      <c r="BO9" s="1"/>
      <c r="BP9" s="1"/>
      <c r="BQ9" s="1"/>
      <c r="BR9" s="1"/>
      <c r="BS9" s="1"/>
      <c r="BT9" s="1"/>
      <c r="BX9" s="1"/>
      <c r="BY9" s="1"/>
      <c r="BZ9" s="1"/>
      <c r="CA9" s="1"/>
      <c r="CB9" s="1"/>
      <c r="CC9" s="1"/>
      <c r="CD9" s="1"/>
      <c r="CE9" s="1"/>
      <c r="CF9" s="1"/>
      <c r="CG9" s="1"/>
      <c r="CH9" s="1"/>
      <c r="CI9" s="1"/>
      <c r="CJ9" s="1"/>
      <c r="CK9" s="1"/>
      <c r="CL9" s="1"/>
      <c r="CM9" s="1"/>
      <c r="CN9" s="1"/>
      <c r="CO9" s="1"/>
      <c r="CP9" s="1"/>
      <c r="CQ9" s="1"/>
      <c r="CR9" s="1"/>
      <c r="CS9" s="1"/>
      <c r="CT9" s="1"/>
      <c r="CU9" s="1"/>
      <c r="CW9" s="1"/>
      <c r="CX9" s="1"/>
      <c r="CY9" s="1"/>
      <c r="CZ9" s="1"/>
      <c r="DA9" s="1"/>
      <c r="DB9" s="1"/>
      <c r="DC9" s="1"/>
      <c r="DD9" s="1"/>
      <c r="DE9" s="1"/>
      <c r="DF9" s="1"/>
      <c r="DG9" s="1"/>
      <c r="DH9" s="1"/>
      <c r="DI9" s="1"/>
      <c r="DJ9" s="1"/>
      <c r="DK9" s="1"/>
      <c r="DL9" s="1"/>
      <c r="DM9" s="1"/>
      <c r="DN9" s="1"/>
      <c r="DO9" s="1"/>
      <c r="DP9" s="1"/>
      <c r="DQ9" s="1"/>
      <c r="DR9" s="1"/>
      <c r="DS9" s="1"/>
      <c r="DT9" s="1"/>
      <c r="DV9" s="1"/>
      <c r="DW9" s="1"/>
      <c r="DX9" s="1"/>
      <c r="DY9" s="1"/>
      <c r="DZ9" s="1"/>
      <c r="EC9" s="1"/>
      <c r="ED9" s="1"/>
      <c r="EE9" s="1"/>
      <c r="EF9" s="1"/>
      <c r="EG9" s="1"/>
    </row>
    <row r="10" spans="1:138" ht="15.75">
      <c r="A10" s="1"/>
      <c r="B10" s="1" t="s">
        <v>220</v>
      </c>
      <c r="C10" s="1"/>
      <c r="D10" s="1">
        <f>+'GEN BUDACT'!F20</f>
        <v>8380966</v>
      </c>
      <c r="E10" s="1">
        <f>+'SR BUDACT'!E16</f>
        <v>0</v>
      </c>
      <c r="F10" s="1">
        <f>+'SR BUDACT'!I16</f>
        <v>18860</v>
      </c>
      <c r="G10" s="1">
        <f>+'SR BUDACT'!O16</f>
        <v>277464</v>
      </c>
      <c r="H10" s="1">
        <f>+'SR BUDACT'!S16</f>
        <v>383245</v>
      </c>
      <c r="I10" s="1">
        <f>+'SR BUDACT'!Y16</f>
        <v>118035</v>
      </c>
      <c r="J10" s="1">
        <f>+'SR BUDACT'!AC16</f>
        <v>3527183</v>
      </c>
      <c r="K10" s="1">
        <f>+'SR BUDACT'!AI16</f>
        <v>1627</v>
      </c>
      <c r="L10" s="1">
        <f>+'SR BUDACT'!AM16</f>
        <v>24961</v>
      </c>
      <c r="M10" s="1">
        <f>+'SR BUDACT'!AS16</f>
        <v>1995591</v>
      </c>
      <c r="N10" s="1">
        <f>+'SR BUDACT'!AW16</f>
        <v>164571</v>
      </c>
      <c r="O10" s="1">
        <f>+'SR BUDACT'!BC16</f>
        <v>17904</v>
      </c>
      <c r="P10" s="1">
        <f>+'SR BUDACT'!JB16</f>
        <v>0</v>
      </c>
      <c r="Q10" s="1">
        <f>+'SR BUDACT'!BK16</f>
        <v>1577156</v>
      </c>
      <c r="R10" s="1">
        <f>+'SR BUDACT'!BQ16</f>
        <v>397180</v>
      </c>
      <c r="S10" s="1">
        <f>+'SR BUDACT'!BU16</f>
        <v>870826</v>
      </c>
      <c r="T10" s="1">
        <f>+'SR BUDACT'!CA16</f>
        <v>19</v>
      </c>
      <c r="U10" s="1">
        <f>+'SR BUDACT'!CE16</f>
        <v>1402348</v>
      </c>
      <c r="V10" s="1">
        <f>+'SR BUDACT'!CK16</f>
        <v>182837</v>
      </c>
      <c r="W10" s="1">
        <f>+'SR BUDACT'!CO16</f>
        <v>229335</v>
      </c>
      <c r="X10" s="1">
        <f>+'MAJ GOV BUDACT'!E15</f>
        <v>12219584</v>
      </c>
      <c r="Y10" s="1">
        <f>+'SR BUDACT'!CU16</f>
        <v>0</v>
      </c>
      <c r="Z10" s="1">
        <f>+'SR BUDACT'!CY16</f>
        <v>0</v>
      </c>
      <c r="AA10" s="1">
        <f>+'SR BUDACT'!DE16</f>
        <v>0</v>
      </c>
      <c r="AB10" s="1">
        <f>+'SR BUDACT'!DI16</f>
        <v>4408377</v>
      </c>
      <c r="AC10" s="1">
        <f>+'SR BUDACT'!DO16</f>
        <v>43710</v>
      </c>
      <c r="AD10" s="1">
        <f>+'SR BUDACT'!DS16</f>
        <v>0</v>
      </c>
      <c r="AE10" s="1">
        <f>+'SR BUDACT'!DY16</f>
        <v>0</v>
      </c>
      <c r="AF10" s="1">
        <f>+'SR BUDACT'!EC16</f>
        <v>0</v>
      </c>
      <c r="AG10" s="1">
        <f>+'SR BUDACT'!EI16</f>
        <v>0</v>
      </c>
      <c r="AH10" s="1">
        <f>+'SR BUDACT'!EM16</f>
        <v>0</v>
      </c>
      <c r="AI10" s="1">
        <f>+'SR BUDACT'!ES16</f>
        <v>0</v>
      </c>
      <c r="AJ10" s="1">
        <f>+'SR BUDACT'!EW16</f>
        <v>0</v>
      </c>
      <c r="AK10" s="1">
        <f>+'SR BUDACT'!FC16</f>
        <v>0</v>
      </c>
      <c r="AL10" s="1">
        <f>+'SR BUDACT'!FG16</f>
        <v>0</v>
      </c>
      <c r="AM10" s="1">
        <f>+'SR BUDACT'!FM16</f>
        <v>0</v>
      </c>
      <c r="AN10" s="1">
        <f>+'SR BUDACT'!FQ16</f>
        <v>0</v>
      </c>
      <c r="AO10" s="1">
        <f>+'SR BUDACT'!FW16</f>
        <v>0</v>
      </c>
      <c r="AP10" s="1">
        <f>+'SR BUDACT'!GA16</f>
        <v>0</v>
      </c>
      <c r="AQ10" s="1">
        <f>+'SR BUDACT'!GE16</f>
        <v>0</v>
      </c>
      <c r="AR10" s="1">
        <f>+'SR BUDACT'!GK16</f>
        <v>0</v>
      </c>
      <c r="AS10" s="1">
        <f>+'SR BUDACT'!GP16</f>
        <v>0</v>
      </c>
      <c r="AT10" s="1">
        <f>+'SR BUDACT'!GV16</f>
        <v>0</v>
      </c>
      <c r="AU10" s="1">
        <f>+'SR BUDACT'!GZ16</f>
        <v>0</v>
      </c>
      <c r="AV10" s="1">
        <f>+'SR BUDACT'!HF16</f>
        <v>0</v>
      </c>
      <c r="AW10" s="1"/>
      <c r="AX10" s="1">
        <f>+'SR BUDACT'!HJ16</f>
        <v>0</v>
      </c>
      <c r="AY10" s="1">
        <f>+'SR BUDACT'!HT16</f>
        <v>0</v>
      </c>
      <c r="AZ10" s="1">
        <f>+'SR BUDACT'!HX16</f>
        <v>0</v>
      </c>
      <c r="BA10" s="1">
        <f>+'SR BUDACT'!ID16</f>
        <v>0</v>
      </c>
      <c r="BB10" s="1">
        <f>+'MAJ GOV BUDACT (2)'!E15</f>
        <v>0</v>
      </c>
      <c r="BC10" s="1">
        <f>+'MAJ GOV BUDACT (3)'!E15</f>
        <v>1661096</v>
      </c>
      <c r="BD10" s="1"/>
      <c r="BE10" s="1"/>
      <c r="BF10" s="1">
        <f t="shared" ref="BF10:BF16" si="0">SUM(E10:BE10)</f>
        <v>29521909</v>
      </c>
      <c r="BG10" s="1">
        <f>+BF10-X10-P10-BC10-BB10</f>
        <v>15641229</v>
      </c>
      <c r="BH10" s="1">
        <f>+'DS BUDACT'!D16</f>
        <v>0</v>
      </c>
      <c r="BI10" s="1">
        <f>+'DS BUDACT'!H16</f>
        <v>946730</v>
      </c>
      <c r="BJ10" s="1">
        <f>+'DS BUDACT'!N16</f>
        <v>0</v>
      </c>
      <c r="BK10" s="1">
        <f>+'DS BUDACT'!R16</f>
        <v>0</v>
      </c>
      <c r="BL10" s="1">
        <f>+'DS BUDACT'!W16</f>
        <v>91757</v>
      </c>
      <c r="BM10" s="1">
        <f>+'DS BUDACT'!AC16</f>
        <v>643929</v>
      </c>
      <c r="BN10" s="1">
        <f>+'DS BUDACT'!AI16</f>
        <v>128782</v>
      </c>
      <c r="BO10" s="1"/>
      <c r="BP10" s="1">
        <f>SUM(BH10:BN10)</f>
        <v>1811198</v>
      </c>
      <c r="BQ10" s="1"/>
      <c r="BR10" s="1">
        <f>+'CP BUDACT'!D16</f>
        <v>0</v>
      </c>
      <c r="BS10" s="1">
        <f>+'CP BUDACT'!H16</f>
        <v>0</v>
      </c>
      <c r="BT10" s="1">
        <f>+'CP BUDACT'!M16</f>
        <v>0</v>
      </c>
      <c r="BU10" s="1">
        <f>+'CP BUDACT'!Q16</f>
        <v>0</v>
      </c>
      <c r="BV10" s="1">
        <f>+'CP BUDACT'!V16</f>
        <v>0</v>
      </c>
      <c r="BW10" s="1">
        <f>+'CP BUDACT'!Z16</f>
        <v>0</v>
      </c>
      <c r="BX10" s="3"/>
      <c r="BY10" s="1">
        <f t="shared" ref="BY10:BY16" si="1">SUM(BR10:BX10)</f>
        <v>0</v>
      </c>
      <c r="BZ10" s="1"/>
      <c r="CA10" s="1"/>
      <c r="CB10" s="1">
        <f>SUM('ENIS ER'!D17:D20)</f>
        <v>0</v>
      </c>
      <c r="CC10" s="89">
        <f>+SUM('ENIS ER'!E17:E20)</f>
        <v>551891</v>
      </c>
      <c r="CD10" s="89">
        <f>+SUM('ENIS ER'!F17:F20)-0</f>
        <v>0</v>
      </c>
      <c r="CE10" s="89">
        <f>+SUM('ENIS ER'!G17:G20)-0</f>
        <v>0</v>
      </c>
      <c r="CF10" s="89">
        <f>+SUM('ENIS ER'!H17:H20)-0</f>
        <v>0</v>
      </c>
      <c r="CG10" s="89">
        <f>+SUM('ENIS ER'!I17:I20)-0</f>
        <v>0</v>
      </c>
      <c r="CH10" s="1">
        <f>+SUM('ENIS ER'!J17:J20)-0</f>
        <v>0</v>
      </c>
      <c r="CI10" s="1"/>
      <c r="CJ10" s="1">
        <f t="shared" ref="CJ10:CJ16" si="2">SUM(CB10:CI10)</f>
        <v>551891</v>
      </c>
      <c r="CK10" s="1"/>
      <c r="CL10" s="1">
        <f>+SUM('ENIS ER'!M17:M20)-0</f>
        <v>0</v>
      </c>
      <c r="CM10" s="1">
        <f>+SUM('ENIS ER'!N17:N20)-0</f>
        <v>0</v>
      </c>
      <c r="CN10" s="1">
        <f>+SUM('ENIS ER'!O17:O20)-0</f>
        <v>0</v>
      </c>
      <c r="CO10" s="1">
        <f>+SUM('ENIS ER'!P17:P20)-0</f>
        <v>0</v>
      </c>
      <c r="CP10" s="1">
        <f>+SUM('ENIS ER'!Q17:Q20)-0</f>
        <v>0</v>
      </c>
      <c r="CQ10" s="1">
        <f>+SUM('ENIS ER'!R17:R20)-0</f>
        <v>0</v>
      </c>
      <c r="CR10" s="1">
        <f>+SUM('ENIS ER'!S17:S20)-0</f>
        <v>0</v>
      </c>
      <c r="CS10" s="1"/>
      <c r="CT10" s="1"/>
      <c r="CU10" s="1">
        <f t="shared" ref="CU10:CU16" si="3">SUM(CL10:CT10)</f>
        <v>0</v>
      </c>
      <c r="CW10" s="1">
        <f>SUM('TA IS ER'!B14:B16)</f>
        <v>3882342</v>
      </c>
      <c r="CX10" s="1">
        <f>SUM('TA IS ER'!C14:C16)</f>
        <v>0</v>
      </c>
      <c r="CY10" s="1">
        <f>SUM('TA IS ER'!D14:D16)</f>
        <v>0</v>
      </c>
      <c r="CZ10" s="1">
        <f>SUM('TA IS ER'!E14:E16)</f>
        <v>0</v>
      </c>
      <c r="DA10" s="1">
        <f>SUM('TA IS ER'!F14:F16)</f>
        <v>0</v>
      </c>
      <c r="DB10" s="1">
        <f>SUM('TA IS ER'!G14:G16)</f>
        <v>0</v>
      </c>
      <c r="DC10" s="1">
        <f>SUM('TA IS ER'!H14:H16)</f>
        <v>0</v>
      </c>
      <c r="DD10" s="1">
        <f>SUM('TA IS ER'!I14:I16)</f>
        <v>0</v>
      </c>
      <c r="DE10" s="1">
        <f>SUM('TA IS ER'!J14:J16)</f>
        <v>0</v>
      </c>
      <c r="DF10" s="1">
        <f>SUM('TA IS ER'!K14:K16)</f>
        <v>0</v>
      </c>
      <c r="DG10" s="1">
        <f>SUM('TA IS ER'!L14:L16)</f>
        <v>0</v>
      </c>
      <c r="DH10" s="1">
        <f>SUM('TA IS ER'!M14:M16)</f>
        <v>0</v>
      </c>
      <c r="DI10" s="1">
        <f>SUM('TA IS ER'!N14:N16)</f>
        <v>0</v>
      </c>
      <c r="DJ10" s="1">
        <f>SUM('TA IS ER'!O14:O16)</f>
        <v>0</v>
      </c>
      <c r="DK10" s="1">
        <f>SUM('TA IS ER'!P14:P16)</f>
        <v>0</v>
      </c>
      <c r="DL10" s="1">
        <f>SUM('TA IS ER'!Q14:Q16)</f>
        <v>0</v>
      </c>
      <c r="DM10" s="1">
        <f>SUM('TA IS ER'!R14:R16)</f>
        <v>0</v>
      </c>
      <c r="DN10" s="1">
        <f>SUM('TA IS ER'!S14:S16)</f>
        <v>0</v>
      </c>
      <c r="DO10" s="1">
        <f>SUM('TA IS ER'!T14:T16)</f>
        <v>0</v>
      </c>
      <c r="DP10" s="1">
        <f>SUM('TA IS ER'!U14:U16)</f>
        <v>0</v>
      </c>
      <c r="DQ10" s="1">
        <f>SUM('TA IS ER'!V14:V16)</f>
        <v>3713958</v>
      </c>
      <c r="DR10" s="1">
        <f>SUM('TA IS ER'!W14:W16)</f>
        <v>51684686</v>
      </c>
      <c r="DS10" s="1">
        <f>SUM('TA IS ER'!X14:X16)</f>
        <v>30822691</v>
      </c>
      <c r="DT10" s="1">
        <f>SUM('TA IS ER'!Y14:Y16)</f>
        <v>17381078</v>
      </c>
      <c r="DV10" s="1"/>
      <c r="DW10" s="1">
        <f>SUM(CW10:DV10)</f>
        <v>107484755</v>
      </c>
      <c r="DX10" s="1091" t="s">
        <v>3245</v>
      </c>
      <c r="DY10" s="1"/>
      <c r="DZ10" s="1"/>
      <c r="EC10" s="1"/>
      <c r="ED10" s="1"/>
      <c r="EE10" s="1"/>
      <c r="EF10" s="1"/>
      <c r="EG10" s="1"/>
    </row>
    <row r="11" spans="1:138" ht="15.75">
      <c r="A11" s="1"/>
      <c r="B11" s="1" t="s">
        <v>468</v>
      </c>
      <c r="C11" s="1"/>
      <c r="D11" s="1">
        <f>+'GEN BUDACT'!F27</f>
        <v>264726</v>
      </c>
      <c r="E11" s="1">
        <f>+'SR BUDACT'!E17</f>
        <v>2400</v>
      </c>
      <c r="F11" s="1">
        <f>+'SR BUDACT'!I17</f>
        <v>0</v>
      </c>
      <c r="G11" s="1">
        <f>+'SR BUDACT'!O17</f>
        <v>0</v>
      </c>
      <c r="H11" s="1">
        <f>+'SR BUDACT'!S17</f>
        <v>0</v>
      </c>
      <c r="I11" s="1">
        <f>+'SR BUDACT'!Y17</f>
        <v>0</v>
      </c>
      <c r="J11" s="1">
        <f>+'SR BUDACT'!AC17</f>
        <v>0</v>
      </c>
      <c r="K11" s="1">
        <f>+'SR BUDACT'!AI17</f>
        <v>0</v>
      </c>
      <c r="L11" s="1">
        <f>+'SR BUDACT'!AM17</f>
        <v>0</v>
      </c>
      <c r="M11" s="1">
        <f>+'SR BUDACT'!AS17</f>
        <v>0</v>
      </c>
      <c r="N11" s="1">
        <f>+'SR BUDACT'!AW17</f>
        <v>0</v>
      </c>
      <c r="O11" s="1">
        <f>+'SR BUDACT'!BC17</f>
        <v>0</v>
      </c>
      <c r="P11" s="1">
        <f>+'SR BUDACT'!JB17</f>
        <v>0</v>
      </c>
      <c r="Q11" s="1">
        <f>+'SR BUDACT'!BK17</f>
        <v>0</v>
      </c>
      <c r="R11" s="1">
        <f>+'SR BUDACT'!BQ17</f>
        <v>0</v>
      </c>
      <c r="S11" s="1">
        <f>+'SR BUDACT'!BU17</f>
        <v>0</v>
      </c>
      <c r="T11" s="1">
        <f>+'SR BUDACT'!CA17</f>
        <v>0</v>
      </c>
      <c r="U11" s="1">
        <f>+'SR BUDACT'!CE17</f>
        <v>0</v>
      </c>
      <c r="V11" s="1">
        <f>+'SR BUDACT'!CK17</f>
        <v>0</v>
      </c>
      <c r="W11" s="1">
        <f>+'SR BUDACT'!CO17</f>
        <v>0</v>
      </c>
      <c r="X11" s="1">
        <f>+'MAJ GOV BUDACT'!E16</f>
        <v>2170</v>
      </c>
      <c r="Y11" s="1">
        <f>+'SR BUDACT'!CU17</f>
        <v>0</v>
      </c>
      <c r="Z11" s="1">
        <f>+'SR BUDACT'!CY17</f>
        <v>0</v>
      </c>
      <c r="AA11" s="1">
        <f>+'SR BUDACT'!DE17</f>
        <v>0</v>
      </c>
      <c r="AB11" s="1">
        <f>+'SR BUDACT'!DI17</f>
        <v>0</v>
      </c>
      <c r="AC11" s="1">
        <f>+'SR BUDACT'!DO17</f>
        <v>0</v>
      </c>
      <c r="AD11" s="1">
        <f>+'SR BUDACT'!DS17</f>
        <v>0</v>
      </c>
      <c r="AE11" s="1">
        <f>+'SR BUDACT'!DY17</f>
        <v>0</v>
      </c>
      <c r="AF11" s="1">
        <f>+'SR BUDACT'!EC17</f>
        <v>0</v>
      </c>
      <c r="AG11" s="1">
        <f>+'SR BUDACT'!EI17</f>
        <v>0</v>
      </c>
      <c r="AH11" s="1">
        <f>+'SR BUDACT'!EM17</f>
        <v>0</v>
      </c>
      <c r="AI11" s="1">
        <f>+'SR BUDACT'!ES17</f>
        <v>0</v>
      </c>
      <c r="AJ11" s="1">
        <f>+'SR BUDACT'!EW17</f>
        <v>0</v>
      </c>
      <c r="AK11" s="1">
        <f>+'SR BUDACT'!FC17</f>
        <v>0</v>
      </c>
      <c r="AL11" s="1">
        <f>+'SR BUDACT'!FG17</f>
        <v>0</v>
      </c>
      <c r="AM11" s="1">
        <f>+'SR BUDACT'!FM17</f>
        <v>0</v>
      </c>
      <c r="AN11" s="1">
        <f>+'SR BUDACT'!FQ17</f>
        <v>0</v>
      </c>
      <c r="AO11" s="1">
        <f>+'SR BUDACT'!FW17</f>
        <v>0</v>
      </c>
      <c r="AP11" s="1">
        <f>+'SR BUDACT'!GA17</f>
        <v>0</v>
      </c>
      <c r="AQ11" s="1">
        <f>+'SR BUDACT'!GE17</f>
        <v>0</v>
      </c>
      <c r="AR11" s="1">
        <f>+'SR BUDACT'!GK17</f>
        <v>0</v>
      </c>
      <c r="AS11" s="1">
        <f>+'SR BUDACT'!GP17</f>
        <v>0</v>
      </c>
      <c r="AT11" s="1">
        <f>+'SR BUDACT'!GV17</f>
        <v>0</v>
      </c>
      <c r="AU11" s="1">
        <f>+'SR BUDACT'!GZ17</f>
        <v>0</v>
      </c>
      <c r="AV11" s="1">
        <f>+'SR BUDACT'!HF17</f>
        <v>0</v>
      </c>
      <c r="AW11" s="1"/>
      <c r="AX11" s="1">
        <f>+'SR BUDACT'!HJ17</f>
        <v>0</v>
      </c>
      <c r="AY11" s="1">
        <f>+'SR BUDACT'!HT17</f>
        <v>0</v>
      </c>
      <c r="AZ11" s="1">
        <f>+'SR BUDACT'!HX17</f>
        <v>0</v>
      </c>
      <c r="BA11" s="1">
        <f>+'SR BUDACT'!ID17</f>
        <v>0</v>
      </c>
      <c r="BB11" s="1">
        <f>+'MAJ GOV BUDACT (2)'!E16</f>
        <v>0</v>
      </c>
      <c r="BC11" s="1">
        <f>+'MAJ GOV BUDACT (3)'!E16</f>
        <v>0</v>
      </c>
      <c r="BD11" s="1"/>
      <c r="BE11" s="1"/>
      <c r="BF11" s="1">
        <f t="shared" si="0"/>
        <v>4570</v>
      </c>
      <c r="BG11" s="1">
        <f t="shared" ref="BG11:BG16" si="4">+BF11-X11-P11-BC11-BB11</f>
        <v>2400</v>
      </c>
      <c r="BH11" s="1">
        <f>+'DS BUDACT'!D17</f>
        <v>0</v>
      </c>
      <c r="BI11" s="1">
        <f>+'DS BUDACT'!H17</f>
        <v>0</v>
      </c>
      <c r="BJ11" s="1">
        <f>+'DS BUDACT'!N17</f>
        <v>0</v>
      </c>
      <c r="BK11" s="1">
        <f>+'DS BUDACT'!R17</f>
        <v>0</v>
      </c>
      <c r="BL11" s="1">
        <f>+'DS BUDACT'!W17</f>
        <v>0</v>
      </c>
      <c r="BM11" s="1">
        <f>+'DS BUDACT'!AC17</f>
        <v>0</v>
      </c>
      <c r="BN11" s="1">
        <f>+'DS BUDACT'!AI17</f>
        <v>0</v>
      </c>
      <c r="BO11" s="1"/>
      <c r="BP11" s="1">
        <f t="shared" ref="BP11:BP16" si="5">SUM(BH11:BN11)</f>
        <v>0</v>
      </c>
      <c r="BQ11" s="1"/>
      <c r="BR11" s="1">
        <f>+'CP BUDACT'!D17</f>
        <v>0</v>
      </c>
      <c r="BS11" s="1">
        <f>+'CP BUDACT'!H17</f>
        <v>0</v>
      </c>
      <c r="BT11" s="1">
        <f>+'CP BUDACT'!M17</f>
        <v>0</v>
      </c>
      <c r="BU11" s="1">
        <f>+'CP BUDACT'!Q17</f>
        <v>0</v>
      </c>
      <c r="BV11" s="1">
        <f>+'CP BUDACT'!V17</f>
        <v>0</v>
      </c>
      <c r="BW11" s="1">
        <f>+'CP BUDACT'!Z17</f>
        <v>0</v>
      </c>
      <c r="BX11" s="3"/>
      <c r="BY11" s="1">
        <f t="shared" si="1"/>
        <v>0</v>
      </c>
      <c r="BZ11" s="1"/>
      <c r="CA11" s="1"/>
      <c r="CB11" s="1">
        <f>SUM('ENIS ER'!D22:D24)</f>
        <v>0</v>
      </c>
      <c r="CC11" s="89">
        <f>+SUM('ENIS ER'!E22:E24)</f>
        <v>0</v>
      </c>
      <c r="CD11" s="89">
        <f>+SUM('ENIS ER'!F22:F24)</f>
        <v>0</v>
      </c>
      <c r="CE11" s="89">
        <f>+SUM('ENIS ER'!G22:G24)</f>
        <v>0</v>
      </c>
      <c r="CF11" s="89">
        <f>+SUM('ENIS ER'!H22:H24)</f>
        <v>0</v>
      </c>
      <c r="CG11" s="89">
        <f>+SUM('ENIS ER'!I22:I24)</f>
        <v>0</v>
      </c>
      <c r="CH11" s="1">
        <f>+SUM('ENIS ER'!J22:J24)</f>
        <v>0</v>
      </c>
      <c r="CI11" s="1"/>
      <c r="CJ11" s="1">
        <f t="shared" si="2"/>
        <v>0</v>
      </c>
      <c r="CK11" s="1"/>
      <c r="CL11" s="1">
        <f>+SUM('ENIS ER'!M22:M24)</f>
        <v>0</v>
      </c>
      <c r="CM11" s="1">
        <f>+SUM('ENIS ER'!N22:N24)</f>
        <v>0</v>
      </c>
      <c r="CN11" s="1">
        <f>+SUM('ENIS ER'!O22:O24)</f>
        <v>0</v>
      </c>
      <c r="CO11" s="1">
        <f>+SUM('ENIS ER'!P22:P24)</f>
        <v>0</v>
      </c>
      <c r="CP11" s="1">
        <f>+SUM('ENIS ER'!Q22:Q24)</f>
        <v>0</v>
      </c>
      <c r="CQ11" s="1">
        <f>+SUM('ENIS ER'!R22:R24)</f>
        <v>0</v>
      </c>
      <c r="CR11" s="1">
        <f>+SUM('ENIS ER'!S22:S24)</f>
        <v>0</v>
      </c>
      <c r="CS11" s="1"/>
      <c r="CT11" s="1"/>
      <c r="CU11" s="1">
        <f t="shared" si="3"/>
        <v>0</v>
      </c>
      <c r="CW11" s="1"/>
      <c r="CX11" s="1"/>
      <c r="CY11" s="1"/>
      <c r="CZ11" s="1"/>
      <c r="DA11" s="1"/>
      <c r="DB11" s="1"/>
      <c r="DC11" s="1"/>
      <c r="DD11" s="1"/>
      <c r="DE11" s="1"/>
      <c r="DF11" s="1"/>
      <c r="DG11" s="1"/>
      <c r="DH11" s="1"/>
      <c r="DI11" s="1"/>
      <c r="DJ11" s="1"/>
      <c r="DK11" s="1"/>
      <c r="DL11" s="1"/>
      <c r="DM11" s="1"/>
      <c r="DN11" s="1"/>
      <c r="DO11" s="1"/>
      <c r="DP11" s="1"/>
      <c r="DQ11" s="1"/>
      <c r="DR11" s="1"/>
      <c r="DS11" s="1"/>
      <c r="DT11" s="1"/>
      <c r="DV11" s="1"/>
      <c r="DW11" s="1">
        <f t="shared" ref="DW11:DW16" si="6">SUM(CW11:DV11)</f>
        <v>0</v>
      </c>
      <c r="DX11" s="1091" t="s">
        <v>3244</v>
      </c>
      <c r="DY11" s="1"/>
      <c r="DZ11" s="1"/>
      <c r="EC11" s="824"/>
      <c r="ED11" s="817" t="s">
        <v>2422</v>
      </c>
      <c r="EE11" s="1"/>
      <c r="EF11" s="1"/>
      <c r="EG11" s="1"/>
    </row>
    <row r="12" spans="1:138" ht="15.75">
      <c r="A12" s="1"/>
      <c r="B12" s="1" t="s">
        <v>444</v>
      </c>
      <c r="C12" s="1"/>
      <c r="D12" s="1">
        <f>+'GEN BUDACT'!F46</f>
        <v>4160809</v>
      </c>
      <c r="E12" s="1">
        <f>+'SR BUDACT'!E18</f>
        <v>1556090</v>
      </c>
      <c r="F12" s="1">
        <f>+'SR BUDACT'!I18</f>
        <v>0</v>
      </c>
      <c r="G12" s="1">
        <f>+'SR BUDACT'!O18</f>
        <v>0</v>
      </c>
      <c r="H12" s="1">
        <f>+'SR BUDACT'!S18</f>
        <v>0</v>
      </c>
      <c r="I12" s="1">
        <f>+'SR BUDACT'!Y18</f>
        <v>392971</v>
      </c>
      <c r="J12" s="1">
        <f>+'SR BUDACT'!AC18</f>
        <v>1045460</v>
      </c>
      <c r="K12" s="1">
        <f>+'SR BUDACT'!AI18</f>
        <v>0</v>
      </c>
      <c r="L12" s="1">
        <f>+'SR BUDACT'!AM18</f>
        <v>0</v>
      </c>
      <c r="M12" s="1">
        <f>+'SR BUDACT'!AS18</f>
        <v>70177</v>
      </c>
      <c r="N12" s="1">
        <f>+'SR BUDACT'!AW18</f>
        <v>10660</v>
      </c>
      <c r="O12" s="1">
        <f>+'SR BUDACT'!BC18</f>
        <v>1076</v>
      </c>
      <c r="P12" s="1">
        <f>+'SR BUDACT'!JB18</f>
        <v>0</v>
      </c>
      <c r="Q12" s="1">
        <f>+'SR BUDACT'!BK18</f>
        <v>0</v>
      </c>
      <c r="R12" s="1">
        <f>+'SR BUDACT'!BQ18</f>
        <v>26509</v>
      </c>
      <c r="S12" s="1">
        <f>+'SR BUDACT'!BU18</f>
        <v>42913</v>
      </c>
      <c r="T12" s="1">
        <f>+'SR BUDACT'!CA18</f>
        <v>0</v>
      </c>
      <c r="U12" s="1">
        <f>+'SR BUDACT'!CE18</f>
        <v>472557</v>
      </c>
      <c r="V12" s="1">
        <f>+'SR BUDACT'!CK18</f>
        <v>0</v>
      </c>
      <c r="W12" s="1">
        <f>+'SR BUDACT'!CO18</f>
        <v>0</v>
      </c>
      <c r="X12" s="1">
        <f>+'MAJ GOV BUDACT'!E17</f>
        <v>1076390</v>
      </c>
      <c r="Y12" s="1">
        <f>+'SR BUDACT'!CU18</f>
        <v>0</v>
      </c>
      <c r="Z12" s="1">
        <f>+'SR BUDACT'!CY18</f>
        <v>4490</v>
      </c>
      <c r="AA12" s="1">
        <f>+'SR BUDACT'!DE18</f>
        <v>0</v>
      </c>
      <c r="AB12" s="1">
        <f>+'SR BUDACT'!DI18</f>
        <v>452442</v>
      </c>
      <c r="AC12" s="1">
        <f>+'SR BUDACT'!DO18</f>
        <v>0</v>
      </c>
      <c r="AD12" s="1">
        <f>+'SR BUDACT'!DS18</f>
        <v>0</v>
      </c>
      <c r="AE12" s="1">
        <f>+'SR BUDACT'!DY18</f>
        <v>25558</v>
      </c>
      <c r="AF12" s="1">
        <f>+'SR BUDACT'!EC18</f>
        <v>0</v>
      </c>
      <c r="AG12" s="1">
        <f>+'SR BUDACT'!EI18</f>
        <v>0</v>
      </c>
      <c r="AH12" s="1">
        <f>+'SR BUDACT'!EM18</f>
        <v>0</v>
      </c>
      <c r="AI12" s="1">
        <f>+'SR BUDACT'!ES18</f>
        <v>0</v>
      </c>
      <c r="AJ12" s="1">
        <f>+'SR BUDACT'!EW18</f>
        <v>0</v>
      </c>
      <c r="AK12" s="1">
        <f>+'SR BUDACT'!FC18</f>
        <v>0</v>
      </c>
      <c r="AL12" s="1">
        <f>+'SR BUDACT'!FG18</f>
        <v>0</v>
      </c>
      <c r="AM12" s="1">
        <f>+'SR BUDACT'!FM18</f>
        <v>0</v>
      </c>
      <c r="AN12" s="1">
        <f>+'SR BUDACT'!FQ18</f>
        <v>0</v>
      </c>
      <c r="AO12" s="1">
        <f>+'SR BUDACT'!FW18</f>
        <v>0</v>
      </c>
      <c r="AP12" s="1">
        <f>+'SR BUDACT'!GA18</f>
        <v>0</v>
      </c>
      <c r="AQ12" s="1">
        <f>+'SR BUDACT'!GE18</f>
        <v>0</v>
      </c>
      <c r="AR12" s="1">
        <f>+'SR BUDACT'!GK18</f>
        <v>235770</v>
      </c>
      <c r="AS12" s="1">
        <f>+'SR BUDACT'!GP18</f>
        <v>272779</v>
      </c>
      <c r="AT12" s="1">
        <f>+'SR BUDACT'!GV18</f>
        <v>338610</v>
      </c>
      <c r="AU12" s="1">
        <f>+'SR BUDACT'!GZ18</f>
        <v>310691</v>
      </c>
      <c r="AV12" s="1">
        <f>+'SR BUDACT'!HF18</f>
        <v>0</v>
      </c>
      <c r="AW12" s="1"/>
      <c r="AX12" s="1">
        <f>+'SR BUDACT'!HJ18</f>
        <v>100801</v>
      </c>
      <c r="AY12" s="1">
        <f>+'SR BUDACT'!HT18</f>
        <v>0</v>
      </c>
      <c r="AZ12" s="1">
        <f>+'SR BUDACT'!HX18</f>
        <v>9352</v>
      </c>
      <c r="BA12" s="1">
        <f>+'SR BUDACT'!ID18</f>
        <v>104225</v>
      </c>
      <c r="BB12" s="1">
        <f>+'MAJ GOV BUDACT (2)'!E17</f>
        <v>2480548</v>
      </c>
      <c r="BC12" s="1">
        <f>+'MAJ GOV BUDACT (3)'!E17</f>
        <v>895</v>
      </c>
      <c r="BD12" s="1"/>
      <c r="BE12" s="1"/>
      <c r="BF12" s="1">
        <f t="shared" si="0"/>
        <v>9030964</v>
      </c>
      <c r="BG12" s="1">
        <f t="shared" si="4"/>
        <v>5473131</v>
      </c>
      <c r="BH12" s="1">
        <f>+'DS BUDACT'!D18</f>
        <v>0</v>
      </c>
      <c r="BI12" s="1">
        <f>+'DS BUDACT'!H18</f>
        <v>0</v>
      </c>
      <c r="BJ12" s="1">
        <f>+'DS BUDACT'!N18</f>
        <v>0</v>
      </c>
      <c r="BK12" s="1">
        <f>+'DS BUDACT'!R18</f>
        <v>0</v>
      </c>
      <c r="BL12" s="1">
        <f>+'DS BUDACT'!W18</f>
        <v>0</v>
      </c>
      <c r="BM12" s="1">
        <f>+'DS BUDACT'!AC18</f>
        <v>0</v>
      </c>
      <c r="BN12" s="1">
        <f>+'DS BUDACT'!AI18</f>
        <v>0</v>
      </c>
      <c r="BO12" s="1"/>
      <c r="BP12" s="1">
        <f t="shared" si="5"/>
        <v>0</v>
      </c>
      <c r="BQ12" s="1"/>
      <c r="BR12" s="1">
        <f>+'CP BUDACT'!D18</f>
        <v>0</v>
      </c>
      <c r="BS12" s="1">
        <f>+'CP BUDACT'!H18</f>
        <v>0</v>
      </c>
      <c r="BT12" s="1">
        <f>+'CP BUDACT'!M18</f>
        <v>0</v>
      </c>
      <c r="BU12" s="1">
        <f>+'CP BUDACT'!Q18</f>
        <v>0</v>
      </c>
      <c r="BV12" s="1">
        <f>+'CP BUDACT'!V18</f>
        <v>0</v>
      </c>
      <c r="BW12" s="1">
        <f>+'CP BUDACT'!Z18</f>
        <v>13259</v>
      </c>
      <c r="BX12" s="3"/>
      <c r="BY12" s="1">
        <f t="shared" si="1"/>
        <v>13259</v>
      </c>
      <c r="BZ12" s="1"/>
      <c r="CA12" s="1"/>
      <c r="CB12" s="1">
        <f>SUM('ENIS ER'!D26:D40)</f>
        <v>0</v>
      </c>
      <c r="CC12" s="89">
        <f>+SUM('ENIS ER'!E26:E40)</f>
        <v>19350</v>
      </c>
      <c r="CD12" s="89">
        <f>+SUM('ENIS ER'!F26:F40)</f>
        <v>0</v>
      </c>
      <c r="CE12" s="89">
        <f>+SUM('ENIS ER'!G26:G40)</f>
        <v>0</v>
      </c>
      <c r="CF12" s="89">
        <f>+SUM('ENIS ER'!H26:H40)</f>
        <v>0</v>
      </c>
      <c r="CG12" s="89">
        <f>+SUM('ENIS ER'!I26:I40)</f>
        <v>0</v>
      </c>
      <c r="CH12" s="1">
        <f>+SUM('ENIS ER'!J26:J40)</f>
        <v>0</v>
      </c>
      <c r="CI12" s="1"/>
      <c r="CJ12" s="1">
        <f t="shared" si="2"/>
        <v>19350</v>
      </c>
      <c r="CK12" s="1"/>
      <c r="CL12" s="1">
        <f>+SUM('ENIS ER'!M26:M40)</f>
        <v>0</v>
      </c>
      <c r="CM12" s="1">
        <f>+SUM('ENIS ER'!N26:N40)</f>
        <v>0</v>
      </c>
      <c r="CN12" s="1">
        <f>+SUM('ENIS ER'!O26:O40)</f>
        <v>0</v>
      </c>
      <c r="CO12" s="1">
        <f>+SUM('ENIS ER'!P26:P40)</f>
        <v>0</v>
      </c>
      <c r="CP12" s="1">
        <f>+SUM('ENIS ER'!Q26:Q40)</f>
        <v>0</v>
      </c>
      <c r="CQ12" s="1">
        <f>+SUM('ENIS ER'!R26:R40)</f>
        <v>0</v>
      </c>
      <c r="CR12" s="1">
        <f>+SUM('ENIS ER'!S26:S40)</f>
        <v>0</v>
      </c>
      <c r="CS12" s="1"/>
      <c r="CT12" s="1"/>
      <c r="CU12" s="1">
        <f t="shared" si="3"/>
        <v>0</v>
      </c>
      <c r="CW12" s="1">
        <f>SUM('TA IS ER'!B23:B36)</f>
        <v>235343</v>
      </c>
      <c r="CX12" s="1">
        <f>SUM('TA IS ER'!C23:C36)</f>
        <v>0</v>
      </c>
      <c r="CY12" s="1">
        <f>SUM('TA IS ER'!D23:D36)</f>
        <v>0</v>
      </c>
      <c r="CZ12" s="1">
        <f>SUM('TA IS ER'!E23:E36)</f>
        <v>0</v>
      </c>
      <c r="DA12" s="1">
        <f>SUM('TA IS ER'!F23:F36)</f>
        <v>0</v>
      </c>
      <c r="DB12" s="1">
        <f>SUM('TA IS ER'!G23:G36)</f>
        <v>0</v>
      </c>
      <c r="DC12" s="1">
        <f>SUM('TA IS ER'!H23:H36)</f>
        <v>0</v>
      </c>
      <c r="DD12" s="1">
        <f>SUM('TA IS ER'!I23:I36)</f>
        <v>0</v>
      </c>
      <c r="DE12" s="1">
        <f>SUM('TA IS ER'!J23:J36)</f>
        <v>0</v>
      </c>
      <c r="DF12" s="1">
        <f>SUM('TA IS ER'!K23:K36)</f>
        <v>0</v>
      </c>
      <c r="DG12" s="1">
        <f>SUM('TA IS ER'!L23:L36)</f>
        <v>0</v>
      </c>
      <c r="DH12" s="1">
        <f>SUM('TA IS ER'!M23:M36)</f>
        <v>0</v>
      </c>
      <c r="DI12" s="1">
        <f>SUM('TA IS ER'!N23:N36)</f>
        <v>0</v>
      </c>
      <c r="DJ12" s="1">
        <f>SUM('TA IS ER'!O23:O36)</f>
        <v>0</v>
      </c>
      <c r="DK12" s="1">
        <f>SUM('TA IS ER'!P23:P36)</f>
        <v>0</v>
      </c>
      <c r="DL12" s="1">
        <f>SUM('TA IS ER'!Q23:Q36)</f>
        <v>0</v>
      </c>
      <c r="DM12" s="1">
        <f>SUM('TA IS ER'!R23:R36)</f>
        <v>0</v>
      </c>
      <c r="DN12" s="1">
        <f>SUM('TA IS ER'!S23:S36)</f>
        <v>0</v>
      </c>
      <c r="DO12" s="1">
        <f>SUM('TA IS ER'!T23:T36)</f>
        <v>0</v>
      </c>
      <c r="DP12" s="1">
        <f>SUM('TA IS ER'!U23:U36)</f>
        <v>0</v>
      </c>
      <c r="DQ12" s="1">
        <f>SUM('TA IS ER'!V23:V36)</f>
        <v>151548</v>
      </c>
      <c r="DR12" s="1">
        <f>SUM('TA IS ER'!W23:W36)</f>
        <v>0</v>
      </c>
      <c r="DS12" s="1">
        <f>SUM('TA IS ER'!X23:X36)</f>
        <v>0</v>
      </c>
      <c r="DT12" s="1">
        <f>SUM('TA IS ER'!Y23:Y36)</f>
        <v>0</v>
      </c>
      <c r="DV12" s="1"/>
      <c r="DW12" s="1">
        <f t="shared" si="6"/>
        <v>386891</v>
      </c>
      <c r="DX12" s="1091" t="s">
        <v>3109</v>
      </c>
      <c r="DY12" s="1"/>
      <c r="DZ12" s="1"/>
      <c r="EC12" s="88">
        <v>0</v>
      </c>
      <c r="ED12" s="253" t="s">
        <v>2977</v>
      </c>
      <c r="EE12" s="1"/>
      <c r="EF12" s="1"/>
      <c r="EG12" s="1"/>
    </row>
    <row r="13" spans="1:138" ht="15.75">
      <c r="A13" s="1"/>
      <c r="B13" s="1" t="s">
        <v>445</v>
      </c>
      <c r="C13" s="1"/>
      <c r="D13" s="1">
        <f>+'GEN BUDACT'!F62</f>
        <v>1289265</v>
      </c>
      <c r="E13" s="1">
        <f>+'SR BUDACT'!E19</f>
        <v>22930</v>
      </c>
      <c r="F13" s="1">
        <f>+'SR BUDACT'!I19</f>
        <v>0</v>
      </c>
      <c r="G13" s="1">
        <f>+'SR BUDACT'!O19</f>
        <v>0</v>
      </c>
      <c r="H13" s="1">
        <f>+'SR BUDACT'!S19</f>
        <v>1980</v>
      </c>
      <c r="I13" s="1">
        <f>+'SR BUDACT'!Y19</f>
        <v>0</v>
      </c>
      <c r="J13" s="1">
        <f>+'SR BUDACT'!AC19</f>
        <v>93219</v>
      </c>
      <c r="K13" s="1">
        <f>+'SR BUDACT'!AI19</f>
        <v>0</v>
      </c>
      <c r="L13" s="1">
        <f>+'SR BUDACT'!AM19</f>
        <v>0</v>
      </c>
      <c r="M13" s="1">
        <f>+'SR BUDACT'!AS19</f>
        <v>79977</v>
      </c>
      <c r="N13" s="1">
        <f>+'SR BUDACT'!AW19</f>
        <v>0</v>
      </c>
      <c r="O13" s="1">
        <f>+'SR BUDACT'!BC19</f>
        <v>0</v>
      </c>
      <c r="P13" s="1">
        <f>+'SR BUDACT'!JB19</f>
        <v>0</v>
      </c>
      <c r="Q13" s="1">
        <f>+'SR BUDACT'!BK19</f>
        <v>0</v>
      </c>
      <c r="R13" s="1">
        <f>+'SR BUDACT'!BQ19</f>
        <v>31719</v>
      </c>
      <c r="S13" s="1">
        <f>+'SR BUDACT'!BU19</f>
        <v>13949</v>
      </c>
      <c r="T13" s="1">
        <f>+'SR BUDACT'!CA19</f>
        <v>0</v>
      </c>
      <c r="U13" s="1">
        <f>+'SR BUDACT'!CE19</f>
        <v>630381</v>
      </c>
      <c r="V13" s="1">
        <f>+'SR BUDACT'!CK19</f>
        <v>0</v>
      </c>
      <c r="W13" s="1">
        <f>+'SR BUDACT'!CO19</f>
        <v>3085</v>
      </c>
      <c r="X13" s="1">
        <f>+'MAJ GOV BUDACT'!E18</f>
        <v>738985</v>
      </c>
      <c r="Y13" s="1">
        <f>+'SR BUDACT'!CU19</f>
        <v>0</v>
      </c>
      <c r="Z13" s="1">
        <f>+'SR BUDACT'!CY19</f>
        <v>141202</v>
      </c>
      <c r="AA13" s="1">
        <f>+'SR BUDACT'!DE19</f>
        <v>94970</v>
      </c>
      <c r="AB13" s="1">
        <f>+'SR BUDACT'!DI19</f>
        <v>0</v>
      </c>
      <c r="AC13" s="1">
        <f>+'SR BUDACT'!DO19</f>
        <v>0</v>
      </c>
      <c r="AD13" s="1">
        <f>+'SR BUDACT'!DS19</f>
        <v>0</v>
      </c>
      <c r="AE13" s="1">
        <f>+'SR BUDACT'!DY19</f>
        <v>0</v>
      </c>
      <c r="AF13" s="1">
        <f>+'SR BUDACT'!EC19</f>
        <v>0</v>
      </c>
      <c r="AG13" s="1">
        <f>+'SR BUDACT'!EI19</f>
        <v>0</v>
      </c>
      <c r="AH13" s="1">
        <f>+'SR BUDACT'!EM19</f>
        <v>0</v>
      </c>
      <c r="AI13" s="1">
        <f>+'SR BUDACT'!ES19</f>
        <v>0</v>
      </c>
      <c r="AJ13" s="1">
        <f>+'SR BUDACT'!EW19</f>
        <v>0</v>
      </c>
      <c r="AK13" s="1">
        <f>+'SR BUDACT'!FC19</f>
        <v>28621</v>
      </c>
      <c r="AL13" s="1">
        <f>+'SR BUDACT'!FG19</f>
        <v>184447</v>
      </c>
      <c r="AM13" s="1">
        <f>+'SR BUDACT'!FM19</f>
        <v>14954</v>
      </c>
      <c r="AN13" s="89">
        <f>+'SR BUDACT'!FQ19</f>
        <v>27243</v>
      </c>
      <c r="AO13" s="1">
        <f>+'SR BUDACT'!FW19</f>
        <v>0</v>
      </c>
      <c r="AP13" s="1">
        <f>+'SR BUDACT'!GA19</f>
        <v>0</v>
      </c>
      <c r="AQ13" s="1">
        <f>+'SR BUDACT'!GE19</f>
        <v>0</v>
      </c>
      <c r="AR13" s="1">
        <f>+'SR BUDACT'!GK19</f>
        <v>0</v>
      </c>
      <c r="AS13" s="1">
        <f>+'SR BUDACT'!GP19</f>
        <v>0</v>
      </c>
      <c r="AT13" s="1">
        <f>+'SR BUDACT'!GV19</f>
        <v>0</v>
      </c>
      <c r="AU13" s="1">
        <f>+'SR BUDACT'!GZ19</f>
        <v>0</v>
      </c>
      <c r="AV13" s="1">
        <f>+'SR BUDACT'!HF19</f>
        <v>0</v>
      </c>
      <c r="AW13" s="1"/>
      <c r="AX13" s="1">
        <f>+'SR BUDACT'!HJ19</f>
        <v>0</v>
      </c>
      <c r="AY13" s="1">
        <f>+'SR BUDACT'!HT19</f>
        <v>0</v>
      </c>
      <c r="AZ13" s="1">
        <f>+'SR BUDACT'!HX19</f>
        <v>15000</v>
      </c>
      <c r="BA13" s="1">
        <f>+'SR BUDACT'!ID19</f>
        <v>0</v>
      </c>
      <c r="BB13" s="1">
        <f>+'MAJ GOV BUDACT (2)'!E18</f>
        <v>0</v>
      </c>
      <c r="BC13" s="1">
        <f>+'MAJ GOV BUDACT (3)'!E18</f>
        <v>0</v>
      </c>
      <c r="BD13" s="1"/>
      <c r="BE13" s="1"/>
      <c r="BF13" s="1">
        <f t="shared" si="0"/>
        <v>2122662</v>
      </c>
      <c r="BG13" s="1">
        <f t="shared" si="4"/>
        <v>1383677</v>
      </c>
      <c r="BH13" s="1">
        <f>+'DS BUDACT'!D19</f>
        <v>0</v>
      </c>
      <c r="BI13" s="1">
        <f>+'DS BUDACT'!H19</f>
        <v>0</v>
      </c>
      <c r="BJ13" s="1">
        <f>+'DS BUDACT'!N19</f>
        <v>0</v>
      </c>
      <c r="BK13" s="1">
        <f>+'DS BUDACT'!R19</f>
        <v>0</v>
      </c>
      <c r="BL13" s="1">
        <f>+'DS BUDACT'!W19</f>
        <v>0</v>
      </c>
      <c r="BM13" s="1">
        <f>+'DS BUDACT'!AC19</f>
        <v>0</v>
      </c>
      <c r="BN13" s="1">
        <f>+'DS BUDACT'!AI19</f>
        <v>0</v>
      </c>
      <c r="BO13" s="1"/>
      <c r="BP13" s="1">
        <f t="shared" si="5"/>
        <v>0</v>
      </c>
      <c r="BQ13" s="1"/>
      <c r="BR13" s="1">
        <f>+'CP BUDACT'!D19</f>
        <v>0</v>
      </c>
      <c r="BS13" s="1">
        <f>+'CP BUDACT'!H19</f>
        <v>0</v>
      </c>
      <c r="BT13" s="1">
        <f>+'CP BUDACT'!M19</f>
        <v>0</v>
      </c>
      <c r="BU13" s="1">
        <f>+'CP BUDACT'!Q19</f>
        <v>0</v>
      </c>
      <c r="BV13" s="1">
        <f>+'CP BUDACT'!V19</f>
        <v>0</v>
      </c>
      <c r="BW13" s="1">
        <f>+'CP BUDACT'!Z19</f>
        <v>0</v>
      </c>
      <c r="BX13" s="3"/>
      <c r="BY13" s="1">
        <f t="shared" si="1"/>
        <v>0</v>
      </c>
      <c r="BZ13" s="1"/>
      <c r="CA13" s="1"/>
      <c r="CB13" s="1">
        <f>SUM('ENIS ER'!D42:D47)+0</f>
        <v>0</v>
      </c>
      <c r="CC13" s="89">
        <f>SUM('ENIS ER'!E42:E47)+'ENIS ER'!E51+CC201</f>
        <v>1257477</v>
      </c>
      <c r="CD13" s="89">
        <f>SUM('ENIS ER'!F42:F47)+'ENIS ER'!F51+CD201</f>
        <v>129873</v>
      </c>
      <c r="CE13" s="89">
        <f>SUM('ENIS ER'!G42:G47)+'ENIS ER'!G51+CE201</f>
        <v>165220</v>
      </c>
      <c r="CF13" s="89">
        <f>SUM('ENIS ER'!H42:H47)+'ENIS ER'!H51+CF201</f>
        <v>1392910</v>
      </c>
      <c r="CG13" s="89">
        <f>SUM('ENIS ER'!I42:I47)+'ENIS ER'!I51+CG201</f>
        <v>1349538</v>
      </c>
      <c r="CH13" s="1">
        <f>SUM('ENIS ER'!J42:J47)+'ENIS ER'!J51+CH201</f>
        <v>43285</v>
      </c>
      <c r="CI13" s="1"/>
      <c r="CJ13" s="1">
        <f t="shared" si="2"/>
        <v>4338303</v>
      </c>
      <c r="CK13" s="1"/>
      <c r="CL13" s="180">
        <f>SUM('ENIS ER'!M42:M47)</f>
        <v>0</v>
      </c>
      <c r="CM13" s="623">
        <f>SUM('ENIS ER'!N42:N47)+'ENIS ER'!N51+CM201+4859</f>
        <v>554858</v>
      </c>
      <c r="CN13" s="180">
        <f>SUM('ENIS ER'!O42:O47)+'ENIS ER'!O51+CN201</f>
        <v>871228</v>
      </c>
      <c r="CO13" s="180">
        <f>SUM('ENIS ER'!P42:P47)+'ENIS ER'!P51+CO201</f>
        <v>503094</v>
      </c>
      <c r="CP13" s="180">
        <f>SUM('ENIS ER'!Q42:Q47)+'ENIS ER'!Q51+CP201</f>
        <v>2785270</v>
      </c>
      <c r="CQ13" s="180">
        <f>SUM('ENIS ER'!R42:R47)+'ENIS ER'!R51+CQ201</f>
        <v>809227</v>
      </c>
      <c r="CR13" s="180">
        <f>SUM('ENIS ER'!S42:S47)+'ENIS ER'!S51+CR201</f>
        <v>6740589</v>
      </c>
      <c r="CS13" s="1"/>
      <c r="CT13" s="1"/>
      <c r="CU13" s="1">
        <f t="shared" si="3"/>
        <v>12264266</v>
      </c>
      <c r="CW13" s="1"/>
      <c r="CX13" s="1"/>
      <c r="CY13" s="1"/>
      <c r="CZ13" s="1"/>
      <c r="DA13" s="1"/>
      <c r="DB13" s="1"/>
      <c r="DC13" s="1"/>
      <c r="DD13" s="1"/>
      <c r="DE13" s="1"/>
      <c r="DF13" s="1"/>
      <c r="DG13" s="1"/>
      <c r="DH13" s="1"/>
      <c r="DI13" s="1"/>
      <c r="DJ13" s="1"/>
      <c r="DK13" s="1"/>
      <c r="DL13" s="1"/>
      <c r="DM13" s="1"/>
      <c r="DN13" s="1"/>
      <c r="DO13" s="1"/>
      <c r="DP13" s="1"/>
      <c r="DQ13" s="1"/>
      <c r="DR13" s="1"/>
      <c r="DS13" s="1"/>
      <c r="DT13" s="1"/>
      <c r="DV13" s="1"/>
      <c r="DW13" s="1">
        <f t="shared" si="6"/>
        <v>0</v>
      </c>
      <c r="DX13" s="1091" t="s">
        <v>3110</v>
      </c>
      <c r="DY13" s="1"/>
      <c r="DZ13" s="1"/>
      <c r="EC13" s="138">
        <v>0</v>
      </c>
      <c r="ED13" s="120" t="s">
        <v>2018</v>
      </c>
      <c r="EE13" s="1"/>
      <c r="EF13" s="1"/>
      <c r="EG13" s="82">
        <v>1052</v>
      </c>
      <c r="EH13" s="77" t="s">
        <v>3360</v>
      </c>
    </row>
    <row r="14" spans="1:138" ht="15.75">
      <c r="A14" s="1"/>
      <c r="B14" s="1" t="s">
        <v>446</v>
      </c>
      <c r="C14" s="1"/>
      <c r="D14" s="1">
        <f>+'GEN BUDACT'!F69</f>
        <v>36199</v>
      </c>
      <c r="E14" s="1">
        <f>+'SR BUDACT'!E20</f>
        <v>0</v>
      </c>
      <c r="F14" s="1">
        <f>+'SR BUDACT'!I20</f>
        <v>0</v>
      </c>
      <c r="G14" s="1">
        <f>+'SR BUDACT'!O20</f>
        <v>0</v>
      </c>
      <c r="H14" s="1">
        <f>+'SR BUDACT'!S20</f>
        <v>0</v>
      </c>
      <c r="I14" s="1">
        <f>+'SR BUDACT'!Y20</f>
        <v>0</v>
      </c>
      <c r="J14" s="1">
        <f>+'SR BUDACT'!AC20</f>
        <v>0</v>
      </c>
      <c r="K14" s="1">
        <f>+'SR BUDACT'!AI20</f>
        <v>0</v>
      </c>
      <c r="L14" s="1">
        <f>+'SR BUDACT'!AM20</f>
        <v>0</v>
      </c>
      <c r="M14" s="1">
        <f>+'SR BUDACT'!AS20</f>
        <v>18459</v>
      </c>
      <c r="N14" s="1">
        <f>+'SR BUDACT'!AW20</f>
        <v>0</v>
      </c>
      <c r="O14" s="1">
        <f>+'SR BUDACT'!BC20</f>
        <v>0</v>
      </c>
      <c r="P14" s="1">
        <f>+'SR BUDACT'!JB20</f>
        <v>0</v>
      </c>
      <c r="Q14" s="1">
        <f>+'SR BUDACT'!BK20</f>
        <v>0</v>
      </c>
      <c r="R14" s="1">
        <f>+'SR BUDACT'!BQ20</f>
        <v>0</v>
      </c>
      <c r="S14" s="1">
        <f>+'SR BUDACT'!BU20</f>
        <v>0</v>
      </c>
      <c r="T14" s="1">
        <f>+'SR BUDACT'!CA20</f>
        <v>0</v>
      </c>
      <c r="U14" s="1">
        <f>+'SR BUDACT'!CE20</f>
        <v>5165</v>
      </c>
      <c r="V14" s="1">
        <f>+'SR BUDACT'!CK20</f>
        <v>0</v>
      </c>
      <c r="W14" s="1">
        <f>+'SR BUDACT'!CO20</f>
        <v>0</v>
      </c>
      <c r="X14" s="1">
        <f>+'MAJ GOV BUDACT'!E19</f>
        <v>379217</v>
      </c>
      <c r="Y14" s="1">
        <f>+'SR BUDACT'!CU20</f>
        <v>0</v>
      </c>
      <c r="Z14" s="1">
        <f>+'SR BUDACT'!CY20</f>
        <v>4097</v>
      </c>
      <c r="AA14" s="1">
        <f>+'SR BUDACT'!DE20</f>
        <v>0</v>
      </c>
      <c r="AB14" s="1">
        <f>+'SR BUDACT'!DI20</f>
        <v>0</v>
      </c>
      <c r="AC14" s="1">
        <f>+'SR BUDACT'!DO20</f>
        <v>0</v>
      </c>
      <c r="AD14" s="1">
        <f>+'SR BUDACT'!DS20</f>
        <v>0</v>
      </c>
      <c r="AE14" s="1">
        <f>+'SR BUDACT'!DY20</f>
        <v>0</v>
      </c>
      <c r="AF14" s="1">
        <f>+'SR BUDACT'!EC20</f>
        <v>94</v>
      </c>
      <c r="AG14" s="1">
        <f>+'SR BUDACT'!EI20</f>
        <v>18709</v>
      </c>
      <c r="AH14" s="1">
        <f>+'SR BUDACT'!EM20</f>
        <v>0</v>
      </c>
      <c r="AI14" s="1">
        <f>+'SR BUDACT'!ES20</f>
        <v>0</v>
      </c>
      <c r="AJ14" s="1">
        <f>+'SR BUDACT'!EW20</f>
        <v>0</v>
      </c>
      <c r="AK14" s="1">
        <f>+'SR BUDACT'!FC20</f>
        <v>0</v>
      </c>
      <c r="AL14" s="1">
        <f>+'SR BUDACT'!FG20</f>
        <v>0</v>
      </c>
      <c r="AM14" s="1">
        <f>+'SR BUDACT'!FM20</f>
        <v>0</v>
      </c>
      <c r="AN14" s="1">
        <f>+'SR BUDACT'!FQ20</f>
        <v>0</v>
      </c>
      <c r="AO14" s="1">
        <f>+'SR BUDACT'!FW20</f>
        <v>0</v>
      </c>
      <c r="AP14" s="1">
        <f>+'SR BUDACT'!GA20</f>
        <v>0</v>
      </c>
      <c r="AQ14" s="1">
        <f>+'SR BUDACT'!GE20</f>
        <v>0</v>
      </c>
      <c r="AR14" s="1">
        <f>+'SR BUDACT'!GK20</f>
        <v>0</v>
      </c>
      <c r="AS14" s="1">
        <f>+'SR BUDACT'!GP20</f>
        <v>0</v>
      </c>
      <c r="AT14" s="1">
        <f>+'SR BUDACT'!GV20</f>
        <v>0</v>
      </c>
      <c r="AU14" s="1">
        <f>+'SR BUDACT'!GZ20</f>
        <v>0</v>
      </c>
      <c r="AV14" s="1">
        <f>+'SR BUDACT'!HF20</f>
        <v>0</v>
      </c>
      <c r="AW14" s="1"/>
      <c r="AX14" s="1">
        <f>+'SR BUDACT'!HJ20</f>
        <v>0</v>
      </c>
      <c r="AY14" s="1">
        <f>+'SR BUDACT'!HT20</f>
        <v>0</v>
      </c>
      <c r="AZ14" s="1">
        <f>+'SR BUDACT'!HX20</f>
        <v>0</v>
      </c>
      <c r="BA14" s="1">
        <f>+'SR BUDACT'!ID20</f>
        <v>0</v>
      </c>
      <c r="BB14" s="1">
        <f>+'MAJ GOV BUDACT (2)'!E19</f>
        <v>0</v>
      </c>
      <c r="BC14" s="1">
        <f>+'MAJ GOV BUDACT (3)'!E19</f>
        <v>0</v>
      </c>
      <c r="BD14" s="1"/>
      <c r="BE14" s="1"/>
      <c r="BF14" s="1">
        <f t="shared" si="0"/>
        <v>425741</v>
      </c>
      <c r="BG14" s="1">
        <f t="shared" si="4"/>
        <v>46524</v>
      </c>
      <c r="BH14" s="1">
        <f>+'DS BUDACT'!D20</f>
        <v>0</v>
      </c>
      <c r="BI14" s="1">
        <f>+'DS BUDACT'!H20</f>
        <v>0</v>
      </c>
      <c r="BJ14" s="1">
        <f>+'DS BUDACT'!N20</f>
        <v>0</v>
      </c>
      <c r="BK14" s="1">
        <f>+'DS BUDACT'!R20</f>
        <v>0</v>
      </c>
      <c r="BL14" s="1">
        <f>+'DS BUDACT'!W20</f>
        <v>0</v>
      </c>
      <c r="BM14" s="1">
        <f>+'DS BUDACT'!AC20</f>
        <v>0</v>
      </c>
      <c r="BN14" s="1">
        <f>+'DS BUDACT'!AI20</f>
        <v>0</v>
      </c>
      <c r="BO14" s="1"/>
      <c r="BP14" s="1">
        <f t="shared" si="5"/>
        <v>0</v>
      </c>
      <c r="BQ14" s="1"/>
      <c r="BR14" s="1">
        <f>+'CP BUDACT'!D20</f>
        <v>0</v>
      </c>
      <c r="BS14" s="1">
        <f>+'CP BUDACT'!H20</f>
        <v>0</v>
      </c>
      <c r="BT14" s="1">
        <f>+'CP BUDACT'!M20</f>
        <v>0</v>
      </c>
      <c r="BU14" s="1">
        <f>+'CP BUDACT'!Q20</f>
        <v>0</v>
      </c>
      <c r="BV14" s="1">
        <f>+'CP BUDACT'!V20</f>
        <v>0</v>
      </c>
      <c r="BW14" s="1">
        <f>+'CP BUDACT'!Z20</f>
        <v>0</v>
      </c>
      <c r="BX14" s="3"/>
      <c r="BY14" s="1">
        <f t="shared" si="1"/>
        <v>0</v>
      </c>
      <c r="BZ14" s="1"/>
      <c r="CA14" s="1"/>
      <c r="CB14" s="1">
        <f>SUM('ENIS ER'!D49:D50)</f>
        <v>0</v>
      </c>
      <c r="CC14" s="1">
        <f>SUM('ENIS ER'!E49:E50)</f>
        <v>0</v>
      </c>
      <c r="CD14" s="1">
        <f>SUM('ENIS ER'!F49:F50)</f>
        <v>0</v>
      </c>
      <c r="CE14" s="1">
        <f>SUM('ENIS ER'!G49:G50)</f>
        <v>0</v>
      </c>
      <c r="CF14" s="1">
        <f>SUM('ENIS ER'!H49:H50)</f>
        <v>0</v>
      </c>
      <c r="CG14" s="1">
        <f>SUM('ENIS ER'!I49:I50)</f>
        <v>0</v>
      </c>
      <c r="CH14" s="1">
        <f>SUM('ENIS ER'!J49:J50)</f>
        <v>0</v>
      </c>
      <c r="CI14" s="1"/>
      <c r="CJ14" s="1">
        <f t="shared" si="2"/>
        <v>0</v>
      </c>
      <c r="CK14" s="1"/>
      <c r="CL14" s="1">
        <f>SUM('ENIS ER'!M49:M50)</f>
        <v>0</v>
      </c>
      <c r="CM14" s="1">
        <f>SUM('ENIS ER'!N49:N50)</f>
        <v>0</v>
      </c>
      <c r="CN14" s="1">
        <f>SUM('ENIS ER'!O49:O50)</f>
        <v>0</v>
      </c>
      <c r="CO14" s="1">
        <f>SUM('ENIS ER'!P49:P50)</f>
        <v>0</v>
      </c>
      <c r="CP14" s="1">
        <f>SUM('ENIS ER'!Q49:Q50)</f>
        <v>0</v>
      </c>
      <c r="CQ14" s="1">
        <f>SUM('ENIS ER'!R49:R50)</f>
        <v>0</v>
      </c>
      <c r="CR14" s="1">
        <f>SUM('ENIS ER'!S49:S50)</f>
        <v>0</v>
      </c>
      <c r="CS14" s="1"/>
      <c r="CT14" s="1"/>
      <c r="CU14" s="1">
        <f t="shared" si="3"/>
        <v>0</v>
      </c>
      <c r="CW14" s="1"/>
      <c r="CX14" s="1"/>
      <c r="CY14" s="1"/>
      <c r="CZ14" s="1"/>
      <c r="DA14" s="1"/>
      <c r="DB14" s="1"/>
      <c r="DC14" s="1"/>
      <c r="DD14" s="1"/>
      <c r="DE14" s="1"/>
      <c r="DF14" s="1"/>
      <c r="DG14" s="1"/>
      <c r="DH14" s="1"/>
      <c r="DI14" s="1"/>
      <c r="DJ14" s="1"/>
      <c r="DK14" s="1"/>
      <c r="DL14" s="1"/>
      <c r="DM14" s="1"/>
      <c r="DN14" s="1"/>
      <c r="DO14" s="1"/>
      <c r="DP14" s="1"/>
      <c r="DQ14" s="1"/>
      <c r="DR14" s="1"/>
      <c r="DS14" s="1"/>
      <c r="DT14" s="1"/>
      <c r="DV14" s="1"/>
      <c r="DW14" s="1">
        <f t="shared" si="6"/>
        <v>0</v>
      </c>
      <c r="DX14" s="1092" t="s">
        <v>3111</v>
      </c>
      <c r="DY14" s="1"/>
      <c r="DZ14" s="1"/>
      <c r="EC14" s="76"/>
      <c r="ED14" s="253"/>
      <c r="EE14" s="1"/>
      <c r="EF14" s="1"/>
      <c r="EG14" s="1"/>
    </row>
    <row r="15" spans="1:138" ht="15.75">
      <c r="A15" s="1"/>
      <c r="B15" s="1" t="s">
        <v>974</v>
      </c>
      <c r="C15" s="1"/>
      <c r="D15" s="1">
        <f>+'GEN BUDACT'!F71</f>
        <v>187792</v>
      </c>
      <c r="E15" s="1">
        <f>+'SR BUDACT'!E21</f>
        <v>17156</v>
      </c>
      <c r="F15" s="1">
        <f>+'SR BUDACT'!I21</f>
        <v>0</v>
      </c>
      <c r="G15" s="1">
        <f>+'SR BUDACT'!O21</f>
        <v>0</v>
      </c>
      <c r="H15" s="1">
        <f>+'SR BUDACT'!S21</f>
        <v>22740</v>
      </c>
      <c r="I15" s="1">
        <f>+'SR BUDACT'!Y21</f>
        <v>74369</v>
      </c>
      <c r="J15" s="1">
        <f>+'SR BUDACT'!AC21</f>
        <v>3218</v>
      </c>
      <c r="K15" s="1">
        <f>+'SR BUDACT'!AI21</f>
        <v>0</v>
      </c>
      <c r="L15" s="1">
        <f>+'SR BUDACT'!AM21</f>
        <v>0</v>
      </c>
      <c r="M15" s="1">
        <f>+'SR BUDACT'!AS21</f>
        <v>7000</v>
      </c>
      <c r="N15" s="1">
        <f>+'SR BUDACT'!AW21</f>
        <v>0</v>
      </c>
      <c r="O15" s="1">
        <f>+'SR BUDACT'!BC21</f>
        <v>0</v>
      </c>
      <c r="P15" s="1">
        <f>+'SR BUDACT'!JB21</f>
        <v>0</v>
      </c>
      <c r="Q15" s="1">
        <f>+'SR BUDACT'!BK21</f>
        <v>0</v>
      </c>
      <c r="R15" s="1">
        <f>+'SR BUDACT'!BQ21</f>
        <v>0</v>
      </c>
      <c r="S15" s="1">
        <f>+'SR BUDACT'!BU21</f>
        <v>5150</v>
      </c>
      <c r="T15" s="1">
        <f>+'SR BUDACT'!CA21</f>
        <v>0</v>
      </c>
      <c r="U15" s="1">
        <f>+'SR BUDACT'!CE21</f>
        <v>13452</v>
      </c>
      <c r="V15" s="1">
        <f>+'SR BUDACT'!CK21</f>
        <v>0</v>
      </c>
      <c r="W15" s="1">
        <f>+'SR BUDACT'!CO21</f>
        <v>1208</v>
      </c>
      <c r="X15" s="1">
        <f>+'MAJ GOV BUDACT'!E20+'MAJ GOV BUDACT'!E48</f>
        <v>192438</v>
      </c>
      <c r="Y15" s="1">
        <f>+'SR BUDACT'!CU21</f>
        <v>0</v>
      </c>
      <c r="Z15" s="1">
        <f>+'SR BUDACT'!CY21</f>
        <v>150175</v>
      </c>
      <c r="AA15" s="1">
        <f>+'SR BUDACT'!DE21</f>
        <v>0</v>
      </c>
      <c r="AB15" s="1">
        <f>+'SR BUDACT'!DI21</f>
        <v>395</v>
      </c>
      <c r="AC15" s="1">
        <f>+'SR BUDACT'!DO21</f>
        <v>0</v>
      </c>
      <c r="AD15" s="1">
        <f>+'SR BUDACT'!DS21</f>
        <v>33441</v>
      </c>
      <c r="AE15" s="1">
        <f>+'SR BUDACT'!DY21</f>
        <v>16396</v>
      </c>
      <c r="AF15" s="1">
        <f>+'SR BUDACT'!EC21</f>
        <v>0</v>
      </c>
      <c r="AG15" s="1">
        <f>+'SR BUDACT'!EI21</f>
        <v>0</v>
      </c>
      <c r="AH15" s="1">
        <f>+'SR BUDACT'!EM21</f>
        <v>0</v>
      </c>
      <c r="AI15" s="1">
        <f>+'SR BUDACT'!ES21</f>
        <v>0</v>
      </c>
      <c r="AJ15" s="1">
        <f>+'SR BUDACT'!EW21</f>
        <v>0</v>
      </c>
      <c r="AK15" s="1">
        <f>+'SR BUDACT'!FC21</f>
        <v>0</v>
      </c>
      <c r="AL15" s="1">
        <f>+'SR BUDACT'!FG21</f>
        <v>0</v>
      </c>
      <c r="AM15" s="1">
        <f>+'SR BUDACT'!FM21</f>
        <v>0</v>
      </c>
      <c r="AN15" s="1">
        <f>+'SR BUDACT'!FQ21</f>
        <v>0</v>
      </c>
      <c r="AO15" s="1">
        <f>+'SR BUDACT'!FW21</f>
        <v>0</v>
      </c>
      <c r="AP15" s="1">
        <f>+'SR BUDACT'!GA21</f>
        <v>0</v>
      </c>
      <c r="AQ15" s="1">
        <f>+'SR BUDACT'!GE21</f>
        <v>147419</v>
      </c>
      <c r="AR15" s="1">
        <f>+'SR BUDACT'!GK21</f>
        <v>0</v>
      </c>
      <c r="AS15" s="1">
        <f>+'SR BUDACT'!GP21</f>
        <v>0</v>
      </c>
      <c r="AT15" s="1">
        <f>+'SR BUDACT'!GV21</f>
        <v>0</v>
      </c>
      <c r="AU15" s="1">
        <f>+'SR BUDACT'!GZ21</f>
        <v>0</v>
      </c>
      <c r="AV15" s="1">
        <f>+'SR BUDACT'!HF21</f>
        <v>0</v>
      </c>
      <c r="AW15" s="1"/>
      <c r="AX15" s="1">
        <f>+'SR BUDACT'!HJ21</f>
        <v>0</v>
      </c>
      <c r="AY15" s="1">
        <f>+'SR BUDACT'!HT21</f>
        <v>0</v>
      </c>
      <c r="AZ15" s="1">
        <f>+'SR BUDACT'!HX21</f>
        <v>0</v>
      </c>
      <c r="BA15" s="1">
        <f>+'SR BUDACT'!ID21</f>
        <v>0</v>
      </c>
      <c r="BB15" s="1">
        <f>+'MAJ GOV BUDACT (2)'!E20</f>
        <v>0</v>
      </c>
      <c r="BC15" s="1">
        <f>+'MAJ GOV BUDACT (3)'!E20</f>
        <v>82156</v>
      </c>
      <c r="BD15" s="82">
        <v>0</v>
      </c>
      <c r="BE15" s="1"/>
      <c r="BF15" s="1">
        <f t="shared" si="0"/>
        <v>766713</v>
      </c>
      <c r="BG15" s="1">
        <f t="shared" si="4"/>
        <v>492119</v>
      </c>
      <c r="BH15" s="1">
        <f>+'DS BUDACT'!D21</f>
        <v>112309</v>
      </c>
      <c r="BI15" s="1">
        <f>+'DS BUDACT'!H21</f>
        <v>0</v>
      </c>
      <c r="BJ15" s="1">
        <f>+'DS BUDACT'!N21</f>
        <v>0</v>
      </c>
      <c r="BK15" s="1">
        <f>+'DS BUDACT'!R21</f>
        <v>0</v>
      </c>
      <c r="BL15" s="1">
        <f>+'DS BUDACT'!W21</f>
        <v>0</v>
      </c>
      <c r="BM15" s="1">
        <f>+'DS BUDACT'!AC21</f>
        <v>0</v>
      </c>
      <c r="BN15" s="1">
        <f>+'DS BUDACT'!AI21</f>
        <v>0</v>
      </c>
      <c r="BO15" s="1"/>
      <c r="BP15" s="1">
        <f t="shared" si="5"/>
        <v>112309</v>
      </c>
      <c r="BQ15" s="1"/>
      <c r="BR15" s="1">
        <f>+'CP BUDACT'!D21+'CP BUDACT'!D57</f>
        <v>86339</v>
      </c>
      <c r="BS15" s="1">
        <f>+'CP BUDACT'!H21</f>
        <v>0</v>
      </c>
      <c r="BT15" s="1">
        <f>+'CP BUDACT'!M21</f>
        <v>0</v>
      </c>
      <c r="BU15" s="1">
        <f>+'CP BUDACT'!Q21</f>
        <v>0</v>
      </c>
      <c r="BV15" s="1">
        <f>+'CP BUDACT'!V21</f>
        <v>0</v>
      </c>
      <c r="BW15" s="1">
        <f>+'CP BUDACT'!Z21</f>
        <v>111</v>
      </c>
      <c r="BX15" s="3"/>
      <c r="BY15" s="1">
        <f t="shared" si="1"/>
        <v>86450</v>
      </c>
      <c r="BZ15" s="1"/>
      <c r="CA15" s="1"/>
      <c r="CB15" s="1">
        <f>+'ENIS ER'!D51-0</f>
        <v>0</v>
      </c>
      <c r="CC15" s="1">
        <f>+'ENIS ER'!E73</f>
        <v>0</v>
      </c>
      <c r="CD15" s="1">
        <f>+'ENIS ER'!F73</f>
        <v>0</v>
      </c>
      <c r="CE15" s="1">
        <f>+'ENIS ER'!G73</f>
        <v>0</v>
      </c>
      <c r="CF15" s="1">
        <f>+'ENIS ER'!H73</f>
        <v>0</v>
      </c>
      <c r="CG15" s="1">
        <f>+'ENIS ER'!I73</f>
        <v>0</v>
      </c>
      <c r="CH15" s="1">
        <f>+'ENIS ER'!J73</f>
        <v>0</v>
      </c>
      <c r="CI15" s="1"/>
      <c r="CJ15" s="1">
        <f t="shared" si="2"/>
        <v>0</v>
      </c>
      <c r="CK15" s="1"/>
      <c r="CL15" s="1">
        <f>+'ENIS ER'!M51+'ENIS ER'!M73+CL201</f>
        <v>1842365</v>
      </c>
      <c r="CM15" s="1">
        <f>+'ENIS ER'!N73</f>
        <v>0</v>
      </c>
      <c r="CN15" s="1">
        <f>+'ENIS ER'!O73</f>
        <v>9000</v>
      </c>
      <c r="CO15" s="1">
        <f>+'ENIS ER'!P73</f>
        <v>0</v>
      </c>
      <c r="CP15" s="1">
        <f>+'ENIS ER'!Q73</f>
        <v>0</v>
      </c>
      <c r="CQ15" s="1">
        <f>+'ENIS ER'!R73</f>
        <v>0</v>
      </c>
      <c r="CR15" s="1">
        <f>+'ENIS ER'!S73</f>
        <v>0</v>
      </c>
      <c r="CS15" s="1"/>
      <c r="CT15" s="1"/>
      <c r="CU15" s="1">
        <f t="shared" si="3"/>
        <v>1851365</v>
      </c>
      <c r="CW15" s="1">
        <f>SUM('TA IS ER'!B18:B20)+SUM('TA IS ER'!B38:B47)</f>
        <v>189819</v>
      </c>
      <c r="CX15" s="1">
        <f>SUM('TA IS ER'!C18:C20)+SUM('TA IS ER'!C38:C47)</f>
        <v>0</v>
      </c>
      <c r="CY15" s="1">
        <f>SUM('TA IS ER'!D18:D20)+SUM('TA IS ER'!D38:D47)+CY201</f>
        <v>11675</v>
      </c>
      <c r="CZ15" s="1">
        <f>SUM('TA IS ER'!E18:E20)+SUM('TA IS ER'!E38:E47)</f>
        <v>0</v>
      </c>
      <c r="DA15" s="1">
        <f>SUM('TA IS ER'!F18:F20)+SUM('TA IS ER'!F38:F47)</f>
        <v>0</v>
      </c>
      <c r="DB15" s="1">
        <f>SUM('TA IS ER'!G18:G20)+SUM('TA IS ER'!G38:G47)+DB201</f>
        <v>554703</v>
      </c>
      <c r="DC15" s="1">
        <f>SUM('TA IS ER'!H18:H20)+SUM('TA IS ER'!H38:H47)+DB201</f>
        <v>215485</v>
      </c>
      <c r="DD15" s="1">
        <f>SUM('TA IS ER'!I18:I20)+SUM('TA IS ER'!I38:I47)</f>
        <v>0</v>
      </c>
      <c r="DE15" s="1">
        <f>SUM('TA IS ER'!J18:J20)+SUM('TA IS ER'!J38:J47)+DE201</f>
        <v>2117</v>
      </c>
      <c r="DF15" s="1">
        <f>SUM('TA IS ER'!K18:K20)+SUM('TA IS ER'!K38:K47)</f>
        <v>0</v>
      </c>
      <c r="DG15" s="1">
        <f>SUM('TA IS ER'!L18:L20)+SUM('TA IS ER'!L38:L47)</f>
        <v>151548</v>
      </c>
      <c r="DH15" s="1">
        <f>SUM('TA IS ER'!M18:M20)+SUM('TA IS ER'!M38:M47)</f>
        <v>0</v>
      </c>
      <c r="DI15" s="1">
        <f>SUM('TA IS ER'!N18:N20)+SUM('TA IS ER'!N38:N47)</f>
        <v>0</v>
      </c>
      <c r="DJ15" s="1">
        <f>SUM('TA IS ER'!O18:O20)+SUM('TA IS ER'!O38:O47)</f>
        <v>0</v>
      </c>
      <c r="DK15" s="1">
        <f>SUM('TA IS ER'!P18:P20)+SUM('TA IS ER'!P38:P47)</f>
        <v>0</v>
      </c>
      <c r="DL15" s="1">
        <f>SUM('TA IS ER'!Q18:Q20)+SUM('TA IS ER'!Q38:Q47)</f>
        <v>825294</v>
      </c>
      <c r="DM15" s="1">
        <f>SUM('TA IS ER'!R18:R20)+SUM('TA IS ER'!R38:R47)</f>
        <v>0</v>
      </c>
      <c r="DN15" s="1">
        <f>SUM('TA IS ER'!S18:S20)+SUM('TA IS ER'!S38:S47)+DN201</f>
        <v>168122</v>
      </c>
      <c r="DO15" s="1">
        <f>SUM('TA IS ER'!T18:T20)+SUM('TA IS ER'!T38:T47)</f>
        <v>0</v>
      </c>
      <c r="DP15" s="1">
        <f>SUM('TA IS ER'!U18:U20)+SUM('TA IS ER'!U38:U47)+DP201</f>
        <v>23125</v>
      </c>
      <c r="DQ15" s="1">
        <f>SUM('TA IS ER'!V18:V20)+SUM('TA IS ER'!V38:V47)+DQ201</f>
        <v>754424</v>
      </c>
      <c r="DR15" s="1">
        <f>SUM('TA IS ER'!W18:W20)+SUM('TA IS ER'!W38:W47)+DR201</f>
        <v>121253402</v>
      </c>
      <c r="DS15" s="1">
        <f>SUM('TA IS ER'!X18:X20)+SUM('TA IS ER'!X38:X47)+DS201</f>
        <v>8612</v>
      </c>
      <c r="DT15" s="1">
        <f>SUM('TA IS ER'!Y18:Y20)+SUM('TA IS ER'!Y38:Y47)+DT201</f>
        <v>9488085</v>
      </c>
      <c r="DV15" s="1"/>
      <c r="DW15" s="1">
        <f t="shared" si="6"/>
        <v>133646411</v>
      </c>
      <c r="DX15" s="1091" t="s">
        <v>792</v>
      </c>
      <c r="DY15" s="1"/>
      <c r="DZ15" s="82">
        <v>879061</v>
      </c>
      <c r="EA15" s="77" t="s">
        <v>3359</v>
      </c>
      <c r="EC15" s="88">
        <v>0</v>
      </c>
      <c r="ED15" s="253" t="s">
        <v>2977</v>
      </c>
      <c r="EE15" s="1"/>
      <c r="EF15" s="1"/>
      <c r="EG15" s="1"/>
    </row>
    <row r="16" spans="1:138" ht="15.75">
      <c r="A16" s="1"/>
      <c r="B16" s="1" t="s">
        <v>410</v>
      </c>
      <c r="C16" s="1"/>
      <c r="D16" s="1">
        <f>+'GEN BUDACT'!F72</f>
        <v>1252244</v>
      </c>
      <c r="E16" s="1">
        <f>+'SR BUDACT'!E22</f>
        <v>0</v>
      </c>
      <c r="F16" s="1">
        <f>+'SR BUDACT'!I22</f>
        <v>0</v>
      </c>
      <c r="G16" s="1">
        <f>+'SR BUDACT'!O22</f>
        <v>6</v>
      </c>
      <c r="H16" s="1">
        <f>+'SR BUDACT'!S22</f>
        <v>0</v>
      </c>
      <c r="I16" s="1">
        <f>+'SR BUDACT'!Y22</f>
        <v>4</v>
      </c>
      <c r="J16" s="1">
        <f>+'SR BUDACT'!AC22</f>
        <v>43436</v>
      </c>
      <c r="K16" s="1">
        <f>+'SR BUDACT'!AI22</f>
        <v>0</v>
      </c>
      <c r="L16" s="1">
        <f>+'SR BUDACT'!AM22</f>
        <v>0</v>
      </c>
      <c r="M16" s="1">
        <f>+'SR BUDACT'!AS22</f>
        <v>19</v>
      </c>
      <c r="N16" s="1">
        <f>+'SR BUDACT'!AW22</f>
        <v>5</v>
      </c>
      <c r="O16" s="1">
        <f>+'SR BUDACT'!BC22</f>
        <v>1</v>
      </c>
      <c r="P16" s="1">
        <f>+'SR BUDACT'!JB22</f>
        <v>0</v>
      </c>
      <c r="Q16" s="1">
        <f>+'SR BUDACT'!BK22</f>
        <v>52</v>
      </c>
      <c r="R16" s="1">
        <f>+'SR BUDACT'!BQ22</f>
        <v>22984</v>
      </c>
      <c r="S16" s="1">
        <f>+'SR BUDACT'!BU22</f>
        <v>15</v>
      </c>
      <c r="T16" s="1">
        <f>+'SR BUDACT'!CA22</f>
        <v>0</v>
      </c>
      <c r="U16" s="1">
        <f>+'SR BUDACT'!CE22</f>
        <v>42</v>
      </c>
      <c r="V16" s="1">
        <f>+'SR BUDACT'!CK22</f>
        <v>6</v>
      </c>
      <c r="W16" s="1">
        <f>+'SR BUDACT'!CO22</f>
        <v>7</v>
      </c>
      <c r="X16" s="1">
        <f>+'MAJ GOV BUDACT'!E21</f>
        <v>333</v>
      </c>
      <c r="Y16" s="1">
        <f>+'SR BUDACT'!CU22</f>
        <v>0</v>
      </c>
      <c r="Z16" s="1">
        <f>+'SR BUDACT'!CY22</f>
        <v>0</v>
      </c>
      <c r="AA16" s="1">
        <f>+'SR BUDACT'!DE22</f>
        <v>0</v>
      </c>
      <c r="AB16" s="1">
        <f>+'SR BUDACT'!DI22</f>
        <v>108</v>
      </c>
      <c r="AC16" s="1">
        <f>+'SR BUDACT'!DO22</f>
        <v>0</v>
      </c>
      <c r="AD16" s="1">
        <f>+'SR BUDACT'!DS22</f>
        <v>0</v>
      </c>
      <c r="AE16" s="1">
        <f>+'SR BUDACT'!DY22</f>
        <v>0</v>
      </c>
      <c r="AF16" s="1">
        <f>+'SR BUDACT'!EC22</f>
        <v>0</v>
      </c>
      <c r="AG16" s="1">
        <f>+'SR BUDACT'!EI22</f>
        <v>0</v>
      </c>
      <c r="AH16" s="1">
        <f>+'SR BUDACT'!EM22</f>
        <v>9564</v>
      </c>
      <c r="AI16" s="1">
        <f>+'SR BUDACT'!ES22</f>
        <v>977</v>
      </c>
      <c r="AJ16" s="1">
        <f>+'SR BUDACT'!EW22</f>
        <v>2070</v>
      </c>
      <c r="AK16" s="1">
        <f>+'SR BUDACT'!FC22</f>
        <v>234</v>
      </c>
      <c r="AL16" s="1">
        <f>+'SR BUDACT'!FG22</f>
        <v>2449</v>
      </c>
      <c r="AM16" s="1">
        <f>+'SR BUDACT'!FM22</f>
        <v>1624</v>
      </c>
      <c r="AN16" s="2">
        <f>0</f>
        <v>0</v>
      </c>
      <c r="AO16" s="1">
        <f>+'SR BUDACT'!FW22</f>
        <v>0</v>
      </c>
      <c r="AP16" s="1">
        <f>+'SR BUDACT'!GA22</f>
        <v>66678</v>
      </c>
      <c r="AQ16" s="1">
        <f>+'SR BUDACT'!GE22</f>
        <v>27901</v>
      </c>
      <c r="AR16" s="1">
        <f>+'SR BUDACT'!GK22</f>
        <v>0</v>
      </c>
      <c r="AS16" s="1">
        <f>+'SR BUDACT'!GP22</f>
        <v>0</v>
      </c>
      <c r="AT16" s="1">
        <f>+'SR BUDACT'!GV22</f>
        <v>0</v>
      </c>
      <c r="AU16" s="1">
        <f>+'SR BUDACT'!GZ22</f>
        <v>0</v>
      </c>
      <c r="AV16" s="1">
        <f>+'SR BUDACT'!HF22</f>
        <v>0</v>
      </c>
      <c r="AW16" s="1"/>
      <c r="AX16" s="1">
        <f>+'SR BUDACT'!HJ22</f>
        <v>0</v>
      </c>
      <c r="AY16" s="1">
        <f>+'SR BUDACT'!HT22</f>
        <v>0</v>
      </c>
      <c r="AZ16" s="1">
        <f>+'SR BUDACT'!HX22</f>
        <v>0</v>
      </c>
      <c r="BA16" s="1">
        <f>+'SR BUDACT'!ID22</f>
        <v>0</v>
      </c>
      <c r="BB16" s="1">
        <f>+'MAJ GOV BUDACT (2)'!E21</f>
        <v>0</v>
      </c>
      <c r="BC16" s="1">
        <f>+'MAJ GOV BUDACT (3)'!E21</f>
        <v>214545</v>
      </c>
      <c r="BD16" s="82">
        <f>10738+6915-1</f>
        <v>17652</v>
      </c>
      <c r="BE16" s="1"/>
      <c r="BF16" s="1">
        <f t="shared" si="0"/>
        <v>410712</v>
      </c>
      <c r="BG16" s="1">
        <f t="shared" si="4"/>
        <v>195834</v>
      </c>
      <c r="BH16" s="1">
        <f>+'DS BUDACT'!D22</f>
        <v>0</v>
      </c>
      <c r="BI16" s="1">
        <f>+'DS BUDACT'!H22</f>
        <v>14292</v>
      </c>
      <c r="BJ16" s="1">
        <f>+'DS BUDACT'!N22</f>
        <v>0</v>
      </c>
      <c r="BK16" s="1">
        <f>+'DS BUDACT'!R22</f>
        <v>12653</v>
      </c>
      <c r="BL16" s="1">
        <f>+'DS BUDACT'!W22</f>
        <v>1125</v>
      </c>
      <c r="BM16" s="1">
        <f>+'DS BUDACT'!AC22</f>
        <v>7284</v>
      </c>
      <c r="BN16" s="1">
        <f>+'DS BUDACT'!AI22</f>
        <v>2794</v>
      </c>
      <c r="BO16" s="1"/>
      <c r="BP16" s="1">
        <f t="shared" si="5"/>
        <v>38148</v>
      </c>
      <c r="BQ16" s="1"/>
      <c r="BR16" s="1">
        <f>+'CP BUDACT'!D22</f>
        <v>556062</v>
      </c>
      <c r="BS16" s="1">
        <f>+'CP BUDACT'!H22</f>
        <v>0</v>
      </c>
      <c r="BT16" s="1">
        <f>+'CP BUDACT'!M22</f>
        <v>0</v>
      </c>
      <c r="BU16" s="1">
        <f>+'CP BUDACT'!Q22</f>
        <v>0</v>
      </c>
      <c r="BV16" s="1">
        <f>+'CP BUDACT'!V22</f>
        <v>317</v>
      </c>
      <c r="BW16" s="1">
        <f>+'CP BUDACT'!Z22</f>
        <v>0</v>
      </c>
      <c r="BX16" s="3"/>
      <c r="BY16" s="1">
        <f t="shared" si="1"/>
        <v>556379</v>
      </c>
      <c r="BZ16" s="1"/>
      <c r="CA16" s="1"/>
      <c r="CB16" s="1">
        <f>+'ENIS ER'!D52</f>
        <v>0</v>
      </c>
      <c r="CC16" s="1">
        <f>+'ENIS ER'!E52</f>
        <v>11854</v>
      </c>
      <c r="CD16" s="1">
        <f>+'ENIS ER'!F52</f>
        <v>583</v>
      </c>
      <c r="CE16" s="1">
        <f>+'ENIS ER'!G52</f>
        <v>1126</v>
      </c>
      <c r="CF16" s="1">
        <f>+'ENIS ER'!H52</f>
        <v>32023</v>
      </c>
      <c r="CG16" s="1">
        <f>+'ENIS ER'!I52</f>
        <v>132256</v>
      </c>
      <c r="CH16" s="1">
        <f>+'ENIS ER'!J52</f>
        <v>3622</v>
      </c>
      <c r="CI16" s="1"/>
      <c r="CJ16" s="1">
        <f t="shared" si="2"/>
        <v>181464</v>
      </c>
      <c r="CK16" s="1"/>
      <c r="CL16" s="1">
        <f>+'ENIS ER'!M52</f>
        <v>68501</v>
      </c>
      <c r="CM16" s="1">
        <f>+'ENIS ER'!N52</f>
        <v>12192</v>
      </c>
      <c r="CN16" s="1">
        <f>+'ENIS ER'!O52</f>
        <v>18060</v>
      </c>
      <c r="CO16" s="1">
        <f>+'ENIS ER'!P52</f>
        <v>2411</v>
      </c>
      <c r="CP16" s="1">
        <f>+'ENIS ER'!Q52</f>
        <v>37985</v>
      </c>
      <c r="CQ16" s="1">
        <f>+'ENIS ER'!R52</f>
        <v>20709</v>
      </c>
      <c r="CR16" s="1">
        <f>+'ENIS ER'!S52</f>
        <v>18291</v>
      </c>
      <c r="CS16" s="1"/>
      <c r="CT16" s="1"/>
      <c r="CU16" s="1">
        <f t="shared" si="3"/>
        <v>178149</v>
      </c>
      <c r="CW16" s="1">
        <f>+'TA IS ER'!B48</f>
        <v>103765</v>
      </c>
      <c r="CX16" s="1">
        <f>+'TA IS ER'!C48</f>
        <v>0</v>
      </c>
      <c r="CY16" s="1">
        <f>+'TA IS ER'!D48</f>
        <v>1380</v>
      </c>
      <c r="CZ16" s="1">
        <f>+'TA IS ER'!E48</f>
        <v>0</v>
      </c>
      <c r="DA16" s="1">
        <f>+'TA IS ER'!F48</f>
        <v>0</v>
      </c>
      <c r="DB16" s="1">
        <f>+'TA IS ER'!G48</f>
        <v>0</v>
      </c>
      <c r="DC16" s="1">
        <f>+'TA IS ER'!H48</f>
        <v>0</v>
      </c>
      <c r="DD16" s="1">
        <f>+'TA IS ER'!I48</f>
        <v>0</v>
      </c>
      <c r="DE16" s="1">
        <f>+'TA IS ER'!J48</f>
        <v>0</v>
      </c>
      <c r="DF16" s="1">
        <f>+'TA IS ER'!K48</f>
        <v>0</v>
      </c>
      <c r="DG16" s="1">
        <f>+'TA IS ER'!L48</f>
        <v>0</v>
      </c>
      <c r="DH16" s="1">
        <f>+'TA IS ER'!M48</f>
        <v>0</v>
      </c>
      <c r="DI16" s="1">
        <f>+'TA IS ER'!N48</f>
        <v>0</v>
      </c>
      <c r="DJ16" s="1">
        <f>+'TA IS ER'!O48</f>
        <v>0</v>
      </c>
      <c r="DK16" s="1">
        <f>+'TA IS ER'!P48</f>
        <v>0</v>
      </c>
      <c r="DL16" s="1">
        <f>+'TA IS ER'!Q48</f>
        <v>0</v>
      </c>
      <c r="DM16" s="1">
        <f>+'TA IS ER'!R48</f>
        <v>0</v>
      </c>
      <c r="DN16" s="1">
        <f>+'TA IS ER'!S48</f>
        <v>0</v>
      </c>
      <c r="DO16" s="1">
        <f>+'TA IS ER'!T48</f>
        <v>0</v>
      </c>
      <c r="DP16" s="1">
        <f>+'TA IS ER'!U48</f>
        <v>429</v>
      </c>
      <c r="DQ16" s="1">
        <f>+'TA IS ER'!V48</f>
        <v>199584</v>
      </c>
      <c r="DR16" s="1">
        <f>+'TA IS ER'!W48</f>
        <v>5405630</v>
      </c>
      <c r="DS16" s="1">
        <f>+'TA IS ER'!X48</f>
        <v>144</v>
      </c>
      <c r="DT16" s="1">
        <f>+'TA IS ER'!Y48</f>
        <v>21961</v>
      </c>
      <c r="DV16" s="1"/>
      <c r="DW16" s="1">
        <f t="shared" si="6"/>
        <v>5732893</v>
      </c>
      <c r="DX16" s="1091" t="s">
        <v>3105</v>
      </c>
      <c r="DY16" s="1"/>
      <c r="DZ16" s="1"/>
      <c r="EC16" s="88">
        <v>0</v>
      </c>
      <c r="ED16" s="253" t="s">
        <v>2977</v>
      </c>
      <c r="EE16" s="1"/>
      <c r="EF16" s="1"/>
      <c r="EG16" s="82">
        <f>10593+6365+EG78</f>
        <v>16958</v>
      </c>
      <c r="EH16" s="77" t="s">
        <v>3360</v>
      </c>
    </row>
    <row r="17" spans="1:138" ht="15.7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2" t="s">
        <v>2964</v>
      </c>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3"/>
      <c r="BY17" s="1"/>
      <c r="BZ17" s="1"/>
      <c r="CA17" s="1"/>
      <c r="CB17" s="1"/>
      <c r="CC17" s="1"/>
      <c r="CD17" s="1"/>
      <c r="CE17" s="1"/>
      <c r="CF17" s="1"/>
      <c r="CG17" s="1"/>
      <c r="CH17" s="1"/>
      <c r="CI17" s="1"/>
      <c r="CJ17" s="1"/>
      <c r="CK17" s="1"/>
      <c r="CL17" s="1"/>
      <c r="CM17" s="1"/>
      <c r="CN17" s="1"/>
      <c r="CO17" s="1"/>
      <c r="CP17" s="1"/>
      <c r="CQ17" s="1"/>
      <c r="CR17" s="1"/>
      <c r="CS17" s="1"/>
      <c r="CT17" s="1"/>
      <c r="CU17" s="1"/>
      <c r="CW17" s="1"/>
      <c r="CX17" s="1"/>
      <c r="CY17" s="1"/>
      <c r="CZ17" s="1"/>
      <c r="DA17" s="1"/>
      <c r="DB17" s="1"/>
      <c r="DC17" s="1"/>
      <c r="DD17" s="1"/>
      <c r="DE17" s="1"/>
      <c r="DF17" s="1"/>
      <c r="DG17" s="1"/>
      <c r="DH17" s="1"/>
      <c r="DI17" s="1"/>
      <c r="DJ17" s="1"/>
      <c r="DK17" s="1"/>
      <c r="DL17" s="1"/>
      <c r="DM17" s="1"/>
      <c r="DN17" s="1"/>
      <c r="DO17" s="1"/>
      <c r="DP17" s="1"/>
      <c r="DQ17" s="1"/>
      <c r="DR17" s="1"/>
      <c r="DS17" s="1"/>
      <c r="DT17" s="1"/>
      <c r="DV17" s="1"/>
      <c r="DW17" s="1"/>
      <c r="DX17" s="1091" t="s">
        <v>3106</v>
      </c>
      <c r="DY17" s="1"/>
      <c r="DZ17" s="1"/>
      <c r="EC17" s="1"/>
      <c r="ED17" s="1"/>
      <c r="EE17" s="1"/>
      <c r="EF17" s="1"/>
      <c r="EG17" s="1"/>
    </row>
    <row r="18" spans="1:138" ht="15.75">
      <c r="A18" s="1"/>
      <c r="B18" s="1" t="s">
        <v>768</v>
      </c>
      <c r="C18" s="1"/>
      <c r="D18" s="1">
        <f t="shared" ref="D18:J18" si="7">SUM(D10:D17)</f>
        <v>15572001</v>
      </c>
      <c r="E18" s="1">
        <f t="shared" si="7"/>
        <v>1598576</v>
      </c>
      <c r="F18" s="1">
        <f t="shared" si="7"/>
        <v>18860</v>
      </c>
      <c r="G18" s="1">
        <f t="shared" si="7"/>
        <v>277470</v>
      </c>
      <c r="H18" s="1">
        <f t="shared" si="7"/>
        <v>407965</v>
      </c>
      <c r="I18" s="1">
        <f t="shared" si="7"/>
        <v>585379</v>
      </c>
      <c r="J18" s="1">
        <f t="shared" si="7"/>
        <v>4712516</v>
      </c>
      <c r="K18" s="1">
        <f t="shared" ref="K18:BC18" si="8">SUM(K10:K17)</f>
        <v>1627</v>
      </c>
      <c r="L18" s="1">
        <f>SUM(L10:L17)</f>
        <v>24961</v>
      </c>
      <c r="M18" s="1">
        <f t="shared" si="8"/>
        <v>2171223</v>
      </c>
      <c r="N18" s="1">
        <f>SUM(N10:N17)</f>
        <v>175236</v>
      </c>
      <c r="O18" s="1">
        <f t="shared" si="8"/>
        <v>18981</v>
      </c>
      <c r="P18" s="1">
        <f t="shared" si="8"/>
        <v>0</v>
      </c>
      <c r="Q18" s="1">
        <f t="shared" si="8"/>
        <v>1577208</v>
      </c>
      <c r="R18" s="1">
        <f t="shared" si="8"/>
        <v>478392</v>
      </c>
      <c r="S18" s="1">
        <f t="shared" si="8"/>
        <v>932853</v>
      </c>
      <c r="T18" s="1">
        <f t="shared" si="8"/>
        <v>19</v>
      </c>
      <c r="U18" s="1">
        <f t="shared" si="8"/>
        <v>2523945</v>
      </c>
      <c r="V18" s="1">
        <f t="shared" si="8"/>
        <v>182843</v>
      </c>
      <c r="W18" s="1">
        <f t="shared" si="8"/>
        <v>233635</v>
      </c>
      <c r="X18" s="1">
        <f t="shared" si="8"/>
        <v>14609117</v>
      </c>
      <c r="Y18" s="1">
        <f t="shared" si="8"/>
        <v>0</v>
      </c>
      <c r="Z18" s="1">
        <f t="shared" si="8"/>
        <v>299964</v>
      </c>
      <c r="AA18" s="1">
        <f t="shared" si="8"/>
        <v>94970</v>
      </c>
      <c r="AB18" s="1">
        <f>SUM(AB10:AB17)</f>
        <v>4861322</v>
      </c>
      <c r="AC18" s="1">
        <f t="shared" si="8"/>
        <v>43710</v>
      </c>
      <c r="AD18" s="1">
        <f t="shared" si="8"/>
        <v>33441</v>
      </c>
      <c r="AE18" s="1">
        <f t="shared" si="8"/>
        <v>41954</v>
      </c>
      <c r="AF18" s="1">
        <f t="shared" si="8"/>
        <v>94</v>
      </c>
      <c r="AG18" s="1">
        <f t="shared" si="8"/>
        <v>18709</v>
      </c>
      <c r="AH18" s="1">
        <f t="shared" si="8"/>
        <v>9564</v>
      </c>
      <c r="AI18" s="1">
        <f t="shared" si="8"/>
        <v>977</v>
      </c>
      <c r="AJ18" s="1">
        <f t="shared" si="8"/>
        <v>2070</v>
      </c>
      <c r="AK18" s="1">
        <f t="shared" si="8"/>
        <v>28855</v>
      </c>
      <c r="AL18" s="1">
        <f t="shared" ref="AL18:AR18" si="9">SUM(AL10:AL17)</f>
        <v>186896</v>
      </c>
      <c r="AM18" s="1">
        <f t="shared" si="9"/>
        <v>16578</v>
      </c>
      <c r="AN18" s="1">
        <f t="shared" si="9"/>
        <v>27243</v>
      </c>
      <c r="AO18" s="1">
        <f t="shared" si="9"/>
        <v>0</v>
      </c>
      <c r="AP18" s="1">
        <f t="shared" si="9"/>
        <v>66678</v>
      </c>
      <c r="AQ18" s="1">
        <f t="shared" si="9"/>
        <v>175320</v>
      </c>
      <c r="AR18" s="1">
        <f t="shared" si="9"/>
        <v>235770</v>
      </c>
      <c r="AS18" s="1">
        <f t="shared" si="8"/>
        <v>272779</v>
      </c>
      <c r="AT18" s="1">
        <f>SUM(AT10:AT17)</f>
        <v>338610</v>
      </c>
      <c r="AU18" s="1">
        <f>SUM(AU10:AU17)</f>
        <v>310691</v>
      </c>
      <c r="AV18" s="1">
        <f>SUM(AV10:AV17)</f>
        <v>0</v>
      </c>
      <c r="AW18" s="1"/>
      <c r="AX18" s="1">
        <f t="shared" si="8"/>
        <v>100801</v>
      </c>
      <c r="AY18" s="1">
        <f t="shared" si="8"/>
        <v>0</v>
      </c>
      <c r="AZ18" s="1">
        <f t="shared" si="8"/>
        <v>24352</v>
      </c>
      <c r="BA18" s="1">
        <f>SUM(BA10:BA17)</f>
        <v>104225</v>
      </c>
      <c r="BB18" s="1">
        <f t="shared" si="8"/>
        <v>2480548</v>
      </c>
      <c r="BC18" s="1">
        <f t="shared" si="8"/>
        <v>1958692</v>
      </c>
      <c r="BD18" s="1">
        <f>SUM(BD10:BD17)</f>
        <v>17652</v>
      </c>
      <c r="BE18" s="1"/>
      <c r="BF18" s="1">
        <f t="shared" ref="BF18:BK18" si="10">SUM(BF10:BF17)</f>
        <v>42283271</v>
      </c>
      <c r="BG18" s="1">
        <f t="shared" si="10"/>
        <v>23234914</v>
      </c>
      <c r="BH18" s="1">
        <f t="shared" si="10"/>
        <v>112309</v>
      </c>
      <c r="BI18" s="1">
        <f>SUM(BI10:BI17)</f>
        <v>961022</v>
      </c>
      <c r="BJ18" s="1">
        <f>SUM(BJ10:BJ17)</f>
        <v>0</v>
      </c>
      <c r="BK18" s="1">
        <f t="shared" si="10"/>
        <v>12653</v>
      </c>
      <c r="BL18" s="1">
        <f>SUM(BL10:BL17)</f>
        <v>92882</v>
      </c>
      <c r="BM18" s="1">
        <f>SUM(BM10:BM17)</f>
        <v>651213</v>
      </c>
      <c r="BN18" s="1">
        <f>SUM(BN10:BN17)</f>
        <v>131576</v>
      </c>
      <c r="BO18" s="1"/>
      <c r="BP18" s="1">
        <f t="shared" ref="BP18:BW18" si="11">SUM(BP10:BP17)</f>
        <v>1961655</v>
      </c>
      <c r="BQ18" s="1"/>
      <c r="BR18" s="1">
        <f t="shared" si="11"/>
        <v>642401</v>
      </c>
      <c r="BS18" s="1">
        <f t="shared" si="11"/>
        <v>0</v>
      </c>
      <c r="BT18" s="1">
        <f t="shared" si="11"/>
        <v>0</v>
      </c>
      <c r="BU18" s="1">
        <f t="shared" si="11"/>
        <v>0</v>
      </c>
      <c r="BV18" s="1">
        <f>SUM(BV10:BV17)</f>
        <v>317</v>
      </c>
      <c r="BW18" s="1">
        <f t="shared" si="11"/>
        <v>13370</v>
      </c>
      <c r="BX18" s="3"/>
      <c r="BY18" s="1">
        <f>SUM(BY10:BY17)</f>
        <v>656088</v>
      </c>
      <c r="BZ18" s="1"/>
      <c r="CA18" s="1"/>
      <c r="CB18" s="1">
        <f t="shared" ref="CB18:CH18" si="12">SUM(CB10:CB17)</f>
        <v>0</v>
      </c>
      <c r="CC18" s="1">
        <f t="shared" si="12"/>
        <v>1840572</v>
      </c>
      <c r="CD18" s="1">
        <f t="shared" si="12"/>
        <v>130456</v>
      </c>
      <c r="CE18" s="1">
        <f t="shared" si="12"/>
        <v>166346</v>
      </c>
      <c r="CF18" s="1">
        <f t="shared" si="12"/>
        <v>1424933</v>
      </c>
      <c r="CG18" s="1">
        <f t="shared" si="12"/>
        <v>1481794</v>
      </c>
      <c r="CH18" s="1">
        <f t="shared" si="12"/>
        <v>46907</v>
      </c>
      <c r="CI18" s="1"/>
      <c r="CJ18" s="1">
        <f t="shared" ref="CJ18:CR18" si="13">SUM(CJ10:CJ17)</f>
        <v>5091008</v>
      </c>
      <c r="CK18" s="1"/>
      <c r="CL18" s="1">
        <f t="shared" si="13"/>
        <v>1910866</v>
      </c>
      <c r="CM18" s="1">
        <f t="shared" si="13"/>
        <v>567050</v>
      </c>
      <c r="CN18" s="1">
        <f t="shared" si="13"/>
        <v>898288</v>
      </c>
      <c r="CO18" s="1">
        <f t="shared" si="13"/>
        <v>505505</v>
      </c>
      <c r="CP18" s="1">
        <f t="shared" si="13"/>
        <v>2823255</v>
      </c>
      <c r="CQ18" s="1">
        <f t="shared" si="13"/>
        <v>829936</v>
      </c>
      <c r="CR18" s="1">
        <f t="shared" si="13"/>
        <v>6758880</v>
      </c>
      <c r="CS18" s="1"/>
      <c r="CT18" s="1"/>
      <c r="CU18" s="1">
        <f>SUM(CU10:CU17)</f>
        <v>14293780</v>
      </c>
      <c r="CW18" s="1">
        <f>SUM(CW10:CW17)</f>
        <v>4411269</v>
      </c>
      <c r="CX18" s="1">
        <f t="shared" ref="CX18:DC18" si="14">SUM(CX10:CX17)</f>
        <v>0</v>
      </c>
      <c r="CY18" s="1">
        <f t="shared" si="14"/>
        <v>13055</v>
      </c>
      <c r="CZ18" s="1">
        <f t="shared" si="14"/>
        <v>0</v>
      </c>
      <c r="DA18" s="1">
        <f t="shared" si="14"/>
        <v>0</v>
      </c>
      <c r="DB18" s="1">
        <f t="shared" si="14"/>
        <v>554703</v>
      </c>
      <c r="DC18" s="1">
        <f t="shared" si="14"/>
        <v>215485</v>
      </c>
      <c r="DD18" s="1">
        <f t="shared" ref="DD18" si="15">SUM(DD10:DD17)</f>
        <v>0</v>
      </c>
      <c r="DE18" s="1">
        <f t="shared" ref="DE18" si="16">SUM(DE10:DE17)</f>
        <v>2117</v>
      </c>
      <c r="DF18" s="1">
        <f t="shared" ref="DF18" si="17">SUM(DF10:DF17)</f>
        <v>0</v>
      </c>
      <c r="DG18" s="1">
        <f t="shared" ref="DG18" si="18">SUM(DG10:DG17)</f>
        <v>151548</v>
      </c>
      <c r="DH18" s="1">
        <f t="shared" ref="DH18" si="19">SUM(DH10:DH17)</f>
        <v>0</v>
      </c>
      <c r="DI18" s="1">
        <f t="shared" ref="DI18" si="20">SUM(DI10:DI17)</f>
        <v>0</v>
      </c>
      <c r="DJ18" s="1">
        <f t="shared" ref="DJ18" si="21">SUM(DJ10:DJ17)</f>
        <v>0</v>
      </c>
      <c r="DK18" s="1">
        <f t="shared" ref="DK18" si="22">SUM(DK10:DK17)</f>
        <v>0</v>
      </c>
      <c r="DL18" s="1">
        <f t="shared" ref="DL18" si="23">SUM(DL10:DL17)</f>
        <v>825294</v>
      </c>
      <c r="DM18" s="1">
        <f t="shared" ref="DM18" si="24">SUM(DM10:DM17)</f>
        <v>0</v>
      </c>
      <c r="DN18" s="1">
        <f t="shared" ref="DN18" si="25">SUM(DN10:DN17)</f>
        <v>168122</v>
      </c>
      <c r="DO18" s="1">
        <f t="shared" ref="DO18" si="26">SUM(DO10:DO17)</f>
        <v>0</v>
      </c>
      <c r="DP18" s="1">
        <f t="shared" ref="DP18" si="27">SUM(DP10:DP17)</f>
        <v>23554</v>
      </c>
      <c r="DQ18" s="1">
        <f t="shared" ref="DQ18" si="28">SUM(DQ10:DQ17)</f>
        <v>4819514</v>
      </c>
      <c r="DR18" s="1">
        <f t="shared" ref="DR18" si="29">SUM(DR10:DR17)</f>
        <v>178343718</v>
      </c>
      <c r="DS18" s="1">
        <f t="shared" ref="DS18" si="30">SUM(DS10:DS17)</f>
        <v>30831447</v>
      </c>
      <c r="DT18" s="1">
        <f t="shared" ref="DT18" si="31">SUM(DT10:DT17)</f>
        <v>26891124</v>
      </c>
      <c r="DV18" s="1"/>
      <c r="DW18" s="1">
        <f>SUM(DW10:DW17)</f>
        <v>247250950</v>
      </c>
      <c r="DX18" s="1094">
        <f>+D18+BF18-BD18+BP18+BY18+CJ18+CU18+DW18-DQ18-DR18</f>
        <v>143927869</v>
      </c>
      <c r="DY18" s="1"/>
      <c r="DZ18" s="1">
        <f>SUM(DZ10:DZ17)</f>
        <v>879061</v>
      </c>
      <c r="EC18" s="1">
        <f>SUM(EC10:EC17)</f>
        <v>0</v>
      </c>
      <c r="ED18" s="1">
        <f>6311452+331137+320345</f>
        <v>6962934</v>
      </c>
      <c r="EE18" s="1">
        <f>SUM(EE10:EE17)</f>
        <v>0</v>
      </c>
      <c r="EF18" s="1"/>
      <c r="EG18" s="1">
        <f>SUM(EG10:EG17)</f>
        <v>18010</v>
      </c>
    </row>
    <row r="19" spans="1:138" ht="15.75">
      <c r="A19" s="1"/>
      <c r="B19" s="1"/>
      <c r="C19" s="1"/>
      <c r="D19" s="1">
        <f>+D18+D46+D48+D49</f>
        <v>17642537</v>
      </c>
      <c r="E19" s="1">
        <f t="shared" ref="E19:BC19" si="32">+E18+E46+E48+E49</f>
        <v>2326406</v>
      </c>
      <c r="F19" s="1">
        <f t="shared" si="32"/>
        <v>18860</v>
      </c>
      <c r="G19" s="1">
        <f t="shared" si="32"/>
        <v>277470</v>
      </c>
      <c r="H19" s="1">
        <f t="shared" si="32"/>
        <v>422411</v>
      </c>
      <c r="I19" s="1">
        <f t="shared" si="32"/>
        <v>591019</v>
      </c>
      <c r="J19" s="1">
        <f t="shared" si="32"/>
        <v>4924946</v>
      </c>
      <c r="K19" s="1">
        <f t="shared" si="32"/>
        <v>1627</v>
      </c>
      <c r="L19" s="1">
        <f>+L18+L46+L48+L49</f>
        <v>24961</v>
      </c>
      <c r="M19" s="1">
        <f t="shared" si="32"/>
        <v>2253581</v>
      </c>
      <c r="N19" s="1">
        <f>+N18+N46+N48+N49</f>
        <v>175236</v>
      </c>
      <c r="O19" s="1">
        <f>+O18+O46+O48+O49</f>
        <v>58981</v>
      </c>
      <c r="P19" s="1">
        <f t="shared" si="32"/>
        <v>0</v>
      </c>
      <c r="Q19" s="1">
        <f t="shared" si="32"/>
        <v>1577208</v>
      </c>
      <c r="R19" s="1">
        <f t="shared" si="32"/>
        <v>490612</v>
      </c>
      <c r="S19" s="1">
        <f t="shared" si="32"/>
        <v>976563</v>
      </c>
      <c r="T19" s="1">
        <f>+T18+T46+T48+T49</f>
        <v>19</v>
      </c>
      <c r="U19" s="1">
        <f t="shared" si="32"/>
        <v>2958758</v>
      </c>
      <c r="V19" s="1">
        <f t="shared" si="32"/>
        <v>182843</v>
      </c>
      <c r="W19" s="1">
        <f t="shared" si="32"/>
        <v>239275</v>
      </c>
      <c r="X19" s="1">
        <f>+X18+X46+X48+X52</f>
        <v>15209042</v>
      </c>
      <c r="Y19" s="1">
        <f t="shared" si="32"/>
        <v>342640</v>
      </c>
      <c r="Z19" s="1">
        <f t="shared" si="32"/>
        <v>349964</v>
      </c>
      <c r="AA19" s="1">
        <f t="shared" si="32"/>
        <v>100610</v>
      </c>
      <c r="AB19" s="1">
        <f>+AB18+AB46+AB48+AB49</f>
        <v>5063769</v>
      </c>
      <c r="AC19" s="1">
        <f t="shared" si="32"/>
        <v>43710</v>
      </c>
      <c r="AD19" s="1">
        <f t="shared" si="32"/>
        <v>33441</v>
      </c>
      <c r="AE19" s="1">
        <f t="shared" si="32"/>
        <v>41954</v>
      </c>
      <c r="AF19" s="1">
        <f t="shared" si="32"/>
        <v>94</v>
      </c>
      <c r="AG19" s="1">
        <f t="shared" si="32"/>
        <v>18709</v>
      </c>
      <c r="AH19" s="1">
        <f t="shared" si="32"/>
        <v>9564</v>
      </c>
      <c r="AI19" s="1">
        <f t="shared" si="32"/>
        <v>977</v>
      </c>
      <c r="AJ19" s="1">
        <f t="shared" si="32"/>
        <v>2070</v>
      </c>
      <c r="AK19" s="1">
        <f t="shared" si="32"/>
        <v>28855</v>
      </c>
      <c r="AL19" s="1">
        <f t="shared" ref="AL19:AR19" si="33">+AL18+AL46+AL48+AL49</f>
        <v>186896</v>
      </c>
      <c r="AM19" s="1">
        <f t="shared" si="33"/>
        <v>16578</v>
      </c>
      <c r="AN19" s="1">
        <f t="shared" si="33"/>
        <v>27243</v>
      </c>
      <c r="AO19" s="1">
        <f t="shared" si="33"/>
        <v>0</v>
      </c>
      <c r="AP19" s="1">
        <f t="shared" si="33"/>
        <v>3281561</v>
      </c>
      <c r="AQ19" s="1">
        <f t="shared" si="33"/>
        <v>175320</v>
      </c>
      <c r="AR19" s="1">
        <f t="shared" si="33"/>
        <v>235770</v>
      </c>
      <c r="AS19" s="1">
        <f t="shared" si="32"/>
        <v>272779</v>
      </c>
      <c r="AT19" s="1">
        <f>+AT18+AT46+AT48+AT49</f>
        <v>351353</v>
      </c>
      <c r="AU19" s="1">
        <f>+AU18+AU46+AU48+AU49</f>
        <v>316331</v>
      </c>
      <c r="AV19" s="1">
        <f>+AV18+AV46+AV48+AV49</f>
        <v>0</v>
      </c>
      <c r="AW19" s="1"/>
      <c r="AX19" s="1">
        <f t="shared" si="32"/>
        <v>100801</v>
      </c>
      <c r="AY19" s="1">
        <f t="shared" si="32"/>
        <v>0</v>
      </c>
      <c r="AZ19" s="1">
        <f t="shared" si="32"/>
        <v>24352</v>
      </c>
      <c r="BA19" s="1">
        <f>+BA18+BA46+BA48+BA49</f>
        <v>104225</v>
      </c>
      <c r="BB19" s="1">
        <f t="shared" si="32"/>
        <v>2480548</v>
      </c>
      <c r="BC19" s="1">
        <f t="shared" si="32"/>
        <v>1970139</v>
      </c>
      <c r="BD19" s="1"/>
      <c r="BE19" s="1"/>
      <c r="BF19" s="1">
        <f>SUM(E19:BD19)</f>
        <v>48290071</v>
      </c>
      <c r="BG19" s="1"/>
      <c r="BH19" s="1">
        <f t="shared" ref="BH19:BN19" si="34">+BH18+BH46+BH48+BH49</f>
        <v>112309</v>
      </c>
      <c r="BI19" s="1">
        <f t="shared" si="34"/>
        <v>961022</v>
      </c>
      <c r="BJ19" s="1">
        <f t="shared" si="34"/>
        <v>0</v>
      </c>
      <c r="BK19" s="1">
        <f t="shared" si="34"/>
        <v>20628</v>
      </c>
      <c r="BL19" s="1">
        <f t="shared" si="34"/>
        <v>92882</v>
      </c>
      <c r="BM19" s="1">
        <f>+BM18+BM46+BM48+BM49</f>
        <v>651213</v>
      </c>
      <c r="BN19" s="1">
        <f t="shared" si="34"/>
        <v>131576</v>
      </c>
      <c r="BO19" s="1"/>
      <c r="BP19" s="1">
        <f>SUM(BH19:BO19)</f>
        <v>1969630</v>
      </c>
      <c r="BQ19" s="1"/>
      <c r="BR19" s="1">
        <f t="shared" ref="BR19:BW19" si="35">+BR18+BR46+BR48+BR52</f>
        <v>4698212</v>
      </c>
      <c r="BS19" s="1">
        <f t="shared" si="35"/>
        <v>0</v>
      </c>
      <c r="BT19" s="1">
        <f t="shared" si="35"/>
        <v>467894</v>
      </c>
      <c r="BU19" s="1">
        <f t="shared" si="35"/>
        <v>0</v>
      </c>
      <c r="BV19" s="1">
        <f t="shared" si="35"/>
        <v>317</v>
      </c>
      <c r="BW19" s="1">
        <f t="shared" si="35"/>
        <v>1290794</v>
      </c>
      <c r="BX19" s="3"/>
      <c r="BY19" s="1">
        <f>SUM(BR19:BX19)</f>
        <v>6457217</v>
      </c>
      <c r="BZ19" s="1"/>
      <c r="CA19" s="1"/>
      <c r="CB19" s="1">
        <f t="shared" ref="CB19:CH19" si="36">+CB18+CB46+CB48+CB49</f>
        <v>0</v>
      </c>
      <c r="CC19" s="1">
        <f t="shared" si="36"/>
        <v>1890572</v>
      </c>
      <c r="CD19" s="1">
        <f t="shared" si="36"/>
        <v>130456</v>
      </c>
      <c r="CE19" s="1">
        <f t="shared" si="36"/>
        <v>166346</v>
      </c>
      <c r="CF19" s="1">
        <f t="shared" si="36"/>
        <v>1424933</v>
      </c>
      <c r="CG19" s="1">
        <f t="shared" si="36"/>
        <v>1481876</v>
      </c>
      <c r="CH19" s="1">
        <f t="shared" si="36"/>
        <v>46907</v>
      </c>
      <c r="CI19" s="1"/>
      <c r="CJ19" s="1">
        <f>SUM(CB19:CI19)</f>
        <v>5141090</v>
      </c>
      <c r="CK19" s="1"/>
      <c r="CL19" s="1">
        <f t="shared" ref="CL19:CR19" si="37">+CL18+CL46+CL48+CL49</f>
        <v>2466608</v>
      </c>
      <c r="CM19" s="1">
        <f t="shared" si="37"/>
        <v>567050</v>
      </c>
      <c r="CN19" s="1">
        <f t="shared" si="37"/>
        <v>898288</v>
      </c>
      <c r="CO19" s="1">
        <f t="shared" si="37"/>
        <v>505505</v>
      </c>
      <c r="CP19" s="1">
        <f t="shared" si="37"/>
        <v>2824390</v>
      </c>
      <c r="CQ19" s="1">
        <f t="shared" si="37"/>
        <v>929936</v>
      </c>
      <c r="CR19" s="1">
        <f t="shared" si="37"/>
        <v>8258880</v>
      </c>
      <c r="CS19" s="1"/>
      <c r="CT19" s="1"/>
      <c r="CU19" s="1">
        <f>SUM(CL19:CT19)</f>
        <v>16450657</v>
      </c>
      <c r="CW19" s="1"/>
      <c r="CX19" s="1"/>
      <c r="CY19" s="1"/>
      <c r="CZ19" s="1"/>
      <c r="DA19" s="1"/>
      <c r="DB19" s="1"/>
      <c r="DC19" s="1"/>
      <c r="DD19" s="1"/>
      <c r="DE19" s="1"/>
      <c r="DF19" s="1"/>
      <c r="DG19" s="1"/>
      <c r="DH19" s="1"/>
      <c r="DI19" s="1"/>
      <c r="DJ19" s="1"/>
      <c r="DK19" s="1"/>
      <c r="DL19" s="1"/>
      <c r="DM19" s="1"/>
      <c r="DN19" s="1"/>
      <c r="DO19" s="1"/>
      <c r="DP19" s="1"/>
      <c r="DQ19" s="1"/>
      <c r="DR19" s="1"/>
      <c r="DS19" s="1"/>
      <c r="DT19" s="1"/>
      <c r="DV19" s="1"/>
      <c r="DW19" s="1"/>
      <c r="DX19" s="1093" t="s">
        <v>3232</v>
      </c>
      <c r="DY19" s="1"/>
      <c r="DZ19" s="1"/>
      <c r="EC19" s="1"/>
      <c r="ED19" s="1">
        <f>+ED18-EC18</f>
        <v>6962934</v>
      </c>
      <c r="EE19" s="1"/>
      <c r="EF19" s="1"/>
      <c r="EG19" s="1"/>
    </row>
    <row r="20" spans="1:138" ht="15.75">
      <c r="A20" s="1"/>
      <c r="B20" s="7" t="s">
        <v>202</v>
      </c>
      <c r="C20" s="7"/>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f>SUM(Y19:BC19)</f>
        <v>15580253</v>
      </c>
      <c r="BD20" s="1"/>
      <c r="BE20" s="1"/>
      <c r="BF20" s="1"/>
      <c r="BG20" s="1"/>
      <c r="BH20" s="1"/>
      <c r="BI20" s="1"/>
      <c r="BJ20" s="1"/>
      <c r="BK20" s="1"/>
      <c r="BL20" s="1"/>
      <c r="BM20" s="1"/>
      <c r="BN20" s="1"/>
      <c r="BO20" s="1"/>
      <c r="BP20" s="1"/>
      <c r="BQ20" s="1"/>
      <c r="BR20" s="1"/>
      <c r="BS20" s="1"/>
      <c r="BT20" s="1"/>
      <c r="BU20" s="1"/>
      <c r="BV20" s="1"/>
      <c r="BW20" s="1"/>
      <c r="BX20" s="3"/>
      <c r="BY20" s="1"/>
      <c r="BZ20" s="1"/>
      <c r="CA20" s="1"/>
      <c r="CB20" s="1"/>
      <c r="CC20" s="1"/>
      <c r="CD20" s="1"/>
      <c r="CE20" s="1"/>
      <c r="CF20" s="1"/>
      <c r="CG20" s="1"/>
      <c r="CH20" s="1"/>
      <c r="CI20" s="1"/>
      <c r="CJ20" s="1"/>
      <c r="CK20" s="1"/>
      <c r="CL20" s="1"/>
      <c r="CM20" s="1"/>
      <c r="CN20" s="1"/>
      <c r="CO20" s="1"/>
      <c r="CP20" s="1"/>
      <c r="CQ20" s="1"/>
      <c r="CR20" s="1"/>
      <c r="CS20" s="1"/>
      <c r="CT20" s="1"/>
      <c r="CU20" s="1"/>
      <c r="CW20" s="1"/>
      <c r="CX20" s="1"/>
      <c r="CY20" s="1"/>
      <c r="CZ20" s="1"/>
      <c r="DA20" s="1"/>
      <c r="DB20" s="1"/>
      <c r="DC20" s="1"/>
      <c r="DD20" s="1"/>
      <c r="DE20" s="1"/>
      <c r="DF20" s="1"/>
      <c r="DG20" s="1"/>
      <c r="DH20" s="1"/>
      <c r="DI20" s="1"/>
      <c r="DJ20" s="1"/>
      <c r="DK20" s="1"/>
      <c r="DL20" s="1"/>
      <c r="DM20" s="1"/>
      <c r="DN20" s="1"/>
      <c r="DO20" s="1"/>
      <c r="DP20" s="1"/>
      <c r="DQ20" s="1"/>
      <c r="DR20" s="1"/>
      <c r="DS20" s="1"/>
      <c r="DT20" s="1"/>
      <c r="DV20" s="1"/>
      <c r="DW20" s="1"/>
      <c r="DX20" s="1"/>
      <c r="DY20" s="1"/>
      <c r="DZ20" s="1"/>
      <c r="EC20" s="1"/>
      <c r="ED20" s="1"/>
      <c r="EE20" s="1"/>
      <c r="EF20" s="1"/>
      <c r="EG20" s="1"/>
    </row>
    <row r="21" spans="1:138" ht="15.75">
      <c r="A21" s="1"/>
      <c r="B21" s="1" t="s">
        <v>203</v>
      </c>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77" t="s">
        <v>3360</v>
      </c>
      <c r="BE21" s="1"/>
      <c r="BF21" s="1"/>
      <c r="BG21" s="1"/>
      <c r="BH21" s="1"/>
      <c r="BI21" s="1"/>
      <c r="BJ21" s="1"/>
      <c r="BK21" s="1"/>
      <c r="BL21" s="1"/>
      <c r="BM21" s="1"/>
      <c r="BN21" s="1"/>
      <c r="BO21" s="1"/>
      <c r="BP21" s="1"/>
      <c r="BQ21" s="1"/>
      <c r="BR21" s="1"/>
      <c r="BS21" s="1"/>
      <c r="BT21" s="1"/>
      <c r="BU21" s="1"/>
      <c r="BV21" s="1"/>
      <c r="BW21" s="1"/>
      <c r="BX21" s="3"/>
      <c r="BY21" s="1"/>
      <c r="BZ21" s="1"/>
      <c r="CA21" s="1"/>
      <c r="CB21" s="1"/>
      <c r="CC21" s="1"/>
      <c r="CD21" s="1"/>
      <c r="CE21" s="1"/>
      <c r="CF21" s="1"/>
      <c r="CG21" s="1"/>
      <c r="CH21" s="1"/>
      <c r="CI21" s="1"/>
      <c r="CJ21" s="1"/>
      <c r="CK21" s="1"/>
      <c r="CL21" s="1"/>
      <c r="CM21" s="1"/>
      <c r="CN21" s="1"/>
      <c r="CO21" s="1"/>
      <c r="CP21" s="1"/>
      <c r="CQ21" s="1"/>
      <c r="CR21" s="1"/>
      <c r="CS21" s="1"/>
      <c r="CT21" s="1"/>
      <c r="CU21" s="1"/>
      <c r="CW21" s="1"/>
      <c r="CX21" s="1"/>
      <c r="CY21" s="1"/>
      <c r="CZ21" s="1"/>
      <c r="DA21" s="1"/>
      <c r="DB21" s="1"/>
      <c r="DC21" s="1"/>
      <c r="DD21" s="1"/>
      <c r="DE21" s="1"/>
      <c r="DF21" s="1"/>
      <c r="DG21" s="1"/>
      <c r="DH21" s="1"/>
      <c r="DI21" s="1"/>
      <c r="DJ21" s="1"/>
      <c r="DK21" s="1"/>
      <c r="DL21" s="1"/>
      <c r="DM21" s="1"/>
      <c r="DN21" s="1"/>
      <c r="DO21" s="1"/>
      <c r="DP21" s="1"/>
      <c r="DQ21" s="1"/>
      <c r="DR21" s="1"/>
      <c r="DS21" s="1"/>
      <c r="DT21" s="1"/>
      <c r="DV21" s="1"/>
      <c r="DW21" s="1"/>
      <c r="DX21" s="1"/>
      <c r="DY21" s="1"/>
      <c r="DZ21" s="1"/>
      <c r="EC21" s="1"/>
      <c r="ED21" s="1"/>
      <c r="EE21" s="1"/>
      <c r="EF21" s="1"/>
      <c r="EG21" s="1"/>
    </row>
    <row r="22" spans="1:138" ht="15.75">
      <c r="A22" s="1"/>
      <c r="B22" s="1" t="s">
        <v>204</v>
      </c>
      <c r="C22" s="1"/>
      <c r="D22" s="1">
        <f>+'GEN BUDACT'!F120</f>
        <v>10149537</v>
      </c>
      <c r="E22" s="1">
        <f>+'SR BUDACT'!E29+'SR BUDACT'!E30</f>
        <v>0</v>
      </c>
      <c r="F22" s="1">
        <f>+'SR BUDACT'!I29+'SR BUDACT'!I30</f>
        <v>0</v>
      </c>
      <c r="G22" s="1">
        <f>+'SR BUDACT'!O29+'SR BUDACT'!O30</f>
        <v>0</v>
      </c>
      <c r="H22" s="1">
        <f>+'SR BUDACT'!S29+'SR BUDACT'!S30</f>
        <v>0</v>
      </c>
      <c r="I22" s="1">
        <f>+'SR BUDACT'!Y29+'SR BUDACT'!Y30</f>
        <v>0</v>
      </c>
      <c r="J22" s="1">
        <f>+'SR BUDACT'!AC29+'SR BUDACT'!AC30</f>
        <v>0</v>
      </c>
      <c r="K22" s="1">
        <f>+'SR BUDACT'!AI29+'SR BUDACT'!AI30</f>
        <v>0</v>
      </c>
      <c r="L22" s="1">
        <f>+'SR BUDACT'!AM29+'SR BUDACT'!AM30</f>
        <v>0</v>
      </c>
      <c r="M22" s="1">
        <f>+'SR BUDACT'!AS29+'SR BUDACT'!AS30</f>
        <v>1744371</v>
      </c>
      <c r="N22" s="1">
        <f>+'SR BUDACT'!AW29+'SR BUDACT'!AW30</f>
        <v>0</v>
      </c>
      <c r="O22" s="1">
        <f>+'SR BUDACT'!BC29+'SR BUDACT'!BC30</f>
        <v>0</v>
      </c>
      <c r="P22" s="1">
        <f>+'SR BUDACT'!JB29+'SR BUDACT'!JB30</f>
        <v>0</v>
      </c>
      <c r="Q22" s="1">
        <f>+'SR BUDACT'!BK29+'SR BUDACT'!BK30</f>
        <v>0</v>
      </c>
      <c r="R22" s="1">
        <f>+'SR BUDACT'!BQ29+'SR BUDACT'!BQ30</f>
        <v>0</v>
      </c>
      <c r="S22" s="1">
        <f>+'SR BUDACT'!BU29+'SR BUDACT'!BU30</f>
        <v>1062979</v>
      </c>
      <c r="T22" s="1">
        <f>+'SR BUDACT'!CA29+'SR BUDACT'!CA30</f>
        <v>0</v>
      </c>
      <c r="U22" s="1">
        <f>+'SR BUDACT'!CE29+'SR BUDACT'!CE30</f>
        <v>0</v>
      </c>
      <c r="V22" s="1">
        <f>+'SR BUDACT'!CK29+'SR BUDACT'!CK30</f>
        <v>0</v>
      </c>
      <c r="W22" s="1">
        <f>+'SR BUDACT'!CO29+'SR BUDACT'!CO30</f>
        <v>0</v>
      </c>
      <c r="X22" s="1">
        <f>+'MAJ GOV BUDACT'!E27</f>
        <v>0</v>
      </c>
      <c r="Y22" s="1">
        <f>+'SR BUDACT'!CU29+'SR BUDACT'!CU30</f>
        <v>0</v>
      </c>
      <c r="Z22" s="1">
        <f>+'SR BUDACT'!CY29+'SR BUDACT'!CY30</f>
        <v>0</v>
      </c>
      <c r="AA22" s="1">
        <f>+'SR BUDACT'!DE29+'SR BUDACT'!DE30</f>
        <v>108245</v>
      </c>
      <c r="AB22" s="1">
        <f>+'SR BUDACT'!DI29+'SR BUDACT'!DI30</f>
        <v>0</v>
      </c>
      <c r="AC22" s="1">
        <f>+'SR BUDACT'!DO29+'SR BUDACT'!DO30</f>
        <v>0</v>
      </c>
      <c r="AD22" s="1">
        <f>+'SR BUDACT'!DS29+'SR BUDACT'!DS30</f>
        <v>0</v>
      </c>
      <c r="AE22" s="1">
        <f>+'SR BUDACT'!DY29+'SR BUDACT'!DY30</f>
        <v>0</v>
      </c>
      <c r="AF22" s="1">
        <f>+'SR BUDACT'!EC29+'SR BUDACT'!EC30</f>
        <v>0</v>
      </c>
      <c r="AG22" s="1">
        <f>+'SR BUDACT'!EI29+'SR BUDACT'!EI30</f>
        <v>73060</v>
      </c>
      <c r="AH22" s="1">
        <f>+'SR BUDACT'!EM29+'SR BUDACT'!EM30</f>
        <v>103446</v>
      </c>
      <c r="AI22" s="1">
        <f>+'SR BUDACT'!ES29+'SR BUDACT'!ES30</f>
        <v>0</v>
      </c>
      <c r="AJ22" s="1">
        <f>+'SR BUDACT'!EW29+'SR BUDACT'!EW30</f>
        <v>0</v>
      </c>
      <c r="AK22" s="1">
        <f>+'SR BUDACT'!FC29+'SR BUDACT'!FC30</f>
        <v>0</v>
      </c>
      <c r="AL22" s="1">
        <f>+'SR BUDACT'!FG29+'SR BUDACT'!FG30</f>
        <v>0</v>
      </c>
      <c r="AM22" s="1">
        <f>+'SR BUDACT'!FM29+'SR BUDACT'!FM30</f>
        <v>0</v>
      </c>
      <c r="AN22" s="1">
        <f>+'SR BUDACT'!FQ29+'SR BUDACT'!FQ30</f>
        <v>0</v>
      </c>
      <c r="AO22" s="1">
        <f>+'SR BUDACT'!FW29+'SR BUDACT'!FW30</f>
        <v>0</v>
      </c>
      <c r="AP22" s="1">
        <f>+'SR BUDACT'!GA29+'SR BUDACT'!GA30</f>
        <v>2020387</v>
      </c>
      <c r="AQ22" s="1">
        <f>+'SR BUDACT'!GE29+'SR BUDACT'!GE30</f>
        <v>0</v>
      </c>
      <c r="AR22" s="1">
        <f>+'SR BUDACT'!GK29+'SR BUDACT'!GK30</f>
        <v>0</v>
      </c>
      <c r="AS22" s="1">
        <f>+'SR BUDACT'!GP29+'SR BUDACT'!GP30</f>
        <v>0</v>
      </c>
      <c r="AT22" s="1">
        <f>+'SR BUDACT'!GV29+'SR BUDACT'!GV30</f>
        <v>0</v>
      </c>
      <c r="AU22" s="1">
        <f>+'SR BUDACT'!GZ29+'SR BUDACT'!GZ30</f>
        <v>249556</v>
      </c>
      <c r="AV22" s="1">
        <f>+'SR BUDACT'!HF29+'SR BUDACT'!HF30</f>
        <v>0</v>
      </c>
      <c r="AW22" s="1"/>
      <c r="AX22" s="1">
        <f>+'SR BUDACT'!HJ29+'SR BUDACT'!HJ30</f>
        <v>0</v>
      </c>
      <c r="AY22" s="1">
        <f>+'SR BUDACT'!HT29+'SR BUDACT'!HT30</f>
        <v>0</v>
      </c>
      <c r="AZ22" s="1">
        <f>+'SR BUDACT'!HX29+'SR BUDACT'!HX30</f>
        <v>0</v>
      </c>
      <c r="BA22" s="1">
        <f>+'SR BUDACT'!ID29+'SR BUDACT'!ID30</f>
        <v>0</v>
      </c>
      <c r="BB22" s="1">
        <f>+'MAJ GOV BUDACT (2)'!E28+'MAJ GOV BUDACT (2)'!E29</f>
        <v>1251274</v>
      </c>
      <c r="BC22" s="1">
        <f>+'MAJ GOV BUDACT (3)'!E28+'MAJ GOV BUDACT (3)'!E29</f>
        <v>0</v>
      </c>
      <c r="BD22" s="1"/>
      <c r="BE22" s="1"/>
      <c r="BF22" s="1">
        <f t="shared" ref="BF22:BF38" si="38">SUM(E22:BE22)</f>
        <v>6613318</v>
      </c>
      <c r="BG22" s="1">
        <f>+BF22-X22-P22-BC22-BB22</f>
        <v>5362044</v>
      </c>
      <c r="BH22" s="1">
        <f>+'DS BUDACT'!D28</f>
        <v>0</v>
      </c>
      <c r="BI22" s="1">
        <f>+'DS BUDACT'!H28</f>
        <v>0</v>
      </c>
      <c r="BJ22" s="1">
        <f>+'DS BUDACT'!N28</f>
        <v>0</v>
      </c>
      <c r="BK22" s="1">
        <f>+'DS BUDACT'!R28</f>
        <v>0</v>
      </c>
      <c r="BL22" s="1">
        <f>+'DS BUDACT'!W28</f>
        <v>0</v>
      </c>
      <c r="BM22" s="1">
        <f>+'DS BUDACT'!AC28</f>
        <v>0</v>
      </c>
      <c r="BN22" s="1">
        <f>+'DS BUDACT'!AI28</f>
        <v>0</v>
      </c>
      <c r="BO22" s="1"/>
      <c r="BP22" s="1">
        <f t="shared" ref="BP22:BP40" si="39">SUM(BH22:BN22)</f>
        <v>0</v>
      </c>
      <c r="BQ22" s="1"/>
      <c r="BR22" s="1">
        <f>+'CP BUDACT'!D29+'CP BUDACT'!D30</f>
        <v>937979</v>
      </c>
      <c r="BS22" s="1">
        <f>+'CP BUDACT'!H29+'CP BUDACT'!H30</f>
        <v>0</v>
      </c>
      <c r="BT22" s="1">
        <f>+'CP BUDACT'!M29+'CP BUDACT'!M30</f>
        <v>0</v>
      </c>
      <c r="BU22" s="1">
        <f>+'CP BUDACT'!Q29+'CP BUDACT'!Q30</f>
        <v>0</v>
      </c>
      <c r="BV22" s="1">
        <f>+'CP BUDACT'!V29+'CP BUDACT'!V30</f>
        <v>0</v>
      </c>
      <c r="BW22" s="1">
        <f>+'CP BUDACT'!Z29+'CP BUDACT'!Z30</f>
        <v>0</v>
      </c>
      <c r="BX22" s="3"/>
      <c r="BY22" s="1">
        <f t="shared" ref="BY22:BY29" si="40">SUM(BR22:BX22)</f>
        <v>937979</v>
      </c>
      <c r="BZ22" s="1"/>
      <c r="CA22" s="1"/>
      <c r="CB22" s="1"/>
      <c r="CC22" s="1"/>
      <c r="CD22" s="1"/>
      <c r="CE22" s="1"/>
      <c r="CF22" s="1"/>
      <c r="CG22" s="1"/>
      <c r="CH22" s="1"/>
      <c r="CI22" s="1"/>
      <c r="CJ22" s="1">
        <f t="shared" ref="CJ22:CJ29" si="41">SUM(CB22:CI22)</f>
        <v>0</v>
      </c>
      <c r="CK22" s="1"/>
      <c r="CL22" s="1"/>
      <c r="CM22" s="1"/>
      <c r="CN22" s="1"/>
      <c r="CO22" s="1"/>
      <c r="CP22" s="1"/>
      <c r="CQ22" s="1"/>
      <c r="CR22" s="1"/>
      <c r="CS22" s="1"/>
      <c r="CT22" s="1"/>
      <c r="CU22" s="1">
        <f t="shared" ref="CU22:CU29" si="42">SUM(CL22:CT22)</f>
        <v>0</v>
      </c>
      <c r="CW22" s="1"/>
      <c r="CX22" s="1"/>
      <c r="CY22" s="1"/>
      <c r="CZ22" s="1"/>
      <c r="DA22" s="1"/>
      <c r="DB22" s="1"/>
      <c r="DC22" s="1"/>
      <c r="DD22" s="1"/>
      <c r="DE22" s="1"/>
      <c r="DF22" s="1"/>
      <c r="DG22" s="1"/>
      <c r="DH22" s="1"/>
      <c r="DI22" s="1"/>
      <c r="DJ22" s="1"/>
      <c r="DK22" s="1"/>
      <c r="DL22" s="1"/>
      <c r="DM22" s="1"/>
      <c r="DN22" s="1"/>
      <c r="DO22" s="1"/>
      <c r="DP22" s="1"/>
      <c r="DQ22" s="1"/>
      <c r="DR22" s="1"/>
      <c r="DS22" s="1"/>
      <c r="DT22" s="1"/>
      <c r="DV22" s="1"/>
      <c r="DW22" s="1">
        <f t="shared" ref="DW22:DW29" si="43">SUM(CY22:DV22)</f>
        <v>0</v>
      </c>
      <c r="DX22" s="1"/>
      <c r="DY22" s="1"/>
      <c r="DZ22" s="1"/>
      <c r="EC22" s="1"/>
      <c r="ED22" s="1"/>
      <c r="EE22" s="1"/>
      <c r="EF22" s="1"/>
      <c r="EG22" s="1"/>
    </row>
    <row r="23" spans="1:138" ht="15.75">
      <c r="A23" s="1"/>
      <c r="B23" s="1" t="s">
        <v>205</v>
      </c>
      <c r="C23" s="1"/>
      <c r="D23" s="1">
        <f>+'GEN BUDACT'!F130</f>
        <v>126828</v>
      </c>
      <c r="E23" s="1">
        <f>+'SR BUDACT'!E32+'SR BUDACT'!E33</f>
        <v>0</v>
      </c>
      <c r="F23" s="1">
        <f>+'SR BUDACT'!I32+'SR BUDACT'!I33</f>
        <v>0</v>
      </c>
      <c r="G23" s="1">
        <f>+'SR BUDACT'!O32+'SR BUDACT'!O33</f>
        <v>0</v>
      </c>
      <c r="H23" s="1">
        <f>+'SR BUDACT'!S32+'SR BUDACT'!S33</f>
        <v>0</v>
      </c>
      <c r="I23" s="1">
        <f>+'SR BUDACT'!Y32+'SR BUDACT'!Y33</f>
        <v>253616</v>
      </c>
      <c r="J23" s="1">
        <f>+'SR BUDACT'!AC32+'SR BUDACT'!AC33</f>
        <v>0</v>
      </c>
      <c r="K23" s="1">
        <f>+'SR BUDACT'!AI32+'SR BUDACT'!AI33</f>
        <v>0</v>
      </c>
      <c r="L23" s="1">
        <f>+'SR BUDACT'!AM32+'SR BUDACT'!AM33</f>
        <v>0</v>
      </c>
      <c r="M23" s="1">
        <f>+'SR BUDACT'!AS32+'SR BUDACT'!AS33</f>
        <v>366764</v>
      </c>
      <c r="N23" s="1">
        <f>+'SR BUDACT'!AW32+'SR BUDACT'!AW33</f>
        <v>101961</v>
      </c>
      <c r="O23" s="1">
        <f>+'SR BUDACT'!BC32+'SR BUDACT'!BC33</f>
        <v>0</v>
      </c>
      <c r="P23" s="1">
        <f>+'SR BUDACT'!JB32+'SR BUDACT'!JB33</f>
        <v>0</v>
      </c>
      <c r="Q23" s="1">
        <f>+'SR BUDACT'!BK32+'SR BUDACT'!BK33</f>
        <v>0</v>
      </c>
      <c r="R23" s="1">
        <f>+'SR BUDACT'!BQ32+'SR BUDACT'!BQ33</f>
        <v>0</v>
      </c>
      <c r="S23" s="1">
        <f>+'SR BUDACT'!BU32+'SR BUDACT'!BU33</f>
        <v>0</v>
      </c>
      <c r="T23" s="1">
        <f>+'SR BUDACT'!CA32+'SR BUDACT'!CA33</f>
        <v>0</v>
      </c>
      <c r="U23" s="1">
        <f>+'SR BUDACT'!CE32+'SR BUDACT'!CE33</f>
        <v>0</v>
      </c>
      <c r="V23" s="1">
        <f>+'SR BUDACT'!CK32+'SR BUDACT'!CK33</f>
        <v>0</v>
      </c>
      <c r="W23" s="1">
        <f>+'SR BUDACT'!CO32+'SR BUDACT'!CO33</f>
        <v>0</v>
      </c>
      <c r="X23" s="1">
        <f>+'MAJ GOV BUDACT'!E31+'MAJ GOV BUDACT'!E32</f>
        <v>13326072</v>
      </c>
      <c r="Y23" s="1">
        <f>+'SR BUDACT'!CU32+'SR BUDACT'!CU33</f>
        <v>302307</v>
      </c>
      <c r="Z23" s="1">
        <f>+'SR BUDACT'!CY32+'SR BUDACT'!CY33</f>
        <v>296998</v>
      </c>
      <c r="AA23" s="1">
        <f>+'SR BUDACT'!DE32+'SR BUDACT'!DE33</f>
        <v>0</v>
      </c>
      <c r="AB23" s="1">
        <f>+'SR BUDACT'!DI32+'SR BUDACT'!DI33</f>
        <v>4412224</v>
      </c>
      <c r="AC23" s="1">
        <f>+'SR BUDACT'!DO32+'SR BUDACT'!DO33</f>
        <v>0</v>
      </c>
      <c r="AD23" s="1">
        <f>+'SR BUDACT'!DS32+'SR BUDACT'!DS33</f>
        <v>0</v>
      </c>
      <c r="AE23" s="1">
        <f>+'SR BUDACT'!DY32+'SR BUDACT'!DY33</f>
        <v>0</v>
      </c>
      <c r="AF23" s="1">
        <f>+'SR BUDACT'!EC32+'SR BUDACT'!EC33</f>
        <v>0</v>
      </c>
      <c r="AG23" s="1">
        <f>+'SR BUDACT'!EI32+'SR BUDACT'!EI33</f>
        <v>0</v>
      </c>
      <c r="AH23" s="1">
        <f>+'SR BUDACT'!EM32+'SR BUDACT'!EM33</f>
        <v>0</v>
      </c>
      <c r="AI23" s="1">
        <f>+'SR BUDACT'!ES32+'SR BUDACT'!ES33</f>
        <v>0</v>
      </c>
      <c r="AJ23" s="1">
        <f>+'SR BUDACT'!EW32+'SR BUDACT'!EW33</f>
        <v>0</v>
      </c>
      <c r="AK23" s="1">
        <f>+'SR BUDACT'!FC32+'SR BUDACT'!FC33</f>
        <v>0</v>
      </c>
      <c r="AL23" s="1">
        <f>+'SR BUDACT'!FG32+'SR BUDACT'!FG33</f>
        <v>0</v>
      </c>
      <c r="AM23" s="1">
        <f>+'SR BUDACT'!FM32+'SR BUDACT'!FM33</f>
        <v>0</v>
      </c>
      <c r="AN23" s="1">
        <f>+'SR BUDACT'!FQ32+'SR BUDACT'!FQ33</f>
        <v>0</v>
      </c>
      <c r="AO23" s="1">
        <f>+'SR BUDACT'!FW32+'SR BUDACT'!FW33</f>
        <v>0</v>
      </c>
      <c r="AP23" s="1">
        <f>+'SR BUDACT'!GA32+'SR BUDACT'!GA33</f>
        <v>0</v>
      </c>
      <c r="AQ23" s="1">
        <f>+'SR BUDACT'!GE32+'SR BUDACT'!GE33</f>
        <v>0</v>
      </c>
      <c r="AR23" s="1">
        <f>+'SR BUDACT'!GK32+'SR BUDACT'!GK33</f>
        <v>0</v>
      </c>
      <c r="AS23" s="1">
        <f>+'SR BUDACT'!GP32+'SR BUDACT'!GP33</f>
        <v>0</v>
      </c>
      <c r="AT23" s="1">
        <f>+'SR BUDACT'!GV32+'SR BUDACT'!GV33</f>
        <v>0</v>
      </c>
      <c r="AU23" s="1">
        <f>+'SR BUDACT'!GZ32+'SR BUDACT'!GZ33</f>
        <v>0</v>
      </c>
      <c r="AV23" s="1">
        <f>+'SR BUDACT'!HF32+'SR BUDACT'!HF33</f>
        <v>22045</v>
      </c>
      <c r="AW23" s="1"/>
      <c r="AX23" s="1">
        <f>+'SR BUDACT'!HJ32+'SR BUDACT'!HJ33</f>
        <v>50045</v>
      </c>
      <c r="AY23" s="1">
        <f>+'SR BUDACT'!HT32+'SR BUDACT'!HT33</f>
        <v>0</v>
      </c>
      <c r="AZ23" s="1">
        <f>+'SR BUDACT'!HX32+'SR BUDACT'!HX33</f>
        <v>0</v>
      </c>
      <c r="BA23" s="1">
        <f>+'SR BUDACT'!ID32+'SR BUDACT'!ID33</f>
        <v>87008</v>
      </c>
      <c r="BB23" s="1">
        <f>+'MAJ GOV BUDACT (2)'!E31+'MAJ GOV BUDACT (2)'!E32</f>
        <v>794566</v>
      </c>
      <c r="BC23" s="1">
        <f>+'MAJ GOV BUDACT (3)'!F31+'MAJ GOV BUDACT (3)'!F32</f>
        <v>0</v>
      </c>
      <c r="BD23" s="1"/>
      <c r="BE23" s="1"/>
      <c r="BF23" s="1">
        <f t="shared" si="38"/>
        <v>20013606</v>
      </c>
      <c r="BG23" s="1">
        <f t="shared" ref="BG23:BG29" si="44">+BF23-X23-P23-BC23-BB23</f>
        <v>5892968</v>
      </c>
      <c r="BH23" s="1">
        <f>+'DS BUDACT'!D29</f>
        <v>0</v>
      </c>
      <c r="BI23" s="1">
        <f>+'DS BUDACT'!H29</f>
        <v>0</v>
      </c>
      <c r="BJ23" s="1">
        <f>+'DS BUDACT'!N29</f>
        <v>0</v>
      </c>
      <c r="BK23" s="1">
        <f>+'DS BUDACT'!R29</f>
        <v>0</v>
      </c>
      <c r="BL23" s="1">
        <f>+'DS BUDACT'!W29</f>
        <v>0</v>
      </c>
      <c r="BM23" s="1">
        <f>+'DS BUDACT'!AC29</f>
        <v>0</v>
      </c>
      <c r="BN23" s="1">
        <f>+'DS BUDACT'!AI29</f>
        <v>0</v>
      </c>
      <c r="BO23" s="1"/>
      <c r="BP23" s="1">
        <f t="shared" si="39"/>
        <v>0</v>
      </c>
      <c r="BQ23" s="1"/>
      <c r="BR23" s="1">
        <f>+'CP BUDACT'!D32+'CP BUDACT'!D33</f>
        <v>248609</v>
      </c>
      <c r="BS23" s="1">
        <f>+'CP BUDACT'!H32+'CP BUDACT'!H33</f>
        <v>0</v>
      </c>
      <c r="BT23" s="1">
        <f>+'CP BUDACT'!M32+'CP BUDACT'!M33</f>
        <v>0</v>
      </c>
      <c r="BU23" s="1">
        <f>+'CP BUDACT'!Q32+'CP BUDACT'!Q33</f>
        <v>0</v>
      </c>
      <c r="BV23" s="1">
        <f>+'CP BUDACT'!V32+'CP BUDACT'!V33+'CP BUDACT ER'!Q77</f>
        <v>2416</v>
      </c>
      <c r="BW23" s="1">
        <f>+'CP BUDACT'!Z32+'CP BUDACT'!Z33</f>
        <v>0</v>
      </c>
      <c r="BX23" s="3"/>
      <c r="BY23" s="1">
        <f t="shared" si="40"/>
        <v>251025</v>
      </c>
      <c r="BZ23" s="1"/>
      <c r="CA23" s="1"/>
      <c r="CB23" s="1"/>
      <c r="CC23" s="1"/>
      <c r="CD23" s="1"/>
      <c r="CE23" s="1"/>
      <c r="CF23" s="1"/>
      <c r="CG23" s="1"/>
      <c r="CH23" s="1"/>
      <c r="CI23" s="1"/>
      <c r="CJ23" s="1">
        <f t="shared" si="41"/>
        <v>0</v>
      </c>
      <c r="CK23" s="1"/>
      <c r="CL23" s="1"/>
      <c r="CM23" s="1"/>
      <c r="CN23" s="1"/>
      <c r="CO23" s="1"/>
      <c r="CP23" s="1"/>
      <c r="CQ23" s="1"/>
      <c r="CR23" s="1"/>
      <c r="CS23" s="1"/>
      <c r="CT23" s="1"/>
      <c r="CU23" s="1">
        <f t="shared" si="42"/>
        <v>0</v>
      </c>
      <c r="CW23" s="1"/>
      <c r="CX23" s="1"/>
      <c r="CY23" s="1"/>
      <c r="CZ23" s="1"/>
      <c r="DA23" s="1"/>
      <c r="DB23" s="1"/>
      <c r="DC23" s="1"/>
      <c r="DD23" s="1"/>
      <c r="DE23" s="1"/>
      <c r="DF23" s="1"/>
      <c r="DG23" s="1"/>
      <c r="DH23" s="1"/>
      <c r="DI23" s="1"/>
      <c r="DJ23" s="1"/>
      <c r="DK23" s="1"/>
      <c r="DL23" s="1"/>
      <c r="DM23" s="1"/>
      <c r="DN23" s="1"/>
      <c r="DO23" s="1"/>
      <c r="DP23" s="1"/>
      <c r="DQ23" s="1"/>
      <c r="DR23" s="1"/>
      <c r="DS23" s="1"/>
      <c r="DT23" s="1"/>
      <c r="DV23" s="1"/>
      <c r="DW23" s="1">
        <f t="shared" si="43"/>
        <v>0</v>
      </c>
      <c r="DX23" s="1"/>
      <c r="DY23" s="1"/>
      <c r="DZ23" s="1"/>
      <c r="EC23" s="1"/>
      <c r="ED23" s="1"/>
      <c r="EE23" s="1"/>
      <c r="EF23" s="1"/>
      <c r="EG23" s="1"/>
    </row>
    <row r="24" spans="1:138" ht="15.75">
      <c r="A24" s="1"/>
      <c r="B24" s="1" t="s">
        <v>206</v>
      </c>
      <c r="C24" s="1"/>
      <c r="D24" s="1">
        <f>+'GEN BUDACT'!F146</f>
        <v>1975108</v>
      </c>
      <c r="E24" s="1">
        <f>+'SR BUDACT'!E35+'SR BUDACT'!E36</f>
        <v>0</v>
      </c>
      <c r="F24" s="1">
        <f>+'SR BUDACT'!I35+'SR BUDACT'!I36</f>
        <v>0</v>
      </c>
      <c r="G24" s="1">
        <f>+'SR BUDACT'!O35+'SR BUDACT'!O36</f>
        <v>0</v>
      </c>
      <c r="H24" s="1">
        <f>+'SR BUDACT'!S35+'SR BUDACT'!S36</f>
        <v>0</v>
      </c>
      <c r="I24" s="1">
        <f>+'SR BUDACT'!Y35+'SR BUDACT'!Y36</f>
        <v>0</v>
      </c>
      <c r="J24" s="1">
        <f>+'SR BUDACT'!AC35+'SR BUDACT'!AC36</f>
        <v>2929880</v>
      </c>
      <c r="K24" s="1">
        <f>+'SR BUDACT'!AI35+'SR BUDACT'!AI36</f>
        <v>0</v>
      </c>
      <c r="L24" s="1">
        <f>+'SR BUDACT'!AM35+'SR BUDACT'!AM36</f>
        <v>0</v>
      </c>
      <c r="M24" s="1">
        <f>+'SR BUDACT'!AS35+'SR BUDACT'!AS36</f>
        <v>0</v>
      </c>
      <c r="N24" s="1">
        <f>+'SR BUDACT'!AW35+'SR BUDACT'!AW36</f>
        <v>0</v>
      </c>
      <c r="O24" s="1">
        <f>+'SR BUDACT'!BC35+'SR BUDACT'!BC36</f>
        <v>0</v>
      </c>
      <c r="P24" s="1">
        <f>+'SR BUDACT'!JB35+'SR BUDACT'!JB36</f>
        <v>0</v>
      </c>
      <c r="Q24" s="1">
        <f>+'SR BUDACT'!BK35+'SR BUDACT'!BK36</f>
        <v>0</v>
      </c>
      <c r="R24" s="1">
        <f>+'SR BUDACT'!BQ35+'SR BUDACT'!BQ36</f>
        <v>307663</v>
      </c>
      <c r="S24" s="1">
        <f>+'SR BUDACT'!BU35+'SR BUDACT'!BU36</f>
        <v>0</v>
      </c>
      <c r="T24" s="1">
        <f>+'SR BUDACT'!CA35+'SR BUDACT'!CA36</f>
        <v>0</v>
      </c>
      <c r="U24" s="1">
        <f>+'SR BUDACT'!CE35+'SR BUDACT'!CE36</f>
        <v>0</v>
      </c>
      <c r="V24" s="1">
        <f>+'SR BUDACT'!CK35+'SR BUDACT'!CK36</f>
        <v>0</v>
      </c>
      <c r="W24" s="1">
        <f>+'SR BUDACT'!CO35+'SR BUDACT'!CO36</f>
        <v>0</v>
      </c>
      <c r="X24" s="1">
        <f>+'MAJ GOV BUDACT'!E33</f>
        <v>0</v>
      </c>
      <c r="Y24" s="1">
        <f>+'SR BUDACT'!CU35+'SR BUDACT'!CU36</f>
        <v>0</v>
      </c>
      <c r="Z24" s="1">
        <f>+'SR BUDACT'!CY35+'SR BUDACT'!CY36</f>
        <v>0</v>
      </c>
      <c r="AA24" s="1">
        <f>+'SR BUDACT'!DE35+'SR BUDACT'!DE36</f>
        <v>0</v>
      </c>
      <c r="AB24" s="1">
        <f>+'SR BUDACT'!DI35+'SR BUDACT'!DI36</f>
        <v>0</v>
      </c>
      <c r="AC24" s="1">
        <f>+'SR BUDACT'!DO35+'SR BUDACT'!DO36</f>
        <v>0</v>
      </c>
      <c r="AD24" s="1">
        <f>+'SR BUDACT'!DS35+'SR BUDACT'!DS36</f>
        <v>0</v>
      </c>
      <c r="AE24" s="1">
        <f>+'SR BUDACT'!DY35+'SR BUDACT'!DY36</f>
        <v>0</v>
      </c>
      <c r="AF24" s="1">
        <f>+'SR BUDACT'!EC35+'SR BUDACT'!EC36</f>
        <v>0</v>
      </c>
      <c r="AG24" s="1">
        <f>+'SR BUDACT'!EI35+'SR BUDACT'!EI36</f>
        <v>0</v>
      </c>
      <c r="AH24" s="1">
        <f>+'SR BUDACT'!EM35+'SR BUDACT'!EM36</f>
        <v>0</v>
      </c>
      <c r="AI24" s="1">
        <f>+'SR BUDACT'!ES35+'SR BUDACT'!ES36</f>
        <v>0</v>
      </c>
      <c r="AJ24" s="1">
        <f>+'SR BUDACT'!EW35+'SR BUDACT'!EW36</f>
        <v>0</v>
      </c>
      <c r="AK24" s="1">
        <f>+'SR BUDACT'!FC35+'SR BUDACT'!FC36</f>
        <v>54897</v>
      </c>
      <c r="AL24" s="1">
        <f>+'SR BUDACT'!FG35+'SR BUDACT'!FG36</f>
        <v>204151</v>
      </c>
      <c r="AM24" s="1">
        <f>+'SR BUDACT'!FM35+'SR BUDACT'!FM36</f>
        <v>35072</v>
      </c>
      <c r="AN24" s="1">
        <f>+'SR BUDACT'!FQ35+'SR BUDACT'!FQ36</f>
        <v>0</v>
      </c>
      <c r="AO24" s="1">
        <f>+'SR BUDACT'!FW35+'SR BUDACT'!FW36</f>
        <v>0</v>
      </c>
      <c r="AP24" s="1">
        <f>+'SR BUDACT'!GA35+'SR BUDACT'!GA36</f>
        <v>0</v>
      </c>
      <c r="AQ24" s="1">
        <f>+'SR BUDACT'!GE35+'SR BUDACT'!GE36</f>
        <v>0</v>
      </c>
      <c r="AR24" s="1">
        <f>+'SR BUDACT'!GK35+'SR BUDACT'!GK36</f>
        <v>0</v>
      </c>
      <c r="AS24" s="1">
        <f>+'SR BUDACT'!GP35+'SR BUDACT'!GP36</f>
        <v>187603</v>
      </c>
      <c r="AT24" s="1">
        <f>+'SR BUDACT'!GV35+'SR BUDACT'!GV36</f>
        <v>0</v>
      </c>
      <c r="AU24" s="1">
        <f>+'SR BUDACT'!GZ35+'SR BUDACT'!GZ36</f>
        <v>0</v>
      </c>
      <c r="AV24" s="1">
        <f>+'SR BUDACT'!HF35+'SR BUDACT'!HF36</f>
        <v>0</v>
      </c>
      <c r="AW24" s="1"/>
      <c r="AX24" s="1">
        <f>+'SR BUDACT'!HJ35+'SR BUDACT'!HJ36</f>
        <v>0</v>
      </c>
      <c r="AY24" s="1">
        <f>+'SR BUDACT'!HT35+'SR BUDACT'!HT36</f>
        <v>0</v>
      </c>
      <c r="AZ24" s="1">
        <f>+'SR BUDACT'!HX35+'SR BUDACT'!HX36</f>
        <v>41093</v>
      </c>
      <c r="BA24" s="1">
        <f>+'SR BUDACT'!ID35+'SR BUDACT'!ID36</f>
        <v>0</v>
      </c>
      <c r="BB24" s="1">
        <f>+'MAJ GOV BUDACT (2)'!E34+'MAJ GOV BUDACT (2)'!E35</f>
        <v>1800</v>
      </c>
      <c r="BC24" s="1">
        <f>+'MAJ GOV BUDACT (3)'!E34+'MAJ GOV BUDACT (3)'!E35</f>
        <v>887367</v>
      </c>
      <c r="BD24" s="1"/>
      <c r="BE24" s="1"/>
      <c r="BF24" s="1">
        <f t="shared" si="38"/>
        <v>4649526</v>
      </c>
      <c r="BG24" s="1">
        <f t="shared" si="44"/>
        <v>3760359</v>
      </c>
      <c r="BH24" s="1">
        <f>+'DS BUDACT'!D30</f>
        <v>0</v>
      </c>
      <c r="BI24" s="1">
        <f>+'DS BUDACT'!H30</f>
        <v>0</v>
      </c>
      <c r="BJ24" s="1">
        <f>+'DS BUDACT'!N30</f>
        <v>0</v>
      </c>
      <c r="BK24" s="1">
        <f>+'DS BUDACT'!R30</f>
        <v>0</v>
      </c>
      <c r="BL24" s="1">
        <f>+'DS BUDACT'!W30</f>
        <v>0</v>
      </c>
      <c r="BM24" s="1">
        <f>+'DS BUDACT'!AC30</f>
        <v>0</v>
      </c>
      <c r="BN24" s="1">
        <f>+'DS BUDACT'!AI30</f>
        <v>0</v>
      </c>
      <c r="BO24" s="1"/>
      <c r="BP24" s="1">
        <f t="shared" si="39"/>
        <v>0</v>
      </c>
      <c r="BQ24" s="1"/>
      <c r="BR24" s="1">
        <f>+'CP BUDACT'!D35+'CP BUDACT'!D36</f>
        <v>717222</v>
      </c>
      <c r="BS24" s="1">
        <f>+'CP BUDACT'!H35+'CP BUDACT'!H36</f>
        <v>0</v>
      </c>
      <c r="BT24" s="1">
        <f>+'CP BUDACT'!M35+'CP BUDACT'!M36</f>
        <v>473929</v>
      </c>
      <c r="BU24" s="1">
        <f>+'CP BUDACT'!Q35+'CP BUDACT'!Q36</f>
        <v>0</v>
      </c>
      <c r="BV24" s="1">
        <f>+'CP BUDACT'!V35+'CP BUDACT'!V36</f>
        <v>0</v>
      </c>
      <c r="BW24" s="1">
        <f>+'CP BUDACT'!Z35+'CP BUDACT'!Z36</f>
        <v>533661</v>
      </c>
      <c r="BX24" s="3"/>
      <c r="BY24" s="1">
        <f t="shared" si="40"/>
        <v>1724812</v>
      </c>
      <c r="BZ24" s="1"/>
      <c r="CA24" s="1"/>
      <c r="CB24" s="1"/>
      <c r="CC24" s="1"/>
      <c r="CD24" s="1"/>
      <c r="CE24" s="1"/>
      <c r="CF24" s="1"/>
      <c r="CG24" s="1"/>
      <c r="CH24" s="1"/>
      <c r="CI24" s="1"/>
      <c r="CJ24" s="1">
        <f t="shared" si="41"/>
        <v>0</v>
      </c>
      <c r="CK24" s="1"/>
      <c r="CL24" s="1"/>
      <c r="CM24" s="1"/>
      <c r="CN24" s="1"/>
      <c r="CO24" s="1"/>
      <c r="CP24" s="1"/>
      <c r="CQ24" s="1"/>
      <c r="CR24" s="1"/>
      <c r="CS24" s="1"/>
      <c r="CT24" s="1"/>
      <c r="CU24" s="1">
        <f t="shared" si="42"/>
        <v>0</v>
      </c>
      <c r="CW24" s="1"/>
      <c r="CX24" s="1"/>
      <c r="CY24" s="1"/>
      <c r="CZ24" s="1"/>
      <c r="DA24" s="1"/>
      <c r="DB24" s="1"/>
      <c r="DC24" s="1"/>
      <c r="DD24" s="1"/>
      <c r="DE24" s="1"/>
      <c r="DF24" s="1"/>
      <c r="DG24" s="1"/>
      <c r="DH24" s="1"/>
      <c r="DI24" s="1"/>
      <c r="DJ24" s="1"/>
      <c r="DK24" s="1"/>
      <c r="DL24" s="1"/>
      <c r="DM24" s="1"/>
      <c r="DN24" s="1"/>
      <c r="DO24" s="1"/>
      <c r="DP24" s="1"/>
      <c r="DQ24" s="1"/>
      <c r="DR24" s="1"/>
      <c r="DS24" s="1"/>
      <c r="DT24" s="1"/>
      <c r="DV24" s="1"/>
      <c r="DW24" s="1">
        <f t="shared" si="43"/>
        <v>0</v>
      </c>
      <c r="DX24" s="1"/>
      <c r="DY24" s="1"/>
      <c r="DZ24" s="1"/>
      <c r="EC24" s="1"/>
      <c r="ED24" s="817" t="s">
        <v>2691</v>
      </c>
      <c r="EE24" s="1"/>
      <c r="EF24" s="1"/>
      <c r="EG24" s="1"/>
    </row>
    <row r="25" spans="1:138" ht="15.75">
      <c r="A25" s="1"/>
      <c r="B25" s="1" t="s">
        <v>207</v>
      </c>
      <c r="C25" s="1"/>
      <c r="D25" s="1">
        <f>+'GEN BUDACT'!F164</f>
        <v>73516</v>
      </c>
      <c r="E25" s="1">
        <f>+'SR BUDACT'!E38+'SR BUDACT'!E39</f>
        <v>2724251</v>
      </c>
      <c r="F25" s="1">
        <f>+'SR BUDACT'!I38+'SR BUDACT'!I39</f>
        <v>20799</v>
      </c>
      <c r="G25" s="1">
        <f>+'SR BUDACT'!O38+'SR BUDACT'!O39</f>
        <v>232157</v>
      </c>
      <c r="H25" s="1">
        <f>+'SR BUDACT'!S38+'SR BUDACT'!S39</f>
        <v>362149</v>
      </c>
      <c r="I25" s="1">
        <f>+'SR BUDACT'!Y38+'SR BUDACT'!Y39</f>
        <v>90297</v>
      </c>
      <c r="J25" s="1">
        <f>+'SR BUDACT'!AC38+'SR BUDACT'!AC39</f>
        <v>0</v>
      </c>
      <c r="K25" s="1">
        <f>+'SR BUDACT'!AI38+'SR BUDACT'!AI39</f>
        <v>398</v>
      </c>
      <c r="L25" s="1">
        <f>+'SR BUDACT'!AM38+'SR BUDACT'!AM39</f>
        <v>11806</v>
      </c>
      <c r="M25" s="1">
        <f>+'SR BUDACT'!AS38+'SR BUDACT'!AS39</f>
        <v>0</v>
      </c>
      <c r="N25" s="1">
        <f>+'SR BUDACT'!AW38+'SR BUDACT'!AW39</f>
        <v>0</v>
      </c>
      <c r="O25" s="1">
        <f>+'SR BUDACT'!BC38+'SR BUDACT'!BC39</f>
        <v>0</v>
      </c>
      <c r="P25" s="1">
        <f>+'SR BUDACT'!JB38+'SR BUDACT'!JB39</f>
        <v>0</v>
      </c>
      <c r="Q25" s="1">
        <f>+'SR BUDACT'!BK38+'SR BUDACT'!BK39</f>
        <v>0</v>
      </c>
      <c r="R25" s="1">
        <f>+'SR BUDACT'!BQ38+'SR BUDACT'!BQ39</f>
        <v>0</v>
      </c>
      <c r="S25" s="1">
        <f>+'SR BUDACT'!BU38+'SR BUDACT'!BU39</f>
        <v>0</v>
      </c>
      <c r="T25" s="1">
        <f>+'SR BUDACT'!CA38+'SR BUDACT'!CA39</f>
        <v>0</v>
      </c>
      <c r="U25" s="1">
        <f>+'SR BUDACT'!CE38+'SR BUDACT'!CE39</f>
        <v>2610727</v>
      </c>
      <c r="V25" s="1">
        <f>+'SR BUDACT'!CK38+'SR BUDACT'!CK39</f>
        <v>0</v>
      </c>
      <c r="W25" s="1">
        <f>+'SR BUDACT'!CO38+'SR BUDACT'!CO39</f>
        <v>0</v>
      </c>
      <c r="X25" s="1">
        <f>+'MAJ GOV BUDACT'!E34</f>
        <v>0</v>
      </c>
      <c r="Y25" s="1">
        <f>+'SR BUDACT'!CU38+'SR BUDACT'!CU39</f>
        <v>0</v>
      </c>
      <c r="Z25" s="1">
        <f>+'SR BUDACT'!CY38+'SR BUDACT'!CY39</f>
        <v>0</v>
      </c>
      <c r="AA25" s="1">
        <f>+'SR BUDACT'!DE38+'SR BUDACT'!DE39</f>
        <v>0</v>
      </c>
      <c r="AB25" s="1">
        <f>+'SR BUDACT'!DI38+'SR BUDACT'!DI39</f>
        <v>0</v>
      </c>
      <c r="AC25" s="1">
        <f>+'SR BUDACT'!DO38+'SR BUDACT'!DO39</f>
        <v>0</v>
      </c>
      <c r="AD25" s="1">
        <f>+'SR BUDACT'!DS38+'SR BUDACT'!DS39</f>
        <v>0</v>
      </c>
      <c r="AE25" s="1">
        <f>+'SR BUDACT'!DY38+'SR BUDACT'!DY39</f>
        <v>36352</v>
      </c>
      <c r="AF25" s="1">
        <f>+'SR BUDACT'!EC38+'SR BUDACT'!EC39</f>
        <v>0</v>
      </c>
      <c r="AG25" s="1">
        <f>+'SR BUDACT'!EI38+'SR BUDACT'!EI39</f>
        <v>0</v>
      </c>
      <c r="AH25" s="1">
        <f>+'SR BUDACT'!EM38+'SR BUDACT'!EM39</f>
        <v>0</v>
      </c>
      <c r="AI25" s="1">
        <f>+'SR BUDACT'!ES38+'SR BUDACT'!ES39</f>
        <v>0</v>
      </c>
      <c r="AJ25" s="1">
        <f>+'SR BUDACT'!EW38+'SR BUDACT'!EW39</f>
        <v>0</v>
      </c>
      <c r="AK25" s="1">
        <f>+'SR BUDACT'!FC38+'SR BUDACT'!FC39</f>
        <v>0</v>
      </c>
      <c r="AL25" s="1">
        <f>+'SR BUDACT'!FG38+'SR BUDACT'!FG39</f>
        <v>0</v>
      </c>
      <c r="AM25" s="1">
        <f>+'SR BUDACT'!FM38+'SR BUDACT'!FM39</f>
        <v>0</v>
      </c>
      <c r="AN25" s="1">
        <f>+'SR BUDACT'!FQ38+'SR BUDACT'!FQ39</f>
        <v>52642</v>
      </c>
      <c r="AO25" s="1">
        <f>+'SR BUDACT'!FW38+'SR BUDACT'!FW39</f>
        <v>0</v>
      </c>
      <c r="AP25" s="1">
        <f>+'SR BUDACT'!GA38+'SR BUDACT'!GA39</f>
        <v>0</v>
      </c>
      <c r="AQ25" s="1">
        <f>+'SR BUDACT'!GE38+'SR BUDACT'!GE39</f>
        <v>0</v>
      </c>
      <c r="AR25" s="1">
        <f>+'SR BUDACT'!GK38+'SR BUDACT'!GK39</f>
        <v>235770</v>
      </c>
      <c r="AS25" s="1">
        <f>+'SR BUDACT'!GP38+'SR BUDACT'!GP39</f>
        <v>0</v>
      </c>
      <c r="AT25" s="1">
        <f>+'SR BUDACT'!GV38+'SR BUDACT'!GV39</f>
        <v>0</v>
      </c>
      <c r="AU25" s="1">
        <f>+'SR BUDACT'!GZ38+'SR BUDACT'!GZ39</f>
        <v>0</v>
      </c>
      <c r="AV25" s="1">
        <f>+'SR BUDACT'!HF38+'SR BUDACT'!HF39</f>
        <v>0</v>
      </c>
      <c r="AW25" s="1"/>
      <c r="AX25" s="1">
        <f>+'SR BUDACT'!HJ38+'SR BUDACT'!HJ39</f>
        <v>0</v>
      </c>
      <c r="AY25" s="1">
        <f>+'SR BUDACT'!HT38+'SR BUDACT'!HT39</f>
        <v>0</v>
      </c>
      <c r="AZ25" s="1">
        <f>+'SR BUDACT'!HX38+'SR BUDACT'!HX39</f>
        <v>0</v>
      </c>
      <c r="BA25" s="1">
        <f>+'SR BUDACT'!ID38+'SR BUDACT'!ID39</f>
        <v>0</v>
      </c>
      <c r="BB25" s="1">
        <f>+'MAJ GOV BUDACT (2)'!E37+'MAJ GOV BUDACT (2)'!E38</f>
        <v>0</v>
      </c>
      <c r="BC25" s="1">
        <f>+'MAJ GOV BUDACT (3)'!E37+'MAJ GOV BUDACT (3)'!E38</f>
        <v>0</v>
      </c>
      <c r="BD25" s="82">
        <v>9770</v>
      </c>
      <c r="BE25" s="1"/>
      <c r="BF25" s="1">
        <f t="shared" si="38"/>
        <v>6387118</v>
      </c>
      <c r="BG25" s="1">
        <f t="shared" si="44"/>
        <v>6387118</v>
      </c>
      <c r="BH25" s="1">
        <f>+'DS BUDACT'!D31</f>
        <v>0</v>
      </c>
      <c r="BI25" s="1">
        <f>+'DS BUDACT'!H31</f>
        <v>0</v>
      </c>
      <c r="BJ25" s="1">
        <f>+'DS BUDACT'!N31</f>
        <v>0</v>
      </c>
      <c r="BK25" s="1">
        <f>+'DS BUDACT'!R31</f>
        <v>0</v>
      </c>
      <c r="BL25" s="1">
        <f>+'DS BUDACT'!W31</f>
        <v>0</v>
      </c>
      <c r="BM25" s="1">
        <f>+'DS BUDACT'!AC31</f>
        <v>0</v>
      </c>
      <c r="BN25" s="1">
        <f>+'DS BUDACT'!AI31</f>
        <v>0</v>
      </c>
      <c r="BO25" s="1"/>
      <c r="BP25" s="1">
        <f t="shared" si="39"/>
        <v>0</v>
      </c>
      <c r="BQ25" s="1"/>
      <c r="BR25" s="1">
        <f>+'CP BUDACT'!D38+'CP BUDACT'!D39</f>
        <v>41899</v>
      </c>
      <c r="BS25" s="1">
        <f>+'CP BUDACT'!H38+'CP BUDACT'!H39</f>
        <v>0</v>
      </c>
      <c r="BT25" s="1">
        <f>+'CP BUDACT'!M38+'CP BUDACT'!M39</f>
        <v>0</v>
      </c>
      <c r="BU25" s="1">
        <f>+'CP BUDACT'!Q38+'CP BUDACT'!Q39</f>
        <v>0</v>
      </c>
      <c r="BV25" s="1">
        <f>+'CP BUDACT'!V38+'CP BUDACT'!V39</f>
        <v>0</v>
      </c>
      <c r="BW25" s="1">
        <f>+'CP BUDACT'!Z38+'CP BUDACT'!Z39</f>
        <v>0</v>
      </c>
      <c r="BX25" s="3"/>
      <c r="BY25" s="1">
        <f t="shared" si="40"/>
        <v>41899</v>
      </c>
      <c r="BZ25" s="1"/>
      <c r="CA25" s="1"/>
      <c r="CB25" s="1"/>
      <c r="CC25" s="1"/>
      <c r="CD25" s="1"/>
      <c r="CE25" s="1"/>
      <c r="CF25" s="1"/>
      <c r="CG25" s="1"/>
      <c r="CH25" s="1"/>
      <c r="CI25" s="1"/>
      <c r="CJ25" s="1">
        <f t="shared" si="41"/>
        <v>0</v>
      </c>
      <c r="CK25" s="1"/>
      <c r="CL25" s="1"/>
      <c r="CM25" s="1"/>
      <c r="CN25" s="1"/>
      <c r="CO25" s="1"/>
      <c r="CP25" s="1"/>
      <c r="CQ25" s="1"/>
      <c r="CR25" s="1"/>
      <c r="CS25" s="1"/>
      <c r="CT25" s="1"/>
      <c r="CU25" s="1">
        <f t="shared" si="42"/>
        <v>0</v>
      </c>
      <c r="CW25" s="1"/>
      <c r="CX25" s="1"/>
      <c r="CY25" s="1"/>
      <c r="CZ25" s="1"/>
      <c r="DA25" s="1"/>
      <c r="DB25" s="1"/>
      <c r="DC25" s="1"/>
      <c r="DD25" s="1"/>
      <c r="DE25" s="1"/>
      <c r="DF25" s="1"/>
      <c r="DG25" s="1"/>
      <c r="DH25" s="1"/>
      <c r="DI25" s="1"/>
      <c r="DJ25" s="1"/>
      <c r="DK25" s="1"/>
      <c r="DL25" s="1"/>
      <c r="DM25" s="1"/>
      <c r="DN25" s="1"/>
      <c r="DO25" s="1"/>
      <c r="DP25" s="1"/>
      <c r="DQ25" s="1"/>
      <c r="DR25" s="1"/>
      <c r="DS25" s="1"/>
      <c r="DT25" s="1"/>
      <c r="DV25" s="1"/>
      <c r="DW25" s="1">
        <f t="shared" si="43"/>
        <v>0</v>
      </c>
      <c r="DX25" s="1"/>
      <c r="DY25" s="1"/>
      <c r="DZ25" s="1"/>
      <c r="EC25" s="138">
        <v>0</v>
      </c>
      <c r="ED25" s="253" t="s">
        <v>2977</v>
      </c>
      <c r="EE25" s="1">
        <f t="shared" ref="EE25:EE40" si="45">SUM(CW25:ED25)</f>
        <v>0</v>
      </c>
      <c r="EF25" s="1"/>
      <c r="EG25" s="82">
        <v>9604</v>
      </c>
      <c r="EH25" s="77" t="s">
        <v>3360</v>
      </c>
    </row>
    <row r="26" spans="1:138" ht="15.75">
      <c r="A26" s="1"/>
      <c r="B26" s="1" t="s">
        <v>350</v>
      </c>
      <c r="C26" s="1"/>
      <c r="D26" s="1">
        <f>+'GEN BUDACT'!F174</f>
        <v>599703</v>
      </c>
      <c r="E26" s="1">
        <f>+'SR BUDACT'!E41+'SR BUDACT'!E42</f>
        <v>0</v>
      </c>
      <c r="F26" s="1">
        <f>+'SR BUDACT'!I41+'SR BUDACT'!I42</f>
        <v>0</v>
      </c>
      <c r="G26" s="1">
        <f>+'SR BUDACT'!O41+'SR BUDACT'!O42</f>
        <v>0</v>
      </c>
      <c r="H26" s="1">
        <f>+'SR BUDACT'!S41+'SR BUDACT'!S42</f>
        <v>0</v>
      </c>
      <c r="I26" s="1">
        <f>+'SR BUDACT'!Y41+'SR BUDACT'!Y42</f>
        <v>0</v>
      </c>
      <c r="J26" s="1">
        <f>+'SR BUDACT'!AC41+'SR BUDACT'!AC42</f>
        <v>0</v>
      </c>
      <c r="K26" s="1">
        <f>+'SR BUDACT'!AI41+'SR BUDACT'!AI42</f>
        <v>0</v>
      </c>
      <c r="L26" s="1">
        <f>+'SR BUDACT'!AM41+'SR BUDACT'!AM42</f>
        <v>0</v>
      </c>
      <c r="M26" s="1">
        <f>+'SR BUDACT'!AS41+'SR BUDACT'!AS42</f>
        <v>0</v>
      </c>
      <c r="N26" s="1">
        <f>+'SR BUDACT'!AW41+'SR BUDACT'!AW42</f>
        <v>0</v>
      </c>
      <c r="O26" s="1">
        <f>+'SR BUDACT'!BC41+'SR BUDACT'!BC42</f>
        <v>0</v>
      </c>
      <c r="P26" s="1">
        <f>+'SR BUDACT'!JB41+'SR BUDACT'!JB42</f>
        <v>0</v>
      </c>
      <c r="Q26" s="1">
        <f>+'SR BUDACT'!BK41+'SR BUDACT'!BK42</f>
        <v>0</v>
      </c>
      <c r="R26" s="1">
        <f>+'SR BUDACT'!BQ41+'SR BUDACT'!BQ42</f>
        <v>0</v>
      </c>
      <c r="S26" s="1">
        <f>+'SR BUDACT'!BU41+'SR BUDACT'!BU42</f>
        <v>0</v>
      </c>
      <c r="T26" s="1">
        <f>+'SR BUDACT'!CA41+'SR BUDACT'!CA42</f>
        <v>0</v>
      </c>
      <c r="U26" s="1">
        <f>+'SR BUDACT'!CE41+'SR BUDACT'!CE42</f>
        <v>0</v>
      </c>
      <c r="V26" s="1">
        <f>+'SR BUDACT'!CK41+'SR BUDACT'!CK42</f>
        <v>177468</v>
      </c>
      <c r="W26" s="1">
        <f>+'SR BUDACT'!CO41+'SR BUDACT'!CO42</f>
        <v>226021</v>
      </c>
      <c r="X26" s="1">
        <f>+'MAJ GOV BUDACT'!E35</f>
        <v>0</v>
      </c>
      <c r="Y26" s="1">
        <f>+'SR BUDACT'!CU41+'SR BUDACT'!CU42</f>
        <v>0</v>
      </c>
      <c r="Z26" s="1">
        <f>+'SR BUDACT'!CY41+'SR BUDACT'!CY42</f>
        <v>0</v>
      </c>
      <c r="AA26" s="1">
        <f>+'SR BUDACT'!DE41+'SR BUDACT'!DE42</f>
        <v>0</v>
      </c>
      <c r="AB26" s="1">
        <f>+'SR BUDACT'!DI41+'SR BUDACT'!DI42</f>
        <v>0</v>
      </c>
      <c r="AC26" s="1">
        <f>+'SR BUDACT'!DO41+'SR BUDACT'!DO42</f>
        <v>0</v>
      </c>
      <c r="AD26" s="1">
        <f>+'SR BUDACT'!DS41+'SR BUDACT'!DS42</f>
        <v>0</v>
      </c>
      <c r="AE26" s="1">
        <f>+'SR BUDACT'!DY41+'SR BUDACT'!DY42</f>
        <v>0</v>
      </c>
      <c r="AF26" s="1">
        <f>+'SR BUDACT'!EC41+'SR BUDACT'!EC42</f>
        <v>0</v>
      </c>
      <c r="AG26" s="1">
        <f>+'SR BUDACT'!EI41+'SR BUDACT'!EI42</f>
        <v>0</v>
      </c>
      <c r="AH26" s="1">
        <f>+'SR BUDACT'!EM41+'SR BUDACT'!EM42</f>
        <v>0</v>
      </c>
      <c r="AI26" s="1">
        <f>+'SR BUDACT'!ES41+'SR BUDACT'!ES42</f>
        <v>25000</v>
      </c>
      <c r="AJ26" s="1">
        <f>+'SR BUDACT'!EW41+'SR BUDACT'!EW42</f>
        <v>0</v>
      </c>
      <c r="AK26" s="1">
        <f>+'SR BUDACT'!FC41+'SR BUDACT'!FC42</f>
        <v>0</v>
      </c>
      <c r="AL26" s="1">
        <f>+'SR BUDACT'!FG41+'SR BUDACT'!FG42</f>
        <v>0</v>
      </c>
      <c r="AM26" s="1">
        <f>+'SR BUDACT'!FM41+'SR BUDACT'!FM42</f>
        <v>0</v>
      </c>
      <c r="AN26" s="1">
        <f>+'SR BUDACT'!FQ41+'SR BUDACT'!FQ42</f>
        <v>0</v>
      </c>
      <c r="AO26" s="1">
        <f>+'SR BUDACT'!FW41+'SR BUDACT'!FW42</f>
        <v>0</v>
      </c>
      <c r="AP26" s="1">
        <f>+'SR BUDACT'!GA41+'SR BUDACT'!GA42</f>
        <v>0</v>
      </c>
      <c r="AQ26" s="1">
        <f>+'SR BUDACT'!GE41+'SR BUDACT'!GE42</f>
        <v>0</v>
      </c>
      <c r="AR26" s="1">
        <f>+'SR BUDACT'!GK41+'SR BUDACT'!GK42</f>
        <v>0</v>
      </c>
      <c r="AS26" s="1">
        <f>+'SR BUDACT'!GP41+'SR BUDACT'!GP42</f>
        <v>0</v>
      </c>
      <c r="AT26" s="1">
        <f>+'SR BUDACT'!GV41+'SR BUDACT'!GV42</f>
        <v>0</v>
      </c>
      <c r="AU26" s="1">
        <f>+'SR BUDACT'!GZ41+'SR BUDACT'!GZ42</f>
        <v>0</v>
      </c>
      <c r="AV26" s="1">
        <f>+'SR BUDACT'!HF41+'SR BUDACT'!HF42</f>
        <v>0</v>
      </c>
      <c r="AW26" s="1"/>
      <c r="AX26" s="1">
        <f>+'SR BUDACT'!HJ41+'SR BUDACT'!HJ42</f>
        <v>0</v>
      </c>
      <c r="AY26" s="1">
        <f>+'SR BUDACT'!HT41+'SR BUDACT'!HT42</f>
        <v>0</v>
      </c>
      <c r="AZ26" s="1">
        <f>+'SR BUDACT'!HX41+'SR BUDACT'!HX42</f>
        <v>0</v>
      </c>
      <c r="BA26" s="1">
        <f>+'SR BUDACT'!ID41+'SR BUDACT'!ID42</f>
        <v>0</v>
      </c>
      <c r="BB26" s="1">
        <f>+'MAJ GOV BUDACT (2)'!E40+'MAJ GOV BUDACT (2)'!E41</f>
        <v>0</v>
      </c>
      <c r="BC26" s="1">
        <f>+'MAJ GOV BUDACT (3)'!E40+'MAJ GOV BUDACT (3)'!E41</f>
        <v>0</v>
      </c>
      <c r="BD26" s="1"/>
      <c r="BE26" s="1"/>
      <c r="BF26" s="1">
        <f t="shared" si="38"/>
        <v>428489</v>
      </c>
      <c r="BG26" s="1">
        <f t="shared" si="44"/>
        <v>428489</v>
      </c>
      <c r="BH26" s="1">
        <f>+'DS BUDACT'!D32</f>
        <v>0</v>
      </c>
      <c r="BI26" s="1">
        <f>+'DS BUDACT'!H32</f>
        <v>0</v>
      </c>
      <c r="BJ26" s="1">
        <f>+'DS BUDACT'!N32</f>
        <v>0</v>
      </c>
      <c r="BK26" s="1">
        <f>+'DS BUDACT'!R32</f>
        <v>0</v>
      </c>
      <c r="BL26" s="1">
        <f>+'DS BUDACT'!W32</f>
        <v>0</v>
      </c>
      <c r="BM26" s="1">
        <f>+'DS BUDACT'!AC32</f>
        <v>0</v>
      </c>
      <c r="BN26" s="1">
        <f>+'DS BUDACT'!AI32</f>
        <v>0</v>
      </c>
      <c r="BO26" s="1"/>
      <c r="BP26" s="1">
        <f t="shared" si="39"/>
        <v>0</v>
      </c>
      <c r="BQ26" s="1"/>
      <c r="BR26" s="1">
        <f>+'CP BUDACT'!D41+'CP BUDACT'!D42</f>
        <v>0</v>
      </c>
      <c r="BS26" s="1">
        <f>+'CP BUDACT'!H41+'CP BUDACT'!H42</f>
        <v>0</v>
      </c>
      <c r="BT26" s="1">
        <f>+'CP BUDACT'!M41+'CP BUDACT'!M42</f>
        <v>0</v>
      </c>
      <c r="BU26" s="1">
        <f>+'CP BUDACT'!Q41+'CP BUDACT'!Q42</f>
        <v>0</v>
      </c>
      <c r="BV26" s="1">
        <f>+'CP BUDACT'!V41+'CP BUDACT'!V42</f>
        <v>0</v>
      </c>
      <c r="BW26" s="1">
        <f>+'CP BUDACT'!Z41+'CP BUDACT'!Z42</f>
        <v>0</v>
      </c>
      <c r="BX26" s="3"/>
      <c r="BY26" s="1">
        <f t="shared" si="40"/>
        <v>0</v>
      </c>
      <c r="BZ26" s="1"/>
      <c r="CA26" s="1"/>
      <c r="CB26" s="1"/>
      <c r="CC26" s="1"/>
      <c r="CD26" s="1"/>
      <c r="CE26" s="1"/>
      <c r="CF26" s="1"/>
      <c r="CG26" s="1"/>
      <c r="CH26" s="1"/>
      <c r="CI26" s="1"/>
      <c r="CJ26" s="1">
        <f t="shared" si="41"/>
        <v>0</v>
      </c>
      <c r="CK26" s="1"/>
      <c r="CL26" s="1"/>
      <c r="CM26" s="1"/>
      <c r="CN26" s="1"/>
      <c r="CO26" s="1"/>
      <c r="CP26" s="1"/>
      <c r="CQ26" s="1"/>
      <c r="CR26" s="1"/>
      <c r="CS26" s="1"/>
      <c r="CT26" s="1"/>
      <c r="CU26" s="1">
        <f t="shared" si="42"/>
        <v>0</v>
      </c>
      <c r="CW26" s="1"/>
      <c r="CX26" s="1"/>
      <c r="CY26" s="1"/>
      <c r="CZ26" s="1"/>
      <c r="DA26" s="1"/>
      <c r="DB26" s="1"/>
      <c r="DC26" s="1"/>
      <c r="DD26" s="1"/>
      <c r="DE26" s="1"/>
      <c r="DF26" s="1"/>
      <c r="DG26" s="1"/>
      <c r="DH26" s="1"/>
      <c r="DI26" s="1"/>
      <c r="DJ26" s="1"/>
      <c r="DK26" s="1"/>
      <c r="DL26" s="1"/>
      <c r="DM26" s="1"/>
      <c r="DN26" s="1"/>
      <c r="DO26" s="1"/>
      <c r="DP26" s="1"/>
      <c r="DQ26" s="1"/>
      <c r="DR26" s="1"/>
      <c r="DS26" s="1"/>
      <c r="DT26" s="1"/>
      <c r="DV26" s="1"/>
      <c r="DW26" s="1">
        <f t="shared" si="43"/>
        <v>0</v>
      </c>
      <c r="DX26" s="1"/>
      <c r="DY26" s="1"/>
      <c r="DZ26" s="1"/>
      <c r="EC26" s="1"/>
      <c r="ED26" s="1"/>
      <c r="EE26" s="1">
        <f t="shared" si="45"/>
        <v>0</v>
      </c>
      <c r="EF26" s="1"/>
      <c r="EG26" s="1"/>
    </row>
    <row r="27" spans="1:138" ht="15.75">
      <c r="A27" s="1"/>
      <c r="B27" s="1" t="s">
        <v>351</v>
      </c>
      <c r="C27" s="1"/>
      <c r="D27" s="1">
        <f>+'GEN BUDACT'!F177</f>
        <v>0</v>
      </c>
      <c r="E27" s="1">
        <f>+'SR BUDACT'!E44+'SR BUDACT'!E45</f>
        <v>0</v>
      </c>
      <c r="F27" s="1">
        <f>+'SR BUDACT'!I44+'SR BUDACT'!I45</f>
        <v>0</v>
      </c>
      <c r="G27" s="1">
        <f>+'SR BUDACT'!O44+'SR BUDACT'!O45</f>
        <v>0</v>
      </c>
      <c r="H27" s="1">
        <f>+'SR BUDACT'!S44+'SR BUDACT'!S45</f>
        <v>0</v>
      </c>
      <c r="I27" s="1">
        <f>+'SR BUDACT'!Y44+'SR BUDACT'!Y45</f>
        <v>0</v>
      </c>
      <c r="J27" s="1">
        <f>+'SR BUDACT'!AC44+'SR BUDACT'!AC45</f>
        <v>0</v>
      </c>
      <c r="K27" s="1">
        <f>+'SR BUDACT'!AI44+'SR BUDACT'!AI45</f>
        <v>0</v>
      </c>
      <c r="L27" s="1">
        <f>+'SR BUDACT'!AM44+'SR BUDACT'!AM45</f>
        <v>0</v>
      </c>
      <c r="M27" s="1">
        <f>+'SR BUDACT'!AS44+'SR BUDACT'!AS45</f>
        <v>0</v>
      </c>
      <c r="N27" s="1">
        <f>+'SR BUDACT'!AW44+'SR BUDACT'!AW45</f>
        <v>0</v>
      </c>
      <c r="O27" s="1">
        <f>+'SR BUDACT'!BC44+'SR BUDACT'!BC45</f>
        <v>44402</v>
      </c>
      <c r="P27" s="248">
        <f>+'SR BUDACT'!JB42+'SR BUDACT'!JB43-0</f>
        <v>0</v>
      </c>
      <c r="Q27" s="1">
        <f>+'SR BUDACT'!BK44+'SR BUDACT'!BK45</f>
        <v>0</v>
      </c>
      <c r="R27" s="1">
        <f>+'SR BUDACT'!BQ44+'SR BUDACT'!BQ45</f>
        <v>0</v>
      </c>
      <c r="S27" s="1">
        <f>+'SR BUDACT'!BU44+'SR BUDACT'!BU45</f>
        <v>0</v>
      </c>
      <c r="T27" s="1">
        <f>+'SR BUDACT'!CA44+'SR BUDACT'!CA45</f>
        <v>0</v>
      </c>
      <c r="U27" s="1">
        <f>+'SR BUDACT'!CE44+'SR BUDACT'!CE45</f>
        <v>0</v>
      </c>
      <c r="V27" s="1">
        <f>+'SR BUDACT'!CK44+'SR BUDACT'!CK45</f>
        <v>0</v>
      </c>
      <c r="W27" s="1">
        <f>+'SR BUDACT'!CO44+'SR BUDACT'!CO45</f>
        <v>0</v>
      </c>
      <c r="X27" s="1">
        <f>+'MAJ GOV BUDACT'!E36</f>
        <v>0</v>
      </c>
      <c r="Y27" s="1">
        <f>+'SR BUDACT'!CU44+'SR BUDACT'!CU45</f>
        <v>0</v>
      </c>
      <c r="Z27" s="1">
        <f>+'SR BUDACT'!CY44+'SR BUDACT'!CY45</f>
        <v>0</v>
      </c>
      <c r="AA27" s="1">
        <f>+'SR BUDACT'!DE44+'SR BUDACT'!DE45</f>
        <v>0</v>
      </c>
      <c r="AB27" s="1">
        <f>+'SR BUDACT'!DI44+'SR BUDACT'!DI45</f>
        <v>0</v>
      </c>
      <c r="AC27" s="1">
        <f>+'SR BUDACT'!DO44+'SR BUDACT'!DO45</f>
        <v>0</v>
      </c>
      <c r="AD27" s="1">
        <f>+'SR BUDACT'!DS44+'SR BUDACT'!DS45</f>
        <v>25100</v>
      </c>
      <c r="AE27" s="1">
        <f>+'SR BUDACT'!DY44+'SR BUDACT'!DY45</f>
        <v>0</v>
      </c>
      <c r="AF27" s="1">
        <f>+'SR BUDACT'!EC44+'SR BUDACT'!EC45</f>
        <v>0</v>
      </c>
      <c r="AG27" s="1">
        <f>+'SR BUDACT'!EI44+'SR BUDACT'!EI45</f>
        <v>0</v>
      </c>
      <c r="AH27" s="1">
        <f>+'SR BUDACT'!EM44+'SR BUDACT'!EM45</f>
        <v>0</v>
      </c>
      <c r="AI27" s="1">
        <f>+'SR BUDACT'!ES44+'SR BUDACT'!ES45</f>
        <v>0</v>
      </c>
      <c r="AJ27" s="1">
        <f>+'SR BUDACT'!EW44+'SR BUDACT'!EW45</f>
        <v>0</v>
      </c>
      <c r="AK27" s="1">
        <f>+'SR BUDACT'!FC44+'SR BUDACT'!FC45</f>
        <v>0</v>
      </c>
      <c r="AL27" s="1">
        <f>+'SR BUDACT'!FG44+'SR BUDACT'!FG45</f>
        <v>0</v>
      </c>
      <c r="AM27" s="1">
        <f>+'SR BUDACT'!FM44+'SR BUDACT'!FM45</f>
        <v>0</v>
      </c>
      <c r="AN27" s="1">
        <f>+'SR BUDACT'!FQ44+'SR BUDACT'!FQ45</f>
        <v>0</v>
      </c>
      <c r="AO27" s="1">
        <f>+'SR BUDACT'!FW44+'SR BUDACT'!FW45</f>
        <v>0</v>
      </c>
      <c r="AP27" s="1">
        <f>+'SR BUDACT'!GA44+'SR BUDACT'!GA45</f>
        <v>0</v>
      </c>
      <c r="AQ27" s="1">
        <f>+'SR BUDACT'!GE44+'SR BUDACT'!GE45</f>
        <v>0</v>
      </c>
      <c r="AR27" s="1">
        <f>+'SR BUDACT'!GK44+'SR BUDACT'!GK45</f>
        <v>0</v>
      </c>
      <c r="AS27" s="1">
        <f>+'SR BUDACT'!GP44+'SR BUDACT'!GP45</f>
        <v>0</v>
      </c>
      <c r="AT27" s="1">
        <f>+'SR BUDACT'!GV44+'SR BUDACT'!GV45</f>
        <v>0</v>
      </c>
      <c r="AU27" s="1">
        <f>+'SR BUDACT'!GZ44+'SR BUDACT'!GZ45</f>
        <v>0</v>
      </c>
      <c r="AV27" s="1">
        <f>+'SR BUDACT'!HF44+'SR BUDACT'!HF45</f>
        <v>0</v>
      </c>
      <c r="AW27" s="1"/>
      <c r="AX27" s="1">
        <f>+'SR BUDACT'!HJ44+'SR BUDACT'!HJ45</f>
        <v>0</v>
      </c>
      <c r="AY27" s="1">
        <f>+'SR BUDACT'!HT44+'SR BUDACT'!HT45</f>
        <v>0</v>
      </c>
      <c r="AZ27" s="1">
        <f>+'SR BUDACT'!HX44+'SR BUDACT'!HX45</f>
        <v>0</v>
      </c>
      <c r="BA27" s="1">
        <f>+'SR BUDACT'!ID44+'SR BUDACT'!ID45</f>
        <v>0</v>
      </c>
      <c r="BB27" s="1">
        <f>+'MAJ GOV BUDACT (2)'!E43+'MAJ GOV BUDACT (2)'!E44</f>
        <v>0</v>
      </c>
      <c r="BC27" s="1">
        <f>+'MAJ GOV BUDACT (3)'!E43+'MAJ GOV BUDACT (3)'!E44</f>
        <v>0</v>
      </c>
      <c r="BD27" s="1"/>
      <c r="BE27" s="1"/>
      <c r="BF27" s="1">
        <f t="shared" si="38"/>
        <v>69502</v>
      </c>
      <c r="BG27" s="1">
        <f t="shared" si="44"/>
        <v>69502</v>
      </c>
      <c r="BH27" s="1">
        <f>+'DS BUDACT'!D33</f>
        <v>0</v>
      </c>
      <c r="BI27" s="1">
        <f>+'DS BUDACT'!H33</f>
        <v>0</v>
      </c>
      <c r="BJ27" s="1">
        <f>+'DS BUDACT'!N33</f>
        <v>0</v>
      </c>
      <c r="BK27" s="1">
        <f>+'DS BUDACT'!R33</f>
        <v>0</v>
      </c>
      <c r="BL27" s="1">
        <f>+'DS BUDACT'!W33</f>
        <v>0</v>
      </c>
      <c r="BM27" s="1">
        <f>+'DS BUDACT'!AC33</f>
        <v>0</v>
      </c>
      <c r="BN27" s="1">
        <f>+'DS BUDACT'!AI33</f>
        <v>0</v>
      </c>
      <c r="BO27" s="1"/>
      <c r="BP27" s="1">
        <f t="shared" si="39"/>
        <v>0</v>
      </c>
      <c r="BQ27" s="1"/>
      <c r="BR27" s="1">
        <f>+'CP BUDACT'!D44+'CP BUDACT'!D45</f>
        <v>0</v>
      </c>
      <c r="BS27" s="1">
        <f>+'CP BUDACT'!H44+'CP BUDACT'!H45</f>
        <v>0</v>
      </c>
      <c r="BT27" s="1">
        <f>+'CP BUDACT'!M44+'CP BUDACT'!M45</f>
        <v>0</v>
      </c>
      <c r="BU27" s="1">
        <f>+'CP BUDACT'!Q44+'CP BUDACT'!Q45</f>
        <v>0</v>
      </c>
      <c r="BV27" s="1">
        <f>+'CP BUDACT'!V44+'CP BUDACT'!V45</f>
        <v>0</v>
      </c>
      <c r="BW27" s="1">
        <f>+'CP BUDACT'!Z44+'CP BUDACT'!Z45</f>
        <v>0</v>
      </c>
      <c r="BX27" s="3"/>
      <c r="BY27" s="1">
        <f t="shared" si="40"/>
        <v>0</v>
      </c>
      <c r="BZ27" s="1"/>
      <c r="CA27" s="1"/>
      <c r="CB27" s="1"/>
      <c r="CC27" s="1"/>
      <c r="CD27" s="1"/>
      <c r="CE27" s="1"/>
      <c r="CF27" s="1"/>
      <c r="CG27" s="1"/>
      <c r="CH27" s="1"/>
      <c r="CI27" s="1"/>
      <c r="CJ27" s="1">
        <f t="shared" si="41"/>
        <v>0</v>
      </c>
      <c r="CK27" s="1"/>
      <c r="CL27" s="1"/>
      <c r="CM27" s="1"/>
      <c r="CN27" s="1"/>
      <c r="CO27" s="1"/>
      <c r="CP27" s="1"/>
      <c r="CQ27" s="1"/>
      <c r="CR27" s="1"/>
      <c r="CS27" s="1"/>
      <c r="CT27" s="1"/>
      <c r="CU27" s="1">
        <f t="shared" si="42"/>
        <v>0</v>
      </c>
      <c r="CW27" s="1"/>
      <c r="CX27" s="1"/>
      <c r="CY27" s="1"/>
      <c r="CZ27" s="1"/>
      <c r="DA27" s="1"/>
      <c r="DB27" s="1"/>
      <c r="DC27" s="1"/>
      <c r="DD27" s="1"/>
      <c r="DE27" s="1"/>
      <c r="DF27" s="1"/>
      <c r="DG27" s="1"/>
      <c r="DH27" s="1"/>
      <c r="DI27" s="1"/>
      <c r="DJ27" s="1"/>
      <c r="DK27" s="1"/>
      <c r="DL27" s="1"/>
      <c r="DM27" s="1"/>
      <c r="DN27" s="1"/>
      <c r="DO27" s="1"/>
      <c r="DP27" s="1"/>
      <c r="DQ27" s="1"/>
      <c r="DR27" s="1"/>
      <c r="DS27" s="1"/>
      <c r="DT27" s="1"/>
      <c r="DV27" s="1"/>
      <c r="DW27" s="1">
        <f t="shared" si="43"/>
        <v>0</v>
      </c>
      <c r="DX27" s="1"/>
      <c r="DY27" s="1"/>
      <c r="DZ27" s="1"/>
      <c r="EC27" s="1"/>
      <c r="ED27" s="1"/>
      <c r="EE27" s="1">
        <f t="shared" si="45"/>
        <v>0</v>
      </c>
      <c r="EF27" s="1"/>
      <c r="EG27" s="1"/>
    </row>
    <row r="28" spans="1:138" ht="15.75">
      <c r="A28" s="1"/>
      <c r="B28" s="1" t="s">
        <v>352</v>
      </c>
      <c r="C28" s="1"/>
      <c r="D28" s="1">
        <f>+'GEN BUDACT'!F184</f>
        <v>0</v>
      </c>
      <c r="E28" s="1">
        <f>+'SR BUDACT'!E46</f>
        <v>0</v>
      </c>
      <c r="F28" s="1">
        <f>+'SR BUDACT'!I46</f>
        <v>0</v>
      </c>
      <c r="G28" s="1">
        <f>+'SR BUDACT'!O46</f>
        <v>0</v>
      </c>
      <c r="H28" s="1">
        <f>+'SR BUDACT'!S46</f>
        <v>0</v>
      </c>
      <c r="I28" s="1">
        <f>+'SR BUDACT'!Y46</f>
        <v>0</v>
      </c>
      <c r="J28" s="1">
        <f>+'SR BUDACT'!AC46</f>
        <v>0</v>
      </c>
      <c r="K28" s="1">
        <f>+'SR BUDACT'!AI46</f>
        <v>0</v>
      </c>
      <c r="L28" s="1">
        <f>+'SR BUDACT'!AM46</f>
        <v>0</v>
      </c>
      <c r="M28" s="1">
        <f>+'SR BUDACT'!AS46</f>
        <v>0</v>
      </c>
      <c r="N28" s="1">
        <f>+'SR BUDACT'!AW46</f>
        <v>0</v>
      </c>
      <c r="O28" s="1">
        <f>+'SR BUDACT'!BC46</f>
        <v>0</v>
      </c>
      <c r="P28" s="1">
        <f>+'SR BUDACT'!JB46</f>
        <v>0</v>
      </c>
      <c r="Q28" s="1">
        <f>+'SR BUDACT'!BK46</f>
        <v>0</v>
      </c>
      <c r="R28" s="1">
        <f>+'SR BUDACT'!BQ46</f>
        <v>0</v>
      </c>
      <c r="S28" s="1">
        <f>+'SR BUDACT'!BU46</f>
        <v>0</v>
      </c>
      <c r="T28" s="1">
        <f>+'SR BUDACT'!CA46</f>
        <v>0</v>
      </c>
      <c r="U28" s="1">
        <f>+'SR BUDACT'!CE46</f>
        <v>0</v>
      </c>
      <c r="V28" s="1">
        <f>+'SR BUDACT'!CK46</f>
        <v>0</v>
      </c>
      <c r="W28" s="1">
        <f>+'SR BUDACT'!CO46</f>
        <v>0</v>
      </c>
      <c r="X28" s="1">
        <f>+'MAJ GOV BUDACT'!E37</f>
        <v>0</v>
      </c>
      <c r="Y28" s="1">
        <f>+'SR BUDACT'!CU46</f>
        <v>0</v>
      </c>
      <c r="Z28" s="1">
        <f>+'SR BUDACT'!CY46</f>
        <v>0</v>
      </c>
      <c r="AA28" s="1">
        <f>+'SR BUDACT'!DE46</f>
        <v>0</v>
      </c>
      <c r="AB28" s="1">
        <f>+'SR BUDACT'!DI46</f>
        <v>0</v>
      </c>
      <c r="AC28" s="1">
        <f>+'SR BUDACT'!DO46</f>
        <v>0</v>
      </c>
      <c r="AD28" s="1">
        <f>+'SR BUDACT'!DS46</f>
        <v>0</v>
      </c>
      <c r="AE28" s="1">
        <f>+'SR BUDACT'!DY46</f>
        <v>0</v>
      </c>
      <c r="AF28" s="1">
        <f>+'SR BUDACT'!EC46</f>
        <v>0</v>
      </c>
      <c r="AG28" s="1">
        <f>+'SR BUDACT'!EI46</f>
        <v>0</v>
      </c>
      <c r="AH28" s="1">
        <f>+'SR BUDACT'!EM46</f>
        <v>0</v>
      </c>
      <c r="AI28" s="1">
        <f>+'SR BUDACT'!ES46</f>
        <v>0</v>
      </c>
      <c r="AJ28" s="1">
        <f>+'SR BUDACT'!EW46</f>
        <v>0</v>
      </c>
      <c r="AK28" s="1">
        <f>+'SR BUDACT'!FC46</f>
        <v>0</v>
      </c>
      <c r="AL28" s="1">
        <f>+'SR BUDACT'!FG46</f>
        <v>0</v>
      </c>
      <c r="AM28" s="1">
        <f>+'SR BUDACT'!FM46</f>
        <v>0</v>
      </c>
      <c r="AN28" s="1">
        <f>+'SR BUDACT'!FQ46</f>
        <v>0</v>
      </c>
      <c r="AO28" s="1">
        <f>+'SR BUDACT'!FW46</f>
        <v>0</v>
      </c>
      <c r="AP28" s="1">
        <f>+'SR BUDACT'!GA46</f>
        <v>0</v>
      </c>
      <c r="AQ28" s="1">
        <f>+'SR BUDACT'!GE46</f>
        <v>0</v>
      </c>
      <c r="AR28" s="1">
        <f>+'SR BUDACT'!GK46</f>
        <v>0</v>
      </c>
      <c r="AS28" s="1">
        <f>+'SR BUDACT'!GP46</f>
        <v>0</v>
      </c>
      <c r="AT28" s="1">
        <f>+'SR BUDACT'!GV46</f>
        <v>0</v>
      </c>
      <c r="AU28" s="1">
        <f>+'SR BUDACT'!GZ46</f>
        <v>0</v>
      </c>
      <c r="AV28" s="1">
        <f>+'SR BUDACT'!HF46</f>
        <v>0</v>
      </c>
      <c r="AW28" s="1"/>
      <c r="AX28" s="1">
        <f>+'SR BUDACT'!HJ46</f>
        <v>0</v>
      </c>
      <c r="AY28" s="1">
        <f>+'SR BUDACT'!HT46</f>
        <v>0</v>
      </c>
      <c r="AZ28" s="1">
        <f>+'SR BUDACT'!HX46</f>
        <v>0</v>
      </c>
      <c r="BA28" s="1">
        <f>+'SR BUDACT'!ID46</f>
        <v>0</v>
      </c>
      <c r="BB28" s="1">
        <f>+'MAJ GOV BUDACT (2)'!E45</f>
        <v>0</v>
      </c>
      <c r="BC28" s="1">
        <f>+'MAJ GOV BUDACT (3)'!E45</f>
        <v>34</v>
      </c>
      <c r="BD28" s="1"/>
      <c r="BE28" s="1"/>
      <c r="BF28" s="1">
        <f t="shared" si="38"/>
        <v>34</v>
      </c>
      <c r="BG28" s="1">
        <f t="shared" si="44"/>
        <v>0</v>
      </c>
      <c r="BH28" s="1">
        <f>+'DS BUDACT'!D34</f>
        <v>112309</v>
      </c>
      <c r="BI28" s="1">
        <f>+'DS BUDACT'!H34</f>
        <v>966683</v>
      </c>
      <c r="BJ28" s="1">
        <f>+'DS BUDACT'!N34</f>
        <v>0</v>
      </c>
      <c r="BK28" s="1">
        <f>+'DS BUDACT'!R34</f>
        <v>0</v>
      </c>
      <c r="BL28" s="1">
        <f>+'DS BUDACT'!W34</f>
        <v>96470</v>
      </c>
      <c r="BM28" s="1">
        <f>+'DS BUDACT'!AC34</f>
        <v>636600</v>
      </c>
      <c r="BN28" s="1">
        <f>+'DS BUDACT'!AI34</f>
        <v>97148</v>
      </c>
      <c r="BO28" s="1"/>
      <c r="BP28" s="1">
        <f t="shared" si="39"/>
        <v>1909210</v>
      </c>
      <c r="BQ28" s="1"/>
      <c r="BR28" s="1">
        <f>+'CP BUDACT'!D46</f>
        <v>0</v>
      </c>
      <c r="BS28" s="1">
        <f>+'CP BUDACT'!H46</f>
        <v>0</v>
      </c>
      <c r="BT28" s="1">
        <f>+'CP BUDACT'!M46</f>
        <v>0</v>
      </c>
      <c r="BU28" s="1">
        <f>+'CP BUDACT'!Q46</f>
        <v>0</v>
      </c>
      <c r="BV28" s="1">
        <f>+'CP BUDACT'!V46</f>
        <v>0</v>
      </c>
      <c r="BW28" s="1">
        <f>+'CP BUDACT'!Z46</f>
        <v>0</v>
      </c>
      <c r="BX28" s="3"/>
      <c r="BY28" s="1">
        <f t="shared" si="40"/>
        <v>0</v>
      </c>
      <c r="BZ28" s="1"/>
      <c r="CA28" s="1"/>
      <c r="CB28" s="1"/>
      <c r="CC28" s="1"/>
      <c r="CD28" s="1"/>
      <c r="CE28" s="1"/>
      <c r="CF28" s="1"/>
      <c r="CG28" s="1"/>
      <c r="CH28" s="1"/>
      <c r="CI28" s="1"/>
      <c r="CJ28" s="1">
        <f t="shared" si="41"/>
        <v>0</v>
      </c>
      <c r="CK28" s="1"/>
      <c r="CL28" s="1"/>
      <c r="CM28" s="1"/>
      <c r="CN28" s="1"/>
      <c r="CO28" s="1"/>
      <c r="CP28" s="1"/>
      <c r="CQ28" s="1"/>
      <c r="CR28" s="1"/>
      <c r="CS28" s="1"/>
      <c r="CT28" s="1"/>
      <c r="CU28" s="1">
        <f t="shared" si="42"/>
        <v>0</v>
      </c>
      <c r="CW28" s="1"/>
      <c r="CX28" s="1"/>
      <c r="CY28" s="1"/>
      <c r="CZ28" s="1"/>
      <c r="DA28" s="1"/>
      <c r="DB28" s="1"/>
      <c r="DC28" s="1"/>
      <c r="DD28" s="1"/>
      <c r="DE28" s="1"/>
      <c r="DF28" s="1"/>
      <c r="DG28" s="1"/>
      <c r="DH28" s="1"/>
      <c r="DI28" s="1"/>
      <c r="DJ28" s="1"/>
      <c r="DK28" s="1"/>
      <c r="DL28" s="1"/>
      <c r="DM28" s="1"/>
      <c r="DN28" s="1"/>
      <c r="DO28" s="1"/>
      <c r="DP28" s="1"/>
      <c r="DQ28" s="1"/>
      <c r="DR28" s="1"/>
      <c r="DS28" s="1"/>
      <c r="DT28" s="1"/>
      <c r="DV28" s="1"/>
      <c r="DW28" s="1">
        <f t="shared" si="43"/>
        <v>0</v>
      </c>
      <c r="DX28" s="1"/>
      <c r="DY28" s="1"/>
      <c r="DZ28" s="1"/>
      <c r="EC28" s="1"/>
      <c r="ED28" s="1"/>
      <c r="EE28" s="1">
        <f t="shared" si="45"/>
        <v>0</v>
      </c>
      <c r="EF28" s="1"/>
      <c r="EG28" s="1"/>
    </row>
    <row r="29" spans="1:138" ht="15.75">
      <c r="A29" s="1"/>
      <c r="B29" s="1" t="s">
        <v>462</v>
      </c>
      <c r="C29" s="1"/>
      <c r="D29" s="1">
        <f>+'GEN BUDACT'!F186</f>
        <v>0</v>
      </c>
      <c r="E29" s="1">
        <f>+'SR BUDACT'!E47</f>
        <v>0</v>
      </c>
      <c r="F29" s="1">
        <f>+'SR BUDACT'!I47</f>
        <v>0</v>
      </c>
      <c r="G29" s="1">
        <f>+'SR BUDACT'!O47</f>
        <v>0</v>
      </c>
      <c r="H29" s="1">
        <f>+'SR BUDACT'!S47</f>
        <v>0</v>
      </c>
      <c r="I29" s="1">
        <f>+'SR BUDACT'!Y47</f>
        <v>0</v>
      </c>
      <c r="J29" s="1">
        <f>+'SR BUDACT'!AC47</f>
        <v>0</v>
      </c>
      <c r="K29" s="1">
        <f>+'SR BUDACT'!AI47</f>
        <v>0</v>
      </c>
      <c r="L29" s="1">
        <f>+'SR BUDACT'!AM47</f>
        <v>0</v>
      </c>
      <c r="M29" s="1">
        <f>+'SR BUDACT'!AS47</f>
        <v>0</v>
      </c>
      <c r="N29" s="1">
        <f>+'SR BUDACT'!AW47</f>
        <v>0</v>
      </c>
      <c r="O29" s="1">
        <f>+'SR BUDACT'!BC47</f>
        <v>0</v>
      </c>
      <c r="P29" s="1">
        <f>+'SR BUDACT'!JB47</f>
        <v>0</v>
      </c>
      <c r="Q29" s="1">
        <f>+'SR BUDACT'!BK47</f>
        <v>0</v>
      </c>
      <c r="R29" s="1">
        <f>+'SR BUDACT'!BQ47</f>
        <v>0</v>
      </c>
      <c r="S29" s="1">
        <f>+'SR BUDACT'!BU47</f>
        <v>0</v>
      </c>
      <c r="T29" s="1">
        <f>+'SR BUDACT'!CA47</f>
        <v>0</v>
      </c>
      <c r="U29" s="1">
        <f>+'SR BUDACT'!CE47</f>
        <v>0</v>
      </c>
      <c r="V29" s="1">
        <f>+'SR BUDACT'!CK47</f>
        <v>0</v>
      </c>
      <c r="W29" s="1">
        <f>+'SR BUDACT'!CO47</f>
        <v>0</v>
      </c>
      <c r="X29" s="1">
        <f>+'MAJ GOV BUDACT'!E38</f>
        <v>98168</v>
      </c>
      <c r="Y29" s="1">
        <f>+'SR BUDACT'!CU47</f>
        <v>0</v>
      </c>
      <c r="Z29" s="1">
        <f>+'SR BUDACT'!CY47</f>
        <v>0</v>
      </c>
      <c r="AA29" s="1">
        <f>+'SR BUDACT'!DE47</f>
        <v>0</v>
      </c>
      <c r="AB29" s="1">
        <f>+'SR BUDACT'!DI47</f>
        <v>0</v>
      </c>
      <c r="AC29" s="1">
        <f>+'SR BUDACT'!DO47</f>
        <v>0</v>
      </c>
      <c r="AD29" s="1">
        <f>+'SR BUDACT'!DS47</f>
        <v>0</v>
      </c>
      <c r="AE29" s="1">
        <f>+'SR BUDACT'!DY47</f>
        <v>0</v>
      </c>
      <c r="AF29" s="1">
        <f>+'SR BUDACT'!EC47</f>
        <v>0</v>
      </c>
      <c r="AG29" s="1">
        <f>+'SR BUDACT'!EI47</f>
        <v>0</v>
      </c>
      <c r="AH29" s="1">
        <f>+'SR BUDACT'!EM47</f>
        <v>0</v>
      </c>
      <c r="AI29" s="1">
        <f>+'SR BUDACT'!ES47</f>
        <v>0</v>
      </c>
      <c r="AJ29" s="1">
        <f>+'SR BUDACT'!EW47</f>
        <v>0</v>
      </c>
      <c r="AK29" s="1">
        <f>+'SR BUDACT'!FC47</f>
        <v>0</v>
      </c>
      <c r="AL29" s="1">
        <f>+'SR BUDACT'!FG47</f>
        <v>0</v>
      </c>
      <c r="AM29" s="1">
        <f>+'SR BUDACT'!FM47</f>
        <v>0</v>
      </c>
      <c r="AN29" s="1">
        <f>+'SR BUDACT'!FQ47</f>
        <v>0</v>
      </c>
      <c r="AO29" s="1">
        <f>+'SR BUDACT'!FW47</f>
        <v>0</v>
      </c>
      <c r="AP29" s="1">
        <f>+'SR BUDACT'!GA47</f>
        <v>0</v>
      </c>
      <c r="AQ29" s="1">
        <f>+'SR BUDACT'!GE47</f>
        <v>0</v>
      </c>
      <c r="AR29" s="1">
        <f>+'SR BUDACT'!GK47</f>
        <v>0</v>
      </c>
      <c r="AS29" s="1">
        <f>+'SR BUDACT'!GP47</f>
        <v>0</v>
      </c>
      <c r="AT29" s="1">
        <f>+'SR BUDACT'!GV47</f>
        <v>254869</v>
      </c>
      <c r="AU29" s="1">
        <f>+'SR BUDACT'!GZ47</f>
        <v>0</v>
      </c>
      <c r="AV29" s="1">
        <f>+'SR BUDACT'!HF47</f>
        <v>0</v>
      </c>
      <c r="AW29" s="1"/>
      <c r="AX29" s="1">
        <f>+'SR BUDACT'!HJ47</f>
        <v>0</v>
      </c>
      <c r="AY29" s="1">
        <f>+'SR BUDACT'!HT47</f>
        <v>0</v>
      </c>
      <c r="AZ29" s="1">
        <f>+'SR BUDACT'!HX47</f>
        <v>0</v>
      </c>
      <c r="BA29" s="1">
        <f>+'SR BUDACT'!ID47</f>
        <v>0</v>
      </c>
      <c r="BB29" s="1">
        <f>+'MAJ GOV BUDACT (2)'!E46</f>
        <v>259440</v>
      </c>
      <c r="BC29" s="1">
        <f>+'MAJ GOV BUDACT (3)'!E46</f>
        <v>0</v>
      </c>
      <c r="BD29" s="1"/>
      <c r="BE29" s="1"/>
      <c r="BF29" s="1">
        <f t="shared" si="38"/>
        <v>612477</v>
      </c>
      <c r="BG29" s="1">
        <f t="shared" si="44"/>
        <v>254869</v>
      </c>
      <c r="BH29" s="1">
        <f>+'DS BUDACT'!D35</f>
        <v>0</v>
      </c>
      <c r="BI29" s="1">
        <f>+'DS BUDACT'!H35</f>
        <v>0</v>
      </c>
      <c r="BJ29" s="1">
        <f>+'DS BUDACT'!N35</f>
        <v>0</v>
      </c>
      <c r="BK29" s="1">
        <f>+'DS BUDACT'!R35</f>
        <v>0</v>
      </c>
      <c r="BL29" s="1">
        <f>+'DS BUDACT'!W35</f>
        <v>0</v>
      </c>
      <c r="BM29" s="1">
        <f>+'DS BUDACT'!AC35</f>
        <v>0</v>
      </c>
      <c r="BN29" s="1">
        <f>+'DS BUDACT'!AI35</f>
        <v>0</v>
      </c>
      <c r="BO29" s="1"/>
      <c r="BP29" s="1">
        <f t="shared" si="39"/>
        <v>0</v>
      </c>
      <c r="BQ29" s="1"/>
      <c r="BR29" s="1">
        <f>+'CP BUDACT'!D47</f>
        <v>0</v>
      </c>
      <c r="BS29" s="1">
        <f>+'CP BUDACT'!H47</f>
        <v>0</v>
      </c>
      <c r="BT29" s="1">
        <f>+'CP BUDACT'!M47</f>
        <v>0</v>
      </c>
      <c r="BU29" s="1">
        <f>+'CP BUDACT'!Q47</f>
        <v>0</v>
      </c>
      <c r="BV29" s="1">
        <f>+'CP BUDACT'!V47</f>
        <v>0</v>
      </c>
      <c r="BW29" s="1">
        <f>+'CP BUDACT'!Z47</f>
        <v>0</v>
      </c>
      <c r="BX29" s="3"/>
      <c r="BY29" s="1">
        <f t="shared" si="40"/>
        <v>0</v>
      </c>
      <c r="BZ29" s="1"/>
      <c r="CA29" s="1"/>
      <c r="CB29" s="1"/>
      <c r="CC29" s="1"/>
      <c r="CD29" s="1"/>
      <c r="CE29" s="1"/>
      <c r="CF29" s="1"/>
      <c r="CG29" s="1"/>
      <c r="CH29" s="1"/>
      <c r="CI29" s="1"/>
      <c r="CJ29" s="1">
        <f t="shared" si="41"/>
        <v>0</v>
      </c>
      <c r="CK29" s="1"/>
      <c r="CL29" s="1"/>
      <c r="CM29" s="1"/>
      <c r="CN29" s="1"/>
      <c r="CO29" s="1"/>
      <c r="CP29" s="1"/>
      <c r="CQ29" s="1"/>
      <c r="CR29" s="1"/>
      <c r="CS29" s="1"/>
      <c r="CT29" s="1"/>
      <c r="CU29" s="1">
        <f t="shared" si="42"/>
        <v>0</v>
      </c>
      <c r="CW29" s="1"/>
      <c r="CX29" s="1"/>
      <c r="CY29" s="1"/>
      <c r="CZ29" s="1"/>
      <c r="DA29" s="1"/>
      <c r="DB29" s="1"/>
      <c r="DC29" s="1"/>
      <c r="DD29" s="1"/>
      <c r="DE29" s="1"/>
      <c r="DF29" s="1"/>
      <c r="DG29" s="1"/>
      <c r="DH29" s="1"/>
      <c r="DI29" s="1"/>
      <c r="DJ29" s="1"/>
      <c r="DK29" s="1"/>
      <c r="DL29" s="1"/>
      <c r="DM29" s="1"/>
      <c r="DN29" s="1"/>
      <c r="DO29" s="1"/>
      <c r="DP29" s="1"/>
      <c r="DQ29" s="1"/>
      <c r="DR29" s="1"/>
      <c r="DS29" s="1"/>
      <c r="DT29" s="1"/>
      <c r="DV29" s="1"/>
      <c r="DW29" s="1">
        <f t="shared" si="43"/>
        <v>0</v>
      </c>
      <c r="DX29" s="1"/>
      <c r="DY29" s="1"/>
      <c r="DZ29" s="1"/>
      <c r="EC29" s="1"/>
      <c r="ED29" s="1"/>
      <c r="EE29" s="1">
        <f t="shared" si="45"/>
        <v>0</v>
      </c>
      <c r="EF29" s="1"/>
      <c r="EG29" s="1"/>
    </row>
    <row r="30" spans="1:138" ht="15.75">
      <c r="A30" s="1"/>
      <c r="B30" s="8" t="s">
        <v>463</v>
      </c>
      <c r="C30" s="8"/>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f t="shared" si="38"/>
        <v>0</v>
      </c>
      <c r="BG30" s="1"/>
      <c r="BH30" s="1"/>
      <c r="BI30" s="1"/>
      <c r="BJ30" s="1"/>
      <c r="BK30" s="1"/>
      <c r="BL30" s="1"/>
      <c r="BM30" s="1"/>
      <c r="BN30" s="1"/>
      <c r="BO30" s="1"/>
      <c r="BP30" s="1">
        <f t="shared" si="39"/>
        <v>0</v>
      </c>
      <c r="BQ30" s="1"/>
      <c r="BR30" s="1"/>
      <c r="BS30" s="1"/>
      <c r="BT30" s="1"/>
      <c r="BU30" s="1"/>
      <c r="BV30" s="1"/>
      <c r="BW30" s="1"/>
      <c r="BX30" s="3"/>
      <c r="BY30" s="1"/>
      <c r="BZ30" s="1"/>
      <c r="CA30" s="1"/>
      <c r="CB30" s="1"/>
      <c r="CC30" s="1"/>
      <c r="CD30" s="1"/>
      <c r="CE30" s="1"/>
      <c r="CF30" s="1"/>
      <c r="CG30" s="1"/>
      <c r="CH30" s="1"/>
      <c r="CI30" s="1"/>
      <c r="CJ30" s="1"/>
      <c r="CK30" s="1"/>
      <c r="CL30" s="1"/>
      <c r="CM30" s="1"/>
      <c r="CN30" s="1"/>
      <c r="CO30" s="1"/>
      <c r="CP30" s="1"/>
      <c r="CQ30" s="1"/>
      <c r="CR30" s="1"/>
      <c r="CS30" s="1"/>
      <c r="CT30" s="1"/>
      <c r="CU30" s="1"/>
      <c r="CW30" s="1"/>
      <c r="CX30" s="1"/>
      <c r="CY30" s="1"/>
      <c r="CZ30" s="1"/>
      <c r="DA30" s="1"/>
      <c r="DB30" s="1"/>
      <c r="DC30" s="1"/>
      <c r="DD30" s="1"/>
      <c r="DE30" s="1"/>
      <c r="DF30" s="1"/>
      <c r="DG30" s="1"/>
      <c r="DH30" s="1"/>
      <c r="DI30" s="1"/>
      <c r="DJ30" s="1"/>
      <c r="DK30" s="1"/>
      <c r="DL30" s="1"/>
      <c r="DM30" s="1"/>
      <c r="DN30" s="1"/>
      <c r="DO30" s="1"/>
      <c r="DP30" s="1"/>
      <c r="DQ30" s="1"/>
      <c r="DR30" s="1"/>
      <c r="DS30" s="1"/>
      <c r="DT30" s="1"/>
      <c r="DV30" s="1"/>
      <c r="DW30" s="1"/>
      <c r="DX30" s="1"/>
      <c r="DY30" s="1"/>
      <c r="DZ30" s="1"/>
      <c r="EC30" s="1"/>
      <c r="ED30" s="1"/>
      <c r="EE30" s="1">
        <f t="shared" si="45"/>
        <v>0</v>
      </c>
      <c r="EF30" s="1"/>
      <c r="EG30" s="1"/>
    </row>
    <row r="31" spans="1:138" ht="15.75">
      <c r="A31" s="1"/>
      <c r="B31" s="1" t="s">
        <v>464</v>
      </c>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f t="shared" si="38"/>
        <v>0</v>
      </c>
      <c r="BG31" s="1"/>
      <c r="BH31" s="1"/>
      <c r="BI31" s="1"/>
      <c r="BJ31" s="1"/>
      <c r="BK31" s="1"/>
      <c r="BL31" s="1"/>
      <c r="BM31" s="1"/>
      <c r="BN31" s="1"/>
      <c r="BO31" s="1"/>
      <c r="BP31" s="1">
        <f t="shared" si="39"/>
        <v>0</v>
      </c>
      <c r="BQ31" s="1"/>
      <c r="BR31" s="1"/>
      <c r="BS31" s="1"/>
      <c r="BT31" s="1"/>
      <c r="BU31" s="1"/>
      <c r="BV31" s="1"/>
      <c r="BW31" s="1"/>
      <c r="BX31" s="3"/>
      <c r="BY31" s="1">
        <f t="shared" ref="BY31:BY40" si="46">SUM(BR31:BX31)</f>
        <v>0</v>
      </c>
      <c r="BZ31" s="1"/>
      <c r="CA31" s="1"/>
      <c r="CB31" s="1">
        <f>+'ENIS ER'!D57</f>
        <v>0</v>
      </c>
      <c r="CC31" s="1">
        <f>+'ENIS ER'!E57</f>
        <v>514085</v>
      </c>
      <c r="CD31" s="1">
        <f>+'ENIS ER'!F57</f>
        <v>30387</v>
      </c>
      <c r="CE31" s="1">
        <f>+'ENIS ER'!G57</f>
        <v>19459</v>
      </c>
      <c r="CF31" s="1">
        <f>+'ENIS ER'!H57</f>
        <v>0</v>
      </c>
      <c r="CG31" s="1">
        <f>+'ENIS ER'!I57</f>
        <v>248529</v>
      </c>
      <c r="CH31" s="1">
        <f>+'ENIS ER'!J57</f>
        <v>17121</v>
      </c>
      <c r="CI31" s="1"/>
      <c r="CJ31" s="1">
        <f t="shared" ref="CJ31:CJ38" si="47">SUM(CB31:CI31)</f>
        <v>829581</v>
      </c>
      <c r="CK31" s="1"/>
      <c r="CL31" s="1">
        <f>+'ENIS ER'!M57</f>
        <v>740556</v>
      </c>
      <c r="CM31" s="1">
        <f>+'ENIS ER'!N57</f>
        <v>0</v>
      </c>
      <c r="CN31" s="1">
        <f>+'ENIS ER'!O57</f>
        <v>454451</v>
      </c>
      <c r="CO31" s="1">
        <f>+'ENIS ER'!P57</f>
        <v>0</v>
      </c>
      <c r="CP31" s="1">
        <f>+'ENIS ER'!Q57</f>
        <v>1369136</v>
      </c>
      <c r="CQ31" s="1">
        <f>+'ENIS ER'!R57</f>
        <v>0</v>
      </c>
      <c r="CR31" s="1">
        <f>+'ENIS ER'!S57</f>
        <v>52343</v>
      </c>
      <c r="CS31" s="1"/>
      <c r="CT31" s="1"/>
      <c r="CU31" s="1">
        <f t="shared" ref="CU31:CU40" si="48">SUM(CL31:CT31)</f>
        <v>2616486</v>
      </c>
      <c r="CW31" s="1"/>
      <c r="CX31" s="1"/>
      <c r="CY31" s="1"/>
      <c r="CZ31" s="1"/>
      <c r="DA31" s="1"/>
      <c r="DB31" s="1"/>
      <c r="DC31" s="1"/>
      <c r="DD31" s="1"/>
      <c r="DE31" s="1"/>
      <c r="DF31" s="1"/>
      <c r="DG31" s="1"/>
      <c r="DH31" s="1"/>
      <c r="DI31" s="1"/>
      <c r="DJ31" s="1"/>
      <c r="DK31" s="1"/>
      <c r="DL31" s="1"/>
      <c r="DM31" s="1"/>
      <c r="DN31" s="1"/>
      <c r="DO31" s="1"/>
      <c r="DP31" s="1"/>
      <c r="DQ31" s="1"/>
      <c r="DR31" s="1"/>
      <c r="DS31" s="1"/>
      <c r="DT31" s="1"/>
      <c r="DV31" s="1"/>
      <c r="DW31" s="1">
        <f t="shared" ref="DW31:DW41" si="49">SUM(CY31:DV31)</f>
        <v>0</v>
      </c>
      <c r="DX31" s="1"/>
      <c r="DY31" s="1"/>
      <c r="DZ31" s="1"/>
      <c r="EC31" s="1"/>
      <c r="ED31" s="1"/>
      <c r="EE31" s="1">
        <f t="shared" si="45"/>
        <v>0</v>
      </c>
      <c r="EF31" s="1"/>
      <c r="EG31" s="1"/>
    </row>
    <row r="32" spans="1:138" ht="15.75">
      <c r="A32" s="1"/>
      <c r="B32" s="1" t="s">
        <v>465</v>
      </c>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f t="shared" si="38"/>
        <v>0</v>
      </c>
      <c r="BG32" s="1"/>
      <c r="BH32" s="1"/>
      <c r="BI32" s="1"/>
      <c r="BJ32" s="1"/>
      <c r="BK32" s="1"/>
      <c r="BL32" s="1"/>
      <c r="BM32" s="1"/>
      <c r="BN32" s="1"/>
      <c r="BO32" s="1"/>
      <c r="BP32" s="1">
        <f t="shared" si="39"/>
        <v>0</v>
      </c>
      <c r="BQ32" s="1"/>
      <c r="BR32" s="1"/>
      <c r="BS32" s="1"/>
      <c r="BT32" s="1"/>
      <c r="BU32" s="1"/>
      <c r="BV32" s="1"/>
      <c r="BW32" s="1"/>
      <c r="BX32" s="3"/>
      <c r="BY32" s="1">
        <f t="shared" si="46"/>
        <v>0</v>
      </c>
      <c r="BZ32" s="1"/>
      <c r="CA32" s="1"/>
      <c r="CB32" s="1">
        <f>+'ENIS ER'!D58</f>
        <v>0</v>
      </c>
      <c r="CC32" s="1">
        <f>+'ENIS ER'!E58</f>
        <v>247402</v>
      </c>
      <c r="CD32" s="1">
        <f>+'ENIS ER'!F58</f>
        <v>10966</v>
      </c>
      <c r="CE32" s="1">
        <f>+'ENIS ER'!G58</f>
        <v>10299</v>
      </c>
      <c r="CF32" s="1">
        <f>+'ENIS ER'!H58</f>
        <v>55091</v>
      </c>
      <c r="CG32" s="1">
        <f>+'ENIS ER'!I58</f>
        <v>279857</v>
      </c>
      <c r="CH32" s="1">
        <f>+'ENIS ER'!J58</f>
        <v>12799</v>
      </c>
      <c r="CI32" s="1"/>
      <c r="CJ32" s="1">
        <f t="shared" si="47"/>
        <v>616414</v>
      </c>
      <c r="CK32" s="1"/>
      <c r="CL32" s="1">
        <f>+'ENIS ER'!M58</f>
        <v>335541</v>
      </c>
      <c r="CM32" s="1">
        <f>+'ENIS ER'!N58</f>
        <v>77920</v>
      </c>
      <c r="CN32" s="1">
        <f>+'ENIS ER'!O58</f>
        <v>268665</v>
      </c>
      <c r="CO32" s="1">
        <f>+'ENIS ER'!P58</f>
        <v>472403</v>
      </c>
      <c r="CP32" s="1">
        <f>+'ENIS ER'!Q58</f>
        <v>950472</v>
      </c>
      <c r="CQ32" s="89">
        <v>0</v>
      </c>
      <c r="CR32" s="1">
        <f>+'ENIS ER'!S58</f>
        <v>761095</v>
      </c>
      <c r="CS32" s="1"/>
      <c r="CT32" s="1"/>
      <c r="CU32" s="1">
        <f t="shared" si="48"/>
        <v>2866096</v>
      </c>
      <c r="CW32" s="1"/>
      <c r="CX32" s="1"/>
      <c r="CY32" s="1"/>
      <c r="CZ32" s="1"/>
      <c r="DA32" s="1"/>
      <c r="DB32" s="1"/>
      <c r="DC32" s="1"/>
      <c r="DD32" s="1"/>
      <c r="DE32" s="1"/>
      <c r="DF32" s="1"/>
      <c r="DG32" s="1"/>
      <c r="DH32" s="1"/>
      <c r="DI32" s="1"/>
      <c r="DJ32" s="1"/>
      <c r="DK32" s="1"/>
      <c r="DL32" s="1"/>
      <c r="DM32" s="1"/>
      <c r="DN32" s="1"/>
      <c r="DO32" s="1"/>
      <c r="DP32" s="1"/>
      <c r="DQ32" s="1"/>
      <c r="DR32" s="1"/>
      <c r="DS32" s="1"/>
      <c r="DT32" s="1"/>
      <c r="DV32" s="1"/>
      <c r="DW32" s="1">
        <f t="shared" si="49"/>
        <v>0</v>
      </c>
      <c r="DX32" s="1"/>
      <c r="DY32" s="1"/>
      <c r="DZ32" s="1"/>
      <c r="EC32" s="1"/>
      <c r="ED32" s="1"/>
      <c r="EE32" s="1">
        <f t="shared" si="45"/>
        <v>0</v>
      </c>
      <c r="EF32" s="1"/>
      <c r="EG32" s="1"/>
    </row>
    <row r="33" spans="1:141" ht="15.75">
      <c r="A33" s="1"/>
      <c r="B33" s="1" t="s">
        <v>466</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f t="shared" si="38"/>
        <v>0</v>
      </c>
      <c r="BG33" s="1"/>
      <c r="BH33" s="1"/>
      <c r="BI33" s="1"/>
      <c r="BJ33" s="1"/>
      <c r="BK33" s="1"/>
      <c r="BL33" s="1"/>
      <c r="BM33" s="1"/>
      <c r="BN33" s="1"/>
      <c r="BO33" s="1"/>
      <c r="BP33" s="1">
        <f t="shared" si="39"/>
        <v>0</v>
      </c>
      <c r="BQ33" s="1"/>
      <c r="BR33" s="1"/>
      <c r="BS33" s="1"/>
      <c r="BT33" s="1"/>
      <c r="BU33" s="1"/>
      <c r="BV33" s="1"/>
      <c r="BW33" s="1"/>
      <c r="BX33" s="3"/>
      <c r="BY33" s="1">
        <f t="shared" si="46"/>
        <v>0</v>
      </c>
      <c r="BZ33" s="1"/>
      <c r="CA33" s="1"/>
      <c r="CB33" s="1">
        <f>+'ENIS ER'!D59+0</f>
        <v>0</v>
      </c>
      <c r="CC33" s="1">
        <f>+'ENIS ER'!E59</f>
        <v>903811</v>
      </c>
      <c r="CD33" s="1">
        <f>+'ENIS ER'!F59</f>
        <v>64576</v>
      </c>
      <c r="CE33" s="1">
        <f>+'ENIS ER'!G59</f>
        <v>165701</v>
      </c>
      <c r="CF33" s="1">
        <f>+'ENIS ER'!H59</f>
        <v>1392222</v>
      </c>
      <c r="CG33" s="1">
        <f>+'ENIS ER'!I59</f>
        <v>231141</v>
      </c>
      <c r="CH33" s="1">
        <f>+'ENIS ER'!J59</f>
        <v>2314</v>
      </c>
      <c r="CI33" s="1"/>
      <c r="CJ33" s="1">
        <f t="shared" si="47"/>
        <v>2759765</v>
      </c>
      <c r="CK33" s="1"/>
      <c r="CL33" s="1">
        <f>+'ENIS ER'!M59</f>
        <v>645713</v>
      </c>
      <c r="CM33" s="1">
        <f>+'ENIS ER'!N59</f>
        <v>105922</v>
      </c>
      <c r="CN33" s="1">
        <f>+'ENIS ER'!O59</f>
        <v>64096</v>
      </c>
      <c r="CO33" s="1">
        <f>+'ENIS ER'!P59</f>
        <v>3130</v>
      </c>
      <c r="CP33" s="1">
        <f>+'ENIS ER'!Q59</f>
        <v>280564</v>
      </c>
      <c r="CQ33" s="1">
        <f>+'ENIS ER'!R59+'ENIS ER'!R58</f>
        <v>1158274</v>
      </c>
      <c r="CR33" s="1">
        <f>+'ENIS ER'!S59</f>
        <v>8250917</v>
      </c>
      <c r="CS33" s="1"/>
      <c r="CT33" s="1"/>
      <c r="CU33" s="1">
        <f t="shared" si="48"/>
        <v>10508616</v>
      </c>
      <c r="CW33" s="1"/>
      <c r="CX33" s="1"/>
      <c r="CY33" s="1"/>
      <c r="CZ33" s="1"/>
      <c r="DA33" s="1"/>
      <c r="DB33" s="1"/>
      <c r="DC33" s="1"/>
      <c r="DD33" s="1"/>
      <c r="DE33" s="1"/>
      <c r="DF33" s="1"/>
      <c r="DG33" s="1"/>
      <c r="DH33" s="1"/>
      <c r="DI33" s="1"/>
      <c r="DJ33" s="1"/>
      <c r="DK33" s="1"/>
      <c r="DL33" s="1"/>
      <c r="DM33" s="1"/>
      <c r="DN33" s="1"/>
      <c r="DO33" s="1"/>
      <c r="DP33" s="1"/>
      <c r="DQ33" s="1"/>
      <c r="DR33" s="1"/>
      <c r="DS33" s="1"/>
      <c r="DT33" s="1"/>
      <c r="DV33" s="1"/>
      <c r="DW33" s="1">
        <f t="shared" si="49"/>
        <v>0</v>
      </c>
      <c r="DX33" s="1"/>
      <c r="DY33" s="1"/>
      <c r="DZ33" s="1"/>
      <c r="EC33" s="1"/>
      <c r="ED33" s="615" t="s">
        <v>2421</v>
      </c>
      <c r="EE33" s="1">
        <f t="shared" si="45"/>
        <v>0</v>
      </c>
      <c r="EF33" s="1"/>
    </row>
    <row r="34" spans="1:141" ht="15.75">
      <c r="A34" s="1"/>
      <c r="B34" s="1" t="s">
        <v>411</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f t="shared" si="38"/>
        <v>0</v>
      </c>
      <c r="BG34" s="1"/>
      <c r="BH34" s="1"/>
      <c r="BI34" s="1"/>
      <c r="BJ34" s="1"/>
      <c r="BK34" s="1"/>
      <c r="BL34" s="1"/>
      <c r="BM34" s="1"/>
      <c r="BN34" s="1"/>
      <c r="BO34" s="1"/>
      <c r="BP34" s="1">
        <f t="shared" si="39"/>
        <v>0</v>
      </c>
      <c r="BQ34" s="1"/>
      <c r="BR34" s="1"/>
      <c r="BS34" s="1"/>
      <c r="BT34" s="1"/>
      <c r="BU34" s="1"/>
      <c r="BV34" s="1"/>
      <c r="BW34" s="1"/>
      <c r="BX34" s="3"/>
      <c r="BY34" s="1">
        <f t="shared" si="46"/>
        <v>0</v>
      </c>
      <c r="BZ34" s="1"/>
      <c r="CA34" s="1"/>
      <c r="CB34" s="1">
        <f>+'ENIS ER'!D63</f>
        <v>0</v>
      </c>
      <c r="CC34" s="1">
        <f>+'ENIS ER'!E63</f>
        <v>0</v>
      </c>
      <c r="CD34" s="1">
        <f>+'ENIS ER'!F63</f>
        <v>0</v>
      </c>
      <c r="CE34" s="1">
        <f>+'ENIS ER'!G63</f>
        <v>73850</v>
      </c>
      <c r="CF34" s="1">
        <f>+'ENIS ER'!H63</f>
        <v>5273</v>
      </c>
      <c r="CG34" s="1">
        <f>+'ENIS ER'!I63</f>
        <v>22423</v>
      </c>
      <c r="CH34" s="1">
        <f>+'ENIS ER'!J63</f>
        <v>0</v>
      </c>
      <c r="CI34" s="1"/>
      <c r="CJ34" s="1">
        <f t="shared" si="47"/>
        <v>101546</v>
      </c>
      <c r="CK34" s="1"/>
      <c r="CL34" s="1">
        <f>+'ENIS ER'!M63</f>
        <v>126264</v>
      </c>
      <c r="CM34" s="1">
        <f>+'ENIS ER'!N63</f>
        <v>31259</v>
      </c>
      <c r="CN34" s="1">
        <f>+'ENIS ER'!O63</f>
        <v>13144</v>
      </c>
      <c r="CO34" s="1">
        <f>+'ENIS ER'!P63</f>
        <v>0</v>
      </c>
      <c r="CP34" s="1">
        <f>+'ENIS ER'!Q63</f>
        <v>0</v>
      </c>
      <c r="CQ34" s="1">
        <f>+'ENIS ER'!R63</f>
        <v>0</v>
      </c>
      <c r="CR34" s="1">
        <f>+'ENIS ER'!S63</f>
        <v>0</v>
      </c>
      <c r="CS34" s="1"/>
      <c r="CT34" s="1"/>
      <c r="CU34" s="1">
        <f t="shared" si="48"/>
        <v>170667</v>
      </c>
      <c r="CW34" s="1"/>
      <c r="CX34" s="1"/>
      <c r="CY34" s="1"/>
      <c r="CZ34" s="1"/>
      <c r="DA34" s="1"/>
      <c r="DB34" s="1"/>
      <c r="DC34" s="1"/>
      <c r="DD34" s="1"/>
      <c r="DE34" s="1"/>
      <c r="DF34" s="1"/>
      <c r="DG34" s="1"/>
      <c r="DH34" s="1"/>
      <c r="DI34" s="1"/>
      <c r="DJ34" s="1"/>
      <c r="DK34" s="1"/>
      <c r="DL34" s="1"/>
      <c r="DM34" s="1"/>
      <c r="DN34" s="1"/>
      <c r="DO34" s="1"/>
      <c r="DP34" s="1"/>
      <c r="DQ34" s="1"/>
      <c r="DR34" s="1"/>
      <c r="DS34" s="1"/>
      <c r="DT34" s="1"/>
      <c r="DV34" s="1"/>
      <c r="DW34" s="1">
        <f t="shared" si="49"/>
        <v>0</v>
      </c>
      <c r="DX34" s="1"/>
      <c r="DY34" s="1"/>
      <c r="DZ34" s="1"/>
      <c r="EC34" s="82">
        <v>0</v>
      </c>
      <c r="ED34" s="253" t="s">
        <v>2773</v>
      </c>
      <c r="EE34" s="1">
        <f t="shared" si="45"/>
        <v>0</v>
      </c>
      <c r="EF34" s="1"/>
      <c r="EG34" s="1"/>
    </row>
    <row r="35" spans="1:141" ht="15.75">
      <c r="A35" s="1"/>
      <c r="B35" s="1" t="s">
        <v>467</v>
      </c>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f t="shared" si="38"/>
        <v>0</v>
      </c>
      <c r="BG35" s="1"/>
      <c r="BH35" s="1"/>
      <c r="BI35" s="1"/>
      <c r="BJ35" s="1"/>
      <c r="BK35" s="1"/>
      <c r="BL35" s="1"/>
      <c r="BM35" s="1"/>
      <c r="BN35" s="1"/>
      <c r="BO35" s="1"/>
      <c r="BP35" s="1">
        <f t="shared" si="39"/>
        <v>0</v>
      </c>
      <c r="BQ35" s="1"/>
      <c r="BR35" s="1"/>
      <c r="BS35" s="1"/>
      <c r="BT35" s="1"/>
      <c r="BU35" s="1"/>
      <c r="BV35" s="1"/>
      <c r="BW35" s="1"/>
      <c r="BX35" s="3"/>
      <c r="BY35" s="1">
        <f t="shared" si="46"/>
        <v>0</v>
      </c>
      <c r="BZ35" s="1"/>
      <c r="CA35" s="1"/>
      <c r="CB35" s="1"/>
      <c r="CC35" s="1"/>
      <c r="CD35" s="1"/>
      <c r="CE35" s="1"/>
      <c r="CF35" s="1"/>
      <c r="CG35" s="1"/>
      <c r="CH35" s="1"/>
      <c r="CI35" s="1"/>
      <c r="CJ35" s="1">
        <f t="shared" si="47"/>
        <v>0</v>
      </c>
      <c r="CK35" s="1"/>
      <c r="CL35" s="1"/>
      <c r="CM35" s="1"/>
      <c r="CN35" s="1"/>
      <c r="CO35" s="1"/>
      <c r="CP35" s="1"/>
      <c r="CQ35" s="1"/>
      <c r="CR35" s="1"/>
      <c r="CS35" s="1"/>
      <c r="CT35" s="1"/>
      <c r="CU35" s="1">
        <f t="shared" si="48"/>
        <v>0</v>
      </c>
      <c r="CW35" s="1"/>
      <c r="CX35" s="1"/>
      <c r="CY35" s="1"/>
      <c r="CZ35" s="1"/>
      <c r="DA35" s="1"/>
      <c r="DB35" s="1"/>
      <c r="DC35" s="1"/>
      <c r="DD35" s="1"/>
      <c r="DE35" s="1"/>
      <c r="DF35" s="1"/>
      <c r="DG35" s="1"/>
      <c r="DH35" s="1"/>
      <c r="DI35" s="1"/>
      <c r="DJ35" s="1"/>
      <c r="DK35" s="1"/>
      <c r="DL35" s="1"/>
      <c r="DM35" s="1"/>
      <c r="DN35" s="1"/>
      <c r="DO35" s="1"/>
      <c r="DP35" s="1"/>
      <c r="DQ35" s="1"/>
      <c r="DR35" s="1"/>
      <c r="DS35" s="1"/>
      <c r="DT35" s="1"/>
      <c r="DV35" s="1"/>
      <c r="DW35" s="1">
        <f t="shared" si="49"/>
        <v>0</v>
      </c>
      <c r="DX35" s="1"/>
      <c r="DY35" s="1"/>
      <c r="DZ35" s="1"/>
      <c r="EC35" s="1"/>
      <c r="ED35" s="1"/>
      <c r="EE35" s="1">
        <f t="shared" si="45"/>
        <v>0</v>
      </c>
      <c r="EF35" s="1"/>
      <c r="EG35" s="1"/>
    </row>
    <row r="36" spans="1:141" ht="15.75">
      <c r="A36" s="1"/>
      <c r="B36" s="1" t="s">
        <v>285</v>
      </c>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f t="shared" si="38"/>
        <v>0</v>
      </c>
      <c r="BG36" s="1"/>
      <c r="BH36" s="1"/>
      <c r="BI36" s="1"/>
      <c r="BJ36" s="1"/>
      <c r="BK36" s="1"/>
      <c r="BL36" s="1"/>
      <c r="BM36" s="1"/>
      <c r="BN36" s="1"/>
      <c r="BO36" s="1"/>
      <c r="BP36" s="1">
        <f t="shared" si="39"/>
        <v>0</v>
      </c>
      <c r="BQ36" s="1"/>
      <c r="BR36" s="1"/>
      <c r="BS36" s="1"/>
      <c r="BT36" s="1"/>
      <c r="BU36" s="1"/>
      <c r="BV36" s="1"/>
      <c r="BW36" s="1"/>
      <c r="BX36" s="3"/>
      <c r="BY36" s="1">
        <f t="shared" si="46"/>
        <v>0</v>
      </c>
      <c r="BZ36" s="1"/>
      <c r="CA36" s="1"/>
      <c r="CB36" s="1"/>
      <c r="CC36" s="1"/>
      <c r="CD36" s="1"/>
      <c r="CE36" s="1"/>
      <c r="CF36" s="1"/>
      <c r="CG36" s="1"/>
      <c r="CH36" s="1"/>
      <c r="CI36" s="1"/>
      <c r="CJ36" s="1">
        <f t="shared" si="47"/>
        <v>0</v>
      </c>
      <c r="CK36" s="1"/>
      <c r="CL36" s="1"/>
      <c r="CM36" s="1"/>
      <c r="CN36" s="1"/>
      <c r="CO36" s="1"/>
      <c r="CP36" s="1"/>
      <c r="CQ36" s="1"/>
      <c r="CR36" s="1"/>
      <c r="CS36" s="1"/>
      <c r="CT36" s="1"/>
      <c r="CU36" s="1">
        <f t="shared" si="48"/>
        <v>0</v>
      </c>
      <c r="CW36" s="1"/>
      <c r="CX36" s="1"/>
      <c r="CY36" s="1"/>
      <c r="CZ36" s="1"/>
      <c r="DA36" s="1"/>
      <c r="DB36" s="1"/>
      <c r="DC36" s="1"/>
      <c r="DD36" s="1"/>
      <c r="DE36" s="1"/>
      <c r="DF36" s="1"/>
      <c r="DG36" s="1"/>
      <c r="DH36" s="1"/>
      <c r="DI36" s="1"/>
      <c r="DJ36" s="1"/>
      <c r="DK36" s="1"/>
      <c r="DL36" s="1"/>
      <c r="DM36" s="1"/>
      <c r="DN36" s="1"/>
      <c r="DO36" s="1"/>
      <c r="DP36" s="1"/>
      <c r="DQ36" s="1"/>
      <c r="DR36" s="1"/>
      <c r="DS36" s="1"/>
      <c r="DT36" s="1"/>
      <c r="DV36" s="1"/>
      <c r="DW36" s="1">
        <f t="shared" si="49"/>
        <v>0</v>
      </c>
      <c r="DX36" s="1"/>
      <c r="DY36" s="1"/>
      <c r="DZ36" s="1"/>
      <c r="EC36" s="1"/>
      <c r="ED36" s="1"/>
      <c r="EE36" s="1">
        <f t="shared" si="45"/>
        <v>0</v>
      </c>
      <c r="EF36" s="1"/>
      <c r="EG36" s="1"/>
    </row>
    <row r="37" spans="1:141" ht="15.75">
      <c r="A37" s="1"/>
      <c r="B37" s="1" t="s">
        <v>286</v>
      </c>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f t="shared" si="38"/>
        <v>0</v>
      </c>
      <c r="BG37" s="1"/>
      <c r="BH37" s="1"/>
      <c r="BI37" s="1"/>
      <c r="BJ37" s="1"/>
      <c r="BK37" s="1"/>
      <c r="BL37" s="1"/>
      <c r="BM37" s="1"/>
      <c r="BN37" s="1"/>
      <c r="BO37" s="1"/>
      <c r="BP37" s="1">
        <f t="shared" si="39"/>
        <v>0</v>
      </c>
      <c r="BQ37" s="1"/>
      <c r="BR37" s="1"/>
      <c r="BS37" s="1"/>
      <c r="BT37" s="1"/>
      <c r="BU37" s="1"/>
      <c r="BV37" s="1"/>
      <c r="BW37" s="1"/>
      <c r="BX37" s="3"/>
      <c r="BY37" s="1">
        <f t="shared" si="46"/>
        <v>0</v>
      </c>
      <c r="BZ37" s="1"/>
      <c r="CA37" s="1"/>
      <c r="CB37" s="1">
        <f>+'ENIS ER'!D62</f>
        <v>0</v>
      </c>
      <c r="CC37" s="1">
        <f>+'ENIS ER'!E62</f>
        <v>0</v>
      </c>
      <c r="CD37" s="1">
        <f>+'ENIS ER'!F62</f>
        <v>0</v>
      </c>
      <c r="CE37" s="1">
        <f>+'ENIS ER'!G62</f>
        <v>0</v>
      </c>
      <c r="CF37" s="1">
        <f>+'ENIS ER'!H62</f>
        <v>0</v>
      </c>
      <c r="CG37" s="1">
        <f>+'ENIS ER'!I62</f>
        <v>23768</v>
      </c>
      <c r="CH37" s="1">
        <f>+'ENIS ER'!J62</f>
        <v>0</v>
      </c>
      <c r="CI37" s="1"/>
      <c r="CJ37" s="1">
        <f t="shared" si="47"/>
        <v>23768</v>
      </c>
      <c r="CK37" s="1"/>
      <c r="CL37" s="1">
        <f>+'ENIS ER'!M62</f>
        <v>0</v>
      </c>
      <c r="CM37" s="1">
        <f>+'ENIS ER'!N62</f>
        <v>0</v>
      </c>
      <c r="CN37" s="1">
        <f>+'ENIS ER'!O62</f>
        <v>0</v>
      </c>
      <c r="CO37" s="1">
        <f>+'ENIS ER'!P62</f>
        <v>0</v>
      </c>
      <c r="CP37" s="1">
        <f>+'ENIS ER'!Q62</f>
        <v>0</v>
      </c>
      <c r="CQ37" s="1">
        <f>+'ENIS ER'!R62</f>
        <v>0</v>
      </c>
      <c r="CR37" s="1">
        <f>+'ENIS ER'!S62</f>
        <v>0</v>
      </c>
      <c r="CS37" s="1"/>
      <c r="CT37" s="1"/>
      <c r="CU37" s="1">
        <f t="shared" si="48"/>
        <v>0</v>
      </c>
      <c r="CW37" s="1"/>
      <c r="CX37" s="1"/>
      <c r="CY37" s="1"/>
      <c r="CZ37" s="1"/>
      <c r="DA37" s="1"/>
      <c r="DB37" s="1"/>
      <c r="DC37" s="1"/>
      <c r="DD37" s="1"/>
      <c r="DE37" s="1"/>
      <c r="DF37" s="1"/>
      <c r="DG37" s="1"/>
      <c r="DH37" s="1"/>
      <c r="DI37" s="1"/>
      <c r="DJ37" s="1"/>
      <c r="DK37" s="1"/>
      <c r="DL37" s="1"/>
      <c r="DM37" s="1"/>
      <c r="DN37" s="1"/>
      <c r="DO37" s="1"/>
      <c r="DP37" s="1"/>
      <c r="DQ37" s="1"/>
      <c r="DR37" s="1"/>
      <c r="DS37" s="1"/>
      <c r="DT37" s="1"/>
      <c r="DV37" s="1"/>
      <c r="DW37" s="1">
        <f t="shared" si="49"/>
        <v>0</v>
      </c>
      <c r="DX37" s="1"/>
      <c r="DY37" s="1"/>
      <c r="DZ37" s="1"/>
      <c r="EC37" s="1"/>
      <c r="ED37" s="1"/>
      <c r="EE37" s="1">
        <f t="shared" si="45"/>
        <v>0</v>
      </c>
      <c r="EF37" s="1"/>
      <c r="EG37" s="1"/>
    </row>
    <row r="38" spans="1:141" ht="15.75">
      <c r="A38" s="1"/>
      <c r="B38" s="1" t="s">
        <v>287</v>
      </c>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f t="shared" si="38"/>
        <v>0</v>
      </c>
      <c r="BG38" s="1"/>
      <c r="BH38" s="1"/>
      <c r="BI38" s="1"/>
      <c r="BJ38" s="1"/>
      <c r="BK38" s="1"/>
      <c r="BL38" s="1"/>
      <c r="BM38" s="1"/>
      <c r="BN38" s="1"/>
      <c r="BO38" s="1"/>
      <c r="BP38" s="1">
        <f t="shared" si="39"/>
        <v>0</v>
      </c>
      <c r="BQ38" s="1"/>
      <c r="BR38" s="1"/>
      <c r="BS38" s="1"/>
      <c r="BT38" s="1"/>
      <c r="BU38" s="1"/>
      <c r="BV38" s="1"/>
      <c r="BW38" s="1"/>
      <c r="BX38" s="3"/>
      <c r="BY38" s="1">
        <f t="shared" si="46"/>
        <v>0</v>
      </c>
      <c r="BZ38" s="1"/>
      <c r="CA38" s="1"/>
      <c r="CB38" s="1"/>
      <c r="CC38" s="1"/>
      <c r="CD38" s="1"/>
      <c r="CE38" s="1"/>
      <c r="CF38" s="1"/>
      <c r="CG38" s="1"/>
      <c r="CH38" s="1"/>
      <c r="CI38" s="1"/>
      <c r="CJ38" s="1">
        <f t="shared" si="47"/>
        <v>0</v>
      </c>
      <c r="CK38" s="1"/>
      <c r="CL38" s="1"/>
      <c r="CM38" s="1"/>
      <c r="CN38" s="1"/>
      <c r="CO38" s="1"/>
      <c r="CP38" s="1"/>
      <c r="CQ38" s="1"/>
      <c r="CR38" s="1"/>
      <c r="CS38" s="1"/>
      <c r="CT38" s="1"/>
      <c r="CU38" s="1">
        <f t="shared" si="48"/>
        <v>0</v>
      </c>
      <c r="CW38" s="1"/>
      <c r="CX38" s="1"/>
      <c r="CY38" s="1"/>
      <c r="CZ38" s="1"/>
      <c r="DA38" s="1"/>
      <c r="DB38" s="1"/>
      <c r="DC38" s="1"/>
      <c r="DD38" s="1"/>
      <c r="DE38" s="1"/>
      <c r="DF38" s="1"/>
      <c r="DG38" s="1"/>
      <c r="DH38" s="1"/>
      <c r="DI38" s="1"/>
      <c r="DJ38" s="1"/>
      <c r="DK38" s="1"/>
      <c r="DL38" s="1"/>
      <c r="DM38" s="1"/>
      <c r="DN38" s="1"/>
      <c r="DO38" s="1"/>
      <c r="DP38" s="1"/>
      <c r="DQ38" s="1"/>
      <c r="DR38" s="1"/>
      <c r="DS38" s="1"/>
      <c r="DT38" s="1"/>
      <c r="DV38" s="1"/>
      <c r="DW38" s="1">
        <f t="shared" si="49"/>
        <v>0</v>
      </c>
      <c r="DX38" s="1"/>
      <c r="DY38" s="1"/>
      <c r="DZ38" s="1"/>
      <c r="EC38" s="1"/>
      <c r="ED38" s="1"/>
      <c r="EE38" s="1">
        <f t="shared" si="45"/>
        <v>0</v>
      </c>
      <c r="EF38" s="1"/>
      <c r="EG38" s="1"/>
    </row>
    <row r="39" spans="1:141" ht="15.75">
      <c r="A39" s="1"/>
      <c r="B39" s="8" t="s">
        <v>2839</v>
      </c>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f t="shared" si="39"/>
        <v>0</v>
      </c>
      <c r="BQ39" s="1"/>
      <c r="BR39" s="1"/>
      <c r="BS39" s="1"/>
      <c r="BT39" s="1"/>
      <c r="BU39" s="1"/>
      <c r="BV39" s="1"/>
      <c r="BW39" s="1"/>
      <c r="BX39" s="3"/>
      <c r="BY39" s="1">
        <f t="shared" si="46"/>
        <v>0</v>
      </c>
      <c r="BZ39" s="1"/>
      <c r="CA39" s="1"/>
      <c r="CB39" s="1"/>
      <c r="CC39" s="1"/>
      <c r="CD39" s="1"/>
      <c r="CE39" s="1"/>
      <c r="CF39" s="1"/>
      <c r="CG39" s="1"/>
      <c r="CH39" s="1"/>
      <c r="CI39" s="1"/>
      <c r="CJ39" s="1"/>
      <c r="CK39" s="1"/>
      <c r="CL39" s="1"/>
      <c r="CM39" s="1"/>
      <c r="CN39" s="1"/>
      <c r="CO39" s="1"/>
      <c r="CP39" s="1"/>
      <c r="CQ39" s="1"/>
      <c r="CR39" s="1"/>
      <c r="CS39" s="1"/>
      <c r="CT39" s="1"/>
      <c r="CU39" s="1">
        <f t="shared" si="48"/>
        <v>0</v>
      </c>
      <c r="CW39" s="1">
        <f>+'TA IS ER'!B54</f>
        <v>3961847</v>
      </c>
      <c r="CX39" s="1">
        <f>+'TA IS ER'!C54</f>
        <v>0</v>
      </c>
      <c r="CY39" s="1">
        <f>+'TA IS ER'!D54</f>
        <v>25951</v>
      </c>
      <c r="CZ39" s="1">
        <f>+'TA IS ER'!E54</f>
        <v>0</v>
      </c>
      <c r="DA39" s="1">
        <f>+'TA IS ER'!F54</f>
        <v>0</v>
      </c>
      <c r="DB39" s="1">
        <f>+'TA IS ER'!G54</f>
        <v>561603</v>
      </c>
      <c r="DC39" s="1">
        <f>+'TA IS ER'!H54</f>
        <v>231220</v>
      </c>
      <c r="DD39" s="1">
        <f>+'TA IS ER'!I54</f>
        <v>0</v>
      </c>
      <c r="DE39" s="1">
        <f>+'TA IS ER'!J54</f>
        <v>0</v>
      </c>
      <c r="DF39" s="1">
        <f>+'TA IS ER'!K54</f>
        <v>0</v>
      </c>
      <c r="DG39" s="1">
        <f>+'TA IS ER'!L54</f>
        <v>0</v>
      </c>
      <c r="DH39" s="1">
        <f>+'TA IS ER'!M54</f>
        <v>0</v>
      </c>
      <c r="DI39" s="1">
        <f>+'TA IS ER'!N54</f>
        <v>0</v>
      </c>
      <c r="DJ39" s="1">
        <f>+'TA IS ER'!O54</f>
        <v>0</v>
      </c>
      <c r="DK39" s="1">
        <f>+'TA IS ER'!P54</f>
        <v>0</v>
      </c>
      <c r="DL39" s="1">
        <f>+'TA IS ER'!Q54</f>
        <v>400299</v>
      </c>
      <c r="DM39" s="1">
        <f>+'TA IS ER'!R54</f>
        <v>0</v>
      </c>
      <c r="DN39" s="1">
        <f>+'TA IS ER'!S54</f>
        <v>192303</v>
      </c>
      <c r="DO39" s="1">
        <f>+'TA IS ER'!T54</f>
        <v>0</v>
      </c>
      <c r="DP39" s="1">
        <f>+'TA IS ER'!U54</f>
        <v>0</v>
      </c>
      <c r="DQ39" s="1">
        <f>+'TA IS ER'!V54</f>
        <v>3994603</v>
      </c>
      <c r="DR39" s="1">
        <f>+'TA IS ER'!W54</f>
        <v>172691625</v>
      </c>
      <c r="DS39" s="1">
        <f>+'TA IS ER'!X54</f>
        <v>30644291</v>
      </c>
      <c r="DT39" s="1">
        <f>+'TA IS ER'!Y54</f>
        <v>26717967</v>
      </c>
      <c r="DV39" s="1"/>
      <c r="DW39" s="1">
        <f t="shared" si="49"/>
        <v>235459862</v>
      </c>
      <c r="DX39" s="1"/>
      <c r="DY39" s="1"/>
      <c r="DZ39" s="82">
        <v>835054</v>
      </c>
      <c r="EA39" s="77" t="s">
        <v>3359</v>
      </c>
      <c r="EC39" s="1"/>
      <c r="ED39" s="1"/>
      <c r="EE39" s="1">
        <f t="shared" si="45"/>
        <v>475716625</v>
      </c>
      <c r="EF39" s="1"/>
      <c r="EG39" s="1"/>
    </row>
    <row r="40" spans="1:141" ht="15.7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f t="shared" si="39"/>
        <v>0</v>
      </c>
      <c r="BQ40" s="1"/>
      <c r="BR40" s="1"/>
      <c r="BS40" s="1"/>
      <c r="BT40" s="1"/>
      <c r="BU40" s="1"/>
      <c r="BV40" s="1"/>
      <c r="BW40" s="1"/>
      <c r="BX40" s="3"/>
      <c r="BY40" s="1">
        <f t="shared" si="46"/>
        <v>0</v>
      </c>
      <c r="BZ40" s="1"/>
      <c r="CA40" s="1"/>
      <c r="CB40" s="1"/>
      <c r="CC40" s="1"/>
      <c r="CD40" s="1"/>
      <c r="CE40" s="1"/>
      <c r="CF40" s="1"/>
      <c r="CG40" s="1"/>
      <c r="CH40" s="1"/>
      <c r="CI40" s="1"/>
      <c r="CJ40" s="1"/>
      <c r="CK40" s="1"/>
      <c r="CL40" s="1"/>
      <c r="CM40" s="1"/>
      <c r="CN40" s="1"/>
      <c r="CO40" s="1"/>
      <c r="CP40" s="1"/>
      <c r="CQ40" s="1"/>
      <c r="CR40" s="1"/>
      <c r="CS40" s="1"/>
      <c r="CT40" s="1"/>
      <c r="CU40" s="1">
        <f t="shared" si="48"/>
        <v>0</v>
      </c>
      <c r="CW40" s="1"/>
      <c r="CX40" s="1"/>
      <c r="CY40" s="1"/>
      <c r="CZ40" s="1"/>
      <c r="DA40" s="1"/>
      <c r="DB40" s="1"/>
      <c r="DC40" s="1"/>
      <c r="DD40" s="1"/>
      <c r="DE40" s="1"/>
      <c r="DF40" s="1"/>
      <c r="DG40" s="1"/>
      <c r="DH40" s="1"/>
      <c r="DI40" s="1"/>
      <c r="DJ40" s="1"/>
      <c r="DK40" s="1"/>
      <c r="DL40" s="1"/>
      <c r="DM40" s="1"/>
      <c r="DN40" s="1"/>
      <c r="DO40" s="1"/>
      <c r="DP40" s="1"/>
      <c r="DQ40" s="1"/>
      <c r="DR40" s="1"/>
      <c r="DS40" s="1"/>
      <c r="DT40" s="1"/>
      <c r="DV40" s="1"/>
      <c r="DW40" s="1">
        <f t="shared" si="49"/>
        <v>0</v>
      </c>
      <c r="DX40" s="1"/>
      <c r="DY40" s="1"/>
      <c r="DZ40" s="1"/>
      <c r="EC40" s="1"/>
      <c r="ED40" s="1"/>
      <c r="EE40" s="1">
        <f t="shared" si="45"/>
        <v>0</v>
      </c>
      <c r="EF40" s="1"/>
      <c r="EG40" s="1"/>
    </row>
    <row r="41" spans="1:141" ht="15.75">
      <c r="A41" s="1"/>
      <c r="B41" s="1" t="s">
        <v>288</v>
      </c>
      <c r="C41" s="1"/>
      <c r="D41" s="1">
        <f>SUM(D22:D40)</f>
        <v>12924692</v>
      </c>
      <c r="E41" s="1">
        <f t="shared" ref="E41:J41" si="50">SUM(E22:E40)</f>
        <v>2724251</v>
      </c>
      <c r="F41" s="1">
        <f t="shared" si="50"/>
        <v>20799</v>
      </c>
      <c r="G41" s="1">
        <f t="shared" si="50"/>
        <v>232157</v>
      </c>
      <c r="H41" s="1">
        <f t="shared" si="50"/>
        <v>362149</v>
      </c>
      <c r="I41" s="1">
        <f t="shared" si="50"/>
        <v>343913</v>
      </c>
      <c r="J41" s="1">
        <f t="shared" si="50"/>
        <v>2929880</v>
      </c>
      <c r="K41" s="1">
        <f t="shared" ref="K41:BD41" si="51">SUM(K22:K40)</f>
        <v>398</v>
      </c>
      <c r="L41" s="1">
        <f>SUM(L22:L40)</f>
        <v>11806</v>
      </c>
      <c r="M41" s="1">
        <f t="shared" si="51"/>
        <v>2111135</v>
      </c>
      <c r="N41" s="1">
        <f>SUM(N22:N40)</f>
        <v>101961</v>
      </c>
      <c r="O41" s="1">
        <f t="shared" si="51"/>
        <v>44402</v>
      </c>
      <c r="P41" s="1">
        <f t="shared" si="51"/>
        <v>0</v>
      </c>
      <c r="Q41" s="1">
        <f t="shared" si="51"/>
        <v>0</v>
      </c>
      <c r="R41" s="1">
        <f t="shared" si="51"/>
        <v>307663</v>
      </c>
      <c r="S41" s="1">
        <f t="shared" si="51"/>
        <v>1062979</v>
      </c>
      <c r="T41" s="1">
        <f t="shared" si="51"/>
        <v>0</v>
      </c>
      <c r="U41" s="1">
        <f t="shared" si="51"/>
        <v>2610727</v>
      </c>
      <c r="V41" s="1">
        <f t="shared" si="51"/>
        <v>177468</v>
      </c>
      <c r="W41" s="1">
        <f t="shared" si="51"/>
        <v>226021</v>
      </c>
      <c r="X41" s="1">
        <f t="shared" si="51"/>
        <v>13424240</v>
      </c>
      <c r="Y41" s="1">
        <f t="shared" si="51"/>
        <v>302307</v>
      </c>
      <c r="Z41" s="1">
        <f t="shared" si="51"/>
        <v>296998</v>
      </c>
      <c r="AA41" s="1">
        <f t="shared" si="51"/>
        <v>108245</v>
      </c>
      <c r="AB41" s="1">
        <f>SUM(AB22:AB40)</f>
        <v>4412224</v>
      </c>
      <c r="AC41" s="1">
        <f t="shared" si="51"/>
        <v>0</v>
      </c>
      <c r="AD41" s="1">
        <f t="shared" si="51"/>
        <v>25100</v>
      </c>
      <c r="AE41" s="1">
        <f t="shared" si="51"/>
        <v>36352</v>
      </c>
      <c r="AF41" s="1">
        <f t="shared" si="51"/>
        <v>0</v>
      </c>
      <c r="AG41" s="1">
        <f t="shared" si="51"/>
        <v>73060</v>
      </c>
      <c r="AH41" s="1">
        <f t="shared" si="51"/>
        <v>103446</v>
      </c>
      <c r="AI41" s="1">
        <f t="shared" si="51"/>
        <v>25000</v>
      </c>
      <c r="AJ41" s="1">
        <f t="shared" si="51"/>
        <v>0</v>
      </c>
      <c r="AK41" s="1">
        <f t="shared" si="51"/>
        <v>54897</v>
      </c>
      <c r="AL41" s="1">
        <f t="shared" ref="AL41:AR41" si="52">SUM(AL22:AL40)</f>
        <v>204151</v>
      </c>
      <c r="AM41" s="1">
        <f t="shared" si="52"/>
        <v>35072</v>
      </c>
      <c r="AN41" s="1">
        <f t="shared" si="52"/>
        <v>52642</v>
      </c>
      <c r="AO41" s="1">
        <f t="shared" si="52"/>
        <v>0</v>
      </c>
      <c r="AP41" s="1">
        <f t="shared" si="52"/>
        <v>2020387</v>
      </c>
      <c r="AQ41" s="1">
        <f t="shared" si="52"/>
        <v>0</v>
      </c>
      <c r="AR41" s="1">
        <f t="shared" si="52"/>
        <v>235770</v>
      </c>
      <c r="AS41" s="1">
        <f t="shared" si="51"/>
        <v>187603</v>
      </c>
      <c r="AT41" s="1">
        <f>SUM(AT22:AT40)</f>
        <v>254869</v>
      </c>
      <c r="AU41" s="1">
        <f>SUM(AU22:AU40)</f>
        <v>249556</v>
      </c>
      <c r="AV41" s="1">
        <f>SUM(AV22:AV40)</f>
        <v>22045</v>
      </c>
      <c r="AW41" s="1"/>
      <c r="AX41" s="1">
        <f t="shared" si="51"/>
        <v>50045</v>
      </c>
      <c r="AY41" s="1">
        <f t="shared" si="51"/>
        <v>0</v>
      </c>
      <c r="AZ41" s="1">
        <f t="shared" si="51"/>
        <v>41093</v>
      </c>
      <c r="BA41" s="1">
        <f>SUM(BA22:BA40)</f>
        <v>87008</v>
      </c>
      <c r="BB41" s="1">
        <f t="shared" si="51"/>
        <v>2307080</v>
      </c>
      <c r="BC41" s="1">
        <f t="shared" si="51"/>
        <v>887401</v>
      </c>
      <c r="BD41" s="1">
        <f t="shared" si="51"/>
        <v>9770</v>
      </c>
      <c r="BE41" s="1"/>
      <c r="BF41" s="1">
        <f t="shared" ref="BF41:BK41" si="53">SUM(BF22:BF40)</f>
        <v>38774070</v>
      </c>
      <c r="BG41" s="1">
        <f t="shared" si="53"/>
        <v>22155349</v>
      </c>
      <c r="BH41" s="1">
        <f t="shared" si="53"/>
        <v>112309</v>
      </c>
      <c r="BI41" s="1">
        <f>SUM(BI22:BI40)</f>
        <v>966683</v>
      </c>
      <c r="BJ41" s="1">
        <f>SUM(BJ22:BJ40)</f>
        <v>0</v>
      </c>
      <c r="BK41" s="1">
        <f t="shared" si="53"/>
        <v>0</v>
      </c>
      <c r="BL41" s="1">
        <f>SUM(BL22:BL40)</f>
        <v>96470</v>
      </c>
      <c r="BM41" s="1">
        <f>SUM(BM22:BM40)</f>
        <v>636600</v>
      </c>
      <c r="BN41" s="1">
        <f>SUM(BN22:BN40)</f>
        <v>97148</v>
      </c>
      <c r="BO41" s="1"/>
      <c r="BP41" s="1">
        <f t="shared" ref="BP41:BW41" si="54">SUM(BP22:BP40)</f>
        <v>1909210</v>
      </c>
      <c r="BQ41" s="1"/>
      <c r="BR41" s="1">
        <f t="shared" si="54"/>
        <v>1945709</v>
      </c>
      <c r="BS41" s="1">
        <f t="shared" si="54"/>
        <v>0</v>
      </c>
      <c r="BT41" s="1">
        <f t="shared" si="54"/>
        <v>473929</v>
      </c>
      <c r="BU41" s="1">
        <f t="shared" si="54"/>
        <v>0</v>
      </c>
      <c r="BV41" s="1">
        <f>SUM(BV22:BV40)</f>
        <v>2416</v>
      </c>
      <c r="BW41" s="1">
        <f t="shared" si="54"/>
        <v>533661</v>
      </c>
      <c r="BX41" s="3"/>
      <c r="BY41" s="1">
        <f>SUM(BY22:BY40)</f>
        <v>2955715</v>
      </c>
      <c r="BZ41" s="1"/>
      <c r="CA41" s="1"/>
      <c r="CB41" s="1">
        <f t="shared" ref="CB41:CH41" si="55">SUM(CB22:CB40)</f>
        <v>0</v>
      </c>
      <c r="CC41" s="1">
        <f>SUM(CC22:CC40)</f>
        <v>1665298</v>
      </c>
      <c r="CD41" s="1">
        <f t="shared" si="55"/>
        <v>105929</v>
      </c>
      <c r="CE41" s="1">
        <f t="shared" si="55"/>
        <v>269309</v>
      </c>
      <c r="CF41" s="1">
        <f t="shared" si="55"/>
        <v>1452586</v>
      </c>
      <c r="CG41" s="1">
        <f t="shared" si="55"/>
        <v>805718</v>
      </c>
      <c r="CH41" s="1">
        <f t="shared" si="55"/>
        <v>32234</v>
      </c>
      <c r="CI41" s="1"/>
      <c r="CJ41" s="1">
        <f>SUM(CJ22:CJ40)</f>
        <v>4331074</v>
      </c>
      <c r="CK41" s="1"/>
      <c r="CL41" s="1">
        <f>SUM(CL31:CL40)</f>
        <v>1848074</v>
      </c>
      <c r="CM41" s="1">
        <f t="shared" ref="CM41:CR41" si="56">SUM(CM31:CM40)</f>
        <v>215101</v>
      </c>
      <c r="CN41" s="1">
        <f t="shared" si="56"/>
        <v>800356</v>
      </c>
      <c r="CO41" s="1">
        <f t="shared" si="56"/>
        <v>475533</v>
      </c>
      <c r="CP41" s="1">
        <f t="shared" si="56"/>
        <v>2600172</v>
      </c>
      <c r="CQ41" s="1">
        <f t="shared" si="56"/>
        <v>1158274</v>
      </c>
      <c r="CR41" s="1">
        <f t="shared" si="56"/>
        <v>9064355</v>
      </c>
      <c r="CS41" s="1"/>
      <c r="CT41" s="1"/>
      <c r="CU41" s="1">
        <f>SUM(CU31:CU40)</f>
        <v>16161865</v>
      </c>
      <c r="CW41" s="1">
        <f>SUM(CW22:CW40)</f>
        <v>3961847</v>
      </c>
      <c r="CX41" s="1">
        <f t="shared" ref="CX41:DC41" si="57">SUM(CX22:CX40)</f>
        <v>0</v>
      </c>
      <c r="CY41" s="1">
        <f t="shared" si="57"/>
        <v>25951</v>
      </c>
      <c r="CZ41" s="1">
        <f t="shared" si="57"/>
        <v>0</v>
      </c>
      <c r="DA41" s="1">
        <f t="shared" si="57"/>
        <v>0</v>
      </c>
      <c r="DB41" s="1">
        <f t="shared" si="57"/>
        <v>561603</v>
      </c>
      <c r="DC41" s="1">
        <f t="shared" si="57"/>
        <v>231220</v>
      </c>
      <c r="DD41" s="1">
        <f t="shared" ref="DD41" si="58">SUM(DD22:DD40)</f>
        <v>0</v>
      </c>
      <c r="DE41" s="1">
        <f t="shared" ref="DE41" si="59">SUM(DE22:DE40)</f>
        <v>0</v>
      </c>
      <c r="DF41" s="1">
        <f t="shared" ref="DF41" si="60">SUM(DF22:DF40)</f>
        <v>0</v>
      </c>
      <c r="DG41" s="1">
        <f t="shared" ref="DG41" si="61">SUM(DG22:DG40)</f>
        <v>0</v>
      </c>
      <c r="DH41" s="1">
        <f t="shared" ref="DH41" si="62">SUM(DH22:DH40)</f>
        <v>0</v>
      </c>
      <c r="DI41" s="1">
        <f t="shared" ref="DI41" si="63">SUM(DI22:DI40)</f>
        <v>0</v>
      </c>
      <c r="DJ41" s="1">
        <f t="shared" ref="DJ41" si="64">SUM(DJ22:DJ40)</f>
        <v>0</v>
      </c>
      <c r="DK41" s="1">
        <f t="shared" ref="DK41" si="65">SUM(DK22:DK40)</f>
        <v>0</v>
      </c>
      <c r="DL41" s="1">
        <f t="shared" ref="DL41" si="66">SUM(DL22:DL40)</f>
        <v>400299</v>
      </c>
      <c r="DM41" s="1">
        <f t="shared" ref="DM41" si="67">SUM(DM22:DM40)</f>
        <v>0</v>
      </c>
      <c r="DN41" s="1">
        <f t="shared" ref="DN41" si="68">SUM(DN22:DN40)</f>
        <v>192303</v>
      </c>
      <c r="DO41" s="1">
        <f t="shared" ref="DO41" si="69">SUM(DO22:DO40)</f>
        <v>0</v>
      </c>
      <c r="DP41" s="1">
        <f t="shared" ref="DP41" si="70">SUM(DP22:DP40)</f>
        <v>0</v>
      </c>
      <c r="DQ41" s="1">
        <f t="shared" ref="DQ41" si="71">SUM(DQ22:DQ40)</f>
        <v>3994603</v>
      </c>
      <c r="DR41" s="1">
        <f t="shared" ref="DR41" si="72">SUM(DR22:DR40)</f>
        <v>172691625</v>
      </c>
      <c r="DS41" s="1">
        <f t="shared" ref="DS41" si="73">SUM(DS22:DS40)</f>
        <v>30644291</v>
      </c>
      <c r="DT41" s="1">
        <f t="shared" ref="DT41" si="74">SUM(DT22:DT40)</f>
        <v>26717967</v>
      </c>
      <c r="DV41" s="1"/>
      <c r="DW41" s="1">
        <f t="shared" si="49"/>
        <v>235459862</v>
      </c>
      <c r="DX41" s="1">
        <f>SUM(DX22:DX40)</f>
        <v>0</v>
      </c>
      <c r="DY41" s="1"/>
      <c r="DZ41" s="1">
        <f>SUM(DZ22:DZ40)</f>
        <v>835054</v>
      </c>
      <c r="EC41" s="1">
        <f>SUM(EC22:EC40)</f>
        <v>0</v>
      </c>
      <c r="ED41" s="1"/>
      <c r="EE41" s="1">
        <f>SUM(EE22:EE40)</f>
        <v>475716625</v>
      </c>
      <c r="EF41" s="1"/>
      <c r="EG41" s="1">
        <f>SUM(EG22:EG40)</f>
        <v>9604</v>
      </c>
    </row>
    <row r="42" spans="1:141" ht="15.75">
      <c r="A42" s="1"/>
      <c r="B42" s="1"/>
      <c r="C42" s="1"/>
      <c r="D42" s="1">
        <f>+D41-D47</f>
        <v>14811216</v>
      </c>
      <c r="E42" s="1">
        <f>+E41-E47</f>
        <v>2785067</v>
      </c>
      <c r="F42" s="1">
        <f t="shared" ref="F42:W42" si="75">+F41-F47</f>
        <v>20799</v>
      </c>
      <c r="G42" s="1">
        <f t="shared" si="75"/>
        <v>232157</v>
      </c>
      <c r="H42" s="1">
        <f t="shared" si="75"/>
        <v>370174</v>
      </c>
      <c r="I42" s="1">
        <f t="shared" si="75"/>
        <v>343913</v>
      </c>
      <c r="J42" s="1">
        <f t="shared" si="75"/>
        <v>4884904</v>
      </c>
      <c r="K42" s="1">
        <f t="shared" si="75"/>
        <v>398</v>
      </c>
      <c r="L42" s="1">
        <f>+L41-L47</f>
        <v>11806</v>
      </c>
      <c r="M42" s="1">
        <f t="shared" si="75"/>
        <v>2116135</v>
      </c>
      <c r="N42" s="1">
        <f>+N41-N47</f>
        <v>176961</v>
      </c>
      <c r="O42" s="1">
        <f>+O41-O47</f>
        <v>47402</v>
      </c>
      <c r="P42" s="1">
        <f t="shared" si="75"/>
        <v>0</v>
      </c>
      <c r="Q42" s="1">
        <f>+Q41-Q47</f>
        <v>1589670</v>
      </c>
      <c r="R42" s="1">
        <f t="shared" si="75"/>
        <v>457663</v>
      </c>
      <c r="S42" s="1">
        <f t="shared" si="75"/>
        <v>1078593</v>
      </c>
      <c r="T42" s="1">
        <f t="shared" si="75"/>
        <v>0</v>
      </c>
      <c r="U42" s="1">
        <f t="shared" si="75"/>
        <v>2962767</v>
      </c>
      <c r="V42" s="1">
        <f t="shared" si="75"/>
        <v>180468</v>
      </c>
      <c r="W42" s="1">
        <f t="shared" si="75"/>
        <v>238021</v>
      </c>
      <c r="X42" s="1">
        <f t="shared" ref="X42:BD42" si="76">+X41-X47</f>
        <v>14189330</v>
      </c>
      <c r="Y42" s="1">
        <f t="shared" si="76"/>
        <v>302307</v>
      </c>
      <c r="Z42" s="1">
        <f t="shared" si="76"/>
        <v>296998</v>
      </c>
      <c r="AA42" s="1">
        <f t="shared" si="76"/>
        <v>139245</v>
      </c>
      <c r="AB42" s="1">
        <f>+AB41-AB47</f>
        <v>4735803</v>
      </c>
      <c r="AC42" s="1">
        <f t="shared" si="76"/>
        <v>0</v>
      </c>
      <c r="AD42" s="1">
        <f t="shared" si="76"/>
        <v>25100</v>
      </c>
      <c r="AE42" s="1">
        <f t="shared" si="76"/>
        <v>36712</v>
      </c>
      <c r="AF42" s="1">
        <f t="shared" si="76"/>
        <v>0</v>
      </c>
      <c r="AG42" s="1">
        <f t="shared" si="76"/>
        <v>73060</v>
      </c>
      <c r="AH42" s="1">
        <f t="shared" si="76"/>
        <v>103446</v>
      </c>
      <c r="AI42" s="1">
        <f t="shared" si="76"/>
        <v>25000</v>
      </c>
      <c r="AJ42" s="1">
        <f t="shared" si="76"/>
        <v>0</v>
      </c>
      <c r="AK42" s="1">
        <f t="shared" si="76"/>
        <v>54897</v>
      </c>
      <c r="AL42" s="1">
        <f t="shared" ref="AL42:AR42" si="77">+AL41-AL47</f>
        <v>204151</v>
      </c>
      <c r="AM42" s="1">
        <f t="shared" si="77"/>
        <v>35072</v>
      </c>
      <c r="AN42" s="1">
        <f t="shared" si="77"/>
        <v>52642</v>
      </c>
      <c r="AO42" s="1">
        <f t="shared" si="77"/>
        <v>0</v>
      </c>
      <c r="AP42" s="1">
        <f t="shared" si="77"/>
        <v>2020387</v>
      </c>
      <c r="AQ42" s="1">
        <f t="shared" si="77"/>
        <v>0</v>
      </c>
      <c r="AR42" s="1">
        <f t="shared" si="77"/>
        <v>235770</v>
      </c>
      <c r="AS42" s="1">
        <f t="shared" si="76"/>
        <v>243603</v>
      </c>
      <c r="AT42" s="1">
        <f>+AT41-AT47</f>
        <v>254869</v>
      </c>
      <c r="AU42" s="1">
        <f>+AU41-AU47</f>
        <v>249556</v>
      </c>
      <c r="AV42" s="1">
        <f>+AV41-AV47</f>
        <v>22045</v>
      </c>
      <c r="AW42" s="1"/>
      <c r="AX42" s="1">
        <f t="shared" si="76"/>
        <v>50045</v>
      </c>
      <c r="AY42" s="1">
        <f t="shared" si="76"/>
        <v>0</v>
      </c>
      <c r="AZ42" s="1">
        <f t="shared" si="76"/>
        <v>41093</v>
      </c>
      <c r="BA42" s="1">
        <f>+BA41-BA47</f>
        <v>87008</v>
      </c>
      <c r="BB42" s="1">
        <f t="shared" si="76"/>
        <v>6518898</v>
      </c>
      <c r="BC42" s="1">
        <f t="shared" si="76"/>
        <v>1164239</v>
      </c>
      <c r="BD42" s="1">
        <f t="shared" si="76"/>
        <v>9770</v>
      </c>
      <c r="BE42" s="1"/>
      <c r="BF42" s="1">
        <f>SUM(E42:BE42)</f>
        <v>48667944</v>
      </c>
      <c r="BG42" s="1"/>
      <c r="BH42" s="1">
        <f t="shared" ref="BH42:BN42" si="78">+BH41-BH47</f>
        <v>112309</v>
      </c>
      <c r="BI42" s="1">
        <f t="shared" si="78"/>
        <v>966683</v>
      </c>
      <c r="BJ42" s="1">
        <f t="shared" si="78"/>
        <v>0</v>
      </c>
      <c r="BK42" s="1">
        <f t="shared" si="78"/>
        <v>0</v>
      </c>
      <c r="BL42" s="1">
        <f t="shared" si="78"/>
        <v>96470</v>
      </c>
      <c r="BM42" s="1">
        <f t="shared" si="78"/>
        <v>636600</v>
      </c>
      <c r="BN42" s="1">
        <f t="shared" si="78"/>
        <v>105257</v>
      </c>
      <c r="BO42" s="1"/>
      <c r="BP42" s="1">
        <f>SUM(BH42:BO42)</f>
        <v>1917319</v>
      </c>
      <c r="BQ42" s="1"/>
      <c r="BR42" s="1">
        <f t="shared" ref="BR42:BW42" si="79">+BR41-BR47</f>
        <v>2265349</v>
      </c>
      <c r="BS42" s="1">
        <f t="shared" si="79"/>
        <v>0</v>
      </c>
      <c r="BT42" s="1">
        <f t="shared" si="79"/>
        <v>476961</v>
      </c>
      <c r="BU42" s="1">
        <f t="shared" si="79"/>
        <v>0</v>
      </c>
      <c r="BV42" s="1">
        <f t="shared" si="79"/>
        <v>46481</v>
      </c>
      <c r="BW42" s="1">
        <f t="shared" si="79"/>
        <v>546404</v>
      </c>
      <c r="BX42" s="3"/>
      <c r="BY42" s="1">
        <f>SUM(BR42:BX42)</f>
        <v>3335195</v>
      </c>
      <c r="BZ42" s="1"/>
      <c r="CA42" s="1"/>
      <c r="CB42" s="1">
        <f t="shared" ref="CB42:CH42" si="80">+CB41-CB47</f>
        <v>0</v>
      </c>
      <c r="CC42" s="1">
        <f>+CC41-CC47</f>
        <v>1665298</v>
      </c>
      <c r="CD42" s="1">
        <f t="shared" si="80"/>
        <v>106011</v>
      </c>
      <c r="CE42" s="1">
        <f t="shared" si="80"/>
        <v>269309</v>
      </c>
      <c r="CF42" s="1">
        <f t="shared" si="80"/>
        <v>1452586</v>
      </c>
      <c r="CG42" s="1">
        <f t="shared" si="80"/>
        <v>808263</v>
      </c>
      <c r="CH42" s="1">
        <f t="shared" si="80"/>
        <v>32234</v>
      </c>
      <c r="CI42" s="1"/>
      <c r="CJ42" s="1">
        <f>SUM(CB42:CI42)</f>
        <v>4333701</v>
      </c>
      <c r="CK42" s="1"/>
      <c r="CL42" s="1">
        <f t="shared" ref="CL42:CR42" si="81">+CL41-CL47</f>
        <v>1848074</v>
      </c>
      <c r="CM42" s="1">
        <f t="shared" si="81"/>
        <v>512121</v>
      </c>
      <c r="CN42" s="1">
        <f t="shared" si="81"/>
        <v>1069393</v>
      </c>
      <c r="CO42" s="1">
        <f t="shared" si="81"/>
        <v>475533</v>
      </c>
      <c r="CP42" s="1">
        <f t="shared" si="81"/>
        <v>2600172</v>
      </c>
      <c r="CQ42" s="1">
        <f t="shared" si="81"/>
        <v>1158274</v>
      </c>
      <c r="CR42" s="1">
        <f t="shared" si="81"/>
        <v>9064355</v>
      </c>
      <c r="CS42" s="1"/>
      <c r="CT42" s="1"/>
      <c r="CU42" s="1">
        <f>SUM(CL42:CT42)</f>
        <v>16727922</v>
      </c>
      <c r="CW42" s="1"/>
      <c r="CX42" s="1"/>
      <c r="CY42" s="1"/>
      <c r="CZ42" s="1"/>
      <c r="DA42" s="1"/>
      <c r="DB42" s="1"/>
      <c r="DC42" s="1"/>
      <c r="DD42" s="1"/>
      <c r="DE42" s="1"/>
      <c r="DF42" s="1"/>
      <c r="DG42" s="1"/>
      <c r="DH42" s="1"/>
      <c r="DI42" s="1"/>
      <c r="DJ42" s="1"/>
      <c r="DK42" s="1"/>
      <c r="DL42" s="1"/>
      <c r="DM42" s="1"/>
      <c r="DN42" s="1"/>
      <c r="DO42" s="1"/>
      <c r="DP42" s="1"/>
      <c r="DQ42" s="1"/>
      <c r="DR42" s="1"/>
      <c r="DS42" s="1"/>
      <c r="DT42" s="1"/>
      <c r="DV42" s="1"/>
      <c r="DW42" s="1"/>
      <c r="DX42" s="1"/>
      <c r="DY42" s="1"/>
      <c r="DZ42" s="1"/>
      <c r="EC42" s="1"/>
      <c r="ED42" s="1"/>
      <c r="EE42" s="1"/>
      <c r="EF42" s="1"/>
      <c r="EG42" s="1"/>
    </row>
    <row r="43" spans="1:141" ht="15.75">
      <c r="A43" s="1"/>
      <c r="B43" s="1" t="s">
        <v>831</v>
      </c>
      <c r="C43" s="1"/>
      <c r="D43" s="1">
        <f t="shared" ref="D43:BD43" si="82">SUM(D18-D41)</f>
        <v>2647309</v>
      </c>
      <c r="E43" s="1">
        <f t="shared" si="82"/>
        <v>-1125675</v>
      </c>
      <c r="F43" s="1">
        <f t="shared" si="82"/>
        <v>-1939</v>
      </c>
      <c r="G43" s="1">
        <f t="shared" si="82"/>
        <v>45313</v>
      </c>
      <c r="H43" s="1">
        <f t="shared" si="82"/>
        <v>45816</v>
      </c>
      <c r="I43" s="1">
        <f t="shared" si="82"/>
        <v>241466</v>
      </c>
      <c r="J43" s="1">
        <f t="shared" si="82"/>
        <v>1782636</v>
      </c>
      <c r="K43" s="1">
        <f t="shared" si="82"/>
        <v>1229</v>
      </c>
      <c r="L43" s="1">
        <f>SUM(L18-L41)</f>
        <v>13155</v>
      </c>
      <c r="M43" s="1">
        <f t="shared" si="82"/>
        <v>60088</v>
      </c>
      <c r="N43" s="1">
        <f>SUM(N18-N41)</f>
        <v>73275</v>
      </c>
      <c r="O43" s="1">
        <f t="shared" si="82"/>
        <v>-25421</v>
      </c>
      <c r="P43" s="1">
        <f t="shared" si="82"/>
        <v>0</v>
      </c>
      <c r="Q43" s="1">
        <f t="shared" si="82"/>
        <v>1577208</v>
      </c>
      <c r="R43" s="1">
        <f t="shared" si="82"/>
        <v>170729</v>
      </c>
      <c r="S43" s="1">
        <f t="shared" si="82"/>
        <v>-130126</v>
      </c>
      <c r="T43" s="1">
        <f t="shared" si="82"/>
        <v>19</v>
      </c>
      <c r="U43" s="1">
        <f t="shared" si="82"/>
        <v>-86782</v>
      </c>
      <c r="V43" s="1">
        <f t="shared" si="82"/>
        <v>5375</v>
      </c>
      <c r="W43" s="1">
        <f t="shared" si="82"/>
        <v>7614</v>
      </c>
      <c r="X43" s="1">
        <f t="shared" si="82"/>
        <v>1184877</v>
      </c>
      <c r="Y43" s="1">
        <f t="shared" si="82"/>
        <v>-302307</v>
      </c>
      <c r="Z43" s="1">
        <f t="shared" si="82"/>
        <v>2966</v>
      </c>
      <c r="AA43" s="1">
        <f t="shared" si="82"/>
        <v>-13275</v>
      </c>
      <c r="AB43" s="1">
        <f>SUM(AB18-AB41)</f>
        <v>449098</v>
      </c>
      <c r="AC43" s="1">
        <f t="shared" si="82"/>
        <v>43710</v>
      </c>
      <c r="AD43" s="1">
        <f t="shared" si="82"/>
        <v>8341</v>
      </c>
      <c r="AE43" s="1">
        <f t="shared" si="82"/>
        <v>5602</v>
      </c>
      <c r="AF43" s="1">
        <f t="shared" si="82"/>
        <v>94</v>
      </c>
      <c r="AG43" s="1">
        <f t="shared" si="82"/>
        <v>-54351</v>
      </c>
      <c r="AH43" s="1">
        <f t="shared" si="82"/>
        <v>-93882</v>
      </c>
      <c r="AI43" s="1">
        <f t="shared" si="82"/>
        <v>-24023</v>
      </c>
      <c r="AJ43" s="1">
        <f t="shared" si="82"/>
        <v>2070</v>
      </c>
      <c r="AK43" s="1">
        <f t="shared" ref="AK43:AR43" si="83">SUM(AK18-AK41)</f>
        <v>-26042</v>
      </c>
      <c r="AL43" s="1">
        <f t="shared" si="83"/>
        <v>-17255</v>
      </c>
      <c r="AM43" s="1">
        <f t="shared" si="83"/>
        <v>-18494</v>
      </c>
      <c r="AN43" s="1">
        <f t="shared" si="83"/>
        <v>-25399</v>
      </c>
      <c r="AO43" s="1">
        <f t="shared" si="83"/>
        <v>0</v>
      </c>
      <c r="AP43" s="1">
        <f t="shared" si="83"/>
        <v>-1953709</v>
      </c>
      <c r="AQ43" s="1">
        <f t="shared" si="83"/>
        <v>175320</v>
      </c>
      <c r="AR43" s="1">
        <f t="shared" si="83"/>
        <v>0</v>
      </c>
      <c r="AS43" s="1">
        <f t="shared" si="82"/>
        <v>85176</v>
      </c>
      <c r="AT43" s="1">
        <f>SUM(AT18-AT41)</f>
        <v>83741</v>
      </c>
      <c r="AU43" s="1">
        <f>SUM(AU18-AU41)</f>
        <v>61135</v>
      </c>
      <c r="AV43" s="1">
        <f>SUM(AV18-AV41)</f>
        <v>-22045</v>
      </c>
      <c r="AW43" s="1"/>
      <c r="AX43" s="1">
        <f t="shared" si="82"/>
        <v>50756</v>
      </c>
      <c r="AY43" s="1">
        <f t="shared" si="82"/>
        <v>0</v>
      </c>
      <c r="AZ43" s="1">
        <f t="shared" si="82"/>
        <v>-16741</v>
      </c>
      <c r="BA43" s="1">
        <f>SUM(BA18-BA41)</f>
        <v>17217</v>
      </c>
      <c r="BB43" s="1">
        <f t="shared" si="82"/>
        <v>173468</v>
      </c>
      <c r="BC43" s="1">
        <f t="shared" si="82"/>
        <v>1071291</v>
      </c>
      <c r="BD43" s="1">
        <f t="shared" si="82"/>
        <v>7882</v>
      </c>
      <c r="BE43" s="1"/>
      <c r="BF43" s="1">
        <f t="shared" ref="BF43:BK43" si="84">SUM(BF18-BF41)</f>
        <v>3509201</v>
      </c>
      <c r="BG43" s="1"/>
      <c r="BH43" s="1">
        <f t="shared" si="84"/>
        <v>0</v>
      </c>
      <c r="BI43" s="1">
        <f>SUM(BI18-BI41)</f>
        <v>-5661</v>
      </c>
      <c r="BJ43" s="1">
        <f>SUM(BJ18-BJ41)</f>
        <v>0</v>
      </c>
      <c r="BK43" s="1">
        <f t="shared" si="84"/>
        <v>12653</v>
      </c>
      <c r="BL43" s="1">
        <f>SUM(BL18-BL41)</f>
        <v>-3588</v>
      </c>
      <c r="BM43" s="1">
        <f>SUM(BM18-BM41)</f>
        <v>14613</v>
      </c>
      <c r="BN43" s="1">
        <f>SUM(BN18-BN41)</f>
        <v>34428</v>
      </c>
      <c r="BO43" s="1"/>
      <c r="BP43" s="1">
        <f t="shared" ref="BP43:BV43" si="85">SUM(BP18-BP41)</f>
        <v>52445</v>
      </c>
      <c r="BQ43" s="1"/>
      <c r="BR43" s="1">
        <f t="shared" si="85"/>
        <v>-1303308</v>
      </c>
      <c r="BS43" s="1">
        <f t="shared" si="85"/>
        <v>0</v>
      </c>
      <c r="BT43" s="1">
        <f t="shared" si="85"/>
        <v>-473929</v>
      </c>
      <c r="BU43" s="1">
        <f t="shared" si="85"/>
        <v>0</v>
      </c>
      <c r="BV43" s="1">
        <f t="shared" si="85"/>
        <v>-2099</v>
      </c>
      <c r="BW43" s="1">
        <f>SUM(BW18-BW41)</f>
        <v>-520291</v>
      </c>
      <c r="BX43" s="3"/>
      <c r="BY43" s="1">
        <f t="shared" ref="BY43:CH43" si="86">SUM(BY18-BY41)</f>
        <v>-2299627</v>
      </c>
      <c r="BZ43" s="1"/>
      <c r="CA43" s="1"/>
      <c r="CB43" s="1">
        <f t="shared" si="86"/>
        <v>0</v>
      </c>
      <c r="CC43" s="1">
        <f t="shared" si="86"/>
        <v>175274</v>
      </c>
      <c r="CD43" s="1">
        <f t="shared" si="86"/>
        <v>24527</v>
      </c>
      <c r="CE43" s="1">
        <f t="shared" si="86"/>
        <v>-102963</v>
      </c>
      <c r="CF43" s="1">
        <f t="shared" si="86"/>
        <v>-27653</v>
      </c>
      <c r="CG43" s="1">
        <f t="shared" si="86"/>
        <v>676076</v>
      </c>
      <c r="CH43" s="1">
        <f t="shared" si="86"/>
        <v>14673</v>
      </c>
      <c r="CI43" s="1"/>
      <c r="CJ43" s="1">
        <f t="shared" ref="CJ43:CR43" si="87">SUM(CJ18-CJ41)</f>
        <v>759934</v>
      </c>
      <c r="CK43" s="1"/>
      <c r="CL43" s="1">
        <f>SUM(CL18-CL41)</f>
        <v>62792</v>
      </c>
      <c r="CM43" s="1">
        <f t="shared" si="87"/>
        <v>351949</v>
      </c>
      <c r="CN43" s="1">
        <f t="shared" si="87"/>
        <v>97932</v>
      </c>
      <c r="CO43" s="1">
        <f t="shared" si="87"/>
        <v>29972</v>
      </c>
      <c r="CP43" s="1">
        <f t="shared" si="87"/>
        <v>223083</v>
      </c>
      <c r="CQ43" s="1">
        <f t="shared" si="87"/>
        <v>-328338</v>
      </c>
      <c r="CR43" s="1">
        <f t="shared" si="87"/>
        <v>-2305475</v>
      </c>
      <c r="CS43" s="1"/>
      <c r="CT43" s="1"/>
      <c r="CU43" s="1">
        <f>SUM(CU18-CU41)</f>
        <v>-1868085</v>
      </c>
      <c r="CW43" s="1">
        <f>SUM(CW18-CW41)</f>
        <v>449422</v>
      </c>
      <c r="CX43" s="1">
        <f t="shared" ref="CX43:DC43" si="88">SUM(CX18-CX41)</f>
        <v>0</v>
      </c>
      <c r="CY43" s="1">
        <f t="shared" si="88"/>
        <v>-12896</v>
      </c>
      <c r="CZ43" s="1">
        <f t="shared" si="88"/>
        <v>0</v>
      </c>
      <c r="DA43" s="1">
        <f t="shared" si="88"/>
        <v>0</v>
      </c>
      <c r="DB43" s="1">
        <f t="shared" si="88"/>
        <v>-6900</v>
      </c>
      <c r="DC43" s="1">
        <f t="shared" si="88"/>
        <v>-15735</v>
      </c>
      <c r="DD43" s="1">
        <f t="shared" ref="DD43:DT43" si="89">SUM(DD18-DD41)</f>
        <v>0</v>
      </c>
      <c r="DE43" s="1">
        <f t="shared" si="89"/>
        <v>2117</v>
      </c>
      <c r="DF43" s="1">
        <f t="shared" si="89"/>
        <v>0</v>
      </c>
      <c r="DG43" s="1">
        <f t="shared" si="89"/>
        <v>151548</v>
      </c>
      <c r="DH43" s="1">
        <f t="shared" si="89"/>
        <v>0</v>
      </c>
      <c r="DI43" s="1">
        <f t="shared" si="89"/>
        <v>0</v>
      </c>
      <c r="DJ43" s="1">
        <f t="shared" si="89"/>
        <v>0</v>
      </c>
      <c r="DK43" s="1">
        <f t="shared" si="89"/>
        <v>0</v>
      </c>
      <c r="DL43" s="1">
        <f t="shared" si="89"/>
        <v>424995</v>
      </c>
      <c r="DM43" s="1">
        <f t="shared" si="89"/>
        <v>0</v>
      </c>
      <c r="DN43" s="1">
        <f t="shared" si="89"/>
        <v>-24181</v>
      </c>
      <c r="DO43" s="1">
        <f t="shared" si="89"/>
        <v>0</v>
      </c>
      <c r="DP43" s="1">
        <f t="shared" si="89"/>
        <v>23554</v>
      </c>
      <c r="DQ43" s="1">
        <f t="shared" si="89"/>
        <v>824911</v>
      </c>
      <c r="DR43" s="1">
        <f t="shared" si="89"/>
        <v>5652093</v>
      </c>
      <c r="DS43" s="1">
        <f t="shared" si="89"/>
        <v>187156</v>
      </c>
      <c r="DT43" s="1">
        <f t="shared" si="89"/>
        <v>173157</v>
      </c>
      <c r="DV43" s="1"/>
      <c r="DW43" s="1">
        <f>SUM(DW18-DW41)</f>
        <v>11791088</v>
      </c>
      <c r="DX43" s="1" t="e">
        <f>SUM(#REF!-DX41)</f>
        <v>#REF!</v>
      </c>
      <c r="DY43" s="1"/>
      <c r="DZ43" s="1">
        <f>SUM(DZ18-DZ41)</f>
        <v>44007</v>
      </c>
      <c r="EC43" s="1">
        <f>SUM(EC18-EC41)</f>
        <v>0</v>
      </c>
      <c r="ED43" s="1"/>
      <c r="EE43" s="1">
        <f>SUM(EE18-EE41)</f>
        <v>-475716625</v>
      </c>
      <c r="EF43" s="1"/>
      <c r="EG43" s="1">
        <f>SUM(EG18-EG41)</f>
        <v>8406</v>
      </c>
    </row>
    <row r="44" spans="1:141" ht="15.7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3"/>
      <c r="BY44" s="1"/>
      <c r="BZ44" s="1"/>
      <c r="CA44" s="1"/>
      <c r="CB44" s="1"/>
      <c r="CC44" s="1"/>
      <c r="CD44" s="1"/>
      <c r="CE44" s="1"/>
      <c r="CF44" s="1"/>
      <c r="CG44" s="1"/>
      <c r="CH44" s="1"/>
      <c r="CI44" s="1"/>
      <c r="CJ44" s="1"/>
      <c r="CK44" s="1"/>
      <c r="CL44" s="1"/>
      <c r="CM44" s="1"/>
      <c r="CN44" s="1"/>
      <c r="CO44" s="1"/>
      <c r="CP44" s="1"/>
      <c r="CQ44" s="1"/>
      <c r="CR44" s="1"/>
      <c r="CS44" s="1"/>
      <c r="CT44" s="1"/>
      <c r="CU44" s="1"/>
      <c r="CW44" s="1"/>
      <c r="CX44" s="1"/>
      <c r="CY44" s="1"/>
      <c r="CZ44" s="1"/>
      <c r="DA44" s="1"/>
      <c r="DB44" s="1"/>
      <c r="DC44" s="1"/>
      <c r="DD44" s="1"/>
      <c r="DE44" s="1"/>
      <c r="DF44" s="1"/>
      <c r="DG44" s="1"/>
      <c r="DH44" s="1"/>
      <c r="DI44" s="1"/>
      <c r="DJ44" s="1"/>
      <c r="DK44" s="1"/>
      <c r="DL44" s="1"/>
      <c r="DM44" s="1"/>
      <c r="DN44" s="1"/>
      <c r="DO44" s="1"/>
      <c r="DP44" s="1"/>
      <c r="DQ44" s="1"/>
      <c r="DR44" s="1"/>
      <c r="DS44" s="1"/>
      <c r="DT44" s="1"/>
      <c r="DV44" s="1"/>
      <c r="DW44" s="1"/>
      <c r="DX44" s="1"/>
      <c r="DY44" s="1"/>
      <c r="DZ44" s="1"/>
      <c r="EC44" s="1"/>
      <c r="ED44" s="1"/>
      <c r="EE44" s="1"/>
      <c r="EF44" s="1"/>
      <c r="EG44" s="1"/>
    </row>
    <row r="45" spans="1:141" ht="15.75">
      <c r="A45" s="1"/>
      <c r="B45" s="1" t="s">
        <v>833</v>
      </c>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3"/>
      <c r="BY45" s="1"/>
      <c r="BZ45" s="1"/>
      <c r="CA45" s="1"/>
      <c r="CB45" s="1"/>
      <c r="CC45" s="120" t="s">
        <v>1814</v>
      </c>
      <c r="CD45" s="1"/>
      <c r="CE45" s="1"/>
      <c r="CG45" s="1"/>
      <c r="CH45" s="1"/>
      <c r="CI45" s="1"/>
      <c r="CJ45" s="1"/>
      <c r="CK45" s="1"/>
      <c r="CL45" s="1"/>
      <c r="CM45" s="1"/>
      <c r="CN45" s="1"/>
      <c r="CO45" s="1"/>
      <c r="CP45" s="1"/>
      <c r="CQ45" s="1"/>
      <c r="CR45" s="1"/>
      <c r="CS45" s="1"/>
      <c r="CT45" s="1"/>
      <c r="CU45" s="1"/>
      <c r="CW45" s="1"/>
      <c r="CX45" s="1"/>
      <c r="CY45" s="1"/>
      <c r="CZ45" s="1"/>
      <c r="DA45" s="1"/>
      <c r="DB45" s="1"/>
      <c r="DC45" s="1"/>
      <c r="DD45" s="1"/>
      <c r="DE45" s="1"/>
      <c r="DF45" s="1"/>
      <c r="DG45" s="1"/>
      <c r="DH45" s="1"/>
      <c r="DI45" s="1"/>
      <c r="DJ45" s="1"/>
      <c r="DK45" s="1"/>
      <c r="DL45" s="1"/>
      <c r="DM45" s="1"/>
      <c r="DN45" s="1"/>
      <c r="DO45" s="1"/>
      <c r="DP45" s="1"/>
      <c r="DQ45" s="1"/>
      <c r="DR45" s="1"/>
      <c r="DS45" s="1"/>
      <c r="DT45" s="1"/>
      <c r="DV45" s="1"/>
      <c r="DW45" s="1"/>
      <c r="DX45" s="1"/>
      <c r="DY45" s="1"/>
      <c r="DZ45" s="1"/>
      <c r="EC45" s="1"/>
      <c r="ED45" s="1"/>
      <c r="EE45" s="1"/>
      <c r="EF45" s="1"/>
      <c r="EG45" s="1"/>
    </row>
    <row r="46" spans="1:141" ht="15.75">
      <c r="A46" s="1"/>
      <c r="B46" s="1" t="s">
        <v>1213</v>
      </c>
      <c r="C46" s="1"/>
      <c r="D46" s="1">
        <f>+'GEN BUDACT'!F193</f>
        <v>2070536</v>
      </c>
      <c r="E46" s="1">
        <f>+'SR BUDACT'!E54-0</f>
        <v>727830</v>
      </c>
      <c r="F46" s="1">
        <f>+'SR BUDACT'!I54</f>
        <v>0</v>
      </c>
      <c r="G46" s="1">
        <f>+'SR BUDACT'!O54</f>
        <v>0</v>
      </c>
      <c r="H46" s="1">
        <f>+'SR BUDACT'!S54</f>
        <v>14446</v>
      </c>
      <c r="I46" s="1">
        <f>+'SR BUDACT'!Y54</f>
        <v>5640</v>
      </c>
      <c r="J46" s="1">
        <f>+'SR BUDACT'!AC54</f>
        <v>212430</v>
      </c>
      <c r="K46" s="1">
        <f>+'SR BUDACT'!AI54</f>
        <v>0</v>
      </c>
      <c r="L46" s="1">
        <f>+'SR BUDACT'!AM54</f>
        <v>0</v>
      </c>
      <c r="M46" s="1">
        <f>+'SR BUDACT'!AS54</f>
        <v>82358</v>
      </c>
      <c r="N46" s="1">
        <f>+'SR BUDACT'!AW54</f>
        <v>0</v>
      </c>
      <c r="O46" s="1">
        <f>+'SR BUDACT'!BC54</f>
        <v>40000</v>
      </c>
      <c r="P46" s="248">
        <v>0</v>
      </c>
      <c r="Q46" s="1">
        <f>+'SR BUDACT'!BK54</f>
        <v>0</v>
      </c>
      <c r="R46" s="1">
        <f>+'SR BUDACT'!BQ54</f>
        <v>12220</v>
      </c>
      <c r="S46" s="1">
        <f>+'SR BUDACT'!BU54</f>
        <v>43710</v>
      </c>
      <c r="T46" s="1">
        <f>+'SR BUDACT'!CA54</f>
        <v>0</v>
      </c>
      <c r="U46" s="1">
        <f>+'SR BUDACT'!CE54</f>
        <v>434813</v>
      </c>
      <c r="V46" s="1">
        <f>+'SR BUDACT'!CK54</f>
        <v>0</v>
      </c>
      <c r="W46" s="1">
        <f>+'SR BUDACT'!CO54</f>
        <v>5640</v>
      </c>
      <c r="X46" s="1">
        <f>+'MAJ GOV BUDACT'!E45</f>
        <v>599925</v>
      </c>
      <c r="Y46" s="1">
        <f>+'SR BUDACT'!CU54</f>
        <v>342640</v>
      </c>
      <c r="Z46" s="1">
        <f>+'SR BUDACT'!CY54</f>
        <v>50000</v>
      </c>
      <c r="AA46" s="1">
        <f>+'SR BUDACT'!DE54</f>
        <v>5640</v>
      </c>
      <c r="AB46" s="1">
        <f>+'SR BUDACT'!DI54</f>
        <v>202447</v>
      </c>
      <c r="AC46" s="1">
        <f>+'SR BUDACT'!DO54</f>
        <v>0</v>
      </c>
      <c r="AD46" s="1">
        <f>+'SR BUDACT'!DS54</f>
        <v>0</v>
      </c>
      <c r="AE46" s="1">
        <f>+'SR BUDACT'!DY54</f>
        <v>0</v>
      </c>
      <c r="AF46" s="1">
        <f>+'SR BUDACT'!EC54</f>
        <v>0</v>
      </c>
      <c r="AG46" s="1">
        <f>+'SR BUDACT'!EI54</f>
        <v>0</v>
      </c>
      <c r="AH46" s="1">
        <f>+'SR BUDACT'!EM54</f>
        <v>0</v>
      </c>
      <c r="AI46" s="1">
        <f>+'SR BUDACT'!ES54</f>
        <v>0</v>
      </c>
      <c r="AJ46" s="1">
        <f>+'SR BUDACT'!EW54</f>
        <v>0</v>
      </c>
      <c r="AK46" s="1">
        <f>+'SR BUDACT'!FC54</f>
        <v>0</v>
      </c>
      <c r="AL46" s="1">
        <f>+'SR BUDACT'!FG54</f>
        <v>0</v>
      </c>
      <c r="AM46" s="1">
        <f>+'SR BUDACT'!FM54</f>
        <v>0</v>
      </c>
      <c r="AN46" s="1">
        <f>+'SR BUDACT'!FQ54</f>
        <v>0</v>
      </c>
      <c r="AO46" s="1">
        <f>+'SR BUDACT'!FW54</f>
        <v>0</v>
      </c>
      <c r="AP46" s="1">
        <f>+'SR BUDACT'!GA54</f>
        <v>0</v>
      </c>
      <c r="AQ46" s="1">
        <f>+'SR BUDACT'!GE54</f>
        <v>0</v>
      </c>
      <c r="AR46" s="1">
        <f>+'SR BUDACT'!GK54</f>
        <v>0</v>
      </c>
      <c r="AS46" s="1">
        <f>+'SR BUDACT'!GP54</f>
        <v>0</v>
      </c>
      <c r="AT46" s="1">
        <f>+'SR BUDACT'!GV54</f>
        <v>12743</v>
      </c>
      <c r="AU46" s="1">
        <f>+'SR BUDACT'!GZ54</f>
        <v>5640</v>
      </c>
      <c r="AV46" s="1">
        <f>+'SR BUDACT'!HF54</f>
        <v>0</v>
      </c>
      <c r="AW46" s="1"/>
      <c r="AX46" s="1">
        <f>+'SR BUDACT'!HJ54</f>
        <v>0</v>
      </c>
      <c r="AY46" s="1">
        <f>+'SR BUDACT'!HT54</f>
        <v>0</v>
      </c>
      <c r="AZ46" s="1">
        <f>+'SR BUDACT'!HX54</f>
        <v>0</v>
      </c>
      <c r="BA46" s="1">
        <f>+'SR BUDACT'!ID54</f>
        <v>0</v>
      </c>
      <c r="BB46" s="1">
        <f>+'MAJ GOV BUDACT (2)'!E53</f>
        <v>0</v>
      </c>
      <c r="BC46" s="1">
        <f>+'MAJ GOV BUDACT (3)'!E53</f>
        <v>11447</v>
      </c>
      <c r="BD46" s="1"/>
      <c r="BE46" s="1"/>
      <c r="BF46" s="1">
        <f t="shared" ref="BF46:BF55" si="90">SUM(E46:BE46)</f>
        <v>2809569</v>
      </c>
      <c r="BG46" s="1">
        <f>+BF46-X46-P46-BC46-BB46</f>
        <v>2198197</v>
      </c>
      <c r="BH46" s="1">
        <f>+'DS BUDACT'!D42</f>
        <v>0</v>
      </c>
      <c r="BI46" s="1">
        <f>+'DS BUDACT'!H42</f>
        <v>0</v>
      </c>
      <c r="BJ46" s="1">
        <f>+'DS BUDACT'!N42</f>
        <v>0</v>
      </c>
      <c r="BK46" s="1">
        <f>+'DS BUDACT'!R42</f>
        <v>0</v>
      </c>
      <c r="BL46" s="1">
        <f>+'DS BUDACT'!W42</f>
        <v>0</v>
      </c>
      <c r="BM46" s="1">
        <f>+'DS BUDACT'!AC42</f>
        <v>0</v>
      </c>
      <c r="BN46" s="1">
        <f>+'DS BUDACT'!AI42</f>
        <v>0</v>
      </c>
      <c r="BO46" s="1"/>
      <c r="BP46" s="1">
        <f t="shared" ref="BP46:BP55" si="91">SUM(BH46:BN46)</f>
        <v>0</v>
      </c>
      <c r="BQ46" s="1"/>
      <c r="BR46" s="1">
        <f>+'CP BUDACT'!D54</f>
        <v>4055811</v>
      </c>
      <c r="BS46" s="1">
        <f>+'CP BUDACT'!H54</f>
        <v>0</v>
      </c>
      <c r="BT46" s="1">
        <f>+'CP BUDACT'!M54</f>
        <v>316372</v>
      </c>
      <c r="BU46" s="1">
        <f>+'CP BUDACT'!Q54</f>
        <v>0</v>
      </c>
      <c r="BV46" s="1">
        <f>+'CP BUDACT'!V54</f>
        <v>0</v>
      </c>
      <c r="BW46" s="1">
        <f>+'CP BUDACT'!Z54</f>
        <v>1277424</v>
      </c>
      <c r="BX46" s="3"/>
      <c r="BY46" s="1">
        <f>SUM(BR46:BX46)</f>
        <v>5649607</v>
      </c>
      <c r="BZ46" s="1"/>
      <c r="CA46" s="1"/>
      <c r="CB46" s="1">
        <f>+'ENIS ER'!D70</f>
        <v>0</v>
      </c>
      <c r="CC46" s="1">
        <f>+'ENIS ER'!E70</f>
        <v>50000</v>
      </c>
      <c r="CD46" s="1">
        <f>+'ENIS ER'!F70</f>
        <v>0</v>
      </c>
      <c r="CE46" s="1">
        <f>+'ENIS ER'!G70</f>
        <v>0</v>
      </c>
      <c r="CF46" s="1">
        <f>+'ENIS ER'!H70</f>
        <v>0</v>
      </c>
      <c r="CG46" s="1">
        <f>+'ENIS ER'!I70</f>
        <v>82</v>
      </c>
      <c r="CH46" s="1">
        <f>+'ENIS ER'!J70</f>
        <v>0</v>
      </c>
      <c r="CI46" s="1"/>
      <c r="CJ46" s="1">
        <f>SUM(CB46:CI46)</f>
        <v>50082</v>
      </c>
      <c r="CK46" s="1"/>
      <c r="CL46" s="1">
        <f>+'ENIS ER'!M70</f>
        <v>555742</v>
      </c>
      <c r="CM46" s="1">
        <f>+'ENIS ER'!N70</f>
        <v>0</v>
      </c>
      <c r="CN46" s="1">
        <f>+'ENIS ER'!O70</f>
        <v>0</v>
      </c>
      <c r="CO46" s="1">
        <f>+'ENIS ER'!P70</f>
        <v>0</v>
      </c>
      <c r="CP46" s="1">
        <f>+'ENIS ER'!Q70</f>
        <v>1135</v>
      </c>
      <c r="CQ46" s="1">
        <f>+'ENIS ER'!R70</f>
        <v>100000</v>
      </c>
      <c r="CR46" s="1">
        <f>+'ENIS ER'!S70</f>
        <v>1500000</v>
      </c>
      <c r="CS46" s="1"/>
      <c r="CT46" s="1"/>
      <c r="CU46" s="1">
        <f>SUM(CL46:CT46)</f>
        <v>2156877</v>
      </c>
      <c r="CW46" s="1"/>
      <c r="CX46" s="1"/>
      <c r="CY46" s="1"/>
      <c r="CZ46" s="1"/>
      <c r="DA46" s="1"/>
      <c r="DB46" s="1"/>
      <c r="DC46" s="1"/>
      <c r="DD46" s="1"/>
      <c r="DE46" s="1"/>
      <c r="DF46" s="1"/>
      <c r="DG46" s="1"/>
      <c r="DH46" s="1"/>
      <c r="DI46" s="1"/>
      <c r="DJ46" s="1"/>
      <c r="DK46" s="1"/>
      <c r="DL46" s="1"/>
      <c r="DM46" s="1"/>
      <c r="DN46" s="1"/>
      <c r="DO46" s="1"/>
      <c r="DP46" s="1"/>
      <c r="DQ46" s="1"/>
      <c r="DR46" s="1"/>
      <c r="DS46" s="1"/>
      <c r="DT46" s="1"/>
      <c r="DV46" s="1"/>
      <c r="DW46" s="1">
        <f t="shared" ref="DW46:DW53" si="92">SUM(CY46:DV46)</f>
        <v>0</v>
      </c>
      <c r="DX46" s="1"/>
      <c r="DY46" s="1"/>
      <c r="DZ46" s="1"/>
      <c r="EC46" s="88">
        <v>0</v>
      </c>
      <c r="ED46" s="1"/>
      <c r="EE46" s="1">
        <f t="shared" ref="EE46:EE53" si="93">SUM(CW46:ED46)</f>
        <v>0</v>
      </c>
      <c r="EF46" s="1"/>
      <c r="EG46" s="1"/>
      <c r="EI46">
        <f>+D46+BF46+BP46+BY46+CJ46+CU46</f>
        <v>12736671</v>
      </c>
      <c r="EJ46">
        <f>+EI46-P46</f>
        <v>12736671</v>
      </c>
    </row>
    <row r="47" spans="1:141" ht="15.75">
      <c r="A47" s="1"/>
      <c r="B47" s="1" t="s">
        <v>1214</v>
      </c>
      <c r="C47" s="1"/>
      <c r="D47" s="1">
        <f>+'GEN BUDACT'!F194</f>
        <v>-1886524</v>
      </c>
      <c r="E47" s="1">
        <f>+'SR BUDACT'!E55</f>
        <v>-60816</v>
      </c>
      <c r="F47" s="1">
        <f>+'SR BUDACT'!I55</f>
        <v>0</v>
      </c>
      <c r="G47" s="1">
        <f>+'SR BUDACT'!O55</f>
        <v>0</v>
      </c>
      <c r="H47" s="1">
        <f>+'SR BUDACT'!S55</f>
        <v>-8025</v>
      </c>
      <c r="I47" s="1">
        <f>+'SR BUDACT'!Y55</f>
        <v>0</v>
      </c>
      <c r="J47" s="1">
        <f>+'SR BUDACT'!AC55</f>
        <v>-1955024</v>
      </c>
      <c r="K47" s="1">
        <f>+'SR BUDACT'!AI55</f>
        <v>0</v>
      </c>
      <c r="L47" s="1">
        <f>+'SR BUDACT'!AM55</f>
        <v>0</v>
      </c>
      <c r="M47" s="1">
        <f>+'SR BUDACT'!AS55</f>
        <v>-5000</v>
      </c>
      <c r="N47" s="1">
        <f>+'SR BUDACT'!AW55</f>
        <v>-75000</v>
      </c>
      <c r="O47" s="1">
        <f>+'SR BUDACT'!BC55</f>
        <v>-3000</v>
      </c>
      <c r="P47" s="1">
        <f>+'SR BUDACT'!JB55</f>
        <v>0</v>
      </c>
      <c r="Q47" s="1">
        <f>+'SR BUDACT'!BK55</f>
        <v>-1589670</v>
      </c>
      <c r="R47" s="1">
        <f>+'SR BUDACT'!BQ55</f>
        <v>-150000</v>
      </c>
      <c r="S47" s="1">
        <f>+'SR BUDACT'!BU55</f>
        <v>-15614</v>
      </c>
      <c r="T47" s="1">
        <f>+'SR BUDACT'!CA55</f>
        <v>0</v>
      </c>
      <c r="U47" s="1">
        <f>+'SR BUDACT'!CE55</f>
        <v>-352040</v>
      </c>
      <c r="V47" s="1">
        <f>+'SR BUDACT'!CK55</f>
        <v>-3000</v>
      </c>
      <c r="W47" s="1">
        <f>+'SR BUDACT'!CO55</f>
        <v>-12000</v>
      </c>
      <c r="X47" s="1">
        <f>+'MAJ GOV BUDACT'!E46</f>
        <v>-765090</v>
      </c>
      <c r="Y47" s="1">
        <f>+'SR BUDACT'!CU55</f>
        <v>0</v>
      </c>
      <c r="Z47" s="1">
        <f>+'SR BUDACT'!CY55</f>
        <v>0</v>
      </c>
      <c r="AA47" s="1">
        <f>+'SR BUDACT'!DE55</f>
        <v>-31000</v>
      </c>
      <c r="AB47" s="1">
        <f>+'SR BUDACT'!DI55</f>
        <v>-323579</v>
      </c>
      <c r="AC47" s="1">
        <f>+'SR BUDACT'!DO55</f>
        <v>0</v>
      </c>
      <c r="AD47" s="1">
        <f>+'SR BUDACT'!DS55</f>
        <v>0</v>
      </c>
      <c r="AE47" s="1">
        <f>+'SR BUDACT'!DY55</f>
        <v>-360</v>
      </c>
      <c r="AF47" s="1">
        <f>+'SR BUDACT'!EC55</f>
        <v>0</v>
      </c>
      <c r="AG47" s="1">
        <f>+'SR BUDACT'!EI55</f>
        <v>0</v>
      </c>
      <c r="AH47" s="1">
        <f>+'SR BUDACT'!EM55</f>
        <v>0</v>
      </c>
      <c r="AI47" s="1">
        <f>+'SR BUDACT'!ES55</f>
        <v>0</v>
      </c>
      <c r="AJ47" s="1">
        <f>+'SR BUDACT'!EW55</f>
        <v>0</v>
      </c>
      <c r="AK47" s="1">
        <f>+'SR BUDACT'!FC55</f>
        <v>0</v>
      </c>
      <c r="AL47" s="1">
        <f>+'SR BUDACT'!FG55</f>
        <v>0</v>
      </c>
      <c r="AM47" s="1">
        <f>+'SR BUDACT'!FM55</f>
        <v>0</v>
      </c>
      <c r="AN47" s="1">
        <f>+'SR BUDACT'!FQ55</f>
        <v>0</v>
      </c>
      <c r="AO47" s="1">
        <f>+'SR BUDACT'!FW55</f>
        <v>0</v>
      </c>
      <c r="AP47" s="1">
        <f>+'SR BUDACT'!GA55</f>
        <v>0</v>
      </c>
      <c r="AQ47" s="1">
        <f>+'SR BUDACT'!GE55</f>
        <v>0</v>
      </c>
      <c r="AR47" s="1">
        <f>+'SR BUDACT'!GK55</f>
        <v>0</v>
      </c>
      <c r="AS47" s="1">
        <f>+'SR BUDACT'!GP55</f>
        <v>-56000</v>
      </c>
      <c r="AT47" s="1">
        <f>+'SR BUDACT'!GV55</f>
        <v>0</v>
      </c>
      <c r="AU47" s="1">
        <f>+'SR BUDACT'!GZ55</f>
        <v>0</v>
      </c>
      <c r="AV47" s="1">
        <f>+'SR BUDACT'!HF55</f>
        <v>0</v>
      </c>
      <c r="AW47" s="1"/>
      <c r="AX47" s="1">
        <f>+'SR BUDACT'!HJ55</f>
        <v>0</v>
      </c>
      <c r="AY47" s="1">
        <f>+'SR BUDACT'!HT55</f>
        <v>0</v>
      </c>
      <c r="AZ47" s="1">
        <f>+'SR BUDACT'!HX55</f>
        <v>0</v>
      </c>
      <c r="BA47" s="1">
        <f>+'SR BUDACT'!ID55</f>
        <v>0</v>
      </c>
      <c r="BB47" s="1">
        <f>+'MAJ GOV BUDACT (2)'!E54</f>
        <v>-4211818</v>
      </c>
      <c r="BC47" s="1">
        <f>+'MAJ GOV BUDACT (3)'!E54</f>
        <v>-276838</v>
      </c>
      <c r="BD47" s="1"/>
      <c r="BE47" s="1"/>
      <c r="BF47" s="1">
        <f t="shared" si="90"/>
        <v>-9893874</v>
      </c>
      <c r="BG47" s="1">
        <f t="shared" ref="BG47:BG55" si="94">+BF47-X47-P47-BC47-BB47</f>
        <v>-4640128</v>
      </c>
      <c r="BH47" s="1">
        <f>+'DS BUDACT'!D43</f>
        <v>0</v>
      </c>
      <c r="BI47" s="1">
        <f>+'DS BUDACT'!H43</f>
        <v>0</v>
      </c>
      <c r="BJ47" s="1">
        <f>+'DS BUDACT'!N43</f>
        <v>0</v>
      </c>
      <c r="BK47" s="1">
        <f>+'DS BUDACT'!R43</f>
        <v>0</v>
      </c>
      <c r="BL47" s="1">
        <f>+'DS BUDACT'!W43</f>
        <v>0</v>
      </c>
      <c r="BM47" s="1">
        <f>+'DS BUDACT'!AC43</f>
        <v>0</v>
      </c>
      <c r="BN47" s="1">
        <f>+'DS BUDACT'!AI43</f>
        <v>-8109</v>
      </c>
      <c r="BO47" s="1"/>
      <c r="BP47" s="1">
        <f t="shared" si="91"/>
        <v>-8109</v>
      </c>
      <c r="BQ47" s="1"/>
      <c r="BR47" s="1">
        <f>+'CP BUDACT'!D55</f>
        <v>-319640</v>
      </c>
      <c r="BS47" s="1">
        <f>+'CP BUDACT'!H55</f>
        <v>0</v>
      </c>
      <c r="BT47" s="1">
        <f>+'CP BUDACT'!M55</f>
        <v>-3032</v>
      </c>
      <c r="BU47" s="1">
        <f>+'CP BUDACT'!Q55</f>
        <v>0</v>
      </c>
      <c r="BV47" s="1">
        <f>+'CP BUDACT'!V55</f>
        <v>-44065</v>
      </c>
      <c r="BW47" s="1">
        <f>+'CP BUDACT'!Z55</f>
        <v>-12743</v>
      </c>
      <c r="BX47" s="3"/>
      <c r="BY47" s="1">
        <f>SUM(BR47:BX47)</f>
        <v>-379480</v>
      </c>
      <c r="BZ47" s="1"/>
      <c r="CA47" s="1"/>
      <c r="CB47" s="1">
        <f>+'ENIS ER'!D71</f>
        <v>0</v>
      </c>
      <c r="CC47" s="1">
        <f>+'ENIS ER'!E71</f>
        <v>0</v>
      </c>
      <c r="CD47" s="1">
        <f>+'ENIS ER'!F71</f>
        <v>-82</v>
      </c>
      <c r="CE47" s="1">
        <f>+'ENIS ER'!G71</f>
        <v>0</v>
      </c>
      <c r="CF47" s="1">
        <f>+'ENIS ER'!H71</f>
        <v>0</v>
      </c>
      <c r="CG47" s="1">
        <f>+'ENIS ER'!I71</f>
        <v>-2545</v>
      </c>
      <c r="CH47" s="1">
        <f>+'ENIS ER'!J71</f>
        <v>0</v>
      </c>
      <c r="CI47" s="1"/>
      <c r="CJ47" s="1">
        <f>SUM(CB47:CI47)</f>
        <v>-2627</v>
      </c>
      <c r="CK47" s="1"/>
      <c r="CL47" s="1">
        <f>+'ENIS ER'!M71</f>
        <v>0</v>
      </c>
      <c r="CM47" s="1">
        <f>+'ENIS ER'!N71</f>
        <v>-297020</v>
      </c>
      <c r="CN47" s="1">
        <f>+'ENIS ER'!O71</f>
        <v>-269037</v>
      </c>
      <c r="CO47" s="1">
        <f>+'ENIS ER'!P71</f>
        <v>0</v>
      </c>
      <c r="CP47" s="1">
        <f>+'ENIS ER'!Q71</f>
        <v>0</v>
      </c>
      <c r="CQ47" s="1">
        <f>+'ENIS ER'!R71</f>
        <v>0</v>
      </c>
      <c r="CR47" s="1">
        <f>+'ENIS ER'!S71</f>
        <v>0</v>
      </c>
      <c r="CS47" s="1"/>
      <c r="CT47" s="1"/>
      <c r="CU47" s="1">
        <f>SUM(CL47:CT47)</f>
        <v>-566057</v>
      </c>
      <c r="CW47" s="1"/>
      <c r="CX47" s="1"/>
      <c r="CY47" s="1"/>
      <c r="CZ47" s="1"/>
      <c r="DA47" s="1"/>
      <c r="DB47" s="1"/>
      <c r="DC47" s="1"/>
      <c r="DD47" s="1"/>
      <c r="DE47" s="1"/>
      <c r="DF47" s="1"/>
      <c r="DG47" s="1"/>
      <c r="DH47" s="1"/>
      <c r="DI47" s="1"/>
      <c r="DJ47" s="1"/>
      <c r="DK47" s="1"/>
      <c r="DL47" s="1"/>
      <c r="DM47" s="1"/>
      <c r="DN47" s="1"/>
      <c r="DO47" s="1"/>
      <c r="DP47" s="1"/>
      <c r="DQ47" s="1"/>
      <c r="DR47" s="1"/>
      <c r="DS47" s="1"/>
      <c r="DT47" s="1"/>
      <c r="DV47" s="1"/>
      <c r="DW47" s="1">
        <f t="shared" si="92"/>
        <v>0</v>
      </c>
      <c r="DX47" s="1"/>
      <c r="DY47" s="1"/>
      <c r="DZ47" s="1"/>
      <c r="EC47" s="88">
        <v>0</v>
      </c>
      <c r="ED47" s="1"/>
      <c r="EE47" s="1">
        <f t="shared" si="93"/>
        <v>0</v>
      </c>
      <c r="EF47" s="1"/>
      <c r="EG47" s="1"/>
      <c r="EI47">
        <f>+D47+BF47+BP47+BY47+CJ47+CU47</f>
        <v>-12736671</v>
      </c>
      <c r="EK47">
        <f>+EI46+EI47</f>
        <v>0</v>
      </c>
    </row>
    <row r="48" spans="1:141" ht="15.75">
      <c r="A48" s="1"/>
      <c r="B48" s="1" t="s">
        <v>2389</v>
      </c>
      <c r="C48" s="89"/>
      <c r="D48" s="1">
        <f>+'GEN BUDACT'!F195</f>
        <v>0</v>
      </c>
      <c r="E48" s="1">
        <f>+'SR BUDACT'!E56</f>
        <v>0</v>
      </c>
      <c r="F48" s="1">
        <f>+'SR BUDACT'!I56</f>
        <v>0</v>
      </c>
      <c r="G48" s="1">
        <f>+'SR BUDACT'!O56</f>
        <v>0</v>
      </c>
      <c r="H48" s="1">
        <f>+'SR BUDACT'!S56</f>
        <v>0</v>
      </c>
      <c r="I48" s="1">
        <f>+'SR BUDACT'!Y56</f>
        <v>0</v>
      </c>
      <c r="J48" s="1">
        <f>+'SR BUDACT'!AC56</f>
        <v>0</v>
      </c>
      <c r="K48" s="1">
        <f>+'SR BUDACT'!AI56</f>
        <v>0</v>
      </c>
      <c r="L48" s="1">
        <f>+'SR BUDACT'!AM56</f>
        <v>0</v>
      </c>
      <c r="M48" s="1">
        <f>+'SR BUDACT'!AS56</f>
        <v>0</v>
      </c>
      <c r="N48" s="1">
        <f>+'SR BUDACT'!AW56</f>
        <v>0</v>
      </c>
      <c r="O48" s="1">
        <f>+'SR BUDACT'!BC56</f>
        <v>0</v>
      </c>
      <c r="P48" s="1">
        <f>+'SR BUDACT'!JB56</f>
        <v>0</v>
      </c>
      <c r="Q48" s="1">
        <f>+'SR BUDACT'!BK56</f>
        <v>0</v>
      </c>
      <c r="R48" s="1">
        <f>+'SR BUDACT'!BQ56</f>
        <v>0</v>
      </c>
      <c r="S48" s="1">
        <f>+'SR BUDACT'!BU56</f>
        <v>0</v>
      </c>
      <c r="T48" s="1">
        <f>+'SR BUDACT'!CA56</f>
        <v>0</v>
      </c>
      <c r="U48" s="1">
        <f>+'SR BUDACT'!CE56</f>
        <v>0</v>
      </c>
      <c r="V48" s="1">
        <f>+'SR BUDACT'!CK56</f>
        <v>0</v>
      </c>
      <c r="W48" s="1">
        <f>+'SR BUDACT'!CO56</f>
        <v>0</v>
      </c>
      <c r="X48" s="1">
        <f>+'MAJ GOV BUDACT'!E47</f>
        <v>0</v>
      </c>
      <c r="Y48" s="1">
        <f>+'SR BUDACT'!CU56</f>
        <v>0</v>
      </c>
      <c r="Z48" s="1">
        <f>+'SR BUDACT'!CY56</f>
        <v>0</v>
      </c>
      <c r="AA48" s="1">
        <f>+'SR BUDACT'!DE56</f>
        <v>0</v>
      </c>
      <c r="AB48" s="1">
        <f>+'SR BUDACT'!DI56</f>
        <v>0</v>
      </c>
      <c r="AC48" s="1">
        <f>+'SR BUDACT'!DO56</f>
        <v>0</v>
      </c>
      <c r="AD48" s="1">
        <f>+'SR BUDACT'!DS56</f>
        <v>0</v>
      </c>
      <c r="AE48" s="1">
        <f>+'SR BUDACT'!DY56</f>
        <v>0</v>
      </c>
      <c r="AF48" s="1">
        <f>+'SR BUDACT'!EC56</f>
        <v>0</v>
      </c>
      <c r="AG48" s="1">
        <f>+'SR BUDACT'!EI56</f>
        <v>0</v>
      </c>
      <c r="AH48" s="1">
        <f>+'SR BUDACT'!EM56</f>
        <v>0</v>
      </c>
      <c r="AI48" s="1">
        <f>+'SR BUDACT'!ES56</f>
        <v>0</v>
      </c>
      <c r="AJ48" s="1">
        <f>+'SR BUDACT'!EW56</f>
        <v>0</v>
      </c>
      <c r="AK48" s="1">
        <f>+'SR BUDACT'!FC56</f>
        <v>0</v>
      </c>
      <c r="AL48" s="1">
        <f>+'SR BUDACT'!FG56</f>
        <v>0</v>
      </c>
      <c r="AM48" s="1">
        <f>+'SR BUDACT'!FM56</f>
        <v>0</v>
      </c>
      <c r="AN48" s="1">
        <f>+'SR BUDACT'!FQ56</f>
        <v>0</v>
      </c>
      <c r="AO48" s="1">
        <f>+'SR BUDACT'!FW56</f>
        <v>0</v>
      </c>
      <c r="AP48" s="1">
        <f>+'SR BUDACT'!GA56</f>
        <v>3214883</v>
      </c>
      <c r="AQ48" s="1">
        <f>+'SR BUDACT'!GE56</f>
        <v>0</v>
      </c>
      <c r="AR48" s="1">
        <f>+'SR BUDACT'!GK56</f>
        <v>0</v>
      </c>
      <c r="AS48" s="1">
        <f>+'SR BUDACT'!GP56</f>
        <v>0</v>
      </c>
      <c r="AT48" s="1">
        <f>+'SR BUDACT'!GV56</f>
        <v>0</v>
      </c>
      <c r="AU48" s="1">
        <f>+'SR BUDACT'!GZ56</f>
        <v>0</v>
      </c>
      <c r="AV48" s="1">
        <f>+'SR BUDACT'!HF56</f>
        <v>0</v>
      </c>
      <c r="AW48" s="1"/>
      <c r="AX48" s="1">
        <f>+'SR BUDACT'!HJ56</f>
        <v>0</v>
      </c>
      <c r="AY48" s="1">
        <f>+'SR BUDACT'!HT56</f>
        <v>0</v>
      </c>
      <c r="AZ48" s="1">
        <f>+'SR BUDACT'!HX56</f>
        <v>0</v>
      </c>
      <c r="BA48" s="1">
        <f>+'SR BUDACT'!ID56</f>
        <v>0</v>
      </c>
      <c r="BB48" s="1">
        <f>+'MAJ GOV BUDACT (2)'!E55</f>
        <v>0</v>
      </c>
      <c r="BC48" s="1">
        <f>+'MAJ GOV BUDACT (3)'!E55</f>
        <v>0</v>
      </c>
      <c r="BD48" s="1"/>
      <c r="BE48" s="1"/>
      <c r="BF48" s="1">
        <f t="shared" si="90"/>
        <v>3214883</v>
      </c>
      <c r="BG48" s="1">
        <f t="shared" si="94"/>
        <v>3214883</v>
      </c>
      <c r="BH48" s="1">
        <f>+'DS BUDACT'!D44</f>
        <v>0</v>
      </c>
      <c r="BI48" s="1">
        <f>+'DS BUDACT'!H44</f>
        <v>0</v>
      </c>
      <c r="BJ48" s="1">
        <f>+'DS BUDACT'!N44</f>
        <v>0</v>
      </c>
      <c r="BK48" s="1">
        <f>+'DS BUDACT'!R44</f>
        <v>7975</v>
      </c>
      <c r="BL48" s="1">
        <f>+'DS BUDACT'!W44</f>
        <v>0</v>
      </c>
      <c r="BM48" s="1">
        <f>+'DS BUDACT'!AC44</f>
        <v>0</v>
      </c>
      <c r="BN48" s="1">
        <f>+'DS BUDACT'!AI44</f>
        <v>0</v>
      </c>
      <c r="BO48" s="1"/>
      <c r="BP48" s="1">
        <f t="shared" si="91"/>
        <v>7975</v>
      </c>
      <c r="BQ48" s="1"/>
      <c r="BR48" s="1">
        <f>+'CP BUDACT'!D56</f>
        <v>0</v>
      </c>
      <c r="BS48" s="1">
        <f>+'CP BUDACT'!H56</f>
        <v>0</v>
      </c>
      <c r="BT48" s="1">
        <f>+'CP BUDACT'!M56</f>
        <v>151522</v>
      </c>
      <c r="BU48" s="1">
        <f>+'CP BUDACT'!Q56</f>
        <v>0</v>
      </c>
      <c r="BV48" s="1">
        <f>+'CP BUDACT'!V56</f>
        <v>0</v>
      </c>
      <c r="BW48" s="1">
        <f>+'CP BUDACT'!Z56</f>
        <v>0</v>
      </c>
      <c r="BX48" s="3"/>
      <c r="BY48" s="1">
        <f>SUM(BR48:BX48)</f>
        <v>151522</v>
      </c>
      <c r="BZ48" s="1"/>
      <c r="CA48" s="1"/>
      <c r="CB48" s="1"/>
      <c r="CC48" s="1"/>
      <c r="CD48" s="1"/>
      <c r="CE48" s="1"/>
      <c r="CF48" s="1"/>
      <c r="CG48" s="1"/>
      <c r="CH48" s="1"/>
      <c r="CI48" s="1"/>
      <c r="CJ48" s="1">
        <f>SUM(CB48:CI48)</f>
        <v>0</v>
      </c>
      <c r="CK48" s="1"/>
      <c r="CL48" s="1"/>
      <c r="CM48" s="1"/>
      <c r="CN48" s="1"/>
      <c r="CO48" s="1"/>
      <c r="CP48" s="1"/>
      <c r="CQ48" s="1"/>
      <c r="CR48" s="1"/>
      <c r="CS48" s="1"/>
      <c r="CT48" s="1"/>
      <c r="CU48" s="1">
        <f>SUM(CL48:CT48)</f>
        <v>0</v>
      </c>
      <c r="CW48" s="1"/>
      <c r="CX48" s="1"/>
      <c r="CY48" s="1"/>
      <c r="CZ48" s="1"/>
      <c r="DA48" s="1"/>
      <c r="DB48" s="1"/>
      <c r="DC48" s="1"/>
      <c r="DD48" s="1"/>
      <c r="DE48" s="1"/>
      <c r="DF48" s="1"/>
      <c r="DG48" s="1"/>
      <c r="DH48" s="1"/>
      <c r="DI48" s="1"/>
      <c r="DJ48" s="1"/>
      <c r="DK48" s="1"/>
      <c r="DL48" s="1"/>
      <c r="DM48" s="1"/>
      <c r="DN48" s="1"/>
      <c r="DO48" s="1"/>
      <c r="DP48" s="1"/>
      <c r="DQ48" s="1"/>
      <c r="DR48" s="1"/>
      <c r="DS48" s="1"/>
      <c r="DT48" s="1"/>
      <c r="DV48" s="1"/>
      <c r="DW48" s="1">
        <f t="shared" si="92"/>
        <v>0</v>
      </c>
      <c r="DX48" s="1"/>
      <c r="DY48" s="1"/>
      <c r="DZ48" s="1"/>
      <c r="EC48" s="1"/>
      <c r="ED48" s="1"/>
      <c r="EE48" s="1">
        <f t="shared" si="93"/>
        <v>0</v>
      </c>
      <c r="EF48" s="1"/>
      <c r="EG48" s="1"/>
    </row>
    <row r="49" spans="1:140" ht="15.75">
      <c r="A49" s="1"/>
      <c r="B49" s="1" t="s">
        <v>3172</v>
      </c>
      <c r="C49" s="89"/>
      <c r="D49" s="1">
        <f>+'GEN BUDACT'!F196</f>
        <v>0</v>
      </c>
      <c r="E49" s="1">
        <f>+'SR BUDACT'!E57</f>
        <v>0</v>
      </c>
      <c r="F49" s="1">
        <f>+'SR BUDACT'!I57</f>
        <v>0</v>
      </c>
      <c r="G49" s="1">
        <f>+'SR BUDACT'!O57</f>
        <v>0</v>
      </c>
      <c r="H49" s="1">
        <f>+'SR BUDACT'!S57</f>
        <v>0</v>
      </c>
      <c r="I49" s="1">
        <f>+'SR BUDACT'!Y57</f>
        <v>0</v>
      </c>
      <c r="J49" s="1">
        <f>+'SR BUDACT'!AC57</f>
        <v>0</v>
      </c>
      <c r="K49" s="1">
        <f>+'SR BUDACT'!AI57</f>
        <v>0</v>
      </c>
      <c r="L49" s="1">
        <f>+'SR BUDACT'!AM57</f>
        <v>0</v>
      </c>
      <c r="M49" s="1">
        <f>+'SR BUDACT'!AS57</f>
        <v>0</v>
      </c>
      <c r="N49" s="1">
        <f>+'SR BUDACT'!AW57</f>
        <v>0</v>
      </c>
      <c r="O49" s="1">
        <f>+'SR BUDACT'!BC57</f>
        <v>0</v>
      </c>
      <c r="P49" s="1">
        <f>+'SR BUDACT'!JB57</f>
        <v>0</v>
      </c>
      <c r="Q49" s="1">
        <f>+'SR BUDACT'!BK57</f>
        <v>0</v>
      </c>
      <c r="R49" s="1">
        <f>+'SR BUDACT'!BQ57</f>
        <v>0</v>
      </c>
      <c r="S49" s="1">
        <f>+'SR BUDACT'!BU57</f>
        <v>0</v>
      </c>
      <c r="T49" s="1">
        <f>+'SR BUDACT'!CA57</f>
        <v>0</v>
      </c>
      <c r="U49" s="1">
        <f>+'SR BUDACT'!CE57</f>
        <v>0</v>
      </c>
      <c r="V49" s="1">
        <f>+'SR BUDACT'!CK57</f>
        <v>0</v>
      </c>
      <c r="W49" s="1">
        <f>+'SR BUDACT'!CO57</f>
        <v>0</v>
      </c>
      <c r="X49" s="1"/>
      <c r="Y49" s="1">
        <f>+'SR BUDACT'!CU57</f>
        <v>0</v>
      </c>
      <c r="Z49" s="1">
        <f>+'SR BUDACT'!CY57</f>
        <v>0</v>
      </c>
      <c r="AA49" s="1">
        <f>+'SR BUDACT'!DE57</f>
        <v>0</v>
      </c>
      <c r="AB49" s="1">
        <f>+'SR BUDACT'!DI57</f>
        <v>0</v>
      </c>
      <c r="AC49" s="1">
        <f>+'SR BUDACT'!DO57</f>
        <v>0</v>
      </c>
      <c r="AD49" s="1">
        <f>+'SR BUDACT'!DS57</f>
        <v>0</v>
      </c>
      <c r="AE49" s="1">
        <f>+'SR BUDACT'!DY57</f>
        <v>0</v>
      </c>
      <c r="AF49" s="1">
        <f>+'SR BUDACT'!EC57</f>
        <v>0</v>
      </c>
      <c r="AG49" s="1">
        <f>+'SR BUDACT'!EI57</f>
        <v>0</v>
      </c>
      <c r="AH49" s="1">
        <f>+'SR BUDACT'!EM57</f>
        <v>0</v>
      </c>
      <c r="AI49" s="1">
        <f>+'SR BUDACT'!ES57</f>
        <v>0</v>
      </c>
      <c r="AJ49" s="1">
        <f>+'SR BUDACT'!EW57</f>
        <v>0</v>
      </c>
      <c r="AK49" s="1">
        <f>+'SR BUDACT'!FC57</f>
        <v>0</v>
      </c>
      <c r="AL49" s="1">
        <f>+'SR BUDACT'!FG57</f>
        <v>0</v>
      </c>
      <c r="AM49" s="1">
        <f>+'SR BUDACT'!FM57</f>
        <v>0</v>
      </c>
      <c r="AN49" s="1">
        <f>+'SR BUDACT'!FQ57</f>
        <v>0</v>
      </c>
      <c r="AO49" s="1">
        <f>+'SR BUDACT'!FW57</f>
        <v>0</v>
      </c>
      <c r="AP49" s="1">
        <f>+'SR BUDACT'!GA57</f>
        <v>0</v>
      </c>
      <c r="AQ49" s="1">
        <f>+'SR BUDACT'!GE57</f>
        <v>0</v>
      </c>
      <c r="AR49" s="1">
        <f>+'SR BUDACT'!GK57</f>
        <v>0</v>
      </c>
      <c r="AS49" s="1">
        <f>+'SR BUDACT'!GP57</f>
        <v>0</v>
      </c>
      <c r="AT49" s="1">
        <f>+'SR BUDACT'!GV57</f>
        <v>0</v>
      </c>
      <c r="AU49" s="1">
        <f>+'SR BUDACT'!GZ57</f>
        <v>0</v>
      </c>
      <c r="AV49" s="1">
        <f>+'SR BUDACT'!HF57</f>
        <v>0</v>
      </c>
      <c r="AW49" s="1"/>
      <c r="AX49" s="1">
        <f>+'SR BUDACT'!HJ57</f>
        <v>0</v>
      </c>
      <c r="AY49" s="1">
        <f>+'SR BUDACT'!HT57</f>
        <v>0</v>
      </c>
      <c r="AZ49" s="1">
        <f>+'SR BUDACT'!HX57</f>
        <v>0</v>
      </c>
      <c r="BA49" s="1">
        <f>+'SR BUDACT'!ID57</f>
        <v>0</v>
      </c>
      <c r="BB49" s="1">
        <f>+'MAJ GOV BUDACT (2)'!E56</f>
        <v>0</v>
      </c>
      <c r="BC49" s="1">
        <f>+'MAJ GOV BUDACT (3)'!E56</f>
        <v>0</v>
      </c>
      <c r="BD49" s="1"/>
      <c r="BE49" s="1"/>
      <c r="BF49" s="1">
        <f t="shared" si="90"/>
        <v>0</v>
      </c>
      <c r="BG49" s="1">
        <f>+BF49-X52-P49-BC49-BB49</f>
        <v>0</v>
      </c>
      <c r="BH49" s="1">
        <f>+'DS BUDACT'!D48</f>
        <v>0</v>
      </c>
      <c r="BI49" s="1">
        <f>+'DS BUDACT'!H45</f>
        <v>0</v>
      </c>
      <c r="BJ49" s="1"/>
      <c r="BK49" s="1"/>
      <c r="BL49" s="1"/>
      <c r="BM49" s="1"/>
      <c r="BN49" s="1"/>
      <c r="BO49" s="1"/>
      <c r="BP49" s="1">
        <f t="shared" si="91"/>
        <v>0</v>
      </c>
      <c r="BQ49" s="1"/>
      <c r="BX49" s="3"/>
      <c r="BY49" s="1">
        <f>SUM(BR49:BX49)</f>
        <v>0</v>
      </c>
      <c r="BZ49" s="1"/>
      <c r="CA49" s="1"/>
      <c r="CB49" s="1"/>
      <c r="CC49" s="1"/>
      <c r="CD49" s="1"/>
      <c r="CE49" s="1"/>
      <c r="CF49" s="1"/>
      <c r="CG49" s="1"/>
      <c r="CH49" s="1"/>
      <c r="CI49" s="1"/>
      <c r="CJ49" s="1">
        <f>SUM(CB49:CI49)</f>
        <v>0</v>
      </c>
      <c r="CK49" s="1"/>
      <c r="CL49" s="1"/>
      <c r="CM49" s="1"/>
      <c r="CN49" s="1"/>
      <c r="CO49" s="1"/>
      <c r="CP49" s="1"/>
      <c r="CQ49" s="1"/>
      <c r="CR49" s="1"/>
      <c r="CS49" s="1"/>
      <c r="CT49" s="1"/>
      <c r="CU49" s="1">
        <f>SUM(CL49:CT49)</f>
        <v>0</v>
      </c>
      <c r="CW49" s="1"/>
      <c r="CX49" s="1"/>
      <c r="CY49" s="1"/>
      <c r="CZ49" s="1"/>
      <c r="DA49" s="1"/>
      <c r="DB49" s="1"/>
      <c r="DC49" s="1"/>
      <c r="DD49" s="1"/>
      <c r="DE49" s="1"/>
      <c r="DF49" s="1"/>
      <c r="DG49" s="1"/>
      <c r="DH49" s="1"/>
      <c r="DI49" s="1"/>
      <c r="DJ49" s="1"/>
      <c r="DK49" s="1"/>
      <c r="DL49" s="1"/>
      <c r="DM49" s="1"/>
      <c r="DN49" s="1"/>
      <c r="DO49" s="1"/>
      <c r="DP49" s="1"/>
      <c r="DQ49" s="1"/>
      <c r="DR49" s="1"/>
      <c r="DS49" s="1"/>
      <c r="DT49" s="1"/>
      <c r="DV49" s="1"/>
      <c r="DW49" s="1">
        <f t="shared" si="92"/>
        <v>0</v>
      </c>
      <c r="DX49" s="1"/>
      <c r="DY49" s="1"/>
      <c r="DZ49" s="1"/>
      <c r="EC49" s="1"/>
      <c r="ED49" s="1"/>
      <c r="EE49" s="1">
        <f t="shared" si="93"/>
        <v>0</v>
      </c>
      <c r="EF49" s="1"/>
      <c r="EG49" s="1"/>
    </row>
    <row r="50" spans="1:140" ht="15.75">
      <c r="A50" s="1"/>
      <c r="B50" s="1" t="s">
        <v>3176</v>
      </c>
      <c r="C50" s="89"/>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f>+'DS BUDACT'!H46</f>
        <v>0</v>
      </c>
      <c r="BJ50" s="1"/>
      <c r="BK50" s="1"/>
      <c r="BL50" s="1"/>
      <c r="BM50" s="1"/>
      <c r="BN50" s="1"/>
      <c r="BO50" s="1"/>
      <c r="BP50" s="1">
        <f t="shared" si="91"/>
        <v>0</v>
      </c>
      <c r="BQ50" s="1"/>
      <c r="BR50" s="1"/>
      <c r="BS50" s="1"/>
      <c r="BT50" s="1"/>
      <c r="BU50" s="1"/>
      <c r="BV50" s="1"/>
      <c r="BW50" s="1"/>
      <c r="BX50" s="3"/>
      <c r="BY50" s="1"/>
      <c r="BZ50" s="1"/>
      <c r="CA50" s="1"/>
      <c r="CB50" s="1"/>
      <c r="CC50" s="1"/>
      <c r="CD50" s="1"/>
      <c r="CE50" s="1"/>
      <c r="CF50" s="1"/>
      <c r="CG50" s="1"/>
      <c r="CH50" s="1"/>
      <c r="CI50" s="1"/>
      <c r="CJ50" s="1"/>
      <c r="CK50" s="1"/>
      <c r="CL50" s="1"/>
      <c r="CM50" s="1"/>
      <c r="CN50" s="1"/>
      <c r="CO50" s="1"/>
      <c r="CP50" s="1"/>
      <c r="CQ50" s="1"/>
      <c r="CR50" s="1"/>
      <c r="CS50" s="1"/>
      <c r="CT50" s="1"/>
      <c r="CU50" s="1"/>
      <c r="CW50" s="1"/>
      <c r="CX50" s="1"/>
      <c r="CY50" s="1"/>
      <c r="CZ50" s="1"/>
      <c r="DA50" s="1"/>
      <c r="DB50" s="1"/>
      <c r="DC50" s="1"/>
      <c r="DD50" s="1"/>
      <c r="DE50" s="1"/>
      <c r="DF50" s="1"/>
      <c r="DG50" s="1"/>
      <c r="DH50" s="1"/>
      <c r="DI50" s="1"/>
      <c r="DJ50" s="1"/>
      <c r="DK50" s="1"/>
      <c r="DL50" s="1"/>
      <c r="DM50" s="1"/>
      <c r="DN50" s="1"/>
      <c r="DO50" s="1"/>
      <c r="DP50" s="1"/>
      <c r="DQ50" s="1"/>
      <c r="DR50" s="1"/>
      <c r="DS50" s="1"/>
      <c r="DT50" s="1"/>
      <c r="DV50" s="1"/>
      <c r="DW50" s="1"/>
      <c r="DX50" s="1"/>
      <c r="DY50" s="1"/>
      <c r="DZ50" s="1"/>
      <c r="EC50" s="1"/>
      <c r="ED50" s="1"/>
      <c r="EE50" s="1"/>
      <c r="EF50" s="1"/>
      <c r="EG50" s="1"/>
    </row>
    <row r="51" spans="1:140" ht="15.75">
      <c r="A51" s="1"/>
      <c r="B51" s="1" t="s">
        <v>3175</v>
      </c>
      <c r="C51" s="89"/>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f>+'DS BUDACT'!H47</f>
        <v>0</v>
      </c>
      <c r="BJ51" s="1"/>
      <c r="BK51" s="1"/>
      <c r="BL51" s="1"/>
      <c r="BM51" s="1"/>
      <c r="BN51" s="1"/>
      <c r="BO51" s="1"/>
      <c r="BP51" s="1">
        <f t="shared" si="91"/>
        <v>0</v>
      </c>
      <c r="BQ51" s="1"/>
      <c r="BR51" s="1"/>
      <c r="BS51" s="1"/>
      <c r="BT51" s="1"/>
      <c r="BU51" s="1"/>
      <c r="BV51" s="1"/>
      <c r="BW51" s="1"/>
      <c r="BX51" s="3"/>
      <c r="BY51" s="1"/>
      <c r="BZ51" s="1"/>
      <c r="CA51" s="1"/>
      <c r="CB51" s="1"/>
      <c r="CC51" s="1"/>
      <c r="CD51" s="1"/>
      <c r="CE51" s="1"/>
      <c r="CF51" s="1"/>
      <c r="CG51" s="1"/>
      <c r="CH51" s="1"/>
      <c r="CI51" s="1"/>
      <c r="CJ51" s="1"/>
      <c r="CK51" s="1"/>
      <c r="CL51" s="1"/>
      <c r="CM51" s="1"/>
      <c r="CN51" s="1"/>
      <c r="CO51" s="1"/>
      <c r="CP51" s="1"/>
      <c r="CQ51" s="1"/>
      <c r="CR51" s="1"/>
      <c r="CS51" s="1"/>
      <c r="CT51" s="1"/>
      <c r="CU51" s="1"/>
      <c r="CW51" s="1"/>
      <c r="CX51" s="1"/>
      <c r="CY51" s="1"/>
      <c r="CZ51" s="1"/>
      <c r="DA51" s="1"/>
      <c r="DB51" s="1"/>
      <c r="DC51" s="1"/>
      <c r="DD51" s="1"/>
      <c r="DE51" s="1"/>
      <c r="DF51" s="1"/>
      <c r="DG51" s="1"/>
      <c r="DH51" s="1"/>
      <c r="DI51" s="1"/>
      <c r="DJ51" s="1"/>
      <c r="DK51" s="1"/>
      <c r="DL51" s="1"/>
      <c r="DM51" s="1"/>
      <c r="DN51" s="1"/>
      <c r="DO51" s="1"/>
      <c r="DP51" s="1"/>
      <c r="DQ51" s="1"/>
      <c r="DR51" s="1"/>
      <c r="DS51" s="1"/>
      <c r="DT51" s="1"/>
      <c r="DV51" s="1"/>
      <c r="DW51" s="1"/>
      <c r="DX51" s="1"/>
      <c r="DY51" s="1"/>
      <c r="DZ51" s="1"/>
      <c r="EC51" s="1"/>
      <c r="ED51" s="1"/>
      <c r="EE51" s="1"/>
      <c r="EF51" s="1"/>
      <c r="EG51" s="1"/>
    </row>
    <row r="52" spans="1:140" ht="15.75">
      <c r="A52" s="1"/>
      <c r="B52" s="89" t="s">
        <v>2319</v>
      </c>
      <c r="C52" s="89"/>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f t="shared" si="90"/>
        <v>0</v>
      </c>
      <c r="BG52" s="1" t="e">
        <f>+BF52-#REF!-P52-BC52-BB52</f>
        <v>#REF!</v>
      </c>
      <c r="BH52" s="1"/>
      <c r="BI52" s="1"/>
      <c r="BJ52" s="1"/>
      <c r="BK52" s="1"/>
      <c r="BL52" s="1"/>
      <c r="BM52" s="1"/>
      <c r="BN52" s="1"/>
      <c r="BO52" s="1"/>
      <c r="BP52" s="1">
        <f t="shared" si="91"/>
        <v>0</v>
      </c>
      <c r="BQ52" s="1"/>
      <c r="BR52" s="1"/>
      <c r="BS52" s="1"/>
      <c r="BT52" s="1"/>
      <c r="BU52" s="1"/>
      <c r="BV52" s="1"/>
      <c r="BW52" s="1"/>
      <c r="BX52" s="3"/>
      <c r="BY52" s="1"/>
      <c r="BZ52" s="1"/>
      <c r="CA52" s="1"/>
      <c r="CB52" s="1"/>
      <c r="CC52" s="1"/>
      <c r="CD52" s="1"/>
      <c r="CE52" s="1"/>
      <c r="CF52" s="1"/>
      <c r="CG52" s="1"/>
      <c r="CH52" s="1"/>
      <c r="CI52" s="1"/>
      <c r="CJ52" s="1"/>
      <c r="CK52" s="1"/>
      <c r="CL52" s="1"/>
      <c r="CM52" s="1"/>
      <c r="CN52" s="1"/>
      <c r="CO52" s="1"/>
      <c r="CP52" s="1"/>
      <c r="CQ52" s="1"/>
      <c r="CR52" s="1"/>
      <c r="CS52" s="1"/>
      <c r="CT52" s="1"/>
      <c r="CU52" s="1"/>
      <c r="CW52" s="1"/>
      <c r="CX52" s="1"/>
      <c r="CY52" s="1"/>
      <c r="CZ52" s="1"/>
      <c r="DA52" s="1"/>
      <c r="DB52" s="1"/>
      <c r="DC52" s="1"/>
      <c r="DD52" s="1"/>
      <c r="DE52" s="1"/>
      <c r="DF52" s="1"/>
      <c r="DG52" s="1"/>
      <c r="DH52" s="1"/>
      <c r="DI52" s="1"/>
      <c r="DJ52" s="1"/>
      <c r="DK52" s="1"/>
      <c r="DL52" s="1"/>
      <c r="DM52" s="1"/>
      <c r="DN52" s="1"/>
      <c r="DO52" s="1"/>
      <c r="DP52" s="1"/>
      <c r="DQ52" s="1"/>
      <c r="DR52" s="1"/>
      <c r="DS52" s="1"/>
      <c r="DT52" s="1"/>
      <c r="DV52" s="1"/>
      <c r="DW52" s="1">
        <f t="shared" si="92"/>
        <v>0</v>
      </c>
      <c r="DX52" s="1"/>
      <c r="DY52" s="1"/>
      <c r="DZ52" s="1"/>
      <c r="EC52" s="1"/>
      <c r="ED52" s="1"/>
      <c r="EE52" s="1">
        <f t="shared" si="93"/>
        <v>0</v>
      </c>
      <c r="EF52" s="1"/>
      <c r="EG52" s="1"/>
    </row>
    <row r="53" spans="1:140" ht="15.75">
      <c r="A53" s="1"/>
      <c r="B53" s="1" t="s">
        <v>1156</v>
      </c>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f t="shared" si="90"/>
        <v>0</v>
      </c>
      <c r="BG53" s="1">
        <f t="shared" si="94"/>
        <v>0</v>
      </c>
      <c r="BH53" s="1"/>
      <c r="BI53" s="1"/>
      <c r="BJ53" s="1"/>
      <c r="BK53" s="1"/>
      <c r="BL53" s="1"/>
      <c r="BM53" s="1"/>
      <c r="BN53" s="1"/>
      <c r="BO53" s="1"/>
      <c r="BP53" s="1">
        <f t="shared" si="91"/>
        <v>0</v>
      </c>
      <c r="BQ53" s="1"/>
      <c r="BR53" s="1"/>
      <c r="BS53" s="1"/>
      <c r="BT53" s="1"/>
      <c r="BU53" s="1"/>
      <c r="BV53" s="1"/>
      <c r="BW53" s="1"/>
      <c r="BX53" s="3"/>
      <c r="BY53" s="1">
        <f>SUM(BR53:BX53)</f>
        <v>0</v>
      </c>
      <c r="BZ53" s="1"/>
      <c r="CA53" s="1"/>
      <c r="CB53" s="1"/>
      <c r="CC53" s="1"/>
      <c r="CD53" s="1"/>
      <c r="CE53" s="1"/>
      <c r="CF53" s="1"/>
      <c r="CG53" s="1"/>
      <c r="CH53" s="1"/>
      <c r="CI53" s="1"/>
      <c r="CJ53" s="1">
        <f>SUM(CB53:CI53)</f>
        <v>0</v>
      </c>
      <c r="CK53" s="1"/>
      <c r="CL53" s="1"/>
      <c r="CM53" s="1"/>
      <c r="CN53" s="1"/>
      <c r="CO53" s="1"/>
      <c r="CP53" s="1"/>
      <c r="CQ53" s="1"/>
      <c r="CR53" s="1"/>
      <c r="CS53" s="1"/>
      <c r="CT53" s="1"/>
      <c r="CU53" s="1">
        <f>SUM(CL53:CT53)</f>
        <v>0</v>
      </c>
      <c r="CW53" s="1"/>
      <c r="CX53" s="1"/>
      <c r="CY53" s="1"/>
      <c r="CZ53" s="1"/>
      <c r="DA53" s="1"/>
      <c r="DB53" s="1"/>
      <c r="DC53" s="1"/>
      <c r="DD53" s="1"/>
      <c r="DE53" s="1"/>
      <c r="DF53" s="1"/>
      <c r="DG53" s="1"/>
      <c r="DH53" s="1"/>
      <c r="DI53" s="1"/>
      <c r="DJ53" s="1"/>
      <c r="DK53" s="1"/>
      <c r="DL53" s="1"/>
      <c r="DM53" s="1"/>
      <c r="DN53" s="1"/>
      <c r="DO53" s="1"/>
      <c r="DP53" s="1"/>
      <c r="DQ53" s="1"/>
      <c r="DR53" s="1"/>
      <c r="DS53" s="1"/>
      <c r="DT53" s="1"/>
      <c r="DV53" s="1"/>
      <c r="DW53" s="1">
        <f t="shared" si="92"/>
        <v>0</v>
      </c>
      <c r="DX53" s="1"/>
      <c r="DY53" s="1"/>
      <c r="DZ53" s="1"/>
      <c r="EC53" s="1"/>
      <c r="ED53" s="1"/>
      <c r="EE53" s="1">
        <f t="shared" si="93"/>
        <v>0</v>
      </c>
      <c r="EF53" s="1"/>
      <c r="EG53" s="1"/>
    </row>
    <row r="54" spans="1:140" ht="15.75">
      <c r="A54" s="1"/>
      <c r="B54" s="89" t="s">
        <v>2753</v>
      </c>
      <c r="C54" s="89"/>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f t="shared" si="90"/>
        <v>0</v>
      </c>
      <c r="BG54" s="1">
        <f t="shared" si="94"/>
        <v>0</v>
      </c>
      <c r="BH54" s="1"/>
      <c r="BI54" s="1"/>
      <c r="BJ54" s="1"/>
      <c r="BK54" s="1"/>
      <c r="BL54" s="1"/>
      <c r="BM54" s="1"/>
      <c r="BN54" s="1"/>
      <c r="BO54" s="1"/>
      <c r="BP54" s="1"/>
      <c r="BQ54" s="1"/>
      <c r="BR54" s="1"/>
      <c r="BS54" s="1"/>
      <c r="BT54" s="1"/>
      <c r="BU54" s="1"/>
      <c r="BV54" s="1"/>
      <c r="BW54" s="1"/>
      <c r="BX54" s="3"/>
      <c r="BY54" s="1"/>
      <c r="BZ54" s="1"/>
      <c r="CA54" s="1"/>
      <c r="CB54" s="1"/>
      <c r="CC54" s="1"/>
      <c r="CD54" s="1"/>
      <c r="CE54" s="1"/>
      <c r="CF54" s="1"/>
      <c r="CG54" s="1"/>
      <c r="CH54" s="1"/>
      <c r="CI54" s="1"/>
      <c r="CJ54" s="1"/>
      <c r="CK54" s="1"/>
      <c r="CL54" s="1"/>
      <c r="CM54" s="1"/>
      <c r="CN54" s="1"/>
      <c r="CO54" s="1"/>
      <c r="CP54" s="1"/>
      <c r="CQ54" s="1"/>
      <c r="CR54" s="1"/>
      <c r="CS54" s="1"/>
      <c r="CT54" s="1"/>
      <c r="CU54" s="1"/>
      <c r="CW54" s="1"/>
      <c r="CX54" s="1"/>
      <c r="CY54" s="1"/>
      <c r="CZ54" s="1"/>
      <c r="DA54" s="1"/>
      <c r="DB54" s="1"/>
      <c r="DC54" s="1"/>
      <c r="DD54" s="1"/>
      <c r="DE54" s="1"/>
      <c r="DF54" s="1"/>
      <c r="DG54" s="1"/>
      <c r="DH54" s="1"/>
      <c r="DI54" s="1"/>
      <c r="DJ54" s="1"/>
      <c r="DK54" s="1"/>
      <c r="DL54" s="1"/>
      <c r="DM54" s="1"/>
      <c r="DN54" s="1"/>
      <c r="DO54" s="1"/>
      <c r="DP54" s="1"/>
      <c r="DQ54" s="1"/>
      <c r="DR54" s="1"/>
      <c r="DS54" s="1"/>
      <c r="DT54" s="1"/>
      <c r="DV54" s="1"/>
      <c r="DW54" s="1"/>
      <c r="DX54" s="1"/>
      <c r="DY54" s="1"/>
      <c r="DZ54" s="1"/>
      <c r="EC54" s="1"/>
      <c r="ED54" s="1"/>
      <c r="EE54" s="1"/>
      <c r="EF54" s="1"/>
      <c r="EG54" s="1"/>
    </row>
    <row r="55" spans="1:140" ht="15.75">
      <c r="A55" s="1"/>
      <c r="B55" s="1" t="s">
        <v>678</v>
      </c>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f t="shared" si="90"/>
        <v>0</v>
      </c>
      <c r="BG55" s="1">
        <f t="shared" si="94"/>
        <v>0</v>
      </c>
      <c r="BH55" s="1"/>
      <c r="BI55" s="1"/>
      <c r="BJ55" s="1"/>
      <c r="BK55" s="1"/>
      <c r="BL55" s="1"/>
      <c r="BM55" s="1"/>
      <c r="BN55" s="1"/>
      <c r="BO55" s="1"/>
      <c r="BP55" s="1">
        <f t="shared" si="91"/>
        <v>0</v>
      </c>
      <c r="BQ55" s="1"/>
      <c r="BR55" s="1"/>
      <c r="BS55" s="1"/>
      <c r="BT55" s="1"/>
      <c r="BU55" s="1"/>
      <c r="BV55" s="1"/>
      <c r="BW55" s="1"/>
      <c r="BX55" s="3"/>
      <c r="BY55" s="1">
        <f>SUM(BR55:BX55)</f>
        <v>0</v>
      </c>
      <c r="BZ55" s="1"/>
      <c r="CA55" s="1"/>
      <c r="CB55" s="1"/>
      <c r="CC55" s="1"/>
      <c r="CD55" s="1"/>
      <c r="CE55" s="1"/>
      <c r="CF55" s="1"/>
      <c r="CG55" s="1"/>
      <c r="CH55" s="1"/>
      <c r="CI55" s="1"/>
      <c r="CJ55" s="1">
        <f>SUM(CB55:CI55)</f>
        <v>0</v>
      </c>
      <c r="CK55" s="1"/>
      <c r="CL55" s="1"/>
      <c r="CM55" s="1"/>
      <c r="CN55" s="1"/>
      <c r="CO55" s="1"/>
      <c r="CP55" s="1"/>
      <c r="CQ55" s="1"/>
      <c r="CR55" s="1"/>
      <c r="CS55" s="1"/>
      <c r="CT55" s="1"/>
      <c r="CU55" s="1">
        <f>SUM(CL55:CT55)</f>
        <v>0</v>
      </c>
      <c r="CW55" s="1"/>
      <c r="CX55" s="1"/>
      <c r="CY55" s="1"/>
      <c r="CZ55" s="1"/>
      <c r="DA55" s="1"/>
      <c r="DB55" s="1"/>
      <c r="DC55" s="1"/>
      <c r="DD55" s="1"/>
      <c r="DE55" s="1"/>
      <c r="DF55" s="1"/>
      <c r="DG55" s="1"/>
      <c r="DH55" s="1"/>
      <c r="DI55" s="1"/>
      <c r="DJ55" s="1"/>
      <c r="DK55" s="1"/>
      <c r="DL55" s="1"/>
      <c r="DM55" s="1"/>
      <c r="DN55" s="1"/>
      <c r="DO55" s="1"/>
      <c r="DP55" s="1"/>
      <c r="DQ55" s="1"/>
      <c r="DR55" s="1"/>
      <c r="DS55" s="1"/>
      <c r="DT55" s="1"/>
      <c r="DV55" s="1"/>
      <c r="DW55" s="1">
        <f>SUM(CY55:DV55)</f>
        <v>0</v>
      </c>
      <c r="DX55" s="1"/>
      <c r="DY55" s="1"/>
      <c r="DZ55" s="1"/>
      <c r="EC55" s="1"/>
      <c r="ED55" s="1"/>
      <c r="EE55" s="1">
        <f>SUM(CW55:ED55)</f>
        <v>0</v>
      </c>
      <c r="EF55" s="1"/>
      <c r="EG55" s="32"/>
    </row>
    <row r="56" spans="1:140" ht="15.75">
      <c r="A56" s="1"/>
      <c r="B56" s="1" t="s">
        <v>156</v>
      </c>
      <c r="D56" s="1">
        <f t="shared" ref="D56:J56" si="95">SUM(D46:D55)</f>
        <v>184012</v>
      </c>
      <c r="E56" s="1">
        <f t="shared" si="95"/>
        <v>667014</v>
      </c>
      <c r="F56" s="1">
        <f t="shared" si="95"/>
        <v>0</v>
      </c>
      <c r="G56" s="1">
        <f t="shared" si="95"/>
        <v>0</v>
      </c>
      <c r="H56" s="1">
        <f t="shared" si="95"/>
        <v>6421</v>
      </c>
      <c r="I56" s="1">
        <f t="shared" si="95"/>
        <v>5640</v>
      </c>
      <c r="J56" s="1">
        <f t="shared" si="95"/>
        <v>-1742594</v>
      </c>
      <c r="K56" s="1">
        <f t="shared" ref="K56:BD56" si="96">SUM(K46:K55)</f>
        <v>0</v>
      </c>
      <c r="L56" s="1">
        <f>SUM(L46:L55)</f>
        <v>0</v>
      </c>
      <c r="M56" s="1">
        <f t="shared" si="96"/>
        <v>77358</v>
      </c>
      <c r="N56" s="1">
        <f>SUM(N46:N55)</f>
        <v>-75000</v>
      </c>
      <c r="O56" s="1">
        <f t="shared" si="96"/>
        <v>37000</v>
      </c>
      <c r="P56" s="1">
        <f t="shared" si="96"/>
        <v>0</v>
      </c>
      <c r="Q56" s="1">
        <f t="shared" si="96"/>
        <v>-1589670</v>
      </c>
      <c r="R56" s="1">
        <f t="shared" si="96"/>
        <v>-137780</v>
      </c>
      <c r="S56" s="1">
        <f t="shared" si="96"/>
        <v>28096</v>
      </c>
      <c r="T56" s="1">
        <f t="shared" si="96"/>
        <v>0</v>
      </c>
      <c r="U56" s="1">
        <f t="shared" si="96"/>
        <v>82773</v>
      </c>
      <c r="V56" s="1">
        <f t="shared" si="96"/>
        <v>-3000</v>
      </c>
      <c r="W56" s="1">
        <f t="shared" si="96"/>
        <v>-6360</v>
      </c>
      <c r="X56" s="1">
        <f t="shared" si="96"/>
        <v>-165165</v>
      </c>
      <c r="Y56" s="1">
        <f t="shared" si="96"/>
        <v>342640</v>
      </c>
      <c r="Z56" s="1">
        <f t="shared" si="96"/>
        <v>50000</v>
      </c>
      <c r="AA56" s="1">
        <f t="shared" si="96"/>
        <v>-25360</v>
      </c>
      <c r="AB56" s="1">
        <f>SUM(AB46:AB55)</f>
        <v>-121132</v>
      </c>
      <c r="AC56" s="1">
        <f>SUM(AC46:AC55)</f>
        <v>0</v>
      </c>
      <c r="AD56" s="1">
        <f t="shared" si="96"/>
        <v>0</v>
      </c>
      <c r="AE56" s="1">
        <f t="shared" si="96"/>
        <v>-360</v>
      </c>
      <c r="AF56" s="1">
        <f t="shared" si="96"/>
        <v>0</v>
      </c>
      <c r="AG56" s="1">
        <f t="shared" si="96"/>
        <v>0</v>
      </c>
      <c r="AH56" s="1">
        <f t="shared" si="96"/>
        <v>0</v>
      </c>
      <c r="AI56" s="1">
        <f t="shared" si="96"/>
        <v>0</v>
      </c>
      <c r="AJ56" s="1">
        <f t="shared" si="96"/>
        <v>0</v>
      </c>
      <c r="AK56" s="1">
        <f t="shared" si="96"/>
        <v>0</v>
      </c>
      <c r="AL56" s="1">
        <f t="shared" ref="AL56:AR56" si="97">SUM(AL46:AL55)</f>
        <v>0</v>
      </c>
      <c r="AM56" s="1">
        <f t="shared" si="97"/>
        <v>0</v>
      </c>
      <c r="AN56" s="1">
        <f t="shared" si="97"/>
        <v>0</v>
      </c>
      <c r="AO56" s="1">
        <f t="shared" si="97"/>
        <v>0</v>
      </c>
      <c r="AP56" s="1">
        <f t="shared" si="97"/>
        <v>3214883</v>
      </c>
      <c r="AQ56" s="1">
        <f t="shared" si="97"/>
        <v>0</v>
      </c>
      <c r="AR56" s="1">
        <f t="shared" si="97"/>
        <v>0</v>
      </c>
      <c r="AS56" s="1">
        <f t="shared" si="96"/>
        <v>-56000</v>
      </c>
      <c r="AT56" s="1">
        <f>SUM(AT46:AT55)</f>
        <v>12743</v>
      </c>
      <c r="AU56" s="1">
        <f>SUM(AU46:AU55)</f>
        <v>5640</v>
      </c>
      <c r="AV56" s="1">
        <f>SUM(AV46:AV55)</f>
        <v>0</v>
      </c>
      <c r="AW56" s="1"/>
      <c r="AX56" s="1">
        <f t="shared" si="96"/>
        <v>0</v>
      </c>
      <c r="AY56" s="1">
        <f t="shared" si="96"/>
        <v>0</v>
      </c>
      <c r="AZ56" s="1">
        <f t="shared" si="96"/>
        <v>0</v>
      </c>
      <c r="BA56" s="1">
        <f>SUM(BA46:BA55)</f>
        <v>0</v>
      </c>
      <c r="BB56" s="1">
        <f t="shared" si="96"/>
        <v>-4211818</v>
      </c>
      <c r="BC56" s="1">
        <f t="shared" si="96"/>
        <v>-265391</v>
      </c>
      <c r="BD56" s="1">
        <f t="shared" si="96"/>
        <v>0</v>
      </c>
      <c r="BE56" s="1"/>
      <c r="BF56" s="1">
        <f t="shared" ref="BF56:BK56" si="98">SUM(BF46:BF55)</f>
        <v>-3869422</v>
      </c>
      <c r="BG56" s="1" t="e">
        <f t="shared" si="98"/>
        <v>#REF!</v>
      </c>
      <c r="BH56" s="1">
        <f t="shared" si="98"/>
        <v>0</v>
      </c>
      <c r="BI56" s="1">
        <f>SUM(BI46:BI55)</f>
        <v>0</v>
      </c>
      <c r="BJ56" s="1">
        <f>SUM(BJ46:BJ55)</f>
        <v>0</v>
      </c>
      <c r="BK56" s="1">
        <f t="shared" si="98"/>
        <v>7975</v>
      </c>
      <c r="BL56" s="1">
        <f>SUM(BL46:BL55)</f>
        <v>0</v>
      </c>
      <c r="BM56" s="1">
        <f>SUM(BM46:BM55)</f>
        <v>0</v>
      </c>
      <c r="BN56" s="1">
        <f>SUM(BN46:BN55)</f>
        <v>-8109</v>
      </c>
      <c r="BO56" s="1"/>
      <c r="BP56" s="1">
        <f t="shared" ref="BP56:BW56" si="99">SUM(BP46:BP55)</f>
        <v>-134</v>
      </c>
      <c r="BQ56" s="1"/>
      <c r="BR56" s="1">
        <f t="shared" si="99"/>
        <v>3736171</v>
      </c>
      <c r="BS56" s="1">
        <f t="shared" si="99"/>
        <v>0</v>
      </c>
      <c r="BT56" s="1">
        <f t="shared" si="99"/>
        <v>464862</v>
      </c>
      <c r="BU56" s="1">
        <f t="shared" si="99"/>
        <v>0</v>
      </c>
      <c r="BV56" s="1">
        <f>SUM(BV46:BV55)</f>
        <v>-44065</v>
      </c>
      <c r="BW56" s="1">
        <f t="shared" si="99"/>
        <v>1264681</v>
      </c>
      <c r="BX56" s="3"/>
      <c r="BY56" s="1">
        <f>SUM(BY46:BY55)</f>
        <v>5421649</v>
      </c>
      <c r="BZ56" s="1"/>
      <c r="CA56" s="1"/>
      <c r="CB56" s="1">
        <f t="shared" ref="CB56:CH56" si="100">SUM(CB46:CB55)</f>
        <v>0</v>
      </c>
      <c r="CC56" s="1">
        <f t="shared" si="100"/>
        <v>50000</v>
      </c>
      <c r="CD56" s="1">
        <f t="shared" si="100"/>
        <v>-82</v>
      </c>
      <c r="CE56" s="1">
        <f t="shared" si="100"/>
        <v>0</v>
      </c>
      <c r="CF56" s="1">
        <f t="shared" si="100"/>
        <v>0</v>
      </c>
      <c r="CG56" s="1">
        <f t="shared" si="100"/>
        <v>-2463</v>
      </c>
      <c r="CH56" s="1">
        <f t="shared" si="100"/>
        <v>0</v>
      </c>
      <c r="CI56" s="1"/>
      <c r="CJ56" s="1">
        <f t="shared" ref="CJ56:CR56" si="101">SUM(CJ46:CJ55)</f>
        <v>47455</v>
      </c>
      <c r="CK56" s="1"/>
      <c r="CL56" s="1">
        <f t="shared" si="101"/>
        <v>555742</v>
      </c>
      <c r="CM56" s="1">
        <f t="shared" si="101"/>
        <v>-297020</v>
      </c>
      <c r="CN56" s="1">
        <f t="shared" si="101"/>
        <v>-269037</v>
      </c>
      <c r="CO56" s="1">
        <f t="shared" si="101"/>
        <v>0</v>
      </c>
      <c r="CP56" s="1">
        <f t="shared" si="101"/>
        <v>1135</v>
      </c>
      <c r="CQ56" s="1">
        <f t="shared" si="101"/>
        <v>100000</v>
      </c>
      <c r="CR56" s="1">
        <f t="shared" si="101"/>
        <v>1500000</v>
      </c>
      <c r="CS56" s="1"/>
      <c r="CT56" s="1"/>
      <c r="CU56" s="1">
        <f>SUM(CU46:CU55)</f>
        <v>1590820</v>
      </c>
      <c r="CW56" s="1">
        <f>SUM(CW46:CW55)</f>
        <v>0</v>
      </c>
      <c r="CX56" s="1">
        <f t="shared" ref="CX56:DC56" si="102">SUM(CX46:CX55)</f>
        <v>0</v>
      </c>
      <c r="CY56" s="1">
        <f t="shared" si="102"/>
        <v>0</v>
      </c>
      <c r="CZ56" s="1">
        <f t="shared" si="102"/>
        <v>0</v>
      </c>
      <c r="DA56" s="1">
        <f t="shared" si="102"/>
        <v>0</v>
      </c>
      <c r="DB56" s="1">
        <f t="shared" si="102"/>
        <v>0</v>
      </c>
      <c r="DC56" s="1">
        <f t="shared" si="102"/>
        <v>0</v>
      </c>
      <c r="DD56" s="1">
        <f t="shared" ref="DD56" si="103">SUM(DD46:DD55)</f>
        <v>0</v>
      </c>
      <c r="DE56" s="1">
        <f t="shared" ref="DE56" si="104">SUM(DE46:DE55)</f>
        <v>0</v>
      </c>
      <c r="DF56" s="1">
        <f t="shared" ref="DF56" si="105">SUM(DF46:DF55)</f>
        <v>0</v>
      </c>
      <c r="DG56" s="1">
        <f t="shared" ref="DG56" si="106">SUM(DG46:DG55)</f>
        <v>0</v>
      </c>
      <c r="DH56" s="1">
        <f t="shared" ref="DH56" si="107">SUM(DH46:DH55)</f>
        <v>0</v>
      </c>
      <c r="DI56" s="1">
        <f t="shared" ref="DI56" si="108">SUM(DI46:DI55)</f>
        <v>0</v>
      </c>
      <c r="DJ56" s="1">
        <f t="shared" ref="DJ56" si="109">SUM(DJ46:DJ55)</f>
        <v>0</v>
      </c>
      <c r="DK56" s="1">
        <f t="shared" ref="DK56" si="110">SUM(DK46:DK55)</f>
        <v>0</v>
      </c>
      <c r="DL56" s="1">
        <f t="shared" ref="DL56" si="111">SUM(DL46:DL55)</f>
        <v>0</v>
      </c>
      <c r="DM56" s="1">
        <f t="shared" ref="DM56" si="112">SUM(DM46:DM55)</f>
        <v>0</v>
      </c>
      <c r="DN56" s="1">
        <f t="shared" ref="DN56" si="113">SUM(DN46:DN55)</f>
        <v>0</v>
      </c>
      <c r="DO56" s="1">
        <f t="shared" ref="DO56" si="114">SUM(DO46:DO55)</f>
        <v>0</v>
      </c>
      <c r="DP56" s="1">
        <f t="shared" ref="DP56" si="115">SUM(DP46:DP55)</f>
        <v>0</v>
      </c>
      <c r="DQ56" s="1">
        <f t="shared" ref="DQ56" si="116">SUM(DQ46:DQ55)</f>
        <v>0</v>
      </c>
      <c r="DR56" s="1">
        <f t="shared" ref="DR56" si="117">SUM(DR46:DR55)</f>
        <v>0</v>
      </c>
      <c r="DS56" s="1">
        <f t="shared" ref="DS56" si="118">SUM(DS46:DS55)</f>
        <v>0</v>
      </c>
      <c r="DT56" s="1">
        <f t="shared" ref="DT56" si="119">SUM(DT46:DT55)</f>
        <v>0</v>
      </c>
      <c r="DV56" s="1"/>
      <c r="DW56" s="1">
        <f>SUM(DW46:DW55)</f>
        <v>0</v>
      </c>
      <c r="DX56" s="1">
        <f>SUM(DX46:DX55)</f>
        <v>0</v>
      </c>
      <c r="DY56" s="1"/>
      <c r="DZ56" s="1">
        <f>SUM(DZ46:DZ55)</f>
        <v>0</v>
      </c>
      <c r="EC56" s="1">
        <f>SUM(EC46:EC55)</f>
        <v>0</v>
      </c>
      <c r="ED56" s="1"/>
      <c r="EE56" s="1">
        <f>SUM(EE46:EE55)</f>
        <v>0</v>
      </c>
      <c r="EF56" s="1"/>
      <c r="EG56" s="1">
        <f>SUM(EG46:EG55)</f>
        <v>0</v>
      </c>
    </row>
    <row r="57" spans="1:140" ht="15.7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3"/>
      <c r="BY57" s="1"/>
      <c r="BZ57" s="1"/>
      <c r="CA57" s="1"/>
      <c r="CB57" s="1"/>
      <c r="CC57" s="1"/>
      <c r="CD57" s="1"/>
      <c r="CE57" s="1"/>
      <c r="CF57" s="1"/>
      <c r="CG57" s="1"/>
      <c r="CH57" s="1"/>
      <c r="CI57" s="1"/>
      <c r="CJ57" s="1"/>
      <c r="CK57" s="1"/>
      <c r="CL57" s="1"/>
      <c r="CM57" s="1"/>
      <c r="CN57" s="1"/>
      <c r="CO57" s="1"/>
      <c r="CP57" s="1"/>
      <c r="CQ57" s="1"/>
      <c r="CR57" s="1"/>
      <c r="CS57" s="1"/>
      <c r="CT57" s="1"/>
      <c r="CU57" s="1"/>
      <c r="CW57" s="1"/>
      <c r="CX57" s="1"/>
      <c r="CY57" s="1"/>
      <c r="CZ57" s="1"/>
      <c r="DA57" s="1"/>
      <c r="DB57" s="1"/>
      <c r="DC57" s="1"/>
      <c r="DD57" s="1"/>
      <c r="DE57" s="1"/>
      <c r="DF57" s="1"/>
      <c r="DG57" s="1"/>
      <c r="DH57" s="1"/>
      <c r="DI57" s="1"/>
      <c r="DJ57" s="1"/>
      <c r="DK57" s="1"/>
      <c r="DL57" s="1"/>
      <c r="DM57" s="1"/>
      <c r="DN57" s="1"/>
      <c r="DO57" s="1"/>
      <c r="DP57" s="1"/>
      <c r="DQ57" s="1"/>
      <c r="DR57" s="1"/>
      <c r="DS57" s="1"/>
      <c r="DT57" s="1"/>
      <c r="DV57" s="1"/>
      <c r="DW57" s="1"/>
      <c r="DX57" s="1"/>
      <c r="DY57" s="1"/>
      <c r="DZ57" s="1"/>
      <c r="EC57" s="1"/>
      <c r="ED57" s="1"/>
      <c r="EE57" s="1"/>
      <c r="EF57" s="1"/>
      <c r="EG57" s="1"/>
    </row>
    <row r="58" spans="1:140" ht="15.75">
      <c r="A58" s="1"/>
      <c r="B58" s="1" t="s">
        <v>1093</v>
      </c>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3"/>
      <c r="BY58" s="1"/>
      <c r="BZ58" s="1"/>
      <c r="CA58" s="1"/>
      <c r="CB58" s="1"/>
      <c r="CC58" s="1"/>
      <c r="CD58" s="1"/>
      <c r="CE58" s="1"/>
      <c r="CF58" s="1"/>
      <c r="CG58" s="1"/>
      <c r="CH58" s="1"/>
      <c r="CI58" s="1"/>
      <c r="CJ58" s="1"/>
      <c r="CK58" s="1"/>
      <c r="CL58" s="1"/>
      <c r="CM58" s="1"/>
      <c r="CN58" s="1"/>
      <c r="CO58" s="1"/>
      <c r="CP58" s="1"/>
      <c r="CQ58" s="1"/>
      <c r="CR58" s="1"/>
      <c r="CS58" s="1"/>
      <c r="CT58" s="1"/>
      <c r="CU58" s="1"/>
      <c r="CW58" s="1"/>
      <c r="CX58" s="1"/>
      <c r="CY58" s="1"/>
      <c r="CZ58" s="1"/>
      <c r="DA58" s="1"/>
      <c r="DB58" s="1"/>
      <c r="DC58" s="1"/>
      <c r="DD58" s="1"/>
      <c r="DE58" s="1"/>
      <c r="DF58" s="1"/>
      <c r="DG58" s="1"/>
      <c r="DH58" s="1"/>
      <c r="DI58" s="1"/>
      <c r="DJ58" s="1"/>
      <c r="DK58" s="1"/>
      <c r="DL58" s="1"/>
      <c r="DM58" s="1"/>
      <c r="DN58" s="1"/>
      <c r="DO58" s="1"/>
      <c r="DP58" s="1"/>
      <c r="DQ58" s="1"/>
      <c r="DR58" s="1"/>
      <c r="DS58" s="1"/>
      <c r="DT58" s="1"/>
      <c r="DV58" s="1"/>
      <c r="DW58" s="1"/>
      <c r="DX58" s="1"/>
      <c r="DY58" s="1"/>
      <c r="DZ58" s="1"/>
      <c r="EC58" s="1"/>
      <c r="ED58" s="1"/>
      <c r="EE58" s="1"/>
      <c r="EF58" s="1"/>
      <c r="EG58" s="1"/>
    </row>
    <row r="59" spans="1:140" ht="15.75">
      <c r="A59" s="1"/>
      <c r="B59" s="1" t="s">
        <v>383</v>
      </c>
      <c r="C59" s="1"/>
      <c r="D59" s="1">
        <f t="shared" ref="D59:J59" si="120">SUM(D43+D56)</f>
        <v>2831321</v>
      </c>
      <c r="E59" s="1">
        <f t="shared" si="120"/>
        <v>-458661</v>
      </c>
      <c r="F59" s="1">
        <f t="shared" si="120"/>
        <v>-1939</v>
      </c>
      <c r="G59" s="1">
        <f t="shared" si="120"/>
        <v>45313</v>
      </c>
      <c r="H59" s="1">
        <f t="shared" si="120"/>
        <v>52237</v>
      </c>
      <c r="I59" s="1">
        <f t="shared" si="120"/>
        <v>247106</v>
      </c>
      <c r="J59" s="1">
        <f t="shared" si="120"/>
        <v>40042</v>
      </c>
      <c r="K59" s="1">
        <f t="shared" ref="K59:BD59" si="121">SUM(K43+K56)</f>
        <v>1229</v>
      </c>
      <c r="L59" s="1">
        <f>SUM(L43+L56)</f>
        <v>13155</v>
      </c>
      <c r="M59" s="1">
        <f t="shared" si="121"/>
        <v>137446</v>
      </c>
      <c r="N59" s="1">
        <f>SUM(N43+N56)</f>
        <v>-1725</v>
      </c>
      <c r="O59" s="1">
        <f t="shared" si="121"/>
        <v>11579</v>
      </c>
      <c r="P59" s="1">
        <f t="shared" si="121"/>
        <v>0</v>
      </c>
      <c r="Q59" s="1">
        <f t="shared" si="121"/>
        <v>-12462</v>
      </c>
      <c r="R59" s="1">
        <f t="shared" si="121"/>
        <v>32949</v>
      </c>
      <c r="S59" s="1">
        <f t="shared" si="121"/>
        <v>-102030</v>
      </c>
      <c r="T59" s="1">
        <f t="shared" si="121"/>
        <v>19</v>
      </c>
      <c r="U59" s="1">
        <f t="shared" si="121"/>
        <v>-4009</v>
      </c>
      <c r="V59" s="1">
        <f t="shared" si="121"/>
        <v>2375</v>
      </c>
      <c r="W59" s="1">
        <f t="shared" si="121"/>
        <v>1254</v>
      </c>
      <c r="X59" s="1">
        <f t="shared" si="121"/>
        <v>1019712</v>
      </c>
      <c r="Y59" s="1">
        <f t="shared" si="121"/>
        <v>40333</v>
      </c>
      <c r="Z59" s="1">
        <f t="shared" si="121"/>
        <v>52966</v>
      </c>
      <c r="AA59" s="1">
        <f t="shared" si="121"/>
        <v>-38635</v>
      </c>
      <c r="AB59" s="1">
        <f>SUM(AB43+AB56)</f>
        <v>327966</v>
      </c>
      <c r="AC59" s="1">
        <f t="shared" si="121"/>
        <v>43710</v>
      </c>
      <c r="AD59" s="1">
        <f t="shared" si="121"/>
        <v>8341</v>
      </c>
      <c r="AE59" s="1">
        <f t="shared" si="121"/>
        <v>5242</v>
      </c>
      <c r="AF59" s="1">
        <f t="shared" si="121"/>
        <v>94</v>
      </c>
      <c r="AG59" s="1">
        <f t="shared" si="121"/>
        <v>-54351</v>
      </c>
      <c r="AH59" s="1">
        <f t="shared" si="121"/>
        <v>-93882</v>
      </c>
      <c r="AI59" s="1">
        <f t="shared" si="121"/>
        <v>-24023</v>
      </c>
      <c r="AJ59" s="1">
        <f t="shared" si="121"/>
        <v>2070</v>
      </c>
      <c r="AK59" s="1">
        <f t="shared" si="121"/>
        <v>-26042</v>
      </c>
      <c r="AL59" s="1">
        <f t="shared" ref="AL59:AR59" si="122">SUM(AL43+AL56)</f>
        <v>-17255</v>
      </c>
      <c r="AM59" s="1">
        <f t="shared" si="122"/>
        <v>-18494</v>
      </c>
      <c r="AN59" s="1">
        <f t="shared" si="122"/>
        <v>-25399</v>
      </c>
      <c r="AO59" s="1">
        <f t="shared" si="122"/>
        <v>0</v>
      </c>
      <c r="AP59" s="1">
        <f t="shared" si="122"/>
        <v>1261174</v>
      </c>
      <c r="AQ59" s="1">
        <f t="shared" si="122"/>
        <v>175320</v>
      </c>
      <c r="AR59" s="1">
        <f t="shared" si="122"/>
        <v>0</v>
      </c>
      <c r="AS59" s="1">
        <f t="shared" si="121"/>
        <v>29176</v>
      </c>
      <c r="AT59" s="1">
        <f>SUM(AT43+AT56)</f>
        <v>96484</v>
      </c>
      <c r="AU59" s="1">
        <f>SUM(AU43+AU56)</f>
        <v>66775</v>
      </c>
      <c r="AV59" s="1">
        <f>SUM(AV43+AV56)</f>
        <v>-22045</v>
      </c>
      <c r="AW59" s="1"/>
      <c r="AX59" s="1">
        <f t="shared" si="121"/>
        <v>50756</v>
      </c>
      <c r="AY59" s="1">
        <f t="shared" si="121"/>
        <v>0</v>
      </c>
      <c r="AZ59" s="1">
        <f t="shared" si="121"/>
        <v>-16741</v>
      </c>
      <c r="BA59" s="1">
        <f>SUM(BA43+BA56)</f>
        <v>17217</v>
      </c>
      <c r="BB59" s="1">
        <f t="shared" si="121"/>
        <v>-4038350</v>
      </c>
      <c r="BC59" s="1">
        <f t="shared" si="121"/>
        <v>805900</v>
      </c>
      <c r="BD59" s="1">
        <f t="shared" si="121"/>
        <v>7882</v>
      </c>
      <c r="BE59" s="1"/>
      <c r="BF59" s="1">
        <f t="shared" ref="BF59:BK59" si="123">SUM(BF43+BF56)</f>
        <v>-360221</v>
      </c>
      <c r="BG59" s="1">
        <f t="shared" ref="BG59:BG60" si="124">+BF59-X59-P59-BC59</f>
        <v>-2185833</v>
      </c>
      <c r="BH59" s="1">
        <f t="shared" si="123"/>
        <v>0</v>
      </c>
      <c r="BI59" s="1">
        <f>SUM(BI43+BI56)</f>
        <v>-5661</v>
      </c>
      <c r="BJ59" s="1">
        <f>SUM(BJ43+BJ56)</f>
        <v>0</v>
      </c>
      <c r="BK59" s="1">
        <f t="shared" si="123"/>
        <v>20628</v>
      </c>
      <c r="BL59" s="1">
        <f>SUM(BL43+BL56)</f>
        <v>-3588</v>
      </c>
      <c r="BM59" s="1">
        <f>SUM(BM43+BM56)</f>
        <v>14613</v>
      </c>
      <c r="BN59" s="1">
        <f>SUM(BN43+BN56)</f>
        <v>26319</v>
      </c>
      <c r="BO59" s="1"/>
      <c r="BP59" s="1">
        <f t="shared" ref="BP59:BV59" si="125">SUM(BP43+BP56)</f>
        <v>52311</v>
      </c>
      <c r="BQ59" s="1"/>
      <c r="BR59" s="1">
        <f t="shared" si="125"/>
        <v>2432863</v>
      </c>
      <c r="BS59" s="1">
        <f t="shared" si="125"/>
        <v>0</v>
      </c>
      <c r="BT59" s="1">
        <f t="shared" si="125"/>
        <v>-9067</v>
      </c>
      <c r="BU59" s="1">
        <f t="shared" si="125"/>
        <v>0</v>
      </c>
      <c r="BV59" s="1">
        <f t="shared" si="125"/>
        <v>-46164</v>
      </c>
      <c r="BW59" s="1">
        <f>SUM(BW43+BW56)</f>
        <v>744390</v>
      </c>
      <c r="BX59" s="3"/>
      <c r="BY59" s="1">
        <f>SUM(BY43+BY56)</f>
        <v>3122022</v>
      </c>
      <c r="BZ59" s="1"/>
      <c r="CA59" s="1"/>
      <c r="CB59" s="1">
        <f>SUM(CB43+CB56)</f>
        <v>0</v>
      </c>
      <c r="CC59" s="1">
        <f t="shared" ref="CC59:CH59" si="126">SUM(CC43+CC56)</f>
        <v>225274</v>
      </c>
      <c r="CD59" s="1">
        <f t="shared" si="126"/>
        <v>24445</v>
      </c>
      <c r="CE59" s="1">
        <f t="shared" si="126"/>
        <v>-102963</v>
      </c>
      <c r="CF59" s="1">
        <f t="shared" si="126"/>
        <v>-27653</v>
      </c>
      <c r="CG59" s="1">
        <f t="shared" si="126"/>
        <v>673613</v>
      </c>
      <c r="CH59" s="1">
        <f t="shared" si="126"/>
        <v>14673</v>
      </c>
      <c r="CI59" s="1"/>
      <c r="CJ59" s="1">
        <f t="shared" ref="CJ59:CR59" si="127">SUM(CJ43+CJ56)</f>
        <v>807389</v>
      </c>
      <c r="CK59" s="1"/>
      <c r="CL59" s="1">
        <f t="shared" si="127"/>
        <v>618534</v>
      </c>
      <c r="CM59" s="1">
        <f t="shared" si="127"/>
        <v>54929</v>
      </c>
      <c r="CN59" s="1">
        <f t="shared" si="127"/>
        <v>-171105</v>
      </c>
      <c r="CO59" s="1">
        <f t="shared" si="127"/>
        <v>29972</v>
      </c>
      <c r="CP59" s="1">
        <f t="shared" si="127"/>
        <v>224218</v>
      </c>
      <c r="CQ59" s="1">
        <f t="shared" si="127"/>
        <v>-228338</v>
      </c>
      <c r="CR59" s="1">
        <f t="shared" si="127"/>
        <v>-805475</v>
      </c>
      <c r="CS59" s="1"/>
      <c r="CT59" s="1"/>
      <c r="CU59" s="1">
        <f>SUM(CU43+CU56)</f>
        <v>-277265</v>
      </c>
      <c r="CW59" s="1">
        <f>SUM(CW43+CW56)</f>
        <v>449422</v>
      </c>
      <c r="CX59" s="1">
        <f t="shared" ref="CX59:DC59" si="128">SUM(CX43+CX56)</f>
        <v>0</v>
      </c>
      <c r="CY59" s="1">
        <f t="shared" si="128"/>
        <v>-12896</v>
      </c>
      <c r="CZ59" s="1">
        <f t="shared" si="128"/>
        <v>0</v>
      </c>
      <c r="DA59" s="1">
        <f t="shared" si="128"/>
        <v>0</v>
      </c>
      <c r="DB59" s="1">
        <f t="shared" si="128"/>
        <v>-6900</v>
      </c>
      <c r="DC59" s="1">
        <f t="shared" si="128"/>
        <v>-15735</v>
      </c>
      <c r="DD59" s="1">
        <f t="shared" ref="DD59:DT59" si="129">SUM(DD43+DD56)</f>
        <v>0</v>
      </c>
      <c r="DE59" s="1">
        <f t="shared" si="129"/>
        <v>2117</v>
      </c>
      <c r="DF59" s="1">
        <f t="shared" si="129"/>
        <v>0</v>
      </c>
      <c r="DG59" s="1">
        <f t="shared" si="129"/>
        <v>151548</v>
      </c>
      <c r="DH59" s="1">
        <f t="shared" si="129"/>
        <v>0</v>
      </c>
      <c r="DI59" s="1">
        <f t="shared" si="129"/>
        <v>0</v>
      </c>
      <c r="DJ59" s="1">
        <f t="shared" si="129"/>
        <v>0</v>
      </c>
      <c r="DK59" s="1">
        <f t="shared" si="129"/>
        <v>0</v>
      </c>
      <c r="DL59" s="1">
        <f t="shared" si="129"/>
        <v>424995</v>
      </c>
      <c r="DM59" s="1">
        <f t="shared" si="129"/>
        <v>0</v>
      </c>
      <c r="DN59" s="1">
        <f t="shared" si="129"/>
        <v>-24181</v>
      </c>
      <c r="DO59" s="1">
        <f t="shared" si="129"/>
        <v>0</v>
      </c>
      <c r="DP59" s="1">
        <f t="shared" si="129"/>
        <v>23554</v>
      </c>
      <c r="DQ59" s="1">
        <f t="shared" si="129"/>
        <v>824911</v>
      </c>
      <c r="DR59" s="1">
        <f t="shared" si="129"/>
        <v>5652093</v>
      </c>
      <c r="DS59" s="1">
        <f t="shared" si="129"/>
        <v>187156</v>
      </c>
      <c r="DT59" s="1">
        <f t="shared" si="129"/>
        <v>173157</v>
      </c>
      <c r="DV59" s="1"/>
      <c r="DW59" s="1">
        <f>SUM(DW43+DW56)</f>
        <v>11791088</v>
      </c>
      <c r="DX59" s="1" t="e">
        <f>SUM(DX43+DX56)</f>
        <v>#REF!</v>
      </c>
      <c r="DY59" s="1"/>
      <c r="DZ59" s="1">
        <f>SUM(DZ43+DZ56)</f>
        <v>44007</v>
      </c>
      <c r="EC59" s="1">
        <f>SUM(EC43+EC56)</f>
        <v>0</v>
      </c>
      <c r="ED59" s="1"/>
      <c r="EE59" s="1">
        <f>SUM(EE43+EE56)</f>
        <v>-475716625</v>
      </c>
      <c r="EF59" s="1"/>
      <c r="EG59" s="1">
        <f>SUM(EG43+EG56)</f>
        <v>8406</v>
      </c>
    </row>
    <row r="60" spans="1:140" ht="15.75">
      <c r="A60" s="1"/>
      <c r="B60" s="1"/>
      <c r="C60" s="1"/>
      <c r="D60" s="1"/>
      <c r="E60" s="1"/>
      <c r="F60" s="1"/>
      <c r="G60" s="1">
        <f>+G61-122138</f>
        <v>-93642</v>
      </c>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f t="shared" si="124"/>
        <v>0</v>
      </c>
      <c r="BH60" s="1"/>
      <c r="BI60" s="1"/>
      <c r="BJ60" s="1"/>
      <c r="BK60" s="1"/>
      <c r="BL60" s="1"/>
      <c r="BM60" s="1"/>
      <c r="BN60" s="1"/>
      <c r="BO60" s="1"/>
      <c r="BP60" s="1"/>
      <c r="BQ60" s="1"/>
      <c r="BR60" s="1"/>
      <c r="BS60" s="1"/>
      <c r="BT60" s="1"/>
      <c r="BU60" s="1"/>
      <c r="BV60" s="1"/>
      <c r="BW60" s="1"/>
      <c r="BX60" s="3"/>
      <c r="BY60" s="1"/>
      <c r="BZ60" s="1"/>
      <c r="CA60" s="1"/>
      <c r="CB60" s="70"/>
      <c r="CC60" s="70"/>
      <c r="CD60" s="1"/>
      <c r="CE60" s="1"/>
      <c r="CF60" s="120" t="s">
        <v>1745</v>
      </c>
      <c r="CG60" s="70"/>
      <c r="CH60" s="1"/>
      <c r="CI60" s="1"/>
      <c r="CJ60" s="1"/>
      <c r="CK60" s="1"/>
      <c r="CL60" s="1"/>
      <c r="CM60" s="1"/>
      <c r="CN60" s="1"/>
      <c r="CO60" s="1"/>
      <c r="CP60" s="1"/>
      <c r="CQ60" s="1"/>
      <c r="CR60" s="1"/>
      <c r="CS60" s="1"/>
      <c r="CT60" s="1"/>
      <c r="CU60" s="1"/>
      <c r="CW60" s="1"/>
      <c r="CX60" s="1"/>
      <c r="CY60" s="1"/>
      <c r="CZ60" s="1"/>
      <c r="DA60" s="1"/>
      <c r="DB60" s="1"/>
      <c r="DC60" s="1"/>
      <c r="DD60" s="1"/>
      <c r="DE60" s="1"/>
      <c r="DF60" s="1"/>
      <c r="DG60" s="1"/>
      <c r="DH60" s="1"/>
      <c r="DI60" s="1"/>
      <c r="DJ60" s="1"/>
      <c r="DK60" s="1"/>
      <c r="DL60" s="1"/>
      <c r="DM60" s="1"/>
      <c r="DN60" s="1"/>
      <c r="DO60" s="1"/>
      <c r="DP60" s="1"/>
      <c r="DQ60" s="1"/>
      <c r="DR60" s="1"/>
      <c r="DS60" s="1"/>
      <c r="DT60" s="1"/>
      <c r="DV60" s="1"/>
      <c r="DW60" s="1"/>
      <c r="DX60" s="1"/>
      <c r="DY60" s="1"/>
      <c r="DZ60" s="1"/>
      <c r="EC60" s="1"/>
      <c r="ED60" s="817" t="s">
        <v>2978</v>
      </c>
      <c r="EE60" s="1"/>
      <c r="EF60" s="1"/>
      <c r="EG60" s="1"/>
    </row>
    <row r="61" spans="1:140" ht="15.75">
      <c r="A61" s="1"/>
      <c r="B61" s="1" t="s">
        <v>622</v>
      </c>
      <c r="C61" s="1"/>
      <c r="D61" s="1">
        <f>+'GEN BUDACT'!F202</f>
        <v>7413080</v>
      </c>
      <c r="E61" s="1">
        <f>+'SR BUDACT'!E63</f>
        <v>285729</v>
      </c>
      <c r="F61" s="1">
        <f>+'SR BUDACT'!I63</f>
        <v>5631</v>
      </c>
      <c r="G61" s="1">
        <f>+'SR BUDACT'!O63</f>
        <v>28496</v>
      </c>
      <c r="H61" s="1">
        <f>+'SR BUDACT'!S63</f>
        <v>305110</v>
      </c>
      <c r="I61" s="1">
        <f>+'SR BUDACT'!Y63</f>
        <v>-175423</v>
      </c>
      <c r="J61" s="1">
        <f>+'SR BUDACT'!AC63</f>
        <v>1681474</v>
      </c>
      <c r="K61" s="1">
        <f>+'SR BUDACT'!AI63</f>
        <v>74</v>
      </c>
      <c r="L61" s="1">
        <f>+'SR BUDACT'!AM63</f>
        <v>8485</v>
      </c>
      <c r="M61" s="1">
        <f>+'SR BUDACT'!AS63</f>
        <v>534621</v>
      </c>
      <c r="N61" s="1">
        <f>+'SR BUDACT'!AW63</f>
        <v>86030</v>
      </c>
      <c r="O61" s="1">
        <f>+'SR BUDACT'!BC63</f>
        <v>48826</v>
      </c>
      <c r="P61" s="1">
        <f>+'SR BUDACT'!JB63</f>
        <v>0</v>
      </c>
      <c r="Q61" s="1">
        <f>+'SR BUDACT'!BK63</f>
        <v>198091</v>
      </c>
      <c r="R61" s="1">
        <f>+'SR BUDACT'!BQ63</f>
        <v>347266</v>
      </c>
      <c r="S61" s="1">
        <f>+'SR BUDACT'!BU63</f>
        <v>1160176</v>
      </c>
      <c r="T61" s="1">
        <f>+'SR BUDACT'!CA63</f>
        <v>289</v>
      </c>
      <c r="U61" s="1">
        <f>+'SR BUDACT'!CE63</f>
        <v>615032</v>
      </c>
      <c r="V61" s="1">
        <f>+'SR BUDACT'!CK63</f>
        <v>142</v>
      </c>
      <c r="W61" s="1">
        <f>+'SR BUDACT'!CO63</f>
        <v>253822</v>
      </c>
      <c r="X61" s="1">
        <f>+'MAJ GOV BUDACT'!E54</f>
        <v>3397486</v>
      </c>
      <c r="Y61" s="1">
        <f>+'SR BUDACT'!CU63</f>
        <v>-4554</v>
      </c>
      <c r="Z61" s="1">
        <f>+'SR BUDACT'!CY63</f>
        <v>54037</v>
      </c>
      <c r="AA61" s="1">
        <f>+'SR BUDACT'!DE63</f>
        <v>138674</v>
      </c>
      <c r="AB61" s="1">
        <f>+'SR BUDACT'!DI63</f>
        <v>1339813</v>
      </c>
      <c r="AC61" s="1">
        <f>+'SR BUDACT'!DO63</f>
        <v>195203</v>
      </c>
      <c r="AD61" s="1">
        <f>+'SR BUDACT'!DS63</f>
        <v>19792</v>
      </c>
      <c r="AE61" s="1">
        <f>+'SR BUDACT'!DY63</f>
        <v>77193</v>
      </c>
      <c r="AF61" s="1">
        <f>+'SR BUDACT'!EC63</f>
        <v>21108</v>
      </c>
      <c r="AG61" s="1">
        <f>+'SR BUDACT'!EI63</f>
        <v>476992</v>
      </c>
      <c r="AH61" s="1">
        <f>+'SR BUDACT'!EM63</f>
        <v>347620</v>
      </c>
      <c r="AI61" s="1">
        <f>+'SR BUDACT'!ES63</f>
        <v>45849</v>
      </c>
      <c r="AJ61" s="1">
        <f>+'SR BUDACT'!EW63</f>
        <v>60394</v>
      </c>
      <c r="AK61" s="1">
        <f>+'SR BUDACT'!FC63</f>
        <v>31810</v>
      </c>
      <c r="AL61" s="1">
        <f>+'SR BUDACT'!FG63</f>
        <v>52789</v>
      </c>
      <c r="AM61" s="1">
        <f>+'SR BUDACT'!FM63</f>
        <v>58393</v>
      </c>
      <c r="AN61" s="1">
        <f>+'SR BUDACT'!FQ63</f>
        <v>193845</v>
      </c>
      <c r="AO61" s="89">
        <f>+'SR BUDACT'!FW63</f>
        <v>0</v>
      </c>
      <c r="AP61" s="1">
        <f>+'SR BUDACT'!GA63</f>
        <v>414553</v>
      </c>
      <c r="AQ61" s="1">
        <f>+'SR BUDACT'!GE63</f>
        <v>696878</v>
      </c>
      <c r="AR61" s="1">
        <f>+'SR BUDACT'!GK63</f>
        <v>0</v>
      </c>
      <c r="AS61" s="1">
        <f>+'SR BUDACT'!GP63</f>
        <v>67703</v>
      </c>
      <c r="AT61" s="1">
        <f>+'SR BUDACT'!GV63</f>
        <v>560220</v>
      </c>
      <c r="AU61" s="1">
        <f>+'SR BUDACT'!GZ63</f>
        <v>-129252</v>
      </c>
      <c r="AV61" s="1">
        <f>+'SR BUDACT'!HF63</f>
        <v>0</v>
      </c>
      <c r="AW61" s="1"/>
      <c r="AX61" s="1">
        <f>+'SR BUDACT'!HJ63</f>
        <v>-62728</v>
      </c>
      <c r="AY61" s="1">
        <f>+'SR BUDACT'!HT63</f>
        <v>0</v>
      </c>
      <c r="AZ61" s="1">
        <f>+'SR BUDACT'!HX63</f>
        <v>34313</v>
      </c>
      <c r="BA61" s="1">
        <f>+'SR BUDACT'!ID63</f>
        <v>-25945</v>
      </c>
      <c r="BB61" s="1">
        <f>+'MAJ GOV BUDACT (2)'!E62</f>
        <v>10565573</v>
      </c>
      <c r="BC61" s="1">
        <f>+'MAJ GOV BUDACT (3)'!E62</f>
        <v>6017874</v>
      </c>
      <c r="BD61" s="1">
        <f>+BD186</f>
        <v>363764</v>
      </c>
      <c r="BE61" s="1"/>
      <c r="BF61" s="1">
        <f>SUM(E61:BE61)</f>
        <v>30393268</v>
      </c>
      <c r="BG61" s="1">
        <f>+BF61-X61-P61-BC61-BB61</f>
        <v>10412335</v>
      </c>
      <c r="BH61" s="1">
        <f>+'DS BUDACT'!D54</f>
        <v>0</v>
      </c>
      <c r="BI61" s="1">
        <f>+'DS BUDACT'!H54</f>
        <v>46955</v>
      </c>
      <c r="BJ61" s="1">
        <f>+'DS BUDACT'!N54</f>
        <v>0</v>
      </c>
      <c r="BK61" s="1">
        <f>+'DS BUDACT'!R54</f>
        <v>366520</v>
      </c>
      <c r="BL61" s="1">
        <f>+'DS BUDACT'!W54</f>
        <v>59194</v>
      </c>
      <c r="BM61" s="1">
        <f>+'DS BUDACT'!AC54</f>
        <v>4817</v>
      </c>
      <c r="BN61" s="1">
        <f>+'DS BUDACT'!AI54</f>
        <v>94782</v>
      </c>
      <c r="BO61" s="1"/>
      <c r="BP61" s="1">
        <f>SUM(BH61:BN61)</f>
        <v>572268</v>
      </c>
      <c r="BQ61" s="1"/>
      <c r="BR61" s="1">
        <f>+'CP BUDACT'!D63</f>
        <v>15525227</v>
      </c>
      <c r="BS61" s="1">
        <f>+'CP BUDACT'!H63</f>
        <v>0</v>
      </c>
      <c r="BT61" s="1">
        <f>+'CP BUDACT'!M63</f>
        <v>-15316</v>
      </c>
      <c r="BU61" s="1">
        <f>+'CP BUDACT'!Q63</f>
        <v>0</v>
      </c>
      <c r="BV61" s="1">
        <f>+'CP BUDACT'!V63</f>
        <v>46164</v>
      </c>
      <c r="BW61" s="1">
        <f>+'CP BUDACT'!Z63</f>
        <v>1709238</v>
      </c>
      <c r="BX61" s="3"/>
      <c r="BY61" s="1">
        <f>SUM(BR61:BX61)</f>
        <v>17265313</v>
      </c>
      <c r="BZ61" s="1"/>
      <c r="CA61" s="1"/>
      <c r="CB61" s="1">
        <f>+'ENIS ER'!D79-'ENIS ER'!D61</f>
        <v>0</v>
      </c>
      <c r="CC61" s="1">
        <f>+'ENIS ER'!E80-'ENIS ER'!E61+CC191</f>
        <v>7939174</v>
      </c>
      <c r="CD61" s="1">
        <f>+'ENIS ER'!F80-'ENIS ER'!F61+CD191</f>
        <v>22305</v>
      </c>
      <c r="CE61" s="1">
        <f>+'ENIS ER'!G80-'ENIS ER'!G61+CE191</f>
        <v>201002</v>
      </c>
      <c r="CF61" s="216">
        <f>+'ENIS ER'!H80-'ENIS ER'!H61+CF191-15300</f>
        <v>1208118</v>
      </c>
      <c r="CG61" s="216">
        <f>+'ENIS ER'!I80-'ENIS ER'!I61+CG191+23309</f>
        <v>6837337</v>
      </c>
      <c r="CH61" s="1">
        <f>+'ENIS ER'!J80-'ENIS ER'!J61+CH191</f>
        <v>103927</v>
      </c>
      <c r="CI61" s="1"/>
      <c r="CJ61" s="1">
        <f>SUM(CB61:CI61)</f>
        <v>16311863</v>
      </c>
      <c r="CK61" s="1"/>
      <c r="CL61" s="1">
        <f>+'ENIS ER'!M79-'ENIS ER'!M61+CL191</f>
        <v>1742360</v>
      </c>
      <c r="CM61" s="1138">
        <f>+'ENIS ER'!N80-'ENIS ER'!N61+CM191+5031</f>
        <v>967631</v>
      </c>
      <c r="CN61" s="1">
        <f>+'ENIS ER'!O80-'ENIS ER'!O61+CN191</f>
        <v>540411</v>
      </c>
      <c r="CO61" s="1">
        <f>+'ENIS ER'!P80-'ENIS ER'!P61+CO191</f>
        <v>64261</v>
      </c>
      <c r="CP61" s="1">
        <f>+'ENIS ER'!Q80-'ENIS ER'!Q61+CP191</f>
        <v>1188196</v>
      </c>
      <c r="CQ61" s="1">
        <f>+'ENIS ER'!R80-'ENIS ER'!R61+CQ191</f>
        <v>1029952</v>
      </c>
      <c r="CR61" s="1">
        <f>+'ENIS ER'!S80-'ENIS ER'!S61+CR191</f>
        <v>902899</v>
      </c>
      <c r="CS61" s="1"/>
      <c r="CT61" s="1"/>
      <c r="CU61" s="1">
        <f>SUM(CL61:CT61)</f>
        <v>6435710</v>
      </c>
      <c r="CW61" s="1">
        <f>+'TA IS ER'!B60-CW64</f>
        <v>3442233</v>
      </c>
      <c r="CX61" s="1">
        <f>+'TA IS ER'!C60-CX64</f>
        <v>0</v>
      </c>
      <c r="CY61" s="1">
        <f>+'TA IS ER'!D60-CY64</f>
        <v>45744</v>
      </c>
      <c r="CZ61" s="1">
        <f>+'TA IS ER'!E60-CZ64</f>
        <v>0</v>
      </c>
      <c r="DA61" s="1">
        <f>+'TA IS ER'!F60-DA64</f>
        <v>0</v>
      </c>
      <c r="DB61" s="1">
        <f>+'TA IS ER'!G60-DB64</f>
        <v>51062</v>
      </c>
      <c r="DC61" s="1">
        <f>+'TA IS ER'!H60-DC64</f>
        <v>24147</v>
      </c>
      <c r="DD61" s="1">
        <f>+'TA IS ER'!I60-DD64</f>
        <v>0</v>
      </c>
      <c r="DE61" s="1">
        <f>+'TA IS ER'!J60-DE64</f>
        <v>6491</v>
      </c>
      <c r="DF61" s="1">
        <f>+'TA IS ER'!K60-DF64</f>
        <v>0</v>
      </c>
      <c r="DG61" s="1">
        <f>+'TA IS ER'!L60-DG64</f>
        <v>52918</v>
      </c>
      <c r="DH61" s="1">
        <f>+'TA IS ER'!M60-DH64</f>
        <v>0</v>
      </c>
      <c r="DI61" s="1">
        <f>+'TA IS ER'!N60-DI64</f>
        <v>0</v>
      </c>
      <c r="DJ61" s="1">
        <f>+'TA IS ER'!O60-DJ64</f>
        <v>296099</v>
      </c>
      <c r="DK61" s="1">
        <f>+'TA IS ER'!P60-DK64</f>
        <v>0</v>
      </c>
      <c r="DL61" s="1">
        <f>+'TA IS ER'!Q60-DL64</f>
        <v>900616</v>
      </c>
      <c r="DM61" s="1">
        <f>+'TA IS ER'!R60-DM64</f>
        <v>0</v>
      </c>
      <c r="DN61" s="1">
        <f>+'TA IS ER'!S60-DN64</f>
        <v>114684</v>
      </c>
      <c r="DO61" s="1">
        <f>+'TA IS ER'!T60-DO64</f>
        <v>0</v>
      </c>
      <c r="DP61" s="1">
        <f>+'TA IS ER'!U60-DP64</f>
        <v>10797</v>
      </c>
      <c r="DQ61" s="1">
        <f>+'TA IS ER'!V60-DQ64</f>
        <v>5846273</v>
      </c>
      <c r="DR61" s="1">
        <f>+'TA IS ER'!W60-DR64</f>
        <v>48285334</v>
      </c>
      <c r="DS61" s="1">
        <f>+'TA IS ER'!X60-DS64</f>
        <v>693136</v>
      </c>
      <c r="DT61" s="1">
        <f>+'TA IS ER'!Y60-DT64</f>
        <v>898613</v>
      </c>
      <c r="DV61" s="1"/>
      <c r="DW61" s="1">
        <f>SUM(CY61:DV61)</f>
        <v>57225914</v>
      </c>
      <c r="DX61" s="1"/>
      <c r="DY61" s="1"/>
      <c r="DZ61" s="82">
        <v>111020</v>
      </c>
      <c r="EA61" s="77" t="s">
        <v>3358</v>
      </c>
      <c r="EC61" s="82">
        <v>0</v>
      </c>
      <c r="ED61" s="253" t="s">
        <v>2977</v>
      </c>
      <c r="EE61" s="1">
        <f>SUM(CW61:ED61)</f>
        <v>118005081</v>
      </c>
      <c r="EF61" s="1"/>
      <c r="EG61" s="2">
        <f>+EG186</f>
        <v>357491</v>
      </c>
    </row>
    <row r="62" spans="1:140" ht="15.75">
      <c r="A62" s="1"/>
      <c r="B62" s="1" t="s">
        <v>905</v>
      </c>
      <c r="C62" s="1"/>
      <c r="D62" s="1"/>
      <c r="E62" s="1"/>
      <c r="F62" s="1"/>
      <c r="G62" s="1"/>
      <c r="H62" s="1"/>
      <c r="I62" s="1"/>
      <c r="J62" s="1"/>
      <c r="K62" s="1"/>
      <c r="L62" s="1"/>
      <c r="M62" s="1"/>
      <c r="N62" s="1"/>
      <c r="O62" s="1"/>
      <c r="P62" s="1"/>
      <c r="Q62" s="1"/>
      <c r="R62" s="1"/>
      <c r="S62" s="1"/>
      <c r="T62" s="1"/>
      <c r="U62" s="1"/>
      <c r="V62" s="1"/>
      <c r="W62" s="1"/>
      <c r="X62" s="89"/>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E62" s="1"/>
      <c r="BF62" s="1"/>
      <c r="BG62" s="1">
        <f t="shared" ref="BG62:BG71" si="130">+BF62-X62-P62-BC62-BB62</f>
        <v>0</v>
      </c>
      <c r="BH62" s="1"/>
      <c r="BI62" s="1"/>
      <c r="BJ62" s="1"/>
      <c r="BK62" s="1"/>
      <c r="BL62" s="1"/>
      <c r="BM62" s="1"/>
      <c r="BN62" s="1"/>
      <c r="BO62" s="1"/>
      <c r="BP62" s="1">
        <f>SUM(BH62:BN62)</f>
        <v>0</v>
      </c>
      <c r="BQ62" s="1"/>
      <c r="BR62" s="1"/>
      <c r="BS62" s="1"/>
      <c r="BT62" s="1"/>
      <c r="BU62" s="1"/>
      <c r="BV62" s="1"/>
      <c r="BW62" s="1"/>
      <c r="BX62" s="3"/>
      <c r="BY62" s="1"/>
      <c r="BZ62" s="1"/>
      <c r="CA62" s="1"/>
      <c r="CB62" s="90" t="s">
        <v>2017</v>
      </c>
      <c r="CF62" s="251" t="s">
        <v>3458</v>
      </c>
      <c r="CG62" s="35"/>
      <c r="CI62" s="1"/>
      <c r="CJ62" s="1">
        <f>SUM(CB62:CI62)</f>
        <v>0</v>
      </c>
      <c r="CK62" s="1"/>
      <c r="CS62" s="1"/>
      <c r="CT62" s="1"/>
      <c r="CU62" s="1"/>
      <c r="CW62" s="1"/>
      <c r="CX62" s="1"/>
      <c r="CY62" s="1"/>
      <c r="CZ62" s="1"/>
      <c r="DA62" s="1"/>
      <c r="DB62" s="1"/>
      <c r="DC62" s="1"/>
      <c r="DD62" s="1"/>
      <c r="DE62" s="1"/>
      <c r="DF62" s="1"/>
      <c r="DG62" s="1"/>
      <c r="DH62" s="1"/>
      <c r="DI62" s="1"/>
      <c r="DJ62" s="1"/>
      <c r="DK62" s="1"/>
      <c r="DL62" s="1"/>
      <c r="DM62" s="1"/>
      <c r="DN62" s="1"/>
      <c r="DO62" s="1"/>
      <c r="DP62" s="1"/>
      <c r="DQ62" s="1"/>
      <c r="DR62" s="1"/>
      <c r="DS62" s="1"/>
      <c r="DT62" s="1"/>
      <c r="DV62" s="1"/>
      <c r="DW62" s="1"/>
      <c r="DX62" s="1"/>
      <c r="DY62" s="1"/>
      <c r="DZ62" s="1"/>
      <c r="EC62" s="253"/>
      <c r="ED62" s="1"/>
      <c r="EE62" s="1"/>
      <c r="EF62" s="1"/>
      <c r="EG62" s="1"/>
      <c r="EJ62" s="21" t="s">
        <v>1632</v>
      </c>
    </row>
    <row r="63" spans="1:140" ht="15.75">
      <c r="A63" s="1"/>
      <c r="B63" s="1" t="s">
        <v>384</v>
      </c>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f>SUM(E63:BE63)</f>
        <v>0</v>
      </c>
      <c r="BG63" s="1">
        <f t="shared" si="130"/>
        <v>0</v>
      </c>
      <c r="BH63" s="1"/>
      <c r="BI63" s="1"/>
      <c r="BJ63" s="1"/>
      <c r="BK63" s="1"/>
      <c r="BL63" s="1"/>
      <c r="BM63" s="1"/>
      <c r="BN63" s="1"/>
      <c r="BO63" s="1"/>
      <c r="BP63" s="1">
        <f>SUM(BH63:BN63)</f>
        <v>0</v>
      </c>
      <c r="BQ63" s="1"/>
      <c r="BR63" s="1"/>
      <c r="BS63" s="1"/>
      <c r="BT63" s="1"/>
      <c r="BU63" s="1"/>
      <c r="BV63" s="1"/>
      <c r="BW63" s="1"/>
      <c r="BX63" s="3"/>
      <c r="BY63" s="1">
        <f>SUM(BR63:BX63)</f>
        <v>0</v>
      </c>
      <c r="BZ63" s="1"/>
      <c r="CA63" s="1"/>
      <c r="CB63" s="1"/>
      <c r="CC63" s="1"/>
      <c r="CD63" s="1"/>
      <c r="CE63" s="1"/>
      <c r="CF63" s="32"/>
      <c r="CG63" s="35" t="s">
        <v>614</v>
      </c>
      <c r="CH63" s="1"/>
      <c r="CI63" s="1"/>
      <c r="CJ63" s="1">
        <f>SUM(CB63:CI63)</f>
        <v>0</v>
      </c>
      <c r="CK63" s="1"/>
      <c r="CL63" s="1"/>
      <c r="CM63" s="1"/>
      <c r="CN63" s="1"/>
      <c r="CO63" s="1"/>
      <c r="CP63" s="1"/>
      <c r="CQ63" s="1"/>
      <c r="CR63" s="1"/>
      <c r="CS63" s="1"/>
      <c r="CT63" s="1"/>
      <c r="CU63" s="1">
        <f>SUM(CL63:CT63)</f>
        <v>0</v>
      </c>
      <c r="CW63" s="1"/>
      <c r="CX63" s="1"/>
      <c r="CY63" s="1"/>
      <c r="CZ63" s="1"/>
      <c r="DA63" s="1"/>
      <c r="DB63" s="1"/>
      <c r="DC63" s="1"/>
      <c r="DD63" s="1"/>
      <c r="DE63" s="1"/>
      <c r="DF63" s="1"/>
      <c r="DG63" s="1"/>
      <c r="DH63" s="1"/>
      <c r="DI63" s="1"/>
      <c r="DJ63" s="1"/>
      <c r="DK63" s="1"/>
      <c r="DL63" s="1"/>
      <c r="DM63" s="1"/>
      <c r="DN63" s="1"/>
      <c r="DO63" s="1"/>
      <c r="DP63" s="1"/>
      <c r="DQ63" s="1"/>
      <c r="DR63" s="1"/>
      <c r="DS63" s="1"/>
      <c r="DT63" s="1"/>
      <c r="DV63" s="1"/>
      <c r="DW63" s="1">
        <f>SUM(CY63:DV63)</f>
        <v>0</v>
      </c>
      <c r="DX63" s="1"/>
      <c r="DY63" s="1"/>
      <c r="DZ63" s="1"/>
      <c r="EC63" s="1"/>
      <c r="ED63" s="1"/>
      <c r="EE63" s="1">
        <f>SUM(CW63:ED63)</f>
        <v>0</v>
      </c>
      <c r="EF63" s="1"/>
      <c r="EG63" s="1"/>
      <c r="EJ63" s="21" t="s">
        <v>1633</v>
      </c>
    </row>
    <row r="64" spans="1:140" ht="15.75">
      <c r="A64" s="1"/>
      <c r="B64" s="1" t="s">
        <v>385</v>
      </c>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216">
        <v>-6724351</v>
      </c>
      <c r="BC64" s="1"/>
      <c r="BD64" s="1"/>
      <c r="BE64" s="1"/>
      <c r="BF64" s="1">
        <f>SUM(E64:BE64)</f>
        <v>-6724351</v>
      </c>
      <c r="BG64" s="1">
        <f t="shared" si="130"/>
        <v>0</v>
      </c>
      <c r="BH64" s="1"/>
      <c r="BI64" s="1"/>
      <c r="BJ64" s="1"/>
      <c r="BK64" s="1"/>
      <c r="BL64" s="1"/>
      <c r="BM64" s="1"/>
      <c r="BN64" s="1"/>
      <c r="BO64" s="1"/>
      <c r="BP64" s="1">
        <f>SUM(BH64:BN64)</f>
        <v>0</v>
      </c>
      <c r="BQ64" s="1"/>
      <c r="BR64" s="1"/>
      <c r="BS64" s="1"/>
      <c r="BT64" s="1"/>
      <c r="BU64" s="1"/>
      <c r="BV64" s="1"/>
      <c r="BW64" s="1"/>
      <c r="BX64" s="3"/>
      <c r="BY64" s="1">
        <f>SUM(BR64:BX64)</f>
        <v>0</v>
      </c>
      <c r="BZ64" s="1"/>
      <c r="CA64" s="1"/>
      <c r="CB64" s="1"/>
      <c r="CC64" s="1"/>
      <c r="CD64" s="1"/>
      <c r="CE64" s="1"/>
      <c r="CF64" s="32"/>
      <c r="CG64" s="32" t="s">
        <v>615</v>
      </c>
      <c r="CH64" s="1"/>
      <c r="CI64" s="1"/>
      <c r="CJ64" s="1">
        <f>SUM(CB64:CI64)</f>
        <v>0</v>
      </c>
      <c r="CK64" s="1"/>
      <c r="CL64" s="1"/>
      <c r="CM64" s="1"/>
      <c r="CN64" s="1"/>
      <c r="CO64" s="1"/>
      <c r="CP64" s="1"/>
      <c r="CQ64" s="1"/>
      <c r="CR64" s="1"/>
      <c r="CS64" s="1"/>
      <c r="CT64" s="1"/>
      <c r="CU64" s="1">
        <f>SUM(CL64:CT64)</f>
        <v>0</v>
      </c>
      <c r="CW64" s="216">
        <v>0</v>
      </c>
      <c r="CX64" s="216"/>
      <c r="CY64" s="216">
        <v>0</v>
      </c>
      <c r="CZ64" s="216"/>
      <c r="DA64" s="216"/>
      <c r="DB64" s="216">
        <v>0</v>
      </c>
      <c r="DC64" s="216">
        <v>0</v>
      </c>
      <c r="DD64" s="216"/>
      <c r="DE64" s="216">
        <v>0</v>
      </c>
      <c r="DF64" s="216"/>
      <c r="DG64" s="216">
        <v>0</v>
      </c>
      <c r="DH64" s="216"/>
      <c r="DI64" s="216"/>
      <c r="DJ64" s="216">
        <v>0</v>
      </c>
      <c r="DK64" s="216"/>
      <c r="DL64" s="216">
        <v>0</v>
      </c>
      <c r="DM64" s="216"/>
      <c r="DN64" s="216">
        <v>0</v>
      </c>
      <c r="DO64" s="216"/>
      <c r="DP64" s="216">
        <v>0</v>
      </c>
      <c r="DQ64" s="216">
        <v>0</v>
      </c>
      <c r="DR64" s="216">
        <v>0</v>
      </c>
      <c r="DS64" s="216">
        <v>0</v>
      </c>
      <c r="DT64" s="216">
        <v>0</v>
      </c>
      <c r="DV64" s="1"/>
      <c r="DW64" s="1">
        <f>SUM(CY64:DV64)</f>
        <v>0</v>
      </c>
      <c r="DX64" s="1"/>
      <c r="DY64" s="1"/>
      <c r="DZ64" s="1"/>
      <c r="EC64" s="1"/>
      <c r="ED64" s="1"/>
      <c r="EE64" s="1">
        <f>SUM(CW64:ED64)</f>
        <v>0</v>
      </c>
      <c r="EF64" s="1"/>
      <c r="EG64" s="1"/>
    </row>
    <row r="65" spans="1:137" ht="15.75">
      <c r="A65" s="1"/>
      <c r="B65" s="1" t="s">
        <v>926</v>
      </c>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f t="shared" si="130"/>
        <v>0</v>
      </c>
      <c r="BH65" s="1"/>
      <c r="BI65" s="1"/>
      <c r="BJ65" s="1"/>
      <c r="BK65" s="1"/>
      <c r="BL65" s="1"/>
      <c r="BM65" s="1"/>
      <c r="BN65" s="1"/>
      <c r="BO65" s="1"/>
      <c r="BP65" s="1">
        <f>SUM(BH65:BN65)</f>
        <v>0</v>
      </c>
      <c r="BQ65" s="1"/>
      <c r="BR65" s="1"/>
      <c r="BS65" s="1"/>
      <c r="BT65" s="1"/>
      <c r="BU65" s="1"/>
      <c r="BV65" s="1"/>
      <c r="BW65" s="1"/>
      <c r="BX65" s="3"/>
      <c r="BY65" s="1"/>
      <c r="BZ65" s="1"/>
      <c r="CA65" s="1"/>
      <c r="CB65" s="1"/>
      <c r="CC65" s="1"/>
      <c r="CD65" s="1"/>
      <c r="CE65" s="1"/>
      <c r="CF65" s="1"/>
      <c r="CG65" s="1"/>
      <c r="CH65" s="1"/>
      <c r="CI65" s="1"/>
      <c r="CJ65" s="1">
        <f>SUM(CB65:CI65)</f>
        <v>0</v>
      </c>
      <c r="CK65" s="1"/>
      <c r="CL65" s="1"/>
      <c r="CM65" s="1"/>
      <c r="CN65" s="1"/>
      <c r="CO65" s="1"/>
      <c r="CP65" s="1"/>
      <c r="CQ65" s="1"/>
      <c r="CR65" s="1"/>
      <c r="CS65" s="1"/>
      <c r="CT65" s="1"/>
      <c r="CU65" s="1"/>
      <c r="CW65" s="1"/>
      <c r="CX65" s="1"/>
      <c r="CY65" s="1"/>
      <c r="CZ65" s="1"/>
      <c r="DA65" s="1"/>
      <c r="DB65" s="1"/>
      <c r="DC65" s="1"/>
      <c r="DD65" s="1"/>
      <c r="DE65" s="1"/>
      <c r="DF65" s="1"/>
      <c r="DG65" s="1"/>
      <c r="DH65" s="1"/>
      <c r="DI65" s="1"/>
      <c r="DJ65" s="1"/>
      <c r="DK65" s="1"/>
      <c r="DL65" s="1"/>
      <c r="DM65" s="1"/>
      <c r="DN65" s="1"/>
      <c r="DO65" s="1"/>
      <c r="DP65" s="1"/>
      <c r="DQ65" s="1"/>
      <c r="DR65" s="1"/>
      <c r="DS65" s="1"/>
      <c r="DT65" s="1"/>
      <c r="DV65" s="1"/>
      <c r="DW65" s="1"/>
      <c r="DX65" s="1"/>
      <c r="DY65" s="1"/>
      <c r="DZ65" s="1"/>
      <c r="EC65" s="1"/>
      <c r="ED65" s="1"/>
      <c r="EE65" s="1"/>
      <c r="EF65" s="1"/>
      <c r="EG65" s="1"/>
    </row>
    <row r="66" spans="1:137" ht="15.7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f t="shared" si="130"/>
        <v>0</v>
      </c>
      <c r="BH66" s="1"/>
      <c r="BI66" s="1"/>
      <c r="BJ66" s="1"/>
      <c r="BK66" s="1"/>
      <c r="BL66" s="1"/>
      <c r="BM66" s="1"/>
      <c r="BN66" s="1"/>
      <c r="BO66" s="1"/>
      <c r="BP66" s="1"/>
      <c r="BQ66" s="1"/>
      <c r="BR66" s="1"/>
      <c r="BS66" s="1"/>
      <c r="BT66" s="1"/>
      <c r="BU66" s="1"/>
      <c r="BV66" s="1"/>
      <c r="BW66" s="1"/>
      <c r="BX66" s="3"/>
      <c r="BY66" s="1"/>
      <c r="BZ66" s="1"/>
      <c r="CA66" s="1"/>
      <c r="CB66" s="1"/>
      <c r="CC66" s="1"/>
      <c r="CD66" s="1"/>
      <c r="CE66" s="1"/>
      <c r="CF66" s="1"/>
      <c r="CG66" s="605"/>
      <c r="CH66" s="1"/>
      <c r="CI66" s="1"/>
      <c r="CJ66" s="1"/>
      <c r="CK66" s="1"/>
      <c r="CL66" s="1"/>
      <c r="CM66" s="1"/>
      <c r="CN66" s="1"/>
      <c r="CO66" s="1"/>
      <c r="CP66" s="1"/>
      <c r="CQ66" s="1"/>
      <c r="CR66" s="1"/>
      <c r="CS66" s="1"/>
      <c r="CT66" s="1"/>
      <c r="CU66" s="1"/>
      <c r="CW66" s="1"/>
      <c r="CX66" s="1"/>
      <c r="CY66" s="1"/>
      <c r="CZ66" s="1"/>
      <c r="DA66" s="1"/>
      <c r="DB66" s="1"/>
      <c r="DC66" s="1"/>
      <c r="DD66" s="1"/>
      <c r="DE66" s="1"/>
      <c r="DF66" s="1"/>
      <c r="DG66" s="1"/>
      <c r="DH66" s="1"/>
      <c r="DI66" s="1"/>
      <c r="DJ66" s="1"/>
      <c r="DK66" s="1"/>
      <c r="DL66" s="1"/>
      <c r="DM66" s="1"/>
      <c r="DN66" s="1"/>
      <c r="DO66" s="1"/>
      <c r="DP66" s="1"/>
      <c r="DQ66" s="1"/>
      <c r="DR66" s="1"/>
      <c r="DS66" s="1"/>
      <c r="DT66" s="1"/>
      <c r="DV66" s="1"/>
      <c r="DW66" s="1"/>
      <c r="DX66" s="1"/>
      <c r="DY66" s="1"/>
      <c r="DZ66" s="1"/>
      <c r="EC66" s="1"/>
      <c r="ED66" s="1"/>
      <c r="EE66" s="1"/>
      <c r="EF66" s="1"/>
      <c r="EG66" s="1"/>
    </row>
    <row r="67" spans="1:137" ht="15.75">
      <c r="A67" s="1"/>
      <c r="B67" s="1" t="s">
        <v>1217</v>
      </c>
      <c r="C67" s="1"/>
      <c r="D67" s="1">
        <f t="shared" ref="D67:M67" si="131">SUM(D61+D63+D64)</f>
        <v>7413080</v>
      </c>
      <c r="E67" s="1">
        <f t="shared" si="131"/>
        <v>285729</v>
      </c>
      <c r="F67" s="1">
        <f t="shared" si="131"/>
        <v>5631</v>
      </c>
      <c r="G67" s="1">
        <f t="shared" si="131"/>
        <v>28496</v>
      </c>
      <c r="H67" s="1">
        <f t="shared" si="131"/>
        <v>305110</v>
      </c>
      <c r="I67" s="1">
        <f t="shared" si="131"/>
        <v>-175423</v>
      </c>
      <c r="J67" s="1">
        <f t="shared" si="131"/>
        <v>1681474</v>
      </c>
      <c r="K67" s="1">
        <f t="shared" si="131"/>
        <v>74</v>
      </c>
      <c r="L67" s="1">
        <f>SUM(L61+L63+L64)</f>
        <v>8485</v>
      </c>
      <c r="M67" s="1">
        <f t="shared" si="131"/>
        <v>534621</v>
      </c>
      <c r="N67" s="1">
        <f>SUM(N61+N63+N64)</f>
        <v>86030</v>
      </c>
      <c r="O67" s="1">
        <f t="shared" ref="O67:U67" si="132">SUM(O61+O63+O64)</f>
        <v>48826</v>
      </c>
      <c r="P67" s="1">
        <f>SUM(P61+P63+P64)</f>
        <v>0</v>
      </c>
      <c r="Q67" s="1">
        <f t="shared" si="132"/>
        <v>198091</v>
      </c>
      <c r="R67" s="1">
        <f t="shared" si="132"/>
        <v>347266</v>
      </c>
      <c r="S67" s="1">
        <f t="shared" si="132"/>
        <v>1160176</v>
      </c>
      <c r="T67" s="1">
        <f t="shared" si="132"/>
        <v>289</v>
      </c>
      <c r="U67" s="1">
        <f t="shared" si="132"/>
        <v>615032</v>
      </c>
      <c r="V67" s="1">
        <f>SUM(V61+V63+V64)</f>
        <v>142</v>
      </c>
      <c r="W67" s="1">
        <f>SUM(W61+W63+W64)</f>
        <v>253822</v>
      </c>
      <c r="X67" s="1">
        <f>SUM(X61+X63+X64)</f>
        <v>3397486</v>
      </c>
      <c r="Y67" s="1">
        <f>SUM(Y61+Y63+Y64)</f>
        <v>-4554</v>
      </c>
      <c r="Z67" s="1">
        <f t="shared" ref="Z67:AS67" si="133">SUM(Z61+Z63+Z64)</f>
        <v>54037</v>
      </c>
      <c r="AA67" s="1">
        <f t="shared" si="133"/>
        <v>138674</v>
      </c>
      <c r="AB67" s="1">
        <f>SUM(AB61+AB63+AB64)</f>
        <v>1339813</v>
      </c>
      <c r="AC67" s="1">
        <f t="shared" si="133"/>
        <v>195203</v>
      </c>
      <c r="AD67" s="1">
        <f t="shared" si="133"/>
        <v>19792</v>
      </c>
      <c r="AE67" s="1">
        <f t="shared" si="133"/>
        <v>77193</v>
      </c>
      <c r="AF67" s="1">
        <f t="shared" si="133"/>
        <v>21108</v>
      </c>
      <c r="AG67" s="1">
        <f t="shared" si="133"/>
        <v>476992</v>
      </c>
      <c r="AH67" s="1">
        <f t="shared" si="133"/>
        <v>347620</v>
      </c>
      <c r="AI67" s="1">
        <f t="shared" si="133"/>
        <v>45849</v>
      </c>
      <c r="AJ67" s="1">
        <f t="shared" si="133"/>
        <v>60394</v>
      </c>
      <c r="AK67" s="1">
        <f t="shared" si="133"/>
        <v>31810</v>
      </c>
      <c r="AL67" s="1">
        <f t="shared" ref="AL67:AR67" si="134">SUM(AL61+AL63+AL64)</f>
        <v>52789</v>
      </c>
      <c r="AM67" s="1">
        <f t="shared" si="134"/>
        <v>58393</v>
      </c>
      <c r="AN67" s="1">
        <f t="shared" si="134"/>
        <v>193845</v>
      </c>
      <c r="AO67" s="1">
        <f t="shared" si="134"/>
        <v>0</v>
      </c>
      <c r="AP67" s="1">
        <f t="shared" si="134"/>
        <v>414553</v>
      </c>
      <c r="AQ67" s="1">
        <f t="shared" si="134"/>
        <v>696878</v>
      </c>
      <c r="AR67" s="1">
        <f t="shared" si="134"/>
        <v>0</v>
      </c>
      <c r="AS67" s="1">
        <f t="shared" si="133"/>
        <v>67703</v>
      </c>
      <c r="AT67" s="1">
        <f>SUM(AT61+AT63+AT64)</f>
        <v>560220</v>
      </c>
      <c r="AU67" s="1">
        <f t="shared" ref="AU67:AZ67" si="135">SUM(AU61+AU63+AU64)</f>
        <v>-129252</v>
      </c>
      <c r="AV67" s="1">
        <f t="shared" si="135"/>
        <v>0</v>
      </c>
      <c r="AW67" s="1"/>
      <c r="AX67" s="1">
        <f t="shared" si="135"/>
        <v>-62728</v>
      </c>
      <c r="AY67" s="1">
        <f t="shared" si="135"/>
        <v>0</v>
      </c>
      <c r="AZ67" s="1">
        <f t="shared" si="135"/>
        <v>34313</v>
      </c>
      <c r="BA67" s="1">
        <f>SUM(BA61+BA63+BA64)</f>
        <v>-25945</v>
      </c>
      <c r="BB67" s="1">
        <f>SUM(BB61+BB63+BB64)</f>
        <v>3841222</v>
      </c>
      <c r="BC67" s="1">
        <f>SUM(BC61+BC63+BC64)</f>
        <v>6017874</v>
      </c>
      <c r="BD67" s="1">
        <f>SUM(BD61+BD63+BD64)</f>
        <v>363764</v>
      </c>
      <c r="BE67" s="1"/>
      <c r="BF67" s="1">
        <f t="shared" ref="BF67:BK67" si="136">SUM(BF61+BF63+BF64)</f>
        <v>23668917</v>
      </c>
      <c r="BG67" s="1">
        <f t="shared" si="130"/>
        <v>10412335</v>
      </c>
      <c r="BH67" s="1">
        <f t="shared" si="136"/>
        <v>0</v>
      </c>
      <c r="BI67" s="1">
        <f>SUM(BI61+BI63+BI64)</f>
        <v>46955</v>
      </c>
      <c r="BJ67" s="1">
        <f>SUM(BJ61+BJ63+BJ64)</f>
        <v>0</v>
      </c>
      <c r="BK67" s="1">
        <f t="shared" si="136"/>
        <v>366520</v>
      </c>
      <c r="BL67" s="1">
        <f>SUM(BL61+BL63+BL64)</f>
        <v>59194</v>
      </c>
      <c r="BM67" s="1">
        <f>SUM(BM61+BM63+BM64)</f>
        <v>4817</v>
      </c>
      <c r="BN67" s="1">
        <f>SUM(BN61+BN63+BN64)</f>
        <v>94782</v>
      </c>
      <c r="BO67" s="1"/>
      <c r="BP67" s="1">
        <f t="shared" ref="BP67:BV67" si="137">SUM(BP61+BP63+BP64)</f>
        <v>572268</v>
      </c>
      <c r="BQ67" s="1"/>
      <c r="BR67" s="1">
        <f t="shared" si="137"/>
        <v>15525227</v>
      </c>
      <c r="BS67" s="1">
        <f t="shared" si="137"/>
        <v>0</v>
      </c>
      <c r="BT67" s="1">
        <f t="shared" si="137"/>
        <v>-15316</v>
      </c>
      <c r="BU67" s="1">
        <f t="shared" si="137"/>
        <v>0</v>
      </c>
      <c r="BV67" s="1">
        <f t="shared" si="137"/>
        <v>46164</v>
      </c>
      <c r="BW67" s="1">
        <f>SUM(BW61+BW63+BW64)</f>
        <v>1709238</v>
      </c>
      <c r="BX67" s="3"/>
      <c r="BY67" s="1">
        <f t="shared" ref="BY67:CH67" si="138">SUM(BY61+BY63+BY64)</f>
        <v>17265313</v>
      </c>
      <c r="BZ67" s="1"/>
      <c r="CA67" s="1"/>
      <c r="CB67" s="1">
        <f t="shared" si="138"/>
        <v>0</v>
      </c>
      <c r="CC67" s="1">
        <f>SUM(CC61+CC63+CC64)</f>
        <v>7939174</v>
      </c>
      <c r="CD67" s="1">
        <f t="shared" si="138"/>
        <v>22305</v>
      </c>
      <c r="CE67" s="1">
        <f t="shared" si="138"/>
        <v>201002</v>
      </c>
      <c r="CF67" s="1">
        <f t="shared" si="138"/>
        <v>1208118</v>
      </c>
      <c r="CG67" s="1">
        <f t="shared" si="138"/>
        <v>6837337</v>
      </c>
      <c r="CH67" s="1">
        <f t="shared" si="138"/>
        <v>103927</v>
      </c>
      <c r="CI67" s="1"/>
      <c r="CJ67" s="1">
        <f>SUM(CJ61+CJ62+CJ63+CJ64)</f>
        <v>16311863</v>
      </c>
      <c r="CK67" s="1"/>
      <c r="CL67" s="1">
        <f t="shared" ref="CL67:CR67" si="139">SUM(CL61+CL63+CL64)</f>
        <v>1742360</v>
      </c>
      <c r="CM67" s="1">
        <f t="shared" si="139"/>
        <v>967631</v>
      </c>
      <c r="CN67" s="1">
        <f t="shared" si="139"/>
        <v>540411</v>
      </c>
      <c r="CO67" s="1">
        <f t="shared" si="139"/>
        <v>64261</v>
      </c>
      <c r="CP67" s="1">
        <f t="shared" si="139"/>
        <v>1188196</v>
      </c>
      <c r="CQ67" s="1">
        <f t="shared" si="139"/>
        <v>1029952</v>
      </c>
      <c r="CR67" s="1">
        <f t="shared" si="139"/>
        <v>902899</v>
      </c>
      <c r="CS67" s="1"/>
      <c r="CT67" s="1"/>
      <c r="CU67" s="1">
        <f>SUM(CU61+CU63+CU64)</f>
        <v>6435710</v>
      </c>
      <c r="CW67" s="1">
        <f>SUM(CW61+CW63+CW64)</f>
        <v>3442233</v>
      </c>
      <c r="CX67" s="1">
        <f t="shared" ref="CX67:DC67" si="140">SUM(CX61+CX63+CX64)</f>
        <v>0</v>
      </c>
      <c r="CY67" s="1">
        <f t="shared" si="140"/>
        <v>45744</v>
      </c>
      <c r="CZ67" s="1">
        <f t="shared" si="140"/>
        <v>0</v>
      </c>
      <c r="DA67" s="1">
        <f t="shared" si="140"/>
        <v>0</v>
      </c>
      <c r="DB67" s="1">
        <f t="shared" si="140"/>
        <v>51062</v>
      </c>
      <c r="DC67" s="1">
        <f t="shared" si="140"/>
        <v>24147</v>
      </c>
      <c r="DD67" s="1">
        <f t="shared" ref="DD67:DT67" si="141">SUM(DD61+DD63+DD64)</f>
        <v>0</v>
      </c>
      <c r="DE67" s="1">
        <f t="shared" si="141"/>
        <v>6491</v>
      </c>
      <c r="DF67" s="1">
        <f t="shared" si="141"/>
        <v>0</v>
      </c>
      <c r="DG67" s="1">
        <f t="shared" si="141"/>
        <v>52918</v>
      </c>
      <c r="DH67" s="1">
        <f t="shared" si="141"/>
        <v>0</v>
      </c>
      <c r="DI67" s="1">
        <f t="shared" si="141"/>
        <v>0</v>
      </c>
      <c r="DJ67" s="1">
        <f t="shared" si="141"/>
        <v>296099</v>
      </c>
      <c r="DK67" s="1">
        <f t="shared" si="141"/>
        <v>0</v>
      </c>
      <c r="DL67" s="1">
        <f t="shared" si="141"/>
        <v>900616</v>
      </c>
      <c r="DM67" s="1">
        <f t="shared" si="141"/>
        <v>0</v>
      </c>
      <c r="DN67" s="1">
        <f t="shared" si="141"/>
        <v>114684</v>
      </c>
      <c r="DO67" s="1">
        <f t="shared" si="141"/>
        <v>0</v>
      </c>
      <c r="DP67" s="1">
        <f t="shared" si="141"/>
        <v>10797</v>
      </c>
      <c r="DQ67" s="1">
        <f t="shared" si="141"/>
        <v>5846273</v>
      </c>
      <c r="DR67" s="1">
        <f t="shared" si="141"/>
        <v>48285334</v>
      </c>
      <c r="DS67" s="1">
        <f t="shared" si="141"/>
        <v>693136</v>
      </c>
      <c r="DT67" s="1">
        <f t="shared" si="141"/>
        <v>898613</v>
      </c>
      <c r="DV67" s="1"/>
      <c r="DW67" s="1">
        <f t="shared" ref="DW67:EC67" si="142">SUM(DW61+DW63+DW64)</f>
        <v>57225914</v>
      </c>
      <c r="DX67" s="1">
        <f t="shared" si="142"/>
        <v>0</v>
      </c>
      <c r="DY67" s="1"/>
      <c r="DZ67" s="1">
        <f t="shared" si="142"/>
        <v>111020</v>
      </c>
      <c r="EC67" s="1">
        <f t="shared" si="142"/>
        <v>0</v>
      </c>
      <c r="ED67" s="1"/>
      <c r="EE67" s="1">
        <f>SUM(EE61+EE63+EE64)</f>
        <v>118005081</v>
      </c>
      <c r="EF67" s="1"/>
      <c r="EG67" s="1">
        <f>SUM(EG61+EG63+EG64)</f>
        <v>357491</v>
      </c>
    </row>
    <row r="68" spans="1:137" ht="15.75">
      <c r="A68" s="1"/>
      <c r="B68" s="1" t="s">
        <v>906</v>
      </c>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f t="shared" si="130"/>
        <v>0</v>
      </c>
      <c r="BH68" s="1"/>
      <c r="BI68" s="1"/>
      <c r="BJ68" s="1"/>
      <c r="BK68" s="1"/>
      <c r="BL68" s="1"/>
      <c r="BM68" s="1"/>
      <c r="BN68" s="1"/>
      <c r="BO68" s="1"/>
      <c r="BP68" s="1">
        <f>SUM(BH68:BN68)</f>
        <v>0</v>
      </c>
      <c r="BQ68" s="1"/>
      <c r="BR68" s="1"/>
      <c r="BS68" s="1"/>
      <c r="BT68" s="1"/>
      <c r="BU68" s="1"/>
      <c r="BV68" s="1"/>
      <c r="BW68" s="1"/>
      <c r="BX68" s="3"/>
      <c r="BY68" s="1"/>
      <c r="BZ68" s="1"/>
      <c r="CA68" s="1"/>
      <c r="CB68" s="1"/>
      <c r="CC68" s="1"/>
      <c r="CD68" s="1"/>
      <c r="CE68" s="1"/>
      <c r="CF68" s="1"/>
      <c r="CG68" s="1"/>
      <c r="CH68" s="1"/>
      <c r="CI68" s="1"/>
      <c r="CJ68" s="1"/>
      <c r="CK68" s="1"/>
      <c r="CL68" s="1"/>
      <c r="CM68" s="1"/>
      <c r="CN68" s="1"/>
      <c r="CO68" s="1"/>
      <c r="CP68" s="1"/>
      <c r="CQ68" s="1"/>
      <c r="CR68" s="1"/>
      <c r="CS68" s="1"/>
      <c r="CT68" s="1"/>
      <c r="CU68" s="1"/>
      <c r="CW68" s="1"/>
      <c r="CX68" s="1"/>
      <c r="CY68" s="1"/>
      <c r="CZ68" s="1"/>
      <c r="DA68" s="1"/>
      <c r="DB68" s="1"/>
      <c r="DC68" s="1"/>
      <c r="DD68" s="1"/>
      <c r="DE68" s="1"/>
      <c r="DF68" s="1"/>
      <c r="DG68" s="1"/>
      <c r="DH68" s="1"/>
      <c r="DI68" s="1"/>
      <c r="DJ68" s="1"/>
      <c r="DK68" s="1"/>
      <c r="DL68" s="1"/>
      <c r="DM68" s="1"/>
      <c r="DN68" s="1"/>
      <c r="DO68" s="1"/>
      <c r="DP68" s="1"/>
      <c r="DQ68" s="1"/>
      <c r="DR68" s="1"/>
      <c r="DS68" s="1"/>
      <c r="DT68" s="1"/>
      <c r="DV68" s="1"/>
      <c r="DW68" s="1"/>
      <c r="DX68" s="1"/>
      <c r="DY68" s="1"/>
      <c r="DZ68" s="1"/>
      <c r="EC68" s="1"/>
      <c r="ED68" s="1"/>
      <c r="EE68" s="1"/>
      <c r="EF68" s="1"/>
      <c r="EG68" s="1"/>
    </row>
    <row r="69" spans="1:137" ht="15.75">
      <c r="A69" s="1"/>
      <c r="B69" s="1" t="s">
        <v>347</v>
      </c>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f>SUM(J69:BE69)-BC69-E69</f>
        <v>0</v>
      </c>
      <c r="BG69" s="1">
        <f t="shared" si="130"/>
        <v>0</v>
      </c>
      <c r="BH69" s="1"/>
      <c r="BI69" s="1"/>
      <c r="BJ69" s="1"/>
      <c r="BK69" s="1"/>
      <c r="BL69" s="1"/>
      <c r="BM69" s="1"/>
      <c r="BN69" s="1"/>
      <c r="BO69" s="1"/>
      <c r="BP69" s="1">
        <f>SUM(BH69:BN69)</f>
        <v>0</v>
      </c>
      <c r="BQ69" s="1"/>
      <c r="BR69" s="1"/>
      <c r="BS69" s="1"/>
      <c r="BT69" s="1"/>
      <c r="BU69" s="1"/>
      <c r="BV69" s="1"/>
      <c r="BW69" s="1"/>
      <c r="BX69" s="3"/>
      <c r="BY69" s="1">
        <f>SUM(BR69:BX69)</f>
        <v>0</v>
      </c>
      <c r="BZ69" s="1"/>
      <c r="CA69" s="1"/>
      <c r="CB69" s="1"/>
      <c r="CC69" s="1"/>
      <c r="CD69" s="1"/>
      <c r="CE69" s="1"/>
      <c r="CF69" s="1"/>
      <c r="CG69" s="1"/>
      <c r="CH69" s="1"/>
      <c r="CI69" s="1"/>
      <c r="CJ69" s="1">
        <f>SUM(CB69:CI69)</f>
        <v>0</v>
      </c>
      <c r="CK69" s="1"/>
      <c r="CL69" s="1"/>
      <c r="CM69" s="1"/>
      <c r="CN69" s="1"/>
      <c r="CO69" s="1"/>
      <c r="CP69" s="1"/>
      <c r="CQ69" s="1"/>
      <c r="CR69" s="1"/>
      <c r="CS69" s="1"/>
      <c r="CT69" s="1"/>
      <c r="CU69" s="1">
        <f>SUM(CL69:CT69)</f>
        <v>0</v>
      </c>
      <c r="CW69" s="1"/>
      <c r="CX69" s="1"/>
      <c r="CY69" s="1"/>
      <c r="CZ69" s="1"/>
      <c r="DA69" s="1"/>
      <c r="DB69" s="1"/>
      <c r="DC69" s="1"/>
      <c r="DD69" s="1"/>
      <c r="DE69" s="1"/>
      <c r="DF69" s="1"/>
      <c r="DG69" s="1"/>
      <c r="DH69" s="1"/>
      <c r="DI69" s="1"/>
      <c r="DJ69" s="1"/>
      <c r="DK69" s="1"/>
      <c r="DL69" s="1"/>
      <c r="DM69" s="1"/>
      <c r="DN69" s="1"/>
      <c r="DO69" s="1"/>
      <c r="DP69" s="1"/>
      <c r="DQ69" s="1"/>
      <c r="DR69" s="1"/>
      <c r="DS69" s="1"/>
      <c r="DT69" s="1"/>
      <c r="DV69" s="1"/>
      <c r="DW69" s="1">
        <f>SUM(CY69:DV69)</f>
        <v>0</v>
      </c>
      <c r="DX69" s="1"/>
      <c r="DY69" s="1"/>
      <c r="DZ69" s="1"/>
      <c r="EC69" s="1"/>
      <c r="ED69" s="1"/>
      <c r="EE69" s="1">
        <f>SUM(CW69:ED69)</f>
        <v>0</v>
      </c>
      <c r="EF69" s="1"/>
      <c r="EG69" s="1"/>
    </row>
    <row r="70" spans="1:137" ht="15.7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f t="shared" si="130"/>
        <v>0</v>
      </c>
      <c r="BH70" s="1"/>
      <c r="BI70" s="1"/>
      <c r="BJ70" s="1"/>
      <c r="BK70" s="1"/>
      <c r="BL70" s="1"/>
      <c r="BM70" s="1"/>
      <c r="BN70" s="1"/>
      <c r="BO70" s="1"/>
      <c r="BP70" s="1"/>
      <c r="BQ70" s="1"/>
      <c r="BR70" s="1"/>
      <c r="BS70" s="1"/>
      <c r="BT70" s="1"/>
      <c r="BU70" s="1"/>
      <c r="BV70" s="1"/>
      <c r="BW70" s="1"/>
      <c r="BX70" s="3"/>
      <c r="BY70" s="1"/>
      <c r="BZ70" s="1"/>
      <c r="CA70" s="1"/>
      <c r="CB70" s="1"/>
      <c r="CC70" s="1"/>
      <c r="CD70" s="1"/>
      <c r="CE70" s="1"/>
      <c r="CF70" s="1"/>
      <c r="CG70" s="1"/>
      <c r="CH70" s="1"/>
      <c r="CI70" s="1"/>
      <c r="CJ70" s="1"/>
      <c r="CK70" s="1"/>
      <c r="CL70" s="1"/>
      <c r="CM70" s="1"/>
      <c r="CN70" s="1"/>
      <c r="CO70" s="1"/>
      <c r="CP70" s="1"/>
      <c r="CQ70" s="1"/>
      <c r="CR70" s="1"/>
      <c r="CS70" s="1"/>
      <c r="CT70" s="1"/>
      <c r="CU70" s="1"/>
      <c r="CW70" s="1"/>
      <c r="CX70" s="1"/>
      <c r="CY70" s="1"/>
      <c r="CZ70" s="1"/>
      <c r="DA70" s="1"/>
      <c r="DB70" s="1"/>
      <c r="DC70" s="1"/>
      <c r="DD70" s="1"/>
      <c r="DE70" s="1"/>
      <c r="DF70" s="1"/>
      <c r="DG70" s="1"/>
      <c r="DH70" s="1"/>
      <c r="DI70" s="1"/>
      <c r="DJ70" s="1"/>
      <c r="DK70" s="1"/>
      <c r="DL70" s="1"/>
      <c r="DM70" s="1"/>
      <c r="DN70" s="1"/>
      <c r="DO70" s="1"/>
      <c r="DP70" s="1"/>
      <c r="DQ70" s="1"/>
      <c r="DR70" s="1"/>
      <c r="DS70" s="1"/>
      <c r="DT70" s="1"/>
      <c r="DV70" s="1"/>
      <c r="DW70" s="1"/>
      <c r="DX70" s="1"/>
      <c r="DY70" s="1"/>
      <c r="DZ70" s="1"/>
      <c r="EC70" s="1"/>
      <c r="ED70" s="1"/>
      <c r="EE70" s="1"/>
      <c r="EF70" s="1"/>
      <c r="EG70" s="1"/>
    </row>
    <row r="71" spans="1:137" ht="15.75">
      <c r="A71" s="1"/>
      <c r="B71" s="1" t="s">
        <v>1249</v>
      </c>
      <c r="C71" s="1"/>
      <c r="D71" s="1">
        <f t="shared" ref="D71:M71" si="143">SUM(D59+D67+D69)</f>
        <v>10244401</v>
      </c>
      <c r="E71" s="1">
        <f t="shared" si="143"/>
        <v>-172932</v>
      </c>
      <c r="F71" s="1">
        <f t="shared" si="143"/>
        <v>3692</v>
      </c>
      <c r="G71" s="1">
        <f t="shared" si="143"/>
        <v>73809</v>
      </c>
      <c r="H71" s="1">
        <f t="shared" si="143"/>
        <v>357347</v>
      </c>
      <c r="I71" s="1">
        <f t="shared" si="143"/>
        <v>71683</v>
      </c>
      <c r="J71" s="1">
        <f t="shared" si="143"/>
        <v>1721516</v>
      </c>
      <c r="K71" s="1">
        <f t="shared" si="143"/>
        <v>1303</v>
      </c>
      <c r="L71" s="1">
        <f>SUM(L59+L67+L69)</f>
        <v>21640</v>
      </c>
      <c r="M71" s="1">
        <f t="shared" si="143"/>
        <v>672067</v>
      </c>
      <c r="N71" s="1">
        <f>SUM(N59+N67+N69)</f>
        <v>84305</v>
      </c>
      <c r="O71" s="1">
        <f t="shared" ref="O71:U71" si="144">SUM(O59+O67+O69)</f>
        <v>60405</v>
      </c>
      <c r="P71" s="1">
        <f>SUM(P59+P67+P69)</f>
        <v>0</v>
      </c>
      <c r="Q71" s="1">
        <f t="shared" si="144"/>
        <v>185629</v>
      </c>
      <c r="R71" s="1">
        <f t="shared" si="144"/>
        <v>380215</v>
      </c>
      <c r="S71" s="1">
        <f t="shared" si="144"/>
        <v>1058146</v>
      </c>
      <c r="T71" s="1">
        <f t="shared" si="144"/>
        <v>308</v>
      </c>
      <c r="U71" s="1">
        <f t="shared" si="144"/>
        <v>611023</v>
      </c>
      <c r="V71" s="1">
        <f>SUM(V59+V67+V69)</f>
        <v>2517</v>
      </c>
      <c r="W71" s="1">
        <f>SUM(W59+W67+W69)</f>
        <v>255076</v>
      </c>
      <c r="X71" s="1">
        <f>SUM(X59+X67+X69)</f>
        <v>4417198</v>
      </c>
      <c r="Y71" s="1">
        <f>SUM(Y59+Y67+Y69)</f>
        <v>35779</v>
      </c>
      <c r="Z71" s="1">
        <f t="shared" ref="Z71:AS71" si="145">SUM(Z59+Z67+Z69)</f>
        <v>107003</v>
      </c>
      <c r="AA71" s="1">
        <f t="shared" si="145"/>
        <v>100039</v>
      </c>
      <c r="AB71" s="1">
        <f>SUM(AB59+AB67+AB69)</f>
        <v>1667779</v>
      </c>
      <c r="AC71" s="1">
        <f t="shared" si="145"/>
        <v>238913</v>
      </c>
      <c r="AD71" s="1">
        <f t="shared" si="145"/>
        <v>28133</v>
      </c>
      <c r="AE71" s="1">
        <f t="shared" si="145"/>
        <v>82435</v>
      </c>
      <c r="AF71" s="1">
        <f t="shared" si="145"/>
        <v>21202</v>
      </c>
      <c r="AG71" s="1">
        <f t="shared" si="145"/>
        <v>422641</v>
      </c>
      <c r="AH71" s="1">
        <f t="shared" si="145"/>
        <v>253738</v>
      </c>
      <c r="AI71" s="1">
        <f t="shared" si="145"/>
        <v>21826</v>
      </c>
      <c r="AJ71" s="1">
        <f t="shared" si="145"/>
        <v>62464</v>
      </c>
      <c r="AK71" s="1">
        <f t="shared" si="145"/>
        <v>5768</v>
      </c>
      <c r="AL71" s="1">
        <f t="shared" ref="AL71:AR71" si="146">SUM(AL59+AL67+AL69)</f>
        <v>35534</v>
      </c>
      <c r="AM71" s="1">
        <f t="shared" si="146"/>
        <v>39899</v>
      </c>
      <c r="AN71" s="1">
        <f t="shared" si="146"/>
        <v>168446</v>
      </c>
      <c r="AO71" s="1">
        <f>SUM(AO59+AO67+AO69)</f>
        <v>0</v>
      </c>
      <c r="AP71" s="1">
        <f t="shared" si="146"/>
        <v>1675727</v>
      </c>
      <c r="AQ71" s="1">
        <f t="shared" si="146"/>
        <v>872198</v>
      </c>
      <c r="AR71" s="1">
        <f t="shared" si="146"/>
        <v>0</v>
      </c>
      <c r="AS71" s="1">
        <f t="shared" si="145"/>
        <v>96879</v>
      </c>
      <c r="AT71" s="1">
        <f>SUM(AT59+AT67+AT69)</f>
        <v>656704</v>
      </c>
      <c r="AU71" s="1">
        <f t="shared" ref="AU71:AZ71" si="147">SUM(AU59+AU67+AU69)</f>
        <v>-62477</v>
      </c>
      <c r="AV71" s="1">
        <f t="shared" si="147"/>
        <v>-22045</v>
      </c>
      <c r="AW71" s="1"/>
      <c r="AX71" s="1">
        <f t="shared" si="147"/>
        <v>-11972</v>
      </c>
      <c r="AY71" s="1">
        <f t="shared" si="147"/>
        <v>0</v>
      </c>
      <c r="AZ71" s="1">
        <f t="shared" si="147"/>
        <v>17572</v>
      </c>
      <c r="BA71" s="1">
        <f>SUM(BA59+BA67+BA69)</f>
        <v>-8728</v>
      </c>
      <c r="BB71" s="1">
        <f>SUM(BB59+BB67+BB69)</f>
        <v>-197128</v>
      </c>
      <c r="BC71" s="1">
        <f>SUM(BC59+BC67+BC69)</f>
        <v>6823774</v>
      </c>
      <c r="BD71" s="1">
        <f>SUM(BD59+BD67+BD69)</f>
        <v>371646</v>
      </c>
      <c r="BE71" s="1"/>
      <c r="BF71" s="1">
        <f t="shared" ref="BF71:BK71" si="148">SUM(BF59+BF67+BF69)</f>
        <v>23308696</v>
      </c>
      <c r="BG71" s="1">
        <f t="shared" si="130"/>
        <v>12264852</v>
      </c>
      <c r="BH71" s="1">
        <f t="shared" si="148"/>
        <v>0</v>
      </c>
      <c r="BI71" s="1">
        <f>SUM(BI59+BI67+BI69)</f>
        <v>41294</v>
      </c>
      <c r="BJ71" s="1">
        <f>SUM(BJ59+BJ67+BJ69)</f>
        <v>0</v>
      </c>
      <c r="BK71" s="1">
        <f t="shared" si="148"/>
        <v>387148</v>
      </c>
      <c r="BL71" s="1">
        <f>SUM(BL59+BL67+BL69)</f>
        <v>55606</v>
      </c>
      <c r="BM71" s="1">
        <f>SUM(BM59+BM67+BM69)</f>
        <v>19430</v>
      </c>
      <c r="BN71" s="1">
        <f>SUM(BN59+BN67+BN69)</f>
        <v>121101</v>
      </c>
      <c r="BO71" s="1"/>
      <c r="BP71" s="1">
        <f t="shared" ref="BP71:BV71" si="149">SUM(BP59+BP67+BP69)</f>
        <v>624579</v>
      </c>
      <c r="BQ71" s="1"/>
      <c r="BR71" s="1">
        <f t="shared" si="149"/>
        <v>17958090</v>
      </c>
      <c r="BS71" s="1">
        <f t="shared" si="149"/>
        <v>0</v>
      </c>
      <c r="BT71" s="1">
        <f t="shared" si="149"/>
        <v>-24383</v>
      </c>
      <c r="BU71" s="1">
        <f t="shared" si="149"/>
        <v>0</v>
      </c>
      <c r="BV71" s="1">
        <f t="shared" si="149"/>
        <v>0</v>
      </c>
      <c r="BW71" s="1">
        <f>SUM(BW59+BW67+BW69)</f>
        <v>2453628</v>
      </c>
      <c r="BX71" s="3"/>
      <c r="BY71" s="1">
        <f t="shared" ref="BY71:CH71" si="150">SUM(BY59+BY67+BY69)</f>
        <v>20387335</v>
      </c>
      <c r="BZ71" s="1"/>
      <c r="CA71" s="1"/>
      <c r="CB71" s="1">
        <f t="shared" si="150"/>
        <v>0</v>
      </c>
      <c r="CC71" s="1">
        <f>SUM(CC59+CC67+CC69)</f>
        <v>8164448</v>
      </c>
      <c r="CD71" s="1">
        <f t="shared" si="150"/>
        <v>46750</v>
      </c>
      <c r="CE71" s="1">
        <f t="shared" si="150"/>
        <v>98039</v>
      </c>
      <c r="CF71" s="1">
        <f t="shared" si="150"/>
        <v>1180465</v>
      </c>
      <c r="CG71" s="1">
        <f t="shared" si="150"/>
        <v>7510950</v>
      </c>
      <c r="CH71" s="1">
        <f t="shared" si="150"/>
        <v>118600</v>
      </c>
      <c r="CI71" s="1"/>
      <c r="CJ71" s="1">
        <f t="shared" ref="CJ71:CR71" si="151">SUM(CJ59+CJ67+CJ69)</f>
        <v>17119252</v>
      </c>
      <c r="CK71" s="1"/>
      <c r="CL71" s="1">
        <f t="shared" si="151"/>
        <v>2360894</v>
      </c>
      <c r="CM71" s="1">
        <f t="shared" si="151"/>
        <v>1022560</v>
      </c>
      <c r="CN71" s="1">
        <f t="shared" si="151"/>
        <v>369306</v>
      </c>
      <c r="CO71" s="1">
        <f t="shared" si="151"/>
        <v>94233</v>
      </c>
      <c r="CP71" s="1">
        <f t="shared" si="151"/>
        <v>1412414</v>
      </c>
      <c r="CQ71" s="1">
        <f t="shared" si="151"/>
        <v>801614</v>
      </c>
      <c r="CR71" s="1">
        <f t="shared" si="151"/>
        <v>97424</v>
      </c>
      <c r="CS71" s="1"/>
      <c r="CT71" s="1"/>
      <c r="CU71" s="1">
        <f>SUM(CU59+CU67+CU69)</f>
        <v>6158445</v>
      </c>
      <c r="CW71" s="1">
        <f>SUM(CW59+CW67+CW69)</f>
        <v>3891655</v>
      </c>
      <c r="CX71" s="1">
        <f t="shared" ref="CX71:DC71" si="152">SUM(CX59+CX67+CX69)</f>
        <v>0</v>
      </c>
      <c r="CY71" s="1">
        <f t="shared" si="152"/>
        <v>32848</v>
      </c>
      <c r="CZ71" s="1">
        <f t="shared" si="152"/>
        <v>0</v>
      </c>
      <c r="DA71" s="1">
        <f t="shared" si="152"/>
        <v>0</v>
      </c>
      <c r="DB71" s="1">
        <f t="shared" si="152"/>
        <v>44162</v>
      </c>
      <c r="DC71" s="1">
        <f t="shared" si="152"/>
        <v>8412</v>
      </c>
      <c r="DD71" s="1">
        <f t="shared" ref="DD71:DT71" si="153">SUM(DD59+DD67+DD69)</f>
        <v>0</v>
      </c>
      <c r="DE71" s="1">
        <f t="shared" si="153"/>
        <v>8608</v>
      </c>
      <c r="DF71" s="1">
        <f t="shared" si="153"/>
        <v>0</v>
      </c>
      <c r="DG71" s="1">
        <f t="shared" si="153"/>
        <v>204466</v>
      </c>
      <c r="DH71" s="1">
        <f t="shared" si="153"/>
        <v>0</v>
      </c>
      <c r="DI71" s="1">
        <f t="shared" si="153"/>
        <v>0</v>
      </c>
      <c r="DJ71" s="1">
        <f t="shared" si="153"/>
        <v>296099</v>
      </c>
      <c r="DK71" s="1">
        <f t="shared" si="153"/>
        <v>0</v>
      </c>
      <c r="DL71" s="1">
        <f t="shared" si="153"/>
        <v>1325611</v>
      </c>
      <c r="DM71" s="1">
        <f t="shared" si="153"/>
        <v>0</v>
      </c>
      <c r="DN71" s="1">
        <f t="shared" si="153"/>
        <v>90503</v>
      </c>
      <c r="DO71" s="1">
        <f t="shared" si="153"/>
        <v>0</v>
      </c>
      <c r="DP71" s="1">
        <f t="shared" si="153"/>
        <v>34351</v>
      </c>
      <c r="DQ71" s="1">
        <f t="shared" si="153"/>
        <v>6671184</v>
      </c>
      <c r="DR71" s="1">
        <f>SUM(DR59+DR67+DR69)</f>
        <v>53937427</v>
      </c>
      <c r="DS71" s="1">
        <f t="shared" si="153"/>
        <v>880292</v>
      </c>
      <c r="DT71" s="1">
        <f t="shared" si="153"/>
        <v>1071770</v>
      </c>
      <c r="DV71" s="1"/>
      <c r="DW71" s="1">
        <f t="shared" ref="DW71:DZ71" si="154">SUM(DW59+DW67+DW69)</f>
        <v>69017002</v>
      </c>
      <c r="DX71" s="1" t="e">
        <f t="shared" si="154"/>
        <v>#REF!</v>
      </c>
      <c r="DY71" s="1"/>
      <c r="DZ71" s="1">
        <f t="shared" si="154"/>
        <v>155027</v>
      </c>
      <c r="EC71" s="1">
        <f>SUM(EC59+EC67+EC69)</f>
        <v>0</v>
      </c>
      <c r="ED71" s="1"/>
      <c r="EE71" s="1">
        <f>SUM(EE59+EE67+EE69)</f>
        <v>-357711544</v>
      </c>
      <c r="EF71" s="1"/>
      <c r="EG71" s="1">
        <f>SUM(EG59+EG67+EG69)</f>
        <v>365897</v>
      </c>
    </row>
    <row r="72" spans="1:137" ht="15.75">
      <c r="A72" s="1"/>
      <c r="B72" s="1" t="s">
        <v>1250</v>
      </c>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f>SUM(BH72:BN72)</f>
        <v>0</v>
      </c>
      <c r="BQ72" s="1"/>
      <c r="BR72" s="1"/>
      <c r="BS72" s="1"/>
      <c r="BT72" s="1"/>
      <c r="BU72" s="1"/>
      <c r="BV72" s="1"/>
      <c r="BW72" s="1"/>
      <c r="BX72" s="3"/>
      <c r="BY72" s="1"/>
      <c r="BZ72" s="1"/>
      <c r="CA72" s="1"/>
      <c r="CB72" s="1"/>
      <c r="CC72" s="1"/>
      <c r="CD72" s="1"/>
      <c r="CE72" s="1"/>
      <c r="CF72" s="1"/>
      <c r="CG72" s="1"/>
      <c r="CH72" s="1"/>
      <c r="CI72" s="1"/>
      <c r="CJ72" s="1"/>
      <c r="CK72" s="1"/>
      <c r="CL72" s="1"/>
      <c r="CM72" s="1"/>
      <c r="CN72" s="1"/>
      <c r="CO72" s="1"/>
      <c r="CP72" s="1"/>
      <c r="CQ72" s="1"/>
      <c r="CR72" s="1"/>
      <c r="CS72" s="1"/>
      <c r="CT72" s="1"/>
      <c r="CU72" s="1"/>
      <c r="CW72" s="1"/>
      <c r="CX72" s="1"/>
      <c r="CY72" s="1"/>
      <c r="CZ72" s="1"/>
      <c r="DA72" s="1"/>
      <c r="DB72" s="1"/>
      <c r="DC72" s="1"/>
      <c r="DD72" s="1"/>
      <c r="DE72" s="1"/>
      <c r="DF72" s="1"/>
      <c r="DG72" s="1"/>
      <c r="DH72" s="1"/>
      <c r="DI72" s="1"/>
      <c r="DJ72" s="1"/>
      <c r="DK72" s="1"/>
      <c r="DL72" s="1"/>
      <c r="DM72" s="1"/>
      <c r="DN72" s="1"/>
      <c r="DO72" s="1"/>
      <c r="DP72" s="1"/>
      <c r="DQ72" s="1"/>
      <c r="DR72" s="1"/>
      <c r="DS72" s="1"/>
      <c r="DT72" s="1"/>
      <c r="DV72" s="1"/>
      <c r="DW72" s="1"/>
      <c r="DX72" s="1"/>
      <c r="DY72" s="1"/>
      <c r="DZ72" s="1"/>
      <c r="EC72" s="1"/>
      <c r="ED72" s="1"/>
      <c r="EE72" s="1"/>
      <c r="EF72" s="1"/>
      <c r="EG72" s="1"/>
    </row>
    <row r="73" spans="1:137" ht="15.75">
      <c r="A73" s="1"/>
      <c r="B73" s="89" t="s">
        <v>3361</v>
      </c>
      <c r="C73" s="1"/>
      <c r="D73" s="1">
        <f t="shared" ref="D73:M73" si="155">D171</f>
        <v>10244401</v>
      </c>
      <c r="E73" s="1">
        <f t="shared" si="155"/>
        <v>-172932</v>
      </c>
      <c r="F73" s="1">
        <f t="shared" si="155"/>
        <v>3692</v>
      </c>
      <c r="G73" s="1">
        <f t="shared" si="155"/>
        <v>73809</v>
      </c>
      <c r="H73" s="1">
        <f t="shared" si="155"/>
        <v>357347</v>
      </c>
      <c r="I73" s="1">
        <f t="shared" si="155"/>
        <v>71683</v>
      </c>
      <c r="J73" s="1">
        <f t="shared" si="155"/>
        <v>1721516</v>
      </c>
      <c r="K73" s="1">
        <f t="shared" si="155"/>
        <v>1303</v>
      </c>
      <c r="L73" s="1">
        <f>L171</f>
        <v>21640</v>
      </c>
      <c r="M73" s="1">
        <f t="shared" si="155"/>
        <v>672067</v>
      </c>
      <c r="N73" s="1">
        <f t="shared" ref="N73:U73" si="156">N171</f>
        <v>84305</v>
      </c>
      <c r="O73" s="1">
        <f t="shared" si="156"/>
        <v>60405</v>
      </c>
      <c r="P73" s="1">
        <f>P171</f>
        <v>0</v>
      </c>
      <c r="Q73" s="1">
        <f t="shared" si="156"/>
        <v>185629</v>
      </c>
      <c r="R73" s="1">
        <f t="shared" si="156"/>
        <v>380215</v>
      </c>
      <c r="S73" s="1">
        <f t="shared" si="156"/>
        <v>1058146</v>
      </c>
      <c r="T73" s="1">
        <f t="shared" si="156"/>
        <v>308</v>
      </c>
      <c r="U73" s="1">
        <f t="shared" si="156"/>
        <v>611023</v>
      </c>
      <c r="V73" s="1">
        <f>V171</f>
        <v>2517</v>
      </c>
      <c r="W73" s="1">
        <f>W171</f>
        <v>255076</v>
      </c>
      <c r="X73" s="1">
        <f>X171</f>
        <v>4417198</v>
      </c>
      <c r="Y73" s="1">
        <f>Y171</f>
        <v>35779</v>
      </c>
      <c r="Z73" s="1">
        <f t="shared" ref="Z73:AS73" si="157">Z171</f>
        <v>107003</v>
      </c>
      <c r="AA73" s="1">
        <f t="shared" si="157"/>
        <v>100039</v>
      </c>
      <c r="AB73" s="1">
        <f>AB171</f>
        <v>1667779</v>
      </c>
      <c r="AC73" s="1">
        <f t="shared" si="157"/>
        <v>238913</v>
      </c>
      <c r="AD73" s="1">
        <f t="shared" si="157"/>
        <v>28133</v>
      </c>
      <c r="AE73" s="1">
        <f t="shared" si="157"/>
        <v>82435</v>
      </c>
      <c r="AF73" s="1">
        <f t="shared" si="157"/>
        <v>21202</v>
      </c>
      <c r="AG73" s="1">
        <f t="shared" si="157"/>
        <v>422641</v>
      </c>
      <c r="AH73" s="1">
        <f t="shared" si="157"/>
        <v>253738</v>
      </c>
      <c r="AI73" s="1">
        <f t="shared" si="157"/>
        <v>21826</v>
      </c>
      <c r="AJ73" s="1">
        <f t="shared" si="157"/>
        <v>62464</v>
      </c>
      <c r="AK73" s="1">
        <f t="shared" si="157"/>
        <v>5768</v>
      </c>
      <c r="AL73" s="1">
        <f t="shared" ref="AL73:AR73" si="158">AL171</f>
        <v>35534</v>
      </c>
      <c r="AM73" s="1">
        <f t="shared" si="158"/>
        <v>39899</v>
      </c>
      <c r="AN73" s="1">
        <f t="shared" si="158"/>
        <v>168446</v>
      </c>
      <c r="AO73" s="1">
        <f t="shared" si="158"/>
        <v>0</v>
      </c>
      <c r="AP73" s="1">
        <f t="shared" si="158"/>
        <v>1675727</v>
      </c>
      <c r="AQ73" s="1">
        <f t="shared" si="158"/>
        <v>872198</v>
      </c>
      <c r="AR73" s="1">
        <f t="shared" si="158"/>
        <v>0</v>
      </c>
      <c r="AS73" s="1">
        <f t="shared" si="157"/>
        <v>96879</v>
      </c>
      <c r="AT73" s="1">
        <f>AT171</f>
        <v>656704</v>
      </c>
      <c r="AU73" s="1">
        <f t="shared" ref="AU73:AZ73" si="159">AU171</f>
        <v>-62477</v>
      </c>
      <c r="AV73" s="1">
        <f t="shared" si="159"/>
        <v>-22045</v>
      </c>
      <c r="AW73" s="1"/>
      <c r="AX73" s="1">
        <f t="shared" si="159"/>
        <v>-11972</v>
      </c>
      <c r="AY73" s="1">
        <f t="shared" si="159"/>
        <v>0</v>
      </c>
      <c r="AZ73" s="1">
        <f t="shared" si="159"/>
        <v>17572</v>
      </c>
      <c r="BA73" s="1">
        <f>BA171</f>
        <v>-8728</v>
      </c>
      <c r="BB73" s="1">
        <f>BB171</f>
        <v>-197128</v>
      </c>
      <c r="BC73" s="1">
        <f>BC171</f>
        <v>6823774</v>
      </c>
      <c r="BD73" s="1">
        <f>BD171</f>
        <v>371646</v>
      </c>
      <c r="BE73" s="1"/>
      <c r="BF73" s="1">
        <f t="shared" ref="BF73:BK73" si="160">BF171</f>
        <v>23308696</v>
      </c>
      <c r="BG73" s="1">
        <f>+BF73-X73-P73-BC73-BB73</f>
        <v>12264852</v>
      </c>
      <c r="BH73" s="1">
        <f t="shared" si="160"/>
        <v>0</v>
      </c>
      <c r="BI73" s="1">
        <f>BI171</f>
        <v>41294</v>
      </c>
      <c r="BJ73" s="1">
        <f>BJ171</f>
        <v>0</v>
      </c>
      <c r="BK73" s="1">
        <f t="shared" si="160"/>
        <v>387148</v>
      </c>
      <c r="BL73" s="1">
        <f>BL171</f>
        <v>55606</v>
      </c>
      <c r="BM73" s="1">
        <f>BM171</f>
        <v>19430</v>
      </c>
      <c r="BN73" s="1">
        <f>BN171</f>
        <v>121101</v>
      </c>
      <c r="BO73" s="1"/>
      <c r="BP73" s="1">
        <f t="shared" ref="BP73:BV73" si="161">BP171</f>
        <v>624579</v>
      </c>
      <c r="BQ73" s="1"/>
      <c r="BR73" s="1">
        <f t="shared" si="161"/>
        <v>17958090</v>
      </c>
      <c r="BS73" s="1">
        <f t="shared" si="161"/>
        <v>0</v>
      </c>
      <c r="BT73" s="1">
        <f t="shared" si="161"/>
        <v>-24383</v>
      </c>
      <c r="BU73" s="1">
        <f t="shared" si="161"/>
        <v>0</v>
      </c>
      <c r="BV73" s="1">
        <f t="shared" si="161"/>
        <v>0</v>
      </c>
      <c r="BW73" s="1">
        <f>BW171</f>
        <v>2453628</v>
      </c>
      <c r="BX73" s="3"/>
      <c r="BY73" s="1">
        <f>BY171</f>
        <v>20387335</v>
      </c>
      <c r="BZ73" s="1"/>
      <c r="CA73" s="1"/>
      <c r="CB73" s="1">
        <f>CB171-CB147</f>
        <v>0</v>
      </c>
      <c r="CC73" s="1">
        <f>CC171-CC147</f>
        <v>8164448</v>
      </c>
      <c r="CD73" s="1">
        <f>CD171</f>
        <v>46750</v>
      </c>
      <c r="CE73" s="1">
        <f>CE171</f>
        <v>98039</v>
      </c>
      <c r="CF73" s="1">
        <f>CF171</f>
        <v>1180465</v>
      </c>
      <c r="CG73" s="1">
        <f>CG171</f>
        <v>7510950</v>
      </c>
      <c r="CH73" s="1">
        <f>CH171</f>
        <v>118600</v>
      </c>
      <c r="CI73" s="1"/>
      <c r="CJ73" s="1">
        <f>SUM(CB73:CI73)</f>
        <v>17119252</v>
      </c>
      <c r="CK73" s="1"/>
      <c r="CL73" s="1">
        <f>CL171</f>
        <v>2360894</v>
      </c>
      <c r="CM73" s="1">
        <f>CM171</f>
        <v>1022560</v>
      </c>
      <c r="CN73" s="1">
        <f>CN171-CN147</f>
        <v>369306</v>
      </c>
      <c r="CO73" s="1">
        <f>CO171</f>
        <v>94233</v>
      </c>
      <c r="CP73" s="1">
        <f>CP171-CP147</f>
        <v>1412414</v>
      </c>
      <c r="CQ73" s="1">
        <f>CQ171</f>
        <v>801614</v>
      </c>
      <c r="CR73" s="1">
        <f>CR171</f>
        <v>97424</v>
      </c>
      <c r="CS73" s="1"/>
      <c r="CT73" s="1"/>
      <c r="CU73" s="1">
        <f>CU171-CU147</f>
        <v>6158445</v>
      </c>
      <c r="CW73" s="1">
        <f>CW171</f>
        <v>3891655</v>
      </c>
      <c r="CX73" s="1">
        <f t="shared" ref="CX73:DC73" si="162">CX171</f>
        <v>0</v>
      </c>
      <c r="CY73" s="1">
        <f t="shared" si="162"/>
        <v>32848</v>
      </c>
      <c r="CZ73" s="1">
        <f t="shared" si="162"/>
        <v>0</v>
      </c>
      <c r="DA73" s="1">
        <f t="shared" si="162"/>
        <v>0</v>
      </c>
      <c r="DB73" s="1">
        <f t="shared" si="162"/>
        <v>44162</v>
      </c>
      <c r="DC73" s="1">
        <f t="shared" si="162"/>
        <v>8412</v>
      </c>
      <c r="DD73" s="1">
        <f t="shared" ref="DD73:DT73" si="163">DD171</f>
        <v>0</v>
      </c>
      <c r="DE73" s="1">
        <f t="shared" si="163"/>
        <v>8608</v>
      </c>
      <c r="DF73" s="1">
        <f t="shared" si="163"/>
        <v>0</v>
      </c>
      <c r="DG73" s="1">
        <f t="shared" si="163"/>
        <v>204466</v>
      </c>
      <c r="DH73" s="1">
        <f t="shared" si="163"/>
        <v>0</v>
      </c>
      <c r="DI73" s="1">
        <f t="shared" si="163"/>
        <v>0</v>
      </c>
      <c r="DJ73" s="1">
        <f t="shared" si="163"/>
        <v>296099</v>
      </c>
      <c r="DK73" s="1">
        <f t="shared" si="163"/>
        <v>0</v>
      </c>
      <c r="DL73" s="1">
        <f t="shared" si="163"/>
        <v>1325611</v>
      </c>
      <c r="DM73" s="1">
        <f t="shared" si="163"/>
        <v>0</v>
      </c>
      <c r="DN73" s="1">
        <f t="shared" si="163"/>
        <v>90503</v>
      </c>
      <c r="DO73" s="1">
        <f t="shared" si="163"/>
        <v>0</v>
      </c>
      <c r="DP73" s="1">
        <f t="shared" si="163"/>
        <v>34351</v>
      </c>
      <c r="DQ73" s="1">
        <f t="shared" si="163"/>
        <v>6671184</v>
      </c>
      <c r="DR73" s="1">
        <f t="shared" si="163"/>
        <v>53937427</v>
      </c>
      <c r="DS73" s="1">
        <f t="shared" si="163"/>
        <v>880292</v>
      </c>
      <c r="DT73" s="1">
        <f t="shared" si="163"/>
        <v>1071770</v>
      </c>
      <c r="DV73" s="1"/>
      <c r="DW73" s="1">
        <f>DW171</f>
        <v>64605733</v>
      </c>
      <c r="DX73" s="1"/>
      <c r="DY73" s="1"/>
      <c r="DZ73" s="1">
        <f>+DZ171</f>
        <v>155027</v>
      </c>
      <c r="EC73" s="1">
        <f>EC171</f>
        <v>0</v>
      </c>
      <c r="ED73" s="1"/>
      <c r="EE73" s="1">
        <f>EE171</f>
        <v>133258148</v>
      </c>
      <c r="EF73" s="1"/>
      <c r="EG73" s="1">
        <f>EG171</f>
        <v>365897</v>
      </c>
    </row>
    <row r="74" spans="1:137" ht="15.7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3"/>
      <c r="BY74" s="1"/>
      <c r="BZ74" s="1"/>
      <c r="CA74" s="1"/>
      <c r="CB74" s="1"/>
      <c r="CC74" s="1"/>
      <c r="CD74" s="1"/>
      <c r="CE74" s="1"/>
      <c r="CF74" s="1"/>
      <c r="CG74" s="1"/>
      <c r="CH74" s="1"/>
      <c r="CI74" s="1"/>
      <c r="CJ74" s="1"/>
      <c r="CK74" s="1"/>
      <c r="CL74" s="1"/>
      <c r="CM74" s="1"/>
      <c r="CN74" s="1"/>
      <c r="CO74" s="1"/>
      <c r="CP74" s="1"/>
      <c r="CQ74" s="1"/>
      <c r="CR74" s="1"/>
      <c r="CS74" s="1"/>
      <c r="CT74" s="1"/>
      <c r="CU74" s="1"/>
      <c r="CW74" s="1"/>
      <c r="CX74" s="1"/>
      <c r="CY74" s="1"/>
      <c r="CZ74" s="1"/>
      <c r="DA74" s="1"/>
      <c r="DB74" s="1"/>
      <c r="DC74" s="1"/>
      <c r="DD74" s="1"/>
      <c r="DE74" s="1"/>
      <c r="DF74" s="1"/>
      <c r="DG74" s="1"/>
      <c r="DH74" s="1"/>
      <c r="DI74" s="1"/>
      <c r="DJ74" s="1"/>
      <c r="DK74" s="1"/>
      <c r="DL74" s="1"/>
      <c r="DM74" s="1"/>
      <c r="DN74" s="1"/>
      <c r="DO74" s="1"/>
      <c r="DP74" s="1"/>
      <c r="DQ74" s="1"/>
      <c r="DR74" s="1"/>
      <c r="DS74" s="1"/>
      <c r="DT74" s="1"/>
      <c r="DV74" s="1"/>
      <c r="DW74" s="1"/>
      <c r="DX74" s="1"/>
      <c r="DY74" s="1"/>
      <c r="DZ74" s="1"/>
      <c r="EC74" s="1"/>
      <c r="ED74" s="1"/>
      <c r="EE74" s="1"/>
      <c r="EF74" s="1"/>
      <c r="EG74" s="1"/>
    </row>
    <row r="75" spans="1:137" ht="15.75">
      <c r="A75" s="1"/>
      <c r="B75" s="89" t="s">
        <v>3314</v>
      </c>
      <c r="C75" s="1"/>
      <c r="D75" s="1">
        <f>SUM(D71-D73)</f>
        <v>0</v>
      </c>
      <c r="E75" s="1">
        <f t="shared" ref="E75:M75" si="164">SUM(E71-E73)</f>
        <v>0</v>
      </c>
      <c r="F75" s="1">
        <f t="shared" si="164"/>
        <v>0</v>
      </c>
      <c r="G75" s="1">
        <f t="shared" si="164"/>
        <v>0</v>
      </c>
      <c r="H75" s="1">
        <f t="shared" si="164"/>
        <v>0</v>
      </c>
      <c r="I75" s="1">
        <f t="shared" si="164"/>
        <v>0</v>
      </c>
      <c r="J75" s="1">
        <f t="shared" si="164"/>
        <v>0</v>
      </c>
      <c r="K75" s="1">
        <f t="shared" si="164"/>
        <v>0</v>
      </c>
      <c r="L75" s="1">
        <f>SUM(L71-L73)</f>
        <v>0</v>
      </c>
      <c r="M75" s="1">
        <f t="shared" si="164"/>
        <v>0</v>
      </c>
      <c r="N75" s="1">
        <f>SUM(N71-N73)</f>
        <v>0</v>
      </c>
      <c r="O75" s="1">
        <f t="shared" ref="O75:U75" si="165">SUM(O71-O73)</f>
        <v>0</v>
      </c>
      <c r="P75" s="1">
        <f>SUM(P71-P73)</f>
        <v>0</v>
      </c>
      <c r="Q75" s="1">
        <f t="shared" si="165"/>
        <v>0</v>
      </c>
      <c r="R75" s="1">
        <f t="shared" si="165"/>
        <v>0</v>
      </c>
      <c r="S75" s="1">
        <f t="shared" si="165"/>
        <v>0</v>
      </c>
      <c r="T75" s="1">
        <f t="shared" si="165"/>
        <v>0</v>
      </c>
      <c r="U75" s="1">
        <f t="shared" si="165"/>
        <v>0</v>
      </c>
      <c r="V75" s="1">
        <f>SUM(V71-V73)</f>
        <v>0</v>
      </c>
      <c r="W75" s="1">
        <f>SUM(W71-W73)</f>
        <v>0</v>
      </c>
      <c r="X75" s="1">
        <f>SUM(X71-X73)</f>
        <v>0</v>
      </c>
      <c r="Y75" s="1">
        <f>SUM(Y71-Y73)</f>
        <v>0</v>
      </c>
      <c r="Z75" s="1">
        <f t="shared" ref="Z75:AS75" si="166">SUM(Z71-Z73)</f>
        <v>0</v>
      </c>
      <c r="AA75" s="1">
        <f t="shared" si="166"/>
        <v>0</v>
      </c>
      <c r="AB75" s="1">
        <f>SUM(AB71-AB73)</f>
        <v>0</v>
      </c>
      <c r="AC75" s="1">
        <f t="shared" si="166"/>
        <v>0</v>
      </c>
      <c r="AD75" s="1">
        <f t="shared" si="166"/>
        <v>0</v>
      </c>
      <c r="AE75" s="1">
        <f t="shared" si="166"/>
        <v>0</v>
      </c>
      <c r="AF75" s="1">
        <f t="shared" si="166"/>
        <v>0</v>
      </c>
      <c r="AG75" s="1">
        <f t="shared" si="166"/>
        <v>0</v>
      </c>
      <c r="AH75" s="1">
        <f t="shared" si="166"/>
        <v>0</v>
      </c>
      <c r="AI75" s="1">
        <f t="shared" si="166"/>
        <v>0</v>
      </c>
      <c r="AJ75" s="1">
        <f t="shared" si="166"/>
        <v>0</v>
      </c>
      <c r="AK75" s="1">
        <f t="shared" si="166"/>
        <v>0</v>
      </c>
      <c r="AL75" s="1">
        <f t="shared" ref="AL75:AR75" si="167">SUM(AL71-AL73)</f>
        <v>0</v>
      </c>
      <c r="AM75" s="1">
        <f t="shared" si="167"/>
        <v>0</v>
      </c>
      <c r="AN75" s="1">
        <f t="shared" si="167"/>
        <v>0</v>
      </c>
      <c r="AO75" s="1">
        <f t="shared" si="167"/>
        <v>0</v>
      </c>
      <c r="AP75" s="1">
        <f t="shared" si="167"/>
        <v>0</v>
      </c>
      <c r="AQ75" s="1">
        <f t="shared" si="167"/>
        <v>0</v>
      </c>
      <c r="AR75" s="1">
        <f t="shared" si="167"/>
        <v>0</v>
      </c>
      <c r="AS75" s="1">
        <f t="shared" si="166"/>
        <v>0</v>
      </c>
      <c r="AT75" s="1">
        <f>SUM(AT71-AT73)</f>
        <v>0</v>
      </c>
      <c r="AU75" s="1">
        <f t="shared" ref="AU75:AZ75" si="168">SUM(AU71-AU73)</f>
        <v>0</v>
      </c>
      <c r="AV75" s="1">
        <f t="shared" si="168"/>
        <v>0</v>
      </c>
      <c r="AW75" s="1"/>
      <c r="AX75" s="1">
        <f t="shared" si="168"/>
        <v>0</v>
      </c>
      <c r="AY75" s="1">
        <f t="shared" si="168"/>
        <v>0</v>
      </c>
      <c r="AZ75" s="1">
        <f t="shared" si="168"/>
        <v>0</v>
      </c>
      <c r="BA75" s="1">
        <f>SUM(BA71-BA73)</f>
        <v>0</v>
      </c>
      <c r="BB75" s="1">
        <f>SUM(BB71-BB73)</f>
        <v>0</v>
      </c>
      <c r="BC75" s="1">
        <f>SUM(BC71-BC73)</f>
        <v>0</v>
      </c>
      <c r="BD75" s="1">
        <f>SUM(BD71-BD73)</f>
        <v>0</v>
      </c>
      <c r="BE75" s="1"/>
      <c r="BF75" s="1">
        <f t="shared" ref="BF75:BK75" si="169">SUM(BF71-BF73)</f>
        <v>0</v>
      </c>
      <c r="BG75" s="1">
        <f t="shared" ref="BG75" si="170">SUM(BG71-BG73)</f>
        <v>0</v>
      </c>
      <c r="BH75" s="1">
        <f t="shared" si="169"/>
        <v>0</v>
      </c>
      <c r="BI75" s="1">
        <f>SUM(BI71-BI73)</f>
        <v>0</v>
      </c>
      <c r="BJ75" s="1">
        <f>SUM(BJ71-BJ73)</f>
        <v>0</v>
      </c>
      <c r="BK75" s="1">
        <f t="shared" si="169"/>
        <v>0</v>
      </c>
      <c r="BL75" s="1">
        <f>SUM(BL71-BL73)</f>
        <v>0</v>
      </c>
      <c r="BM75" s="1">
        <f>SUM(BM71-BM73)</f>
        <v>0</v>
      </c>
      <c r="BN75" s="1">
        <f>SUM(BN71-BN73)</f>
        <v>0</v>
      </c>
      <c r="BO75" s="1"/>
      <c r="BP75" s="1">
        <f t="shared" ref="BP75:BV75" si="171">SUM(BP71-BP73)</f>
        <v>0</v>
      </c>
      <c r="BQ75" s="1"/>
      <c r="BR75" s="1">
        <f t="shared" si="171"/>
        <v>0</v>
      </c>
      <c r="BS75" s="1">
        <f t="shared" si="171"/>
        <v>0</v>
      </c>
      <c r="BT75" s="1">
        <f t="shared" si="171"/>
        <v>0</v>
      </c>
      <c r="BU75" s="1">
        <f t="shared" si="171"/>
        <v>0</v>
      </c>
      <c r="BV75" s="1">
        <f t="shared" si="171"/>
        <v>0</v>
      </c>
      <c r="BW75" s="1">
        <f>SUM(BW71-BW73)</f>
        <v>0</v>
      </c>
      <c r="BX75" s="3"/>
      <c r="BY75" s="1">
        <f t="shared" ref="BY75:CH75" si="172">SUM(BY71-BY73)</f>
        <v>0</v>
      </c>
      <c r="BZ75" s="1"/>
      <c r="CA75" s="1"/>
      <c r="CB75" s="1">
        <f t="shared" si="172"/>
        <v>0</v>
      </c>
      <c r="CC75" s="1">
        <f>SUM(CC71-CC73)</f>
        <v>0</v>
      </c>
      <c r="CD75" s="1">
        <f t="shared" si="172"/>
        <v>0</v>
      </c>
      <c r="CE75" s="1">
        <f t="shared" si="172"/>
        <v>0</v>
      </c>
      <c r="CF75" s="1">
        <f t="shared" si="172"/>
        <v>0</v>
      </c>
      <c r="CG75" s="1">
        <f t="shared" si="172"/>
        <v>0</v>
      </c>
      <c r="CH75" s="1">
        <f t="shared" si="172"/>
        <v>0</v>
      </c>
      <c r="CI75" s="1"/>
      <c r="CJ75" s="1">
        <f t="shared" ref="CJ75:CR75" si="173">SUM(CJ71-CJ73)</f>
        <v>0</v>
      </c>
      <c r="CK75" s="1"/>
      <c r="CL75" s="1">
        <f t="shared" si="173"/>
        <v>0</v>
      </c>
      <c r="CM75" s="1">
        <f t="shared" si="173"/>
        <v>0</v>
      </c>
      <c r="CN75" s="1">
        <f t="shared" si="173"/>
        <v>0</v>
      </c>
      <c r="CO75" s="1">
        <f t="shared" si="173"/>
        <v>0</v>
      </c>
      <c r="CP75" s="1">
        <f t="shared" si="173"/>
        <v>0</v>
      </c>
      <c r="CQ75" s="1">
        <f t="shared" si="173"/>
        <v>0</v>
      </c>
      <c r="CR75" s="1">
        <f t="shared" si="173"/>
        <v>0</v>
      </c>
      <c r="CS75" s="1"/>
      <c r="CT75" s="1"/>
      <c r="CU75" s="1">
        <f>SUM(CU71-CU73)</f>
        <v>0</v>
      </c>
      <c r="CW75" s="1">
        <f>SUM(CW71-CW73)</f>
        <v>0</v>
      </c>
      <c r="CX75" s="1">
        <f>SUM(CX71-CX73)</f>
        <v>0</v>
      </c>
      <c r="CY75" s="1">
        <f>SUM(CY71-CY73)</f>
        <v>0</v>
      </c>
      <c r="CZ75" s="1">
        <f t="shared" ref="CZ75:DC75" si="174">SUM(CZ71-CZ73)</f>
        <v>0</v>
      </c>
      <c r="DA75" s="1">
        <f t="shared" si="174"/>
        <v>0</v>
      </c>
      <c r="DB75" s="1">
        <f t="shared" si="174"/>
        <v>0</v>
      </c>
      <c r="DC75" s="1">
        <f t="shared" si="174"/>
        <v>0</v>
      </c>
      <c r="DD75" s="1">
        <f t="shared" ref="DD75:DT75" si="175">SUM(DD71-DD73)</f>
        <v>0</v>
      </c>
      <c r="DE75" s="1">
        <f t="shared" si="175"/>
        <v>0</v>
      </c>
      <c r="DF75" s="1">
        <f t="shared" si="175"/>
        <v>0</v>
      </c>
      <c r="DG75" s="1">
        <f t="shared" si="175"/>
        <v>0</v>
      </c>
      <c r="DH75" s="1">
        <f t="shared" si="175"/>
        <v>0</v>
      </c>
      <c r="DI75" s="1">
        <f t="shared" si="175"/>
        <v>0</v>
      </c>
      <c r="DJ75" s="1">
        <f t="shared" si="175"/>
        <v>0</v>
      </c>
      <c r="DK75" s="1">
        <f t="shared" si="175"/>
        <v>0</v>
      </c>
      <c r="DL75" s="1">
        <f t="shared" si="175"/>
        <v>0</v>
      </c>
      <c r="DM75" s="1">
        <f t="shared" si="175"/>
        <v>0</v>
      </c>
      <c r="DN75" s="1">
        <f t="shared" si="175"/>
        <v>0</v>
      </c>
      <c r="DO75" s="1">
        <f t="shared" si="175"/>
        <v>0</v>
      </c>
      <c r="DP75" s="1">
        <f t="shared" si="175"/>
        <v>0</v>
      </c>
      <c r="DQ75" s="1">
        <f t="shared" si="175"/>
        <v>0</v>
      </c>
      <c r="DR75" s="1">
        <f t="shared" si="175"/>
        <v>0</v>
      </c>
      <c r="DS75" s="1">
        <f t="shared" si="175"/>
        <v>0</v>
      </c>
      <c r="DT75" s="1">
        <f t="shared" si="175"/>
        <v>0</v>
      </c>
      <c r="DV75" s="1"/>
      <c r="DW75" s="1">
        <f>SUM(DW71-DW73)</f>
        <v>4411269</v>
      </c>
      <c r="DX75" s="1" t="e">
        <f>SUM(DX71-DX73)</f>
        <v>#REF!</v>
      </c>
      <c r="DY75" s="1"/>
      <c r="DZ75" s="1">
        <f>SUM(DZ71-DZ73)</f>
        <v>0</v>
      </c>
      <c r="EC75" s="1">
        <f>SUM(EC71-EC73)</f>
        <v>0</v>
      </c>
      <c r="ED75" s="1"/>
      <c r="EE75" s="1">
        <f>SUM(EE71-EE73)</f>
        <v>-490969692</v>
      </c>
      <c r="EF75" s="1"/>
      <c r="EG75" s="1">
        <f>SUM(EG71-EG73)</f>
        <v>0</v>
      </c>
    </row>
    <row r="76" spans="1:137" ht="15.7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X76" s="3"/>
      <c r="BY76" s="1"/>
      <c r="BZ76" s="1"/>
      <c r="CA76" s="1"/>
      <c r="CB76" s="1"/>
      <c r="CC76" s="1"/>
      <c r="CD76" s="1"/>
      <c r="CE76" s="1"/>
      <c r="CF76" s="1"/>
      <c r="CG76" s="1"/>
      <c r="CH76" s="1"/>
      <c r="CI76" s="1"/>
      <c r="CJ76" s="1"/>
      <c r="CK76" s="1"/>
      <c r="CL76" s="1"/>
      <c r="CM76" s="1"/>
      <c r="CN76" s="1"/>
      <c r="CO76" s="1"/>
      <c r="CP76" s="1"/>
      <c r="CQ76" s="1"/>
      <c r="CR76" s="1"/>
      <c r="CS76" s="1"/>
      <c r="CT76" s="1"/>
      <c r="CU76" s="1"/>
      <c r="CW76" s="1"/>
      <c r="CX76" s="1"/>
      <c r="CY76" s="1"/>
      <c r="CZ76" s="1"/>
      <c r="DA76" s="1"/>
      <c r="DB76" s="1"/>
      <c r="DC76" s="1"/>
      <c r="DD76" s="1"/>
      <c r="DE76" s="1"/>
      <c r="DF76" s="1"/>
      <c r="DG76" s="1"/>
      <c r="DH76" s="1"/>
      <c r="DI76" s="1"/>
      <c r="DJ76" s="1"/>
      <c r="DK76" s="1"/>
      <c r="DL76" s="1"/>
      <c r="DM76" s="1"/>
      <c r="DN76" s="1"/>
      <c r="DO76" s="1"/>
      <c r="DP76" s="1"/>
      <c r="DQ76" s="1"/>
      <c r="DR76" s="1"/>
      <c r="DS76" s="1"/>
      <c r="DT76" s="1"/>
      <c r="DV76" s="1"/>
      <c r="DW76" s="1"/>
      <c r="DX76" s="1"/>
      <c r="DY76" s="1"/>
      <c r="DZ76" s="1"/>
      <c r="EC76" s="1"/>
      <c r="ED76" s="1"/>
      <c r="EE76" s="1"/>
      <c r="EF76" s="1"/>
      <c r="EG76" s="77" t="s">
        <v>3234</v>
      </c>
    </row>
    <row r="77" spans="1:137" ht="15.7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X77" s="3"/>
      <c r="BY77" s="1"/>
      <c r="BZ77" s="1"/>
      <c r="CA77" s="1"/>
      <c r="CB77" s="1"/>
      <c r="CC77" s="1"/>
      <c r="CD77" s="1"/>
      <c r="CE77" s="1"/>
      <c r="CF77" s="1"/>
      <c r="CG77" s="1"/>
      <c r="CH77" s="1"/>
      <c r="CI77" s="1"/>
      <c r="CJ77" s="1"/>
      <c r="CK77" s="1"/>
      <c r="CL77" s="1"/>
      <c r="CM77" s="1"/>
      <c r="CN77" s="1"/>
      <c r="CO77" s="1"/>
      <c r="CP77" s="1"/>
      <c r="CQ77" s="1"/>
      <c r="CR77" s="1"/>
      <c r="CS77" s="1"/>
      <c r="CT77" s="1"/>
      <c r="CU77" s="1"/>
      <c r="CW77" s="1"/>
      <c r="CX77" s="1"/>
      <c r="CY77" s="1"/>
      <c r="CZ77" s="1"/>
      <c r="DA77" s="1"/>
      <c r="DB77" s="1"/>
      <c r="DC77" s="1"/>
      <c r="DD77" s="1"/>
      <c r="DE77" s="1"/>
      <c r="DF77" s="1"/>
      <c r="DG77" s="1"/>
      <c r="DH77" s="1"/>
      <c r="DI77" s="1"/>
      <c r="DJ77" s="1"/>
      <c r="DK77" s="1"/>
      <c r="DL77" s="1"/>
      <c r="DM77" s="1"/>
      <c r="DN77" s="1"/>
      <c r="DO77" s="1"/>
      <c r="DP77" s="1"/>
      <c r="DQ77" s="1"/>
      <c r="DR77" s="1"/>
      <c r="DS77" s="1"/>
      <c r="DT77" s="1"/>
      <c r="DV77" s="1"/>
      <c r="DW77" s="1"/>
      <c r="DX77" s="1"/>
      <c r="DY77" s="1"/>
      <c r="DZ77" s="1"/>
      <c r="EC77" s="1"/>
      <c r="ED77" s="1"/>
      <c r="EE77" s="1"/>
      <c r="EF77" s="1"/>
      <c r="EG77" s="77" t="s">
        <v>3362</v>
      </c>
    </row>
    <row r="78" spans="1:137" ht="15.75">
      <c r="A78" s="1"/>
      <c r="B78" s="3" t="s">
        <v>928</v>
      </c>
      <c r="C78" s="3"/>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X78" s="3"/>
      <c r="BY78" s="1"/>
      <c r="BZ78" s="1"/>
      <c r="CA78" s="1"/>
      <c r="CB78" s="1"/>
      <c r="CC78" s="1"/>
      <c r="CD78" s="1"/>
      <c r="CE78" s="1"/>
      <c r="CF78" s="1"/>
      <c r="CG78" s="1"/>
      <c r="CH78" s="1"/>
      <c r="CI78" s="1"/>
      <c r="CJ78" s="1"/>
      <c r="CK78" s="1"/>
      <c r="CL78" s="1"/>
      <c r="CM78" s="1"/>
      <c r="CN78" s="1"/>
      <c r="CO78" s="1"/>
      <c r="CP78" s="1"/>
      <c r="CQ78" s="1"/>
      <c r="CR78" s="1"/>
      <c r="CS78" s="1"/>
      <c r="CT78" s="1"/>
      <c r="CU78" s="1"/>
      <c r="CW78" s="1"/>
      <c r="CX78" s="1"/>
      <c r="CY78" s="1"/>
      <c r="CZ78" s="1"/>
      <c r="DA78" s="1"/>
      <c r="DB78" s="1"/>
      <c r="DC78" s="1"/>
      <c r="DD78" s="1"/>
      <c r="DE78" s="1"/>
      <c r="DF78" s="1"/>
      <c r="DG78" s="1"/>
      <c r="DH78" s="1"/>
      <c r="DI78" s="1"/>
      <c r="DJ78" s="1"/>
      <c r="DK78" s="1"/>
      <c r="DL78" s="1"/>
      <c r="DM78" s="1"/>
      <c r="DN78" s="1"/>
      <c r="DO78" s="1"/>
      <c r="DP78" s="1"/>
      <c r="DQ78" s="1"/>
      <c r="DR78" s="1"/>
      <c r="DS78" s="1"/>
      <c r="DT78" s="1"/>
      <c r="DV78" s="1"/>
      <c r="DW78" s="1"/>
      <c r="DX78" s="1"/>
      <c r="DY78" s="1"/>
      <c r="DZ78" s="1"/>
      <c r="EC78" s="1"/>
      <c r="ED78" s="1"/>
      <c r="EE78" s="1"/>
      <c r="EF78" s="1"/>
      <c r="EG78" s="146">
        <v>0</v>
      </c>
    </row>
    <row r="79" spans="1:137" ht="15.75">
      <c r="A79" s="1"/>
      <c r="B79" s="2"/>
      <c r="C79" s="760"/>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20"/>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X79" s="3"/>
      <c r="BY79" s="1"/>
      <c r="BZ79" s="1"/>
      <c r="CA79" s="1"/>
      <c r="CB79" s="1"/>
      <c r="CC79" s="1"/>
      <c r="CD79" s="1"/>
      <c r="CE79" s="1"/>
      <c r="CF79" s="1"/>
      <c r="CG79" s="1"/>
      <c r="CH79" s="1"/>
      <c r="CI79" s="1"/>
      <c r="CJ79" s="1"/>
      <c r="CK79" s="1"/>
      <c r="CL79" s="1"/>
      <c r="CM79" s="1"/>
      <c r="CN79" s="1"/>
      <c r="CO79" s="1"/>
      <c r="CP79" s="1"/>
      <c r="CQ79" s="1"/>
      <c r="CR79" s="1"/>
      <c r="CS79" s="1"/>
      <c r="CT79" s="1"/>
      <c r="CU79" s="1"/>
      <c r="CW79" s="1"/>
      <c r="CX79" s="1"/>
      <c r="CY79" s="1"/>
      <c r="CZ79" s="1"/>
      <c r="DA79" s="1"/>
      <c r="DB79" s="1"/>
      <c r="DC79" s="1"/>
      <c r="DD79" s="1"/>
      <c r="DE79" s="1"/>
      <c r="DF79" s="1"/>
      <c r="DG79" s="1"/>
      <c r="DH79" s="1"/>
      <c r="DI79" s="1"/>
      <c r="DJ79" s="1"/>
      <c r="DK79" s="1"/>
      <c r="DL79" s="1"/>
      <c r="DM79" s="89"/>
      <c r="DN79" s="1"/>
      <c r="DO79" s="1"/>
      <c r="DP79" s="1"/>
      <c r="DQ79" s="1"/>
      <c r="DR79" s="1"/>
      <c r="DS79" s="1"/>
      <c r="DT79" s="1"/>
      <c r="DV79" s="1"/>
      <c r="DW79" s="1"/>
      <c r="DX79" s="1"/>
      <c r="DY79" s="1"/>
      <c r="DZ79" s="1"/>
      <c r="EC79" s="1"/>
      <c r="ED79" s="1"/>
      <c r="EE79" s="1"/>
      <c r="EF79" s="1"/>
      <c r="EG79" s="1"/>
    </row>
    <row r="80" spans="1:137" ht="15.75">
      <c r="A80" s="1"/>
      <c r="B80" s="1" t="s">
        <v>929</v>
      </c>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X80" s="3"/>
      <c r="BY80" s="1"/>
      <c r="BZ80" s="1"/>
      <c r="CA80" s="1"/>
      <c r="CB80" s="1"/>
      <c r="CC80" s="1"/>
      <c r="CD80" s="1"/>
      <c r="CE80" s="1"/>
      <c r="CF80" s="1"/>
      <c r="CG80" s="1"/>
      <c r="CH80" s="1"/>
      <c r="CI80" s="1"/>
      <c r="CJ80" s="1"/>
      <c r="CK80" s="1"/>
      <c r="CL80" s="1"/>
      <c r="CM80" s="1"/>
      <c r="CN80" s="1"/>
      <c r="CO80" s="1"/>
      <c r="CP80" s="1"/>
      <c r="CQ80" s="1"/>
      <c r="CR80" s="1"/>
      <c r="CS80" s="1"/>
      <c r="CT80" s="1"/>
      <c r="CU80" s="1"/>
      <c r="CW80" s="1"/>
      <c r="CX80" s="1"/>
      <c r="CY80" s="1"/>
      <c r="CZ80" s="1"/>
      <c r="DA80" s="1"/>
      <c r="DB80" s="1"/>
      <c r="DC80" s="1"/>
      <c r="DD80" s="1"/>
      <c r="DE80" s="1"/>
      <c r="DF80" s="1"/>
      <c r="DG80" s="1"/>
      <c r="DH80" s="1"/>
      <c r="DI80" s="1"/>
      <c r="DJ80" s="1"/>
      <c r="DK80" s="1"/>
      <c r="DL80" s="1"/>
      <c r="DM80" s="169"/>
      <c r="DN80" s="1"/>
      <c r="DO80" s="1"/>
      <c r="DP80" s="1"/>
      <c r="DQ80" s="1"/>
      <c r="DR80" s="1"/>
      <c r="DS80" s="1"/>
      <c r="DT80" s="1"/>
      <c r="DV80" s="1"/>
      <c r="DW80" s="1"/>
      <c r="DX80" s="1"/>
      <c r="DY80" s="1"/>
      <c r="DZ80" s="1"/>
      <c r="EC80" s="1"/>
      <c r="ED80" s="1"/>
      <c r="EE80" s="1"/>
      <c r="EF80" s="1"/>
      <c r="EG80" s="1"/>
    </row>
    <row r="81" spans="1:149" ht="15.75">
      <c r="A81" s="1"/>
      <c r="B81" s="7" t="s">
        <v>930</v>
      </c>
      <c r="C81" s="7"/>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f>+BF99+BF98+BF83</f>
        <v>33381467</v>
      </c>
      <c r="BG81" s="1"/>
      <c r="BH81" s="1"/>
      <c r="BI81" s="1"/>
      <c r="BJ81" s="1"/>
      <c r="BK81" s="1"/>
      <c r="BL81" s="1"/>
      <c r="BM81" s="1"/>
      <c r="BN81" s="1"/>
      <c r="BO81" s="1"/>
      <c r="BP81" s="1"/>
      <c r="BQ81" s="1"/>
      <c r="BR81" s="1"/>
      <c r="BS81" s="1"/>
      <c r="BT81" s="1"/>
      <c r="BX81" s="3"/>
      <c r="BY81" s="1"/>
      <c r="BZ81" s="1"/>
      <c r="CA81" s="1"/>
      <c r="CB81" s="1"/>
      <c r="CC81" s="1"/>
      <c r="CD81" s="1"/>
      <c r="CE81" s="1"/>
      <c r="CF81" s="1"/>
      <c r="CG81" s="1"/>
      <c r="CH81" s="1"/>
      <c r="CI81" s="1"/>
      <c r="CJ81" s="1"/>
      <c r="CK81" s="1"/>
      <c r="CL81" s="1"/>
      <c r="CM81" s="1"/>
      <c r="CN81" s="1"/>
      <c r="CO81" s="1"/>
      <c r="CP81" s="1"/>
      <c r="CQ81" s="1"/>
      <c r="CR81" s="1"/>
      <c r="CS81" s="1"/>
      <c r="CT81" s="1"/>
      <c r="CU81" s="1"/>
      <c r="CX81" s="1"/>
      <c r="CY81" s="1"/>
      <c r="CZ81" s="1"/>
      <c r="DA81" s="1"/>
      <c r="DB81" s="1"/>
      <c r="DC81" s="1"/>
      <c r="DD81" s="1"/>
      <c r="DE81" s="1"/>
      <c r="DF81" s="1"/>
      <c r="DG81" s="1"/>
      <c r="DH81" s="1"/>
      <c r="DI81" s="1"/>
      <c r="DJ81" s="1"/>
      <c r="DK81" s="1"/>
      <c r="DL81" s="1"/>
      <c r="DM81" s="180"/>
      <c r="DN81" s="1"/>
      <c r="DO81" s="1"/>
      <c r="DP81" s="1"/>
      <c r="DQ81" s="1"/>
      <c r="DR81" s="1"/>
      <c r="DS81" s="1"/>
      <c r="DT81" s="1"/>
      <c r="DV81" s="1"/>
      <c r="DW81" s="1"/>
      <c r="DX81" s="1"/>
      <c r="DY81" s="1"/>
      <c r="DZ81" s="265" t="s">
        <v>2294</v>
      </c>
      <c r="EC81" s="819" t="s">
        <v>2772</v>
      </c>
      <c r="ED81" s="134"/>
      <c r="EE81" s="134"/>
      <c r="EF81" s="134"/>
      <c r="EG81" s="134"/>
    </row>
    <row r="82" spans="1:149" ht="15.75">
      <c r="A82" s="1"/>
      <c r="B82" s="1" t="s">
        <v>155</v>
      </c>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X82" s="3"/>
      <c r="BY82" s="1"/>
      <c r="BZ82" s="1"/>
      <c r="CA82" s="1"/>
      <c r="CB82" s="1"/>
      <c r="CC82" s="1"/>
      <c r="CD82" s="1"/>
      <c r="CE82" s="1"/>
      <c r="CF82" s="1"/>
      <c r="CG82" s="1">
        <f>+CG83+CG98</f>
        <v>4202162</v>
      </c>
      <c r="CH82" s="1"/>
      <c r="CI82" s="1"/>
      <c r="CJ82" s="1">
        <f>+CJ83+CJ98</f>
        <v>6304627</v>
      </c>
      <c r="CK82" s="1"/>
      <c r="CL82" s="1"/>
      <c r="CM82" s="1"/>
      <c r="CN82" s="1"/>
      <c r="CO82" s="1"/>
      <c r="CP82" s="1"/>
      <c r="CQ82" s="1"/>
      <c r="CR82" s="1"/>
      <c r="CS82" s="1"/>
      <c r="CT82" s="1"/>
      <c r="CU82" s="1"/>
      <c r="CW82" s="253"/>
      <c r="CX82" s="916"/>
      <c r="CY82" s="180"/>
      <c r="CZ82" s="180"/>
      <c r="DA82" s="180"/>
      <c r="DB82" s="1"/>
      <c r="DC82" s="1"/>
      <c r="DD82" s="1"/>
      <c r="DE82" s="1"/>
      <c r="DF82" s="1"/>
      <c r="DG82" s="1"/>
      <c r="DH82" s="1"/>
      <c r="DI82" s="1"/>
      <c r="DJ82" s="1"/>
      <c r="DK82" s="1"/>
      <c r="DL82" s="1"/>
      <c r="DM82" s="1"/>
      <c r="DN82" s="1"/>
      <c r="DO82" s="1"/>
      <c r="DP82" s="1"/>
      <c r="DQ82" s="917"/>
      <c r="DR82" s="1"/>
      <c r="DS82" s="1"/>
      <c r="DT82" s="1"/>
      <c r="DV82" s="1"/>
      <c r="DW82" s="1">
        <f>+DW83-DT83-DS83-DQ83</f>
        <v>63012193</v>
      </c>
      <c r="DX82" s="1"/>
      <c r="DY82" s="1"/>
      <c r="DZ82" s="253"/>
      <c r="EC82" s="253" t="s">
        <v>2627</v>
      </c>
      <c r="ED82" s="252"/>
      <c r="EE82" s="1"/>
      <c r="EF82" s="1"/>
      <c r="EG82" s="1"/>
    </row>
    <row r="83" spans="1:149" ht="15.75">
      <c r="A83" s="1"/>
      <c r="B83" s="1" t="s">
        <v>931</v>
      </c>
      <c r="C83" s="1"/>
      <c r="D83" s="623">
        <f>+'GFBS ER'!B18+'Agency transfer JV'!E60+0</f>
        <v>11684906</v>
      </c>
      <c r="E83" s="1">
        <f>+'SRBS ER'!B18</f>
        <v>201359</v>
      </c>
      <c r="F83" s="1">
        <f>+'SRBS ER'!C18</f>
        <v>3692</v>
      </c>
      <c r="G83" s="1">
        <f>+'SRBS ER'!D18</f>
        <v>73809</v>
      </c>
      <c r="H83" s="1">
        <f>+'SRBS ER'!E18</f>
        <v>357347</v>
      </c>
      <c r="I83" s="1">
        <f>+'SRBS ER'!F18</f>
        <v>62548</v>
      </c>
      <c r="J83" s="1">
        <f>+'SRBS ER'!G18</f>
        <v>1721516</v>
      </c>
      <c r="K83" s="1">
        <f>+'SRBS ER'!H18</f>
        <v>1303</v>
      </c>
      <c r="L83" s="1">
        <f>+'SRBS ER'!I18</f>
        <v>21640</v>
      </c>
      <c r="M83" s="1">
        <f>+'SRBS ER'!J18</f>
        <v>672067</v>
      </c>
      <c r="N83" s="1">
        <f>+'SRBS ER'!K18</f>
        <v>84305</v>
      </c>
      <c r="O83" s="1">
        <f>+'SRBS ER'!L18</f>
        <v>60405</v>
      </c>
      <c r="P83" s="1">
        <f>+'SRBS ER'!M18</f>
        <v>0</v>
      </c>
      <c r="Q83" s="1">
        <f>+'SRBS ER'!N18</f>
        <v>185629</v>
      </c>
      <c r="R83" s="1">
        <f>+'SRBS ER'!O18</f>
        <v>380215</v>
      </c>
      <c r="S83" s="1">
        <f>+'SRBS ER'!P18</f>
        <v>1058146</v>
      </c>
      <c r="T83" s="1">
        <f>+'SRBS ER'!Q18</f>
        <v>308</v>
      </c>
      <c r="U83" s="1">
        <f>+'SRBS ER'!R18</f>
        <v>611023</v>
      </c>
      <c r="V83" s="1">
        <f>+'SRBS ER'!S18</f>
        <v>2517</v>
      </c>
      <c r="W83" s="1">
        <f>+'SRBS ER'!T18</f>
        <v>255076</v>
      </c>
      <c r="X83" s="1">
        <f>+'SRBS ER'!U18</f>
        <v>4417825</v>
      </c>
      <c r="Y83" s="1">
        <f>+'SRBS ER'!V18</f>
        <v>35779</v>
      </c>
      <c r="Z83" s="1">
        <f>+'SRBS ER'!W18+0</f>
        <v>107003</v>
      </c>
      <c r="AA83" s="1">
        <f>+'SRBS ER'!X18</f>
        <v>100039</v>
      </c>
      <c r="AB83" s="1">
        <f>+'SRBS ER'!Y18</f>
        <v>1667779</v>
      </c>
      <c r="AC83" s="1">
        <f>+'SRBS ER'!Z18</f>
        <v>238913</v>
      </c>
      <c r="AD83" s="1">
        <f>+'SRBS ER'!AA18</f>
        <v>28133</v>
      </c>
      <c r="AE83" s="1">
        <f>+'SRBS ER'!AB18+'SRBS ER'!AC18</f>
        <v>82435</v>
      </c>
      <c r="AF83" s="1">
        <f>+'SRBS ER'!AD18+AF79</f>
        <v>21202</v>
      </c>
      <c r="AG83" s="1">
        <f>+'SRBS ER'!AE18</f>
        <v>422641</v>
      </c>
      <c r="AH83" s="1">
        <f>+'SRBS ER'!AF18</f>
        <v>253738</v>
      </c>
      <c r="AI83" s="1">
        <f>+'SRBS ER'!AG18</f>
        <v>21826</v>
      </c>
      <c r="AJ83" s="1">
        <f>+'SRBS ER'!AH18</f>
        <v>62464</v>
      </c>
      <c r="AK83" s="1">
        <f>+'SRBS ER'!AI18</f>
        <v>5768</v>
      </c>
      <c r="AL83" s="1">
        <f>+'SRBS ER'!AJ18</f>
        <v>35534</v>
      </c>
      <c r="AM83" s="1">
        <f>+'SRBS ER'!AK18</f>
        <v>39899</v>
      </c>
      <c r="AN83" s="1">
        <f>+'SRBS ER'!AL18</f>
        <v>168446</v>
      </c>
      <c r="AO83" s="1">
        <f>+'SRBS ER'!AM18</f>
        <v>0</v>
      </c>
      <c r="AP83" s="1">
        <f>+'SRBS ER'!AN18</f>
        <v>1675727</v>
      </c>
      <c r="AQ83" s="1">
        <f>+'SRBS ER'!AO18</f>
        <v>872198</v>
      </c>
      <c r="AR83" s="1">
        <f>+'SRBS ER'!AQ18</f>
        <v>0</v>
      </c>
      <c r="AS83" s="1">
        <f>+'SRBS ER'!AR18</f>
        <v>96879</v>
      </c>
      <c r="AT83" s="1">
        <f>+'SRBS ER'!AS18</f>
        <v>656704</v>
      </c>
      <c r="AU83" s="1">
        <f>+'SRBS ER'!AT18</f>
        <v>0</v>
      </c>
      <c r="AV83" s="1">
        <f>+'SRBS ER'!AU18</f>
        <v>0</v>
      </c>
      <c r="AW83" s="1"/>
      <c r="AX83" s="1">
        <f>+'SRBS ER'!AW18</f>
        <v>0</v>
      </c>
      <c r="AY83" s="1">
        <f>+'SRBS ER'!AX18</f>
        <v>0</v>
      </c>
      <c r="AZ83" s="1">
        <f>+'SRBS ER'!AY18</f>
        <v>17572</v>
      </c>
      <c r="BA83" s="1">
        <f>+'SRBS ER'!AZ18</f>
        <v>0</v>
      </c>
      <c r="BB83" s="1">
        <f>+'SRBS ER'!BA18</f>
        <v>9404638</v>
      </c>
      <c r="BC83" s="1">
        <f>+'SRBS ER'!BB18</f>
        <v>6823774</v>
      </c>
      <c r="BD83" s="1"/>
      <c r="BE83" s="1"/>
      <c r="BF83" s="1">
        <f>SUM(E83:BE83)</f>
        <v>33009821</v>
      </c>
      <c r="BG83" s="1">
        <f>+BF83-X83-P83-BC83-BB83</f>
        <v>12363584</v>
      </c>
      <c r="BH83" s="1">
        <f>+'DSBS ER'!B18</f>
        <v>0</v>
      </c>
      <c r="BI83" s="1">
        <f>+'DSBS ER'!C18</f>
        <v>41294</v>
      </c>
      <c r="BJ83" s="1">
        <f>+'DSBS ER'!D18</f>
        <v>0</v>
      </c>
      <c r="BK83" s="1">
        <f>+'DSBS ER'!E18</f>
        <v>387148</v>
      </c>
      <c r="BL83" s="1">
        <f>+'DSBS ER'!F18</f>
        <v>55606</v>
      </c>
      <c r="BM83" s="1">
        <f>+'DSBS ER'!G18</f>
        <v>19430</v>
      </c>
      <c r="BN83" s="1">
        <f>+'DSBS ER'!H18</f>
        <v>121101</v>
      </c>
      <c r="BO83" s="1"/>
      <c r="BP83" s="1">
        <f t="shared" ref="BP83:BP111" si="176">SUM(BH83:BN83)</f>
        <v>624579</v>
      </c>
      <c r="BQ83" s="1"/>
      <c r="BR83" s="182">
        <f>+'CPBS ER'!B18-0</f>
        <v>16834365</v>
      </c>
      <c r="BS83" s="1">
        <f>+'CPBS ER'!C18</f>
        <v>0</v>
      </c>
      <c r="BT83" s="1">
        <f>+'CPBS ER'!D18</f>
        <v>0</v>
      </c>
      <c r="BU83" s="182">
        <f>+'CPBS ER'!E18+0</f>
        <v>0</v>
      </c>
      <c r="BV83" s="1">
        <f>+'CPBS ER'!F18</f>
        <v>0</v>
      </c>
      <c r="BW83" s="1">
        <f>+'CPBS ER'!G18</f>
        <v>2453628</v>
      </c>
      <c r="BX83" s="3"/>
      <c r="BY83" s="1">
        <f>SUM(BR83:BX83)</f>
        <v>19287993</v>
      </c>
      <c r="BZ83" s="1">
        <f>+BY83-BR83</f>
        <v>2453628</v>
      </c>
      <c r="CA83" s="1">
        <f t="shared" ref="CA83:CA88" si="177">+BZ83+BQ83+BG83</f>
        <v>14817212</v>
      </c>
      <c r="CB83" s="1">
        <f>+'ENBS ER'!D18</f>
        <v>0</v>
      </c>
      <c r="CC83" s="1">
        <f>+'ENBS ER'!E18+'ENBS ER'!C18-CC98</f>
        <v>759582</v>
      </c>
      <c r="CD83" s="1">
        <f>+'ENBS ER'!F18</f>
        <v>35385</v>
      </c>
      <c r="CE83" s="1">
        <f>+'ENBS ER'!G18</f>
        <v>24556</v>
      </c>
      <c r="CF83" s="1">
        <f>+'ENBS ER'!H18</f>
        <v>1167929</v>
      </c>
      <c r="CG83" s="1">
        <f>+'ENBS ER'!I18-CG98</f>
        <v>4202162</v>
      </c>
      <c r="CH83" s="1">
        <f>+'ENBS ER'!J18</f>
        <v>115013</v>
      </c>
      <c r="CI83" s="1"/>
      <c r="CJ83" s="1">
        <f t="shared" ref="CJ83:CJ94" si="178">SUM(CB83:CI83)</f>
        <v>6304627</v>
      </c>
      <c r="CK83" s="1"/>
      <c r="CL83" s="1">
        <f>+'ENBS ER'!M18</f>
        <v>2302854</v>
      </c>
      <c r="CM83" s="1">
        <f>+'ENBS ER'!N18-0</f>
        <v>383211</v>
      </c>
      <c r="CN83" s="1">
        <f>+'ENBS ER'!O18</f>
        <v>359841</v>
      </c>
      <c r="CO83" s="1">
        <f>+'ENBS ER'!P18</f>
        <v>94233</v>
      </c>
      <c r="CP83" s="1">
        <f>+'ENBS ER'!Q18</f>
        <v>1402938</v>
      </c>
      <c r="CQ83" s="1">
        <f>+'ENBS ER'!R18</f>
        <v>801614</v>
      </c>
      <c r="CR83" s="89">
        <f>+'ENBS ER'!S18</f>
        <v>97424</v>
      </c>
      <c r="CS83" s="1"/>
      <c r="CT83" s="1"/>
      <c r="CU83" s="1">
        <f>SUM(CL83:CT83)</f>
        <v>5442115</v>
      </c>
      <c r="CW83" s="1">
        <f>+'TA BS ER'!B21</f>
        <v>3891655</v>
      </c>
      <c r="CX83" s="1">
        <f>+'TA BS ER'!C21</f>
        <v>0</v>
      </c>
      <c r="CY83" s="1">
        <f>+'TA BS ER'!D21</f>
        <v>32848</v>
      </c>
      <c r="CZ83" s="1">
        <f>+'TA BS ER'!E21</f>
        <v>41606</v>
      </c>
      <c r="DA83" s="1">
        <f>+'TA BS ER'!F21</f>
        <v>0</v>
      </c>
      <c r="DB83" s="1">
        <f>+'TA BS ER'!G21</f>
        <v>44162</v>
      </c>
      <c r="DC83" s="1">
        <f>+'TA BS ER'!H21</f>
        <v>8412</v>
      </c>
      <c r="DD83" s="1">
        <f>+'TA BS ER'!I21</f>
        <v>0</v>
      </c>
      <c r="DE83" s="1">
        <f>+'TA BS ER'!J21</f>
        <v>8608</v>
      </c>
      <c r="DF83" s="1">
        <f>+'TA BS ER'!K21</f>
        <v>0</v>
      </c>
      <c r="DG83" s="1">
        <f>+'TA BS ER'!L21</f>
        <v>204466</v>
      </c>
      <c r="DH83" s="1">
        <f>+'TA BS ER'!M21</f>
        <v>1082</v>
      </c>
      <c r="DI83" s="1">
        <f>+'TA BS ER'!N21</f>
        <v>476989</v>
      </c>
      <c r="DJ83" s="1">
        <f>+'TA BS ER'!O21</f>
        <v>296099</v>
      </c>
      <c r="DK83" s="1">
        <f>+'TA BS ER'!P21</f>
        <v>4921</v>
      </c>
      <c r="DL83" s="1">
        <f>+'TA BS ER'!Q21</f>
        <v>1325611</v>
      </c>
      <c r="DM83" s="1">
        <f>+'TA BS ER'!R21</f>
        <v>0</v>
      </c>
      <c r="DN83" s="1">
        <f>+'TA BS ER'!S21</f>
        <v>90503</v>
      </c>
      <c r="DO83" s="1">
        <f>+'TA BS ER'!T21</f>
        <v>59182</v>
      </c>
      <c r="DP83" s="1">
        <f>+'TA BS ER'!U21</f>
        <v>34351</v>
      </c>
      <c r="DQ83" s="1">
        <f>+'TA BS ER'!V21</f>
        <v>6671184</v>
      </c>
      <c r="DR83" s="1">
        <f>+'TA BS ER'!W21</f>
        <v>56491698</v>
      </c>
      <c r="DS83" s="1">
        <f>+'TA BS ER'!X21</f>
        <v>880292</v>
      </c>
      <c r="DT83" s="1">
        <f>+'TA BS ER'!Y21</f>
        <v>1311078</v>
      </c>
      <c r="DV83" s="1"/>
      <c r="DW83" s="1">
        <f>SUM(CW83:DV83)</f>
        <v>71874747</v>
      </c>
      <c r="DX83">
        <f>+DW83-DT83-DS83-DQ83</f>
        <v>63012193</v>
      </c>
      <c r="DZ83" s="82">
        <v>155027</v>
      </c>
      <c r="EA83" s="77" t="s">
        <v>3358</v>
      </c>
      <c r="EC83" s="82"/>
      <c r="ED83" s="617" t="s">
        <v>2748</v>
      </c>
      <c r="EE83" s="1">
        <f t="shared" ref="EE83:EE94" si="179">SUM(CW83:ED83)</f>
        <v>206916714</v>
      </c>
      <c r="EF83" s="1"/>
      <c r="EG83" s="1"/>
    </row>
    <row r="84" spans="1:149" ht="15.75">
      <c r="A84" s="1"/>
      <c r="B84" s="1" t="s">
        <v>932</v>
      </c>
      <c r="C84" s="1"/>
      <c r="D84" s="1">
        <f>+'GFBS ER'!B19</f>
        <v>0</v>
      </c>
      <c r="E84" s="1">
        <f>+'SRBS ER'!B19</f>
        <v>0</v>
      </c>
      <c r="F84" s="1">
        <f>+'SRBS ER'!C19</f>
        <v>0</v>
      </c>
      <c r="G84" s="1">
        <f>+'SRBS ER'!D19</f>
        <v>0</v>
      </c>
      <c r="H84" s="1">
        <f>+'SRBS ER'!E19</f>
        <v>0</v>
      </c>
      <c r="I84" s="1">
        <f>+'SRBS ER'!F19</f>
        <v>0</v>
      </c>
      <c r="J84" s="1">
        <f>+'SRBS ER'!G19</f>
        <v>0</v>
      </c>
      <c r="K84" s="1">
        <f>+'SRBS ER'!H19</f>
        <v>0</v>
      </c>
      <c r="L84" s="1">
        <f>+'SRBS ER'!I19</f>
        <v>0</v>
      </c>
      <c r="M84" s="1">
        <f>+'SRBS ER'!J19</f>
        <v>0</v>
      </c>
      <c r="N84" s="1">
        <f>+'SRBS ER'!K19</f>
        <v>0</v>
      </c>
      <c r="O84" s="1">
        <f>+'SRBS ER'!L19</f>
        <v>0</v>
      </c>
      <c r="P84" s="1">
        <f>+'SRBS ER'!M19</f>
        <v>0</v>
      </c>
      <c r="Q84" s="1">
        <f>+'SRBS ER'!N19</f>
        <v>0</v>
      </c>
      <c r="R84" s="1">
        <f>+'SRBS ER'!O19</f>
        <v>0</v>
      </c>
      <c r="S84" s="1">
        <f>+'SRBS ER'!P19</f>
        <v>0</v>
      </c>
      <c r="T84" s="1">
        <f>+'SRBS ER'!Q19</f>
        <v>0</v>
      </c>
      <c r="U84" s="1">
        <f>+'SRBS ER'!R19</f>
        <v>0</v>
      </c>
      <c r="V84" s="1">
        <f>+'SRBS ER'!S19</f>
        <v>0</v>
      </c>
      <c r="W84" s="1">
        <f>+'SRBS ER'!T19</f>
        <v>0</v>
      </c>
      <c r="X84" s="1">
        <f>+'SRBS ER'!U19</f>
        <v>0</v>
      </c>
      <c r="Y84" s="1">
        <f>+'SRBS ER'!V19</f>
        <v>0</v>
      </c>
      <c r="Z84" s="1">
        <f>+'SRBS ER'!W19</f>
        <v>0</v>
      </c>
      <c r="AA84" s="1">
        <f>+'SRBS ER'!X19</f>
        <v>0</v>
      </c>
      <c r="AB84" s="1">
        <f>+'SRBS ER'!Y19</f>
        <v>0</v>
      </c>
      <c r="AC84" s="1">
        <f>+'SRBS ER'!Z19</f>
        <v>0</v>
      </c>
      <c r="AD84" s="1">
        <f>+'SRBS ER'!AA19</f>
        <v>0</v>
      </c>
      <c r="AE84" s="1">
        <f>+'SRBS ER'!AB19+'SRBS ER'!AC19</f>
        <v>0</v>
      </c>
      <c r="AF84" s="1">
        <f>+'SRBS ER'!AD19</f>
        <v>0</v>
      </c>
      <c r="AG84" s="1">
        <f>+'SRBS ER'!AE19</f>
        <v>0</v>
      </c>
      <c r="AH84" s="1">
        <f>+'SRBS ER'!AF19</f>
        <v>0</v>
      </c>
      <c r="AI84" s="1">
        <f>+'SRBS ER'!AG19</f>
        <v>0</v>
      </c>
      <c r="AJ84" s="1">
        <f>+'SRBS ER'!AH19</f>
        <v>0</v>
      </c>
      <c r="AK84" s="1">
        <f>+'SRBS ER'!AI19</f>
        <v>0</v>
      </c>
      <c r="AL84" s="1">
        <f>+'SRBS ER'!AJ19</f>
        <v>0</v>
      </c>
      <c r="AM84" s="1">
        <f>+'SRBS ER'!AK19</f>
        <v>0</v>
      </c>
      <c r="AN84" s="1">
        <f>+'SRBS ER'!AL19</f>
        <v>0</v>
      </c>
      <c r="AO84" s="1">
        <f>+'SRBS ER'!AM19</f>
        <v>0</v>
      </c>
      <c r="AP84" s="1">
        <f>+'SRBS ER'!AN19</f>
        <v>0</v>
      </c>
      <c r="AQ84" s="1">
        <f>+'SRBS ER'!AO19</f>
        <v>0</v>
      </c>
      <c r="AR84" s="1">
        <f>+'SRBS ER'!AQ19</f>
        <v>0</v>
      </c>
      <c r="AS84" s="1">
        <f>+'SRBS ER'!AR19</f>
        <v>0</v>
      </c>
      <c r="AT84" s="1">
        <f>+'SRBS ER'!AS19</f>
        <v>0</v>
      </c>
      <c r="AU84" s="1">
        <f>+'SRBS ER'!AT19</f>
        <v>0</v>
      </c>
      <c r="AV84" s="1">
        <f>+'SRBS ER'!AU19</f>
        <v>0</v>
      </c>
      <c r="AW84" s="1"/>
      <c r="AX84" s="1">
        <f>+'SRBS ER'!AW19</f>
        <v>0</v>
      </c>
      <c r="AY84" s="1">
        <f>+'SRBS ER'!AX19</f>
        <v>0</v>
      </c>
      <c r="AZ84" s="1">
        <f>+'SRBS ER'!AY19</f>
        <v>0</v>
      </c>
      <c r="BA84" s="1">
        <f>+'SRBS ER'!AZ19</f>
        <v>0</v>
      </c>
      <c r="BB84" s="1">
        <f>+'SRBS ER'!BA19</f>
        <v>0</v>
      </c>
      <c r="BC84" s="1">
        <f>+'SRBS ER'!BB19</f>
        <v>0</v>
      </c>
      <c r="BD84" s="1"/>
      <c r="BE84" s="1"/>
      <c r="BF84" s="1">
        <f>SUM(E84:BE84)</f>
        <v>0</v>
      </c>
      <c r="BG84" s="1">
        <f t="shared" ref="BG84:BG155" si="180">+BF84-X84-P84-BC84-BB84</f>
        <v>0</v>
      </c>
      <c r="BH84" s="1">
        <f>+'DSBS ER'!B19</f>
        <v>0</v>
      </c>
      <c r="BI84" s="1">
        <f>+'DSBS ER'!C19</f>
        <v>0</v>
      </c>
      <c r="BJ84" s="1">
        <f>+'DSBS ER'!D19</f>
        <v>0</v>
      </c>
      <c r="BK84" s="1">
        <f>+'DSBS ER'!E19</f>
        <v>0</v>
      </c>
      <c r="BL84" s="1">
        <f>+'DSBS ER'!F19</f>
        <v>0</v>
      </c>
      <c r="BM84" s="1">
        <f>+'DSBS ER'!G19</f>
        <v>0</v>
      </c>
      <c r="BN84" s="1">
        <f>+'DSBS ER'!H19</f>
        <v>0</v>
      </c>
      <c r="BO84" s="1"/>
      <c r="BP84" s="1">
        <f t="shared" si="176"/>
        <v>0</v>
      </c>
      <c r="BQ84" s="1"/>
      <c r="BR84" s="1">
        <f>+'CPBS ER'!B19</f>
        <v>0</v>
      </c>
      <c r="BS84" s="1">
        <f>+'CPBS ER'!C19</f>
        <v>0</v>
      </c>
      <c r="BT84" s="1">
        <f>+'CPBS ER'!D19</f>
        <v>0</v>
      </c>
      <c r="BU84" s="1">
        <f>+'CPBS ER'!E19</f>
        <v>0</v>
      </c>
      <c r="BV84" s="1">
        <f>+'CPBS ER'!F19</f>
        <v>0</v>
      </c>
      <c r="BW84" s="1">
        <f>+'CPBS ER'!G19</f>
        <v>0</v>
      </c>
      <c r="BX84" s="3"/>
      <c r="BY84" s="1">
        <f>SUM(BR84:BX84)</f>
        <v>0</v>
      </c>
      <c r="BZ84" s="1">
        <f t="shared" ref="BZ84:BZ88" si="181">+BY84-BR84</f>
        <v>0</v>
      </c>
      <c r="CA84" s="1">
        <f t="shared" si="177"/>
        <v>0</v>
      </c>
      <c r="CB84" s="1">
        <f>+'ENBS ER'!D19</f>
        <v>0</v>
      </c>
      <c r="CC84" s="1">
        <f>+'ENBS ER'!E19+'ENBS ER'!C19</f>
        <v>0</v>
      </c>
      <c r="CD84" s="1">
        <f>+'ENBS ER'!F19</f>
        <v>0</v>
      </c>
      <c r="CE84" s="1">
        <f>+'ENBS ER'!G19</f>
        <v>0</v>
      </c>
      <c r="CF84" s="1">
        <f>+'ENBS ER'!H19</f>
        <v>0</v>
      </c>
      <c r="CG84" s="1">
        <f>+'ENBS ER'!I19</f>
        <v>0</v>
      </c>
      <c r="CH84" s="1">
        <f>+'ENBS ER'!J19</f>
        <v>0</v>
      </c>
      <c r="CI84" s="1"/>
      <c r="CJ84" s="1">
        <f t="shared" si="178"/>
        <v>0</v>
      </c>
      <c r="CK84" s="1"/>
      <c r="CL84" s="1">
        <f>+'ENBS ER'!M19</f>
        <v>0</v>
      </c>
      <c r="CM84" s="1">
        <f>+'ENBS ER'!N19</f>
        <v>0</v>
      </c>
      <c r="CN84" s="1">
        <f>+'ENBS ER'!O19</f>
        <v>0</v>
      </c>
      <c r="CO84" s="1">
        <f>+'ENBS ER'!P19</f>
        <v>0</v>
      </c>
      <c r="CP84" s="1">
        <f>+'ENBS ER'!Q19</f>
        <v>0</v>
      </c>
      <c r="CQ84" s="1">
        <f>+'ENBS ER'!R19</f>
        <v>0</v>
      </c>
      <c r="CR84" s="1">
        <f>+'ENBS ER'!S19</f>
        <v>0</v>
      </c>
      <c r="CS84" s="1"/>
      <c r="CT84" s="1"/>
      <c r="CU84" s="1">
        <f>SUM(CL84:CT84)</f>
        <v>0</v>
      </c>
      <c r="CW84" s="1"/>
      <c r="CX84" s="1"/>
      <c r="CY84" s="1"/>
      <c r="CZ84" s="1"/>
      <c r="DA84" s="1"/>
      <c r="DB84" s="1"/>
      <c r="DC84" s="1"/>
      <c r="DD84" s="1"/>
      <c r="DE84" s="1"/>
      <c r="DF84" s="1"/>
      <c r="DG84" s="1"/>
      <c r="DH84" s="1"/>
      <c r="DI84" s="1"/>
      <c r="DJ84" s="1"/>
      <c r="DK84" s="1"/>
      <c r="DL84" s="1"/>
      <c r="DM84" s="1"/>
      <c r="DN84" s="1"/>
      <c r="DO84" s="1"/>
      <c r="DP84" s="1"/>
      <c r="DQ84" s="1"/>
      <c r="DR84" s="1"/>
      <c r="DS84" s="1"/>
      <c r="DT84" s="1"/>
      <c r="DV84" s="1"/>
      <c r="DW84" s="1">
        <f>SUM(CY84:DV84)</f>
        <v>0</v>
      </c>
      <c r="DX84" s="1"/>
      <c r="DY84" s="1"/>
      <c r="DZ84" s="1"/>
      <c r="EC84" s="89"/>
      <c r="ED84" s="1"/>
      <c r="EE84" s="1">
        <f t="shared" si="179"/>
        <v>0</v>
      </c>
      <c r="EF84" s="1"/>
      <c r="EG84" s="1"/>
    </row>
    <row r="85" spans="1:149" ht="15.75">
      <c r="A85" s="1"/>
      <c r="B85" s="1" t="s">
        <v>933</v>
      </c>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9"/>
      <c r="BE85" s="1"/>
      <c r="BF85" s="1"/>
      <c r="BG85" s="1">
        <f t="shared" si="180"/>
        <v>0</v>
      </c>
      <c r="BH85" s="1"/>
      <c r="BI85" s="1"/>
      <c r="BJ85" s="1"/>
      <c r="BK85" s="1"/>
      <c r="BL85" s="1"/>
      <c r="BM85" s="1"/>
      <c r="BN85" s="1"/>
      <c r="BO85" s="1"/>
      <c r="BP85" s="1"/>
      <c r="BQ85" s="1"/>
      <c r="BR85" s="1"/>
      <c r="BS85" s="1"/>
      <c r="BT85" s="1"/>
      <c r="BU85" s="1"/>
      <c r="BV85" s="1"/>
      <c r="BW85" s="1"/>
      <c r="BX85" s="3"/>
      <c r="BY85" s="1"/>
      <c r="BZ85" s="1">
        <f t="shared" si="181"/>
        <v>0</v>
      </c>
      <c r="CA85" s="1">
        <f t="shared" si="177"/>
        <v>0</v>
      </c>
      <c r="CB85" s="1"/>
      <c r="CC85" s="1"/>
      <c r="CD85" s="1"/>
      <c r="CE85" s="1"/>
      <c r="CF85" s="1"/>
      <c r="CG85" s="1"/>
      <c r="CH85" s="1"/>
      <c r="CI85" s="1"/>
      <c r="CJ85" s="1"/>
      <c r="CK85" s="1"/>
      <c r="CL85" s="1"/>
      <c r="CM85" s="1"/>
      <c r="CN85" s="1"/>
      <c r="CO85" s="1"/>
      <c r="CP85" s="1"/>
      <c r="CQ85" s="1"/>
      <c r="CR85" s="1"/>
      <c r="CS85" s="1"/>
      <c r="CT85" s="1"/>
      <c r="CU85" s="1"/>
      <c r="CW85" s="1"/>
      <c r="CX85" s="1"/>
      <c r="CY85" s="1"/>
      <c r="CZ85" s="1"/>
      <c r="DA85" s="1"/>
      <c r="DB85" s="1"/>
      <c r="DC85" s="1"/>
      <c r="DD85" s="1"/>
      <c r="DE85" s="1"/>
      <c r="DF85" s="1"/>
      <c r="DG85" s="1"/>
      <c r="DH85" s="1"/>
      <c r="DI85" s="1"/>
      <c r="DJ85" s="1"/>
      <c r="DK85" s="1"/>
      <c r="DL85" s="1"/>
      <c r="DM85" s="1"/>
      <c r="DN85" s="1"/>
      <c r="DO85" s="1"/>
      <c r="DP85" s="1"/>
      <c r="DQ85" s="1"/>
      <c r="DR85" s="1"/>
      <c r="DS85" s="1"/>
      <c r="DT85" s="1"/>
      <c r="DV85" s="9"/>
      <c r="DW85" s="1">
        <f>SUM(CY85:DV85)</f>
        <v>0</v>
      </c>
      <c r="DX85" s="1"/>
      <c r="DY85" s="1"/>
      <c r="DZ85" s="1"/>
      <c r="EC85" s="212"/>
      <c r="ED85" s="1"/>
      <c r="EE85" s="1">
        <f t="shared" si="179"/>
        <v>0</v>
      </c>
      <c r="EF85" s="1"/>
      <c r="EG85" s="1"/>
      <c r="EQ85" s="94" t="s">
        <v>3243</v>
      </c>
      <c r="ER85" s="21" t="s">
        <v>504</v>
      </c>
    </row>
    <row r="86" spans="1:149" ht="15.75">
      <c r="A86" s="1"/>
      <c r="B86" s="1" t="s">
        <v>934</v>
      </c>
      <c r="C86" s="1"/>
      <c r="D86" s="180">
        <f>+'GFBS ER'!B21+'Agency transfer JV'!E61</f>
        <v>222345</v>
      </c>
      <c r="E86" s="1">
        <f>+'SRBS ER'!B21</f>
        <v>0</v>
      </c>
      <c r="F86" s="1">
        <f>+'SRBS ER'!C21</f>
        <v>283</v>
      </c>
      <c r="G86" s="1">
        <f>+'SRBS ER'!D21</f>
        <v>7902</v>
      </c>
      <c r="H86" s="1">
        <f>+'SRBS ER'!E21</f>
        <v>30868</v>
      </c>
      <c r="I86" s="1">
        <f>+'SRBS ER'!F21</f>
        <v>2940</v>
      </c>
      <c r="J86" s="1">
        <f>+'SRBS ER'!G21</f>
        <v>70281</v>
      </c>
      <c r="K86" s="1">
        <f>+'SRBS ER'!H21</f>
        <v>68</v>
      </c>
      <c r="L86" s="1">
        <f>+'SRBS ER'!I21</f>
        <v>3958</v>
      </c>
      <c r="M86" s="1">
        <f>+'SRBS ER'!J21</f>
        <v>14444</v>
      </c>
      <c r="N86" s="1">
        <f>+'SRBS ER'!K21</f>
        <v>3973</v>
      </c>
      <c r="O86" s="1">
        <f>+'SRBS ER'!L21</f>
        <v>413</v>
      </c>
      <c r="P86" s="1">
        <f>+'SRBS ER'!M21</f>
        <v>0</v>
      </c>
      <c r="Q86" s="1">
        <f>+'SRBS ER'!N21</f>
        <v>39506</v>
      </c>
      <c r="R86" s="1">
        <f>+'SRBS ER'!O21</f>
        <v>9730</v>
      </c>
      <c r="S86" s="1">
        <f>+'SRBS ER'!P21</f>
        <v>6305</v>
      </c>
      <c r="T86" s="1">
        <f>+'SRBS ER'!Q21</f>
        <v>54</v>
      </c>
      <c r="U86" s="1">
        <f>+'SRBS ER'!R21</f>
        <v>32321</v>
      </c>
      <c r="V86" s="1">
        <f>+'SRBS ER'!S21</f>
        <v>4551</v>
      </c>
      <c r="W86" s="1">
        <f>+'SRBS ER'!T21</f>
        <v>5671</v>
      </c>
      <c r="X86" s="1">
        <f>+'SRBS ER'!U21</f>
        <v>263805</v>
      </c>
      <c r="Y86" s="1">
        <f>+'SRBS ER'!V21</f>
        <v>0</v>
      </c>
      <c r="Z86" s="1">
        <f>+'SRBS ER'!W21</f>
        <v>0</v>
      </c>
      <c r="AA86" s="1">
        <f>+'SRBS ER'!X21</f>
        <v>0</v>
      </c>
      <c r="AB86" s="1">
        <f>+'SRBS ER'!Y21</f>
        <v>103173</v>
      </c>
      <c r="AC86" s="1">
        <f>+'SRBS ER'!Z21</f>
        <v>0</v>
      </c>
      <c r="AD86" s="1">
        <f>+'SRBS ER'!AA21</f>
        <v>0</v>
      </c>
      <c r="AE86" s="1">
        <f>+'SRBS ER'!AB21+'SRBS ER'!AC21</f>
        <v>0</v>
      </c>
      <c r="AF86" s="1">
        <f>+'SRBS ER'!AD21</f>
        <v>0</v>
      </c>
      <c r="AG86" s="1">
        <f>+'SRBS ER'!AE21</f>
        <v>0</v>
      </c>
      <c r="AH86" s="1">
        <f>+'SRBS ER'!AF21</f>
        <v>0</v>
      </c>
      <c r="AI86" s="1">
        <f>+'SRBS ER'!AG21</f>
        <v>0</v>
      </c>
      <c r="AJ86" s="1">
        <f>+'SRBS ER'!AH21</f>
        <v>0</v>
      </c>
      <c r="AK86" s="1">
        <f>+'SRBS ER'!AI21</f>
        <v>0</v>
      </c>
      <c r="AL86" s="1">
        <f>+'SRBS ER'!AJ21</f>
        <v>0</v>
      </c>
      <c r="AM86" s="1">
        <f>+'SRBS ER'!AK21</f>
        <v>0</v>
      </c>
      <c r="AN86" s="1">
        <f>+'SRBS ER'!AL21</f>
        <v>0</v>
      </c>
      <c r="AO86" s="1">
        <f>+'SRBS ER'!AM21</f>
        <v>0</v>
      </c>
      <c r="AP86" s="1">
        <f>+'SRBS ER'!AN21</f>
        <v>0</v>
      </c>
      <c r="AQ86" s="1">
        <f>+'SRBS ER'!AO21</f>
        <v>0</v>
      </c>
      <c r="AR86" s="1">
        <f>+'SRBS ER'!AQ21</f>
        <v>0</v>
      </c>
      <c r="AS86" s="1">
        <f>+'SRBS ER'!AR21</f>
        <v>0</v>
      </c>
      <c r="AT86" s="1">
        <f>+'SRBS ER'!AS21</f>
        <v>0</v>
      </c>
      <c r="AU86" s="1">
        <f>+'SRBS ER'!AT21</f>
        <v>0</v>
      </c>
      <c r="AV86" s="1">
        <f>+'SRBS ER'!AU21</f>
        <v>0</v>
      </c>
      <c r="AW86" s="1"/>
      <c r="AX86" s="1">
        <f>+'SRBS ER'!AW21</f>
        <v>0</v>
      </c>
      <c r="AY86" s="1">
        <f>+'SRBS ER'!AX21</f>
        <v>0</v>
      </c>
      <c r="AZ86" s="1">
        <f>+'SRBS ER'!AY21</f>
        <v>0</v>
      </c>
      <c r="BA86" s="1">
        <f>+'SRBS ER'!AZ21</f>
        <v>0</v>
      </c>
      <c r="BB86" s="1">
        <f>+'SRBS ER'!BA21</f>
        <v>0</v>
      </c>
      <c r="BC86" s="1">
        <f>+'SRBS ER'!BB21</f>
        <v>52621</v>
      </c>
      <c r="BD86" s="1"/>
      <c r="BE86" s="1"/>
      <c r="BF86" s="1">
        <f t="shared" ref="BF86:BF94" si="182">SUM(E86:BE86)</f>
        <v>652867</v>
      </c>
      <c r="BG86" s="1">
        <f t="shared" si="180"/>
        <v>336441</v>
      </c>
      <c r="BH86" s="1">
        <f>+'DSBS ER'!B21</f>
        <v>0</v>
      </c>
      <c r="BI86" s="1">
        <f>+'DSBS ER'!C21</f>
        <v>22709</v>
      </c>
      <c r="BJ86" s="1">
        <f>+'DSBS ER'!D21</f>
        <v>0</v>
      </c>
      <c r="BK86" s="1">
        <f>+'DSBS ER'!E21</f>
        <v>0</v>
      </c>
      <c r="BL86" s="1">
        <f>+'DSBS ER'!F21</f>
        <v>2273</v>
      </c>
      <c r="BM86" s="1">
        <f>+'DSBS ER'!G21</f>
        <v>15468</v>
      </c>
      <c r="BN86" s="1">
        <f>+'DSBS ER'!H21</f>
        <v>511160</v>
      </c>
      <c r="BO86" s="1"/>
      <c r="BP86" s="1">
        <f t="shared" si="176"/>
        <v>551610</v>
      </c>
      <c r="BQ86" s="1">
        <f>+BP86-BN86</f>
        <v>40450</v>
      </c>
      <c r="BR86" s="1">
        <f>+'CPBS ER'!B21</f>
        <v>0</v>
      </c>
      <c r="BS86" s="1">
        <f>+'CPBS ER'!C21</f>
        <v>0</v>
      </c>
      <c r="BT86" s="1">
        <f>+'CPBS ER'!D21</f>
        <v>0</v>
      </c>
      <c r="BU86" s="1">
        <f>+'CPBS ER'!E21</f>
        <v>0</v>
      </c>
      <c r="BV86" s="1">
        <f>+'CPBS ER'!F21</f>
        <v>0</v>
      </c>
      <c r="BW86" s="1">
        <f>+'CPBS ER'!G21</f>
        <v>0</v>
      </c>
      <c r="BX86" s="3"/>
      <c r="BY86" s="1">
        <f t="shared" ref="BY86:BY94" si="183">SUM(BR86:BX86)</f>
        <v>0</v>
      </c>
      <c r="BZ86" s="1">
        <f t="shared" si="181"/>
        <v>0</v>
      </c>
      <c r="CA86" s="1">
        <f t="shared" si="177"/>
        <v>376891</v>
      </c>
      <c r="CB86" s="1">
        <f>+'ENBS ER'!D21</f>
        <v>0</v>
      </c>
      <c r="CC86" s="1">
        <f>+'ENBS ER'!E21+'ENBS ER'!C21</f>
        <v>14985</v>
      </c>
      <c r="CD86" s="1"/>
      <c r="CE86" s="1"/>
      <c r="CF86" s="1"/>
      <c r="CG86" s="1"/>
      <c r="CH86" s="1"/>
      <c r="CI86" s="1"/>
      <c r="CJ86" s="1">
        <f t="shared" si="178"/>
        <v>14985</v>
      </c>
      <c r="CK86" s="1">
        <f>+CJ86-CG86-CC86</f>
        <v>0</v>
      </c>
      <c r="CL86" s="1"/>
      <c r="CM86" s="1"/>
      <c r="CN86" s="1"/>
      <c r="CO86" s="1"/>
      <c r="CP86" s="1"/>
      <c r="CQ86" s="1"/>
      <c r="CR86" s="1"/>
      <c r="CS86" s="1"/>
      <c r="CT86" s="1"/>
      <c r="CU86" s="1">
        <f>SUM(CL86:CT86)</f>
        <v>0</v>
      </c>
      <c r="CW86" s="1">
        <f>+'TA BS ER'!B24</f>
        <v>90459</v>
      </c>
      <c r="CX86" s="1">
        <f>+'TA BS ER'!C24</f>
        <v>0</v>
      </c>
      <c r="CY86" s="1">
        <f>+'TA BS ER'!D24</f>
        <v>0</v>
      </c>
      <c r="CZ86" s="1">
        <f>+'TA BS ER'!E24</f>
        <v>0</v>
      </c>
      <c r="DA86" s="1">
        <f>+'TA BS ER'!F24</f>
        <v>0</v>
      </c>
      <c r="DB86" s="1">
        <f>+'TA BS ER'!G24</f>
        <v>0</v>
      </c>
      <c r="DC86" s="1">
        <f>+'TA BS ER'!H24</f>
        <v>0</v>
      </c>
      <c r="DD86" s="1">
        <f>+'TA BS ER'!I24</f>
        <v>0</v>
      </c>
      <c r="DE86" s="1">
        <f>+'TA BS ER'!J24</f>
        <v>0</v>
      </c>
      <c r="DF86" s="1">
        <f>+'TA BS ER'!K24</f>
        <v>74322</v>
      </c>
      <c r="DG86" s="1">
        <f>+'TA BS ER'!L24</f>
        <v>0</v>
      </c>
      <c r="DH86" s="1">
        <f>+'TA BS ER'!M24</f>
        <v>0</v>
      </c>
      <c r="DI86" s="1">
        <f>+'TA BS ER'!N24</f>
        <v>0</v>
      </c>
      <c r="DJ86" s="1">
        <f>+'TA BS ER'!O24</f>
        <v>0</v>
      </c>
      <c r="DK86" s="1">
        <f>+'TA BS ER'!P24</f>
        <v>0</v>
      </c>
      <c r="DL86" s="1">
        <f>+'TA BS ER'!Q24</f>
        <v>0</v>
      </c>
      <c r="DM86" s="1">
        <f>+'TA BS ER'!R24</f>
        <v>0</v>
      </c>
      <c r="DN86" s="1">
        <f>+'TA BS ER'!S24</f>
        <v>0</v>
      </c>
      <c r="DO86" s="1">
        <f>+'TA BS ER'!T24</f>
        <v>0</v>
      </c>
      <c r="DP86" s="1">
        <f>+'TA BS ER'!U24</f>
        <v>0</v>
      </c>
      <c r="DQ86" s="1">
        <f>+'TA BS ER'!V24</f>
        <v>99738</v>
      </c>
      <c r="DR86" s="1">
        <f>+'TA BS ER'!W24</f>
        <v>1296525</v>
      </c>
      <c r="DS86" s="1">
        <f>+'TA BS ER'!X24</f>
        <v>909928</v>
      </c>
      <c r="DT86" s="1">
        <f>+'TA BS ER'!Y24</f>
        <v>431391</v>
      </c>
      <c r="DV86" s="1"/>
      <c r="DW86" s="1">
        <f>+CW86+DT86+DS86+DR86+DQ86+DP86+DO86+DN86+DM86+DL86+DK86+DJ86+DI86+DH86+DG86+DE86+DD86+DC86+DB86+DA86+CZ86+CY86+CX86</f>
        <v>2828041</v>
      </c>
      <c r="DX86" s="1">
        <f>+DW86+P86</f>
        <v>2828041</v>
      </c>
      <c r="DY86" s="1"/>
      <c r="DZ86" s="1"/>
      <c r="EC86" s="89"/>
      <c r="ED86" s="1"/>
      <c r="EE86" s="1">
        <f t="shared" si="179"/>
        <v>8558445</v>
      </c>
      <c r="EF86" s="1"/>
      <c r="EG86" s="1"/>
      <c r="EO86">
        <f>+D86+BF86+BP86+BY86+CJ86+CU86+DW86</f>
        <v>4269848</v>
      </c>
      <c r="EP86">
        <f>+EO86+EO88+EP88</f>
        <v>4492195</v>
      </c>
      <c r="EQ86" s="77">
        <v>4597183</v>
      </c>
      <c r="ER86">
        <f>+EQ86-EP86</f>
        <v>104988</v>
      </c>
      <c r="ES86" t="s">
        <v>3242</v>
      </c>
    </row>
    <row r="87" spans="1:149" ht="15.75">
      <c r="A87" s="1"/>
      <c r="B87" s="1" t="s">
        <v>1079</v>
      </c>
      <c r="C87" s="1"/>
      <c r="D87" s="1">
        <f>+'GFBS ER'!B22</f>
        <v>0</v>
      </c>
      <c r="E87" s="1">
        <f>+'SRBS ER'!B22</f>
        <v>0</v>
      </c>
      <c r="F87" s="1">
        <f>+'SRBS ER'!C22</f>
        <v>0</v>
      </c>
      <c r="G87" s="1">
        <f>+'SRBS ER'!D22</f>
        <v>0</v>
      </c>
      <c r="H87" s="1">
        <f>+'SRBS ER'!E22</f>
        <v>0</v>
      </c>
      <c r="I87" s="1">
        <f>+'SRBS ER'!F22</f>
        <v>0</v>
      </c>
      <c r="J87" s="1">
        <f>+'SRBS ER'!G22</f>
        <v>0</v>
      </c>
      <c r="K87" s="1">
        <f>+'SRBS ER'!H22</f>
        <v>0</v>
      </c>
      <c r="L87" s="1">
        <f>+'SRBS ER'!I22</f>
        <v>0</v>
      </c>
      <c r="M87" s="1">
        <f>+'SRBS ER'!J22</f>
        <v>0</v>
      </c>
      <c r="N87" s="1">
        <f>+'SRBS ER'!K22</f>
        <v>0</v>
      </c>
      <c r="O87" s="1">
        <f>+'SRBS ER'!L22</f>
        <v>0</v>
      </c>
      <c r="P87" s="1">
        <f>+'SRBS ER'!M22</f>
        <v>0</v>
      </c>
      <c r="Q87" s="1">
        <f>+'SRBS ER'!N22</f>
        <v>0</v>
      </c>
      <c r="R87" s="1">
        <f>+'SRBS ER'!O22</f>
        <v>0</v>
      </c>
      <c r="S87" s="1">
        <f>+'SRBS ER'!P22</f>
        <v>0</v>
      </c>
      <c r="T87" s="1">
        <f>+'SRBS ER'!Q22</f>
        <v>0</v>
      </c>
      <c r="U87" s="1">
        <f>+'SRBS ER'!R22</f>
        <v>0</v>
      </c>
      <c r="V87" s="1">
        <f>+'SRBS ER'!S22</f>
        <v>0</v>
      </c>
      <c r="W87" s="1">
        <f>+'SRBS ER'!T22</f>
        <v>0</v>
      </c>
      <c r="X87" s="1">
        <f>+'SRBS ER'!U22</f>
        <v>0</v>
      </c>
      <c r="Y87" s="1">
        <f>+'SRBS ER'!V22</f>
        <v>0</v>
      </c>
      <c r="Z87" s="1">
        <f>+'SRBS ER'!W22</f>
        <v>0</v>
      </c>
      <c r="AA87" s="1">
        <f>+'SRBS ER'!X22</f>
        <v>0</v>
      </c>
      <c r="AB87" s="1">
        <f>+'SRBS ER'!Y22</f>
        <v>0</v>
      </c>
      <c r="AC87" s="1">
        <f>+'SRBS ER'!Z22</f>
        <v>0</v>
      </c>
      <c r="AD87" s="1">
        <f>+'SRBS ER'!AA22</f>
        <v>0</v>
      </c>
      <c r="AE87" s="1">
        <f>+'SRBS ER'!AB22+'SRBS ER'!AC22</f>
        <v>0</v>
      </c>
      <c r="AF87" s="1">
        <f>+'SRBS ER'!AD22</f>
        <v>0</v>
      </c>
      <c r="AG87" s="1">
        <f>+'SRBS ER'!AE22</f>
        <v>0</v>
      </c>
      <c r="AH87" s="1">
        <f>+'SRBS ER'!AF22</f>
        <v>0</v>
      </c>
      <c r="AI87" s="1">
        <f>+'SRBS ER'!AG22</f>
        <v>0</v>
      </c>
      <c r="AJ87" s="1">
        <f>+'SRBS ER'!AH22</f>
        <v>0</v>
      </c>
      <c r="AK87" s="1">
        <f>+'SRBS ER'!AI22</f>
        <v>0</v>
      </c>
      <c r="AL87" s="1">
        <f>+'SRBS ER'!AJ22</f>
        <v>0</v>
      </c>
      <c r="AM87" s="1">
        <f>+'SRBS ER'!AK22</f>
        <v>0</v>
      </c>
      <c r="AN87" s="1">
        <f>+'SRBS ER'!AL22</f>
        <v>0</v>
      </c>
      <c r="AO87" s="1">
        <f>+'SRBS ER'!AM22</f>
        <v>0</v>
      </c>
      <c r="AP87" s="1">
        <f>+'SRBS ER'!AN22</f>
        <v>0</v>
      </c>
      <c r="AQ87" s="1">
        <f>+'SRBS ER'!AO22</f>
        <v>0</v>
      </c>
      <c r="AR87" s="1">
        <f>+'SRBS ER'!AQ22</f>
        <v>0</v>
      </c>
      <c r="AS87" s="1">
        <f>+'SRBS ER'!AR22</f>
        <v>0</v>
      </c>
      <c r="AT87" s="1">
        <f>+'SRBS ER'!AS22</f>
        <v>0</v>
      </c>
      <c r="AU87" s="1">
        <f>+'SRBS ER'!AT22</f>
        <v>0</v>
      </c>
      <c r="AV87" s="1">
        <f>+'SRBS ER'!AU22</f>
        <v>0</v>
      </c>
      <c r="AW87" s="1"/>
      <c r="AX87" s="1">
        <f>+'SRBS ER'!AW22</f>
        <v>0</v>
      </c>
      <c r="AY87" s="1">
        <f>+'SRBS ER'!AX22</f>
        <v>0</v>
      </c>
      <c r="AZ87" s="1">
        <f>+'SRBS ER'!AY22</f>
        <v>0</v>
      </c>
      <c r="BA87" s="1">
        <f>+'SRBS ER'!AZ22</f>
        <v>0</v>
      </c>
      <c r="BB87" s="1">
        <f>+'SRBS ER'!BA22</f>
        <v>0</v>
      </c>
      <c r="BC87" s="1">
        <f>+'SRBS ER'!BB22</f>
        <v>0</v>
      </c>
      <c r="BD87" s="1"/>
      <c r="BE87" s="1"/>
      <c r="BF87" s="1">
        <f t="shared" si="182"/>
        <v>0</v>
      </c>
      <c r="BG87" s="1">
        <f t="shared" si="180"/>
        <v>0</v>
      </c>
      <c r="BH87" s="1">
        <f>+'DSBS ER'!B22</f>
        <v>0</v>
      </c>
      <c r="BI87" s="1">
        <f>+'DSBS ER'!C22</f>
        <v>0</v>
      </c>
      <c r="BJ87" s="1">
        <f>+'DSBS ER'!D22</f>
        <v>0</v>
      </c>
      <c r="BK87" s="1">
        <f>+'DSBS ER'!E22</f>
        <v>0</v>
      </c>
      <c r="BL87" s="1">
        <f>+'DSBS ER'!F22</f>
        <v>0</v>
      </c>
      <c r="BM87" s="1">
        <f>+'DSBS ER'!G22</f>
        <v>0</v>
      </c>
      <c r="BN87" s="1">
        <f>+'DSBS ER'!H22</f>
        <v>0</v>
      </c>
      <c r="BO87" s="1"/>
      <c r="BP87" s="1">
        <f t="shared" si="176"/>
        <v>0</v>
      </c>
      <c r="BQ87" s="1"/>
      <c r="BR87" s="1">
        <f>+'CPBS ER'!B22</f>
        <v>0</v>
      </c>
      <c r="BS87" s="1">
        <f>+'CPBS ER'!C22</f>
        <v>0</v>
      </c>
      <c r="BT87" s="1">
        <f>+'CPBS ER'!D22</f>
        <v>0</v>
      </c>
      <c r="BU87" s="1">
        <f>+'CPBS ER'!E22</f>
        <v>0</v>
      </c>
      <c r="BV87" s="1">
        <f>+'CPBS ER'!F22</f>
        <v>0</v>
      </c>
      <c r="BW87" s="1">
        <f>+'CPBS ER'!G22</f>
        <v>0</v>
      </c>
      <c r="BX87" s="3"/>
      <c r="BY87" s="1">
        <f t="shared" si="183"/>
        <v>0</v>
      </c>
      <c r="BZ87" s="1">
        <f t="shared" si="181"/>
        <v>0</v>
      </c>
      <c r="CA87" s="1">
        <f t="shared" si="177"/>
        <v>0</v>
      </c>
      <c r="CB87" s="1">
        <f>+'ENBS ER'!D22</f>
        <v>0</v>
      </c>
      <c r="CC87" s="1">
        <f>+'ENBS ER'!E22+'ENBS ER'!C22</f>
        <v>0</v>
      </c>
      <c r="CD87" s="1"/>
      <c r="CE87" s="1"/>
      <c r="CF87" s="1"/>
      <c r="CG87" s="1"/>
      <c r="CH87" s="1"/>
      <c r="CI87" s="1"/>
      <c r="CJ87" s="1">
        <f t="shared" si="178"/>
        <v>0</v>
      </c>
      <c r="CK87" s="1"/>
      <c r="CL87" s="1">
        <f>+'ENBS ER'!M22</f>
        <v>0</v>
      </c>
      <c r="CM87" s="1">
        <f>+'ENBS ER'!N22</f>
        <v>0</v>
      </c>
      <c r="CN87" s="1">
        <f>+'ENBS ER'!O22</f>
        <v>0</v>
      </c>
      <c r="CO87" s="1">
        <f>+'ENBS ER'!P22</f>
        <v>0</v>
      </c>
      <c r="CP87" s="1">
        <f>+'ENBS ER'!Q22</f>
        <v>0</v>
      </c>
      <c r="CQ87" s="1">
        <f>+'ENBS ER'!R22</f>
        <v>0</v>
      </c>
      <c r="CR87" s="1">
        <f>+'ENBS ER'!S22</f>
        <v>0</v>
      </c>
      <c r="CS87" s="1"/>
      <c r="CT87" s="1"/>
      <c r="CU87" s="1">
        <f>SUM(CL87:CT87)</f>
        <v>0</v>
      </c>
      <c r="CW87" s="1"/>
      <c r="CX87" s="1"/>
      <c r="CY87" s="1"/>
      <c r="CZ87" s="1"/>
      <c r="DA87" s="1"/>
      <c r="DB87" s="1"/>
      <c r="DC87" s="1"/>
      <c r="DD87" s="1"/>
      <c r="DE87" s="1"/>
      <c r="DF87" s="1"/>
      <c r="DG87" s="1"/>
      <c r="DH87" s="1"/>
      <c r="DI87" s="1"/>
      <c r="DJ87" s="1"/>
      <c r="DK87" s="1"/>
      <c r="DL87" s="1"/>
      <c r="DM87" s="1"/>
      <c r="DN87" s="1"/>
      <c r="DO87" s="1"/>
      <c r="DP87" s="1"/>
      <c r="DQ87" s="1"/>
      <c r="DR87" s="1"/>
      <c r="DS87" s="1"/>
      <c r="DT87" s="1"/>
      <c r="DV87" s="1"/>
      <c r="DW87" s="1">
        <f t="shared" ref="DW87:DW94" si="184">SUM(CY87:DV87)</f>
        <v>0</v>
      </c>
      <c r="DX87" s="1"/>
      <c r="DY87" s="1"/>
      <c r="DZ87" s="1"/>
      <c r="EC87" s="89"/>
      <c r="ED87" s="1"/>
      <c r="EE87" s="1">
        <f t="shared" si="179"/>
        <v>0</v>
      </c>
      <c r="EF87" s="1"/>
      <c r="EG87" s="1"/>
      <c r="EO87">
        <f>+D87+BF87+BP87+BY87+CJ87+CU87+DW87</f>
        <v>0</v>
      </c>
      <c r="EQ87" s="211" t="s">
        <v>2296</v>
      </c>
    </row>
    <row r="88" spans="1:149" ht="15.75">
      <c r="A88" s="1"/>
      <c r="B88" s="1" t="s">
        <v>1080</v>
      </c>
      <c r="C88" s="1"/>
      <c r="D88" s="1">
        <f>+'GFBS ER'!B23-0</f>
        <v>11487</v>
      </c>
      <c r="E88" s="1">
        <f>+'SRBS ER'!B23</f>
        <v>0</v>
      </c>
      <c r="F88" s="1">
        <f>+'SRBS ER'!C23</f>
        <v>0</v>
      </c>
      <c r="G88" s="1">
        <f>+'SRBS ER'!D23</f>
        <v>0</v>
      </c>
      <c r="H88" s="1">
        <f>+'SRBS ER'!E23</f>
        <v>0</v>
      </c>
      <c r="I88" s="1">
        <f>+'SRBS ER'!F23</f>
        <v>4500</v>
      </c>
      <c r="J88" s="1">
        <f>+'SRBS ER'!G23</f>
        <v>0</v>
      </c>
      <c r="K88" s="1">
        <f>+'SRBS ER'!H23</f>
        <v>0</v>
      </c>
      <c r="L88" s="1">
        <f>+'SRBS ER'!I23</f>
        <v>0</v>
      </c>
      <c r="M88" s="1">
        <f>+'SRBS ER'!J23</f>
        <v>0</v>
      </c>
      <c r="N88" s="1">
        <f>+'SRBS ER'!K23</f>
        <v>0</v>
      </c>
      <c r="O88" s="1">
        <f>+'SRBS ER'!L23</f>
        <v>0</v>
      </c>
      <c r="P88" s="1">
        <f>+'SRBS ER'!M23</f>
        <v>0</v>
      </c>
      <c r="Q88" s="1">
        <f>+'SRBS ER'!N23</f>
        <v>0</v>
      </c>
      <c r="R88" s="1">
        <f>+'SRBS ER'!O23</f>
        <v>0</v>
      </c>
      <c r="S88" s="1">
        <f>+'SRBS ER'!P23</f>
        <v>0</v>
      </c>
      <c r="T88" s="1">
        <f>+'SRBS ER'!Q23</f>
        <v>0</v>
      </c>
      <c r="U88" s="1">
        <f>+'SRBS ER'!R23</f>
        <v>0</v>
      </c>
      <c r="V88" s="1">
        <f>+'SRBS ER'!S23</f>
        <v>0</v>
      </c>
      <c r="W88" s="1">
        <f>+'SRBS ER'!T23</f>
        <v>0</v>
      </c>
      <c r="X88" s="1">
        <f>+'SRBS ER'!U23</f>
        <v>0</v>
      </c>
      <c r="Y88" s="1">
        <f>+'SRBS ER'!V23</f>
        <v>0</v>
      </c>
      <c r="Z88" s="1">
        <f>+'SRBS ER'!W23</f>
        <v>0</v>
      </c>
      <c r="AA88" s="1">
        <f>+'SRBS ER'!X23</f>
        <v>0</v>
      </c>
      <c r="AB88" s="1">
        <f>+'SRBS ER'!Y23</f>
        <v>0</v>
      </c>
      <c r="AC88" s="1">
        <f>+'SRBS ER'!Z23</f>
        <v>0</v>
      </c>
      <c r="AD88" s="1">
        <f>+'SRBS ER'!AA23</f>
        <v>0</v>
      </c>
      <c r="AE88" s="1">
        <f>+'SRBS ER'!AB23+'SRBS ER'!AC23</f>
        <v>0</v>
      </c>
      <c r="AF88" s="1">
        <f>+'SRBS ER'!AD23</f>
        <v>0</v>
      </c>
      <c r="AG88" s="1">
        <f>+'SRBS ER'!AE23</f>
        <v>0</v>
      </c>
      <c r="AH88" s="1">
        <f>+'SRBS ER'!AF23</f>
        <v>0</v>
      </c>
      <c r="AI88" s="1">
        <f>+'SRBS ER'!AG23</f>
        <v>0</v>
      </c>
      <c r="AJ88" s="1">
        <f>+'SRBS ER'!AH23</f>
        <v>0</v>
      </c>
      <c r="AK88" s="1">
        <f>+'SRBS ER'!AI23</f>
        <v>0</v>
      </c>
      <c r="AL88" s="1">
        <f>+'SRBS ER'!AJ23</f>
        <v>0</v>
      </c>
      <c r="AM88" s="1">
        <f>+'SRBS ER'!AK23</f>
        <v>0</v>
      </c>
      <c r="AN88" s="1">
        <f>+'SRBS ER'!AL23</f>
        <v>0</v>
      </c>
      <c r="AO88" s="1">
        <f>+'SRBS ER'!AM23</f>
        <v>0</v>
      </c>
      <c r="AP88" s="1">
        <f>+'SRBS ER'!AN23</f>
        <v>0</v>
      </c>
      <c r="AQ88" s="1">
        <f>+'SRBS ER'!AO23</f>
        <v>0</v>
      </c>
      <c r="AR88" s="1">
        <f>+'SRBS ER'!AQ23</f>
        <v>0</v>
      </c>
      <c r="AS88" s="1">
        <f>+'SRBS ER'!AR23</f>
        <v>0</v>
      </c>
      <c r="AT88" s="1">
        <f>+'SRBS ER'!AS23</f>
        <v>0</v>
      </c>
      <c r="AU88" s="1">
        <f>+'SRBS ER'!AT23</f>
        <v>0</v>
      </c>
      <c r="AV88" s="1">
        <f>+'SRBS ER'!AU23</f>
        <v>0</v>
      </c>
      <c r="AW88" s="1"/>
      <c r="AX88" s="1">
        <f>+'SRBS ER'!AW23</f>
        <v>0</v>
      </c>
      <c r="AY88" s="1">
        <f>+'SRBS ER'!AX23</f>
        <v>0</v>
      </c>
      <c r="AZ88" s="1">
        <f>+'SRBS ER'!AY23</f>
        <v>0</v>
      </c>
      <c r="BA88" s="1">
        <f>+'SRBS ER'!AZ23</f>
        <v>0</v>
      </c>
      <c r="BB88" s="1">
        <f>+'SRBS ER'!BA23</f>
        <v>0</v>
      </c>
      <c r="BC88" s="1">
        <f>+'SRBS ER'!BB23</f>
        <v>0</v>
      </c>
      <c r="BD88" s="1"/>
      <c r="BE88" s="1"/>
      <c r="BF88" s="1">
        <f t="shared" si="182"/>
        <v>4500</v>
      </c>
      <c r="BG88" s="1">
        <f t="shared" si="180"/>
        <v>4500</v>
      </c>
      <c r="BH88" s="1">
        <f>+'DSBS ER'!B23</f>
        <v>0</v>
      </c>
      <c r="BI88" s="1">
        <f>+'DSBS ER'!C23</f>
        <v>0</v>
      </c>
      <c r="BJ88" s="1">
        <f>+'DSBS ER'!D23</f>
        <v>0</v>
      </c>
      <c r="BK88" s="1">
        <f>+'DSBS ER'!E23</f>
        <v>0</v>
      </c>
      <c r="BL88" s="1">
        <f>+'DSBS ER'!F23</f>
        <v>0</v>
      </c>
      <c r="BM88" s="1">
        <f>+'DSBS ER'!G23</f>
        <v>0</v>
      </c>
      <c r="BN88" s="1">
        <f>+'DSBS ER'!H23</f>
        <v>0</v>
      </c>
      <c r="BO88" s="1"/>
      <c r="BP88" s="1">
        <f t="shared" si="176"/>
        <v>0</v>
      </c>
      <c r="BQ88" s="1"/>
      <c r="BR88" s="1">
        <f>+'CPBS ER'!B23</f>
        <v>0</v>
      </c>
      <c r="BS88" s="1">
        <f>+'CPBS ER'!C23</f>
        <v>0</v>
      </c>
      <c r="BT88" s="1">
        <f>+'CPBS ER'!D23</f>
        <v>0</v>
      </c>
      <c r="BU88" s="1">
        <f>+'CPBS ER'!E23</f>
        <v>0</v>
      </c>
      <c r="BV88" s="1">
        <f>+'CPBS ER'!F23</f>
        <v>0</v>
      </c>
      <c r="BW88" s="1">
        <f>+'CPBS ER'!G23</f>
        <v>0</v>
      </c>
      <c r="BX88" s="3"/>
      <c r="BY88" s="1">
        <f t="shared" si="183"/>
        <v>0</v>
      </c>
      <c r="BZ88" s="1">
        <f t="shared" si="181"/>
        <v>0</v>
      </c>
      <c r="CA88" s="1">
        <f t="shared" si="177"/>
        <v>4500</v>
      </c>
      <c r="CB88" s="1">
        <f>+'ENBS ER'!D23-0</f>
        <v>0</v>
      </c>
      <c r="CC88" s="1">
        <f>+'ENBS ER'!E23+'ENBS ER'!C23</f>
        <v>0</v>
      </c>
      <c r="CD88" s="1">
        <f>SUM('ENBS ER'!F21:F23)</f>
        <v>6056</v>
      </c>
      <c r="CE88" s="1">
        <f>SUM('ENBS ER'!G21:G23)</f>
        <v>22402</v>
      </c>
      <c r="CF88" s="1">
        <f>SUM('ENBS ER'!H21:H23)</f>
        <v>174257</v>
      </c>
      <c r="CG88" s="1">
        <f>SUM('ENBS ER'!I21:I23)</f>
        <v>0</v>
      </c>
      <c r="CH88" s="1">
        <f>SUM('ENBS ER'!J21:J23)</f>
        <v>3645</v>
      </c>
      <c r="CI88" s="1"/>
      <c r="CJ88" s="1">
        <f t="shared" si="178"/>
        <v>206360</v>
      </c>
      <c r="CK88" s="1">
        <f>+CJ88-CB88-CC88-CG88</f>
        <v>206360</v>
      </c>
      <c r="CL88" s="1">
        <f>SUM('ENBS ER'!M21:M23)</f>
        <v>0</v>
      </c>
      <c r="CM88" s="1">
        <f>SUM('ENBS ER'!N21:N23)</f>
        <v>0</v>
      </c>
      <c r="CN88" s="1">
        <f>SUM('ENBS ER'!O21:O23)+0</f>
        <v>0</v>
      </c>
      <c r="CO88" s="1">
        <f>SUM('ENBS ER'!P21:P23)</f>
        <v>0</v>
      </c>
      <c r="CP88" s="1">
        <f>SUM('ENBS ER'!Q21:Q23)</f>
        <v>0</v>
      </c>
      <c r="CQ88" s="1">
        <f>SUM('ENBS ER'!R21:R23)</f>
        <v>0</v>
      </c>
      <c r="CR88" s="1">
        <f>SUM('ENBS ER'!S21:S23)</f>
        <v>0</v>
      </c>
      <c r="CS88" s="1"/>
      <c r="CT88" s="1"/>
      <c r="CU88" s="1">
        <f>SUM(CL88:CT88)</f>
        <v>0</v>
      </c>
      <c r="CW88" s="1"/>
      <c r="CX88" s="1"/>
      <c r="CY88" s="1"/>
      <c r="CZ88" s="1"/>
      <c r="DA88" s="1"/>
      <c r="DB88" s="1"/>
      <c r="DC88" s="1"/>
      <c r="DD88" s="1"/>
      <c r="DE88" s="1"/>
      <c r="DF88" s="1"/>
      <c r="DG88" s="1"/>
      <c r="DH88" s="1"/>
      <c r="DI88" s="1"/>
      <c r="DJ88" s="1"/>
      <c r="DK88" s="1"/>
      <c r="DL88" s="1"/>
      <c r="DM88" s="1"/>
      <c r="DN88" s="1"/>
      <c r="DO88" s="1"/>
      <c r="DP88" s="1"/>
      <c r="DQ88" s="1"/>
      <c r="DR88" s="1"/>
      <c r="DS88" s="1"/>
      <c r="DT88" s="1"/>
      <c r="DV88" s="1"/>
      <c r="DW88" s="1">
        <f t="shared" si="184"/>
        <v>0</v>
      </c>
      <c r="DX88" s="1"/>
      <c r="DY88" s="1"/>
      <c r="DZ88" s="1"/>
      <c r="EC88" s="88">
        <v>0</v>
      </c>
      <c r="ED88" s="617" t="s">
        <v>2748</v>
      </c>
      <c r="EE88" s="1">
        <f t="shared" si="179"/>
        <v>0</v>
      </c>
      <c r="EF88" s="1"/>
      <c r="EG88" s="1"/>
      <c r="EO88">
        <f>+D88+BF88+BP88+BY88+CJ88+CU88+DW88</f>
        <v>222347</v>
      </c>
      <c r="EP88">
        <f>-INPUT!CB102-INPUT!CB90</f>
        <v>0</v>
      </c>
    </row>
    <row r="89" spans="1:149" ht="15.75">
      <c r="A89" s="1"/>
      <c r="B89" s="89" t="s">
        <v>1630</v>
      </c>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f t="shared" si="182"/>
        <v>0</v>
      </c>
      <c r="BG89" s="1">
        <f t="shared" si="180"/>
        <v>0</v>
      </c>
      <c r="BH89" s="1"/>
      <c r="BI89" s="1"/>
      <c r="BJ89" s="1"/>
      <c r="BK89" s="1"/>
      <c r="BL89" s="1"/>
      <c r="BM89" s="1"/>
      <c r="BN89" s="1"/>
      <c r="BO89" s="1"/>
      <c r="BP89" s="1">
        <f t="shared" si="176"/>
        <v>0</v>
      </c>
      <c r="BQ89" s="1"/>
      <c r="BR89" s="1"/>
      <c r="BS89" s="1"/>
      <c r="BT89" s="1"/>
      <c r="BU89" s="1"/>
      <c r="BV89" s="1"/>
      <c r="BW89" s="1"/>
      <c r="BX89" s="3"/>
      <c r="BY89" s="1">
        <f t="shared" si="183"/>
        <v>0</v>
      </c>
      <c r="BZ89" s="1"/>
      <c r="CA89" s="1"/>
      <c r="CB89" s="1"/>
      <c r="CC89" s="1"/>
      <c r="CD89" s="1"/>
      <c r="CE89" s="1"/>
      <c r="CF89" s="1"/>
      <c r="CG89" s="1"/>
      <c r="CH89" s="1"/>
      <c r="CI89" s="1"/>
      <c r="CJ89" s="1">
        <f>SUM(CB89:CI89)</f>
        <v>0</v>
      </c>
      <c r="CK89" s="1">
        <f>+CJ89-CB89-CC89-CG89</f>
        <v>0</v>
      </c>
      <c r="CL89" s="1"/>
      <c r="CM89" s="1"/>
      <c r="CN89" s="1"/>
      <c r="CO89" s="1"/>
      <c r="CP89" s="1"/>
      <c r="CQ89" s="1"/>
      <c r="CR89" s="1"/>
      <c r="CS89" s="1"/>
      <c r="CT89" s="1"/>
      <c r="CU89" s="1">
        <f>SUM(CL89:CT89)</f>
        <v>0</v>
      </c>
      <c r="CW89" s="1"/>
      <c r="CX89" s="1"/>
      <c r="CY89" s="1"/>
      <c r="CZ89" s="1"/>
      <c r="DA89" s="1"/>
      <c r="DB89" s="1"/>
      <c r="DC89" s="1"/>
      <c r="DD89" s="1"/>
      <c r="DE89" s="1"/>
      <c r="DF89" s="1"/>
      <c r="DG89" s="1"/>
      <c r="DH89" s="1"/>
      <c r="DI89" s="1"/>
      <c r="DJ89" s="1"/>
      <c r="DK89" s="1"/>
      <c r="DL89" s="1"/>
      <c r="DM89" s="1"/>
      <c r="DN89" s="1"/>
      <c r="DO89" s="1"/>
      <c r="DP89" s="1"/>
      <c r="DQ89" s="1"/>
      <c r="DR89" s="1"/>
      <c r="DS89" s="1"/>
      <c r="DT89" s="1"/>
      <c r="DV89" s="1"/>
      <c r="DW89" s="1">
        <f t="shared" si="184"/>
        <v>0</v>
      </c>
      <c r="DX89" s="1"/>
      <c r="DY89" s="1"/>
      <c r="DZ89" s="1"/>
      <c r="EC89" s="1"/>
      <c r="ED89" s="1"/>
      <c r="EE89" s="1">
        <f t="shared" si="179"/>
        <v>0</v>
      </c>
      <c r="EF89" s="1"/>
      <c r="EG89" s="1"/>
    </row>
    <row r="90" spans="1:149" ht="15.75">
      <c r="A90" s="1"/>
      <c r="B90" s="89" t="s">
        <v>3256</v>
      </c>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3"/>
      <c r="BY90" s="1"/>
      <c r="BZ90" s="1"/>
      <c r="CA90" s="1"/>
      <c r="CB90" s="1"/>
      <c r="CC90" s="1"/>
      <c r="CD90" s="1"/>
      <c r="CE90" s="1"/>
      <c r="CF90" s="1"/>
      <c r="CG90" s="1"/>
      <c r="CH90" s="1"/>
      <c r="CI90" s="1"/>
      <c r="CJ90" s="1"/>
      <c r="CK90" s="1"/>
      <c r="CL90" s="1"/>
      <c r="CM90" s="1004">
        <f>657416+12830</f>
        <v>670246</v>
      </c>
      <c r="CN90" s="1004">
        <f t="shared" ref="CN90:CO90" si="185">657416+12830</f>
        <v>670246</v>
      </c>
      <c r="CO90" s="1004">
        <f t="shared" si="185"/>
        <v>670246</v>
      </c>
      <c r="CP90" s="1"/>
      <c r="CQ90" s="1"/>
      <c r="CR90" s="1"/>
      <c r="CS90" s="1"/>
      <c r="CT90" s="1"/>
      <c r="CU90" s="1"/>
      <c r="CW90" s="1"/>
      <c r="CX90" s="1"/>
      <c r="CY90" s="1"/>
      <c r="CZ90" s="1"/>
      <c r="DA90" s="1"/>
      <c r="DB90" s="1"/>
      <c r="DC90" s="1"/>
      <c r="DD90" s="1"/>
      <c r="DE90" s="1"/>
      <c r="DF90" s="1"/>
      <c r="DG90" s="1"/>
      <c r="DH90" s="1"/>
      <c r="DI90" s="1"/>
      <c r="DJ90" s="1"/>
      <c r="DK90" s="1"/>
      <c r="DL90" s="1"/>
      <c r="DM90" s="1"/>
      <c r="DN90" s="1"/>
      <c r="DO90" s="1"/>
      <c r="DP90" s="1"/>
      <c r="DQ90" s="1"/>
      <c r="DR90" s="1"/>
      <c r="DS90" s="1"/>
      <c r="DT90" s="1"/>
      <c r="DV90" s="1"/>
      <c r="DW90" s="1"/>
      <c r="DX90" s="1"/>
      <c r="DY90" s="1"/>
      <c r="DZ90" s="1"/>
      <c r="EC90" s="1"/>
      <c r="ED90" s="1"/>
      <c r="EE90" s="1"/>
      <c r="EF90" s="1"/>
      <c r="EG90" s="1"/>
    </row>
    <row r="91" spans="1:149" ht="15.75">
      <c r="A91" s="1"/>
      <c r="B91" s="89" t="s">
        <v>3470</v>
      </c>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3"/>
      <c r="BY91" s="1"/>
      <c r="BZ91" s="1"/>
      <c r="CA91" s="1"/>
      <c r="CB91" s="1"/>
      <c r="CC91" s="1"/>
      <c r="CD91" s="1"/>
      <c r="CE91" s="1"/>
      <c r="CF91" s="1"/>
      <c r="CG91" s="1"/>
      <c r="CH91" s="1"/>
      <c r="CI91" s="1"/>
      <c r="CJ91" s="1"/>
      <c r="CK91" s="1"/>
      <c r="CL91" s="1"/>
      <c r="CM91" s="1216"/>
      <c r="CN91" s="1004"/>
      <c r="CO91" s="1004"/>
      <c r="CP91" s="1"/>
      <c r="CQ91" s="1"/>
      <c r="CR91" s="1"/>
      <c r="CS91" s="1"/>
      <c r="CT91" s="1"/>
      <c r="CU91" s="1"/>
      <c r="CW91" s="1"/>
      <c r="CX91" s="1"/>
      <c r="CY91" s="1"/>
      <c r="CZ91" s="1"/>
      <c r="DA91" s="1"/>
      <c r="DB91" s="1"/>
      <c r="DC91" s="1"/>
      <c r="DD91" s="1"/>
      <c r="DE91" s="1"/>
      <c r="DF91" s="1"/>
      <c r="DG91" s="1"/>
      <c r="DH91" s="1"/>
      <c r="DI91" s="1"/>
      <c r="DJ91" s="1"/>
      <c r="DK91" s="1"/>
      <c r="DL91" s="1"/>
      <c r="DM91" s="1"/>
      <c r="DN91" s="1"/>
      <c r="DO91" s="1"/>
      <c r="DP91" s="1"/>
      <c r="DQ91" s="1"/>
      <c r="DR91" s="1"/>
      <c r="DS91" s="1"/>
      <c r="DT91" s="1"/>
      <c r="DV91" s="1"/>
      <c r="DW91" s="1"/>
      <c r="DX91" s="1"/>
      <c r="DY91" s="1"/>
      <c r="DZ91" s="1"/>
      <c r="EC91" s="1"/>
      <c r="ED91" s="1"/>
      <c r="EE91" s="1"/>
      <c r="EF91" s="1"/>
      <c r="EG91" s="1"/>
    </row>
    <row r="92" spans="1:149" ht="15.75">
      <c r="A92" s="1"/>
      <c r="B92" s="1" t="s">
        <v>1081</v>
      </c>
      <c r="C92" s="1"/>
      <c r="D92" s="623">
        <f>+'GFBS ER'!B24+'GFBS ER'!B32+0</f>
        <v>701024</v>
      </c>
      <c r="E92" s="1">
        <f>+'SRBS ER'!B24</f>
        <v>0</v>
      </c>
      <c r="F92" s="1">
        <f>+'SRBS ER'!C24</f>
        <v>0</v>
      </c>
      <c r="G92" s="1">
        <f>+'SRBS ER'!D24</f>
        <v>0</v>
      </c>
      <c r="H92" s="1">
        <f>+'SRBS ER'!E24</f>
        <v>0</v>
      </c>
      <c r="I92" s="1">
        <f>+'SRBS ER'!F24</f>
        <v>0</v>
      </c>
      <c r="J92" s="1">
        <f>+'SRBS ER'!G24</f>
        <v>0</v>
      </c>
      <c r="K92" s="1">
        <f>+'SRBS ER'!H24</f>
        <v>0</v>
      </c>
      <c r="L92" s="1">
        <f>+'SRBS ER'!I24</f>
        <v>0</v>
      </c>
      <c r="M92" s="1">
        <f>+'SRBS ER'!J24</f>
        <v>0</v>
      </c>
      <c r="N92" s="1">
        <f>+'SRBS ER'!K24</f>
        <v>0</v>
      </c>
      <c r="O92" s="1">
        <f>+'SRBS ER'!L24</f>
        <v>0</v>
      </c>
      <c r="P92" s="1">
        <f>+'SRBS ER'!M24</f>
        <v>0</v>
      </c>
      <c r="Q92" s="1">
        <f>+'SRBS ER'!N24</f>
        <v>0</v>
      </c>
      <c r="R92" s="1">
        <f>+'SRBS ER'!O24</f>
        <v>0</v>
      </c>
      <c r="S92" s="1">
        <f>+'SRBS ER'!P24</f>
        <v>0</v>
      </c>
      <c r="T92" s="1">
        <f>+'SRBS ER'!Q24</f>
        <v>0</v>
      </c>
      <c r="U92" s="1">
        <f>+'SRBS ER'!R24</f>
        <v>0</v>
      </c>
      <c r="V92" s="1">
        <f>+'SRBS ER'!S24</f>
        <v>0</v>
      </c>
      <c r="W92" s="1">
        <f>+'SRBS ER'!T24</f>
        <v>0</v>
      </c>
      <c r="X92" s="1">
        <f>+'SRBS ER'!U24</f>
        <v>0</v>
      </c>
      <c r="Y92" s="1">
        <f>+'SRBS ER'!V24</f>
        <v>0</v>
      </c>
      <c r="Z92" s="1">
        <f>+'SRBS ER'!W24</f>
        <v>0</v>
      </c>
      <c r="AA92" s="1">
        <f>+'SRBS ER'!X24</f>
        <v>0</v>
      </c>
      <c r="AB92" s="1">
        <f>+'SRBS ER'!Y24</f>
        <v>0</v>
      </c>
      <c r="AC92" s="1">
        <f>+'SRBS ER'!Z24</f>
        <v>0</v>
      </c>
      <c r="AD92" s="1">
        <f>+'SRBS ER'!AA24</f>
        <v>0</v>
      </c>
      <c r="AE92" s="1">
        <f>+'SRBS ER'!AB24+'SRBS ER'!AC24</f>
        <v>0</v>
      </c>
      <c r="AF92" s="1">
        <f>+'SRBS ER'!AD24</f>
        <v>0</v>
      </c>
      <c r="AG92" s="1">
        <f>+'SRBS ER'!AE24</f>
        <v>0</v>
      </c>
      <c r="AH92" s="1">
        <f>+'SRBS ER'!AF24</f>
        <v>0</v>
      </c>
      <c r="AI92" s="1">
        <f>+'SRBS ER'!AG24</f>
        <v>0</v>
      </c>
      <c r="AJ92" s="1">
        <f>+'SRBS ER'!AH24</f>
        <v>0</v>
      </c>
      <c r="AK92" s="1">
        <f>+'SRBS ER'!AI24</f>
        <v>0</v>
      </c>
      <c r="AL92" s="1">
        <f>+'SRBS ER'!AJ24</f>
        <v>0</v>
      </c>
      <c r="AM92" s="1">
        <f>+'SRBS ER'!AK24</f>
        <v>0</v>
      </c>
      <c r="AN92" s="1">
        <f>+'SRBS ER'!AL24</f>
        <v>0</v>
      </c>
      <c r="AO92" s="1">
        <f>+'SRBS ER'!AM24</f>
        <v>0</v>
      </c>
      <c r="AP92" s="1">
        <f>+'SRBS ER'!AN24</f>
        <v>0</v>
      </c>
      <c r="AQ92" s="1">
        <f>+'SRBS ER'!AO24</f>
        <v>0</v>
      </c>
      <c r="AR92" s="1">
        <f>+'SRBS ER'!AQ24</f>
        <v>0</v>
      </c>
      <c r="AS92" s="1">
        <f>+'SRBS ER'!AR24</f>
        <v>0</v>
      </c>
      <c r="AT92" s="1">
        <f>+'SRBS ER'!AS24</f>
        <v>0</v>
      </c>
      <c r="AU92" s="1">
        <f>+'SRBS ER'!AT24</f>
        <v>0</v>
      </c>
      <c r="AV92" s="1">
        <f>+'SRBS ER'!AU24</f>
        <v>0</v>
      </c>
      <c r="AW92" s="1"/>
      <c r="AX92" s="1">
        <f>+'SRBS ER'!AW24</f>
        <v>0</v>
      </c>
      <c r="AY92" s="1">
        <f>+'SRBS ER'!AX24</f>
        <v>0</v>
      </c>
      <c r="AZ92" s="1">
        <f>+'SRBS ER'!AY24</f>
        <v>0</v>
      </c>
      <c r="BA92" s="1">
        <f>+'SRBS ER'!AZ24</f>
        <v>0</v>
      </c>
      <c r="BB92" s="1">
        <f>+'SRBS ER'!BA24</f>
        <v>110000</v>
      </c>
      <c r="BC92" s="1">
        <f>+'SRBS ER'!BB24</f>
        <v>0</v>
      </c>
      <c r="BD92" s="1"/>
      <c r="BE92" s="1"/>
      <c r="BF92" s="1">
        <f t="shared" si="182"/>
        <v>110000</v>
      </c>
      <c r="BG92" s="1">
        <f t="shared" si="180"/>
        <v>0</v>
      </c>
      <c r="BH92" s="1">
        <f>+'DSBS ER'!B24</f>
        <v>0</v>
      </c>
      <c r="BI92" s="1">
        <f>+'DSBS ER'!C24</f>
        <v>0</v>
      </c>
      <c r="BJ92" s="1">
        <f>+'DSBS ER'!D24</f>
        <v>0</v>
      </c>
      <c r="BK92" s="1">
        <f>+'DSBS ER'!E24</f>
        <v>0</v>
      </c>
      <c r="BL92" s="1">
        <f>+'DSBS ER'!F24</f>
        <v>0</v>
      </c>
      <c r="BM92" s="1">
        <f>+'DSBS ER'!G24</f>
        <v>0</v>
      </c>
      <c r="BN92" s="1">
        <f>+'DSBS ER'!H24</f>
        <v>0</v>
      </c>
      <c r="BO92" s="1"/>
      <c r="BP92" s="1">
        <f t="shared" si="176"/>
        <v>0</v>
      </c>
      <c r="BQ92" s="1"/>
      <c r="BR92" s="1">
        <f>+'CPBS ER'!B24</f>
        <v>0</v>
      </c>
      <c r="BS92" s="1">
        <f>+'CPBS ER'!C24</f>
        <v>0</v>
      </c>
      <c r="BT92" s="1">
        <f>+'CPBS ER'!D24</f>
        <v>0</v>
      </c>
      <c r="BU92" s="1">
        <f>+'CPBS ER'!E24</f>
        <v>0</v>
      </c>
      <c r="BV92" s="1">
        <f>+'CPBS ER'!F24</f>
        <v>0</v>
      </c>
      <c r="BW92" s="1">
        <f>+'CPBS ER'!G24</f>
        <v>0</v>
      </c>
      <c r="BX92" s="3"/>
      <c r="BY92" s="1">
        <f t="shared" si="183"/>
        <v>0</v>
      </c>
      <c r="BZ92" s="1"/>
      <c r="CA92" s="1"/>
      <c r="CB92" s="1">
        <f>+'ENBS ER'!D24</f>
        <v>0</v>
      </c>
      <c r="CC92" s="1">
        <f>+'ENBS ER'!E24+'ENBS ER'!C24</f>
        <v>0</v>
      </c>
      <c r="CD92" s="1">
        <f>+'ENBS ER'!F24</f>
        <v>0</v>
      </c>
      <c r="CE92" s="1">
        <f>+'ENBS ER'!G24</f>
        <v>0</v>
      </c>
      <c r="CF92" s="1">
        <f>+'ENBS ER'!H24</f>
        <v>0</v>
      </c>
      <c r="CG92" s="1">
        <f>+'ENBS ER'!I24</f>
        <v>0</v>
      </c>
      <c r="CH92" s="1">
        <f>+'ENBS ER'!J24</f>
        <v>0</v>
      </c>
      <c r="CI92" s="1"/>
      <c r="CJ92" s="1">
        <f t="shared" si="178"/>
        <v>0</v>
      </c>
      <c r="CK92" s="1"/>
      <c r="CL92" s="1">
        <f>+'ENBS ER'!M24</f>
        <v>0</v>
      </c>
      <c r="CM92" s="1">
        <f>+'ENBS ER'!N24</f>
        <v>0</v>
      </c>
      <c r="CN92" s="1">
        <f>+'ENBS ER'!O24</f>
        <v>0</v>
      </c>
      <c r="CO92" s="1">
        <f>+'ENBS ER'!P24</f>
        <v>0</v>
      </c>
      <c r="CP92" s="1">
        <f>+'ENBS ER'!Q24</f>
        <v>0</v>
      </c>
      <c r="CQ92" s="1">
        <f>+'ENBS ER'!R24</f>
        <v>0</v>
      </c>
      <c r="CR92" s="1">
        <f>+'ENBS ER'!S24</f>
        <v>0</v>
      </c>
      <c r="CS92" s="1"/>
      <c r="CT92" s="1"/>
      <c r="CU92" s="1">
        <f>SUM(CL92:CT92)</f>
        <v>0</v>
      </c>
      <c r="CW92" s="1"/>
      <c r="CX92" s="1"/>
      <c r="CY92" s="1"/>
      <c r="CZ92" s="1"/>
      <c r="DA92" s="1"/>
      <c r="DB92" s="1"/>
      <c r="DC92" s="1"/>
      <c r="DD92" s="1"/>
      <c r="DE92" s="1"/>
      <c r="DF92" s="1"/>
      <c r="DG92" s="1"/>
      <c r="DH92" s="1"/>
      <c r="DI92" s="1"/>
      <c r="DJ92" s="1"/>
      <c r="DK92" s="1"/>
      <c r="DL92" s="1"/>
      <c r="DM92" s="1"/>
      <c r="DN92" s="1"/>
      <c r="DO92" s="1"/>
      <c r="DP92" s="1"/>
      <c r="DQ92" s="1"/>
      <c r="DR92" s="1"/>
      <c r="DS92" s="1"/>
      <c r="DT92" s="1"/>
      <c r="DV92" s="1"/>
      <c r="DW92" s="1">
        <f t="shared" si="184"/>
        <v>0</v>
      </c>
      <c r="DX92" s="1"/>
      <c r="DY92" s="1"/>
      <c r="DZ92" s="1"/>
      <c r="EC92" s="1"/>
      <c r="ED92" s="1"/>
      <c r="EE92" s="1">
        <f t="shared" si="179"/>
        <v>0</v>
      </c>
      <c r="EF92" s="1"/>
      <c r="EG92" s="1"/>
      <c r="EO92">
        <f>+D92+BF92+BP92+BY92+CJ92+CU92+DW92</f>
        <v>811024</v>
      </c>
    </row>
    <row r="93" spans="1:149" ht="15.75">
      <c r="A93" s="1"/>
      <c r="B93" s="1" t="s">
        <v>159</v>
      </c>
      <c r="C93" s="1"/>
      <c r="D93" s="1">
        <f>+'GFBS ER'!B25</f>
        <v>0</v>
      </c>
      <c r="E93" s="1">
        <f>+'SRBS ER'!B25</f>
        <v>0</v>
      </c>
      <c r="F93" s="1">
        <f>+'SRBS ER'!C25</f>
        <v>0</v>
      </c>
      <c r="G93" s="1">
        <f>+'SRBS ER'!D25</f>
        <v>0</v>
      </c>
      <c r="H93" s="1">
        <f>+'SRBS ER'!E25</f>
        <v>0</v>
      </c>
      <c r="I93" s="1">
        <f>+'SRBS ER'!F25</f>
        <v>0</v>
      </c>
      <c r="J93" s="1">
        <f>+'SRBS ER'!G25</f>
        <v>0</v>
      </c>
      <c r="K93" s="1">
        <f>+'SRBS ER'!H25</f>
        <v>0</v>
      </c>
      <c r="L93" s="1">
        <f>+'SRBS ER'!I25</f>
        <v>0</v>
      </c>
      <c r="M93" s="1">
        <f>+'SRBS ER'!J25</f>
        <v>0</v>
      </c>
      <c r="N93" s="1">
        <f>+'SRBS ER'!K25</f>
        <v>0</v>
      </c>
      <c r="O93" s="1">
        <f>+'SRBS ER'!L25</f>
        <v>0</v>
      </c>
      <c r="P93" s="1">
        <f>+'SRBS ER'!M25</f>
        <v>0</v>
      </c>
      <c r="Q93" s="1">
        <f>+'SRBS ER'!N25</f>
        <v>0</v>
      </c>
      <c r="R93" s="1">
        <f>+'SRBS ER'!O25</f>
        <v>0</v>
      </c>
      <c r="S93" s="1">
        <f>+'SRBS ER'!P25</f>
        <v>0</v>
      </c>
      <c r="T93" s="1">
        <f>+'SRBS ER'!Q25</f>
        <v>0</v>
      </c>
      <c r="U93" s="1">
        <f>+'SRBS ER'!R25</f>
        <v>0</v>
      </c>
      <c r="V93" s="1">
        <f>+'SRBS ER'!S25</f>
        <v>0</v>
      </c>
      <c r="W93" s="1">
        <f>+'SRBS ER'!T25</f>
        <v>0</v>
      </c>
      <c r="X93" s="1">
        <f>+'SRBS ER'!U25</f>
        <v>0</v>
      </c>
      <c r="Y93" s="1">
        <f>+'SRBS ER'!V25</f>
        <v>0</v>
      </c>
      <c r="Z93" s="1">
        <f>+'SRBS ER'!W25</f>
        <v>0</v>
      </c>
      <c r="AA93" s="1">
        <f>+'SRBS ER'!X25</f>
        <v>0</v>
      </c>
      <c r="AB93" s="1">
        <f>+'SRBS ER'!Y25</f>
        <v>0</v>
      </c>
      <c r="AC93" s="1">
        <f>+'SRBS ER'!Z25</f>
        <v>0</v>
      </c>
      <c r="AD93" s="1">
        <f>+'SRBS ER'!AA25</f>
        <v>0</v>
      </c>
      <c r="AE93" s="1">
        <f>+'SRBS ER'!AB25+'SRBS ER'!AC25</f>
        <v>0</v>
      </c>
      <c r="AF93" s="1">
        <f>+'SRBS ER'!AD25</f>
        <v>0</v>
      </c>
      <c r="AG93" s="1">
        <f>+'SRBS ER'!AE25</f>
        <v>0</v>
      </c>
      <c r="AH93" s="1">
        <f>+'SRBS ER'!AF25</f>
        <v>0</v>
      </c>
      <c r="AI93" s="1">
        <f>+'SRBS ER'!AG25</f>
        <v>0</v>
      </c>
      <c r="AJ93" s="1">
        <f>+'SRBS ER'!AH25</f>
        <v>0</v>
      </c>
      <c r="AK93" s="1">
        <f>+'SRBS ER'!AI25</f>
        <v>0</v>
      </c>
      <c r="AL93" s="1">
        <f>+'SRBS ER'!AJ25</f>
        <v>0</v>
      </c>
      <c r="AM93" s="1">
        <f>+'SRBS ER'!AK25</f>
        <v>0</v>
      </c>
      <c r="AN93" s="1">
        <f>+'SRBS ER'!AL25</f>
        <v>0</v>
      </c>
      <c r="AO93" s="1">
        <f>+'SRBS ER'!AM25</f>
        <v>0</v>
      </c>
      <c r="AP93" s="1">
        <f>+'SRBS ER'!AN25</f>
        <v>0</v>
      </c>
      <c r="AQ93" s="1">
        <f>+'SRBS ER'!AO25</f>
        <v>0</v>
      </c>
      <c r="AR93" s="1">
        <f>+'SRBS ER'!AQ25</f>
        <v>0</v>
      </c>
      <c r="AS93" s="1">
        <f>+'SRBS ER'!AR25</f>
        <v>0</v>
      </c>
      <c r="AT93" s="1">
        <f>+'SRBS ER'!AS25</f>
        <v>0</v>
      </c>
      <c r="AU93" s="1">
        <f>+'SRBS ER'!AT25</f>
        <v>0</v>
      </c>
      <c r="AV93" s="1">
        <f>+'SRBS ER'!AU25</f>
        <v>0</v>
      </c>
      <c r="AW93" s="1"/>
      <c r="AX93" s="1">
        <f>+'SRBS ER'!AW25</f>
        <v>0</v>
      </c>
      <c r="AY93" s="1">
        <f>+'SRBS ER'!AX25</f>
        <v>0</v>
      </c>
      <c r="AZ93" s="1">
        <f>+'SRBS ER'!AY25</f>
        <v>0</v>
      </c>
      <c r="BA93" s="1">
        <f>+'SRBS ER'!AZ25</f>
        <v>0</v>
      </c>
      <c r="BB93" s="1">
        <f>+'SRBS ER'!BA25</f>
        <v>0</v>
      </c>
      <c r="BC93" s="1">
        <f>+'SRBS ER'!BB25</f>
        <v>0</v>
      </c>
      <c r="BD93" s="1"/>
      <c r="BE93" s="1"/>
      <c r="BF93" s="1">
        <f t="shared" si="182"/>
        <v>0</v>
      </c>
      <c r="BG93" s="1">
        <f t="shared" si="180"/>
        <v>0</v>
      </c>
      <c r="BH93" s="1">
        <f>+'DSBS ER'!B25</f>
        <v>0</v>
      </c>
      <c r="BI93" s="1">
        <f>+'DSBS ER'!C25</f>
        <v>0</v>
      </c>
      <c r="BJ93" s="1">
        <f>+'DSBS ER'!D25</f>
        <v>0</v>
      </c>
      <c r="BK93" s="1">
        <f>+'DSBS ER'!E25</f>
        <v>0</v>
      </c>
      <c r="BL93" s="1">
        <f>+'DSBS ER'!F25</f>
        <v>0</v>
      </c>
      <c r="BM93" s="1">
        <f>+'DSBS ER'!G25</f>
        <v>0</v>
      </c>
      <c r="BN93" s="1">
        <f>+'DSBS ER'!H25</f>
        <v>0</v>
      </c>
      <c r="BO93" s="1"/>
      <c r="BP93" s="1">
        <f t="shared" si="176"/>
        <v>0</v>
      </c>
      <c r="BQ93" s="1"/>
      <c r="BR93" s="1">
        <f>+'CPBS ER'!B25</f>
        <v>0</v>
      </c>
      <c r="BS93" s="1">
        <f>+'CPBS ER'!C25</f>
        <v>0</v>
      </c>
      <c r="BT93" s="1">
        <f>+'CPBS ER'!D25</f>
        <v>0</v>
      </c>
      <c r="BU93" s="1">
        <f>+'CPBS ER'!E25</f>
        <v>0</v>
      </c>
      <c r="BV93" s="1">
        <f>+'CPBS ER'!F25</f>
        <v>0</v>
      </c>
      <c r="BW93" s="1">
        <f>+'CPBS ER'!G25</f>
        <v>0</v>
      </c>
      <c r="BX93" s="3"/>
      <c r="BY93" s="1">
        <f t="shared" si="183"/>
        <v>0</v>
      </c>
      <c r="BZ93" s="1"/>
      <c r="CA93" s="1"/>
      <c r="CB93" s="1">
        <f>+'ENBS ER'!D25</f>
        <v>0</v>
      </c>
      <c r="CC93" s="1">
        <f>+'ENBS ER'!E25+'ENBS ER'!C25</f>
        <v>0</v>
      </c>
      <c r="CD93" s="1">
        <f>+'ENBS ER'!F25</f>
        <v>0</v>
      </c>
      <c r="CE93" s="1">
        <f>+'ENBS ER'!G25</f>
        <v>0</v>
      </c>
      <c r="CF93" s="1">
        <f>+'ENBS ER'!H25</f>
        <v>0</v>
      </c>
      <c r="CG93" s="1">
        <f>+'ENBS ER'!I25</f>
        <v>0</v>
      </c>
      <c r="CH93" s="1">
        <f>+'ENBS ER'!J25</f>
        <v>0</v>
      </c>
      <c r="CI93" s="1"/>
      <c r="CJ93" s="1">
        <f t="shared" si="178"/>
        <v>0</v>
      </c>
      <c r="CK93" s="1"/>
      <c r="CL93" s="1">
        <f>+'ENBS ER'!M25</f>
        <v>0</v>
      </c>
      <c r="CM93" s="1">
        <f>+'ENBS ER'!N25</f>
        <v>0</v>
      </c>
      <c r="CN93" s="1">
        <f>+'ENBS ER'!O25</f>
        <v>0</v>
      </c>
      <c r="CO93" s="1">
        <f>+'ENBS ER'!P25</f>
        <v>0</v>
      </c>
      <c r="CP93" s="1">
        <f>+'ENBS ER'!Q25</f>
        <v>0</v>
      </c>
      <c r="CQ93" s="1">
        <f>+'ENBS ER'!R25</f>
        <v>0</v>
      </c>
      <c r="CR93" s="1">
        <f>+'ENBS ER'!S25</f>
        <v>0</v>
      </c>
      <c r="CS93" s="1"/>
      <c r="CT93" s="1"/>
      <c r="CU93" s="1">
        <f>SUM(CL93:CT93)</f>
        <v>0</v>
      </c>
      <c r="CW93" s="1"/>
      <c r="CX93" s="1"/>
      <c r="CY93" s="1"/>
      <c r="CZ93" s="1"/>
      <c r="DA93" s="1"/>
      <c r="DB93" s="1"/>
      <c r="DC93" s="1"/>
      <c r="DD93" s="1"/>
      <c r="DE93" s="1"/>
      <c r="DF93" s="1"/>
      <c r="DG93" s="1"/>
      <c r="DH93" s="1"/>
      <c r="DI93" s="1"/>
      <c r="DJ93" s="1"/>
      <c r="DK93" s="1"/>
      <c r="DL93" s="1"/>
      <c r="DM93" s="1"/>
      <c r="DN93" s="1"/>
      <c r="DO93" s="1"/>
      <c r="DP93" s="1"/>
      <c r="DQ93" s="1"/>
      <c r="DR93" s="1"/>
      <c r="DS93" s="1"/>
      <c r="DT93" s="1"/>
      <c r="DV93" s="1"/>
      <c r="DW93" s="1">
        <f t="shared" si="184"/>
        <v>0</v>
      </c>
      <c r="DX93" s="1"/>
      <c r="DY93" s="1"/>
      <c r="DZ93" s="1"/>
      <c r="EC93" s="82"/>
      <c r="ED93" s="617" t="s">
        <v>2748</v>
      </c>
      <c r="EE93" s="1">
        <f t="shared" si="179"/>
        <v>0</v>
      </c>
      <c r="EF93" s="1"/>
      <c r="EG93" s="1"/>
    </row>
    <row r="94" spans="1:149" ht="15.75">
      <c r="A94" s="1"/>
      <c r="B94" s="1" t="s">
        <v>160</v>
      </c>
      <c r="C94" s="1"/>
      <c r="D94" s="1">
        <f>+'GFBS ER'!B26</f>
        <v>0</v>
      </c>
      <c r="E94" s="1">
        <f>+'SRBS ER'!B26</f>
        <v>0</v>
      </c>
      <c r="F94" s="1">
        <f>+'SRBS ER'!C26</f>
        <v>0</v>
      </c>
      <c r="G94" s="1">
        <f>+'SRBS ER'!D26</f>
        <v>0</v>
      </c>
      <c r="H94" s="1">
        <f>+'SRBS ER'!E26</f>
        <v>0</v>
      </c>
      <c r="I94" s="1">
        <f>+'SRBS ER'!F26</f>
        <v>0</v>
      </c>
      <c r="J94" s="1">
        <f>+'SRBS ER'!G26</f>
        <v>0</v>
      </c>
      <c r="K94" s="1">
        <f>+'SRBS ER'!H26</f>
        <v>0</v>
      </c>
      <c r="L94" s="1">
        <f>+'SRBS ER'!I26</f>
        <v>0</v>
      </c>
      <c r="M94" s="1">
        <f>+'SRBS ER'!J26</f>
        <v>0</v>
      </c>
      <c r="N94" s="1">
        <f>+'SRBS ER'!K26</f>
        <v>0</v>
      </c>
      <c r="O94" s="1">
        <f>+'SRBS ER'!L26</f>
        <v>0</v>
      </c>
      <c r="P94" s="1">
        <f>+'SRBS ER'!M26</f>
        <v>0</v>
      </c>
      <c r="Q94" s="1">
        <f>+'SRBS ER'!N26</f>
        <v>0</v>
      </c>
      <c r="R94" s="1">
        <f>+'SRBS ER'!O26</f>
        <v>0</v>
      </c>
      <c r="S94" s="1">
        <f>+'SRBS ER'!P26</f>
        <v>0</v>
      </c>
      <c r="T94" s="1">
        <f>+'SRBS ER'!Q26</f>
        <v>0</v>
      </c>
      <c r="U94" s="1">
        <f>+'SRBS ER'!R26</f>
        <v>0</v>
      </c>
      <c r="V94" s="1">
        <f>+'SRBS ER'!S26</f>
        <v>0</v>
      </c>
      <c r="W94" s="1">
        <f>+'SRBS ER'!T26</f>
        <v>0</v>
      </c>
      <c r="X94" s="1">
        <f>+'SRBS ER'!U26</f>
        <v>0</v>
      </c>
      <c r="Y94" s="1">
        <f>+'SRBS ER'!V26</f>
        <v>0</v>
      </c>
      <c r="Z94" s="1">
        <f>+'SRBS ER'!W26</f>
        <v>0</v>
      </c>
      <c r="AA94" s="1">
        <f>+'SRBS ER'!X26</f>
        <v>0</v>
      </c>
      <c r="AB94" s="1">
        <f>+'SRBS ER'!Y26</f>
        <v>0</v>
      </c>
      <c r="AC94" s="1">
        <f>+'SRBS ER'!Z26</f>
        <v>0</v>
      </c>
      <c r="AD94" s="1">
        <f>+'SRBS ER'!AA26</f>
        <v>0</v>
      </c>
      <c r="AE94" s="1">
        <f>+'SRBS ER'!AB26+'SRBS ER'!AC26</f>
        <v>0</v>
      </c>
      <c r="AF94" s="1">
        <f>+'SRBS ER'!AD26</f>
        <v>0</v>
      </c>
      <c r="AG94" s="1">
        <f>+'SRBS ER'!AE26</f>
        <v>0</v>
      </c>
      <c r="AH94" s="1">
        <f>+'SRBS ER'!AF26</f>
        <v>0</v>
      </c>
      <c r="AI94" s="1">
        <f>+'SRBS ER'!AG26</f>
        <v>0</v>
      </c>
      <c r="AJ94" s="1">
        <f>+'SRBS ER'!AH26</f>
        <v>0</v>
      </c>
      <c r="AK94" s="1">
        <f>+'SRBS ER'!AI26</f>
        <v>0</v>
      </c>
      <c r="AL94" s="1">
        <f>+'SRBS ER'!AJ26</f>
        <v>0</v>
      </c>
      <c r="AM94" s="1">
        <f>+'SRBS ER'!AK26</f>
        <v>0</v>
      </c>
      <c r="AN94" s="1">
        <f>+'SRBS ER'!AL26</f>
        <v>0</v>
      </c>
      <c r="AO94" s="1">
        <f>+'SRBS ER'!AM26</f>
        <v>0</v>
      </c>
      <c r="AP94" s="1">
        <f>+'SRBS ER'!AN26</f>
        <v>0</v>
      </c>
      <c r="AQ94" s="1">
        <f>+'SRBS ER'!AO26</f>
        <v>0</v>
      </c>
      <c r="AR94" s="1">
        <f>+'SRBS ER'!AQ26</f>
        <v>0</v>
      </c>
      <c r="AS94" s="1">
        <f>+'SRBS ER'!AR26</f>
        <v>0</v>
      </c>
      <c r="AT94" s="1">
        <f>+'SRBS ER'!AS26</f>
        <v>0</v>
      </c>
      <c r="AU94" s="1">
        <f>+'SRBS ER'!AT26</f>
        <v>0</v>
      </c>
      <c r="AV94" s="1">
        <f>+'SRBS ER'!AU26</f>
        <v>0</v>
      </c>
      <c r="AW94" s="1"/>
      <c r="AX94" s="1">
        <f>+'SRBS ER'!AW26</f>
        <v>0</v>
      </c>
      <c r="AY94" s="1">
        <f>+'SRBS ER'!AX26</f>
        <v>0</v>
      </c>
      <c r="AZ94" s="1">
        <f>+'SRBS ER'!AY26</f>
        <v>0</v>
      </c>
      <c r="BA94" s="1">
        <f>+'SRBS ER'!AZ26</f>
        <v>0</v>
      </c>
      <c r="BB94" s="1">
        <f>+'SRBS ER'!BA26</f>
        <v>0</v>
      </c>
      <c r="BC94" s="1">
        <f>+'SRBS ER'!BB26</f>
        <v>0</v>
      </c>
      <c r="BD94" s="1"/>
      <c r="BE94" s="1"/>
      <c r="BF94" s="1">
        <f t="shared" si="182"/>
        <v>0</v>
      </c>
      <c r="BG94" s="1">
        <f t="shared" si="180"/>
        <v>0</v>
      </c>
      <c r="BH94" s="1">
        <f>+'DSBS ER'!B26</f>
        <v>0</v>
      </c>
      <c r="BI94" s="1">
        <f>+'DSBS ER'!C26</f>
        <v>0</v>
      </c>
      <c r="BJ94" s="1">
        <f>+'DSBS ER'!D26</f>
        <v>0</v>
      </c>
      <c r="BK94" s="1">
        <f>+'DSBS ER'!E26</f>
        <v>0</v>
      </c>
      <c r="BL94" s="1">
        <f>+'DSBS ER'!F26</f>
        <v>0</v>
      </c>
      <c r="BM94" s="1">
        <f>+'DSBS ER'!G26</f>
        <v>0</v>
      </c>
      <c r="BN94" s="1">
        <f>+'DSBS ER'!H26</f>
        <v>0</v>
      </c>
      <c r="BO94" s="1"/>
      <c r="BP94" s="1">
        <f t="shared" si="176"/>
        <v>0</v>
      </c>
      <c r="BQ94" s="1"/>
      <c r="BR94" s="1">
        <f>+'CPBS ER'!B26</f>
        <v>0</v>
      </c>
      <c r="BS94" s="1">
        <f>+'CPBS ER'!C26</f>
        <v>0</v>
      </c>
      <c r="BT94" s="1">
        <f>+'CPBS ER'!D26</f>
        <v>0</v>
      </c>
      <c r="BU94" s="1">
        <f>+'CPBS ER'!E26</f>
        <v>0</v>
      </c>
      <c r="BV94" s="1">
        <f>+'CPBS ER'!F26</f>
        <v>0</v>
      </c>
      <c r="BW94" s="1">
        <f>+'CPBS ER'!G26</f>
        <v>0</v>
      </c>
      <c r="BX94" s="3"/>
      <c r="BY94" s="1">
        <f t="shared" si="183"/>
        <v>0</v>
      </c>
      <c r="BZ94" s="1"/>
      <c r="CA94" s="1"/>
      <c r="CB94" s="1">
        <f>+'ENBS ER'!D26</f>
        <v>0</v>
      </c>
      <c r="CC94" s="1">
        <f>+'ENBS ER'!E26+'ENBS ER'!C26</f>
        <v>0</v>
      </c>
      <c r="CD94" s="1">
        <f>+'ENBS ER'!F26</f>
        <v>0</v>
      </c>
      <c r="CE94" s="1">
        <f>+'ENBS ER'!G26</f>
        <v>0</v>
      </c>
      <c r="CF94" s="1">
        <f>+'ENBS ER'!H26</f>
        <v>0</v>
      </c>
      <c r="CG94" s="1">
        <f>+'ENBS ER'!I26</f>
        <v>0</v>
      </c>
      <c r="CH94" s="1">
        <f>+'ENBS ER'!J26</f>
        <v>0</v>
      </c>
      <c r="CI94" s="1"/>
      <c r="CJ94" s="1">
        <f t="shared" si="178"/>
        <v>0</v>
      </c>
      <c r="CK94" s="1"/>
      <c r="CL94" s="1">
        <f>+'ENBS ER'!M26</f>
        <v>0</v>
      </c>
      <c r="CM94" s="1">
        <f>+'ENBS ER'!N26</f>
        <v>0</v>
      </c>
      <c r="CN94" s="1">
        <f>+'ENBS ER'!O26</f>
        <v>0</v>
      </c>
      <c r="CO94" s="1">
        <f>+'ENBS ER'!P26</f>
        <v>0</v>
      </c>
      <c r="CP94" s="1">
        <f>+'ENBS ER'!Q26</f>
        <v>0</v>
      </c>
      <c r="CQ94" s="1">
        <f>+'ENBS ER'!R26</f>
        <v>0</v>
      </c>
      <c r="CR94" s="1">
        <f>+'ENBS ER'!S26</f>
        <v>0</v>
      </c>
      <c r="CS94" s="1"/>
      <c r="CT94" s="1"/>
      <c r="CU94" s="1">
        <f>SUM(CL94:CT94)</f>
        <v>0</v>
      </c>
      <c r="CW94" s="1"/>
      <c r="CX94" s="1"/>
      <c r="CY94" s="1"/>
      <c r="CZ94" s="1"/>
      <c r="DA94" s="1"/>
      <c r="DB94" s="1"/>
      <c r="DC94" s="1"/>
      <c r="DD94" s="1"/>
      <c r="DE94" s="1"/>
      <c r="DF94" s="1"/>
      <c r="DG94" s="1"/>
      <c r="DH94" s="1"/>
      <c r="DI94" s="1"/>
      <c r="DJ94" s="1"/>
      <c r="DK94" s="1"/>
      <c r="DL94" s="1"/>
      <c r="DM94" s="1"/>
      <c r="DN94" s="1"/>
      <c r="DO94" s="1"/>
      <c r="DP94" s="1"/>
      <c r="DQ94" s="1"/>
      <c r="DR94" s="1"/>
      <c r="DS94" s="1"/>
      <c r="DT94" s="1"/>
      <c r="DV94" s="1"/>
      <c r="DW94" s="1">
        <f t="shared" si="184"/>
        <v>0</v>
      </c>
      <c r="DX94" s="1"/>
      <c r="DY94" s="1"/>
      <c r="DZ94" s="1"/>
      <c r="EC94" s="1"/>
      <c r="ED94" s="1"/>
      <c r="EE94" s="1">
        <f t="shared" si="179"/>
        <v>0</v>
      </c>
      <c r="EF94" s="1"/>
      <c r="EG94" s="1"/>
    </row>
    <row r="95" spans="1:149" ht="15.75">
      <c r="A95" s="1"/>
      <c r="B95" s="1" t="s">
        <v>973</v>
      </c>
      <c r="C95" s="1"/>
      <c r="D95" s="1"/>
      <c r="E95" s="1"/>
      <c r="F95" s="1"/>
      <c r="G95" s="1"/>
      <c r="H95" s="1"/>
      <c r="I95" s="1">
        <f>+'SRBS ER'!F33</f>
        <v>4635</v>
      </c>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f t="shared" si="180"/>
        <v>0</v>
      </c>
      <c r="BH95" s="1"/>
      <c r="BI95" s="1"/>
      <c r="BJ95" s="1"/>
      <c r="BK95" s="1"/>
      <c r="BL95" s="1"/>
      <c r="BM95" s="1"/>
      <c r="BN95" s="1"/>
      <c r="BO95" s="1"/>
      <c r="BP95" s="1"/>
      <c r="BQ95" s="1"/>
      <c r="BR95" s="1"/>
      <c r="BS95" s="1"/>
      <c r="BT95" s="1"/>
      <c r="BU95" s="1"/>
      <c r="BV95" s="1"/>
      <c r="BW95" s="1"/>
      <c r="BX95" s="3"/>
      <c r="BY95" s="1"/>
      <c r="BZ95" s="1"/>
      <c r="CA95" s="1"/>
      <c r="CB95" s="1"/>
      <c r="CC95" s="1"/>
      <c r="CD95" s="1"/>
      <c r="CE95" s="1"/>
      <c r="CF95" s="1"/>
      <c r="CG95" s="1"/>
      <c r="CH95" s="1"/>
      <c r="CI95" s="1"/>
      <c r="CJ95" s="1"/>
      <c r="CK95" s="1"/>
      <c r="CL95" s="1"/>
      <c r="CM95" s="1"/>
      <c r="CN95" s="1"/>
      <c r="CO95" s="1"/>
      <c r="CP95" s="1"/>
      <c r="CQ95" s="1"/>
      <c r="CR95" s="1"/>
      <c r="CS95" s="1"/>
      <c r="CT95" s="1"/>
      <c r="CU95" s="1"/>
      <c r="CW95" s="1"/>
      <c r="CX95" s="1"/>
      <c r="CY95" s="1"/>
      <c r="CZ95" s="1"/>
      <c r="DA95" s="1"/>
      <c r="DB95" s="1"/>
      <c r="DC95" s="1"/>
      <c r="DD95" s="1"/>
      <c r="DE95" s="1"/>
      <c r="DF95" s="1"/>
      <c r="DG95" s="1"/>
      <c r="DH95" s="1"/>
      <c r="DI95" s="1"/>
      <c r="DJ95" s="1"/>
      <c r="DK95" s="1"/>
      <c r="DL95" s="1"/>
      <c r="DM95" s="1"/>
      <c r="DN95" s="1"/>
      <c r="DO95" s="1"/>
      <c r="DP95" s="1"/>
      <c r="DQ95" s="1"/>
      <c r="DR95" s="1"/>
      <c r="DS95" s="1"/>
      <c r="DT95" s="1"/>
      <c r="DV95" s="1"/>
      <c r="DW95" s="1"/>
      <c r="DX95" s="1"/>
      <c r="DY95" s="1"/>
      <c r="DZ95" s="1"/>
      <c r="EB95" s="818"/>
      <c r="EC95" s="1"/>
      <c r="ED95" s="1"/>
      <c r="EE95" s="1"/>
      <c r="EF95" s="1"/>
      <c r="EG95" s="1"/>
    </row>
    <row r="96" spans="1:149" ht="15.75">
      <c r="A96" s="1"/>
      <c r="B96" s="1" t="s">
        <v>342</v>
      </c>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f t="shared" si="180"/>
        <v>0</v>
      </c>
      <c r="BH96" s="1"/>
      <c r="BI96" s="1"/>
      <c r="BJ96" s="1"/>
      <c r="BK96" s="1"/>
      <c r="BL96" s="1"/>
      <c r="BM96" s="1"/>
      <c r="BN96" s="1"/>
      <c r="BO96" s="1"/>
      <c r="BP96" s="1"/>
      <c r="BQ96" s="1"/>
      <c r="BR96" s="1"/>
      <c r="BS96" s="1"/>
      <c r="BT96" s="1"/>
      <c r="BU96" s="1"/>
      <c r="BV96" s="1"/>
      <c r="BW96" s="1"/>
      <c r="BX96" s="3"/>
      <c r="BY96" s="1"/>
      <c r="BZ96" s="1"/>
      <c r="CA96" s="1"/>
      <c r="CB96" s="1"/>
      <c r="CC96" s="1"/>
      <c r="CD96" s="1"/>
      <c r="CE96" s="1"/>
      <c r="CF96" s="1"/>
      <c r="CG96" s="1"/>
      <c r="CH96" s="1"/>
      <c r="CI96" s="1"/>
      <c r="CJ96" s="1"/>
      <c r="CK96" s="1"/>
      <c r="CL96" s="1"/>
      <c r="CM96" s="1"/>
      <c r="CN96" s="1"/>
      <c r="CO96" s="1"/>
      <c r="CP96" s="1"/>
      <c r="CQ96" s="1"/>
      <c r="CR96" s="1"/>
      <c r="CS96" s="1"/>
      <c r="CT96" s="1"/>
      <c r="CU96" s="1"/>
      <c r="CW96" s="1"/>
      <c r="CX96" s="1"/>
      <c r="CY96" s="1"/>
      <c r="CZ96" s="1"/>
      <c r="DA96" s="1"/>
      <c r="DB96" s="1"/>
      <c r="DC96" s="1"/>
      <c r="DD96" s="1"/>
      <c r="DE96" s="1"/>
      <c r="DF96" s="1"/>
      <c r="DG96" s="1"/>
      <c r="DH96" s="1"/>
      <c r="DI96" s="1"/>
      <c r="DJ96" s="1"/>
      <c r="DK96" s="1"/>
      <c r="DL96" s="1"/>
      <c r="DM96" s="1"/>
      <c r="DN96" s="1"/>
      <c r="DO96" s="1"/>
      <c r="DP96" s="1"/>
      <c r="DQ96" s="1"/>
      <c r="DR96" s="1"/>
      <c r="DS96" s="1"/>
      <c r="DT96" s="1"/>
      <c r="DV96" s="1"/>
      <c r="DW96" s="1"/>
      <c r="DX96" s="1"/>
      <c r="DY96" s="1"/>
      <c r="DZ96" s="1"/>
      <c r="EC96" s="1"/>
      <c r="ED96" s="1"/>
      <c r="EE96" s="1">
        <f t="shared" ref="EE96:EE111" si="186">SUM(CW96:ED96)</f>
        <v>0</v>
      </c>
      <c r="EF96" s="1"/>
      <c r="EG96" s="77" t="s">
        <v>3360</v>
      </c>
    </row>
    <row r="97" spans="1:137" ht="15.75">
      <c r="A97" s="1"/>
      <c r="B97" s="1" t="s">
        <v>639</v>
      </c>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77" t="s">
        <v>3363</v>
      </c>
      <c r="BE97" s="1"/>
      <c r="BF97" s="1"/>
      <c r="BG97" s="1">
        <f t="shared" si="180"/>
        <v>0</v>
      </c>
      <c r="BH97" s="1"/>
      <c r="BI97" s="1"/>
      <c r="BJ97" s="1"/>
      <c r="BK97" s="1"/>
      <c r="BL97" s="1"/>
      <c r="BM97" s="1"/>
      <c r="BN97" s="1"/>
      <c r="BO97" s="1"/>
      <c r="BP97" s="1">
        <f t="shared" si="176"/>
        <v>0</v>
      </c>
      <c r="BQ97" s="1"/>
      <c r="BR97" s="1">
        <f>+'CPBS ER'!B28</f>
        <v>0</v>
      </c>
      <c r="BS97" s="1"/>
      <c r="BT97" s="1"/>
      <c r="BU97" s="1"/>
      <c r="BV97" s="1"/>
      <c r="BW97" s="1"/>
      <c r="BX97" s="3"/>
      <c r="BY97" s="1">
        <f>SUM(BR97:BX97)</f>
        <v>0</v>
      </c>
      <c r="BZ97" s="1"/>
      <c r="CA97" s="1"/>
      <c r="CB97" s="1">
        <f>+'ENBS ER'!D28</f>
        <v>0</v>
      </c>
      <c r="CC97" s="1">
        <f>+'ENBS ER'!E28+'ENBS ER'!C28</f>
        <v>0</v>
      </c>
      <c r="CD97" s="1">
        <f>+'ENBS ER'!F28</f>
        <v>0</v>
      </c>
      <c r="CE97" s="1">
        <f>+'ENBS ER'!G28</f>
        <v>0</v>
      </c>
      <c r="CF97" s="1">
        <f>+'ENBS ER'!H28</f>
        <v>0</v>
      </c>
      <c r="CG97" s="1">
        <f>+'ENBS ER'!I28</f>
        <v>0</v>
      </c>
      <c r="CH97" s="1">
        <f>+'ENBS ER'!J28</f>
        <v>0</v>
      </c>
      <c r="CI97" s="1"/>
      <c r="CJ97" s="1">
        <f t="shared" ref="CJ97:CJ102" si="187">SUM(CB97:CI97)</f>
        <v>0</v>
      </c>
      <c r="CK97" s="1"/>
      <c r="CL97" s="1">
        <f>+'ENBS ER'!M28</f>
        <v>0</v>
      </c>
      <c r="CM97" s="1">
        <f>+'ENBS ER'!N28</f>
        <v>0</v>
      </c>
      <c r="CN97" s="1">
        <f>+'ENBS ER'!O28</f>
        <v>0</v>
      </c>
      <c r="CO97" s="1">
        <f>+'ENBS ER'!P28</f>
        <v>0</v>
      </c>
      <c r="CP97" s="1">
        <f>+'ENBS ER'!Q28</f>
        <v>0</v>
      </c>
      <c r="CQ97" s="1">
        <f>+'ENBS ER'!R28</f>
        <v>0</v>
      </c>
      <c r="CR97" s="1">
        <f>+'ENBS ER'!S28</f>
        <v>0</v>
      </c>
      <c r="CS97" s="1"/>
      <c r="CT97" s="1"/>
      <c r="CU97" s="1">
        <f>SUM(CL97:CT97)</f>
        <v>0</v>
      </c>
      <c r="CW97" s="1"/>
      <c r="CX97" s="1"/>
      <c r="CY97" s="1"/>
      <c r="CZ97" s="1"/>
      <c r="DA97" s="1"/>
      <c r="DB97" s="1"/>
      <c r="DC97" s="1"/>
      <c r="DD97" s="1"/>
      <c r="DE97" s="1"/>
      <c r="DF97" s="1"/>
      <c r="DG97" s="1"/>
      <c r="DH97" s="1"/>
      <c r="DI97" s="1"/>
      <c r="DJ97" s="1"/>
      <c r="DK97" s="1"/>
      <c r="DL97" s="1"/>
      <c r="DM97" s="1"/>
      <c r="DN97" s="1"/>
      <c r="DO97" s="1"/>
      <c r="DP97" s="1"/>
      <c r="DQ97" s="1"/>
      <c r="DR97" s="1"/>
      <c r="DS97" s="1"/>
      <c r="DT97" s="1"/>
      <c r="DV97" s="1"/>
      <c r="DW97" s="1">
        <f t="shared" ref="DW97:DW111" si="188">SUM(CY97:DV97)</f>
        <v>0</v>
      </c>
      <c r="DX97" s="1"/>
      <c r="DY97" s="1"/>
      <c r="DZ97" s="1"/>
      <c r="EC97" s="1"/>
      <c r="ED97" s="1"/>
      <c r="EE97" s="1">
        <f t="shared" si="186"/>
        <v>0</v>
      </c>
      <c r="EF97" s="1"/>
      <c r="EG97" s="1"/>
    </row>
    <row r="98" spans="1:137" ht="15.75">
      <c r="A98" s="1"/>
      <c r="B98" s="1" t="s">
        <v>640</v>
      </c>
      <c r="C98" s="1"/>
      <c r="D98" s="1">
        <f>+'GFBS ER'!B29</f>
        <v>0</v>
      </c>
      <c r="E98" s="1">
        <f>+'SRBS ER'!B29</f>
        <v>0</v>
      </c>
      <c r="F98" s="1">
        <f>+'SRBS ER'!C29</f>
        <v>0</v>
      </c>
      <c r="G98" s="1">
        <f>+'SRBS ER'!D29</f>
        <v>0</v>
      </c>
      <c r="H98" s="1">
        <f>+'SRBS ER'!E29</f>
        <v>0</v>
      </c>
      <c r="I98" s="1">
        <f>+'SRBS ER'!F29</f>
        <v>0</v>
      </c>
      <c r="J98" s="1">
        <f>+'SRBS ER'!G29</f>
        <v>0</v>
      </c>
      <c r="K98" s="1">
        <f>+'SRBS ER'!H29</f>
        <v>0</v>
      </c>
      <c r="L98" s="1">
        <f>+'SRBS ER'!I29</f>
        <v>0</v>
      </c>
      <c r="M98" s="1">
        <f>+'SRBS ER'!J29</f>
        <v>0</v>
      </c>
      <c r="N98" s="1">
        <f>+'SRBS ER'!K29</f>
        <v>0</v>
      </c>
      <c r="O98" s="1">
        <f>+'SRBS ER'!L29</f>
        <v>0</v>
      </c>
      <c r="P98" s="1">
        <f>+'SRBS ER'!M29</f>
        <v>0</v>
      </c>
      <c r="Q98" s="1">
        <f>+'SRBS ER'!N29</f>
        <v>0</v>
      </c>
      <c r="R98" s="1">
        <f>+'SRBS ER'!O29</f>
        <v>0</v>
      </c>
      <c r="S98" s="1">
        <f>+'SRBS ER'!P29</f>
        <v>0</v>
      </c>
      <c r="T98" s="1">
        <f>+'SRBS ER'!Q29</f>
        <v>0</v>
      </c>
      <c r="U98" s="1">
        <f>+'SRBS ER'!R29</f>
        <v>0</v>
      </c>
      <c r="V98" s="1">
        <f>+'SRBS ER'!S29</f>
        <v>0</v>
      </c>
      <c r="W98" s="1">
        <f>+'SRBS ER'!T29</f>
        <v>0</v>
      </c>
      <c r="X98" s="1">
        <f>+'SRBS ER'!U29</f>
        <v>0</v>
      </c>
      <c r="Y98" s="1">
        <f>+'SRBS ER'!V29</f>
        <v>0</v>
      </c>
      <c r="Z98" s="1">
        <f>+'SRBS ER'!W29</f>
        <v>0</v>
      </c>
      <c r="AA98" s="1">
        <f>+'SRBS ER'!X29</f>
        <v>0</v>
      </c>
      <c r="AB98" s="1">
        <f>+'SRBS ER'!Y29</f>
        <v>0</v>
      </c>
      <c r="AC98" s="1">
        <f>+'SRBS ER'!Z29</f>
        <v>0</v>
      </c>
      <c r="AD98" s="1">
        <f>+'SRBS ER'!AA29</f>
        <v>0</v>
      </c>
      <c r="AE98" s="1">
        <f>+'SRBS ER'!AB29+'SRBS ER'!AC29</f>
        <v>0</v>
      </c>
      <c r="AF98" s="1">
        <f>+'SRBS ER'!AD29</f>
        <v>0</v>
      </c>
      <c r="AG98" s="1">
        <f>+'SRBS ER'!AE29</f>
        <v>0</v>
      </c>
      <c r="AH98" s="1">
        <f>+'SRBS ER'!AF29</f>
        <v>0</v>
      </c>
      <c r="AI98" s="1">
        <f>+'SRBS ER'!AG29</f>
        <v>0</v>
      </c>
      <c r="AJ98" s="1">
        <f>+'SRBS ER'!AH29</f>
        <v>0</v>
      </c>
      <c r="AK98" s="1">
        <f>+'SRBS ER'!AI29</f>
        <v>0</v>
      </c>
      <c r="AL98" s="1">
        <f>+'SRBS ER'!AJ29</f>
        <v>0</v>
      </c>
      <c r="AM98" s="1">
        <f>+'SRBS ER'!AK29</f>
        <v>0</v>
      </c>
      <c r="AN98" s="1">
        <f>+'SRBS ER'!AL29</f>
        <v>0</v>
      </c>
      <c r="AO98" s="1">
        <f>+'SRBS ER'!AM29</f>
        <v>0</v>
      </c>
      <c r="AP98" s="1">
        <f>+'SRBS ER'!AN29</f>
        <v>0</v>
      </c>
      <c r="AQ98" s="1">
        <f>+'SRBS ER'!AO29</f>
        <v>0</v>
      </c>
      <c r="AR98" s="1">
        <f>+'SRBS ER'!AQ29</f>
        <v>0</v>
      </c>
      <c r="AS98" s="1">
        <f>+'SRBS ER'!AR29</f>
        <v>0</v>
      </c>
      <c r="AT98" s="1">
        <f>+'SRBS ER'!AS29</f>
        <v>0</v>
      </c>
      <c r="AU98" s="1">
        <f>+'SRBS ER'!AT29</f>
        <v>0</v>
      </c>
      <c r="AV98" s="1">
        <f>+'SRBS ER'!AU29</f>
        <v>0</v>
      </c>
      <c r="AW98" s="1"/>
      <c r="AX98" s="1">
        <f>+'SRBS ER'!AW29</f>
        <v>0</v>
      </c>
      <c r="AY98" s="1">
        <f>+'SRBS ER'!AX29</f>
        <v>0</v>
      </c>
      <c r="AZ98" s="1">
        <f>+'SRBS ER'!AY29</f>
        <v>0</v>
      </c>
      <c r="BA98" s="1">
        <f>+'SRBS ER'!AZ29</f>
        <v>0</v>
      </c>
      <c r="BB98" s="1">
        <f>+'SRBS ER'!BA29</f>
        <v>0</v>
      </c>
      <c r="BC98" s="1">
        <f>+'SRBS ER'!BB29</f>
        <v>0</v>
      </c>
      <c r="BD98" s="82">
        <v>20819</v>
      </c>
      <c r="BE98" s="1"/>
      <c r="BF98" s="1">
        <f>SUM(E98:BE98)</f>
        <v>20819</v>
      </c>
      <c r="BG98" s="1">
        <f t="shared" si="180"/>
        <v>20819</v>
      </c>
      <c r="BH98" s="1">
        <f>+'DSBS ER'!B29</f>
        <v>0</v>
      </c>
      <c r="BI98" s="1">
        <f>+'DSBS ER'!C29</f>
        <v>0</v>
      </c>
      <c r="BJ98" s="1">
        <f>+'DSBS ER'!D29</f>
        <v>0</v>
      </c>
      <c r="BK98" s="1">
        <f>+'DSBS ER'!E29</f>
        <v>0</v>
      </c>
      <c r="BL98" s="1">
        <f>+'DSBS ER'!F29</f>
        <v>0</v>
      </c>
      <c r="BM98" s="1">
        <f>+'DSBS ER'!G29</f>
        <v>0</v>
      </c>
      <c r="BN98" s="1">
        <f>+'DSBS ER'!H29</f>
        <v>0</v>
      </c>
      <c r="BO98" s="1"/>
      <c r="BP98" s="1">
        <f t="shared" si="176"/>
        <v>0</v>
      </c>
      <c r="BQ98" s="1"/>
      <c r="BR98" s="1">
        <f>+'CPBS ER'!B29</f>
        <v>0</v>
      </c>
      <c r="BS98" s="1">
        <f>+'CPBS ER'!C29</f>
        <v>0</v>
      </c>
      <c r="BT98" s="1">
        <f>+'CPBS ER'!D29</f>
        <v>0</v>
      </c>
      <c r="BU98" s="1">
        <f>+'CPBS ER'!E29</f>
        <v>0</v>
      </c>
      <c r="BV98" s="1">
        <f>+'CPBS ER'!F29</f>
        <v>0</v>
      </c>
      <c r="BW98" s="1">
        <f>+'CPBS ER'!G29</f>
        <v>0</v>
      </c>
      <c r="BX98" s="3"/>
      <c r="BY98" s="1">
        <f>SUM(BR98:BX98)</f>
        <v>0</v>
      </c>
      <c r="BZ98" s="1"/>
      <c r="CA98" s="1"/>
      <c r="CB98" s="1">
        <f>+'ENBS ER'!D29</f>
        <v>0</v>
      </c>
      <c r="CC98" s="248">
        <v>0</v>
      </c>
      <c r="CD98" s="1">
        <f>+'ENBS ER'!F29</f>
        <v>0</v>
      </c>
      <c r="CE98" s="1">
        <f>+'ENBS ER'!G29</f>
        <v>0</v>
      </c>
      <c r="CF98" s="1">
        <f>+'ENBS ER'!H29</f>
        <v>0</v>
      </c>
      <c r="CG98" s="89">
        <v>0</v>
      </c>
      <c r="CH98" s="1">
        <f>+'ENBS ER'!J29</f>
        <v>0</v>
      </c>
      <c r="CI98" s="1"/>
      <c r="CJ98" s="1">
        <f t="shared" si="187"/>
        <v>0</v>
      </c>
      <c r="CK98" s="1"/>
      <c r="CL98" s="1">
        <f>+'ENBS ER'!M29</f>
        <v>0</v>
      </c>
      <c r="CM98" s="1">
        <f>+'ENBS ER'!N29+0</f>
        <v>0</v>
      </c>
      <c r="CN98" s="1">
        <f>+'ENBS ER'!O29</f>
        <v>0</v>
      </c>
      <c r="CO98" s="1">
        <f>+'ENBS ER'!P29</f>
        <v>0</v>
      </c>
      <c r="CP98" s="1">
        <f>+'ENBS ER'!Q29</f>
        <v>0</v>
      </c>
      <c r="CQ98" s="1">
        <f>+'ENBS ER'!R29</f>
        <v>0</v>
      </c>
      <c r="CR98" s="1">
        <f>+'ENBS ER'!S29</f>
        <v>0</v>
      </c>
      <c r="CS98" s="1"/>
      <c r="CT98" s="1"/>
      <c r="CU98" s="1">
        <f>SUM(CL98:CT98)</f>
        <v>0</v>
      </c>
      <c r="CW98" s="1"/>
      <c r="CX98" s="1"/>
      <c r="CY98" s="1"/>
      <c r="CZ98" s="1"/>
      <c r="DA98" s="1"/>
      <c r="DB98" s="1"/>
      <c r="DC98" s="1"/>
      <c r="DD98" s="1"/>
      <c r="DE98" s="1"/>
      <c r="DF98" s="1"/>
      <c r="DG98" s="1"/>
      <c r="DH98" s="1"/>
      <c r="DI98" s="1"/>
      <c r="DJ98" s="1"/>
      <c r="DK98" s="1"/>
      <c r="DL98" s="1"/>
      <c r="DM98" s="1"/>
      <c r="DN98" s="1"/>
      <c r="DO98" s="1"/>
      <c r="DP98" s="1"/>
      <c r="DQ98" s="1"/>
      <c r="DR98" s="1"/>
      <c r="DS98" s="1"/>
      <c r="DT98" s="1"/>
      <c r="DV98" s="1"/>
      <c r="DW98" s="1">
        <f t="shared" si="188"/>
        <v>0</v>
      </c>
      <c r="DX98" s="1"/>
      <c r="DY98" s="1"/>
      <c r="DZ98" s="1"/>
      <c r="EC98" s="1"/>
      <c r="ED98" s="1"/>
      <c r="EE98" s="1">
        <f t="shared" si="186"/>
        <v>0</v>
      </c>
      <c r="EF98" s="1"/>
      <c r="EG98" s="82">
        <v>20810</v>
      </c>
    </row>
    <row r="99" spans="1:137" ht="15.75">
      <c r="A99" s="1"/>
      <c r="B99" s="1" t="s">
        <v>637</v>
      </c>
      <c r="C99" s="1"/>
      <c r="D99" s="1">
        <f>+'GFBS ER'!B30</f>
        <v>0</v>
      </c>
      <c r="E99" s="1">
        <f>+'SRBS ER'!B30</f>
        <v>0</v>
      </c>
      <c r="F99" s="1">
        <f>+'SRBS ER'!C30</f>
        <v>0</v>
      </c>
      <c r="G99" s="1">
        <f>+'SRBS ER'!D30</f>
        <v>0</v>
      </c>
      <c r="H99" s="1">
        <f>+'SRBS ER'!E30</f>
        <v>0</v>
      </c>
      <c r="I99" s="1">
        <f>+'SRBS ER'!F30</f>
        <v>0</v>
      </c>
      <c r="J99" s="1">
        <f>+'SRBS ER'!G30</f>
        <v>0</v>
      </c>
      <c r="K99" s="1">
        <f>+'SRBS ER'!H30</f>
        <v>0</v>
      </c>
      <c r="L99" s="1">
        <f>+'SRBS ER'!I30</f>
        <v>0</v>
      </c>
      <c r="M99" s="1">
        <f>+'SRBS ER'!J30</f>
        <v>0</v>
      </c>
      <c r="N99" s="1">
        <f>+'SRBS ER'!K30</f>
        <v>0</v>
      </c>
      <c r="O99" s="1">
        <f>+'SRBS ER'!L30</f>
        <v>0</v>
      </c>
      <c r="P99" s="1">
        <f>+'SRBS ER'!M30</f>
        <v>0</v>
      </c>
      <c r="Q99" s="1">
        <f>+'SRBS ER'!N30</f>
        <v>0</v>
      </c>
      <c r="R99" s="1">
        <f>+'SRBS ER'!O30</f>
        <v>0</v>
      </c>
      <c r="S99" s="1">
        <f>+'SRBS ER'!P30</f>
        <v>0</v>
      </c>
      <c r="T99" s="1">
        <f>+'SRBS ER'!Q30</f>
        <v>0</v>
      </c>
      <c r="U99" s="1">
        <f>+'SRBS ER'!R30</f>
        <v>0</v>
      </c>
      <c r="V99" s="1">
        <f>+'SRBS ER'!S30</f>
        <v>0</v>
      </c>
      <c r="W99" s="1">
        <f>+'SRBS ER'!T30</f>
        <v>0</v>
      </c>
      <c r="X99" s="1">
        <f>+'SRBS ER'!U30</f>
        <v>0</v>
      </c>
      <c r="Y99" s="1">
        <f>+'SRBS ER'!V30</f>
        <v>0</v>
      </c>
      <c r="Z99" s="1">
        <f>+'SRBS ER'!W30</f>
        <v>0</v>
      </c>
      <c r="AA99" s="1">
        <f>+'SRBS ER'!X30</f>
        <v>0</v>
      </c>
      <c r="AB99" s="1">
        <f>+'SRBS ER'!Y30</f>
        <v>0</v>
      </c>
      <c r="AC99" s="1">
        <f>+'SRBS ER'!Z30</f>
        <v>0</v>
      </c>
      <c r="AD99" s="1">
        <f>+'SRBS ER'!AA30</f>
        <v>0</v>
      </c>
      <c r="AE99" s="1">
        <f>+'SRBS ER'!AB30+'SRBS ER'!AC30</f>
        <v>0</v>
      </c>
      <c r="AF99" s="1">
        <f>+'SRBS ER'!AD30</f>
        <v>0</v>
      </c>
      <c r="AG99" s="1">
        <f>+'SRBS ER'!AE30</f>
        <v>0</v>
      </c>
      <c r="AH99" s="1">
        <f>+'SRBS ER'!AF30</f>
        <v>0</v>
      </c>
      <c r="AI99" s="1">
        <f>+'SRBS ER'!AG30</f>
        <v>0</v>
      </c>
      <c r="AJ99" s="1">
        <f>+'SRBS ER'!AH30</f>
        <v>0</v>
      </c>
      <c r="AK99" s="1">
        <f>+'SRBS ER'!AI30</f>
        <v>0</v>
      </c>
      <c r="AL99" s="1">
        <f>+'SRBS ER'!AJ30</f>
        <v>0</v>
      </c>
      <c r="AM99" s="1">
        <f>+'SRBS ER'!AK30</f>
        <v>0</v>
      </c>
      <c r="AN99" s="1">
        <f>+'SRBS ER'!AL30</f>
        <v>0</v>
      </c>
      <c r="AO99" s="1">
        <f>+'SRBS ER'!AM30</f>
        <v>0</v>
      </c>
      <c r="AP99" s="1">
        <f>+'SRBS ER'!AN30</f>
        <v>0</v>
      </c>
      <c r="AQ99" s="1">
        <f>+'SRBS ER'!AO30</f>
        <v>0</v>
      </c>
      <c r="AR99" s="1">
        <f>+'SRBS ER'!AQ30</f>
        <v>0</v>
      </c>
      <c r="AS99" s="1">
        <f>+'SRBS ER'!AR30</f>
        <v>0</v>
      </c>
      <c r="AT99" s="1">
        <f>+'SRBS ER'!AS30</f>
        <v>0</v>
      </c>
      <c r="AU99" s="1">
        <f>+'SRBS ER'!AT30</f>
        <v>0</v>
      </c>
      <c r="AV99" s="1">
        <f>+'SRBS ER'!AU30</f>
        <v>0</v>
      </c>
      <c r="AW99" s="1"/>
      <c r="AX99" s="1">
        <f>+'SRBS ER'!AW30</f>
        <v>0</v>
      </c>
      <c r="AY99" s="1">
        <f>+'SRBS ER'!AX30</f>
        <v>0</v>
      </c>
      <c r="AZ99" s="1">
        <f>+'SRBS ER'!AY30</f>
        <v>0</v>
      </c>
      <c r="BA99" s="1">
        <f>+'SRBS ER'!AZ30</f>
        <v>0</v>
      </c>
      <c r="BB99" s="1">
        <f>+'SRBS ER'!BA30</f>
        <v>0</v>
      </c>
      <c r="BC99" s="1">
        <f>+'SRBS ER'!BB30</f>
        <v>0</v>
      </c>
      <c r="BD99" s="82">
        <v>350827</v>
      </c>
      <c r="BE99" s="1"/>
      <c r="BF99" s="1">
        <f>SUM(E99:BE99)</f>
        <v>350827</v>
      </c>
      <c r="BG99" s="1">
        <f t="shared" si="180"/>
        <v>350827</v>
      </c>
      <c r="BH99" s="1">
        <f>+'DSBS ER'!B30</f>
        <v>0</v>
      </c>
      <c r="BI99" s="1">
        <f>+'DSBS ER'!C30</f>
        <v>0</v>
      </c>
      <c r="BJ99" s="1">
        <f>+'DSBS ER'!D30</f>
        <v>0</v>
      </c>
      <c r="BK99" s="1">
        <f>+'DSBS ER'!E30</f>
        <v>0</v>
      </c>
      <c r="BL99" s="1">
        <f>+'DSBS ER'!F30</f>
        <v>0</v>
      </c>
      <c r="BM99" s="1">
        <f>+'DSBS ER'!G30</f>
        <v>0</v>
      </c>
      <c r="BN99" s="1">
        <f>+'DSBS ER'!H30</f>
        <v>0</v>
      </c>
      <c r="BO99" s="1"/>
      <c r="BP99" s="1">
        <f t="shared" si="176"/>
        <v>0</v>
      </c>
      <c r="BQ99" s="1"/>
      <c r="BR99" s="1">
        <f>+'CPBS ER'!B30</f>
        <v>0</v>
      </c>
      <c r="BS99" s="1">
        <f>+'CPBS ER'!C30</f>
        <v>0</v>
      </c>
      <c r="BT99" s="1">
        <f>+'CPBS ER'!D30</f>
        <v>0</v>
      </c>
      <c r="BU99" s="1">
        <f>+'CPBS ER'!E30</f>
        <v>0</v>
      </c>
      <c r="BV99" s="1">
        <f>+'CPBS ER'!F30</f>
        <v>0</v>
      </c>
      <c r="BW99" s="1">
        <f>+'CPBS ER'!G30</f>
        <v>0</v>
      </c>
      <c r="BX99" s="3"/>
      <c r="BY99" s="1">
        <f>SUM(BR99:BX99)</f>
        <v>0</v>
      </c>
      <c r="BZ99" s="1"/>
      <c r="CA99" s="1"/>
      <c r="CB99" s="1">
        <f>+'ENBS ER'!D30</f>
        <v>0</v>
      </c>
      <c r="CC99" s="1">
        <f>+'ENBS ER'!E30+'ENBS ER'!C30</f>
        <v>0</v>
      </c>
      <c r="CD99" s="1">
        <f>+'ENBS ER'!F30</f>
        <v>0</v>
      </c>
      <c r="CE99" s="1">
        <f>+'ENBS ER'!G30</f>
        <v>0</v>
      </c>
      <c r="CF99" s="1">
        <f>+'ENBS ER'!H30</f>
        <v>0</v>
      </c>
      <c r="CG99" s="1">
        <f>+'ENBS ER'!I30</f>
        <v>0</v>
      </c>
      <c r="CH99" s="1">
        <f>+'ENBS ER'!J30</f>
        <v>0</v>
      </c>
      <c r="CI99" s="1"/>
      <c r="CJ99" s="1">
        <f t="shared" si="187"/>
        <v>0</v>
      </c>
      <c r="CK99" s="1"/>
      <c r="CL99" s="1">
        <f>+'ENBS ER'!M30</f>
        <v>0</v>
      </c>
      <c r="CM99" s="1">
        <f>+'ENBS ER'!N30</f>
        <v>0</v>
      </c>
      <c r="CN99" s="1">
        <f>+'ENBS ER'!O30</f>
        <v>0</v>
      </c>
      <c r="CO99" s="1">
        <f>+'ENBS ER'!P30</f>
        <v>0</v>
      </c>
      <c r="CP99" s="1">
        <f>+'ENBS ER'!Q30</f>
        <v>0</v>
      </c>
      <c r="CQ99" s="1">
        <f>+'ENBS ER'!R30</f>
        <v>0</v>
      </c>
      <c r="CR99" s="1">
        <f>+'ENBS ER'!S30</f>
        <v>0</v>
      </c>
      <c r="CS99" s="1"/>
      <c r="CT99" s="1"/>
      <c r="CU99" s="1">
        <f>SUM(CL99:CT99)</f>
        <v>0</v>
      </c>
      <c r="CW99" s="1"/>
      <c r="CX99" s="1"/>
      <c r="CY99" s="1"/>
      <c r="CZ99" s="1"/>
      <c r="DA99" s="1"/>
      <c r="DB99" s="1"/>
      <c r="DC99" s="1"/>
      <c r="DD99" s="1"/>
      <c r="DE99" s="1"/>
      <c r="DF99" s="1"/>
      <c r="DG99" s="1"/>
      <c r="DH99" s="1"/>
      <c r="DI99" s="1"/>
      <c r="DJ99" s="1"/>
      <c r="DK99" s="1"/>
      <c r="DL99" s="1"/>
      <c r="DM99" s="1"/>
      <c r="DN99" s="1"/>
      <c r="DO99" s="1"/>
      <c r="DP99" s="1"/>
      <c r="DQ99" s="1"/>
      <c r="DR99" s="1"/>
      <c r="DS99" s="1"/>
      <c r="DT99" s="1"/>
      <c r="DV99" s="1"/>
      <c r="DW99" s="1">
        <f t="shared" si="188"/>
        <v>0</v>
      </c>
      <c r="DX99" s="1"/>
      <c r="DY99" s="1"/>
      <c r="DZ99" s="1"/>
      <c r="EC99" s="1"/>
      <c r="ED99" s="1"/>
      <c r="EE99" s="1">
        <f t="shared" si="186"/>
        <v>0</v>
      </c>
      <c r="EF99" s="1"/>
      <c r="EG99" s="82">
        <v>345087</v>
      </c>
    </row>
    <row r="100" spans="1:137" ht="15.75">
      <c r="A100" s="1"/>
      <c r="B100" s="1" t="s">
        <v>15</v>
      </c>
      <c r="C100" s="1"/>
      <c r="D100" s="1">
        <f>+'GFBS ER'!B31</f>
        <v>0</v>
      </c>
      <c r="E100" s="1">
        <f>+'SRBS ER'!B31</f>
        <v>0</v>
      </c>
      <c r="F100" s="1">
        <f>+'SRBS ER'!C31</f>
        <v>0</v>
      </c>
      <c r="G100" s="1">
        <f>+'SRBS ER'!D31</f>
        <v>0</v>
      </c>
      <c r="H100" s="1">
        <f>+'SRBS ER'!E31</f>
        <v>0</v>
      </c>
      <c r="I100" s="1">
        <f>+'SRBS ER'!F31</f>
        <v>0</v>
      </c>
      <c r="J100" s="1">
        <f>+'SRBS ER'!G31</f>
        <v>0</v>
      </c>
      <c r="K100" s="1">
        <f>+'SRBS ER'!H31</f>
        <v>0</v>
      </c>
      <c r="L100" s="1">
        <f>+'SRBS ER'!I31</f>
        <v>0</v>
      </c>
      <c r="M100" s="1">
        <f>+'SRBS ER'!J31</f>
        <v>0</v>
      </c>
      <c r="N100" s="1">
        <f>+'SRBS ER'!K31</f>
        <v>0</v>
      </c>
      <c r="O100" s="1">
        <f>+'SRBS ER'!L31</f>
        <v>0</v>
      </c>
      <c r="P100" s="1">
        <f>+'SRBS ER'!M31</f>
        <v>0</v>
      </c>
      <c r="Q100" s="1">
        <f>+'SRBS ER'!N31</f>
        <v>0</v>
      </c>
      <c r="R100" s="1">
        <f>+'SRBS ER'!O31</f>
        <v>0</v>
      </c>
      <c r="S100" s="1">
        <f>+'SRBS ER'!P31</f>
        <v>0</v>
      </c>
      <c r="T100" s="1">
        <f>+'SRBS ER'!Q31</f>
        <v>0</v>
      </c>
      <c r="U100" s="1">
        <f>+'SRBS ER'!R31</f>
        <v>0</v>
      </c>
      <c r="V100" s="1">
        <f>+'SRBS ER'!S31</f>
        <v>0</v>
      </c>
      <c r="W100" s="1">
        <f>+'SRBS ER'!T31</f>
        <v>0</v>
      </c>
      <c r="X100" s="1">
        <f>+'SRBS ER'!U31</f>
        <v>0</v>
      </c>
      <c r="Y100" s="1">
        <f>+'SRBS ER'!V31</f>
        <v>0</v>
      </c>
      <c r="Z100" s="1">
        <f>+'SRBS ER'!W31</f>
        <v>0</v>
      </c>
      <c r="AA100" s="1">
        <f>+'SRBS ER'!X31</f>
        <v>0</v>
      </c>
      <c r="AB100" s="1">
        <f>+'SRBS ER'!Y31</f>
        <v>0</v>
      </c>
      <c r="AC100" s="1">
        <f>+'SRBS ER'!Z31</f>
        <v>0</v>
      </c>
      <c r="AD100" s="1">
        <f>+'SRBS ER'!AA31</f>
        <v>0</v>
      </c>
      <c r="AE100" s="1">
        <f>+'SRBS ER'!AB31+'SRBS ER'!AC31</f>
        <v>0</v>
      </c>
      <c r="AF100" s="1">
        <f>+'SRBS ER'!AD31</f>
        <v>0</v>
      </c>
      <c r="AG100" s="1">
        <f>+'SRBS ER'!AE31</f>
        <v>0</v>
      </c>
      <c r="AH100" s="1">
        <f>+'SRBS ER'!AF31</f>
        <v>0</v>
      </c>
      <c r="AI100" s="1">
        <f>+'SRBS ER'!AG31</f>
        <v>0</v>
      </c>
      <c r="AJ100" s="1">
        <f>+'SRBS ER'!AH31</f>
        <v>0</v>
      </c>
      <c r="AK100" s="1">
        <f>+'SRBS ER'!AI31</f>
        <v>0</v>
      </c>
      <c r="AL100" s="1">
        <f>+'SRBS ER'!AJ31</f>
        <v>0</v>
      </c>
      <c r="AM100" s="1">
        <f>+'SRBS ER'!AK31</f>
        <v>0</v>
      </c>
      <c r="AN100" s="1">
        <f>+'SRBS ER'!AL31</f>
        <v>0</v>
      </c>
      <c r="AO100" s="1">
        <f>+'SRBS ER'!AM31</f>
        <v>0</v>
      </c>
      <c r="AP100" s="1">
        <f>+'SRBS ER'!AN31</f>
        <v>0</v>
      </c>
      <c r="AQ100" s="1">
        <f>+'SRBS ER'!AO31</f>
        <v>0</v>
      </c>
      <c r="AR100" s="1">
        <f>+'SRBS ER'!AQ31</f>
        <v>0</v>
      </c>
      <c r="AS100" s="1">
        <f>+'SRBS ER'!AR31</f>
        <v>0</v>
      </c>
      <c r="AT100" s="1">
        <f>+'SRBS ER'!AS31</f>
        <v>0</v>
      </c>
      <c r="AU100" s="1">
        <f>+'SRBS ER'!AT31</f>
        <v>0</v>
      </c>
      <c r="AV100" s="1">
        <f>+'SRBS ER'!AU31</f>
        <v>0</v>
      </c>
      <c r="AW100" s="1"/>
      <c r="AX100" s="1">
        <f>+'SRBS ER'!AW31</f>
        <v>0</v>
      </c>
      <c r="AY100" s="1">
        <f>+'SRBS ER'!AX31</f>
        <v>0</v>
      </c>
      <c r="AZ100" s="1">
        <f>+'SRBS ER'!AY31</f>
        <v>0</v>
      </c>
      <c r="BA100" s="1">
        <f>+'SRBS ER'!AZ31</f>
        <v>0</v>
      </c>
      <c r="BB100" s="1">
        <f>+'SRBS ER'!BA31</f>
        <v>0</v>
      </c>
      <c r="BC100" s="1">
        <f>+'SRBS ER'!BB31</f>
        <v>0</v>
      </c>
      <c r="BD100" s="1"/>
      <c r="BE100" s="1"/>
      <c r="BF100" s="1">
        <f>SUM(E100:BE100)</f>
        <v>0</v>
      </c>
      <c r="BG100" s="1">
        <f t="shared" si="180"/>
        <v>0</v>
      </c>
      <c r="BH100" s="1">
        <f>+'DSBS ER'!B31</f>
        <v>0</v>
      </c>
      <c r="BI100" s="1">
        <f>+'DSBS ER'!C31</f>
        <v>0</v>
      </c>
      <c r="BJ100" s="1">
        <f>+'DSBS ER'!D31</f>
        <v>0</v>
      </c>
      <c r="BK100" s="1">
        <f>+'DSBS ER'!E31</f>
        <v>0</v>
      </c>
      <c r="BL100" s="1">
        <f>+'DSBS ER'!F31</f>
        <v>0</v>
      </c>
      <c r="BM100" s="1">
        <f>+'DSBS ER'!G31</f>
        <v>0</v>
      </c>
      <c r="BN100" s="1">
        <f>+'DSBS ER'!H31</f>
        <v>0</v>
      </c>
      <c r="BO100" s="1"/>
      <c r="BP100" s="1">
        <f t="shared" si="176"/>
        <v>0</v>
      </c>
      <c r="BQ100" s="1"/>
      <c r="BR100" s="1">
        <f>+'CPBS ER'!B31</f>
        <v>0</v>
      </c>
      <c r="BS100" s="1">
        <f>+'CPBS ER'!C31</f>
        <v>0</v>
      </c>
      <c r="BT100" s="1">
        <f>+'CPBS ER'!D31</f>
        <v>0</v>
      </c>
      <c r="BU100" s="1">
        <f>+'CPBS ER'!E31</f>
        <v>0</v>
      </c>
      <c r="BV100" s="1">
        <f>+'CPBS ER'!F31</f>
        <v>0</v>
      </c>
      <c r="BW100" s="1">
        <f>+'CPBS ER'!G31</f>
        <v>0</v>
      </c>
      <c r="BX100" s="3"/>
      <c r="BY100" s="1">
        <f>SUM(BR100:BX100)</f>
        <v>0</v>
      </c>
      <c r="BZ100" s="1"/>
      <c r="CA100" s="1"/>
      <c r="CB100" s="1">
        <f>+'ENBS ER'!D31</f>
        <v>0</v>
      </c>
      <c r="CC100" s="1">
        <f>+'ENBS ER'!E31+'ENBS ER'!C31</f>
        <v>0</v>
      </c>
      <c r="CD100" s="1">
        <f>+'ENBS ER'!F31</f>
        <v>0</v>
      </c>
      <c r="CE100" s="1">
        <f>+'ENBS ER'!G31</f>
        <v>0</v>
      </c>
      <c r="CF100" s="1">
        <f>+'ENBS ER'!H31</f>
        <v>0</v>
      </c>
      <c r="CG100" s="1">
        <f>+'ENBS ER'!I31</f>
        <v>0</v>
      </c>
      <c r="CH100" s="1">
        <f>+'ENBS ER'!J31</f>
        <v>0</v>
      </c>
      <c r="CI100" s="1"/>
      <c r="CJ100" s="1">
        <f t="shared" si="187"/>
        <v>0</v>
      </c>
      <c r="CK100" s="1"/>
      <c r="CL100" s="1">
        <f>+'ENBS ER'!M31</f>
        <v>0</v>
      </c>
      <c r="CM100" s="1">
        <f>+'ENBS ER'!N31</f>
        <v>0</v>
      </c>
      <c r="CN100" s="1">
        <f>+'ENBS ER'!O31</f>
        <v>0</v>
      </c>
      <c r="CO100" s="1">
        <f>+'ENBS ER'!P31</f>
        <v>0</v>
      </c>
      <c r="CP100" s="1">
        <f>+'ENBS ER'!Q31</f>
        <v>0</v>
      </c>
      <c r="CQ100" s="1">
        <f>+'ENBS ER'!R31</f>
        <v>0</v>
      </c>
      <c r="CR100" s="1">
        <f>+'ENBS ER'!S31</f>
        <v>0</v>
      </c>
      <c r="CS100" s="1"/>
      <c r="CT100" s="1"/>
      <c r="CU100" s="1">
        <f>SUM(CL100:CT100)</f>
        <v>0</v>
      </c>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V100" s="1"/>
      <c r="DW100" s="1">
        <f t="shared" si="188"/>
        <v>0</v>
      </c>
      <c r="DX100" s="1"/>
      <c r="DY100" s="1"/>
      <c r="DZ100" s="1"/>
      <c r="EC100" s="1"/>
      <c r="ED100" s="1"/>
      <c r="EE100" s="1">
        <f t="shared" si="186"/>
        <v>0</v>
      </c>
      <c r="EF100" s="1"/>
      <c r="EG100" s="1"/>
    </row>
    <row r="101" spans="1:137" ht="15.75">
      <c r="A101" s="1"/>
      <c r="B101" s="89" t="s">
        <v>616</v>
      </c>
      <c r="C101" s="1"/>
      <c r="D101" s="1"/>
      <c r="E101" s="1">
        <f>+'SRBS ER'!B32</f>
        <v>0</v>
      </c>
      <c r="F101" s="1">
        <f>+'SRBS ER'!C32</f>
        <v>0</v>
      </c>
      <c r="G101" s="1">
        <f>+'SRBS ER'!D32</f>
        <v>0</v>
      </c>
      <c r="H101" s="1">
        <f>+'SRBS ER'!E32</f>
        <v>0</v>
      </c>
      <c r="I101" s="1">
        <f>+'SRBS ER'!F32</f>
        <v>0</v>
      </c>
      <c r="J101" s="1">
        <f>+'SRBS ER'!G32</f>
        <v>0</v>
      </c>
      <c r="K101" s="1">
        <f>+'SRBS ER'!H32</f>
        <v>0</v>
      </c>
      <c r="L101" s="1">
        <f>+'SRBS ER'!I32</f>
        <v>0</v>
      </c>
      <c r="M101" s="1">
        <f>+'SRBS ER'!J32</f>
        <v>0</v>
      </c>
      <c r="N101" s="1">
        <f>+'SRBS ER'!K32</f>
        <v>0</v>
      </c>
      <c r="O101" s="1">
        <f>+'SRBS ER'!L32</f>
        <v>0</v>
      </c>
      <c r="P101" s="1">
        <f>+'SRBS ER'!M32</f>
        <v>0</v>
      </c>
      <c r="Q101" s="1">
        <f>+'SRBS ER'!N32</f>
        <v>0</v>
      </c>
      <c r="R101" s="1">
        <f>+'SRBS ER'!O32</f>
        <v>0</v>
      </c>
      <c r="S101" s="1">
        <f>+'SRBS ER'!P32</f>
        <v>0</v>
      </c>
      <c r="T101" s="1">
        <f>+'SRBS ER'!Q32</f>
        <v>0</v>
      </c>
      <c r="U101" s="1">
        <f>+'SRBS ER'!R32</f>
        <v>0</v>
      </c>
      <c r="V101" s="1">
        <f>+'SRBS ER'!S32</f>
        <v>0</v>
      </c>
      <c r="W101" s="1">
        <f>+'SRBS ER'!T32</f>
        <v>0</v>
      </c>
      <c r="X101" s="1">
        <f>+'SRBS ER'!U32</f>
        <v>0</v>
      </c>
      <c r="Y101" s="1">
        <f>+'SRBS ER'!V32</f>
        <v>0</v>
      </c>
      <c r="Z101" s="1">
        <f>+'SRBS ER'!W32</f>
        <v>0</v>
      </c>
      <c r="AA101" s="1">
        <f>+'SRBS ER'!X32</f>
        <v>0</v>
      </c>
      <c r="AB101" s="1">
        <f>+'SRBS ER'!Y32</f>
        <v>0</v>
      </c>
      <c r="AC101" s="1">
        <f>+'SRBS ER'!Z32</f>
        <v>0</v>
      </c>
      <c r="AD101" s="1">
        <f>+'SRBS ER'!AA32</f>
        <v>0</v>
      </c>
      <c r="AE101" s="1">
        <f>+'SRBS ER'!AB32+'SRBS ER'!AC32</f>
        <v>0</v>
      </c>
      <c r="AF101" s="1">
        <f>+'SRBS ER'!AD32</f>
        <v>0</v>
      </c>
      <c r="AG101" s="1">
        <f>+'SRBS ER'!AE32</f>
        <v>0</v>
      </c>
      <c r="AH101" s="1">
        <f>+'SRBS ER'!AF32</f>
        <v>0</v>
      </c>
      <c r="AI101" s="1">
        <f>+'SRBS ER'!AG32</f>
        <v>0</v>
      </c>
      <c r="AJ101" s="1">
        <f>+'SRBS ER'!AH32</f>
        <v>0</v>
      </c>
      <c r="AK101" s="1">
        <f>+'SRBS ER'!AI32</f>
        <v>0</v>
      </c>
      <c r="AL101" s="1">
        <f>+'SRBS ER'!AJ32</f>
        <v>0</v>
      </c>
      <c r="AM101" s="1">
        <f>+'SRBS ER'!AK32</f>
        <v>0</v>
      </c>
      <c r="AN101" s="1">
        <f>+'SRBS ER'!AL32</f>
        <v>0</v>
      </c>
      <c r="AO101" s="1">
        <f>+'SRBS ER'!AM32</f>
        <v>0</v>
      </c>
      <c r="AP101" s="1">
        <f>+'SRBS ER'!AN32</f>
        <v>0</v>
      </c>
      <c r="AQ101" s="1">
        <f>+'SRBS ER'!AO32</f>
        <v>0</v>
      </c>
      <c r="AR101" s="1">
        <f>+'SRBS ER'!AQ32</f>
        <v>0</v>
      </c>
      <c r="AS101" s="1">
        <f>+'SRBS ER'!AR32</f>
        <v>0</v>
      </c>
      <c r="AT101" s="1">
        <f>+'SRBS ER'!AS32</f>
        <v>0</v>
      </c>
      <c r="AU101" s="1">
        <f>+'SRBS ER'!AT32</f>
        <v>0</v>
      </c>
      <c r="AV101" s="1">
        <f>+'SRBS ER'!AU32</f>
        <v>0</v>
      </c>
      <c r="AW101" s="1"/>
      <c r="AX101" s="1">
        <f>+'SRBS ER'!AW32</f>
        <v>0</v>
      </c>
      <c r="AY101" s="1">
        <f>+'SRBS ER'!AX32</f>
        <v>0</v>
      </c>
      <c r="AZ101" s="1">
        <f>+'SRBS ER'!AY32</f>
        <v>0</v>
      </c>
      <c r="BA101" s="1">
        <f>+'SRBS ER'!AZ32</f>
        <v>0</v>
      </c>
      <c r="BB101" s="1">
        <f>+'SRBS ER'!BA32</f>
        <v>0</v>
      </c>
      <c r="BC101" s="1">
        <f>+'SRBS ER'!BB32</f>
        <v>6602</v>
      </c>
      <c r="BD101" s="1"/>
      <c r="BE101" s="1"/>
      <c r="BF101" s="1">
        <f>SUM(E101:BE101)</f>
        <v>6602</v>
      </c>
      <c r="BG101" s="1">
        <f t="shared" si="180"/>
        <v>0</v>
      </c>
      <c r="BH101" s="1">
        <f>+'DSBS ER'!B32</f>
        <v>0</v>
      </c>
      <c r="BI101" s="1">
        <f>+'DSBS ER'!C32</f>
        <v>0</v>
      </c>
      <c r="BJ101" s="1">
        <f>+'DSBS ER'!D32</f>
        <v>0</v>
      </c>
      <c r="BK101" s="1">
        <f>+'DSBS ER'!E32</f>
        <v>0</v>
      </c>
      <c r="BL101" s="1">
        <f>+'DSBS ER'!F32</f>
        <v>0</v>
      </c>
      <c r="BM101" s="1">
        <f>+'DSBS ER'!G32</f>
        <v>0</v>
      </c>
      <c r="BN101" s="1">
        <f>+'DSBS ER'!H32</f>
        <v>0</v>
      </c>
      <c r="BO101" s="1"/>
      <c r="BP101" s="1">
        <f t="shared" si="176"/>
        <v>0</v>
      </c>
      <c r="BQ101" s="1"/>
      <c r="BR101" s="1">
        <f>+'CPBS ER'!B32</f>
        <v>1123725</v>
      </c>
      <c r="BS101" s="1">
        <f>+'CPBS ER'!C32</f>
        <v>0</v>
      </c>
      <c r="BT101" s="1">
        <f>+'CPBS ER'!D32</f>
        <v>0</v>
      </c>
      <c r="BU101" s="1">
        <f>+'CPBS ER'!E32</f>
        <v>0</v>
      </c>
      <c r="BV101" s="1">
        <f>+'CPBS ER'!F32</f>
        <v>0</v>
      </c>
      <c r="BW101" s="1">
        <f>+'CPBS ER'!G32</f>
        <v>0</v>
      </c>
      <c r="BX101" s="3"/>
      <c r="BY101" s="1">
        <f>SUM(BR101:BX101)</f>
        <v>1123725</v>
      </c>
      <c r="BZ101" s="1"/>
      <c r="CA101" s="1"/>
      <c r="CB101" s="1">
        <f>+'ENBS ER'!D32</f>
        <v>0</v>
      </c>
      <c r="CC101" s="1">
        <f>+'ENBS ER'!E32+'ENBS ER'!C32</f>
        <v>0</v>
      </c>
      <c r="CD101" s="1">
        <f>+'ENBS ER'!F32</f>
        <v>0</v>
      </c>
      <c r="CE101" s="1">
        <f>+'ENBS ER'!G32</f>
        <v>0</v>
      </c>
      <c r="CF101" s="1">
        <f>+'ENBS ER'!H32</f>
        <v>0</v>
      </c>
      <c r="CG101" s="1">
        <f>+'ENBS ER'!I32</f>
        <v>0</v>
      </c>
      <c r="CH101" s="1">
        <f>+'ENBS ER'!J32</f>
        <v>0</v>
      </c>
      <c r="CI101" s="1"/>
      <c r="CJ101" s="1">
        <f t="shared" si="187"/>
        <v>0</v>
      </c>
      <c r="CK101" s="1"/>
      <c r="CL101" s="1">
        <f>+'ENBS ER'!M32</f>
        <v>0</v>
      </c>
      <c r="CM101" s="1">
        <f>+'ENBS ER'!N32</f>
        <v>0</v>
      </c>
      <c r="CN101" s="1">
        <f>+'ENBS ER'!O32</f>
        <v>0</v>
      </c>
      <c r="CO101" s="1">
        <f>+'ENBS ER'!P32</f>
        <v>0</v>
      </c>
      <c r="CP101" s="1">
        <f>+'ENBS ER'!Q32</f>
        <v>0</v>
      </c>
      <c r="CQ101" s="1">
        <f>+'ENBS ER'!R32</f>
        <v>0</v>
      </c>
      <c r="CR101" s="1">
        <f>+'ENBS ER'!S32</f>
        <v>0</v>
      </c>
      <c r="CS101" s="1"/>
      <c r="CT101" s="1"/>
      <c r="CU101" s="1">
        <f>SUM(CL101:CT101)</f>
        <v>0</v>
      </c>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V101" s="1"/>
      <c r="DW101" s="1">
        <f t="shared" si="188"/>
        <v>0</v>
      </c>
      <c r="DX101" s="1"/>
      <c r="DY101" s="1"/>
      <c r="DZ101" s="1"/>
      <c r="EC101" s="1"/>
      <c r="ED101" s="1"/>
      <c r="EE101" s="1">
        <f t="shared" si="186"/>
        <v>0</v>
      </c>
      <c r="EF101" s="1"/>
      <c r="EG101" s="1"/>
    </row>
    <row r="102" spans="1:137" ht="15.75">
      <c r="A102" s="1"/>
      <c r="B102" s="89" t="s">
        <v>3326</v>
      </c>
      <c r="C102" s="1"/>
      <c r="D102" s="1">
        <f>+'GFBS ER'!B33</f>
        <v>0</v>
      </c>
      <c r="E102" s="1">
        <f>+'SRBS ER'!B33</f>
        <v>0</v>
      </c>
      <c r="F102" s="1">
        <f>+'SRBS ER'!C33</f>
        <v>0</v>
      </c>
      <c r="G102" s="1">
        <f>+'SRBS ER'!D33</f>
        <v>0</v>
      </c>
      <c r="H102" s="1">
        <f>+'SRBS ER'!E33</f>
        <v>0</v>
      </c>
      <c r="J102" s="1">
        <f>+'SRBS ER'!G33</f>
        <v>0</v>
      </c>
      <c r="K102" s="1">
        <f>+'SRBS ER'!H33</f>
        <v>0</v>
      </c>
      <c r="L102" s="1">
        <f>+'SRBS ER'!I33</f>
        <v>0</v>
      </c>
      <c r="M102" s="1">
        <f>+'SRBS ER'!J33</f>
        <v>0</v>
      </c>
      <c r="N102" s="1">
        <f>+'SRBS ER'!K33</f>
        <v>0</v>
      </c>
      <c r="O102" s="1">
        <f>+'SRBS ER'!L33</f>
        <v>0</v>
      </c>
      <c r="P102" s="1">
        <f>+'SRBS ER'!M33</f>
        <v>0</v>
      </c>
      <c r="Q102" s="1">
        <f>+'SRBS ER'!N33</f>
        <v>0</v>
      </c>
      <c r="R102" s="1">
        <f>+'SRBS ER'!O33</f>
        <v>0</v>
      </c>
      <c r="S102" s="1">
        <f>+'SRBS ER'!P33</f>
        <v>0</v>
      </c>
      <c r="T102" s="1">
        <f>+'SRBS ER'!Q33</f>
        <v>0</v>
      </c>
      <c r="U102" s="1">
        <f>+'SRBS ER'!R33</f>
        <v>0</v>
      </c>
      <c r="V102" s="1">
        <f>+'SRBS ER'!S33</f>
        <v>0</v>
      </c>
      <c r="W102" s="1">
        <f>+'SRBS ER'!T33</f>
        <v>0</v>
      </c>
      <c r="X102" s="1">
        <f>+'SRBS ER'!U33</f>
        <v>0</v>
      </c>
      <c r="Y102" s="1">
        <f>+'SRBS ER'!V33</f>
        <v>0</v>
      </c>
      <c r="Z102" s="1">
        <f>+'SRBS ER'!W33</f>
        <v>0</v>
      </c>
      <c r="AA102" s="1">
        <f>+'SRBS ER'!X33</f>
        <v>0</v>
      </c>
      <c r="AB102" s="1">
        <f>+'SRBS ER'!Y33</f>
        <v>0</v>
      </c>
      <c r="AC102" s="1">
        <f>+'SRBS ER'!Z33</f>
        <v>0</v>
      </c>
      <c r="AD102" s="1">
        <f>+'SRBS ER'!AA33</f>
        <v>0</v>
      </c>
      <c r="AE102" s="1">
        <f>+'SRBS ER'!AB33+'SRBS ER'!AC33</f>
        <v>0</v>
      </c>
      <c r="AF102" s="1">
        <f>+'SRBS ER'!AD33</f>
        <v>0</v>
      </c>
      <c r="AG102" s="1">
        <f>+'SRBS ER'!AE33</f>
        <v>0</v>
      </c>
      <c r="AH102" s="1">
        <f>+'SRBS ER'!AF33</f>
        <v>0</v>
      </c>
      <c r="AI102" s="1">
        <f>+'SRBS ER'!AG33</f>
        <v>0</v>
      </c>
      <c r="AJ102" s="1">
        <f>+'SRBS ER'!AH33</f>
        <v>0</v>
      </c>
      <c r="AK102" s="1">
        <f>+'SRBS ER'!AI33</f>
        <v>0</v>
      </c>
      <c r="AL102" s="1">
        <f>+'SRBS ER'!AJ33</f>
        <v>0</v>
      </c>
      <c r="AM102" s="1">
        <f>+'SRBS ER'!AK33</f>
        <v>0</v>
      </c>
      <c r="AN102" s="1">
        <f>+'SRBS ER'!AL33</f>
        <v>0</v>
      </c>
      <c r="AO102" s="1">
        <f>+'SRBS ER'!AM33</f>
        <v>0</v>
      </c>
      <c r="AP102" s="1">
        <f>+'SRBS ER'!AN33</f>
        <v>0</v>
      </c>
      <c r="AQ102" s="1">
        <f>+'SRBS ER'!AO33</f>
        <v>0</v>
      </c>
      <c r="AR102" s="1">
        <f>+'SRBS ER'!AQ33</f>
        <v>0</v>
      </c>
      <c r="AS102" s="1">
        <f>+'SRBS ER'!AR33</f>
        <v>0</v>
      </c>
      <c r="AT102" s="1">
        <f>+'SRBS ER'!AS33</f>
        <v>0</v>
      </c>
      <c r="AU102" s="1">
        <f>+'SRBS ER'!AT33</f>
        <v>0</v>
      </c>
      <c r="AV102" s="1">
        <f>+'SRBS ER'!AU33</f>
        <v>0</v>
      </c>
      <c r="AW102" s="1"/>
      <c r="AX102" s="1">
        <f>+'SRBS ER'!AW33</f>
        <v>0</v>
      </c>
      <c r="AY102" s="1">
        <f>+'SRBS ER'!AX33</f>
        <v>0</v>
      </c>
      <c r="AZ102" s="1">
        <f>+'SRBS ER'!AY33</f>
        <v>0</v>
      </c>
      <c r="BA102" s="1">
        <f>+'SRBS ER'!AZ33</f>
        <v>0</v>
      </c>
      <c r="BB102" s="1">
        <f>+'SRBS ER'!BA33</f>
        <v>0</v>
      </c>
      <c r="BC102" s="1">
        <f>+'SRBS ER'!BB33</f>
        <v>0</v>
      </c>
      <c r="BD102" s="1"/>
      <c r="BE102" s="1"/>
      <c r="BF102" s="1">
        <f>SUM(E102:BE102)</f>
        <v>0</v>
      </c>
      <c r="BG102" s="1">
        <f t="shared" si="180"/>
        <v>0</v>
      </c>
      <c r="BH102" s="1">
        <f>+'DSBS ER'!B33</f>
        <v>0</v>
      </c>
      <c r="BI102" s="1">
        <f>+'DSBS ER'!C33</f>
        <v>0</v>
      </c>
      <c r="BJ102" s="1">
        <f>+'DSBS ER'!D33</f>
        <v>0</v>
      </c>
      <c r="BK102" s="1">
        <f>+'DSBS ER'!E33</f>
        <v>0</v>
      </c>
      <c r="BL102" s="1">
        <f>+'DSBS ER'!F33</f>
        <v>0</v>
      </c>
      <c r="BM102" s="1">
        <f>+'DSBS ER'!G33</f>
        <v>0</v>
      </c>
      <c r="BN102" s="1">
        <f>+'DSBS ER'!H33</f>
        <v>0</v>
      </c>
      <c r="BO102" s="1"/>
      <c r="BP102" s="1">
        <f t="shared" si="176"/>
        <v>0</v>
      </c>
      <c r="BQ102" s="1"/>
      <c r="BR102" s="1">
        <f>+'CPBS ER'!B33</f>
        <v>0</v>
      </c>
      <c r="BS102" s="1">
        <f>+'CPBS ER'!C33</f>
        <v>0</v>
      </c>
      <c r="BT102" s="1">
        <f>+'CPBS ER'!D33</f>
        <v>0</v>
      </c>
      <c r="BU102" s="1">
        <f>+'CPBS ER'!E33</f>
        <v>0</v>
      </c>
      <c r="BV102" s="1">
        <f>+'CPBS ER'!F33</f>
        <v>0</v>
      </c>
      <c r="BW102" s="1">
        <f>+'CPBS ER'!G33</f>
        <v>0</v>
      </c>
      <c r="BX102" s="3"/>
      <c r="BY102" s="1">
        <v>0</v>
      </c>
      <c r="BZ102" s="1"/>
      <c r="CA102" s="1"/>
      <c r="CB102" s="1">
        <f>+'ENBS ER'!D33</f>
        <v>0</v>
      </c>
      <c r="CC102" s="1">
        <f>+'ENBS ER'!E33+'ENBS ER'!C33</f>
        <v>0</v>
      </c>
      <c r="CD102" s="1">
        <f>+'ENBS ER'!F33</f>
        <v>0</v>
      </c>
      <c r="CE102" s="1">
        <f>+'ENBS ER'!G33</f>
        <v>0</v>
      </c>
      <c r="CF102" s="1">
        <f>+'ENBS ER'!H33</f>
        <v>0</v>
      </c>
      <c r="CG102" s="1">
        <f>+'ENBS ER'!I33</f>
        <v>0</v>
      </c>
      <c r="CH102" s="1">
        <f>+'ENBS ER'!J33</f>
        <v>0</v>
      </c>
      <c r="CI102" s="1"/>
      <c r="CJ102" s="1">
        <f t="shared" si="187"/>
        <v>0</v>
      </c>
      <c r="CK102" s="1"/>
      <c r="CL102" s="1">
        <f>+'ENBS ER'!M33</f>
        <v>0</v>
      </c>
      <c r="CM102" s="1">
        <f>+'ENBS ER'!N33</f>
        <v>0</v>
      </c>
      <c r="CN102" s="1">
        <f>+'ENBS ER'!O33</f>
        <v>0</v>
      </c>
      <c r="CO102" s="1">
        <f>+'ENBS ER'!P33</f>
        <v>0</v>
      </c>
      <c r="CP102" s="1">
        <f>+'ENBS ER'!Q33</f>
        <v>0</v>
      </c>
      <c r="CQ102" s="1">
        <f>+'ENBS ER'!R33</f>
        <v>0</v>
      </c>
      <c r="CR102" s="1">
        <f>+'ENBS ER'!S33</f>
        <v>0</v>
      </c>
      <c r="CS102" s="1"/>
      <c r="CT102" s="1"/>
      <c r="CU102" s="1">
        <v>0</v>
      </c>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V102" s="1"/>
      <c r="DW102" s="1">
        <f t="shared" si="188"/>
        <v>0</v>
      </c>
      <c r="DX102" s="1"/>
      <c r="DY102" s="1"/>
      <c r="DZ102" s="1"/>
      <c r="EC102" s="1"/>
      <c r="ED102" s="1"/>
      <c r="EE102" s="1">
        <f t="shared" si="186"/>
        <v>0</v>
      </c>
      <c r="EF102" s="1"/>
      <c r="EG102" s="1"/>
    </row>
    <row r="103" spans="1:137" ht="15.75">
      <c r="A103" s="1"/>
      <c r="B103" s="1" t="s">
        <v>343</v>
      </c>
      <c r="C103" s="1"/>
      <c r="D103" s="1">
        <f>+'GFBS ER'!B34</f>
        <v>0</v>
      </c>
      <c r="E103" s="1">
        <f>+'SRBS ER'!B34</f>
        <v>0</v>
      </c>
      <c r="F103" s="1">
        <f>+'SRBS ER'!C34</f>
        <v>0</v>
      </c>
      <c r="G103" s="1">
        <f>+'SRBS ER'!D34</f>
        <v>0</v>
      </c>
      <c r="H103" s="1">
        <f>+'SRBS ER'!E34</f>
        <v>0</v>
      </c>
      <c r="I103" s="1">
        <f>+'SRBS ER'!F34</f>
        <v>0</v>
      </c>
      <c r="J103" s="1">
        <f>+'SRBS ER'!G34</f>
        <v>0</v>
      </c>
      <c r="K103" s="1">
        <f>+'SRBS ER'!H34</f>
        <v>0</v>
      </c>
      <c r="L103" s="1">
        <f>+'SRBS ER'!I34</f>
        <v>0</v>
      </c>
      <c r="M103" s="1">
        <f>+'SRBS ER'!J34</f>
        <v>0</v>
      </c>
      <c r="N103" s="1">
        <f>+'SRBS ER'!K34</f>
        <v>0</v>
      </c>
      <c r="O103" s="1">
        <f>+'SRBS ER'!L34</f>
        <v>0</v>
      </c>
      <c r="P103" s="1">
        <f>+'SRBS ER'!M34</f>
        <v>0</v>
      </c>
      <c r="Q103" s="1">
        <f>+'SRBS ER'!N34</f>
        <v>0</v>
      </c>
      <c r="R103" s="1">
        <f>+'SRBS ER'!O34</f>
        <v>0</v>
      </c>
      <c r="S103" s="1">
        <f>+'SRBS ER'!P34</f>
        <v>0</v>
      </c>
      <c r="T103" s="1">
        <f>+'SRBS ER'!Q34</f>
        <v>0</v>
      </c>
      <c r="U103" s="1">
        <f>+'SRBS ER'!R34</f>
        <v>0</v>
      </c>
      <c r="V103" s="1">
        <f>+'SRBS ER'!S34</f>
        <v>0</v>
      </c>
      <c r="W103" s="1">
        <f>+'SRBS ER'!T34</f>
        <v>0</v>
      </c>
      <c r="X103" s="1">
        <f>+'SRBS ER'!U34</f>
        <v>0</v>
      </c>
      <c r="Y103" s="1">
        <f>+'SRBS ER'!V34</f>
        <v>0</v>
      </c>
      <c r="Z103" s="1">
        <f>+'SRBS ER'!W34</f>
        <v>0</v>
      </c>
      <c r="AA103" s="1">
        <f>+'SRBS ER'!X34</f>
        <v>0</v>
      </c>
      <c r="AB103" s="1">
        <f>+'SRBS ER'!Y34</f>
        <v>0</v>
      </c>
      <c r="AC103" s="1">
        <f>+'SRBS ER'!Z34</f>
        <v>0</v>
      </c>
      <c r="AD103" s="1">
        <f>+'SRBS ER'!AA34</f>
        <v>0</v>
      </c>
      <c r="AE103" s="1">
        <f>+'SRBS ER'!AB34+'SRBS ER'!AC34</f>
        <v>0</v>
      </c>
      <c r="AF103" s="1">
        <f>+'SRBS ER'!AD34</f>
        <v>0</v>
      </c>
      <c r="AG103" s="1">
        <f>+'SRBS ER'!AE34</f>
        <v>0</v>
      </c>
      <c r="AH103" s="1">
        <f>+'SRBS ER'!AF34</f>
        <v>0</v>
      </c>
      <c r="AI103" s="1">
        <f>+'SRBS ER'!AG34</f>
        <v>0</v>
      </c>
      <c r="AJ103" s="1">
        <f>+'SRBS ER'!AH34</f>
        <v>0</v>
      </c>
      <c r="AK103" s="1">
        <f>+'SRBS ER'!AI34</f>
        <v>0</v>
      </c>
      <c r="AL103" s="1">
        <f>+'SRBS ER'!AJ34</f>
        <v>0</v>
      </c>
      <c r="AM103" s="1">
        <f>+'SRBS ER'!AK34</f>
        <v>0</v>
      </c>
      <c r="AN103" s="1">
        <f>+'SRBS ER'!AL34</f>
        <v>0</v>
      </c>
      <c r="AO103" s="1">
        <f>+'SRBS ER'!AM34</f>
        <v>0</v>
      </c>
      <c r="AP103" s="1">
        <f>+'SRBS ER'!AN34</f>
        <v>0</v>
      </c>
      <c r="AQ103" s="1">
        <f>+'SRBS ER'!AO34</f>
        <v>0</v>
      </c>
      <c r="AR103" s="1">
        <f>+'SRBS ER'!AQ34</f>
        <v>0</v>
      </c>
      <c r="AS103" s="1">
        <f>+'SRBS ER'!AR34</f>
        <v>0</v>
      </c>
      <c r="AT103" s="1">
        <f>+'SRBS ER'!AS34</f>
        <v>0</v>
      </c>
      <c r="AU103" s="1">
        <f>+'SRBS ER'!AT34</f>
        <v>0</v>
      </c>
      <c r="AV103" s="1">
        <f>+'SRBS ER'!AU34</f>
        <v>0</v>
      </c>
      <c r="AW103" s="1"/>
      <c r="AX103" s="1">
        <f>+'SRBS ER'!AW34</f>
        <v>0</v>
      </c>
      <c r="AY103" s="1">
        <f>+'SRBS ER'!AX34</f>
        <v>0</v>
      </c>
      <c r="AZ103" s="1">
        <f>+'SRBS ER'!AY34</f>
        <v>0</v>
      </c>
      <c r="BA103" s="1">
        <f>+'SRBS ER'!AZ34</f>
        <v>0</v>
      </c>
      <c r="BB103" s="1">
        <f>+'SRBS ER'!BA34</f>
        <v>0</v>
      </c>
      <c r="BC103" s="1">
        <f>+'SRBS ER'!BB34</f>
        <v>0</v>
      </c>
      <c r="BD103" s="1"/>
      <c r="BE103" s="1"/>
      <c r="BF103" s="1"/>
      <c r="BG103" s="1">
        <f t="shared" si="180"/>
        <v>0</v>
      </c>
      <c r="BH103" s="1">
        <f>+'DSBS ER'!B34</f>
        <v>0</v>
      </c>
      <c r="BI103" s="1">
        <f>+'DSBS ER'!C34</f>
        <v>0</v>
      </c>
      <c r="BJ103" s="1">
        <f>+'DSBS ER'!D34</f>
        <v>0</v>
      </c>
      <c r="BK103" s="1">
        <f>+'DSBS ER'!E34</f>
        <v>0</v>
      </c>
      <c r="BL103" s="1">
        <f>+'DSBS ER'!F34</f>
        <v>0</v>
      </c>
      <c r="BM103" s="1">
        <f>+'DSBS ER'!G34</f>
        <v>0</v>
      </c>
      <c r="BN103" s="1">
        <f>+'DSBS ER'!H34</f>
        <v>0</v>
      </c>
      <c r="BO103" s="1"/>
      <c r="BP103" s="1">
        <f t="shared" si="176"/>
        <v>0</v>
      </c>
      <c r="BQ103" s="1"/>
      <c r="BR103" s="1">
        <f>+'CPBS ER'!B34</f>
        <v>0</v>
      </c>
      <c r="BS103" s="1">
        <f>+'CPBS ER'!C34</f>
        <v>0</v>
      </c>
      <c r="BT103" s="1">
        <f>+'CPBS ER'!D34</f>
        <v>0</v>
      </c>
      <c r="BU103" s="1">
        <f>+'CPBS ER'!E34</f>
        <v>0</v>
      </c>
      <c r="BV103" s="1">
        <f>+'CPBS ER'!F34</f>
        <v>0</v>
      </c>
      <c r="BW103" s="1">
        <f>+'CPBS ER'!G34</f>
        <v>0</v>
      </c>
      <c r="BX103" s="3"/>
      <c r="BY103" s="1"/>
      <c r="BZ103" s="1"/>
      <c r="CA103" s="1"/>
      <c r="CB103" s="1">
        <f>+'ENBS ER'!D34</f>
        <v>0</v>
      </c>
      <c r="CC103" s="1">
        <f>+'ENBS ER'!E34+'ENBS ER'!C34</f>
        <v>0</v>
      </c>
      <c r="CD103" s="1">
        <f>+'ENBS ER'!F34</f>
        <v>0</v>
      </c>
      <c r="CE103" s="1">
        <f>+'ENBS ER'!G34</f>
        <v>0</v>
      </c>
      <c r="CF103" s="1">
        <f>+'ENBS ER'!H34</f>
        <v>0</v>
      </c>
      <c r="CG103" s="1">
        <f>+'ENBS ER'!I34</f>
        <v>0</v>
      </c>
      <c r="CH103" s="1">
        <f>+'ENBS ER'!J34</f>
        <v>0</v>
      </c>
      <c r="CI103" s="1"/>
      <c r="CJ103" s="1"/>
      <c r="CK103" s="1"/>
      <c r="CL103" s="1">
        <f>+'ENBS ER'!M34</f>
        <v>0</v>
      </c>
      <c r="CM103" s="1">
        <f>+'ENBS ER'!N34</f>
        <v>0</v>
      </c>
      <c r="CN103" s="1">
        <f>+'ENBS ER'!O34</f>
        <v>0</v>
      </c>
      <c r="CO103" s="1">
        <f>+'ENBS ER'!P34</f>
        <v>0</v>
      </c>
      <c r="CP103" s="1">
        <f>+'ENBS ER'!Q34</f>
        <v>0</v>
      </c>
      <c r="CQ103" s="1">
        <f>+'ENBS ER'!R34</f>
        <v>0</v>
      </c>
      <c r="CR103" s="1">
        <f>+'ENBS ER'!S34</f>
        <v>0</v>
      </c>
      <c r="CS103" s="1"/>
      <c r="CT103" s="1"/>
      <c r="CU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V103" s="1"/>
      <c r="DW103" s="1">
        <f t="shared" si="188"/>
        <v>0</v>
      </c>
      <c r="DX103" s="1"/>
      <c r="DY103" s="1"/>
      <c r="DZ103" s="1"/>
      <c r="EC103" s="1"/>
      <c r="ED103" s="1"/>
      <c r="EE103" s="1">
        <f t="shared" si="186"/>
        <v>0</v>
      </c>
      <c r="EF103" s="1"/>
      <c r="EG103" s="1"/>
    </row>
    <row r="104" spans="1:137" ht="15.75">
      <c r="A104" s="1"/>
      <c r="B104" s="1" t="s">
        <v>1352</v>
      </c>
      <c r="C104" s="1"/>
      <c r="D104" s="1">
        <f>+'GFBS ER'!B35</f>
        <v>0</v>
      </c>
      <c r="E104" s="1">
        <f>+'SRBS ER'!B35</f>
        <v>0</v>
      </c>
      <c r="F104" s="1">
        <f>+'SRBS ER'!C35</f>
        <v>0</v>
      </c>
      <c r="G104" s="1">
        <f>+'SRBS ER'!D35</f>
        <v>0</v>
      </c>
      <c r="H104" s="1">
        <f>+'SRBS ER'!E35</f>
        <v>0</v>
      </c>
      <c r="I104" s="1">
        <f>+'SRBS ER'!F35</f>
        <v>0</v>
      </c>
      <c r="J104" s="1">
        <f>+'SRBS ER'!G35</f>
        <v>0</v>
      </c>
      <c r="K104" s="1">
        <f>+'SRBS ER'!H35</f>
        <v>0</v>
      </c>
      <c r="L104" s="1">
        <f>+'SRBS ER'!I35</f>
        <v>0</v>
      </c>
      <c r="M104" s="1">
        <f>+'SRBS ER'!J35</f>
        <v>0</v>
      </c>
      <c r="N104" s="1">
        <f>+'SRBS ER'!K35</f>
        <v>0</v>
      </c>
      <c r="O104" s="1">
        <f>+'SRBS ER'!L35</f>
        <v>0</v>
      </c>
      <c r="P104" s="1">
        <f>+'SRBS ER'!M35</f>
        <v>0</v>
      </c>
      <c r="Q104" s="1">
        <f>+'SRBS ER'!N35</f>
        <v>0</v>
      </c>
      <c r="R104" s="1">
        <f>+'SRBS ER'!O35</f>
        <v>0</v>
      </c>
      <c r="S104" s="1">
        <f>+'SRBS ER'!P35</f>
        <v>0</v>
      </c>
      <c r="T104" s="1">
        <f>+'SRBS ER'!Q35</f>
        <v>0</v>
      </c>
      <c r="U104" s="1">
        <f>+'SRBS ER'!R35</f>
        <v>0</v>
      </c>
      <c r="V104" s="1">
        <f>+'SRBS ER'!S35</f>
        <v>0</v>
      </c>
      <c r="W104" s="1">
        <f>+'SRBS ER'!T35</f>
        <v>0</v>
      </c>
      <c r="X104" s="1">
        <f>+'SRBS ER'!U35</f>
        <v>0</v>
      </c>
      <c r="Y104" s="1">
        <f>+'SRBS ER'!V35</f>
        <v>0</v>
      </c>
      <c r="Z104" s="1">
        <f>+'SRBS ER'!W35</f>
        <v>0</v>
      </c>
      <c r="AA104" s="1">
        <f>+'SRBS ER'!X35</f>
        <v>0</v>
      </c>
      <c r="AB104" s="1">
        <f>+'SRBS ER'!Y35</f>
        <v>0</v>
      </c>
      <c r="AC104" s="1">
        <f>+'SRBS ER'!Z35</f>
        <v>0</v>
      </c>
      <c r="AD104" s="1">
        <f>+'SRBS ER'!AA35</f>
        <v>0</v>
      </c>
      <c r="AE104" s="1">
        <f>+'SRBS ER'!AB35+'SRBS ER'!AC35</f>
        <v>0</v>
      </c>
      <c r="AF104" s="1">
        <f>+'SRBS ER'!AD35</f>
        <v>0</v>
      </c>
      <c r="AG104" s="1">
        <f>+'SRBS ER'!AE35</f>
        <v>0</v>
      </c>
      <c r="AH104" s="1">
        <f>+'SRBS ER'!AF35</f>
        <v>0</v>
      </c>
      <c r="AI104" s="1">
        <f>+'SRBS ER'!AG35</f>
        <v>0</v>
      </c>
      <c r="AJ104" s="1">
        <f>+'SRBS ER'!AH35</f>
        <v>0</v>
      </c>
      <c r="AK104" s="1">
        <f>+'SRBS ER'!AI35</f>
        <v>0</v>
      </c>
      <c r="AL104" s="1">
        <f>+'SRBS ER'!AJ35</f>
        <v>0</v>
      </c>
      <c r="AM104" s="1">
        <f>+'SRBS ER'!AK35</f>
        <v>0</v>
      </c>
      <c r="AN104" s="1">
        <f>+'SRBS ER'!AL35</f>
        <v>0</v>
      </c>
      <c r="AO104" s="1">
        <f>+'SRBS ER'!AM35</f>
        <v>0</v>
      </c>
      <c r="AP104" s="1">
        <f>+'SRBS ER'!AN35</f>
        <v>0</v>
      </c>
      <c r="AQ104" s="1">
        <f>+'SRBS ER'!AO35</f>
        <v>0</v>
      </c>
      <c r="AR104" s="1">
        <f>+'SRBS ER'!AQ35</f>
        <v>0</v>
      </c>
      <c r="AS104" s="1">
        <f>+'SRBS ER'!AR35</f>
        <v>0</v>
      </c>
      <c r="AT104" s="1">
        <f>+'SRBS ER'!AS35</f>
        <v>0</v>
      </c>
      <c r="AU104" s="1">
        <f>+'SRBS ER'!AT35</f>
        <v>0</v>
      </c>
      <c r="AV104" s="1">
        <f>+'SRBS ER'!AU35</f>
        <v>0</v>
      </c>
      <c r="AW104" s="1"/>
      <c r="AX104" s="1">
        <f>+'SRBS ER'!AW35</f>
        <v>0</v>
      </c>
      <c r="AY104" s="1">
        <f>+'SRBS ER'!AX35</f>
        <v>0</v>
      </c>
      <c r="AZ104" s="1">
        <f>+'SRBS ER'!AY35</f>
        <v>0</v>
      </c>
      <c r="BA104" s="1">
        <f>+'SRBS ER'!AZ35</f>
        <v>0</v>
      </c>
      <c r="BB104" s="1">
        <f>+'SRBS ER'!BA35</f>
        <v>0</v>
      </c>
      <c r="BC104" s="1">
        <f>+'SRBS ER'!BB35</f>
        <v>0</v>
      </c>
      <c r="BD104" s="1"/>
      <c r="BE104" s="1"/>
      <c r="BF104" s="1">
        <f>SUM(E104:BE104)</f>
        <v>0</v>
      </c>
      <c r="BG104" s="1">
        <f t="shared" si="180"/>
        <v>0</v>
      </c>
      <c r="BH104" s="1">
        <f>+'DSBS ER'!B35</f>
        <v>0</v>
      </c>
      <c r="BI104" s="1">
        <f>+'DSBS ER'!C35</f>
        <v>0</v>
      </c>
      <c r="BJ104" s="1">
        <f>+'DSBS ER'!D35</f>
        <v>0</v>
      </c>
      <c r="BK104" s="1">
        <f>+'DSBS ER'!E35</f>
        <v>0</v>
      </c>
      <c r="BL104" s="1">
        <f>+'DSBS ER'!F35</f>
        <v>0</v>
      </c>
      <c r="BM104" s="1">
        <f>+'DSBS ER'!G35</f>
        <v>0</v>
      </c>
      <c r="BN104" s="1">
        <f>+'DSBS ER'!H35</f>
        <v>0</v>
      </c>
      <c r="BO104" s="1"/>
      <c r="BP104" s="1">
        <f t="shared" si="176"/>
        <v>0</v>
      </c>
      <c r="BQ104" s="1"/>
      <c r="BR104" s="1">
        <f>+'CPBS ER'!B35</f>
        <v>0</v>
      </c>
      <c r="BS104" s="1">
        <f>+'CPBS ER'!C35</f>
        <v>0</v>
      </c>
      <c r="BT104" s="1">
        <f>+'CPBS ER'!D35</f>
        <v>0</v>
      </c>
      <c r="BU104" s="1">
        <f>+'CPBS ER'!E35</f>
        <v>0</v>
      </c>
      <c r="BV104" s="1">
        <f>+'CPBS ER'!F35</f>
        <v>0</v>
      </c>
      <c r="BW104" s="1">
        <f>+'CPBS ER'!G35</f>
        <v>0</v>
      </c>
      <c r="BX104" s="3"/>
      <c r="BY104" s="1">
        <f>SUM(BR104:BX104)</f>
        <v>0</v>
      </c>
      <c r="BZ104" s="1"/>
      <c r="CA104" s="1"/>
      <c r="CB104" s="1">
        <f>+'ENBS ER'!D35</f>
        <v>0</v>
      </c>
      <c r="CC104" s="1">
        <f>+'ENBS ER'!E35+'ENBS ER'!C35</f>
        <v>0</v>
      </c>
      <c r="CD104" s="1">
        <f>+'ENBS ER'!F35</f>
        <v>0</v>
      </c>
      <c r="CE104" s="1">
        <f>+'ENBS ER'!G35</f>
        <v>0</v>
      </c>
      <c r="CF104" s="1">
        <f>+'ENBS ER'!H35</f>
        <v>0</v>
      </c>
      <c r="CG104" s="1">
        <f>+'ENBS ER'!I35</f>
        <v>0</v>
      </c>
      <c r="CH104" s="1">
        <f>+'ENBS ER'!J35</f>
        <v>0</v>
      </c>
      <c r="CI104" s="1"/>
      <c r="CJ104" s="1">
        <f>SUM(CB104:CI104)</f>
        <v>0</v>
      </c>
      <c r="CK104" s="1"/>
      <c r="CL104" s="1">
        <f>+'ENBS ER'!M35</f>
        <v>0</v>
      </c>
      <c r="CM104" s="1">
        <f>+'ENBS ER'!N35</f>
        <v>0</v>
      </c>
      <c r="CN104" s="1">
        <f>+'ENBS ER'!O35</f>
        <v>0</v>
      </c>
      <c r="CO104" s="1">
        <f>+'ENBS ER'!P35</f>
        <v>0</v>
      </c>
      <c r="CP104" s="1">
        <f>+'ENBS ER'!Q35</f>
        <v>0</v>
      </c>
      <c r="CQ104" s="1">
        <f>+'ENBS ER'!R35</f>
        <v>0</v>
      </c>
      <c r="CR104" s="1">
        <f>+'ENBS ER'!S35</f>
        <v>0</v>
      </c>
      <c r="CS104" s="1"/>
      <c r="CT104" s="1"/>
      <c r="CU104" s="1">
        <f>SUM(CL104:CT104)</f>
        <v>0</v>
      </c>
      <c r="CW104" s="1">
        <f>+'TA BS ER'!B38</f>
        <v>0</v>
      </c>
      <c r="CX104" s="1">
        <f>+'TA BS ER'!C38</f>
        <v>0</v>
      </c>
      <c r="CY104" s="1">
        <f>+'TA BS ER'!D38</f>
        <v>0</v>
      </c>
      <c r="CZ104" s="1">
        <f>+'TA BS ER'!E38</f>
        <v>0</v>
      </c>
      <c r="DA104" s="1">
        <f>+'TA BS ER'!F38</f>
        <v>0</v>
      </c>
      <c r="DB104" s="1">
        <f>+'TA BS ER'!G38</f>
        <v>0</v>
      </c>
      <c r="DC104" s="1">
        <f>+'TA BS ER'!H38</f>
        <v>0</v>
      </c>
      <c r="DD104" s="1">
        <f>+'TA BS ER'!I38</f>
        <v>15629</v>
      </c>
      <c r="DE104" s="1">
        <f>+'TA BS ER'!J38</f>
        <v>0</v>
      </c>
      <c r="DF104" s="1">
        <f>+'TA BS ER'!K38</f>
        <v>0</v>
      </c>
      <c r="DG104" s="1">
        <f>+'TA BS ER'!L38</f>
        <v>0</v>
      </c>
      <c r="DH104" s="1">
        <f>+'TA BS ER'!M38</f>
        <v>0</v>
      </c>
      <c r="DI104" s="1">
        <f>+'TA BS ER'!N38</f>
        <v>0</v>
      </c>
      <c r="DJ104" s="1">
        <f>+'TA BS ER'!O38</f>
        <v>0</v>
      </c>
      <c r="DK104" s="1">
        <f>+'TA BS ER'!P38</f>
        <v>0</v>
      </c>
      <c r="DL104" s="1">
        <f>+'TA BS ER'!Q38</f>
        <v>0</v>
      </c>
      <c r="DM104" s="1">
        <f>+'TA BS ER'!R38</f>
        <v>0</v>
      </c>
      <c r="DN104" s="1">
        <f>+'TA BS ER'!S38</f>
        <v>0</v>
      </c>
      <c r="DO104" s="1">
        <f>+'TA BS ER'!T38</f>
        <v>0</v>
      </c>
      <c r="DP104" s="1">
        <f>+'TA BS ER'!U38</f>
        <v>0</v>
      </c>
      <c r="DQ104" s="1">
        <f>+'TA BS ER'!V38</f>
        <v>0</v>
      </c>
      <c r="DR104" s="1">
        <f>+'TA BS ER'!W38</f>
        <v>0</v>
      </c>
      <c r="DS104" s="1">
        <f>+'TA BS ER'!X38</f>
        <v>0</v>
      </c>
      <c r="DT104" s="1">
        <f>+'TA BS ER'!Y38</f>
        <v>0</v>
      </c>
      <c r="DV104" s="1"/>
      <c r="DW104" s="1">
        <f t="shared" si="188"/>
        <v>15629</v>
      </c>
      <c r="DX104" s="1"/>
      <c r="DY104" s="1"/>
      <c r="DZ104" s="1"/>
      <c r="EC104" s="1"/>
      <c r="ED104" s="1"/>
      <c r="EE104" s="1">
        <f t="shared" si="186"/>
        <v>31258</v>
      </c>
      <c r="EF104" s="1"/>
      <c r="EG104" s="1"/>
    </row>
    <row r="105" spans="1:137" ht="15.75">
      <c r="A105" s="1"/>
      <c r="B105" s="1"/>
      <c r="C105" s="1"/>
      <c r="D105" s="1">
        <f>+'GFBS ER'!B36</f>
        <v>0</v>
      </c>
      <c r="E105" s="1">
        <f>+'SRBS ER'!B36</f>
        <v>0</v>
      </c>
      <c r="F105" s="1">
        <f>+'SRBS ER'!C36</f>
        <v>0</v>
      </c>
      <c r="G105" s="1">
        <f>+'SRBS ER'!D36</f>
        <v>0</v>
      </c>
      <c r="H105" s="1">
        <f>+'SRBS ER'!E36</f>
        <v>0</v>
      </c>
      <c r="I105" s="1">
        <f>+'SRBS ER'!F36</f>
        <v>0</v>
      </c>
      <c r="J105" s="1">
        <f>+'SRBS ER'!G36</f>
        <v>0</v>
      </c>
      <c r="K105" s="1">
        <f>+'SRBS ER'!H36</f>
        <v>0</v>
      </c>
      <c r="L105" s="1">
        <f>+'SRBS ER'!I36</f>
        <v>0</v>
      </c>
      <c r="M105" s="1">
        <f>+'SRBS ER'!J36</f>
        <v>0</v>
      </c>
      <c r="N105" s="1">
        <f>+'SRBS ER'!K36</f>
        <v>0</v>
      </c>
      <c r="O105" s="1">
        <f>+'SRBS ER'!L36</f>
        <v>0</v>
      </c>
      <c r="P105" s="1">
        <f>+'SRBS ER'!M36</f>
        <v>0</v>
      </c>
      <c r="Q105" s="1">
        <f>+'SRBS ER'!N36</f>
        <v>0</v>
      </c>
      <c r="R105" s="1">
        <f>+'SRBS ER'!O36</f>
        <v>0</v>
      </c>
      <c r="S105" s="1">
        <f>+'SRBS ER'!P36</f>
        <v>0</v>
      </c>
      <c r="T105" s="1">
        <f>+'SRBS ER'!Q36</f>
        <v>0</v>
      </c>
      <c r="U105" s="1">
        <f>+'SRBS ER'!R36</f>
        <v>0</v>
      </c>
      <c r="V105" s="1">
        <f>+'SRBS ER'!S36</f>
        <v>0</v>
      </c>
      <c r="W105" s="1">
        <f>+'SRBS ER'!T36</f>
        <v>0</v>
      </c>
      <c r="X105" s="1">
        <f>+'SRBS ER'!U36</f>
        <v>0</v>
      </c>
      <c r="Y105" s="1">
        <f>+'SRBS ER'!V36</f>
        <v>0</v>
      </c>
      <c r="Z105" s="1">
        <f>+'SRBS ER'!W36</f>
        <v>0</v>
      </c>
      <c r="AA105" s="1">
        <f>+'SRBS ER'!X36</f>
        <v>0</v>
      </c>
      <c r="AB105" s="1">
        <f>+'SRBS ER'!Y36</f>
        <v>0</v>
      </c>
      <c r="AC105" s="1">
        <f>+'SRBS ER'!Z36</f>
        <v>0</v>
      </c>
      <c r="AD105" s="1">
        <f>+'SRBS ER'!AA36</f>
        <v>0</v>
      </c>
      <c r="AE105" s="1">
        <f>+'SRBS ER'!AB36+'SRBS ER'!AC36</f>
        <v>0</v>
      </c>
      <c r="AF105" s="1">
        <f>+'SRBS ER'!AD36</f>
        <v>0</v>
      </c>
      <c r="AG105" s="1">
        <f>+'SRBS ER'!AE36</f>
        <v>0</v>
      </c>
      <c r="AH105" s="1">
        <f>+'SRBS ER'!AF36</f>
        <v>0</v>
      </c>
      <c r="AI105" s="1">
        <f>+'SRBS ER'!AG36</f>
        <v>0</v>
      </c>
      <c r="AJ105" s="1">
        <f>+'SRBS ER'!AH36</f>
        <v>0</v>
      </c>
      <c r="AK105" s="1">
        <f>+'SRBS ER'!AI36</f>
        <v>0</v>
      </c>
      <c r="AL105" s="1">
        <f>+'SRBS ER'!AJ36</f>
        <v>0</v>
      </c>
      <c r="AM105" s="1">
        <f>+'SRBS ER'!AK36</f>
        <v>0</v>
      </c>
      <c r="AN105" s="1">
        <f>+'SRBS ER'!AL36</f>
        <v>0</v>
      </c>
      <c r="AO105" s="1">
        <f>+'SRBS ER'!AM36</f>
        <v>0</v>
      </c>
      <c r="AP105" s="1">
        <f>+'SRBS ER'!AN36</f>
        <v>0</v>
      </c>
      <c r="AQ105" s="1">
        <f>+'SRBS ER'!AO36</f>
        <v>0</v>
      </c>
      <c r="AR105" s="1">
        <f>+'SRBS ER'!AQ36</f>
        <v>0</v>
      </c>
      <c r="AS105" s="1">
        <f>+'SRBS ER'!AR36</f>
        <v>0</v>
      </c>
      <c r="AT105" s="1">
        <f>+'SRBS ER'!AS36</f>
        <v>0</v>
      </c>
      <c r="AU105" s="1">
        <f>+'SRBS ER'!AT36</f>
        <v>0</v>
      </c>
      <c r="AV105" s="1">
        <f>+'SRBS ER'!AU36</f>
        <v>0</v>
      </c>
      <c r="AW105" s="1"/>
      <c r="AX105" s="1">
        <f>+'SRBS ER'!AW36</f>
        <v>0</v>
      </c>
      <c r="AY105" s="1">
        <f>+'SRBS ER'!AX36</f>
        <v>0</v>
      </c>
      <c r="AZ105" s="1">
        <f>+'SRBS ER'!AY36</f>
        <v>0</v>
      </c>
      <c r="BA105" s="1">
        <f>+'SRBS ER'!AZ36</f>
        <v>0</v>
      </c>
      <c r="BB105" s="1">
        <f>+'SRBS ER'!BA36</f>
        <v>0</v>
      </c>
      <c r="BC105" s="1">
        <f>+'SRBS ER'!BB36</f>
        <v>0</v>
      </c>
      <c r="BD105" s="1"/>
      <c r="BE105" s="1"/>
      <c r="BF105" s="1">
        <f>SUM(E105:BE105)</f>
        <v>0</v>
      </c>
      <c r="BG105" s="1">
        <f t="shared" si="180"/>
        <v>0</v>
      </c>
      <c r="BH105" s="1">
        <f>+'DSBS ER'!B36</f>
        <v>0</v>
      </c>
      <c r="BI105" s="1">
        <f>+'DSBS ER'!C36</f>
        <v>0</v>
      </c>
      <c r="BJ105" s="1">
        <f>+'DSBS ER'!D36</f>
        <v>0</v>
      </c>
      <c r="BK105" s="1">
        <f>+'DSBS ER'!E36</f>
        <v>0</v>
      </c>
      <c r="BL105" s="1">
        <f>+'DSBS ER'!F36</f>
        <v>0</v>
      </c>
      <c r="BM105" s="1">
        <f>+'DSBS ER'!G36</f>
        <v>0</v>
      </c>
      <c r="BN105" s="1">
        <f>+'DSBS ER'!H36</f>
        <v>0</v>
      </c>
      <c r="BO105" s="1"/>
      <c r="BP105" s="1">
        <f t="shared" si="176"/>
        <v>0</v>
      </c>
      <c r="BQ105" s="1"/>
      <c r="BR105" s="1">
        <f>+'CPBS ER'!B36</f>
        <v>0</v>
      </c>
      <c r="BS105" s="1">
        <f>+'CPBS ER'!C36</f>
        <v>0</v>
      </c>
      <c r="BT105" s="1">
        <f>+'CPBS ER'!D36</f>
        <v>0</v>
      </c>
      <c r="BU105" s="1">
        <f>+'CPBS ER'!E36</f>
        <v>0</v>
      </c>
      <c r="BV105" s="1">
        <f>+'CPBS ER'!F36</f>
        <v>0</v>
      </c>
      <c r="BW105" s="1">
        <f>+'CPBS ER'!G36</f>
        <v>0</v>
      </c>
      <c r="BX105" s="3"/>
      <c r="BY105" s="1">
        <f>SUM(BR105:BX105)</f>
        <v>0</v>
      </c>
      <c r="BZ105" s="1"/>
      <c r="CA105" s="1"/>
      <c r="CB105" s="1">
        <f>+'ENBS ER'!D36</f>
        <v>0</v>
      </c>
      <c r="CC105" s="1">
        <f>+'ENBS ER'!E36+'ENBS ER'!C36</f>
        <v>0</v>
      </c>
      <c r="CD105" s="1">
        <f>+'ENBS ER'!F36</f>
        <v>0</v>
      </c>
      <c r="CE105" s="1">
        <f>+'ENBS ER'!G36</f>
        <v>0</v>
      </c>
      <c r="CF105" s="1">
        <f>+'ENBS ER'!H36</f>
        <v>0</v>
      </c>
      <c r="CG105" s="1">
        <f>+'ENBS ER'!I36</f>
        <v>0</v>
      </c>
      <c r="CH105" s="1">
        <f>+'ENBS ER'!J36</f>
        <v>0</v>
      </c>
      <c r="CI105" s="1"/>
      <c r="CJ105" s="1">
        <f>SUM(CB105:CI105)</f>
        <v>0</v>
      </c>
      <c r="CK105" s="1"/>
      <c r="CL105" s="1">
        <f>+'ENBS ER'!M36</f>
        <v>0</v>
      </c>
      <c r="CM105" s="1">
        <f>+'ENBS ER'!N36</f>
        <v>0</v>
      </c>
      <c r="CN105" s="1">
        <f>+'ENBS ER'!O36</f>
        <v>0</v>
      </c>
      <c r="CO105" s="1">
        <f>+'ENBS ER'!P36</f>
        <v>0</v>
      </c>
      <c r="CP105" s="1">
        <f>+'ENBS ER'!Q36</f>
        <v>0</v>
      </c>
      <c r="CQ105" s="1">
        <f>+'ENBS ER'!R36</f>
        <v>0</v>
      </c>
      <c r="CR105" s="1">
        <f>+'ENBS ER'!S36</f>
        <v>0</v>
      </c>
      <c r="CS105" s="1"/>
      <c r="CT105" s="1"/>
      <c r="CU105" s="1">
        <f>SUM(CL105:CT105)</f>
        <v>0</v>
      </c>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V105" s="1"/>
      <c r="DW105" s="1">
        <f t="shared" si="188"/>
        <v>0</v>
      </c>
      <c r="DX105" s="1"/>
      <c r="DY105" s="1"/>
      <c r="DZ105" s="1"/>
      <c r="EC105" s="1"/>
      <c r="ED105" s="1"/>
      <c r="EE105" s="1">
        <f t="shared" si="186"/>
        <v>0</v>
      </c>
      <c r="EF105" s="1"/>
      <c r="EG105" s="1"/>
    </row>
    <row r="106" spans="1:137" ht="15.75">
      <c r="A106" s="1"/>
      <c r="B106" s="1" t="s">
        <v>1304</v>
      </c>
      <c r="C106" s="1"/>
      <c r="D106" s="1">
        <f>+'GFBS ER'!B37</f>
        <v>0</v>
      </c>
      <c r="E106" s="1">
        <f>+'SRBS ER'!B37</f>
        <v>0</v>
      </c>
      <c r="F106" s="1">
        <f>+'SRBS ER'!C37</f>
        <v>0</v>
      </c>
      <c r="G106" s="1">
        <f>+'SRBS ER'!D37</f>
        <v>0</v>
      </c>
      <c r="H106" s="1">
        <f>+'SRBS ER'!E37</f>
        <v>0</v>
      </c>
      <c r="I106" s="1">
        <f>+'SRBS ER'!F37</f>
        <v>0</v>
      </c>
      <c r="J106" s="1">
        <f>+'SRBS ER'!G37</f>
        <v>0</v>
      </c>
      <c r="K106" s="1">
        <f>+'SRBS ER'!H37</f>
        <v>0</v>
      </c>
      <c r="L106" s="1">
        <f>+'SRBS ER'!I37</f>
        <v>0</v>
      </c>
      <c r="M106" s="1">
        <f>+'SRBS ER'!J37</f>
        <v>0</v>
      </c>
      <c r="N106" s="1">
        <f>+'SRBS ER'!K37</f>
        <v>0</v>
      </c>
      <c r="O106" s="1">
        <f>+'SRBS ER'!L37</f>
        <v>0</v>
      </c>
      <c r="P106" s="1">
        <f>+'SRBS ER'!M37</f>
        <v>0</v>
      </c>
      <c r="Q106" s="1">
        <f>+'SRBS ER'!N37</f>
        <v>0</v>
      </c>
      <c r="R106" s="1">
        <f>+'SRBS ER'!O37</f>
        <v>0</v>
      </c>
      <c r="S106" s="1">
        <f>+'SRBS ER'!P37</f>
        <v>0</v>
      </c>
      <c r="T106" s="1">
        <f>+'SRBS ER'!Q37</f>
        <v>0</v>
      </c>
      <c r="U106" s="1">
        <f>+'SRBS ER'!R37</f>
        <v>0</v>
      </c>
      <c r="V106" s="1">
        <f>+'SRBS ER'!S37</f>
        <v>0</v>
      </c>
      <c r="W106" s="1">
        <f>+'SRBS ER'!T37</f>
        <v>0</v>
      </c>
      <c r="X106" s="1">
        <f>+'SRBS ER'!U37</f>
        <v>0</v>
      </c>
      <c r="Y106" s="1">
        <f>+'SRBS ER'!V37</f>
        <v>0</v>
      </c>
      <c r="Z106" s="1">
        <f>+'SRBS ER'!W37</f>
        <v>0</v>
      </c>
      <c r="AA106" s="1">
        <f>+'SRBS ER'!X37</f>
        <v>0</v>
      </c>
      <c r="AB106" s="1">
        <f>+'SRBS ER'!Y37</f>
        <v>0</v>
      </c>
      <c r="AC106" s="1">
        <f>+'SRBS ER'!Z37</f>
        <v>0</v>
      </c>
      <c r="AD106" s="1">
        <f>+'SRBS ER'!AA37</f>
        <v>0</v>
      </c>
      <c r="AE106" s="1">
        <f>+'SRBS ER'!AB37+'SRBS ER'!AC37</f>
        <v>0</v>
      </c>
      <c r="AF106" s="1">
        <f>+'SRBS ER'!AD37</f>
        <v>0</v>
      </c>
      <c r="AG106" s="1">
        <f>+'SRBS ER'!AE37</f>
        <v>0</v>
      </c>
      <c r="AH106" s="1">
        <f>+'SRBS ER'!AF37</f>
        <v>0</v>
      </c>
      <c r="AI106" s="1">
        <f>+'SRBS ER'!AG37</f>
        <v>0</v>
      </c>
      <c r="AJ106" s="1">
        <f>+'SRBS ER'!AH37</f>
        <v>0</v>
      </c>
      <c r="AK106" s="1">
        <f>+'SRBS ER'!AI37</f>
        <v>0</v>
      </c>
      <c r="AL106" s="1">
        <f>+'SRBS ER'!AJ37</f>
        <v>0</v>
      </c>
      <c r="AM106" s="1">
        <f>+'SRBS ER'!AK37</f>
        <v>0</v>
      </c>
      <c r="AN106" s="1">
        <f>+'SRBS ER'!AL37</f>
        <v>0</v>
      </c>
      <c r="AO106" s="1">
        <f>+'SRBS ER'!AM37</f>
        <v>0</v>
      </c>
      <c r="AP106" s="1">
        <f>+'SRBS ER'!AN37</f>
        <v>0</v>
      </c>
      <c r="AQ106" s="1">
        <f>+'SRBS ER'!AO37</f>
        <v>0</v>
      </c>
      <c r="AR106" s="1">
        <f>+'SRBS ER'!AQ37</f>
        <v>0</v>
      </c>
      <c r="AS106" s="1">
        <f>+'SRBS ER'!AR37</f>
        <v>0</v>
      </c>
      <c r="AT106" s="1">
        <f>+'SRBS ER'!AS37</f>
        <v>0</v>
      </c>
      <c r="AU106" s="1">
        <f>+'SRBS ER'!AT37</f>
        <v>0</v>
      </c>
      <c r="AV106" s="1">
        <f>+'SRBS ER'!AU37</f>
        <v>0</v>
      </c>
      <c r="AW106" s="1"/>
      <c r="AX106" s="1">
        <f>+'SRBS ER'!AW37</f>
        <v>0</v>
      </c>
      <c r="AY106" s="1">
        <f>+'SRBS ER'!AX37</f>
        <v>0</v>
      </c>
      <c r="AZ106" s="1">
        <f>+'SRBS ER'!AY37</f>
        <v>0</v>
      </c>
      <c r="BA106" s="1">
        <f>+'SRBS ER'!AZ37</f>
        <v>0</v>
      </c>
      <c r="BB106" s="1">
        <f>+'SRBS ER'!BA37</f>
        <v>0</v>
      </c>
      <c r="BC106" s="1">
        <f>+'SRBS ER'!BB37</f>
        <v>0</v>
      </c>
      <c r="BD106" s="1"/>
      <c r="BE106" s="1"/>
      <c r="BF106" s="1">
        <f>SUM(E106:BE106)</f>
        <v>0</v>
      </c>
      <c r="BG106" s="1">
        <f t="shared" si="180"/>
        <v>0</v>
      </c>
      <c r="BH106" s="1">
        <f>+'DSBS ER'!B37</f>
        <v>0</v>
      </c>
      <c r="BI106" s="1">
        <f>+'DSBS ER'!C37</f>
        <v>0</v>
      </c>
      <c r="BJ106" s="1">
        <f>+'DSBS ER'!D37</f>
        <v>0</v>
      </c>
      <c r="BK106" s="1">
        <f>+'DSBS ER'!E37</f>
        <v>0</v>
      </c>
      <c r="BL106" s="1">
        <f>+'DSBS ER'!F37</f>
        <v>0</v>
      </c>
      <c r="BM106" s="1">
        <f>+'DSBS ER'!G37</f>
        <v>0</v>
      </c>
      <c r="BN106" s="1">
        <f>+'DSBS ER'!H37</f>
        <v>0</v>
      </c>
      <c r="BO106" s="1"/>
      <c r="BP106" s="1">
        <f t="shared" si="176"/>
        <v>0</v>
      </c>
      <c r="BQ106" s="1"/>
      <c r="BR106" s="1">
        <f>+'CPBS ER'!B37</f>
        <v>0</v>
      </c>
      <c r="BS106" s="1">
        <f>+'CPBS ER'!C37</f>
        <v>0</v>
      </c>
      <c r="BT106" s="1">
        <f>+'CPBS ER'!D37</f>
        <v>0</v>
      </c>
      <c r="BU106" s="1">
        <f>+'CPBS ER'!E37</f>
        <v>0</v>
      </c>
      <c r="BV106" s="1">
        <f>+'CPBS ER'!F37</f>
        <v>0</v>
      </c>
      <c r="BW106" s="1">
        <f>+'CPBS ER'!G37</f>
        <v>0</v>
      </c>
      <c r="BX106" s="3"/>
      <c r="BY106" s="1">
        <f>SUM(BR106:BX106)</f>
        <v>0</v>
      </c>
      <c r="BZ106" s="1"/>
      <c r="CA106" s="1"/>
      <c r="CB106" s="1">
        <f>+'ENBS ER'!D37+0</f>
        <v>0</v>
      </c>
      <c r="CC106" s="248">
        <f>+'ENBS ER'!E37+'ENBS ER'!C37</f>
        <v>7433602</v>
      </c>
      <c r="CD106" s="1">
        <f>+'ENBS ER'!F37</f>
        <v>11365</v>
      </c>
      <c r="CE106" s="1">
        <f>+'ENBS ER'!G37+0</f>
        <v>73483</v>
      </c>
      <c r="CF106" s="1">
        <f>+'ENBS ER'!H37</f>
        <v>54611</v>
      </c>
      <c r="CG106" s="1">
        <f>+'ENBS ER'!I37+0</f>
        <v>5508286</v>
      </c>
      <c r="CH106" s="1">
        <f>+'ENBS ER'!J37</f>
        <v>3587</v>
      </c>
      <c r="CI106" s="1"/>
      <c r="CJ106" s="1">
        <f>SUM(CB106:CI106)</f>
        <v>13084934</v>
      </c>
      <c r="CK106" s="1"/>
      <c r="CL106" s="1">
        <f>+'ENBS ER'!M37</f>
        <v>58040</v>
      </c>
      <c r="CM106" s="1">
        <f>+'ENBS ER'!N37+0</f>
        <v>629459</v>
      </c>
      <c r="CN106" s="1">
        <f>+'ENBS ER'!O37</f>
        <v>9465</v>
      </c>
      <c r="CO106" s="1">
        <f>+'ENBS ER'!P37</f>
        <v>0</v>
      </c>
      <c r="CP106" s="1">
        <f>+'ENBS ER'!Q37-0</f>
        <v>9476</v>
      </c>
      <c r="CQ106" s="1">
        <f>+'ENBS ER'!R37</f>
        <v>0</v>
      </c>
      <c r="CR106" s="1">
        <f>+'ENBS ER'!S37</f>
        <v>0</v>
      </c>
      <c r="CS106" s="1"/>
      <c r="CT106" s="1"/>
      <c r="CU106" s="1">
        <f>SUM(CL106:CT106)</f>
        <v>706440</v>
      </c>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V106" s="1"/>
      <c r="DW106" s="1">
        <f t="shared" si="188"/>
        <v>0</v>
      </c>
      <c r="DX106" s="1">
        <f>849659+11963862+799186+6472271</f>
        <v>20084978</v>
      </c>
      <c r="DY106" s="1"/>
      <c r="DZ106" s="1"/>
      <c r="EC106" s="1"/>
      <c r="ED106" s="1"/>
      <c r="EE106" s="1">
        <f t="shared" si="186"/>
        <v>20084978</v>
      </c>
      <c r="EF106" s="1"/>
      <c r="EG106" s="1"/>
    </row>
    <row r="107" spans="1:137" ht="15.75">
      <c r="A107" s="1"/>
      <c r="B107" s="1" t="s">
        <v>1359</v>
      </c>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f t="shared" si="180"/>
        <v>0</v>
      </c>
      <c r="BH107" s="1"/>
      <c r="BI107" s="1"/>
      <c r="BJ107" s="1"/>
      <c r="BK107" s="1"/>
      <c r="BL107" s="1"/>
      <c r="BM107" s="1"/>
      <c r="BN107" s="1"/>
      <c r="BO107" s="1"/>
      <c r="BP107" s="1">
        <f t="shared" si="176"/>
        <v>0</v>
      </c>
      <c r="BQ107" s="1"/>
      <c r="BR107" s="1"/>
      <c r="BS107" s="1"/>
      <c r="BT107" s="1"/>
      <c r="BX107" s="3"/>
      <c r="BY107" s="1"/>
      <c r="BZ107" s="1"/>
      <c r="CA107" s="1"/>
      <c r="CB107" s="1">
        <f>+'ENBS ER'!D38</f>
        <v>0</v>
      </c>
      <c r="CC107" s="1">
        <f>+'ENBS ER'!E38+'ENBS ER'!C38</f>
        <v>0</v>
      </c>
      <c r="CD107" s="1">
        <f>+'ENBS ER'!F38</f>
        <v>0</v>
      </c>
      <c r="CE107" s="1">
        <f>+'ENBS ER'!G38</f>
        <v>0</v>
      </c>
      <c r="CF107" s="1">
        <f>+'ENBS ER'!H38</f>
        <v>0</v>
      </c>
      <c r="CG107" s="1">
        <f>+'ENBS ER'!I38</f>
        <v>0</v>
      </c>
      <c r="CH107" s="1">
        <f>+'ENBS ER'!J38</f>
        <v>0</v>
      </c>
      <c r="CI107" s="1"/>
      <c r="CJ107" s="1"/>
      <c r="CK107" s="1"/>
      <c r="CL107" s="1">
        <f>+'ENBS ER'!M38</f>
        <v>0</v>
      </c>
      <c r="CM107" s="1">
        <f>+'ENBS ER'!N38</f>
        <v>0</v>
      </c>
      <c r="CN107" s="1">
        <f>+'ENBS ER'!O38</f>
        <v>0</v>
      </c>
      <c r="CO107" s="1">
        <f>+'ENBS ER'!P38</f>
        <v>0</v>
      </c>
      <c r="CP107" s="1">
        <f>+'ENBS ER'!Q38</f>
        <v>0</v>
      </c>
      <c r="CQ107" s="1">
        <f>+'ENBS ER'!R38</f>
        <v>0</v>
      </c>
      <c r="CR107" s="1">
        <f>+'ENBS ER'!S38</f>
        <v>0</v>
      </c>
      <c r="CS107" s="1"/>
      <c r="CT107" s="1"/>
      <c r="CU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V107" s="1"/>
      <c r="DW107" s="1">
        <f t="shared" si="188"/>
        <v>0</v>
      </c>
      <c r="DX107" s="1"/>
      <c r="DY107" s="1"/>
      <c r="DZ107" s="1"/>
      <c r="EC107" s="1"/>
      <c r="ED107" s="1"/>
      <c r="EE107" s="1">
        <f t="shared" si="186"/>
        <v>0</v>
      </c>
      <c r="EF107" s="1"/>
      <c r="EG107" s="1"/>
    </row>
    <row r="108" spans="1:137" ht="15.75">
      <c r="A108" s="1"/>
      <c r="B108" s="1" t="s">
        <v>386</v>
      </c>
      <c r="C108" s="1"/>
      <c r="D108" s="1">
        <f>+'GFBS ER'!B39</f>
        <v>0</v>
      </c>
      <c r="E108" s="1">
        <f>+'SRBS ER'!B39</f>
        <v>0</v>
      </c>
      <c r="F108" s="1">
        <f>+'SRBS ER'!C39</f>
        <v>0</v>
      </c>
      <c r="G108" s="1">
        <f>+'SRBS ER'!D39</f>
        <v>0</v>
      </c>
      <c r="H108" s="1">
        <f>+'SRBS ER'!E39</f>
        <v>0</v>
      </c>
      <c r="I108" s="1">
        <f>+'SRBS ER'!F39</f>
        <v>0</v>
      </c>
      <c r="J108" s="1">
        <f>+'SRBS ER'!G39</f>
        <v>0</v>
      </c>
      <c r="K108" s="1">
        <f>+'SRBS ER'!H39</f>
        <v>0</v>
      </c>
      <c r="L108" s="1">
        <f>+'SRBS ER'!I39</f>
        <v>0</v>
      </c>
      <c r="M108" s="1">
        <f>+'SRBS ER'!J39</f>
        <v>0</v>
      </c>
      <c r="N108" s="1">
        <f>+'SRBS ER'!K39</f>
        <v>0</v>
      </c>
      <c r="O108" s="1">
        <f>+'SRBS ER'!L39</f>
        <v>0</v>
      </c>
      <c r="P108" s="1">
        <f>+'SRBS ER'!M39</f>
        <v>0</v>
      </c>
      <c r="Q108" s="1">
        <f>+'SRBS ER'!N39</f>
        <v>0</v>
      </c>
      <c r="R108" s="1">
        <f>+'SRBS ER'!O39</f>
        <v>0</v>
      </c>
      <c r="S108" s="1">
        <f>+'SRBS ER'!P39</f>
        <v>0</v>
      </c>
      <c r="T108" s="1">
        <f>+'SRBS ER'!Q39</f>
        <v>0</v>
      </c>
      <c r="U108" s="1">
        <f>+'SRBS ER'!R39</f>
        <v>0</v>
      </c>
      <c r="V108" s="1">
        <f>+'SRBS ER'!S39</f>
        <v>0</v>
      </c>
      <c r="W108" s="1">
        <f>+'SRBS ER'!T39</f>
        <v>0</v>
      </c>
      <c r="X108" s="1">
        <f>+'SRBS ER'!U39</f>
        <v>0</v>
      </c>
      <c r="Y108" s="1">
        <f>+'SRBS ER'!V39</f>
        <v>0</v>
      </c>
      <c r="Z108" s="1">
        <f>+'SRBS ER'!W39</f>
        <v>0</v>
      </c>
      <c r="AA108" s="1">
        <f>+'SRBS ER'!X39</f>
        <v>0</v>
      </c>
      <c r="AB108" s="1">
        <f>+'SRBS ER'!Y39</f>
        <v>0</v>
      </c>
      <c r="AC108" s="1">
        <f>+'SRBS ER'!Z39</f>
        <v>0</v>
      </c>
      <c r="AD108" s="1">
        <f>+'SRBS ER'!AA39</f>
        <v>0</v>
      </c>
      <c r="AE108" s="1">
        <f>+'SRBS ER'!AB39+'SRBS ER'!AC39</f>
        <v>0</v>
      </c>
      <c r="AF108" s="1">
        <f>+'SRBS ER'!AD39</f>
        <v>0</v>
      </c>
      <c r="AG108" s="1">
        <f>+'SRBS ER'!AE39</f>
        <v>0</v>
      </c>
      <c r="AH108" s="1">
        <f>+'SRBS ER'!AF39</f>
        <v>0</v>
      </c>
      <c r="AI108" s="1">
        <f>+'SRBS ER'!AG39</f>
        <v>0</v>
      </c>
      <c r="AJ108" s="1">
        <f>+'SRBS ER'!AH39</f>
        <v>0</v>
      </c>
      <c r="AK108" s="1">
        <f>+'SRBS ER'!AI39</f>
        <v>0</v>
      </c>
      <c r="AL108" s="1">
        <f>+'SRBS ER'!AJ39</f>
        <v>0</v>
      </c>
      <c r="AM108" s="1">
        <f>+'SRBS ER'!AK39</f>
        <v>0</v>
      </c>
      <c r="AN108" s="1">
        <f>+'SRBS ER'!AL39</f>
        <v>0</v>
      </c>
      <c r="AO108" s="1">
        <f>+'SRBS ER'!AM39</f>
        <v>0</v>
      </c>
      <c r="AP108" s="1">
        <f>+'SRBS ER'!AN39</f>
        <v>0</v>
      </c>
      <c r="AQ108" s="1">
        <f>+'SRBS ER'!AO39</f>
        <v>0</v>
      </c>
      <c r="AR108" s="1">
        <f>+'SRBS ER'!AQ39</f>
        <v>0</v>
      </c>
      <c r="AS108" s="1">
        <f>+'SRBS ER'!AR39</f>
        <v>0</v>
      </c>
      <c r="AT108" s="1">
        <f>+'SRBS ER'!AS39</f>
        <v>0</v>
      </c>
      <c r="AU108" s="1">
        <f>+'SRBS ER'!AT39</f>
        <v>0</v>
      </c>
      <c r="AV108" s="1">
        <f>+'SRBS ER'!AU39</f>
        <v>0</v>
      </c>
      <c r="AW108" s="1"/>
      <c r="AX108" s="1">
        <f>+'SRBS ER'!AW39</f>
        <v>0</v>
      </c>
      <c r="AY108" s="1">
        <f>+'SRBS ER'!AX39</f>
        <v>0</v>
      </c>
      <c r="AZ108" s="1">
        <f>+'SRBS ER'!AY39</f>
        <v>0</v>
      </c>
      <c r="BA108" s="1">
        <f>+'SRBS ER'!AZ39</f>
        <v>0</v>
      </c>
      <c r="BB108" s="1">
        <f>+'SRBS ER'!BA39</f>
        <v>0</v>
      </c>
      <c r="BC108" s="1">
        <f>+'SRBS ER'!BB39</f>
        <v>0</v>
      </c>
      <c r="BD108" s="1"/>
      <c r="BE108" s="1"/>
      <c r="BF108" s="1">
        <f>SUM(E108:BE108)</f>
        <v>0</v>
      </c>
      <c r="BG108" s="1">
        <f t="shared" si="180"/>
        <v>0</v>
      </c>
      <c r="BH108" s="1">
        <f>+'DSBS ER'!B39</f>
        <v>0</v>
      </c>
      <c r="BI108" s="1">
        <f>+'DSBS ER'!C39</f>
        <v>0</v>
      </c>
      <c r="BJ108" s="1">
        <f>+'DSBS ER'!D39</f>
        <v>0</v>
      </c>
      <c r="BK108" s="1">
        <f>+'DSBS ER'!E39</f>
        <v>0</v>
      </c>
      <c r="BL108" s="1">
        <f>+'DSBS ER'!F39</f>
        <v>0</v>
      </c>
      <c r="BM108" s="1">
        <f>+'DSBS ER'!G39</f>
        <v>0</v>
      </c>
      <c r="BN108" s="1">
        <f>+'DSBS ER'!H39</f>
        <v>0</v>
      </c>
      <c r="BO108" s="1"/>
      <c r="BP108" s="1">
        <f t="shared" si="176"/>
        <v>0</v>
      </c>
      <c r="BQ108" s="1"/>
      <c r="BR108" s="1"/>
      <c r="BS108" s="1"/>
      <c r="BT108" s="1"/>
      <c r="BX108" s="3"/>
      <c r="BY108" s="1">
        <f>SUM(BR108:BX108)</f>
        <v>0</v>
      </c>
      <c r="BZ108" s="1"/>
      <c r="CA108" s="1"/>
      <c r="CB108" s="1">
        <f>+'ENBS ER'!D39</f>
        <v>0</v>
      </c>
      <c r="CC108" s="1">
        <f>+'ENBS ER'!E39+'ENBS ER'!C39</f>
        <v>0</v>
      </c>
      <c r="CD108" s="1">
        <f>+'ENBS ER'!F39</f>
        <v>0</v>
      </c>
      <c r="CE108" s="1">
        <f>+'ENBS ER'!G39</f>
        <v>0</v>
      </c>
      <c r="CF108" s="1">
        <f>+'ENBS ER'!H39</f>
        <v>0</v>
      </c>
      <c r="CG108" s="1">
        <f>+'ENBS ER'!I39</f>
        <v>0</v>
      </c>
      <c r="CH108" s="1">
        <f>+'ENBS ER'!J39</f>
        <v>0</v>
      </c>
      <c r="CI108" s="1"/>
      <c r="CJ108" s="1">
        <f>SUM(CB108:CI108)</f>
        <v>0</v>
      </c>
      <c r="CK108" s="1"/>
      <c r="CL108" s="1">
        <f>+'ENBS ER'!M39</f>
        <v>0</v>
      </c>
      <c r="CM108" s="1">
        <f>+'ENBS ER'!N39</f>
        <v>0</v>
      </c>
      <c r="CN108" s="1">
        <f>+'ENBS ER'!O39</f>
        <v>0</v>
      </c>
      <c r="CO108" s="1">
        <f>+'ENBS ER'!P39</f>
        <v>0</v>
      </c>
      <c r="CP108" s="1">
        <f>+'ENBS ER'!Q39</f>
        <v>0</v>
      </c>
      <c r="CQ108" s="1">
        <f>+'ENBS ER'!R39</f>
        <v>0</v>
      </c>
      <c r="CR108" s="1">
        <f>+'ENBS ER'!S39</f>
        <v>0</v>
      </c>
      <c r="CS108" s="1"/>
      <c r="CT108" s="1"/>
      <c r="CU108" s="1">
        <f>SUM(CL108:CT108)</f>
        <v>0</v>
      </c>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V108" s="1"/>
      <c r="DW108" s="1">
        <f t="shared" si="188"/>
        <v>0</v>
      </c>
      <c r="DX108" s="1"/>
      <c r="DY108" s="1"/>
      <c r="DZ108" s="1"/>
      <c r="EC108" s="1"/>
      <c r="ED108" s="1"/>
      <c r="EE108" s="1">
        <f t="shared" si="186"/>
        <v>0</v>
      </c>
      <c r="EF108" s="1"/>
      <c r="EG108" s="1"/>
    </row>
    <row r="109" spans="1:137" ht="15.75">
      <c r="A109" s="1"/>
      <c r="B109" s="1"/>
      <c r="C109" s="1"/>
      <c r="D109" s="1">
        <f>+'GFBS ER'!B40</f>
        <v>0</v>
      </c>
      <c r="E109" s="1">
        <f>+'SRBS ER'!B40</f>
        <v>0</v>
      </c>
      <c r="F109" s="1">
        <f>+'SRBS ER'!C40</f>
        <v>0</v>
      </c>
      <c r="G109" s="1">
        <f>+'SRBS ER'!D40</f>
        <v>0</v>
      </c>
      <c r="H109" s="1">
        <f>+'SRBS ER'!E40</f>
        <v>0</v>
      </c>
      <c r="I109" s="1">
        <f>+'SRBS ER'!F40</f>
        <v>0</v>
      </c>
      <c r="J109" s="1">
        <f>+'SRBS ER'!G40</f>
        <v>0</v>
      </c>
      <c r="K109" s="1">
        <f>+'SRBS ER'!H40</f>
        <v>0</v>
      </c>
      <c r="L109" s="1">
        <f>+'SRBS ER'!I40</f>
        <v>0</v>
      </c>
      <c r="M109" s="1">
        <f>+'SRBS ER'!J40</f>
        <v>0</v>
      </c>
      <c r="N109" s="1">
        <f>+'SRBS ER'!K40</f>
        <v>0</v>
      </c>
      <c r="O109" s="1">
        <f>+'SRBS ER'!L40</f>
        <v>0</v>
      </c>
      <c r="P109" s="1">
        <f>+'SRBS ER'!M40</f>
        <v>0</v>
      </c>
      <c r="Q109" s="1">
        <f>+'SRBS ER'!N40</f>
        <v>0</v>
      </c>
      <c r="R109" s="1">
        <f>+'SRBS ER'!O40</f>
        <v>0</v>
      </c>
      <c r="S109" s="1">
        <f>+'SRBS ER'!P40</f>
        <v>0</v>
      </c>
      <c r="T109" s="1">
        <f>+'SRBS ER'!Q40</f>
        <v>0</v>
      </c>
      <c r="U109" s="1">
        <f>+'SRBS ER'!R40</f>
        <v>0</v>
      </c>
      <c r="V109" s="1">
        <f>+'SRBS ER'!S40</f>
        <v>0</v>
      </c>
      <c r="W109" s="1">
        <f>+'SRBS ER'!T40</f>
        <v>0</v>
      </c>
      <c r="X109" s="1">
        <f>+'SRBS ER'!U40</f>
        <v>0</v>
      </c>
      <c r="Y109" s="1">
        <f>+'SRBS ER'!V40</f>
        <v>0</v>
      </c>
      <c r="Z109" s="1">
        <f>+'SRBS ER'!W40</f>
        <v>0</v>
      </c>
      <c r="AA109" s="1">
        <f>+'SRBS ER'!X40</f>
        <v>0</v>
      </c>
      <c r="AB109" s="1">
        <f>+'SRBS ER'!Y40</f>
        <v>0</v>
      </c>
      <c r="AC109" s="1">
        <f>+'SRBS ER'!Z40</f>
        <v>0</v>
      </c>
      <c r="AD109" s="1">
        <f>+'SRBS ER'!AA40</f>
        <v>0</v>
      </c>
      <c r="AE109" s="1">
        <f>+'SRBS ER'!AB40+'SRBS ER'!AC40</f>
        <v>0</v>
      </c>
      <c r="AF109" s="1">
        <f>+'SRBS ER'!AD40</f>
        <v>0</v>
      </c>
      <c r="AG109" s="1">
        <f>+'SRBS ER'!AE40</f>
        <v>0</v>
      </c>
      <c r="AH109" s="1">
        <f>+'SRBS ER'!AF40</f>
        <v>0</v>
      </c>
      <c r="AI109" s="1">
        <f>+'SRBS ER'!AG40</f>
        <v>0</v>
      </c>
      <c r="AJ109" s="1">
        <f>+'SRBS ER'!AH40</f>
        <v>0</v>
      </c>
      <c r="AK109" s="1">
        <f>+'SRBS ER'!AI40</f>
        <v>0</v>
      </c>
      <c r="AL109" s="1">
        <f>+'SRBS ER'!AJ40</f>
        <v>0</v>
      </c>
      <c r="AM109" s="1">
        <f>+'SRBS ER'!AK40</f>
        <v>0</v>
      </c>
      <c r="AN109" s="1">
        <f>+'SRBS ER'!AL40</f>
        <v>0</v>
      </c>
      <c r="AO109" s="1">
        <f>+'SRBS ER'!AM40</f>
        <v>0</v>
      </c>
      <c r="AP109" s="1">
        <f>+'SRBS ER'!AN40</f>
        <v>0</v>
      </c>
      <c r="AQ109" s="1">
        <f>+'SRBS ER'!AO40</f>
        <v>0</v>
      </c>
      <c r="AR109" s="1">
        <f>+'SRBS ER'!AQ40</f>
        <v>0</v>
      </c>
      <c r="AS109" s="1">
        <f>+'SRBS ER'!AR40</f>
        <v>0</v>
      </c>
      <c r="AT109" s="1">
        <f>+'SRBS ER'!AS40</f>
        <v>0</v>
      </c>
      <c r="AU109" s="1">
        <f>+'SRBS ER'!AT40</f>
        <v>0</v>
      </c>
      <c r="AV109" s="1">
        <f>+'SRBS ER'!AU40</f>
        <v>0</v>
      </c>
      <c r="AW109" s="1"/>
      <c r="AX109" s="1">
        <f>+'SRBS ER'!AW40</f>
        <v>0</v>
      </c>
      <c r="AY109" s="1">
        <f>+'SRBS ER'!AX40</f>
        <v>0</v>
      </c>
      <c r="AZ109" s="1">
        <f>+'SRBS ER'!AY40</f>
        <v>0</v>
      </c>
      <c r="BA109" s="1">
        <f>+'SRBS ER'!AZ40</f>
        <v>0</v>
      </c>
      <c r="BB109" s="1">
        <f>+'SRBS ER'!BA40</f>
        <v>0</v>
      </c>
      <c r="BC109" s="1">
        <f>+'SRBS ER'!BB40</f>
        <v>0</v>
      </c>
      <c r="BD109" s="1"/>
      <c r="BE109" s="1"/>
      <c r="BF109" s="1">
        <f>SUM(E109:BE109)</f>
        <v>0</v>
      </c>
      <c r="BG109" s="1">
        <f t="shared" si="180"/>
        <v>0</v>
      </c>
      <c r="BH109" s="1">
        <f>+'DSBS ER'!B40</f>
        <v>0</v>
      </c>
      <c r="BI109" s="1">
        <f>+'DSBS ER'!C40</f>
        <v>0</v>
      </c>
      <c r="BJ109" s="1">
        <f>+'DSBS ER'!D40</f>
        <v>0</v>
      </c>
      <c r="BK109" s="1">
        <f>+'DSBS ER'!E40</f>
        <v>0</v>
      </c>
      <c r="BL109" s="1">
        <f>+'DSBS ER'!F40</f>
        <v>0</v>
      </c>
      <c r="BM109" s="1">
        <f>+'DSBS ER'!G40</f>
        <v>0</v>
      </c>
      <c r="BN109" s="1">
        <f>+'DSBS ER'!H40</f>
        <v>0</v>
      </c>
      <c r="BO109" s="1"/>
      <c r="BP109" s="1">
        <f t="shared" si="176"/>
        <v>0</v>
      </c>
      <c r="BQ109" s="1"/>
      <c r="BR109" s="1"/>
      <c r="BS109" s="1"/>
      <c r="BT109" s="1"/>
      <c r="BX109" s="3"/>
      <c r="BY109" s="1"/>
      <c r="BZ109" s="1"/>
      <c r="CA109" s="1"/>
      <c r="CB109" s="1">
        <f>+'ENBS ER'!D40</f>
        <v>0</v>
      </c>
      <c r="CC109" s="1">
        <f>+'ENBS ER'!E40+'ENBS ER'!C40</f>
        <v>0</v>
      </c>
      <c r="CD109" s="1">
        <f>+'ENBS ER'!F40</f>
        <v>0</v>
      </c>
      <c r="CE109" s="1">
        <f>+'ENBS ER'!G40</f>
        <v>0</v>
      </c>
      <c r="CF109" s="1">
        <f>+'ENBS ER'!H40</f>
        <v>0</v>
      </c>
      <c r="CG109" s="1">
        <f>+'ENBS ER'!I40</f>
        <v>0</v>
      </c>
      <c r="CH109" s="1">
        <f>+'ENBS ER'!J40</f>
        <v>0</v>
      </c>
      <c r="CI109" s="1"/>
      <c r="CJ109" s="1"/>
      <c r="CK109" s="1"/>
      <c r="CL109" s="1">
        <f>+'ENBS ER'!M40</f>
        <v>0</v>
      </c>
      <c r="CM109" s="1">
        <f>+'ENBS ER'!N40</f>
        <v>0</v>
      </c>
      <c r="CN109" s="1">
        <f>+'ENBS ER'!O40</f>
        <v>0</v>
      </c>
      <c r="CO109" s="1">
        <f>+'ENBS ER'!P40</f>
        <v>0</v>
      </c>
      <c r="CP109" s="1">
        <f>+'ENBS ER'!Q40</f>
        <v>0</v>
      </c>
      <c r="CQ109" s="1">
        <f>+'ENBS ER'!R40</f>
        <v>0</v>
      </c>
      <c r="CR109" s="1">
        <f>+'ENBS ER'!S40</f>
        <v>0</v>
      </c>
      <c r="CS109" s="1"/>
      <c r="CT109" s="1"/>
      <c r="CU109" s="1"/>
      <c r="CW109" s="1">
        <f>CW134</f>
        <v>0</v>
      </c>
      <c r="CX109" s="1">
        <f t="shared" ref="CX109:DT109" si="189">CX134</f>
        <v>0</v>
      </c>
      <c r="CY109" s="1">
        <f t="shared" si="189"/>
        <v>0</v>
      </c>
      <c r="CZ109" s="1">
        <f t="shared" si="189"/>
        <v>0</v>
      </c>
      <c r="DA109" s="1">
        <f t="shared" si="189"/>
        <v>0</v>
      </c>
      <c r="DB109" s="1">
        <f t="shared" si="189"/>
        <v>0</v>
      </c>
      <c r="DC109" s="1">
        <f t="shared" si="189"/>
        <v>0</v>
      </c>
      <c r="DD109" s="1">
        <f t="shared" si="189"/>
        <v>0</v>
      </c>
      <c r="DE109" s="1">
        <f t="shared" si="189"/>
        <v>0</v>
      </c>
      <c r="DF109" s="1">
        <f t="shared" si="189"/>
        <v>0</v>
      </c>
      <c r="DG109" s="1">
        <f t="shared" si="189"/>
        <v>0</v>
      </c>
      <c r="DH109" s="1">
        <f t="shared" si="189"/>
        <v>0</v>
      </c>
      <c r="DI109" s="1">
        <f t="shared" si="189"/>
        <v>0</v>
      </c>
      <c r="DJ109" s="1">
        <f t="shared" si="189"/>
        <v>0</v>
      </c>
      <c r="DK109" s="1">
        <f t="shared" si="189"/>
        <v>0</v>
      </c>
      <c r="DL109" s="1">
        <f t="shared" si="189"/>
        <v>0</v>
      </c>
      <c r="DM109" s="1">
        <f t="shared" si="189"/>
        <v>0</v>
      </c>
      <c r="DN109" s="1">
        <f t="shared" si="189"/>
        <v>0</v>
      </c>
      <c r="DO109" s="1">
        <f t="shared" si="189"/>
        <v>0</v>
      </c>
      <c r="DP109" s="1">
        <f t="shared" si="189"/>
        <v>0</v>
      </c>
      <c r="DQ109" s="1">
        <f t="shared" si="189"/>
        <v>0</v>
      </c>
      <c r="DR109" s="1">
        <f t="shared" si="189"/>
        <v>0</v>
      </c>
      <c r="DS109" s="1">
        <f t="shared" si="189"/>
        <v>0</v>
      </c>
      <c r="DT109" s="1">
        <f t="shared" si="189"/>
        <v>0</v>
      </c>
      <c r="DV109" s="1"/>
      <c r="DW109" s="1">
        <f t="shared" si="188"/>
        <v>0</v>
      </c>
      <c r="DX109" s="1"/>
      <c r="DY109" s="1"/>
      <c r="DZ109" s="1"/>
      <c r="EC109" s="1"/>
      <c r="ED109" s="1"/>
      <c r="EE109" s="1">
        <f t="shared" si="186"/>
        <v>0</v>
      </c>
      <c r="EF109" s="1"/>
      <c r="EG109" s="1"/>
    </row>
    <row r="110" spans="1:137" ht="15.75">
      <c r="A110" s="1"/>
      <c r="B110" s="89" t="s">
        <v>2304</v>
      </c>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f>SUM(E110:BE110)</f>
        <v>0</v>
      </c>
      <c r="BG110" s="1">
        <f t="shared" si="180"/>
        <v>0</v>
      </c>
      <c r="BH110" s="1">
        <f>+'DSBS ER'!B41</f>
        <v>0</v>
      </c>
      <c r="BI110" s="1">
        <f>+'DSBS ER'!C41</f>
        <v>0</v>
      </c>
      <c r="BJ110" s="1">
        <f>+'DSBS ER'!D41</f>
        <v>0</v>
      </c>
      <c r="BK110" s="1">
        <f>+'DSBS ER'!E41</f>
        <v>0</v>
      </c>
      <c r="BL110" s="1">
        <f>+'DSBS ER'!F41</f>
        <v>0</v>
      </c>
      <c r="BM110" s="1">
        <f>+'DSBS ER'!G41</f>
        <v>0</v>
      </c>
      <c r="BN110" s="1">
        <f>+'DSBS ER'!H41</f>
        <v>0</v>
      </c>
      <c r="BO110" s="1"/>
      <c r="BP110" s="1">
        <f t="shared" si="176"/>
        <v>0</v>
      </c>
      <c r="BQ110" s="1"/>
      <c r="BR110" s="1"/>
      <c r="BS110" s="1"/>
      <c r="BT110" s="1"/>
      <c r="BX110" s="3"/>
      <c r="BY110" s="1">
        <f>SUM(BR110:BX110)</f>
        <v>0</v>
      </c>
      <c r="BZ110" s="1"/>
      <c r="CA110" s="1"/>
      <c r="CB110" s="1">
        <f>+'ENBS ER'!D41</f>
        <v>0</v>
      </c>
      <c r="CC110" s="1">
        <f>+'ENBS ER'!E41+'ENBS ER'!C41</f>
        <v>0</v>
      </c>
      <c r="CD110" s="1">
        <f>+'ENBS ER'!F41</f>
        <v>0</v>
      </c>
      <c r="CE110" s="1">
        <f>+'ENBS ER'!G41</f>
        <v>0</v>
      </c>
      <c r="CF110" s="1">
        <f>+'ENBS ER'!H41</f>
        <v>0</v>
      </c>
      <c r="CG110" s="1">
        <f>+'ENBS ER'!I41</f>
        <v>0</v>
      </c>
      <c r="CH110" s="1">
        <f>+'ENBS ER'!J41</f>
        <v>0</v>
      </c>
      <c r="CI110" s="1"/>
      <c r="CJ110" s="1">
        <f>SUM(CB110:CI110)</f>
        <v>0</v>
      </c>
      <c r="CK110" s="1"/>
      <c r="CL110" s="1">
        <f>+'ENBS ER'!M41</f>
        <v>0</v>
      </c>
      <c r="CM110" s="1">
        <f>+'ENBS ER'!N41</f>
        <v>0</v>
      </c>
      <c r="CN110" s="1">
        <f>+'ENBS ER'!O41</f>
        <v>0</v>
      </c>
      <c r="CO110" s="1">
        <f>+'ENBS ER'!P41</f>
        <v>0</v>
      </c>
      <c r="CP110" s="1">
        <f>+'ENBS ER'!Q41</f>
        <v>0</v>
      </c>
      <c r="CQ110" s="1">
        <f>+'ENBS ER'!R41</f>
        <v>0</v>
      </c>
      <c r="CR110" s="1">
        <f>+'ENBS ER'!S41</f>
        <v>0</v>
      </c>
      <c r="CS110" s="1"/>
      <c r="CT110" s="1"/>
      <c r="CU110" s="1">
        <f>SUM(CL110:CT110)</f>
        <v>0</v>
      </c>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V110" s="1"/>
      <c r="DW110" s="1">
        <f t="shared" si="188"/>
        <v>0</v>
      </c>
      <c r="DX110" s="1"/>
      <c r="DY110" s="1"/>
      <c r="DZ110" s="1"/>
      <c r="EC110" s="82"/>
      <c r="ED110" s="617" t="s">
        <v>2748</v>
      </c>
      <c r="EE110" s="1">
        <f t="shared" si="186"/>
        <v>0</v>
      </c>
      <c r="EF110" s="1"/>
      <c r="EG110" s="1"/>
    </row>
    <row r="111" spans="1:137" ht="15.75">
      <c r="A111" s="1"/>
      <c r="B111" s="1"/>
      <c r="C111" s="1"/>
      <c r="D111" s="1">
        <f>+'GFBS ER'!B42</f>
        <v>0</v>
      </c>
      <c r="E111" s="1">
        <f>+'SRBS ER'!B42</f>
        <v>0</v>
      </c>
      <c r="F111" s="1">
        <f>+'SRBS ER'!C42</f>
        <v>0</v>
      </c>
      <c r="G111" s="1">
        <f>+'SRBS ER'!D42</f>
        <v>0</v>
      </c>
      <c r="H111" s="1">
        <f>+'SRBS ER'!E42</f>
        <v>0</v>
      </c>
      <c r="I111" s="1">
        <f>+'SRBS ER'!F42</f>
        <v>0</v>
      </c>
      <c r="J111" s="1">
        <f>+'SRBS ER'!G42</f>
        <v>0</v>
      </c>
      <c r="K111" s="1">
        <f>+'SRBS ER'!H42</f>
        <v>0</v>
      </c>
      <c r="L111" s="1">
        <f>+'SRBS ER'!I42</f>
        <v>0</v>
      </c>
      <c r="M111" s="1">
        <f>+'SRBS ER'!J42</f>
        <v>0</v>
      </c>
      <c r="N111" s="1">
        <f>+'SRBS ER'!K42</f>
        <v>0</v>
      </c>
      <c r="O111" s="1">
        <f>+'SRBS ER'!L42</f>
        <v>0</v>
      </c>
      <c r="P111" s="1">
        <f>+'SRBS ER'!M42</f>
        <v>0</v>
      </c>
      <c r="Q111" s="1">
        <f>+'SRBS ER'!N42</f>
        <v>0</v>
      </c>
      <c r="R111" s="1">
        <f>+'SRBS ER'!O42</f>
        <v>0</v>
      </c>
      <c r="S111" s="1">
        <f>+'SRBS ER'!P42</f>
        <v>0</v>
      </c>
      <c r="T111" s="1">
        <f>+'SRBS ER'!Q42</f>
        <v>0</v>
      </c>
      <c r="U111" s="1">
        <f>+'SRBS ER'!R42</f>
        <v>0</v>
      </c>
      <c r="V111" s="1">
        <f>+'SRBS ER'!S42</f>
        <v>0</v>
      </c>
      <c r="W111" s="1">
        <f>+'SRBS ER'!T42</f>
        <v>0</v>
      </c>
      <c r="X111" s="1">
        <f>+'SRBS ER'!U42</f>
        <v>0</v>
      </c>
      <c r="Y111" s="1">
        <f>+'SRBS ER'!V42</f>
        <v>0</v>
      </c>
      <c r="Z111" s="1">
        <f>+'SRBS ER'!W42</f>
        <v>0</v>
      </c>
      <c r="AA111" s="1">
        <f>+'SRBS ER'!X42</f>
        <v>0</v>
      </c>
      <c r="AB111" s="1">
        <f>+'SRBS ER'!Y42</f>
        <v>0</v>
      </c>
      <c r="AC111" s="1">
        <f>+'SRBS ER'!Z42</f>
        <v>0</v>
      </c>
      <c r="AD111" s="1">
        <f>+'SRBS ER'!AA42</f>
        <v>0</v>
      </c>
      <c r="AE111" s="1">
        <f>+'SRBS ER'!AB42+'SRBS ER'!AC42</f>
        <v>0</v>
      </c>
      <c r="AF111" s="1">
        <f>+'SRBS ER'!AD42</f>
        <v>0</v>
      </c>
      <c r="AG111" s="1">
        <f>+'SRBS ER'!AE42</f>
        <v>0</v>
      </c>
      <c r="AH111" s="1">
        <f>+'SRBS ER'!AF42</f>
        <v>0</v>
      </c>
      <c r="AI111" s="1">
        <f>+'SRBS ER'!AG42</f>
        <v>0</v>
      </c>
      <c r="AJ111" s="1">
        <f>+'SRBS ER'!AH42</f>
        <v>0</v>
      </c>
      <c r="AK111" s="1">
        <f>+'SRBS ER'!AI42</f>
        <v>0</v>
      </c>
      <c r="AL111" s="1">
        <f>+'SRBS ER'!AJ42</f>
        <v>0</v>
      </c>
      <c r="AM111" s="1">
        <f>+'SRBS ER'!AK42</f>
        <v>0</v>
      </c>
      <c r="AN111" s="1">
        <f>+'SRBS ER'!AL42</f>
        <v>0</v>
      </c>
      <c r="AO111" s="1">
        <f>+'SRBS ER'!AM42</f>
        <v>0</v>
      </c>
      <c r="AP111" s="1">
        <f>+'SRBS ER'!AN42</f>
        <v>0</v>
      </c>
      <c r="AQ111" s="1">
        <f>+'SRBS ER'!AO42</f>
        <v>0</v>
      </c>
      <c r="AR111" s="1">
        <f>+'SRBS ER'!AQ42</f>
        <v>0</v>
      </c>
      <c r="AS111" s="1">
        <f>+'SRBS ER'!AR42</f>
        <v>0</v>
      </c>
      <c r="AT111" s="1">
        <f>+'SRBS ER'!AS42</f>
        <v>0</v>
      </c>
      <c r="AU111" s="1">
        <f>+'SRBS ER'!AT42</f>
        <v>0</v>
      </c>
      <c r="AV111" s="1">
        <f>+'SRBS ER'!AU42</f>
        <v>0</v>
      </c>
      <c r="AW111" s="1"/>
      <c r="AX111" s="1">
        <f>+'SRBS ER'!AW42</f>
        <v>0</v>
      </c>
      <c r="AY111" s="1">
        <f>+'SRBS ER'!AX42</f>
        <v>0</v>
      </c>
      <c r="AZ111" s="1">
        <f>+'SRBS ER'!AY42</f>
        <v>0</v>
      </c>
      <c r="BA111" s="1">
        <f>+'SRBS ER'!AZ42</f>
        <v>0</v>
      </c>
      <c r="BB111" s="1">
        <f>+'SRBS ER'!BA42</f>
        <v>0</v>
      </c>
      <c r="BC111" s="1">
        <f>+'SRBS ER'!BB42</f>
        <v>0</v>
      </c>
      <c r="BD111" s="1"/>
      <c r="BE111" s="1"/>
      <c r="BF111" s="1">
        <f>SUM(E111:BE111)</f>
        <v>0</v>
      </c>
      <c r="BG111" s="1">
        <f t="shared" si="180"/>
        <v>0</v>
      </c>
      <c r="BH111" s="1">
        <f>+'DSBS ER'!B42</f>
        <v>0</v>
      </c>
      <c r="BI111" s="1">
        <f>+'DSBS ER'!C42</f>
        <v>0</v>
      </c>
      <c r="BJ111" s="1">
        <f>+'DSBS ER'!D42</f>
        <v>0</v>
      </c>
      <c r="BK111" s="1">
        <f>+'DSBS ER'!E42</f>
        <v>0</v>
      </c>
      <c r="BL111" s="1">
        <f>+'DSBS ER'!F42</f>
        <v>0</v>
      </c>
      <c r="BM111" s="1">
        <f>+'DSBS ER'!G42</f>
        <v>0</v>
      </c>
      <c r="BN111" s="1">
        <f>+'DSBS ER'!H42</f>
        <v>0</v>
      </c>
      <c r="BO111" s="1"/>
      <c r="BP111" s="1">
        <f t="shared" si="176"/>
        <v>0</v>
      </c>
      <c r="BQ111" s="1"/>
      <c r="BR111" s="1"/>
      <c r="BS111" s="1"/>
      <c r="BT111" s="1"/>
      <c r="BX111" s="3"/>
      <c r="BY111" s="1">
        <f>SUM(BR111:BX111)</f>
        <v>0</v>
      </c>
      <c r="BZ111" s="1"/>
      <c r="CA111" s="1"/>
      <c r="CB111" s="1">
        <f>+'ENBS ER'!D42</f>
        <v>0</v>
      </c>
      <c r="CC111" s="1">
        <f>+'ENBS ER'!E42+'ENBS ER'!C42</f>
        <v>0</v>
      </c>
      <c r="CD111" s="1">
        <f>+'ENBS ER'!F42</f>
        <v>0</v>
      </c>
      <c r="CE111" s="1">
        <f>+'ENBS ER'!G42</f>
        <v>0</v>
      </c>
      <c r="CF111" s="1">
        <f>+'ENBS ER'!H42</f>
        <v>0</v>
      </c>
      <c r="CG111" s="1">
        <f>+'ENBS ER'!I42</f>
        <v>0</v>
      </c>
      <c r="CH111" s="1">
        <f>+'ENBS ER'!J42</f>
        <v>0</v>
      </c>
      <c r="CI111" s="1"/>
      <c r="CJ111" s="1">
        <f>SUM(CB111:CI111)</f>
        <v>0</v>
      </c>
      <c r="CK111" s="1"/>
      <c r="CL111" s="1">
        <f>+'ENBS ER'!M42</f>
        <v>0</v>
      </c>
      <c r="CM111" s="1">
        <f>+'ENBS ER'!N42</f>
        <v>0</v>
      </c>
      <c r="CN111" s="1">
        <f>+'ENBS ER'!O42</f>
        <v>0</v>
      </c>
      <c r="CO111" s="1">
        <f>+'ENBS ER'!P42</f>
        <v>0</v>
      </c>
      <c r="CP111" s="1">
        <f>+'ENBS ER'!Q42</f>
        <v>0</v>
      </c>
      <c r="CQ111" s="1">
        <f>+'ENBS ER'!R42</f>
        <v>0</v>
      </c>
      <c r="CR111" s="1">
        <f>+'ENBS ER'!S42</f>
        <v>0</v>
      </c>
      <c r="CS111" s="1"/>
      <c r="CT111" s="1"/>
      <c r="CU111" s="1">
        <f>SUM(CL111:CT111)</f>
        <v>0</v>
      </c>
      <c r="DV111" s="1"/>
      <c r="DW111" s="1">
        <f t="shared" si="188"/>
        <v>0</v>
      </c>
      <c r="DX111" s="1"/>
      <c r="DY111" s="1"/>
      <c r="DZ111" s="1"/>
      <c r="EC111" s="1"/>
      <c r="ED111" s="1"/>
      <c r="EE111" s="1">
        <f t="shared" si="186"/>
        <v>0</v>
      </c>
      <c r="EF111" s="1"/>
      <c r="EG111" s="1"/>
    </row>
    <row r="112" spans="1:137" ht="15.75">
      <c r="A112" s="1"/>
      <c r="B112" s="1" t="s">
        <v>1194</v>
      </c>
      <c r="C112" s="1"/>
      <c r="D112" s="1">
        <f>SUM(D83:D111)</f>
        <v>12619762</v>
      </c>
      <c r="E112" s="1">
        <f t="shared" ref="E112:J112" si="190">SUM(E83:E111)</f>
        <v>201359</v>
      </c>
      <c r="F112" s="1">
        <f t="shared" si="190"/>
        <v>3975</v>
      </c>
      <c r="G112" s="1">
        <f t="shared" si="190"/>
        <v>81711</v>
      </c>
      <c r="H112" s="1">
        <f t="shared" si="190"/>
        <v>388215</v>
      </c>
      <c r="I112" s="1">
        <f t="shared" si="190"/>
        <v>74623</v>
      </c>
      <c r="J112" s="1">
        <f t="shared" si="190"/>
        <v>1791797</v>
      </c>
      <c r="K112" s="1">
        <f t="shared" ref="K112:U112" si="191">SUM(K83:K111)</f>
        <v>1371</v>
      </c>
      <c r="L112" s="1">
        <f>SUM(L83:L111)</f>
        <v>25598</v>
      </c>
      <c r="M112" s="1">
        <f t="shared" si="191"/>
        <v>686511</v>
      </c>
      <c r="N112" s="1">
        <f>SUM(N83:N111)</f>
        <v>88278</v>
      </c>
      <c r="O112" s="1">
        <f t="shared" si="191"/>
        <v>60818</v>
      </c>
      <c r="P112" s="1">
        <f>SUM(P83:P111)</f>
        <v>0</v>
      </c>
      <c r="Q112" s="1">
        <f t="shared" si="191"/>
        <v>225135</v>
      </c>
      <c r="R112" s="1">
        <f t="shared" si="191"/>
        <v>389945</v>
      </c>
      <c r="S112" s="1">
        <f t="shared" si="191"/>
        <v>1064451</v>
      </c>
      <c r="T112" s="1">
        <f t="shared" si="191"/>
        <v>362</v>
      </c>
      <c r="U112" s="1">
        <f t="shared" si="191"/>
        <v>643344</v>
      </c>
      <c r="V112" s="1">
        <f t="shared" ref="V112:AK112" si="192">SUM(V83:V111)</f>
        <v>7068</v>
      </c>
      <c r="W112" s="1">
        <f t="shared" si="192"/>
        <v>260747</v>
      </c>
      <c r="X112" s="1">
        <f t="shared" si="192"/>
        <v>4681630</v>
      </c>
      <c r="Y112" s="1">
        <f t="shared" si="192"/>
        <v>35779</v>
      </c>
      <c r="Z112" s="1">
        <f t="shared" si="192"/>
        <v>107003</v>
      </c>
      <c r="AA112" s="1">
        <f t="shared" si="192"/>
        <v>100039</v>
      </c>
      <c r="AB112" s="1">
        <f t="shared" si="192"/>
        <v>1770952</v>
      </c>
      <c r="AC112" s="1">
        <f t="shared" si="192"/>
        <v>238913</v>
      </c>
      <c r="AD112" s="1">
        <f t="shared" si="192"/>
        <v>28133</v>
      </c>
      <c r="AE112" s="1">
        <f t="shared" si="192"/>
        <v>82435</v>
      </c>
      <c r="AF112" s="1">
        <f t="shared" si="192"/>
        <v>21202</v>
      </c>
      <c r="AG112" s="1">
        <f t="shared" si="192"/>
        <v>422641</v>
      </c>
      <c r="AH112" s="1">
        <f t="shared" si="192"/>
        <v>253738</v>
      </c>
      <c r="AI112" s="1">
        <f t="shared" si="192"/>
        <v>21826</v>
      </c>
      <c r="AJ112" s="1">
        <f t="shared" si="192"/>
        <v>62464</v>
      </c>
      <c r="AK112" s="1">
        <f t="shared" si="192"/>
        <v>5768</v>
      </c>
      <c r="AL112" s="1">
        <f t="shared" ref="AL112:AS112" si="193">SUM(AL83:AL111)</f>
        <v>35534</v>
      </c>
      <c r="AM112" s="1">
        <f t="shared" si="193"/>
        <v>39899</v>
      </c>
      <c r="AN112" s="1">
        <f t="shared" si="193"/>
        <v>168446</v>
      </c>
      <c r="AO112" s="1">
        <f t="shared" si="193"/>
        <v>0</v>
      </c>
      <c r="AP112" s="1">
        <f t="shared" si="193"/>
        <v>1675727</v>
      </c>
      <c r="AQ112" s="1">
        <f>SUM(AQ83:AQ111)</f>
        <v>872198</v>
      </c>
      <c r="AR112" s="1">
        <f t="shared" si="193"/>
        <v>0</v>
      </c>
      <c r="AS112" s="1">
        <f t="shared" si="193"/>
        <v>96879</v>
      </c>
      <c r="AT112" s="1">
        <f>SUM(AT83:AT111)</f>
        <v>656704</v>
      </c>
      <c r="AU112" s="1">
        <f>SUM(AU83:AU111)</f>
        <v>0</v>
      </c>
      <c r="AV112" s="1">
        <f>SUM(AV83:AV111)</f>
        <v>0</v>
      </c>
      <c r="AW112" s="1"/>
      <c r="AX112" s="1">
        <f t="shared" ref="AX112:BD112" si="194">SUM(AX83:AX111)</f>
        <v>0</v>
      </c>
      <c r="AY112" s="1">
        <f t="shared" si="194"/>
        <v>0</v>
      </c>
      <c r="AZ112" s="1">
        <f t="shared" si="194"/>
        <v>17572</v>
      </c>
      <c r="BA112" s="1">
        <f t="shared" si="194"/>
        <v>0</v>
      </c>
      <c r="BB112" s="1">
        <f t="shared" si="194"/>
        <v>9514638</v>
      </c>
      <c r="BC112" s="1">
        <f t="shared" si="194"/>
        <v>6882997</v>
      </c>
      <c r="BD112" s="1">
        <f t="shared" si="194"/>
        <v>371646</v>
      </c>
      <c r="BE112" s="1"/>
      <c r="BF112" s="1">
        <f>SUM(BF83:BF111)</f>
        <v>34155436</v>
      </c>
      <c r="BG112" s="1">
        <f t="shared" si="180"/>
        <v>13076171</v>
      </c>
      <c r="BH112" s="1">
        <f t="shared" ref="BH112:BN112" si="195">SUM(BH83:BH111)</f>
        <v>0</v>
      </c>
      <c r="BI112" s="1">
        <f t="shared" si="195"/>
        <v>64003</v>
      </c>
      <c r="BJ112" s="1">
        <f t="shared" si="195"/>
        <v>0</v>
      </c>
      <c r="BK112" s="1">
        <f t="shared" si="195"/>
        <v>387148</v>
      </c>
      <c r="BL112" s="1">
        <f t="shared" si="195"/>
        <v>57879</v>
      </c>
      <c r="BM112" s="1">
        <f>SUM(BM83:BM111)</f>
        <v>34898</v>
      </c>
      <c r="BN112" s="1">
        <f t="shared" si="195"/>
        <v>632261</v>
      </c>
      <c r="BO112" s="1"/>
      <c r="BP112" s="1">
        <f t="shared" ref="BP112:BW112" si="196">SUM(BP83:BP111)</f>
        <v>1176189</v>
      </c>
      <c r="BQ112" s="1"/>
      <c r="BR112" s="1">
        <f t="shared" si="196"/>
        <v>17958090</v>
      </c>
      <c r="BS112" s="1">
        <f t="shared" si="196"/>
        <v>0</v>
      </c>
      <c r="BT112" s="1">
        <f t="shared" si="196"/>
        <v>0</v>
      </c>
      <c r="BU112" s="1">
        <f t="shared" si="196"/>
        <v>0</v>
      </c>
      <c r="BV112" s="1">
        <f>SUM(BV83:BV111)</f>
        <v>0</v>
      </c>
      <c r="BW112" s="1">
        <f t="shared" si="196"/>
        <v>2453628</v>
      </c>
      <c r="BX112" s="3"/>
      <c r="BY112" s="1">
        <f t="shared" ref="BY112:CH112" si="197">SUM(BY83:BY111)</f>
        <v>20411718</v>
      </c>
      <c r="BZ112" s="1"/>
      <c r="CA112" s="1"/>
      <c r="CB112" s="1">
        <f t="shared" si="197"/>
        <v>0</v>
      </c>
      <c r="CC112" s="1">
        <f>SUM(CC83:CC111)</f>
        <v>8208169</v>
      </c>
      <c r="CD112" s="1">
        <f t="shared" si="197"/>
        <v>52806</v>
      </c>
      <c r="CE112" s="1">
        <f t="shared" si="197"/>
        <v>120441</v>
      </c>
      <c r="CF112" s="1">
        <f t="shared" si="197"/>
        <v>1396797</v>
      </c>
      <c r="CG112" s="1">
        <f t="shared" si="197"/>
        <v>9710448</v>
      </c>
      <c r="CH112" s="1">
        <f t="shared" si="197"/>
        <v>122245</v>
      </c>
      <c r="CI112" s="1"/>
      <c r="CJ112" s="1">
        <f t="shared" ref="CJ112:CR112" si="198">SUM(CJ83:CJ111)</f>
        <v>19610906</v>
      </c>
      <c r="CK112" s="1"/>
      <c r="CL112" s="1">
        <f t="shared" si="198"/>
        <v>2360894</v>
      </c>
      <c r="CM112" s="1">
        <f t="shared" si="198"/>
        <v>1682916</v>
      </c>
      <c r="CN112" s="1">
        <f t="shared" si="198"/>
        <v>1039552</v>
      </c>
      <c r="CO112" s="1">
        <f t="shared" si="198"/>
        <v>764479</v>
      </c>
      <c r="CP112" s="1">
        <f t="shared" si="198"/>
        <v>1412414</v>
      </c>
      <c r="CQ112" s="1">
        <f t="shared" si="198"/>
        <v>801614</v>
      </c>
      <c r="CR112" s="1">
        <f t="shared" si="198"/>
        <v>97424</v>
      </c>
      <c r="CS112" s="1"/>
      <c r="CT112" s="1"/>
      <c r="CU112" s="1">
        <f>SUM(CU83:CU111)</f>
        <v>6148555</v>
      </c>
      <c r="CW112" s="1">
        <f>SUM(CW83:CW111)</f>
        <v>3982114</v>
      </c>
      <c r="CX112" s="1">
        <f>SUM(CX83:CX111)</f>
        <v>0</v>
      </c>
      <c r="CY112" s="1">
        <f>SUM(CY83:CY111)</f>
        <v>32848</v>
      </c>
      <c r="CZ112" s="1">
        <f t="shared" ref="CZ112:DK112" si="199">SUM(CZ83:CZ111)</f>
        <v>41606</v>
      </c>
      <c r="DA112" s="1">
        <f t="shared" si="199"/>
        <v>0</v>
      </c>
      <c r="DB112" s="1">
        <f t="shared" si="199"/>
        <v>44162</v>
      </c>
      <c r="DC112" s="1">
        <f t="shared" si="199"/>
        <v>8412</v>
      </c>
      <c r="DD112" s="1">
        <f t="shared" si="199"/>
        <v>15629</v>
      </c>
      <c r="DE112" s="1">
        <f t="shared" si="199"/>
        <v>8608</v>
      </c>
      <c r="DF112" s="1">
        <f t="shared" si="199"/>
        <v>74322</v>
      </c>
      <c r="DG112" s="1">
        <f t="shared" si="199"/>
        <v>204466</v>
      </c>
      <c r="DH112" s="1">
        <f t="shared" si="199"/>
        <v>1082</v>
      </c>
      <c r="DI112" s="1">
        <f t="shared" si="199"/>
        <v>476989</v>
      </c>
      <c r="DJ112" s="1">
        <f t="shared" si="199"/>
        <v>296099</v>
      </c>
      <c r="DK112" s="1">
        <f t="shared" si="199"/>
        <v>4921</v>
      </c>
      <c r="DL112" s="1">
        <f>SUM(DL83:DL111)</f>
        <v>1325611</v>
      </c>
      <c r="DM112" s="1">
        <f t="shared" ref="DM112:DT112" si="200">SUM(DM83:DM111)</f>
        <v>0</v>
      </c>
      <c r="DN112" s="1">
        <f t="shared" si="200"/>
        <v>90503</v>
      </c>
      <c r="DO112" s="1">
        <f t="shared" si="200"/>
        <v>59182</v>
      </c>
      <c r="DP112" s="1">
        <f t="shared" si="200"/>
        <v>34351</v>
      </c>
      <c r="DQ112" s="1">
        <f t="shared" si="200"/>
        <v>6770922</v>
      </c>
      <c r="DR112" s="1">
        <f t="shared" si="200"/>
        <v>57788223</v>
      </c>
      <c r="DS112" s="1">
        <f t="shared" si="200"/>
        <v>1790220</v>
      </c>
      <c r="DT112" s="1">
        <f t="shared" si="200"/>
        <v>1742469</v>
      </c>
      <c r="DV112" s="1"/>
      <c r="DW112" s="1">
        <f>SUM(DW83:DW111)</f>
        <v>74718417</v>
      </c>
      <c r="DX112" s="1">
        <f>SUM(DX83:DX111)</f>
        <v>85925212</v>
      </c>
      <c r="DY112" s="1"/>
      <c r="DZ112" s="1">
        <f>SUM(DZ83:DZ111)</f>
        <v>155027</v>
      </c>
      <c r="EC112" s="1">
        <f>SUM(EC83:EC111)</f>
        <v>0</v>
      </c>
      <c r="ED112" s="1"/>
      <c r="EE112" s="1">
        <f>SUM(EE83:EE111)</f>
        <v>235591395</v>
      </c>
      <c r="EF112" s="1"/>
      <c r="EG112" s="1">
        <f>SUM(EG83:EG111)</f>
        <v>365897</v>
      </c>
    </row>
    <row r="113" spans="1:145" ht="15.7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f t="shared" si="180"/>
        <v>0</v>
      </c>
      <c r="BH113" s="1"/>
      <c r="BI113" s="1"/>
      <c r="BJ113" s="1"/>
      <c r="BK113" s="1"/>
      <c r="BL113" s="1"/>
      <c r="BM113" s="1"/>
      <c r="BN113" s="1"/>
      <c r="BO113" s="1"/>
      <c r="BP113" s="1"/>
      <c r="BQ113" s="1"/>
      <c r="BR113" s="1"/>
      <c r="BS113" s="1"/>
      <c r="BT113" s="1"/>
      <c r="BX113" s="3"/>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f>+DS86+DS83</f>
        <v>1790220</v>
      </c>
      <c r="DT113" s="1"/>
      <c r="DV113" s="1"/>
      <c r="DW113" s="1"/>
      <c r="DX113" s="1"/>
      <c r="DY113" s="1"/>
      <c r="DZ113" s="1"/>
      <c r="EC113" s="1"/>
      <c r="ED113" s="1"/>
      <c r="EE113" s="1"/>
      <c r="EF113" s="1"/>
      <c r="EG113" s="1"/>
    </row>
    <row r="114" spans="1:145" ht="15.75">
      <c r="A114" s="1"/>
      <c r="B114" s="7" t="s">
        <v>941</v>
      </c>
      <c r="C114" s="7"/>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f t="shared" si="180"/>
        <v>0</v>
      </c>
      <c r="BH114" s="1"/>
      <c r="BI114" s="1"/>
      <c r="BJ114" s="1"/>
      <c r="BK114" s="1"/>
      <c r="BL114" s="1"/>
      <c r="BM114" s="1"/>
      <c r="BN114" s="1"/>
      <c r="BO114" s="1"/>
      <c r="BP114" s="1"/>
      <c r="BQ114" s="1"/>
      <c r="BR114" s="1"/>
      <c r="BS114" s="1"/>
      <c r="BT114" s="1"/>
      <c r="BX114" s="3"/>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V114" s="1"/>
      <c r="DW114" s="1"/>
      <c r="DX114" s="1"/>
      <c r="DY114" s="1"/>
      <c r="DZ114" s="1"/>
      <c r="EC114" s="1"/>
      <c r="ED114" s="1"/>
      <c r="EE114" s="1"/>
      <c r="EF114" s="1"/>
      <c r="EG114" s="1"/>
    </row>
    <row r="115" spans="1:145" ht="15.75">
      <c r="A115" s="1"/>
      <c r="B115" s="7" t="s">
        <v>941</v>
      </c>
      <c r="C115" s="7"/>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f t="shared" si="180"/>
        <v>0</v>
      </c>
      <c r="BH115" s="1"/>
      <c r="BI115" s="1"/>
      <c r="BJ115" s="1"/>
      <c r="BK115" s="1"/>
      <c r="BL115" s="1"/>
      <c r="BM115" s="1"/>
      <c r="BN115" s="1"/>
      <c r="BO115" s="1"/>
      <c r="BP115" s="1"/>
      <c r="BQ115" s="1"/>
      <c r="BR115" s="1"/>
      <c r="BS115" s="1"/>
      <c r="BT115" s="1"/>
      <c r="BX115" s="3"/>
      <c r="BY115" s="1">
        <f>+BY121+BP121+BF121+D121</f>
        <v>11807864</v>
      </c>
      <c r="BZ115" s="1"/>
      <c r="CA115" s="1"/>
      <c r="CB115" s="1"/>
      <c r="CC115" s="1"/>
      <c r="CD115" s="1"/>
      <c r="CE115" s="1"/>
      <c r="CF115" s="1"/>
      <c r="CG115" s="1"/>
      <c r="CH115" s="1"/>
      <c r="CI115" s="1"/>
      <c r="CJ115" s="1"/>
      <c r="CK115" s="1"/>
      <c r="CL115" s="1"/>
      <c r="CM115" s="1"/>
      <c r="CN115" s="1"/>
      <c r="CO115" s="1"/>
      <c r="CP115" s="1"/>
      <c r="CQ115" s="1"/>
      <c r="CR115" s="1"/>
      <c r="CS115" s="1"/>
      <c r="CT115" s="1"/>
      <c r="CU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V115" s="1"/>
      <c r="DW115" s="1"/>
      <c r="DX115" s="1"/>
      <c r="DY115" s="1"/>
      <c r="DZ115" s="1"/>
      <c r="EC115" s="1"/>
      <c r="ED115" s="1"/>
      <c r="EE115" s="1"/>
      <c r="EF115" s="1"/>
      <c r="EG115" s="1"/>
    </row>
    <row r="116" spans="1:145" ht="15.75">
      <c r="A116" s="1"/>
      <c r="B116" s="1" t="s">
        <v>424</v>
      </c>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f t="shared" si="180"/>
        <v>0</v>
      </c>
      <c r="BH116" s="1"/>
      <c r="BI116" s="1"/>
      <c r="BJ116" s="1"/>
      <c r="BK116" s="1"/>
      <c r="BL116" s="1"/>
      <c r="BM116" s="1"/>
      <c r="BN116" s="1"/>
      <c r="BO116" s="1"/>
      <c r="BP116" s="1"/>
      <c r="BQ116" s="1"/>
      <c r="BR116" s="1"/>
      <c r="BS116" s="1"/>
      <c r="BT116" s="1"/>
      <c r="BX116" s="3"/>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V116" s="1"/>
      <c r="DW116" s="1"/>
      <c r="DX116" s="1"/>
      <c r="DY116" s="1"/>
      <c r="DZ116" s="1"/>
      <c r="EC116" s="1"/>
      <c r="ED116" s="1"/>
      <c r="EE116" s="1"/>
      <c r="EF116" s="1"/>
      <c r="EG116" s="1"/>
    </row>
    <row r="117" spans="1:145" ht="15.75">
      <c r="A117" s="1"/>
      <c r="B117" s="1" t="s">
        <v>556</v>
      </c>
      <c r="C117" s="1"/>
      <c r="D117" s="180">
        <f>+'GFBS ER'!B48+'Agency transfer JV'!G62</f>
        <v>788246</v>
      </c>
      <c r="E117" s="1">
        <f>+'SRBS ER'!B48</f>
        <v>0</v>
      </c>
      <c r="F117" s="1">
        <f>+'SRBS ER'!C48</f>
        <v>0</v>
      </c>
      <c r="G117" s="1">
        <f>+'SRBS ER'!D48</f>
        <v>0</v>
      </c>
      <c r="H117" s="1">
        <f>+'SRBS ER'!E48</f>
        <v>0</v>
      </c>
      <c r="I117" s="1">
        <f>+'SRBS ER'!F48</f>
        <v>0</v>
      </c>
      <c r="J117" s="1">
        <f>+'SRBS ER'!G48</f>
        <v>0</v>
      </c>
      <c r="K117" s="1">
        <f>+'SRBS ER'!H48</f>
        <v>0</v>
      </c>
      <c r="L117" s="1">
        <f>+'SRBS ER'!I48</f>
        <v>0</v>
      </c>
      <c r="M117" s="1">
        <f>+'SRBS ER'!J48</f>
        <v>0</v>
      </c>
      <c r="N117" s="1">
        <f>+'SRBS ER'!K48</f>
        <v>0</v>
      </c>
      <c r="O117" s="1">
        <f>+'SRBS ER'!L48</f>
        <v>0</v>
      </c>
      <c r="P117" s="1">
        <f>+'SRBS ER'!M48</f>
        <v>0</v>
      </c>
      <c r="Q117" s="1">
        <f>+'SRBS ER'!N48</f>
        <v>0</v>
      </c>
      <c r="R117" s="1">
        <f>+'SRBS ER'!O48</f>
        <v>0</v>
      </c>
      <c r="S117" s="1">
        <f>+'SRBS ER'!P48</f>
        <v>0</v>
      </c>
      <c r="T117" s="1">
        <f>+'SRBS ER'!Q48</f>
        <v>0</v>
      </c>
      <c r="U117" s="1">
        <f>+'SRBS ER'!R48</f>
        <v>0</v>
      </c>
      <c r="V117" s="1">
        <f>+'SRBS ER'!S48</f>
        <v>0</v>
      </c>
      <c r="W117" s="1">
        <f>+'SRBS ER'!T48</f>
        <v>0</v>
      </c>
      <c r="X117" s="1">
        <f>+'SRBS ER'!U48</f>
        <v>627</v>
      </c>
      <c r="Y117" s="1">
        <f>+'SRBS ER'!V48</f>
        <v>0</v>
      </c>
      <c r="Z117" s="1">
        <f>+'SRBS ER'!W48</f>
        <v>0</v>
      </c>
      <c r="AA117" s="1">
        <f>+'SRBS ER'!X48</f>
        <v>0</v>
      </c>
      <c r="AB117" s="1">
        <f>+'SRBS ER'!Y48</f>
        <v>0</v>
      </c>
      <c r="AC117" s="1">
        <f>+'SRBS ER'!Z48</f>
        <v>0</v>
      </c>
      <c r="AD117" s="1">
        <f>+'SRBS ER'!AA48</f>
        <v>0</v>
      </c>
      <c r="AE117" s="1">
        <f>+'SRBS ER'!AB48+'SRBS ER'!AC48</f>
        <v>0</v>
      </c>
      <c r="AF117" s="1">
        <f>+'SRBS ER'!AD48</f>
        <v>0</v>
      </c>
      <c r="AG117" s="1">
        <f>+'SRBS ER'!AE48</f>
        <v>0</v>
      </c>
      <c r="AH117" s="1">
        <f>+'SRBS ER'!AF48</f>
        <v>0</v>
      </c>
      <c r="AI117" s="1">
        <f>+'SRBS ER'!AG48</f>
        <v>0</v>
      </c>
      <c r="AJ117" s="1">
        <f>+'SRBS ER'!AH48</f>
        <v>0</v>
      </c>
      <c r="AK117" s="1">
        <f>+'SRBS ER'!AI48</f>
        <v>0</v>
      </c>
      <c r="AL117" s="1">
        <f>+'SRBS ER'!AJ48</f>
        <v>0</v>
      </c>
      <c r="AM117" s="1">
        <f>+'SRBS ER'!AK48</f>
        <v>0</v>
      </c>
      <c r="AN117" s="1">
        <f>+'SRBS ER'!AL48</f>
        <v>0</v>
      </c>
      <c r="AO117" s="1">
        <f>+'SRBS ER'!AM48</f>
        <v>0</v>
      </c>
      <c r="AP117" s="1">
        <f>+'SRBS ER'!AN48</f>
        <v>0</v>
      </c>
      <c r="AQ117" s="1">
        <f>+'SRBS ER'!AO48</f>
        <v>0</v>
      </c>
      <c r="AR117" s="1">
        <f>+'SRBS ER'!AQ48</f>
        <v>0</v>
      </c>
      <c r="AS117" s="1">
        <f>+'SRBS ER'!AR48</f>
        <v>0</v>
      </c>
      <c r="AT117" s="1">
        <f>+'SRBS ER'!AS48</f>
        <v>0</v>
      </c>
      <c r="AU117" s="1">
        <f>+'SRBS ER'!AT48</f>
        <v>0</v>
      </c>
      <c r="AV117" s="1">
        <f>+'SRBS ER'!AU48</f>
        <v>0</v>
      </c>
      <c r="AW117" s="1"/>
      <c r="AX117" s="1">
        <f>+'SRBS ER'!AW48</f>
        <v>0</v>
      </c>
      <c r="AY117" s="1">
        <f>+'SRBS ER'!AX48</f>
        <v>0</v>
      </c>
      <c r="AZ117" s="1">
        <f>+'SRBS ER'!AY48</f>
        <v>0</v>
      </c>
      <c r="BA117" s="1">
        <f>+'SRBS ER'!AZ48</f>
        <v>0</v>
      </c>
      <c r="BB117" s="1">
        <f>+'SRBS ER'!BA48</f>
        <v>0</v>
      </c>
      <c r="BC117" s="1">
        <f>+'SRBS ER'!BB48</f>
        <v>0</v>
      </c>
      <c r="BD117" s="1"/>
      <c r="BE117" s="1"/>
      <c r="BF117" s="1">
        <f t="shared" ref="BF117:BF128" si="201">SUM(E117:BE117)</f>
        <v>627</v>
      </c>
      <c r="BG117" s="1">
        <f t="shared" si="180"/>
        <v>0</v>
      </c>
      <c r="BH117" s="1">
        <f>+'DSBS ER'!B48</f>
        <v>0</v>
      </c>
      <c r="BI117" s="1">
        <f>+'DSBS ER'!C48</f>
        <v>0</v>
      </c>
      <c r="BJ117" s="1">
        <f>+'DSBS ER'!D48</f>
        <v>0</v>
      </c>
      <c r="BK117" s="1">
        <f>+'DSBS ER'!E48</f>
        <v>0</v>
      </c>
      <c r="BL117" s="1">
        <f>+'DSBS ER'!F48</f>
        <v>0</v>
      </c>
      <c r="BM117" s="1">
        <f>+'DSBS ER'!G48</f>
        <v>0</v>
      </c>
      <c r="BN117" s="1">
        <f>+'DSBS ER'!H48</f>
        <v>0</v>
      </c>
      <c r="BO117" s="1"/>
      <c r="BP117" s="1">
        <f t="shared" ref="BP117:BP134" si="202">SUM(BH117:BN117)</f>
        <v>0</v>
      </c>
      <c r="BQ117" s="1"/>
      <c r="BR117" s="1">
        <f>+'CPBS ER'!B48</f>
        <v>0</v>
      </c>
      <c r="BS117" s="1">
        <f>+'CPBS ER'!C48</f>
        <v>0</v>
      </c>
      <c r="BT117" s="1">
        <f>+'CPBS ER'!D48</f>
        <v>0</v>
      </c>
      <c r="BU117" s="1">
        <f>+'CPBS ER'!E48</f>
        <v>0</v>
      </c>
      <c r="BV117" s="1">
        <f>+'CPBS ER'!F48</f>
        <v>0</v>
      </c>
      <c r="BW117" s="1">
        <f>+'CPBS ER'!G48</f>
        <v>0</v>
      </c>
      <c r="BX117" s="3"/>
      <c r="BY117" s="1">
        <f t="shared" ref="BY117:BY128" si="203">SUM(BR117:BX117)</f>
        <v>0</v>
      </c>
      <c r="BZ117" s="1"/>
      <c r="CA117" s="1"/>
      <c r="CB117" s="1">
        <f>+'ENBS ER'!D48</f>
        <v>0</v>
      </c>
      <c r="CC117" s="1">
        <f>+'ENBS ER'!E48+'ENBS ER'!C48</f>
        <v>28736</v>
      </c>
      <c r="CD117" s="1">
        <f>+'ENBS ER'!F48</f>
        <v>0</v>
      </c>
      <c r="CE117" s="1">
        <f>+'ENBS ER'!G48</f>
        <v>0</v>
      </c>
      <c r="CF117" s="1">
        <f>+'ENBS ER'!H48</f>
        <v>0</v>
      </c>
      <c r="CG117" s="1">
        <f>+'ENBS ER'!I48</f>
        <v>516</v>
      </c>
      <c r="CH117" s="1">
        <f>+'ENBS ER'!J48</f>
        <v>0</v>
      </c>
      <c r="CI117" s="1"/>
      <c r="CJ117" s="1">
        <f t="shared" ref="CJ117:CJ128" si="204">SUM(CB117:CI117)</f>
        <v>29252</v>
      </c>
      <c r="CK117" s="1"/>
      <c r="CL117" s="1">
        <f>+'ENBS ER'!M48</f>
        <v>0</v>
      </c>
      <c r="CM117" s="1">
        <f>+'ENBS ER'!N48</f>
        <v>0</v>
      </c>
      <c r="CN117" s="1">
        <f>+'ENBS ER'!O48+0</f>
        <v>0</v>
      </c>
      <c r="CO117" s="1">
        <f>+'ENBS ER'!P48</f>
        <v>0</v>
      </c>
      <c r="CP117" s="1">
        <f>+'ENBS ER'!Q48</f>
        <v>0</v>
      </c>
      <c r="CQ117" s="1">
        <f>+'ENBS ER'!R48</f>
        <v>0</v>
      </c>
      <c r="CR117" s="1">
        <f>+'ENBS ER'!S48</f>
        <v>0</v>
      </c>
      <c r="CS117" s="1"/>
      <c r="CT117" s="1"/>
      <c r="CU117" s="1">
        <f t="shared" ref="CU117:CU128" si="205">SUM(CL117:CT117)-CT117</f>
        <v>0</v>
      </c>
      <c r="CW117" s="89">
        <f>+'TA BS ER'!B51</f>
        <v>0</v>
      </c>
      <c r="CX117" s="89">
        <f>+'TA BS ER'!C51</f>
        <v>0</v>
      </c>
      <c r="CY117" s="89">
        <f>+'TA BS ER'!D51</f>
        <v>0</v>
      </c>
      <c r="CZ117" s="89">
        <f>+'TA BS ER'!E51</f>
        <v>41606</v>
      </c>
      <c r="DA117" s="89">
        <f>+'TA BS ER'!F51</f>
        <v>0</v>
      </c>
      <c r="DB117" s="89">
        <f>+'TA BS ER'!G51</f>
        <v>0</v>
      </c>
      <c r="DC117" s="89">
        <f>+'TA BS ER'!H51</f>
        <v>0</v>
      </c>
      <c r="DD117" s="89">
        <f>+'TA BS ER'!I51</f>
        <v>15629</v>
      </c>
      <c r="DE117" s="89">
        <f>+'TA BS ER'!J51</f>
        <v>0</v>
      </c>
      <c r="DF117" s="89">
        <f>+'TA BS ER'!K51</f>
        <v>0</v>
      </c>
      <c r="DG117" s="89">
        <f>+'TA BS ER'!L51</f>
        <v>0</v>
      </c>
      <c r="DH117" s="89">
        <f>+'TA BS ER'!M51</f>
        <v>1082</v>
      </c>
      <c r="DI117" s="89">
        <f>+'TA BS ER'!N51</f>
        <v>476989</v>
      </c>
      <c r="DJ117" s="89">
        <f>+'TA BS ER'!O51</f>
        <v>0</v>
      </c>
      <c r="DK117" s="89">
        <f>+'TA BS ER'!P51</f>
        <v>4921</v>
      </c>
      <c r="DL117" s="89">
        <f>+'TA BS ER'!Q51</f>
        <v>0</v>
      </c>
      <c r="DM117" s="89">
        <f>+'TA BS ER'!R51</f>
        <v>0</v>
      </c>
      <c r="DN117" s="89">
        <f>+'TA BS ER'!S51</f>
        <v>0</v>
      </c>
      <c r="DO117" s="89">
        <f>+'TA BS ER'!T51</f>
        <v>59182</v>
      </c>
      <c r="DP117" s="89">
        <f>+'TA BS ER'!U51</f>
        <v>0</v>
      </c>
      <c r="DQ117" s="89">
        <f>+'TA BS ER'!V51</f>
        <v>0</v>
      </c>
      <c r="DR117" s="89">
        <f>+'TA BS ER'!W51</f>
        <v>2554271</v>
      </c>
      <c r="DS117" s="89">
        <f>+'TA BS ER'!X51</f>
        <v>0</v>
      </c>
      <c r="DT117" s="89">
        <f>+'TA BS ER'!Y51</f>
        <v>239308</v>
      </c>
      <c r="DV117" s="1"/>
      <c r="DW117" s="1">
        <f t="shared" ref="DW117:DW134" si="206">SUM(CY117:DV117)</f>
        <v>3392988</v>
      </c>
      <c r="DX117" s="1"/>
      <c r="DY117" s="1"/>
      <c r="DZ117" s="89"/>
      <c r="EA117" s="21"/>
      <c r="EC117" s="82"/>
      <c r="ED117" s="617" t="s">
        <v>2748</v>
      </c>
      <c r="EE117" s="1">
        <f t="shared" ref="EE117:EE135" si="207">SUM(CW117:ED117)</f>
        <v>6785976</v>
      </c>
      <c r="EF117" s="1"/>
      <c r="EG117" s="1"/>
    </row>
    <row r="118" spans="1:145" ht="15.75">
      <c r="A118" s="1"/>
      <c r="B118" s="1" t="s">
        <v>1146</v>
      </c>
      <c r="C118" s="1"/>
      <c r="D118" s="1">
        <f>+'GFBS ER'!B49</f>
        <v>0</v>
      </c>
      <c r="E118" s="1">
        <f>+'SRBS ER'!B49</f>
        <v>0</v>
      </c>
      <c r="F118" s="1">
        <f>+'SRBS ER'!C49</f>
        <v>0</v>
      </c>
      <c r="G118" s="1">
        <f>+'SRBS ER'!D49</f>
        <v>0</v>
      </c>
      <c r="H118" s="1">
        <f>+'SRBS ER'!E49</f>
        <v>0</v>
      </c>
      <c r="I118" s="1">
        <f>+'SRBS ER'!F49</f>
        <v>0</v>
      </c>
      <c r="J118" s="1">
        <f>+'SRBS ER'!G49</f>
        <v>0</v>
      </c>
      <c r="K118" s="1">
        <f>+'SRBS ER'!H49</f>
        <v>0</v>
      </c>
      <c r="L118" s="1">
        <f>+'SRBS ER'!I49</f>
        <v>0</v>
      </c>
      <c r="M118" s="1">
        <f>+'SRBS ER'!J49</f>
        <v>0</v>
      </c>
      <c r="N118" s="1">
        <f>+'SRBS ER'!K49</f>
        <v>0</v>
      </c>
      <c r="O118" s="1">
        <f>+'SRBS ER'!L49</f>
        <v>0</v>
      </c>
      <c r="P118" s="1">
        <f>+'SRBS ER'!M49</f>
        <v>0</v>
      </c>
      <c r="Q118" s="1">
        <f>+'SRBS ER'!N49</f>
        <v>0</v>
      </c>
      <c r="R118" s="1">
        <f>+'SRBS ER'!O49</f>
        <v>0</v>
      </c>
      <c r="S118" s="1">
        <f>+'SRBS ER'!P49</f>
        <v>0</v>
      </c>
      <c r="T118" s="1">
        <f>+'SRBS ER'!Q49</f>
        <v>0</v>
      </c>
      <c r="U118" s="1">
        <f>+'SRBS ER'!R49</f>
        <v>0</v>
      </c>
      <c r="V118" s="1">
        <f>+'SRBS ER'!S49</f>
        <v>0</v>
      </c>
      <c r="W118" s="1">
        <f>+'SRBS ER'!T49</f>
        <v>0</v>
      </c>
      <c r="X118" s="1">
        <f>+'SRBS ER'!U49</f>
        <v>0</v>
      </c>
      <c r="Y118" s="1">
        <f>+'SRBS ER'!V49</f>
        <v>0</v>
      </c>
      <c r="Z118" s="1">
        <f>+'SRBS ER'!W49</f>
        <v>0</v>
      </c>
      <c r="AA118" s="1">
        <f>+'SRBS ER'!X49</f>
        <v>0</v>
      </c>
      <c r="AB118" s="1">
        <f>+'SRBS ER'!Y49</f>
        <v>0</v>
      </c>
      <c r="AC118" s="1">
        <f>+'SRBS ER'!Z49</f>
        <v>0</v>
      </c>
      <c r="AD118" s="1">
        <f>+'SRBS ER'!AA49</f>
        <v>0</v>
      </c>
      <c r="AE118" s="1">
        <f>+'SRBS ER'!AB49+'SRBS ER'!AC49</f>
        <v>0</v>
      </c>
      <c r="AF118" s="1">
        <f>+'SRBS ER'!AD49</f>
        <v>0</v>
      </c>
      <c r="AG118" s="1">
        <f>+'SRBS ER'!AE49</f>
        <v>0</v>
      </c>
      <c r="AH118" s="1">
        <f>+'SRBS ER'!AF49</f>
        <v>0</v>
      </c>
      <c r="AI118" s="1">
        <f>+'SRBS ER'!AG49</f>
        <v>0</v>
      </c>
      <c r="AJ118" s="1">
        <f>+'SRBS ER'!AH49</f>
        <v>0</v>
      </c>
      <c r="AK118" s="1">
        <f>+'SRBS ER'!AI49</f>
        <v>0</v>
      </c>
      <c r="AL118" s="1">
        <f>+'SRBS ER'!AJ49</f>
        <v>0</v>
      </c>
      <c r="AM118" s="1">
        <f>+'SRBS ER'!AK49</f>
        <v>0</v>
      </c>
      <c r="AN118" s="1">
        <f>+'SRBS ER'!AL49</f>
        <v>0</v>
      </c>
      <c r="AO118" s="1">
        <f>+'SRBS ER'!AM49</f>
        <v>0</v>
      </c>
      <c r="AP118" s="1">
        <f>+'SRBS ER'!AN49</f>
        <v>0</v>
      </c>
      <c r="AQ118" s="1">
        <f>+'SRBS ER'!AO49</f>
        <v>0</v>
      </c>
      <c r="AR118" s="1">
        <f>+'SRBS ER'!AQ49</f>
        <v>0</v>
      </c>
      <c r="AS118" s="1">
        <f>+'SRBS ER'!AR49</f>
        <v>0</v>
      </c>
      <c r="AT118" s="1">
        <f>+'SRBS ER'!AS49</f>
        <v>0</v>
      </c>
      <c r="AU118" s="1">
        <f>+'SRBS ER'!AT49</f>
        <v>0</v>
      </c>
      <c r="AV118" s="1">
        <f>+'SRBS ER'!AU49</f>
        <v>0</v>
      </c>
      <c r="AW118" s="1"/>
      <c r="AX118" s="1">
        <f>+'SRBS ER'!AW49</f>
        <v>0</v>
      </c>
      <c r="AY118" s="1">
        <f>+'SRBS ER'!AX49</f>
        <v>0</v>
      </c>
      <c r="AZ118" s="1">
        <f>+'SRBS ER'!AY49</f>
        <v>0</v>
      </c>
      <c r="BA118" s="1">
        <f>+'SRBS ER'!AZ49</f>
        <v>0</v>
      </c>
      <c r="BB118" s="1">
        <f>+'SRBS ER'!BA49</f>
        <v>0</v>
      </c>
      <c r="BC118" s="1">
        <f>+'SRBS ER'!BB49</f>
        <v>0</v>
      </c>
      <c r="BD118" s="1"/>
      <c r="BE118" s="1"/>
      <c r="BF118" s="1">
        <f t="shared" si="201"/>
        <v>0</v>
      </c>
      <c r="BG118" s="1">
        <f t="shared" si="180"/>
        <v>0</v>
      </c>
      <c r="BH118" s="1">
        <f>+'DSBS ER'!B49</f>
        <v>0</v>
      </c>
      <c r="BI118" s="1">
        <f>+'DSBS ER'!C49</f>
        <v>0</v>
      </c>
      <c r="BJ118" s="1">
        <f>+'DSBS ER'!D49</f>
        <v>0</v>
      </c>
      <c r="BK118" s="1">
        <f>+'DSBS ER'!E49</f>
        <v>0</v>
      </c>
      <c r="BL118" s="1">
        <f>+'DSBS ER'!F49</f>
        <v>0</v>
      </c>
      <c r="BM118" s="1">
        <f>+'DSBS ER'!G49</f>
        <v>0</v>
      </c>
      <c r="BN118" s="1">
        <f>+'DSBS ER'!H49</f>
        <v>0</v>
      </c>
      <c r="BO118" s="1"/>
      <c r="BP118" s="1">
        <f t="shared" si="202"/>
        <v>0</v>
      </c>
      <c r="BQ118" s="1"/>
      <c r="BR118" s="1">
        <f>+'CPBS ER'!B49</f>
        <v>0</v>
      </c>
      <c r="BS118" s="1">
        <f>+'CPBS ER'!C49</f>
        <v>0</v>
      </c>
      <c r="BT118" s="1">
        <f>+'CPBS ER'!D49</f>
        <v>0</v>
      </c>
      <c r="BU118" s="1">
        <f>+'CPBS ER'!E49</f>
        <v>0</v>
      </c>
      <c r="BV118" s="1">
        <f>+'CPBS ER'!F49</f>
        <v>0</v>
      </c>
      <c r="BW118" s="1">
        <f>+'CPBS ER'!G49</f>
        <v>0</v>
      </c>
      <c r="BX118" s="3"/>
      <c r="BY118" s="1">
        <f t="shared" si="203"/>
        <v>0</v>
      </c>
      <c r="BZ118" s="1"/>
      <c r="CA118" s="1"/>
      <c r="CB118" s="1">
        <f>+'ENBS ER'!D49</f>
        <v>0</v>
      </c>
      <c r="CC118" s="1">
        <f>+'ENBS ER'!E49+'ENBS ER'!C49</f>
        <v>0</v>
      </c>
      <c r="CD118" s="1">
        <f>+'ENBS ER'!F49</f>
        <v>0</v>
      </c>
      <c r="CE118" s="1">
        <f>+'ENBS ER'!G49</f>
        <v>0</v>
      </c>
      <c r="CF118" s="1">
        <f>+'ENBS ER'!H49</f>
        <v>0</v>
      </c>
      <c r="CG118" s="1">
        <f>+'ENBS ER'!I49</f>
        <v>0</v>
      </c>
      <c r="CH118" s="1">
        <f>+'ENBS ER'!J49</f>
        <v>0</v>
      </c>
      <c r="CI118" s="1"/>
      <c r="CJ118" s="1">
        <f t="shared" si="204"/>
        <v>0</v>
      </c>
      <c r="CK118" s="1"/>
      <c r="CL118" s="1">
        <f>+'ENBS ER'!M49</f>
        <v>0</v>
      </c>
      <c r="CM118" s="1">
        <f>+'ENBS ER'!N49</f>
        <v>0</v>
      </c>
      <c r="CN118" s="1">
        <f>+'ENBS ER'!O49</f>
        <v>0</v>
      </c>
      <c r="CO118" s="1">
        <f>+'ENBS ER'!P49</f>
        <v>0</v>
      </c>
      <c r="CP118" s="1">
        <f>+'ENBS ER'!Q49</f>
        <v>0</v>
      </c>
      <c r="CQ118" s="1">
        <f>+'ENBS ER'!R49</f>
        <v>0</v>
      </c>
      <c r="CR118" s="1">
        <f>+'ENBS ER'!S49</f>
        <v>0</v>
      </c>
      <c r="CS118" s="1"/>
      <c r="CT118" s="1"/>
      <c r="CU118" s="1">
        <f t="shared" si="205"/>
        <v>0</v>
      </c>
      <c r="CW118" s="1"/>
      <c r="CX118" s="1"/>
      <c r="CY118" s="1"/>
      <c r="CZ118" s="1"/>
      <c r="DA118" s="1"/>
      <c r="DB118" s="1"/>
      <c r="DC118" s="1"/>
      <c r="DD118" s="1"/>
      <c r="DE118" s="1"/>
      <c r="DF118" s="1"/>
      <c r="DG118" s="1"/>
      <c r="DH118" s="1"/>
      <c r="DI118" s="89"/>
      <c r="DJ118" s="1"/>
      <c r="DK118" s="1"/>
      <c r="DL118" s="1"/>
      <c r="DM118" s="1"/>
      <c r="DN118" s="1"/>
      <c r="DO118" s="1"/>
      <c r="DP118" s="1"/>
      <c r="DQ118" s="1"/>
      <c r="DR118" s="1"/>
      <c r="DS118" s="1"/>
      <c r="DT118" s="1"/>
      <c r="DV118" s="1"/>
      <c r="DW118" s="1">
        <f t="shared" si="206"/>
        <v>0</v>
      </c>
      <c r="DX118" s="1"/>
      <c r="DY118" s="1"/>
      <c r="DZ118" s="1"/>
      <c r="EC118" s="1"/>
      <c r="ED118" s="1"/>
      <c r="EE118" s="1">
        <f t="shared" si="207"/>
        <v>0</v>
      </c>
      <c r="EF118" s="1"/>
      <c r="EG118" s="1"/>
    </row>
    <row r="119" spans="1:145" ht="15.75">
      <c r="A119" s="1"/>
      <c r="B119" s="1" t="s">
        <v>555</v>
      </c>
      <c r="C119" s="1"/>
      <c r="D119" s="1">
        <f>+'GFBS ER'!B50</f>
        <v>388366</v>
      </c>
      <c r="E119" s="1">
        <f>+'SRBS ER'!B50</f>
        <v>0</v>
      </c>
      <c r="F119" s="1">
        <f>+'SRBS ER'!C50</f>
        <v>0</v>
      </c>
      <c r="G119" s="1">
        <f>+'SRBS ER'!D50</f>
        <v>0</v>
      </c>
      <c r="H119" s="1">
        <f>+'SRBS ER'!E50</f>
        <v>0</v>
      </c>
      <c r="I119" s="1">
        <f>+'SRBS ER'!F50</f>
        <v>0</v>
      </c>
      <c r="J119" s="1">
        <f>+'SRBS ER'!G50</f>
        <v>0</v>
      </c>
      <c r="K119" s="1">
        <f>+'SRBS ER'!H50</f>
        <v>0</v>
      </c>
      <c r="L119" s="1">
        <f>+'SRBS ER'!I50</f>
        <v>0</v>
      </c>
      <c r="M119" s="1">
        <f>+'SRBS ER'!J50</f>
        <v>0</v>
      </c>
      <c r="N119" s="1">
        <f>+'SRBS ER'!K50</f>
        <v>0</v>
      </c>
      <c r="O119" s="1">
        <f>+'SRBS ER'!L50</f>
        <v>0</v>
      </c>
      <c r="P119" s="1">
        <f>+'SRBS ER'!M50</f>
        <v>0</v>
      </c>
      <c r="Q119" s="1">
        <f>+'SRBS ER'!N50</f>
        <v>0</v>
      </c>
      <c r="R119" s="1">
        <f>+'SRBS ER'!O50</f>
        <v>0</v>
      </c>
      <c r="S119" s="1">
        <f>+'SRBS ER'!P50</f>
        <v>0</v>
      </c>
      <c r="T119" s="1">
        <f>+'SRBS ER'!Q50</f>
        <v>0</v>
      </c>
      <c r="U119" s="1">
        <f>+'SRBS ER'!R50</f>
        <v>0</v>
      </c>
      <c r="V119" s="1">
        <f>+'SRBS ER'!S50</f>
        <v>0</v>
      </c>
      <c r="W119" s="1">
        <f>+'SRBS ER'!T50</f>
        <v>0</v>
      </c>
      <c r="X119" s="1">
        <f>+'SRBS ER'!U50</f>
        <v>0</v>
      </c>
      <c r="Y119" s="1">
        <f>+'SRBS ER'!V50</f>
        <v>0</v>
      </c>
      <c r="Z119" s="1">
        <f>+'SRBS ER'!W50</f>
        <v>0</v>
      </c>
      <c r="AA119" s="1">
        <f>+'SRBS ER'!X50</f>
        <v>0</v>
      </c>
      <c r="AB119" s="1">
        <f>+'SRBS ER'!Y50</f>
        <v>0</v>
      </c>
      <c r="AC119" s="1">
        <f>+'SRBS ER'!Z50</f>
        <v>0</v>
      </c>
      <c r="AD119" s="1">
        <f>+'SRBS ER'!AA50</f>
        <v>0</v>
      </c>
      <c r="AE119" s="1">
        <f>+'SRBS ER'!AB50+'SRBS ER'!AC50</f>
        <v>0</v>
      </c>
      <c r="AF119" s="1">
        <f>+'SRBS ER'!AD50</f>
        <v>0</v>
      </c>
      <c r="AG119" s="1">
        <f>+'SRBS ER'!AE50</f>
        <v>0</v>
      </c>
      <c r="AH119" s="1">
        <f>+'SRBS ER'!AF50</f>
        <v>0</v>
      </c>
      <c r="AI119" s="1">
        <f>+'SRBS ER'!AG50</f>
        <v>0</v>
      </c>
      <c r="AJ119" s="1">
        <f>+'SRBS ER'!AH50</f>
        <v>0</v>
      </c>
      <c r="AK119" s="1">
        <f>+'SRBS ER'!AI50</f>
        <v>0</v>
      </c>
      <c r="AL119" s="1">
        <f>+'SRBS ER'!AJ50</f>
        <v>0</v>
      </c>
      <c r="AM119" s="1">
        <f>+'SRBS ER'!AK50</f>
        <v>0</v>
      </c>
      <c r="AN119" s="1">
        <f>+'SRBS ER'!AL50</f>
        <v>0</v>
      </c>
      <c r="AO119" s="1">
        <f>+'SRBS ER'!AM50</f>
        <v>0</v>
      </c>
      <c r="AP119" s="1">
        <f>+'SRBS ER'!AN50</f>
        <v>0</v>
      </c>
      <c r="AQ119" s="1">
        <f>+'SRBS ER'!AO50</f>
        <v>0</v>
      </c>
      <c r="AR119" s="1">
        <f>+'SRBS ER'!AQ50</f>
        <v>0</v>
      </c>
      <c r="AS119" s="1">
        <f>+'SRBS ER'!AR50</f>
        <v>0</v>
      </c>
      <c r="AT119" s="1">
        <f>+'SRBS ER'!AS50</f>
        <v>0</v>
      </c>
      <c r="AU119" s="1">
        <f>+'SRBS ER'!AT50</f>
        <v>0</v>
      </c>
      <c r="AV119" s="1">
        <f>+'SRBS ER'!AU50</f>
        <v>0</v>
      </c>
      <c r="AW119" s="1"/>
      <c r="AX119" s="1">
        <f>+'SRBS ER'!AW50</f>
        <v>0</v>
      </c>
      <c r="AY119" s="1">
        <f>+'SRBS ER'!AX50</f>
        <v>0</v>
      </c>
      <c r="AZ119" s="1">
        <f>+'SRBS ER'!AY50</f>
        <v>0</v>
      </c>
      <c r="BA119" s="1">
        <f>+'SRBS ER'!AZ50</f>
        <v>0</v>
      </c>
      <c r="BB119" s="1">
        <f>+'SRBS ER'!BA50</f>
        <v>0</v>
      </c>
      <c r="BC119" s="1">
        <f>+'SRBS ER'!BB50</f>
        <v>0</v>
      </c>
      <c r="BD119" s="1"/>
      <c r="BE119" s="1"/>
      <c r="BF119" s="1">
        <f t="shared" si="201"/>
        <v>0</v>
      </c>
      <c r="BG119" s="1">
        <f t="shared" si="180"/>
        <v>0</v>
      </c>
      <c r="BH119" s="1">
        <f>+'DSBS ER'!B50</f>
        <v>0</v>
      </c>
      <c r="BI119" s="1">
        <f>+'DSBS ER'!C50</f>
        <v>0</v>
      </c>
      <c r="BJ119" s="1">
        <f>+'DSBS ER'!D50</f>
        <v>0</v>
      </c>
      <c r="BK119" s="1">
        <f>+'DSBS ER'!E50</f>
        <v>0</v>
      </c>
      <c r="BL119" s="1">
        <f>+'DSBS ER'!F50</f>
        <v>0</v>
      </c>
      <c r="BM119" s="1">
        <f>+'DSBS ER'!G50</f>
        <v>0</v>
      </c>
      <c r="BN119" s="1">
        <f>+'DSBS ER'!H50</f>
        <v>0</v>
      </c>
      <c r="BO119" s="1"/>
      <c r="BP119" s="1">
        <f t="shared" si="202"/>
        <v>0</v>
      </c>
      <c r="BQ119" s="1"/>
      <c r="BR119" s="1">
        <f>+'CPBS ER'!B50</f>
        <v>0</v>
      </c>
      <c r="BS119" s="1">
        <f>+'CPBS ER'!C50</f>
        <v>0</v>
      </c>
      <c r="BT119" s="1">
        <f>+'CPBS ER'!D50</f>
        <v>0</v>
      </c>
      <c r="BU119" s="1">
        <f>+'CPBS ER'!E50</f>
        <v>0</v>
      </c>
      <c r="BV119" s="1">
        <f>+'CPBS ER'!F50</f>
        <v>0</v>
      </c>
      <c r="BW119" s="1">
        <f>+'CPBS ER'!G50</f>
        <v>0</v>
      </c>
      <c r="BX119" s="3"/>
      <c r="BY119" s="1">
        <f t="shared" si="203"/>
        <v>0</v>
      </c>
      <c r="BZ119" s="1"/>
      <c r="CA119" s="1"/>
      <c r="CB119" s="1">
        <f>+'ENBS ER'!D50</f>
        <v>0</v>
      </c>
      <c r="CC119" s="1">
        <f>+'ENBS ER'!E50+'ENBS ER'!C50</f>
        <v>0</v>
      </c>
      <c r="CD119" s="1">
        <f>+'ENBS ER'!F50</f>
        <v>0</v>
      </c>
      <c r="CE119" s="1">
        <f>+'ENBS ER'!G50</f>
        <v>0</v>
      </c>
      <c r="CF119" s="1">
        <f>+'ENBS ER'!H50</f>
        <v>0</v>
      </c>
      <c r="CG119" s="1">
        <f>+'ENBS ER'!I50</f>
        <v>0</v>
      </c>
      <c r="CH119" s="1">
        <f>+'ENBS ER'!J50</f>
        <v>0</v>
      </c>
      <c r="CI119" s="1"/>
      <c r="CJ119" s="1">
        <f t="shared" si="204"/>
        <v>0</v>
      </c>
      <c r="CK119" s="1"/>
      <c r="CL119" s="1">
        <f>+'ENBS ER'!M50</f>
        <v>0</v>
      </c>
      <c r="CM119" s="1">
        <f>+'ENBS ER'!N50</f>
        <v>0</v>
      </c>
      <c r="CN119" s="1">
        <f>+'ENBS ER'!O50</f>
        <v>0</v>
      </c>
      <c r="CO119" s="1">
        <f>+'ENBS ER'!P50</f>
        <v>0</v>
      </c>
      <c r="CP119" s="1">
        <f>+'ENBS ER'!Q50</f>
        <v>0</v>
      </c>
      <c r="CQ119" s="1">
        <f>+'ENBS ER'!R50</f>
        <v>0</v>
      </c>
      <c r="CR119" s="1">
        <f>+'ENBS ER'!S50</f>
        <v>0</v>
      </c>
      <c r="CS119" s="1"/>
      <c r="CT119" s="1"/>
      <c r="CU119" s="1">
        <f t="shared" si="205"/>
        <v>0</v>
      </c>
      <c r="CW119" s="1">
        <f>+'TA BS ER'!B53</f>
        <v>0</v>
      </c>
      <c r="CX119" s="1">
        <f>+'TA BS ER'!C53</f>
        <v>0</v>
      </c>
      <c r="CY119" s="1">
        <f>+'TA BS ER'!D53</f>
        <v>0</v>
      </c>
      <c r="CZ119" s="1">
        <f>+'TA BS ER'!E53</f>
        <v>0</v>
      </c>
      <c r="DA119" s="1">
        <f>+'TA BS ER'!F53</f>
        <v>0</v>
      </c>
      <c r="DB119" s="1">
        <f>+'TA BS ER'!G53</f>
        <v>0</v>
      </c>
      <c r="DC119" s="1">
        <f>+'TA BS ER'!H53</f>
        <v>0</v>
      </c>
      <c r="DD119" s="1">
        <f>+'TA BS ER'!I53</f>
        <v>0</v>
      </c>
      <c r="DE119" s="1">
        <f>+'TA BS ER'!J53</f>
        <v>0</v>
      </c>
      <c r="DF119" s="1">
        <f>+'TA BS ER'!K53</f>
        <v>0</v>
      </c>
      <c r="DG119" s="1">
        <f>+'TA BS ER'!L53</f>
        <v>0</v>
      </c>
      <c r="DH119" s="1">
        <f>+'TA BS ER'!M53</f>
        <v>0</v>
      </c>
      <c r="DI119" s="1">
        <f>+'TA BS ER'!N53</f>
        <v>0</v>
      </c>
      <c r="DJ119" s="1">
        <f>+'TA BS ER'!O53</f>
        <v>0</v>
      </c>
      <c r="DK119" s="1">
        <f>+'TA BS ER'!P53</f>
        <v>0</v>
      </c>
      <c r="DL119" s="1">
        <f>+'TA BS ER'!Q53</f>
        <v>0</v>
      </c>
      <c r="DM119" s="1">
        <f>+'TA BS ER'!R53</f>
        <v>0</v>
      </c>
      <c r="DN119" s="1">
        <f>+'TA BS ER'!S53</f>
        <v>0</v>
      </c>
      <c r="DO119" s="1">
        <f>+'TA BS ER'!T53</f>
        <v>0</v>
      </c>
      <c r="DP119" s="1">
        <f>+'TA BS ER'!U53</f>
        <v>0</v>
      </c>
      <c r="DQ119" s="1">
        <f>+'TA BS ER'!V53</f>
        <v>0</v>
      </c>
      <c r="DR119" s="1">
        <f>+'TA BS ER'!W53</f>
        <v>0</v>
      </c>
      <c r="DS119" s="1">
        <f>+'TA BS ER'!X53</f>
        <v>0</v>
      </c>
      <c r="DT119" s="1">
        <f>+'TA BS ER'!Y53</f>
        <v>0</v>
      </c>
      <c r="DV119" s="1"/>
      <c r="DW119" s="1">
        <f t="shared" si="206"/>
        <v>0</v>
      </c>
      <c r="DX119" s="1"/>
      <c r="DY119" s="1"/>
      <c r="DZ119" s="1"/>
      <c r="EC119" s="1"/>
      <c r="ED119" s="1"/>
      <c r="EE119" s="1">
        <f t="shared" si="207"/>
        <v>0</v>
      </c>
      <c r="EF119" s="1"/>
      <c r="EG119" s="1"/>
    </row>
    <row r="120" spans="1:145" ht="15.75">
      <c r="A120" s="1"/>
      <c r="B120" s="1" t="s">
        <v>1125</v>
      </c>
      <c r="C120" s="1"/>
      <c r="D120" s="1">
        <f>+'GFBS ER'!B51</f>
        <v>110000</v>
      </c>
      <c r="E120" s="134">
        <f>+'SRBS ER'!B51-0</f>
        <v>374291</v>
      </c>
      <c r="F120" s="1">
        <f>+'SRBS ER'!C51</f>
        <v>0</v>
      </c>
      <c r="G120" s="1">
        <f>+'SRBS ER'!D51</f>
        <v>0</v>
      </c>
      <c r="H120" s="1">
        <f>+'SRBS ER'!E51</f>
        <v>0</v>
      </c>
      <c r="I120" s="1">
        <f>+'SRBS ER'!F51</f>
        <v>0</v>
      </c>
      <c r="J120" s="1">
        <f>+'SRBS ER'!G51</f>
        <v>0</v>
      </c>
      <c r="K120" s="1">
        <f>+'SRBS ER'!H51</f>
        <v>0</v>
      </c>
      <c r="L120" s="1">
        <f>+'SRBS ER'!I51</f>
        <v>0</v>
      </c>
      <c r="M120" s="1">
        <f>+'SRBS ER'!J51</f>
        <v>0</v>
      </c>
      <c r="N120" s="1">
        <f>+'SRBS ER'!K51</f>
        <v>0</v>
      </c>
      <c r="O120" s="1">
        <f>+'SRBS ER'!L51</f>
        <v>0</v>
      </c>
      <c r="P120" s="1">
        <f>+'SRBS ER'!M51</f>
        <v>0</v>
      </c>
      <c r="Q120" s="1">
        <f>+'SRBS ER'!N51</f>
        <v>0</v>
      </c>
      <c r="R120" s="1">
        <f>+'SRBS ER'!O51</f>
        <v>0</v>
      </c>
      <c r="S120" s="1">
        <f>+'SRBS ER'!P51</f>
        <v>0</v>
      </c>
      <c r="T120" s="1">
        <f>+'SRBS ER'!Q51</f>
        <v>0</v>
      </c>
      <c r="U120" s="1">
        <f>+'SRBS ER'!R51</f>
        <v>0</v>
      </c>
      <c r="V120" s="1">
        <f>+'SRBS ER'!S51</f>
        <v>0</v>
      </c>
      <c r="W120" s="1">
        <f>+'SRBS ER'!T51</f>
        <v>0</v>
      </c>
      <c r="X120" s="1">
        <f>+'SRBS ER'!U51</f>
        <v>0</v>
      </c>
      <c r="Y120" s="1">
        <f>+'SRBS ER'!V51</f>
        <v>0</v>
      </c>
      <c r="Z120" s="134">
        <f>+'SRBS ER'!W51+0</f>
        <v>0</v>
      </c>
      <c r="AA120" s="1">
        <f>+'SRBS ER'!X51</f>
        <v>0</v>
      </c>
      <c r="AB120" s="1">
        <f>+'SRBS ER'!Y51</f>
        <v>0</v>
      </c>
      <c r="AC120" s="1">
        <f>+'SRBS ER'!Z51</f>
        <v>0</v>
      </c>
      <c r="AD120" s="1">
        <f>+'SRBS ER'!AA51</f>
        <v>0</v>
      </c>
      <c r="AE120" s="1">
        <f>+'SRBS ER'!AB51+'SRBS ER'!AC51</f>
        <v>0</v>
      </c>
      <c r="AF120" s="1">
        <f>+'SRBS ER'!AD51</f>
        <v>0</v>
      </c>
      <c r="AG120" s="1">
        <f>+'SRBS ER'!AE51</f>
        <v>0</v>
      </c>
      <c r="AH120" s="1">
        <f>+'SRBS ER'!AF51</f>
        <v>0</v>
      </c>
      <c r="AI120" s="1">
        <f>+'SRBS ER'!AG51</f>
        <v>0</v>
      </c>
      <c r="AJ120" s="1">
        <f>+'SRBS ER'!AH51</f>
        <v>0</v>
      </c>
      <c r="AK120" s="1">
        <f>+'SRBS ER'!AI51</f>
        <v>0</v>
      </c>
      <c r="AL120" s="1">
        <f>+'SRBS ER'!AJ51</f>
        <v>0</v>
      </c>
      <c r="AM120" s="1">
        <f>+'SRBS ER'!AK51</f>
        <v>0</v>
      </c>
      <c r="AN120" s="1">
        <f>+'SRBS ER'!AL51</f>
        <v>0</v>
      </c>
      <c r="AO120" s="1">
        <f>+'SRBS ER'!AM51</f>
        <v>0</v>
      </c>
      <c r="AP120" s="1">
        <f>+'SRBS ER'!AN51</f>
        <v>0</v>
      </c>
      <c r="AQ120" s="1">
        <f>+'SRBS ER'!AO51</f>
        <v>0</v>
      </c>
      <c r="AR120" s="1">
        <f>+'SRBS ER'!AQ51</f>
        <v>0</v>
      </c>
      <c r="AS120" s="1">
        <f>+'SRBS ER'!AR51</f>
        <v>0</v>
      </c>
      <c r="AT120" s="1">
        <f>+'SRBS ER'!AS51</f>
        <v>0</v>
      </c>
      <c r="AU120" s="1">
        <f>+'SRBS ER'!AT51</f>
        <v>62477</v>
      </c>
      <c r="AV120" s="1">
        <f>+'SRBS ER'!AU51</f>
        <v>22045</v>
      </c>
      <c r="AW120" s="1"/>
      <c r="AX120" s="1">
        <f>+'SRBS ER'!AW51</f>
        <v>11972</v>
      </c>
      <c r="AY120" s="1">
        <f>+'SRBS ER'!AX51</f>
        <v>0</v>
      </c>
      <c r="AZ120" s="1">
        <f>+'SRBS ER'!AY51</f>
        <v>0</v>
      </c>
      <c r="BA120" s="1">
        <f>+'SRBS ER'!AZ51</f>
        <v>8728</v>
      </c>
      <c r="BB120" s="1">
        <f>+'SRBS ER'!BA51</f>
        <v>197128</v>
      </c>
      <c r="BC120" s="1">
        <f>+'SRBS ER'!BB51</f>
        <v>6602</v>
      </c>
      <c r="BD120" s="1"/>
      <c r="BE120" s="1"/>
      <c r="BF120" s="1">
        <f t="shared" si="201"/>
        <v>683243</v>
      </c>
      <c r="BG120" s="1">
        <f t="shared" si="180"/>
        <v>479513</v>
      </c>
      <c r="BH120" s="1">
        <f>+'DSBS ER'!B51</f>
        <v>0</v>
      </c>
      <c r="BI120" s="1">
        <f>+'DSBS ER'!C51</f>
        <v>0</v>
      </c>
      <c r="BJ120" s="1">
        <f>+'DSBS ER'!D51</f>
        <v>0</v>
      </c>
      <c r="BK120" s="1">
        <f>+'DSBS ER'!E51</f>
        <v>0</v>
      </c>
      <c r="BL120" s="1">
        <f>+'DSBS ER'!F51</f>
        <v>0</v>
      </c>
      <c r="BM120" s="1">
        <f>+'DSBS ER'!G51</f>
        <v>0</v>
      </c>
      <c r="BN120" s="1">
        <f>+'DSBS ER'!H51</f>
        <v>0</v>
      </c>
      <c r="BO120" s="1"/>
      <c r="BP120" s="1">
        <f t="shared" si="202"/>
        <v>0</v>
      </c>
      <c r="BQ120" s="1"/>
      <c r="BR120" s="1">
        <f>+'CPBS ER'!B51</f>
        <v>0</v>
      </c>
      <c r="BS120" s="1">
        <f>+'CPBS ER'!C51</f>
        <v>0</v>
      </c>
      <c r="BT120" s="1">
        <f>+'CPBS ER'!D51</f>
        <v>24383</v>
      </c>
      <c r="BU120" s="1">
        <f>+'CPBS ER'!E51</f>
        <v>0</v>
      </c>
      <c r="BV120" s="1">
        <f>+'CPBS ER'!F51</f>
        <v>0</v>
      </c>
      <c r="BW120" s="1">
        <f>+'CPBS ER'!G51</f>
        <v>0</v>
      </c>
      <c r="BX120" s="3"/>
      <c r="BY120" s="1">
        <f t="shared" si="203"/>
        <v>24383</v>
      </c>
      <c r="BZ120" s="1"/>
      <c r="CA120" s="1"/>
      <c r="CB120" s="1">
        <f>+'ENBS ER'!D51</f>
        <v>0</v>
      </c>
      <c r="CC120" s="1">
        <f>+'ENBS ER'!E51+'ENBS ER'!C51</f>
        <v>0</v>
      </c>
      <c r="CD120" s="1">
        <f>+'ENBS ER'!F51</f>
        <v>0</v>
      </c>
      <c r="CE120" s="1">
        <f>+'ENBS ER'!G51</f>
        <v>0</v>
      </c>
      <c r="CF120" s="1">
        <f>+'ENBS ER'!H51</f>
        <v>0</v>
      </c>
      <c r="CG120" s="1">
        <f>+'ENBS ER'!I51</f>
        <v>1123725</v>
      </c>
      <c r="CH120" s="1">
        <f>+'ENBS ER'!J51</f>
        <v>0</v>
      </c>
      <c r="CI120" s="1"/>
      <c r="CJ120" s="1">
        <f t="shared" si="204"/>
        <v>1123725</v>
      </c>
      <c r="CK120" s="1"/>
      <c r="CL120" s="1">
        <f>+'ENBS ER'!M51</f>
        <v>0</v>
      </c>
      <c r="CM120" s="1">
        <f>+'ENBS ER'!N51</f>
        <v>0</v>
      </c>
      <c r="CN120" s="1">
        <f>+'ENBS ER'!O51</f>
        <v>0</v>
      </c>
      <c r="CO120" s="1">
        <f>+'ENBS ER'!P51</f>
        <v>0</v>
      </c>
      <c r="CP120" s="1">
        <f>+'ENBS ER'!Q51</f>
        <v>0</v>
      </c>
      <c r="CQ120" s="1">
        <f>+'ENBS ER'!R51</f>
        <v>0</v>
      </c>
      <c r="CR120" s="1">
        <f>+'ENBS ER'!S51</f>
        <v>0</v>
      </c>
      <c r="CS120" s="1"/>
      <c r="CT120" s="1"/>
      <c r="CU120" s="1">
        <f t="shared" si="205"/>
        <v>0</v>
      </c>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V120" s="1"/>
      <c r="DW120" s="1">
        <f t="shared" si="206"/>
        <v>0</v>
      </c>
      <c r="DX120" s="1"/>
      <c r="DY120" s="1"/>
      <c r="DZ120" s="1"/>
      <c r="EC120" s="1"/>
      <c r="ED120" s="1"/>
      <c r="EE120" s="1">
        <f t="shared" si="207"/>
        <v>0</v>
      </c>
      <c r="EF120" s="1"/>
      <c r="EG120" s="1"/>
      <c r="EO120">
        <f>+D120+BF120+BP120+BY120+CJ120+CU120+DW120+EE120</f>
        <v>1941351</v>
      </c>
    </row>
    <row r="121" spans="1:145" ht="15.75">
      <c r="A121" s="1"/>
      <c r="B121" s="1" t="s">
        <v>1126</v>
      </c>
      <c r="C121" s="1"/>
      <c r="D121" s="180">
        <f>+'GFBS ER'!B52+'Agency transfer JV'!G63</f>
        <v>1088749</v>
      </c>
      <c r="E121" s="1">
        <f>+'SRBS ER'!B52</f>
        <v>0</v>
      </c>
      <c r="F121" s="1">
        <f>+'SRBS ER'!C52</f>
        <v>283</v>
      </c>
      <c r="G121" s="1">
        <f>+'SRBS ER'!D52</f>
        <v>7902</v>
      </c>
      <c r="H121" s="1">
        <f>+'SRBS ER'!E52</f>
        <v>30868</v>
      </c>
      <c r="I121" s="1">
        <f>+'SRBS ER'!F52</f>
        <v>2940</v>
      </c>
      <c r="J121" s="1">
        <f>+'SRBS ER'!G52</f>
        <v>70281</v>
      </c>
      <c r="K121" s="1">
        <f>+'SRBS ER'!H52</f>
        <v>68</v>
      </c>
      <c r="L121" s="1">
        <f>+'SRBS ER'!I52</f>
        <v>3958</v>
      </c>
      <c r="M121" s="1">
        <f>+'SRBS ER'!J52</f>
        <v>14444</v>
      </c>
      <c r="N121" s="1">
        <f>+'SRBS ER'!K52</f>
        <v>3973</v>
      </c>
      <c r="O121" s="1">
        <f>+'SRBS ER'!L52</f>
        <v>413</v>
      </c>
      <c r="P121" s="1">
        <f>+'SRBS ER'!M52</f>
        <v>0</v>
      </c>
      <c r="Q121" s="1">
        <f>+'SRBS ER'!N52</f>
        <v>39506</v>
      </c>
      <c r="R121" s="1">
        <f>+'SRBS ER'!O52</f>
        <v>9730</v>
      </c>
      <c r="S121" s="1">
        <f>+'SRBS ER'!P52</f>
        <v>6305</v>
      </c>
      <c r="T121" s="1">
        <f>+'SRBS ER'!Q52</f>
        <v>54</v>
      </c>
      <c r="U121" s="1">
        <f>+'SRBS ER'!R52</f>
        <v>32321</v>
      </c>
      <c r="V121" s="1">
        <f>+'SRBS ER'!S52</f>
        <v>4551</v>
      </c>
      <c r="W121" s="1">
        <f>+'SRBS ER'!T52</f>
        <v>5671</v>
      </c>
      <c r="X121" s="1">
        <f>+'SRBS ER'!U52</f>
        <v>263805</v>
      </c>
      <c r="Y121" s="1">
        <f>+'SRBS ER'!V52</f>
        <v>0</v>
      </c>
      <c r="Z121" s="1">
        <f>+'SRBS ER'!W52</f>
        <v>0</v>
      </c>
      <c r="AA121" s="1">
        <f>+'SRBS ER'!X52</f>
        <v>0</v>
      </c>
      <c r="AB121" s="1">
        <f>+'SRBS ER'!Y52</f>
        <v>103173</v>
      </c>
      <c r="AC121" s="1">
        <f>+'SRBS ER'!Z52</f>
        <v>0</v>
      </c>
      <c r="AD121" s="1">
        <f>+'SRBS ER'!AA52</f>
        <v>0</v>
      </c>
      <c r="AE121" s="1">
        <f>+'SRBS ER'!AB52+'SRBS ER'!AC52</f>
        <v>0</v>
      </c>
      <c r="AF121" s="1">
        <f>+'SRBS ER'!AD52</f>
        <v>0</v>
      </c>
      <c r="AG121" s="1">
        <f>+'SRBS ER'!AE52</f>
        <v>0</v>
      </c>
      <c r="AH121" s="1">
        <f>+'SRBS ER'!AF52</f>
        <v>0</v>
      </c>
      <c r="AI121" s="1">
        <f>+'SRBS ER'!AG52</f>
        <v>0</v>
      </c>
      <c r="AJ121" s="1">
        <f>+'SRBS ER'!AH52</f>
        <v>0</v>
      </c>
      <c r="AK121" s="1">
        <f>+'SRBS ER'!AI52</f>
        <v>0</v>
      </c>
      <c r="AL121" s="1">
        <f>+'SRBS ER'!AJ52</f>
        <v>0</v>
      </c>
      <c r="AM121" s="1">
        <f>+'SRBS ER'!AK52</f>
        <v>0</v>
      </c>
      <c r="AN121" s="1">
        <f>+'SRBS ER'!AL52</f>
        <v>0</v>
      </c>
      <c r="AO121" s="1">
        <f>+'SRBS ER'!AM52</f>
        <v>0</v>
      </c>
      <c r="AP121" s="1">
        <f>+'SRBS ER'!AN52</f>
        <v>0</v>
      </c>
      <c r="AQ121" s="1">
        <f>+'SRBS ER'!AO52</f>
        <v>0</v>
      </c>
      <c r="AR121" s="1">
        <f>+'SRBS ER'!AQ52</f>
        <v>0</v>
      </c>
      <c r="AS121" s="1">
        <f>+'SRBS ER'!AR52</f>
        <v>0</v>
      </c>
      <c r="AT121" s="1">
        <f>+'SRBS ER'!AS52</f>
        <v>0</v>
      </c>
      <c r="AU121" s="1">
        <f>+'SRBS ER'!AT52</f>
        <v>0</v>
      </c>
      <c r="AV121" s="1">
        <f>+'SRBS ER'!AU52</f>
        <v>0</v>
      </c>
      <c r="AW121" s="1"/>
      <c r="AX121" s="1">
        <f>+'SRBS ER'!AW52</f>
        <v>0</v>
      </c>
      <c r="AY121" s="1">
        <f>+'SRBS ER'!AX52</f>
        <v>0</v>
      </c>
      <c r="AZ121" s="1">
        <f>+'SRBS ER'!AY52</f>
        <v>0</v>
      </c>
      <c r="BA121" s="1">
        <f>+'SRBS ER'!AZ52</f>
        <v>0</v>
      </c>
      <c r="BB121" s="216">
        <f>+'SRBS ER'!BA52+6724351</f>
        <v>9514638</v>
      </c>
      <c r="BC121" s="1">
        <f>+'SRBS ER'!BB52</f>
        <v>52621</v>
      </c>
      <c r="BD121" s="1"/>
      <c r="BE121" s="1"/>
      <c r="BF121" s="1">
        <f t="shared" si="201"/>
        <v>10167505</v>
      </c>
      <c r="BG121" s="1">
        <f t="shared" si="180"/>
        <v>336441</v>
      </c>
      <c r="BH121" s="1">
        <f>+'DSBS ER'!B52</f>
        <v>0</v>
      </c>
      <c r="BI121" s="1">
        <f>+'DSBS ER'!C52</f>
        <v>22709</v>
      </c>
      <c r="BJ121" s="1">
        <f>+'DSBS ER'!D52</f>
        <v>0</v>
      </c>
      <c r="BK121" s="1">
        <f>+'DSBS ER'!E52</f>
        <v>0</v>
      </c>
      <c r="BL121" s="1">
        <f>+'DSBS ER'!F52</f>
        <v>2273</v>
      </c>
      <c r="BM121" s="1">
        <f>+'DSBS ER'!G52</f>
        <v>15468</v>
      </c>
      <c r="BN121" s="1">
        <f>+'DSBS ER'!H52</f>
        <v>511160</v>
      </c>
      <c r="BO121" s="1"/>
      <c r="BP121" s="1">
        <f t="shared" si="202"/>
        <v>551610</v>
      </c>
      <c r="BQ121" s="1">
        <f>+BP121-BN121</f>
        <v>40450</v>
      </c>
      <c r="BR121" s="1">
        <f>+'CPBS ER'!B52</f>
        <v>0</v>
      </c>
      <c r="BS121" s="1">
        <f>+'CPBS ER'!C52</f>
        <v>0</v>
      </c>
      <c r="BT121" s="1">
        <f>+'CPBS ER'!D52</f>
        <v>0</v>
      </c>
      <c r="BU121" s="1">
        <f>+'CPBS ER'!E52</f>
        <v>0</v>
      </c>
      <c r="BV121" s="1">
        <f>+'CPBS ER'!F52</f>
        <v>0</v>
      </c>
      <c r="BW121" s="1">
        <f>+'CPBS ER'!G52</f>
        <v>0</v>
      </c>
      <c r="BX121" s="3"/>
      <c r="BY121" s="1">
        <f t="shared" si="203"/>
        <v>0</v>
      </c>
      <c r="BZ121" s="1"/>
      <c r="CA121" s="1"/>
      <c r="CB121" s="1">
        <f>+'ENBS ER'!D52</f>
        <v>0</v>
      </c>
      <c r="CC121" s="1">
        <f>+'ENBS ER'!E52+'ENBS ER'!C52</f>
        <v>14985</v>
      </c>
      <c r="CD121" s="1">
        <f>+'ENBS ER'!F52</f>
        <v>6056</v>
      </c>
      <c r="CE121" s="1">
        <f>+'ENBS ER'!G52</f>
        <v>22402</v>
      </c>
      <c r="CF121" s="1">
        <f>+'ENBS ER'!H52</f>
        <v>174257</v>
      </c>
      <c r="CG121" s="1">
        <f>+'ENBS ER'!I52</f>
        <v>0</v>
      </c>
      <c r="CH121" s="1">
        <f>+'ENBS ER'!J52</f>
        <v>3645</v>
      </c>
      <c r="CI121" s="1"/>
      <c r="CJ121" s="1">
        <f t="shared" si="204"/>
        <v>221345</v>
      </c>
      <c r="CK121" s="1">
        <f>+CJ121-CG121-CC121-CB121</f>
        <v>206360</v>
      </c>
      <c r="CL121" s="1">
        <f>+'ENBS ER'!M52</f>
        <v>0</v>
      </c>
      <c r="CM121" s="1">
        <f>+'ENBS ER'!N52</f>
        <v>0</v>
      </c>
      <c r="CN121" s="1">
        <f>+'ENBS ER'!O52</f>
        <v>0</v>
      </c>
      <c r="CO121" s="1">
        <f>+'ENBS ER'!P52</f>
        <v>0</v>
      </c>
      <c r="CP121" s="1">
        <f>+'ENBS ER'!Q52</f>
        <v>0</v>
      </c>
      <c r="CQ121" s="1">
        <f>+'ENBS ER'!R52</f>
        <v>0</v>
      </c>
      <c r="CR121" s="1">
        <f>+'ENBS ER'!S52</f>
        <v>0</v>
      </c>
      <c r="CS121" s="1"/>
      <c r="CT121" s="1"/>
      <c r="CU121" s="1">
        <f t="shared" si="205"/>
        <v>0</v>
      </c>
      <c r="CW121" s="1">
        <f>+'TA BS ER'!B55</f>
        <v>90459</v>
      </c>
      <c r="CX121" s="1">
        <f>+'TA BS ER'!C55</f>
        <v>0</v>
      </c>
      <c r="CY121" s="1">
        <f>+'TA BS ER'!D55</f>
        <v>0</v>
      </c>
      <c r="CZ121" s="1">
        <f>+'TA BS ER'!E55</f>
        <v>0</v>
      </c>
      <c r="DA121" s="1">
        <f>+'TA BS ER'!F55</f>
        <v>0</v>
      </c>
      <c r="DB121" s="1">
        <f>+'TA BS ER'!G55</f>
        <v>0</v>
      </c>
      <c r="DC121" s="1">
        <f>+'TA BS ER'!H55</f>
        <v>0</v>
      </c>
      <c r="DD121" s="1">
        <f>+'TA BS ER'!I55</f>
        <v>0</v>
      </c>
      <c r="DE121" s="1">
        <f>+'TA BS ER'!J55</f>
        <v>0</v>
      </c>
      <c r="DF121" s="1">
        <f>+'TA BS ER'!K55</f>
        <v>74322</v>
      </c>
      <c r="DG121" s="1">
        <f>+'TA BS ER'!L55</f>
        <v>0</v>
      </c>
      <c r="DH121" s="1">
        <f>+'TA BS ER'!M55</f>
        <v>0</v>
      </c>
      <c r="DI121" s="1">
        <f>+'TA BS ER'!N55</f>
        <v>0</v>
      </c>
      <c r="DJ121" s="1">
        <f>+'TA BS ER'!O55</f>
        <v>0</v>
      </c>
      <c r="DK121" s="1">
        <f>+'TA BS ER'!P55</f>
        <v>0</v>
      </c>
      <c r="DL121" s="1">
        <f>+'TA BS ER'!Q55</f>
        <v>0</v>
      </c>
      <c r="DM121" s="1">
        <f>+'TA BS ER'!R55</f>
        <v>0</v>
      </c>
      <c r="DN121" s="1">
        <f>+'TA BS ER'!S55</f>
        <v>0</v>
      </c>
      <c r="DO121" s="1">
        <f>+'TA BS ER'!T55</f>
        <v>0</v>
      </c>
      <c r="DP121" s="1">
        <f>+'TA BS ER'!U55</f>
        <v>0</v>
      </c>
      <c r="DQ121" s="1">
        <f>+'TA BS ER'!V55</f>
        <v>99738</v>
      </c>
      <c r="DR121" s="1">
        <f>+'TA BS ER'!W55</f>
        <v>1296525</v>
      </c>
      <c r="DS121" s="1">
        <f>+'TA BS ER'!X55</f>
        <v>909928</v>
      </c>
      <c r="DT121" s="1">
        <f>+'TA BS ER'!Y55</f>
        <v>431391</v>
      </c>
      <c r="DV121" s="1"/>
      <c r="DW121" s="1">
        <f t="shared" si="206"/>
        <v>2811904</v>
      </c>
      <c r="DX121" s="1"/>
      <c r="DY121" s="1"/>
      <c r="DZ121" s="1"/>
      <c r="EC121" s="1"/>
      <c r="ED121" s="1"/>
      <c r="EE121" s="1">
        <f t="shared" si="207"/>
        <v>5714267</v>
      </c>
      <c r="EF121" s="1"/>
      <c r="EG121" s="1"/>
    </row>
    <row r="122" spans="1:145" ht="15.75">
      <c r="A122" s="1"/>
      <c r="B122" s="1" t="s">
        <v>470</v>
      </c>
      <c r="C122" s="1"/>
      <c r="D122" s="1">
        <f>+'GFBS ER'!B53</f>
        <v>0</v>
      </c>
      <c r="E122" s="1">
        <f>+'SRBS ER'!B53</f>
        <v>0</v>
      </c>
      <c r="F122" s="1">
        <f>+'SRBS ER'!C53</f>
        <v>0</v>
      </c>
      <c r="G122" s="1">
        <f>+'SRBS ER'!D53</f>
        <v>0</v>
      </c>
      <c r="H122" s="1">
        <f>+'SRBS ER'!E53</f>
        <v>0</v>
      </c>
      <c r="I122" s="1">
        <f>+'SRBS ER'!F53</f>
        <v>0</v>
      </c>
      <c r="J122" s="1">
        <f>+'SRBS ER'!G53</f>
        <v>0</v>
      </c>
      <c r="K122" s="1">
        <f>+'SRBS ER'!H53</f>
        <v>0</v>
      </c>
      <c r="L122" s="1">
        <f>+'SRBS ER'!I53</f>
        <v>0</v>
      </c>
      <c r="M122" s="1">
        <f>+'SRBS ER'!J53</f>
        <v>0</v>
      </c>
      <c r="N122" s="1">
        <f>+'SRBS ER'!K53</f>
        <v>0</v>
      </c>
      <c r="O122" s="1">
        <f>+'SRBS ER'!L53</f>
        <v>0</v>
      </c>
      <c r="P122" s="1">
        <f>+'SRBS ER'!M53</f>
        <v>0</v>
      </c>
      <c r="Q122" s="1">
        <f>+'SRBS ER'!N53</f>
        <v>0</v>
      </c>
      <c r="R122" s="1">
        <f>+'SRBS ER'!O53</f>
        <v>0</v>
      </c>
      <c r="S122" s="1">
        <f>+'SRBS ER'!P53</f>
        <v>0</v>
      </c>
      <c r="T122" s="1">
        <f>+'SRBS ER'!Q53</f>
        <v>0</v>
      </c>
      <c r="U122" s="1">
        <f>+'SRBS ER'!R53</f>
        <v>0</v>
      </c>
      <c r="V122" s="1">
        <f>+'SRBS ER'!S53</f>
        <v>0</v>
      </c>
      <c r="W122" s="1">
        <f>+'SRBS ER'!T53</f>
        <v>0</v>
      </c>
      <c r="X122" s="1">
        <f>+'SRBS ER'!U53</f>
        <v>0</v>
      </c>
      <c r="Y122" s="1">
        <f>+'SRBS ER'!V53</f>
        <v>0</v>
      </c>
      <c r="Z122" s="1">
        <f>+'SRBS ER'!W53</f>
        <v>0</v>
      </c>
      <c r="AA122" s="1">
        <f>+'SRBS ER'!X53</f>
        <v>0</v>
      </c>
      <c r="AB122" s="1">
        <f>+'SRBS ER'!Y53</f>
        <v>0</v>
      </c>
      <c r="AC122" s="1">
        <f>+'SRBS ER'!Z53</f>
        <v>0</v>
      </c>
      <c r="AD122" s="1">
        <f>+'SRBS ER'!AA53</f>
        <v>0</v>
      </c>
      <c r="AE122" s="1">
        <f>+'SRBS ER'!AB53+'SRBS ER'!AC53</f>
        <v>0</v>
      </c>
      <c r="AF122" s="1">
        <f>+'SRBS ER'!AD53</f>
        <v>0</v>
      </c>
      <c r="AG122" s="1">
        <f>+'SRBS ER'!AE53</f>
        <v>0</v>
      </c>
      <c r="AH122" s="1">
        <f>+'SRBS ER'!AF53</f>
        <v>0</v>
      </c>
      <c r="AI122" s="1">
        <f>+'SRBS ER'!AG53</f>
        <v>0</v>
      </c>
      <c r="AJ122" s="1">
        <f>+'SRBS ER'!AH53</f>
        <v>0</v>
      </c>
      <c r="AK122" s="1">
        <f>+'SRBS ER'!AI53</f>
        <v>0</v>
      </c>
      <c r="AL122" s="1">
        <f>+'SRBS ER'!AJ53</f>
        <v>0</v>
      </c>
      <c r="AM122" s="1">
        <f>+'SRBS ER'!AK53</f>
        <v>0</v>
      </c>
      <c r="AN122" s="1">
        <f>+'SRBS ER'!AL53</f>
        <v>0</v>
      </c>
      <c r="AO122" s="1">
        <f>+'SRBS ER'!AM53</f>
        <v>0</v>
      </c>
      <c r="AP122" s="1">
        <f>+'SRBS ER'!AN53</f>
        <v>0</v>
      </c>
      <c r="AQ122" s="1">
        <f>+'SRBS ER'!AO53</f>
        <v>0</v>
      </c>
      <c r="AR122" s="1">
        <f>+'SRBS ER'!AQ53</f>
        <v>0</v>
      </c>
      <c r="AS122" s="1">
        <f>+'SRBS ER'!AR53</f>
        <v>0</v>
      </c>
      <c r="AT122" s="1">
        <f>+'SRBS ER'!AS53</f>
        <v>0</v>
      </c>
      <c r="AU122" s="1">
        <f>+'SRBS ER'!AT53</f>
        <v>0</v>
      </c>
      <c r="AV122" s="1">
        <f>+'SRBS ER'!AU53</f>
        <v>0</v>
      </c>
      <c r="AW122" s="1"/>
      <c r="AX122" s="1">
        <f>+'SRBS ER'!AW53</f>
        <v>0</v>
      </c>
      <c r="AY122" s="1">
        <f>+'SRBS ER'!AX53</f>
        <v>0</v>
      </c>
      <c r="AZ122" s="1">
        <f>+'SRBS ER'!AY53</f>
        <v>0</v>
      </c>
      <c r="BA122" s="1">
        <f>+'SRBS ER'!AZ53</f>
        <v>0</v>
      </c>
      <c r="BB122" s="1">
        <f>+'SRBS ER'!BA53</f>
        <v>0</v>
      </c>
      <c r="BC122" s="1">
        <f>+'SRBS ER'!BB53</f>
        <v>0</v>
      </c>
      <c r="BD122" s="1"/>
      <c r="BE122" s="1"/>
      <c r="BF122" s="1">
        <f t="shared" si="201"/>
        <v>0</v>
      </c>
      <c r="BG122" s="1">
        <f t="shared" si="180"/>
        <v>0</v>
      </c>
      <c r="BH122" s="1">
        <f>+'DSBS ER'!B53</f>
        <v>0</v>
      </c>
      <c r="BI122" s="1">
        <f>+'DSBS ER'!C53</f>
        <v>0</v>
      </c>
      <c r="BJ122" s="1">
        <f>+'DSBS ER'!D53</f>
        <v>0</v>
      </c>
      <c r="BK122" s="1">
        <f>+'DSBS ER'!E53</f>
        <v>0</v>
      </c>
      <c r="BL122" s="1">
        <f>+'DSBS ER'!F53</f>
        <v>0</v>
      </c>
      <c r="BM122" s="1">
        <f>+'DSBS ER'!G53</f>
        <v>0</v>
      </c>
      <c r="BN122" s="1">
        <f>+'DSBS ER'!H53</f>
        <v>0</v>
      </c>
      <c r="BO122" s="1"/>
      <c r="BP122" s="1">
        <f t="shared" si="202"/>
        <v>0</v>
      </c>
      <c r="BQ122" s="1"/>
      <c r="BR122" s="1">
        <f>+'CPBS ER'!B53</f>
        <v>0</v>
      </c>
      <c r="BS122" s="1">
        <f>+'CPBS ER'!C53</f>
        <v>0</v>
      </c>
      <c r="BT122" s="1">
        <f>+'CPBS ER'!D53</f>
        <v>0</v>
      </c>
      <c r="BU122" s="1">
        <f>+'CPBS ER'!E53</f>
        <v>0</v>
      </c>
      <c r="BV122" s="1">
        <f>+'CPBS ER'!F53</f>
        <v>0</v>
      </c>
      <c r="BW122" s="1">
        <f>+'CPBS ER'!G53</f>
        <v>0</v>
      </c>
      <c r="BX122" s="3"/>
      <c r="BY122" s="1">
        <f t="shared" si="203"/>
        <v>0</v>
      </c>
      <c r="BZ122" s="1"/>
      <c r="CA122" s="1"/>
      <c r="CB122" s="1">
        <f>+'ENBS ER'!D53</f>
        <v>0</v>
      </c>
      <c r="CC122" s="1">
        <f>+'ENBS ER'!E53+'ENBS ER'!C53</f>
        <v>0</v>
      </c>
      <c r="CD122" s="1">
        <f>+'ENBS ER'!F53</f>
        <v>0</v>
      </c>
      <c r="CE122" s="1">
        <f>+'ENBS ER'!G53</f>
        <v>0</v>
      </c>
      <c r="CF122" s="1">
        <f>+'ENBS ER'!H53</f>
        <v>0</v>
      </c>
      <c r="CG122" s="1">
        <f>+'ENBS ER'!I53</f>
        <v>0</v>
      </c>
      <c r="CH122" s="1">
        <f>+'ENBS ER'!J53</f>
        <v>0</v>
      </c>
      <c r="CI122" s="1"/>
      <c r="CJ122" s="1">
        <f t="shared" si="204"/>
        <v>0</v>
      </c>
      <c r="CK122" s="1"/>
      <c r="CL122" s="1">
        <f>+'ENBS ER'!M53</f>
        <v>0</v>
      </c>
      <c r="CM122" s="1">
        <f>+'ENBS ER'!N53</f>
        <v>0</v>
      </c>
      <c r="CN122" s="1">
        <f>+'ENBS ER'!O53</f>
        <v>0</v>
      </c>
      <c r="CO122" s="1">
        <f>+'ENBS ER'!P53</f>
        <v>0</v>
      </c>
      <c r="CP122" s="1">
        <f>+'ENBS ER'!Q53</f>
        <v>0</v>
      </c>
      <c r="CQ122" s="1">
        <f>+'ENBS ER'!R53</f>
        <v>0</v>
      </c>
      <c r="CR122" s="1">
        <f>+'ENBS ER'!S53</f>
        <v>0</v>
      </c>
      <c r="CS122" s="1"/>
      <c r="CT122" s="1"/>
      <c r="CU122" s="1">
        <f t="shared" si="205"/>
        <v>0</v>
      </c>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V122" s="1"/>
      <c r="DW122" s="1">
        <f t="shared" si="206"/>
        <v>0</v>
      </c>
      <c r="DX122" s="1"/>
      <c r="DY122" s="1"/>
      <c r="DZ122" s="1"/>
      <c r="EC122" s="1"/>
      <c r="ED122" s="1"/>
      <c r="EE122" s="1">
        <f t="shared" si="207"/>
        <v>0</v>
      </c>
      <c r="EF122" s="1"/>
      <c r="EG122" s="1"/>
    </row>
    <row r="123" spans="1:145" ht="15.75">
      <c r="A123" s="1"/>
      <c r="B123" s="1" t="s">
        <v>1168</v>
      </c>
      <c r="C123" s="1"/>
      <c r="D123" s="1">
        <f>+'GFBS ER'!B54</f>
        <v>0</v>
      </c>
      <c r="E123" s="1">
        <f>+'SRBS ER'!B54</f>
        <v>0</v>
      </c>
      <c r="F123" s="1">
        <f>+'SRBS ER'!C54</f>
        <v>0</v>
      </c>
      <c r="G123" s="1">
        <f>+'SRBS ER'!D54</f>
        <v>0</v>
      </c>
      <c r="H123" s="1">
        <f>+'SRBS ER'!E54</f>
        <v>0</v>
      </c>
      <c r="I123" s="1">
        <f>+'SRBS ER'!F54</f>
        <v>0</v>
      </c>
      <c r="J123" s="1">
        <f>+'SRBS ER'!G54</f>
        <v>0</v>
      </c>
      <c r="K123" s="1">
        <f>+'SRBS ER'!H54</f>
        <v>0</v>
      </c>
      <c r="L123" s="1">
        <f>+'SRBS ER'!I54</f>
        <v>0</v>
      </c>
      <c r="M123" s="1">
        <f>+'SRBS ER'!J54</f>
        <v>0</v>
      </c>
      <c r="N123" s="1">
        <f>+'SRBS ER'!K54</f>
        <v>0</v>
      </c>
      <c r="O123" s="1">
        <f>+'SRBS ER'!L54</f>
        <v>0</v>
      </c>
      <c r="P123" s="1">
        <f>+'SRBS ER'!M54</f>
        <v>0</v>
      </c>
      <c r="Q123" s="1">
        <f>+'SRBS ER'!N54</f>
        <v>0</v>
      </c>
      <c r="R123" s="1">
        <f>+'SRBS ER'!O54</f>
        <v>0</v>
      </c>
      <c r="S123" s="1">
        <f>+'SRBS ER'!P54</f>
        <v>0</v>
      </c>
      <c r="T123" s="1">
        <f>+'SRBS ER'!Q54</f>
        <v>0</v>
      </c>
      <c r="U123" s="1">
        <f>+'SRBS ER'!R54</f>
        <v>0</v>
      </c>
      <c r="V123" s="1">
        <f>+'SRBS ER'!S54</f>
        <v>0</v>
      </c>
      <c r="W123" s="1">
        <f>+'SRBS ER'!T54</f>
        <v>0</v>
      </c>
      <c r="X123" s="1">
        <f>+'SRBS ER'!U54</f>
        <v>0</v>
      </c>
      <c r="Y123" s="1">
        <f>+'SRBS ER'!V54</f>
        <v>0</v>
      </c>
      <c r="Z123" s="1">
        <f>+'SRBS ER'!W54</f>
        <v>0</v>
      </c>
      <c r="AA123" s="1">
        <f>+'SRBS ER'!X54</f>
        <v>0</v>
      </c>
      <c r="AB123" s="1">
        <f>+'SRBS ER'!Y54</f>
        <v>0</v>
      </c>
      <c r="AC123" s="1">
        <f>+'SRBS ER'!Z54</f>
        <v>0</v>
      </c>
      <c r="AD123" s="1">
        <f>+'SRBS ER'!AA54</f>
        <v>0</v>
      </c>
      <c r="AE123" s="1">
        <f>+'SRBS ER'!AB54+'SRBS ER'!AC54</f>
        <v>0</v>
      </c>
      <c r="AF123" s="1">
        <f>+'SRBS ER'!AD54</f>
        <v>0</v>
      </c>
      <c r="AG123" s="1">
        <f>+'SRBS ER'!AE54</f>
        <v>0</v>
      </c>
      <c r="AH123" s="1">
        <f>+'SRBS ER'!AF54</f>
        <v>0</v>
      </c>
      <c r="AI123" s="1">
        <f>+'SRBS ER'!AG54</f>
        <v>0</v>
      </c>
      <c r="AJ123" s="1">
        <f>+'SRBS ER'!AH54</f>
        <v>0</v>
      </c>
      <c r="AK123" s="1">
        <f>+'SRBS ER'!AI54</f>
        <v>0</v>
      </c>
      <c r="AL123" s="1">
        <f>+'SRBS ER'!AJ54</f>
        <v>0</v>
      </c>
      <c r="AM123" s="1">
        <f>+'SRBS ER'!AK54</f>
        <v>0</v>
      </c>
      <c r="AN123" s="1">
        <f>+'SRBS ER'!AL54</f>
        <v>0</v>
      </c>
      <c r="AO123" s="1">
        <f>+'SRBS ER'!AM54</f>
        <v>0</v>
      </c>
      <c r="AP123" s="1">
        <f>+'SRBS ER'!AN54</f>
        <v>0</v>
      </c>
      <c r="AQ123" s="1">
        <f>+'SRBS ER'!AO54</f>
        <v>0</v>
      </c>
      <c r="AR123" s="1">
        <f>+'SRBS ER'!AQ54</f>
        <v>0</v>
      </c>
      <c r="AS123" s="1">
        <f>+'SRBS ER'!AR54</f>
        <v>0</v>
      </c>
      <c r="AT123" s="1">
        <f>+'SRBS ER'!AS54</f>
        <v>0</v>
      </c>
      <c r="AU123" s="1">
        <f>+'SRBS ER'!AT54</f>
        <v>0</v>
      </c>
      <c r="AV123" s="1">
        <f>+'SRBS ER'!AU54</f>
        <v>0</v>
      </c>
      <c r="AW123" s="1"/>
      <c r="AX123" s="1">
        <f>+'SRBS ER'!AW54</f>
        <v>0</v>
      </c>
      <c r="AY123" s="1">
        <f>+'SRBS ER'!AX54</f>
        <v>0</v>
      </c>
      <c r="AZ123" s="1">
        <f>+'SRBS ER'!AY54</f>
        <v>0</v>
      </c>
      <c r="BA123" s="1">
        <f>+'SRBS ER'!AZ54</f>
        <v>0</v>
      </c>
      <c r="BB123" s="1">
        <f>+'SRBS ER'!BA54</f>
        <v>0</v>
      </c>
      <c r="BC123" s="1">
        <f>+'SRBS ER'!BB54</f>
        <v>0</v>
      </c>
      <c r="BD123" s="1"/>
      <c r="BE123" s="1"/>
      <c r="BF123" s="1">
        <f t="shared" si="201"/>
        <v>0</v>
      </c>
      <c r="BG123" s="1">
        <f t="shared" si="180"/>
        <v>0</v>
      </c>
      <c r="BH123" s="1">
        <f>+'DSBS ER'!B54</f>
        <v>0</v>
      </c>
      <c r="BI123" s="1">
        <f>+'DSBS ER'!C54</f>
        <v>0</v>
      </c>
      <c r="BJ123" s="1">
        <f>+'DSBS ER'!D54</f>
        <v>0</v>
      </c>
      <c r="BK123" s="1">
        <f>+'DSBS ER'!E54</f>
        <v>0</v>
      </c>
      <c r="BL123" s="1">
        <f>+'DSBS ER'!F54</f>
        <v>0</v>
      </c>
      <c r="BM123" s="1">
        <f>+'DSBS ER'!G54</f>
        <v>0</v>
      </c>
      <c r="BN123" s="1">
        <f>+'DSBS ER'!H54</f>
        <v>0</v>
      </c>
      <c r="BO123" s="1"/>
      <c r="BP123" s="1">
        <f t="shared" si="202"/>
        <v>0</v>
      </c>
      <c r="BQ123" s="1"/>
      <c r="BR123" s="1">
        <f>+'CPBS ER'!B54</f>
        <v>0</v>
      </c>
      <c r="BS123" s="1">
        <f>+'CPBS ER'!C54</f>
        <v>0</v>
      </c>
      <c r="BT123" s="1">
        <f>+'CPBS ER'!D54</f>
        <v>0</v>
      </c>
      <c r="BU123" s="1">
        <f>+'CPBS ER'!E54</f>
        <v>0</v>
      </c>
      <c r="BV123" s="1">
        <f>+'CPBS ER'!F54</f>
        <v>0</v>
      </c>
      <c r="BW123" s="1">
        <f>+'CPBS ER'!G54</f>
        <v>0</v>
      </c>
      <c r="BX123" s="3"/>
      <c r="BY123" s="1">
        <f t="shared" si="203"/>
        <v>0</v>
      </c>
      <c r="BZ123" s="1"/>
      <c r="CA123" s="1"/>
      <c r="CB123" s="1">
        <f>+'ENBS ER'!D54</f>
        <v>0</v>
      </c>
      <c r="CC123" s="1">
        <f>+'ENBS ER'!E54+'ENBS ER'!C54</f>
        <v>0</v>
      </c>
      <c r="CD123" s="1">
        <f>+'ENBS ER'!F54</f>
        <v>0</v>
      </c>
      <c r="CE123" s="1">
        <f>+'ENBS ER'!G54</f>
        <v>0</v>
      </c>
      <c r="CF123" s="1">
        <f>+'ENBS ER'!H54</f>
        <v>0</v>
      </c>
      <c r="CG123" s="1">
        <f>+'ENBS ER'!I54</f>
        <v>0</v>
      </c>
      <c r="CH123" s="1">
        <f>+'ENBS ER'!J54</f>
        <v>0</v>
      </c>
      <c r="CI123" s="1"/>
      <c r="CJ123" s="1">
        <f t="shared" si="204"/>
        <v>0</v>
      </c>
      <c r="CK123" s="1"/>
      <c r="CL123" s="1">
        <f>+'ENBS ER'!M54</f>
        <v>0</v>
      </c>
      <c r="CM123" s="1">
        <f>+'ENBS ER'!N54</f>
        <v>0</v>
      </c>
      <c r="CN123" s="1">
        <f>+'ENBS ER'!O54</f>
        <v>0</v>
      </c>
      <c r="CO123" s="1">
        <f>+'ENBS ER'!P54</f>
        <v>0</v>
      </c>
      <c r="CP123" s="1">
        <f>+'ENBS ER'!Q54</f>
        <v>0</v>
      </c>
      <c r="CQ123" s="1">
        <f>+'ENBS ER'!R54</f>
        <v>0</v>
      </c>
      <c r="CR123" s="1">
        <f>+'ENBS ER'!S54</f>
        <v>0</v>
      </c>
      <c r="CS123" s="1"/>
      <c r="CT123" s="1"/>
      <c r="CU123" s="1">
        <f t="shared" si="205"/>
        <v>0</v>
      </c>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V123" s="1"/>
      <c r="DW123" s="1">
        <f t="shared" si="206"/>
        <v>0</v>
      </c>
      <c r="DX123" s="1"/>
      <c r="DY123" s="1"/>
      <c r="DZ123" s="1"/>
      <c r="EC123" s="1"/>
      <c r="ED123" s="1"/>
      <c r="EE123" s="1">
        <f t="shared" si="207"/>
        <v>0</v>
      </c>
      <c r="EF123" s="1"/>
      <c r="EG123" s="1"/>
    </row>
    <row r="124" spans="1:145" ht="15.75">
      <c r="A124" s="1"/>
      <c r="B124" s="1" t="s">
        <v>471</v>
      </c>
      <c r="C124" s="1"/>
      <c r="D124" s="1">
        <f>+'GFBS ER'!B55</f>
        <v>0</v>
      </c>
      <c r="E124" s="1">
        <f>+'SRBS ER'!B55</f>
        <v>0</v>
      </c>
      <c r="F124" s="1">
        <f>+'SRBS ER'!C55</f>
        <v>0</v>
      </c>
      <c r="G124" s="1">
        <f>+'SRBS ER'!D55</f>
        <v>0</v>
      </c>
      <c r="H124" s="1">
        <f>+'SRBS ER'!E55</f>
        <v>0</v>
      </c>
      <c r="I124" s="1">
        <f>+'SRBS ER'!F55</f>
        <v>0</v>
      </c>
      <c r="J124" s="1">
        <f>+'SRBS ER'!G55</f>
        <v>0</v>
      </c>
      <c r="K124" s="1">
        <f>+'SRBS ER'!H55</f>
        <v>0</v>
      </c>
      <c r="L124" s="1">
        <f>+'SRBS ER'!I55</f>
        <v>0</v>
      </c>
      <c r="M124" s="1">
        <f>+'SRBS ER'!J55</f>
        <v>0</v>
      </c>
      <c r="N124" s="1">
        <f>+'SRBS ER'!K55</f>
        <v>0</v>
      </c>
      <c r="O124" s="1">
        <f>+'SRBS ER'!L55</f>
        <v>0</v>
      </c>
      <c r="P124" s="1">
        <f>+'SRBS ER'!M55</f>
        <v>0</v>
      </c>
      <c r="Q124" s="1">
        <f>+'SRBS ER'!N55</f>
        <v>0</v>
      </c>
      <c r="R124" s="1">
        <f>+'SRBS ER'!O55</f>
        <v>0</v>
      </c>
      <c r="S124" s="1">
        <f>+'SRBS ER'!P55</f>
        <v>0</v>
      </c>
      <c r="T124" s="1">
        <f>+'SRBS ER'!Q55</f>
        <v>0</v>
      </c>
      <c r="U124" s="1">
        <f>+'SRBS ER'!R55</f>
        <v>0</v>
      </c>
      <c r="V124" s="1">
        <f>+'SRBS ER'!S55</f>
        <v>0</v>
      </c>
      <c r="W124" s="1">
        <f>+'SRBS ER'!T55</f>
        <v>0</v>
      </c>
      <c r="X124" s="1">
        <f>+'SRBS ER'!U55</f>
        <v>0</v>
      </c>
      <c r="Y124" s="1">
        <f>+'SRBS ER'!V55</f>
        <v>0</v>
      </c>
      <c r="Z124" s="1">
        <f>+'SRBS ER'!W55</f>
        <v>0</v>
      </c>
      <c r="AA124" s="1">
        <f>+'SRBS ER'!X55</f>
        <v>0</v>
      </c>
      <c r="AB124" s="1">
        <f>+'SRBS ER'!Y55</f>
        <v>0</v>
      </c>
      <c r="AC124" s="1">
        <f>+'SRBS ER'!Z55</f>
        <v>0</v>
      </c>
      <c r="AD124" s="1">
        <f>+'SRBS ER'!AA55</f>
        <v>0</v>
      </c>
      <c r="AE124" s="1">
        <f>+'SRBS ER'!AB55+'SRBS ER'!AC55</f>
        <v>0</v>
      </c>
      <c r="AF124" s="1">
        <f>+'SRBS ER'!AD55</f>
        <v>0</v>
      </c>
      <c r="AG124" s="1">
        <f>+'SRBS ER'!AE55</f>
        <v>0</v>
      </c>
      <c r="AH124" s="1">
        <f>+'SRBS ER'!AF55</f>
        <v>0</v>
      </c>
      <c r="AI124" s="1">
        <f>+'SRBS ER'!AG55</f>
        <v>0</v>
      </c>
      <c r="AJ124" s="1">
        <f>+'SRBS ER'!AH55</f>
        <v>0</v>
      </c>
      <c r="AK124" s="1">
        <f>+'SRBS ER'!AI55</f>
        <v>0</v>
      </c>
      <c r="AL124" s="1">
        <f>+'SRBS ER'!AJ55</f>
        <v>0</v>
      </c>
      <c r="AM124" s="1">
        <f>+'SRBS ER'!AK55</f>
        <v>0</v>
      </c>
      <c r="AN124" s="1">
        <f>+'SRBS ER'!AL55</f>
        <v>0</v>
      </c>
      <c r="AO124" s="1">
        <f>+'SRBS ER'!AM55</f>
        <v>0</v>
      </c>
      <c r="AP124" s="1">
        <f>+'SRBS ER'!AN55</f>
        <v>0</v>
      </c>
      <c r="AQ124" s="1">
        <f>+'SRBS ER'!AO55</f>
        <v>0</v>
      </c>
      <c r="AR124" s="1">
        <f>+'SRBS ER'!AQ55</f>
        <v>0</v>
      </c>
      <c r="AS124" s="1">
        <f>+'SRBS ER'!AR55</f>
        <v>0</v>
      </c>
      <c r="AT124" s="1">
        <f>+'SRBS ER'!AS55</f>
        <v>0</v>
      </c>
      <c r="AU124" s="1">
        <f>+'SRBS ER'!AT55</f>
        <v>0</v>
      </c>
      <c r="AV124" s="1">
        <f>+'SRBS ER'!AU55</f>
        <v>0</v>
      </c>
      <c r="AW124" s="1"/>
      <c r="AX124" s="1">
        <f>+'SRBS ER'!AW55</f>
        <v>0</v>
      </c>
      <c r="AY124" s="1">
        <f>+'SRBS ER'!AX55</f>
        <v>0</v>
      </c>
      <c r="AZ124" s="1">
        <f>+'SRBS ER'!AY55</f>
        <v>0</v>
      </c>
      <c r="BA124" s="1">
        <f>+'SRBS ER'!AZ55</f>
        <v>0</v>
      </c>
      <c r="BB124" s="1">
        <f>+'SRBS ER'!BA55</f>
        <v>0</v>
      </c>
      <c r="BC124" s="1">
        <f>+'SRBS ER'!BB55</f>
        <v>0</v>
      </c>
      <c r="BD124" s="1"/>
      <c r="BE124" s="1"/>
      <c r="BF124" s="1">
        <f t="shared" si="201"/>
        <v>0</v>
      </c>
      <c r="BG124" s="1">
        <f t="shared" si="180"/>
        <v>0</v>
      </c>
      <c r="BH124" s="1">
        <f>+'DSBS ER'!B55</f>
        <v>0</v>
      </c>
      <c r="BI124" s="1">
        <f>+'DSBS ER'!C55</f>
        <v>0</v>
      </c>
      <c r="BJ124" s="1">
        <f>+'DSBS ER'!D55</f>
        <v>0</v>
      </c>
      <c r="BK124" s="1">
        <f>+'DSBS ER'!E55</f>
        <v>0</v>
      </c>
      <c r="BL124" s="1">
        <f>+'DSBS ER'!F55</f>
        <v>0</v>
      </c>
      <c r="BM124" s="1">
        <f>+'DSBS ER'!G55</f>
        <v>0</v>
      </c>
      <c r="BN124" s="1">
        <f>+'DSBS ER'!H55</f>
        <v>0</v>
      </c>
      <c r="BO124" s="1"/>
      <c r="BP124" s="1">
        <f t="shared" si="202"/>
        <v>0</v>
      </c>
      <c r="BQ124" s="1"/>
      <c r="BR124" s="1">
        <f>+'CPBS ER'!B55</f>
        <v>0</v>
      </c>
      <c r="BS124" s="1">
        <f>+'CPBS ER'!C55</f>
        <v>0</v>
      </c>
      <c r="BT124" s="1">
        <f>+'CPBS ER'!D55</f>
        <v>0</v>
      </c>
      <c r="BU124" s="1">
        <f>+'CPBS ER'!E55</f>
        <v>0</v>
      </c>
      <c r="BV124" s="1">
        <f>+'CPBS ER'!F55</f>
        <v>0</v>
      </c>
      <c r="BW124" s="1">
        <f>+'CPBS ER'!G55</f>
        <v>0</v>
      </c>
      <c r="BX124" s="3"/>
      <c r="BY124" s="1">
        <f t="shared" si="203"/>
        <v>0</v>
      </c>
      <c r="BZ124" s="1"/>
      <c r="CA124" s="1"/>
      <c r="CB124" s="1">
        <f>+'ENBS ER'!D55</f>
        <v>0</v>
      </c>
      <c r="CC124" s="1">
        <f>+'ENBS ER'!E55+'ENBS ER'!C55</f>
        <v>0</v>
      </c>
      <c r="CD124" s="1">
        <f>+'ENBS ER'!F55</f>
        <v>0</v>
      </c>
      <c r="CE124" s="1">
        <f>+'ENBS ER'!G55</f>
        <v>0</v>
      </c>
      <c r="CF124" s="1">
        <f>+'ENBS ER'!H55</f>
        <v>0</v>
      </c>
      <c r="CG124" s="1">
        <f>+'ENBS ER'!I55</f>
        <v>0</v>
      </c>
      <c r="CH124" s="1">
        <f>+'ENBS ER'!J55</f>
        <v>0</v>
      </c>
      <c r="CI124" s="1"/>
      <c r="CJ124" s="1">
        <f t="shared" si="204"/>
        <v>0</v>
      </c>
      <c r="CK124" s="1"/>
      <c r="CL124" s="1">
        <f>+'ENBS ER'!M55</f>
        <v>0</v>
      </c>
      <c r="CM124" s="1">
        <f>+'ENBS ER'!N55</f>
        <v>0</v>
      </c>
      <c r="CN124" s="1">
        <f>+'ENBS ER'!O55</f>
        <v>0</v>
      </c>
      <c r="CO124" s="1">
        <f>+'ENBS ER'!P55</f>
        <v>0</v>
      </c>
      <c r="CP124" s="1">
        <f>+'ENBS ER'!Q55</f>
        <v>0</v>
      </c>
      <c r="CQ124" s="1">
        <f>+'ENBS ER'!R55</f>
        <v>0</v>
      </c>
      <c r="CR124" s="1">
        <f>+'ENBS ER'!S55</f>
        <v>0</v>
      </c>
      <c r="CS124" s="1"/>
      <c r="CT124" s="1"/>
      <c r="CU124" s="1">
        <f t="shared" si="205"/>
        <v>0</v>
      </c>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V124" s="1"/>
      <c r="DW124" s="1">
        <f t="shared" si="206"/>
        <v>0</v>
      </c>
      <c r="DX124" s="1"/>
      <c r="DY124" s="1"/>
      <c r="DZ124" s="1"/>
      <c r="EC124" s="1"/>
      <c r="ED124" s="1"/>
      <c r="EE124" s="1">
        <f t="shared" si="207"/>
        <v>0</v>
      </c>
      <c r="EF124" s="1"/>
      <c r="EG124" s="1"/>
    </row>
    <row r="125" spans="1:145" ht="15.75">
      <c r="A125" s="1"/>
      <c r="B125" s="1" t="s">
        <v>1015</v>
      </c>
      <c r="C125" s="1"/>
      <c r="D125" s="1">
        <f>+'GFBS ER'!B56</f>
        <v>0</v>
      </c>
      <c r="E125" s="1">
        <f>+'SRBS ER'!B56</f>
        <v>0</v>
      </c>
      <c r="F125" s="1">
        <f>+'SRBS ER'!C56</f>
        <v>0</v>
      </c>
      <c r="G125" s="1">
        <f>+'SRBS ER'!D56</f>
        <v>0</v>
      </c>
      <c r="H125" s="1">
        <f>+'SRBS ER'!E56</f>
        <v>0</v>
      </c>
      <c r="I125" s="1">
        <f>+'SRBS ER'!F56</f>
        <v>0</v>
      </c>
      <c r="J125" s="1">
        <f>+'SRBS ER'!G56</f>
        <v>0</v>
      </c>
      <c r="K125" s="1">
        <f>+'SRBS ER'!H56</f>
        <v>0</v>
      </c>
      <c r="L125" s="1">
        <f>+'SRBS ER'!I56</f>
        <v>0</v>
      </c>
      <c r="M125" s="1">
        <f>+'SRBS ER'!J56</f>
        <v>0</v>
      </c>
      <c r="N125" s="1">
        <f>+'SRBS ER'!K56</f>
        <v>0</v>
      </c>
      <c r="O125" s="1">
        <f>+'SRBS ER'!L56</f>
        <v>0</v>
      </c>
      <c r="P125" s="1">
        <f>+'SRBS ER'!M56</f>
        <v>0</v>
      </c>
      <c r="Q125" s="1">
        <f>+'SRBS ER'!N56</f>
        <v>0</v>
      </c>
      <c r="R125" s="1">
        <f>+'SRBS ER'!O56</f>
        <v>0</v>
      </c>
      <c r="S125" s="1">
        <f>+'SRBS ER'!P56</f>
        <v>0</v>
      </c>
      <c r="T125" s="1">
        <f>+'SRBS ER'!Q56</f>
        <v>0</v>
      </c>
      <c r="U125" s="1">
        <f>+'SRBS ER'!R56</f>
        <v>0</v>
      </c>
      <c r="V125" s="1">
        <f>+'SRBS ER'!S56</f>
        <v>0</v>
      </c>
      <c r="W125" s="1">
        <f>+'SRBS ER'!T56</f>
        <v>0</v>
      </c>
      <c r="X125" s="1">
        <f>+'SRBS ER'!U56</f>
        <v>0</v>
      </c>
      <c r="Y125" s="1">
        <f>+'SRBS ER'!V56</f>
        <v>0</v>
      </c>
      <c r="Z125" s="1">
        <f>+'SRBS ER'!W56</f>
        <v>0</v>
      </c>
      <c r="AA125" s="1">
        <f>+'SRBS ER'!X56</f>
        <v>0</v>
      </c>
      <c r="AB125" s="1">
        <f>+'SRBS ER'!Y56</f>
        <v>0</v>
      </c>
      <c r="AC125" s="1">
        <f>+'SRBS ER'!Z56</f>
        <v>0</v>
      </c>
      <c r="AD125" s="1">
        <f>+'SRBS ER'!AA56</f>
        <v>0</v>
      </c>
      <c r="AE125" s="1">
        <f>+'SRBS ER'!AB56+'SRBS ER'!AC56</f>
        <v>0</v>
      </c>
      <c r="AF125" s="1">
        <f>+'SRBS ER'!AD56</f>
        <v>0</v>
      </c>
      <c r="AG125" s="1">
        <f>+'SRBS ER'!AE56</f>
        <v>0</v>
      </c>
      <c r="AH125" s="1">
        <f>+'SRBS ER'!AF56</f>
        <v>0</v>
      </c>
      <c r="AI125" s="1">
        <f>+'SRBS ER'!AG56</f>
        <v>0</v>
      </c>
      <c r="AJ125" s="1">
        <f>+'SRBS ER'!AH56</f>
        <v>0</v>
      </c>
      <c r="AK125" s="1">
        <f>+'SRBS ER'!AI56</f>
        <v>0</v>
      </c>
      <c r="AL125" s="1">
        <f>+'SRBS ER'!AJ56</f>
        <v>0</v>
      </c>
      <c r="AM125" s="1">
        <f>+'SRBS ER'!AK56</f>
        <v>0</v>
      </c>
      <c r="AN125" s="1">
        <f>+'SRBS ER'!AL56</f>
        <v>0</v>
      </c>
      <c r="AO125" s="1">
        <f>+'SRBS ER'!AM56</f>
        <v>0</v>
      </c>
      <c r="AP125" s="1">
        <f>+'SRBS ER'!AN56</f>
        <v>0</v>
      </c>
      <c r="AQ125" s="1">
        <f>+'SRBS ER'!AO56</f>
        <v>0</v>
      </c>
      <c r="AR125" s="1">
        <f>+'SRBS ER'!AQ56</f>
        <v>0</v>
      </c>
      <c r="AS125" s="1">
        <f>+'SRBS ER'!AR56</f>
        <v>0</v>
      </c>
      <c r="AT125" s="1">
        <f>+'SRBS ER'!AS56</f>
        <v>0</v>
      </c>
      <c r="AU125" s="1">
        <f>+'SRBS ER'!AT56</f>
        <v>0</v>
      </c>
      <c r="AV125" s="1">
        <f>+'SRBS ER'!AU56</f>
        <v>0</v>
      </c>
      <c r="AW125" s="1"/>
      <c r="AX125" s="1">
        <f>+'SRBS ER'!AW56</f>
        <v>0</v>
      </c>
      <c r="AY125" s="1">
        <f>+'SRBS ER'!AX56</f>
        <v>0</v>
      </c>
      <c r="AZ125" s="1">
        <f>+'SRBS ER'!AY56</f>
        <v>0</v>
      </c>
      <c r="BA125" s="1">
        <f>+'SRBS ER'!AZ56</f>
        <v>0</v>
      </c>
      <c r="BB125" s="1">
        <f>+'SRBS ER'!BA56</f>
        <v>0</v>
      </c>
      <c r="BC125" s="1">
        <f>+'SRBS ER'!BB56</f>
        <v>0</v>
      </c>
      <c r="BD125" s="1"/>
      <c r="BE125" s="1"/>
      <c r="BF125" s="1">
        <f t="shared" si="201"/>
        <v>0</v>
      </c>
      <c r="BG125" s="1">
        <f t="shared" si="180"/>
        <v>0</v>
      </c>
      <c r="BH125" s="1">
        <f>+'DSBS ER'!B56</f>
        <v>0</v>
      </c>
      <c r="BI125" s="1">
        <f>+'DSBS ER'!C56</f>
        <v>0</v>
      </c>
      <c r="BJ125" s="1">
        <f>+'DSBS ER'!D56</f>
        <v>0</v>
      </c>
      <c r="BK125" s="1">
        <f>+'DSBS ER'!E56</f>
        <v>0</v>
      </c>
      <c r="BL125" s="1">
        <f>+'DSBS ER'!F56</f>
        <v>0</v>
      </c>
      <c r="BM125" s="1">
        <f>+'DSBS ER'!G56</f>
        <v>0</v>
      </c>
      <c r="BN125" s="1">
        <f>+'DSBS ER'!H56</f>
        <v>0</v>
      </c>
      <c r="BO125" s="1"/>
      <c r="BP125" s="1">
        <f t="shared" si="202"/>
        <v>0</v>
      </c>
      <c r="BQ125" s="1"/>
      <c r="BR125" s="1">
        <f>+'CPBS ER'!B56</f>
        <v>0</v>
      </c>
      <c r="BS125" s="1">
        <f>+'CPBS ER'!C56</f>
        <v>0</v>
      </c>
      <c r="BT125" s="1">
        <f>+'CPBS ER'!D56</f>
        <v>0</v>
      </c>
      <c r="BU125" s="1">
        <f>+'CPBS ER'!E56</f>
        <v>0</v>
      </c>
      <c r="BV125" s="1">
        <f>+'CPBS ER'!F56</f>
        <v>0</v>
      </c>
      <c r="BW125" s="1">
        <f>+'CPBS ER'!G56</f>
        <v>0</v>
      </c>
      <c r="BX125" s="3"/>
      <c r="BY125" s="1">
        <f t="shared" si="203"/>
        <v>0</v>
      </c>
      <c r="BZ125" s="1"/>
      <c r="CA125" s="1"/>
      <c r="CB125" s="1">
        <f>+'ENBS ER'!D56</f>
        <v>0</v>
      </c>
      <c r="CC125" s="1">
        <f>+'ENBS ER'!E56+'ENBS ER'!C56</f>
        <v>0</v>
      </c>
      <c r="CD125" s="1">
        <f>+'ENBS ER'!F56</f>
        <v>0</v>
      </c>
      <c r="CE125" s="1">
        <f>+'ENBS ER'!G56</f>
        <v>0</v>
      </c>
      <c r="CF125" s="1">
        <f>+'ENBS ER'!H56</f>
        <v>0</v>
      </c>
      <c r="CG125" s="1">
        <f>+'ENBS ER'!I56</f>
        <v>0</v>
      </c>
      <c r="CH125" s="1">
        <f>+'ENBS ER'!J56</f>
        <v>0</v>
      </c>
      <c r="CI125" s="1"/>
      <c r="CJ125" s="1">
        <f t="shared" si="204"/>
        <v>0</v>
      </c>
      <c r="CK125" s="1"/>
      <c r="CL125" s="1">
        <f>+'ENBS ER'!M56</f>
        <v>0</v>
      </c>
      <c r="CM125" s="1">
        <f>+'ENBS ER'!N56</f>
        <v>0</v>
      </c>
      <c r="CN125" s="1">
        <f>+'ENBS ER'!O56</f>
        <v>0</v>
      </c>
      <c r="CO125" s="1">
        <f>+'ENBS ER'!P56</f>
        <v>0</v>
      </c>
      <c r="CP125" s="1">
        <f>+'ENBS ER'!Q56</f>
        <v>0</v>
      </c>
      <c r="CQ125" s="1">
        <f>+'ENBS ER'!R56</f>
        <v>0</v>
      </c>
      <c r="CR125" s="1">
        <f>+'ENBS ER'!S56</f>
        <v>0</v>
      </c>
      <c r="CS125" s="1"/>
      <c r="CT125" s="1"/>
      <c r="CU125" s="1">
        <f t="shared" si="205"/>
        <v>0</v>
      </c>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V125" s="1"/>
      <c r="DW125" s="1">
        <f t="shared" si="206"/>
        <v>0</v>
      </c>
      <c r="DX125" s="1"/>
      <c r="DY125" s="1"/>
      <c r="DZ125" s="1"/>
      <c r="EC125" s="1"/>
      <c r="ED125" s="1"/>
      <c r="EE125" s="1">
        <f t="shared" si="207"/>
        <v>0</v>
      </c>
      <c r="EF125" s="1"/>
      <c r="EG125" s="1"/>
    </row>
    <row r="126" spans="1:145" ht="15.75">
      <c r="A126" s="1"/>
      <c r="B126" s="1" t="s">
        <v>1016</v>
      </c>
      <c r="C126" s="1"/>
      <c r="D126" s="1">
        <f>+'GFBS ER'!B57</f>
        <v>0</v>
      </c>
      <c r="E126" s="1">
        <f>+'SRBS ER'!B57</f>
        <v>0</v>
      </c>
      <c r="F126" s="1">
        <f>+'SRBS ER'!C57</f>
        <v>0</v>
      </c>
      <c r="G126" s="1">
        <f>+'SRBS ER'!D57</f>
        <v>0</v>
      </c>
      <c r="H126" s="1">
        <f>+'SRBS ER'!E57</f>
        <v>0</v>
      </c>
      <c r="I126" s="1">
        <f>+'SRBS ER'!F57</f>
        <v>0</v>
      </c>
      <c r="J126" s="1">
        <f>+'SRBS ER'!G57</f>
        <v>0</v>
      </c>
      <c r="K126" s="1">
        <f>+'SRBS ER'!H57</f>
        <v>0</v>
      </c>
      <c r="L126" s="1">
        <f>+'SRBS ER'!I57</f>
        <v>0</v>
      </c>
      <c r="M126" s="1">
        <f>+'SRBS ER'!J57</f>
        <v>0</v>
      </c>
      <c r="N126" s="1">
        <f>+'SRBS ER'!K57</f>
        <v>0</v>
      </c>
      <c r="O126" s="1">
        <f>+'SRBS ER'!L57</f>
        <v>0</v>
      </c>
      <c r="P126" s="1">
        <f>+'SRBS ER'!M57</f>
        <v>0</v>
      </c>
      <c r="Q126" s="1">
        <f>+'SRBS ER'!N57</f>
        <v>0</v>
      </c>
      <c r="R126" s="1">
        <f>+'SRBS ER'!O57</f>
        <v>0</v>
      </c>
      <c r="S126" s="1">
        <f>+'SRBS ER'!P57</f>
        <v>0</v>
      </c>
      <c r="T126" s="1">
        <f>+'SRBS ER'!Q57</f>
        <v>0</v>
      </c>
      <c r="U126" s="1">
        <f>+'SRBS ER'!R57</f>
        <v>0</v>
      </c>
      <c r="V126" s="1">
        <f>+'SRBS ER'!S57</f>
        <v>0</v>
      </c>
      <c r="W126" s="1">
        <f>+'SRBS ER'!T57</f>
        <v>0</v>
      </c>
      <c r="X126" s="1">
        <f>+'SRBS ER'!U57</f>
        <v>0</v>
      </c>
      <c r="Y126" s="1">
        <f>+'SRBS ER'!V57</f>
        <v>0</v>
      </c>
      <c r="Z126" s="1">
        <f>+'SRBS ER'!W57</f>
        <v>0</v>
      </c>
      <c r="AA126" s="1">
        <f>+'SRBS ER'!X57</f>
        <v>0</v>
      </c>
      <c r="AB126" s="1">
        <f>+'SRBS ER'!Y57</f>
        <v>0</v>
      </c>
      <c r="AC126" s="1">
        <f>+'SRBS ER'!Z57</f>
        <v>0</v>
      </c>
      <c r="AD126" s="1">
        <f>+'SRBS ER'!AA57</f>
        <v>0</v>
      </c>
      <c r="AE126" s="1">
        <f>+'SRBS ER'!AB57+'SRBS ER'!AC57</f>
        <v>0</v>
      </c>
      <c r="AF126" s="1">
        <f>+'SRBS ER'!AD57</f>
        <v>0</v>
      </c>
      <c r="AG126" s="1">
        <f>+'SRBS ER'!AE57</f>
        <v>0</v>
      </c>
      <c r="AH126" s="1">
        <f>+'SRBS ER'!AF57</f>
        <v>0</v>
      </c>
      <c r="AI126" s="1">
        <f>+'SRBS ER'!AG57</f>
        <v>0</v>
      </c>
      <c r="AJ126" s="1">
        <f>+'SRBS ER'!AH57</f>
        <v>0</v>
      </c>
      <c r="AK126" s="1">
        <f>+'SRBS ER'!AI57</f>
        <v>0</v>
      </c>
      <c r="AL126" s="1">
        <f>+'SRBS ER'!AJ57</f>
        <v>0</v>
      </c>
      <c r="AM126" s="1">
        <f>+'SRBS ER'!AK57</f>
        <v>0</v>
      </c>
      <c r="AN126" s="1">
        <f>+'SRBS ER'!AL57</f>
        <v>0</v>
      </c>
      <c r="AO126" s="1">
        <f>+'SRBS ER'!AM57</f>
        <v>0</v>
      </c>
      <c r="AP126" s="1">
        <f>+'SRBS ER'!AN57</f>
        <v>0</v>
      </c>
      <c r="AQ126" s="1">
        <f>+'SRBS ER'!AO57</f>
        <v>0</v>
      </c>
      <c r="AR126" s="1">
        <f>+'SRBS ER'!AQ57</f>
        <v>0</v>
      </c>
      <c r="AS126" s="1">
        <f>+'SRBS ER'!AR57</f>
        <v>0</v>
      </c>
      <c r="AT126" s="1">
        <f>+'SRBS ER'!AS57</f>
        <v>0</v>
      </c>
      <c r="AU126" s="1">
        <f>+'SRBS ER'!AT57</f>
        <v>0</v>
      </c>
      <c r="AV126" s="1">
        <f>+'SRBS ER'!AU57</f>
        <v>0</v>
      </c>
      <c r="AW126" s="1"/>
      <c r="AX126" s="1">
        <f>+'SRBS ER'!AW57</f>
        <v>0</v>
      </c>
      <c r="AY126" s="1">
        <f>+'SRBS ER'!AX57</f>
        <v>0</v>
      </c>
      <c r="AZ126" s="1">
        <f>+'SRBS ER'!AY57</f>
        <v>0</v>
      </c>
      <c r="BA126" s="1">
        <f>+'SRBS ER'!AZ57</f>
        <v>0</v>
      </c>
      <c r="BB126" s="1">
        <f>+'SRBS ER'!BA57</f>
        <v>0</v>
      </c>
      <c r="BC126" s="1">
        <f>+'SRBS ER'!BB57</f>
        <v>0</v>
      </c>
      <c r="BD126" s="1"/>
      <c r="BE126" s="1"/>
      <c r="BF126" s="1">
        <f t="shared" si="201"/>
        <v>0</v>
      </c>
      <c r="BG126" s="1">
        <f t="shared" si="180"/>
        <v>0</v>
      </c>
      <c r="BH126" s="1">
        <f>+'DSBS ER'!B57</f>
        <v>0</v>
      </c>
      <c r="BI126" s="1">
        <f>+'DSBS ER'!C57</f>
        <v>0</v>
      </c>
      <c r="BJ126" s="1">
        <f>+'DSBS ER'!D57</f>
        <v>0</v>
      </c>
      <c r="BK126" s="1">
        <f>+'DSBS ER'!E57</f>
        <v>0</v>
      </c>
      <c r="BL126" s="1">
        <f>+'DSBS ER'!F57</f>
        <v>0</v>
      </c>
      <c r="BM126" s="1">
        <f>+'DSBS ER'!G57</f>
        <v>0</v>
      </c>
      <c r="BN126" s="1">
        <f>+'DSBS ER'!H57</f>
        <v>0</v>
      </c>
      <c r="BO126" s="1"/>
      <c r="BP126" s="1">
        <f t="shared" si="202"/>
        <v>0</v>
      </c>
      <c r="BQ126" s="1"/>
      <c r="BR126" s="1">
        <f>+'CPBS ER'!B57</f>
        <v>0</v>
      </c>
      <c r="BS126" s="1">
        <f>+'CPBS ER'!C57</f>
        <v>0</v>
      </c>
      <c r="BT126" s="1">
        <f>+'CPBS ER'!D57</f>
        <v>0</v>
      </c>
      <c r="BU126" s="1">
        <f>+'CPBS ER'!E57</f>
        <v>0</v>
      </c>
      <c r="BV126" s="1">
        <f>+'CPBS ER'!F57</f>
        <v>0</v>
      </c>
      <c r="BW126" s="1">
        <f>+'CPBS ER'!G57</f>
        <v>0</v>
      </c>
      <c r="BX126" s="3"/>
      <c r="BY126" s="1">
        <f t="shared" si="203"/>
        <v>0</v>
      </c>
      <c r="BZ126" s="1"/>
      <c r="CA126" s="1"/>
      <c r="CB126" s="1">
        <f>+'ENBS ER'!D57</f>
        <v>0</v>
      </c>
      <c r="CC126" s="1">
        <f>+'ENBS ER'!E57+'ENBS ER'!C57</f>
        <v>0</v>
      </c>
      <c r="CD126" s="1">
        <f>+'ENBS ER'!F57</f>
        <v>0</v>
      </c>
      <c r="CE126" s="1">
        <f>+'ENBS ER'!G57</f>
        <v>0</v>
      </c>
      <c r="CF126" s="1">
        <f>+'ENBS ER'!H57</f>
        <v>0</v>
      </c>
      <c r="CG126" s="1">
        <f>+'ENBS ER'!I57</f>
        <v>0</v>
      </c>
      <c r="CH126" s="1">
        <f>+'ENBS ER'!J57</f>
        <v>0</v>
      </c>
      <c r="CI126" s="1"/>
      <c r="CJ126" s="1">
        <f t="shared" si="204"/>
        <v>0</v>
      </c>
      <c r="CK126" s="1"/>
      <c r="CL126" s="1">
        <f>+'ENBS ER'!M57</f>
        <v>0</v>
      </c>
      <c r="CM126" s="1">
        <f>+'ENBS ER'!N57</f>
        <v>0</v>
      </c>
      <c r="CN126" s="1">
        <f>+'ENBS ER'!O57</f>
        <v>0</v>
      </c>
      <c r="CO126" s="1">
        <f>+'ENBS ER'!P57</f>
        <v>0</v>
      </c>
      <c r="CP126" s="1">
        <f>+'ENBS ER'!Q57</f>
        <v>0</v>
      </c>
      <c r="CQ126" s="1">
        <f>+'ENBS ER'!R57</f>
        <v>0</v>
      </c>
      <c r="CR126" s="1">
        <f>+'ENBS ER'!S57</f>
        <v>0</v>
      </c>
      <c r="CS126" s="1"/>
      <c r="CT126" s="1"/>
      <c r="CU126" s="1">
        <f t="shared" si="205"/>
        <v>0</v>
      </c>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V126" s="1"/>
      <c r="DW126" s="1">
        <f t="shared" si="206"/>
        <v>0</v>
      </c>
      <c r="DX126" s="1"/>
      <c r="DY126" s="1"/>
      <c r="DZ126" s="1"/>
      <c r="EC126" s="1"/>
      <c r="ED126" s="1"/>
      <c r="EE126" s="1">
        <f t="shared" si="207"/>
        <v>0</v>
      </c>
      <c r="EF126" s="1"/>
      <c r="EG126" s="1"/>
    </row>
    <row r="127" spans="1:145" ht="15.75">
      <c r="A127" s="1"/>
      <c r="B127" s="1" t="s">
        <v>485</v>
      </c>
      <c r="C127" s="1"/>
      <c r="D127" s="1">
        <f>+'GFBS ER'!B58</f>
        <v>0</v>
      </c>
      <c r="E127" s="1">
        <f>+'SRBS ER'!B58</f>
        <v>0</v>
      </c>
      <c r="F127" s="1">
        <f>+'SRBS ER'!C58</f>
        <v>0</v>
      </c>
      <c r="G127" s="1">
        <f>+'SRBS ER'!D58</f>
        <v>0</v>
      </c>
      <c r="H127" s="1">
        <f>+'SRBS ER'!E58</f>
        <v>0</v>
      </c>
      <c r="I127" s="1">
        <f>+'SRBS ER'!F58</f>
        <v>0</v>
      </c>
      <c r="J127" s="1">
        <f>+'SRBS ER'!G58</f>
        <v>0</v>
      </c>
      <c r="K127" s="1">
        <f>+'SRBS ER'!H58</f>
        <v>0</v>
      </c>
      <c r="L127" s="1">
        <f>+'SRBS ER'!I58</f>
        <v>0</v>
      </c>
      <c r="M127" s="1">
        <f>+'SRBS ER'!J58</f>
        <v>0</v>
      </c>
      <c r="N127" s="1">
        <f>+'SRBS ER'!K58</f>
        <v>0</v>
      </c>
      <c r="O127" s="1">
        <f>+'SRBS ER'!L58</f>
        <v>0</v>
      </c>
      <c r="P127" s="1">
        <f>+'SRBS ER'!M58</f>
        <v>0</v>
      </c>
      <c r="Q127" s="1">
        <f>+'SRBS ER'!N58</f>
        <v>0</v>
      </c>
      <c r="R127" s="1">
        <f>+'SRBS ER'!O58</f>
        <v>0</v>
      </c>
      <c r="S127" s="1">
        <f>+'SRBS ER'!P58</f>
        <v>0</v>
      </c>
      <c r="T127" s="1">
        <f>+'SRBS ER'!Q58</f>
        <v>0</v>
      </c>
      <c r="U127" s="1">
        <f>+'SRBS ER'!R58</f>
        <v>0</v>
      </c>
      <c r="V127" s="1">
        <f>+'SRBS ER'!S58</f>
        <v>0</v>
      </c>
      <c r="W127" s="1">
        <f>+'SRBS ER'!T58</f>
        <v>0</v>
      </c>
      <c r="X127" s="1">
        <f>+'SRBS ER'!U58</f>
        <v>0</v>
      </c>
      <c r="Y127" s="1">
        <f>+'SRBS ER'!V58</f>
        <v>0</v>
      </c>
      <c r="Z127" s="1">
        <f>+'SRBS ER'!W58</f>
        <v>0</v>
      </c>
      <c r="AA127" s="1">
        <f>+'SRBS ER'!X58</f>
        <v>0</v>
      </c>
      <c r="AB127" s="1">
        <f>+'SRBS ER'!Y58</f>
        <v>0</v>
      </c>
      <c r="AC127" s="1">
        <f>+'SRBS ER'!Z58</f>
        <v>0</v>
      </c>
      <c r="AD127" s="1">
        <f>+'SRBS ER'!AA58</f>
        <v>0</v>
      </c>
      <c r="AE127" s="1">
        <f>+'SRBS ER'!AB58+'SRBS ER'!AC58</f>
        <v>0</v>
      </c>
      <c r="AF127" s="1">
        <f>+'SRBS ER'!AD58</f>
        <v>0</v>
      </c>
      <c r="AG127" s="1">
        <f>+'SRBS ER'!AE58</f>
        <v>0</v>
      </c>
      <c r="AH127" s="1">
        <f>+'SRBS ER'!AF58</f>
        <v>0</v>
      </c>
      <c r="AI127" s="1">
        <f>+'SRBS ER'!AG58</f>
        <v>0</v>
      </c>
      <c r="AJ127" s="1">
        <f>+'SRBS ER'!AH58</f>
        <v>0</v>
      </c>
      <c r="AK127" s="1">
        <f>+'SRBS ER'!AI58</f>
        <v>0</v>
      </c>
      <c r="AL127" s="1">
        <f>+'SRBS ER'!AJ58</f>
        <v>0</v>
      </c>
      <c r="AM127" s="1">
        <f>+'SRBS ER'!AK58</f>
        <v>0</v>
      </c>
      <c r="AN127" s="1">
        <f>+'SRBS ER'!AL58</f>
        <v>0</v>
      </c>
      <c r="AO127" s="1">
        <f>+'SRBS ER'!AM58</f>
        <v>0</v>
      </c>
      <c r="AP127" s="1">
        <f>+'SRBS ER'!AN58</f>
        <v>0</v>
      </c>
      <c r="AQ127" s="1">
        <f>+'SRBS ER'!AO58</f>
        <v>0</v>
      </c>
      <c r="AR127" s="1">
        <f>+'SRBS ER'!AQ58</f>
        <v>0</v>
      </c>
      <c r="AS127" s="1">
        <f>+'SRBS ER'!AR58</f>
        <v>0</v>
      </c>
      <c r="AT127" s="1">
        <f>+'SRBS ER'!AS58</f>
        <v>0</v>
      </c>
      <c r="AU127" s="1">
        <f>+'SRBS ER'!AT58</f>
        <v>0</v>
      </c>
      <c r="AV127" s="1">
        <f>+'SRBS ER'!AU58</f>
        <v>0</v>
      </c>
      <c r="AW127" s="1"/>
      <c r="AX127" s="1">
        <f>+'SRBS ER'!AW58</f>
        <v>0</v>
      </c>
      <c r="AY127" s="1">
        <f>+'SRBS ER'!AX58</f>
        <v>0</v>
      </c>
      <c r="AZ127" s="1">
        <f>+'SRBS ER'!AY58</f>
        <v>0</v>
      </c>
      <c r="BA127" s="1">
        <f>+'SRBS ER'!AZ58</f>
        <v>0</v>
      </c>
      <c r="BB127" s="1">
        <f>+'SRBS ER'!BA58</f>
        <v>0</v>
      </c>
      <c r="BC127" s="1">
        <f>+'SRBS ER'!BB58</f>
        <v>0</v>
      </c>
      <c r="BD127" s="1"/>
      <c r="BE127" s="1"/>
      <c r="BF127" s="1">
        <f t="shared" si="201"/>
        <v>0</v>
      </c>
      <c r="BG127" s="1">
        <f t="shared" si="180"/>
        <v>0</v>
      </c>
      <c r="BH127" s="1">
        <f>+'DSBS ER'!B58</f>
        <v>0</v>
      </c>
      <c r="BI127" s="1">
        <f>+'DSBS ER'!C58</f>
        <v>0</v>
      </c>
      <c r="BJ127" s="1">
        <f>+'DSBS ER'!D58</f>
        <v>0</v>
      </c>
      <c r="BK127" s="1">
        <f>+'DSBS ER'!E58</f>
        <v>0</v>
      </c>
      <c r="BL127" s="1">
        <f>+'DSBS ER'!F58</f>
        <v>0</v>
      </c>
      <c r="BM127" s="1">
        <f>+'DSBS ER'!G58</f>
        <v>0</v>
      </c>
      <c r="BN127" s="1">
        <f>+'DSBS ER'!H58</f>
        <v>0</v>
      </c>
      <c r="BO127" s="1"/>
      <c r="BP127" s="1">
        <f t="shared" si="202"/>
        <v>0</v>
      </c>
      <c r="BQ127" s="1"/>
      <c r="BR127" s="1">
        <f>+'CPBS ER'!B58</f>
        <v>0</v>
      </c>
      <c r="BS127" s="1">
        <f>+'CPBS ER'!C58</f>
        <v>0</v>
      </c>
      <c r="BT127" s="1">
        <f>+'CPBS ER'!D58</f>
        <v>0</v>
      </c>
      <c r="BU127" s="1">
        <f>+'CPBS ER'!E58</f>
        <v>0</v>
      </c>
      <c r="BV127" s="1">
        <f>+'CPBS ER'!F58</f>
        <v>0</v>
      </c>
      <c r="BW127" s="1">
        <f>+'CPBS ER'!G58</f>
        <v>0</v>
      </c>
      <c r="BX127" s="3"/>
      <c r="BY127" s="1">
        <f t="shared" si="203"/>
        <v>0</v>
      </c>
      <c r="BZ127" s="1"/>
      <c r="CA127" s="1"/>
      <c r="CB127" s="1">
        <f>+'ENBS ER'!D58</f>
        <v>0</v>
      </c>
      <c r="CC127" s="1">
        <f>+'ENBS ER'!E58+'ENBS ER'!C58</f>
        <v>0</v>
      </c>
      <c r="CD127" s="1">
        <f>+'ENBS ER'!F58</f>
        <v>0</v>
      </c>
      <c r="CE127" s="1">
        <f>+'ENBS ER'!G58</f>
        <v>0</v>
      </c>
      <c r="CF127" s="1">
        <f>+'ENBS ER'!H58</f>
        <v>0</v>
      </c>
      <c r="CG127" s="1">
        <f>+'ENBS ER'!I58</f>
        <v>0</v>
      </c>
      <c r="CH127" s="1">
        <f>+'ENBS ER'!J58</f>
        <v>0</v>
      </c>
      <c r="CI127" s="1"/>
      <c r="CJ127" s="1">
        <f t="shared" si="204"/>
        <v>0</v>
      </c>
      <c r="CK127" s="1"/>
      <c r="CL127" s="1">
        <f>+'ENBS ER'!M58</f>
        <v>0</v>
      </c>
      <c r="CM127" s="1">
        <f>+'ENBS ER'!N58</f>
        <v>0</v>
      </c>
      <c r="CN127" s="1">
        <f>+'ENBS ER'!O58</f>
        <v>0</v>
      </c>
      <c r="CO127" s="1">
        <f>+'ENBS ER'!P58</f>
        <v>0</v>
      </c>
      <c r="CP127" s="1">
        <f>+'ENBS ER'!Q58</f>
        <v>0</v>
      </c>
      <c r="CQ127" s="1">
        <f>+'ENBS ER'!R58</f>
        <v>0</v>
      </c>
      <c r="CR127" s="1">
        <f>+'ENBS ER'!S58</f>
        <v>0</v>
      </c>
      <c r="CS127" s="1"/>
      <c r="CT127" s="1"/>
      <c r="CU127" s="1">
        <f t="shared" si="205"/>
        <v>0</v>
      </c>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V127" s="1"/>
      <c r="DW127" s="1">
        <f t="shared" si="206"/>
        <v>0</v>
      </c>
      <c r="DX127" s="1"/>
      <c r="DY127" s="1"/>
      <c r="DZ127" s="1"/>
      <c r="EC127" s="1"/>
      <c r="ED127" s="1"/>
      <c r="EE127" s="1">
        <f t="shared" si="207"/>
        <v>0</v>
      </c>
      <c r="EF127" s="1"/>
      <c r="EG127" s="1"/>
    </row>
    <row r="128" spans="1:145" ht="15.75">
      <c r="A128" s="1"/>
      <c r="B128" s="1" t="s">
        <v>486</v>
      </c>
      <c r="C128" s="1"/>
      <c r="D128" s="1">
        <f>+'GFBS ER'!B59</f>
        <v>0</v>
      </c>
      <c r="E128" s="1">
        <f>+'SRBS ER'!B59</f>
        <v>0</v>
      </c>
      <c r="F128" s="1">
        <f>+'SRBS ER'!C59</f>
        <v>0</v>
      </c>
      <c r="G128" s="1">
        <f>+'SRBS ER'!D59</f>
        <v>0</v>
      </c>
      <c r="H128" s="1">
        <f>+'SRBS ER'!E59</f>
        <v>0</v>
      </c>
      <c r="I128" s="1">
        <f>+'SRBS ER'!F59</f>
        <v>0</v>
      </c>
      <c r="J128" s="1">
        <f>+'SRBS ER'!G59</f>
        <v>0</v>
      </c>
      <c r="K128" s="1">
        <f>+'SRBS ER'!H59</f>
        <v>0</v>
      </c>
      <c r="L128" s="1">
        <f>+'SRBS ER'!I59</f>
        <v>0</v>
      </c>
      <c r="M128" s="1">
        <f>+'SRBS ER'!J59</f>
        <v>0</v>
      </c>
      <c r="N128" s="1">
        <f>+'SRBS ER'!K59</f>
        <v>0</v>
      </c>
      <c r="O128" s="1">
        <f>+'SRBS ER'!L59</f>
        <v>0</v>
      </c>
      <c r="P128" s="1">
        <f>+'SRBS ER'!M59</f>
        <v>0</v>
      </c>
      <c r="Q128" s="1">
        <f>+'SRBS ER'!N59</f>
        <v>0</v>
      </c>
      <c r="R128" s="1">
        <f>+'SRBS ER'!O59</f>
        <v>0</v>
      </c>
      <c r="S128" s="1">
        <f>+'SRBS ER'!P59</f>
        <v>0</v>
      </c>
      <c r="T128" s="1">
        <f>+'SRBS ER'!Q59</f>
        <v>0</v>
      </c>
      <c r="U128" s="1">
        <f>+'SRBS ER'!R59</f>
        <v>0</v>
      </c>
      <c r="V128" s="1">
        <f>+'SRBS ER'!S59</f>
        <v>0</v>
      </c>
      <c r="W128" s="1">
        <f>+'SRBS ER'!T59</f>
        <v>0</v>
      </c>
      <c r="X128" s="1">
        <f>+'SRBS ER'!U59</f>
        <v>0</v>
      </c>
      <c r="Y128" s="1">
        <f>+'SRBS ER'!V59</f>
        <v>0</v>
      </c>
      <c r="Z128" s="1">
        <f>+'SRBS ER'!W59</f>
        <v>0</v>
      </c>
      <c r="AA128" s="1">
        <f>+'SRBS ER'!X59</f>
        <v>0</v>
      </c>
      <c r="AB128" s="1">
        <f>+'SRBS ER'!Y59</f>
        <v>0</v>
      </c>
      <c r="AC128" s="1">
        <f>+'SRBS ER'!Z59</f>
        <v>0</v>
      </c>
      <c r="AD128" s="1">
        <f>+'SRBS ER'!AA59</f>
        <v>0</v>
      </c>
      <c r="AE128" s="1">
        <f>+'SRBS ER'!AB59+'SRBS ER'!AC59</f>
        <v>0</v>
      </c>
      <c r="AF128" s="1">
        <f>+'SRBS ER'!AD59</f>
        <v>0</v>
      </c>
      <c r="AG128" s="1">
        <f>+'SRBS ER'!AE59</f>
        <v>0</v>
      </c>
      <c r="AH128" s="1">
        <f>+'SRBS ER'!AF59</f>
        <v>0</v>
      </c>
      <c r="AI128" s="1">
        <f>+'SRBS ER'!AG59</f>
        <v>0</v>
      </c>
      <c r="AJ128" s="1">
        <f>+'SRBS ER'!AH59</f>
        <v>0</v>
      </c>
      <c r="AK128" s="1">
        <f>+'SRBS ER'!AI59</f>
        <v>0</v>
      </c>
      <c r="AL128" s="1">
        <f>+'SRBS ER'!AJ59</f>
        <v>0</v>
      </c>
      <c r="AM128" s="1">
        <f>+'SRBS ER'!AK59</f>
        <v>0</v>
      </c>
      <c r="AN128" s="1">
        <f>+'SRBS ER'!AL59</f>
        <v>0</v>
      </c>
      <c r="AO128" s="1">
        <f>+'SRBS ER'!AM59</f>
        <v>0</v>
      </c>
      <c r="AP128" s="1">
        <f>+'SRBS ER'!AN59</f>
        <v>0</v>
      </c>
      <c r="AQ128" s="1">
        <f>+'SRBS ER'!AO59</f>
        <v>0</v>
      </c>
      <c r="AR128" s="1">
        <f>+'SRBS ER'!AQ59</f>
        <v>0</v>
      </c>
      <c r="AS128" s="1">
        <f>+'SRBS ER'!AR59</f>
        <v>0</v>
      </c>
      <c r="AT128" s="1">
        <f>+'SRBS ER'!AS59</f>
        <v>0</v>
      </c>
      <c r="AU128" s="1">
        <f>+'SRBS ER'!AT59</f>
        <v>0</v>
      </c>
      <c r="AV128" s="1">
        <f>+'SRBS ER'!AU59</f>
        <v>0</v>
      </c>
      <c r="AW128" s="1"/>
      <c r="AX128" s="1">
        <f>+'SRBS ER'!AW59</f>
        <v>0</v>
      </c>
      <c r="AY128" s="1">
        <f>+'SRBS ER'!AX59</f>
        <v>0</v>
      </c>
      <c r="AZ128" s="1">
        <f>+'SRBS ER'!AY59</f>
        <v>0</v>
      </c>
      <c r="BA128" s="1">
        <f>+'SRBS ER'!AZ59</f>
        <v>0</v>
      </c>
      <c r="BB128" s="1">
        <f>+'SRBS ER'!BA59</f>
        <v>0</v>
      </c>
      <c r="BC128" s="1">
        <f>+'SRBS ER'!BB59</f>
        <v>0</v>
      </c>
      <c r="BD128" s="1"/>
      <c r="BE128" s="1"/>
      <c r="BF128" s="1">
        <f t="shared" si="201"/>
        <v>0</v>
      </c>
      <c r="BG128" s="1">
        <f t="shared" si="180"/>
        <v>0</v>
      </c>
      <c r="BH128" s="1">
        <f>+'DSBS ER'!B59</f>
        <v>0</v>
      </c>
      <c r="BI128" s="1">
        <f>+'DSBS ER'!C59</f>
        <v>0</v>
      </c>
      <c r="BJ128" s="1">
        <f>+'DSBS ER'!D59</f>
        <v>0</v>
      </c>
      <c r="BK128" s="1">
        <f>+'DSBS ER'!E59</f>
        <v>0</v>
      </c>
      <c r="BL128" s="1">
        <f>+'DSBS ER'!F59</f>
        <v>0</v>
      </c>
      <c r="BM128" s="1">
        <f>+'DSBS ER'!G59</f>
        <v>0</v>
      </c>
      <c r="BN128" s="1">
        <f>+'DSBS ER'!H59</f>
        <v>0</v>
      </c>
      <c r="BO128" s="1"/>
      <c r="BP128" s="1">
        <f t="shared" si="202"/>
        <v>0</v>
      </c>
      <c r="BQ128" s="1"/>
      <c r="BR128" s="1">
        <f>+'CPBS ER'!B59</f>
        <v>0</v>
      </c>
      <c r="BS128" s="1">
        <f>+'CPBS ER'!C59</f>
        <v>0</v>
      </c>
      <c r="BT128" s="1">
        <f>+'CPBS ER'!D59</f>
        <v>0</v>
      </c>
      <c r="BU128" s="1">
        <f>+'CPBS ER'!E59</f>
        <v>0</v>
      </c>
      <c r="BV128" s="1">
        <f>+'CPBS ER'!F59</f>
        <v>0</v>
      </c>
      <c r="BW128" s="1">
        <f>+'CPBS ER'!G59</f>
        <v>0</v>
      </c>
      <c r="BX128" s="3"/>
      <c r="BY128" s="1">
        <f t="shared" si="203"/>
        <v>0</v>
      </c>
      <c r="BZ128" s="1"/>
      <c r="CA128" s="1"/>
      <c r="CB128" s="1">
        <f>+'ENBS ER'!D59</f>
        <v>0</v>
      </c>
      <c r="CC128" s="1">
        <f>+'ENBS ER'!E59+'ENBS ER'!C59</f>
        <v>0</v>
      </c>
      <c r="CD128" s="1">
        <f>+'ENBS ER'!F59</f>
        <v>0</v>
      </c>
      <c r="CE128" s="1">
        <f>+'ENBS ER'!G59</f>
        <v>0</v>
      </c>
      <c r="CF128" s="1">
        <f>+'ENBS ER'!H59</f>
        <v>0</v>
      </c>
      <c r="CG128" s="1">
        <f>+'ENBS ER'!I59</f>
        <v>0</v>
      </c>
      <c r="CH128" s="1">
        <f>+'ENBS ER'!J59</f>
        <v>0</v>
      </c>
      <c r="CI128" s="1"/>
      <c r="CJ128" s="1">
        <f t="shared" si="204"/>
        <v>0</v>
      </c>
      <c r="CK128" s="1"/>
      <c r="CL128" s="1">
        <f>+'ENBS ER'!M59</f>
        <v>0</v>
      </c>
      <c r="CM128" s="1">
        <f>+'ENBS ER'!N59</f>
        <v>0</v>
      </c>
      <c r="CN128" s="1">
        <f>+'ENBS ER'!O59</f>
        <v>0</v>
      </c>
      <c r="CO128" s="1">
        <f>+'ENBS ER'!P59</f>
        <v>0</v>
      </c>
      <c r="CP128" s="1">
        <f>+'ENBS ER'!Q59</f>
        <v>0</v>
      </c>
      <c r="CQ128" s="1">
        <f>+'ENBS ER'!R59</f>
        <v>0</v>
      </c>
      <c r="CR128" s="1">
        <f>+'ENBS ER'!S59</f>
        <v>0</v>
      </c>
      <c r="CS128" s="1"/>
      <c r="CT128" s="1"/>
      <c r="CU128" s="1">
        <f t="shared" si="205"/>
        <v>0</v>
      </c>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V128" s="1"/>
      <c r="DW128" s="1">
        <f t="shared" si="206"/>
        <v>0</v>
      </c>
      <c r="DX128" s="1"/>
      <c r="DY128" s="1"/>
      <c r="DZ128" s="1"/>
      <c r="EC128" s="1"/>
      <c r="ED128" s="1"/>
      <c r="EE128" s="1">
        <f t="shared" si="207"/>
        <v>0</v>
      </c>
      <c r="EF128" s="1"/>
      <c r="EG128" s="1"/>
    </row>
    <row r="129" spans="1:137" ht="15.75">
      <c r="A129" s="1"/>
      <c r="B129" s="1" t="s">
        <v>423</v>
      </c>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f t="shared" si="180"/>
        <v>0</v>
      </c>
      <c r="BH129" s="1"/>
      <c r="BI129" s="1"/>
      <c r="BJ129" s="1"/>
      <c r="BK129" s="1"/>
      <c r="BL129" s="1"/>
      <c r="BM129" s="1"/>
      <c r="BN129" s="1"/>
      <c r="BO129" s="1"/>
      <c r="BP129" s="1">
        <f t="shared" si="202"/>
        <v>0</v>
      </c>
      <c r="BQ129" s="1"/>
      <c r="BR129" s="1">
        <f>+'CPBS ER'!B60</f>
        <v>0</v>
      </c>
      <c r="BS129" s="1">
        <f>+'CPBS ER'!C60</f>
        <v>0</v>
      </c>
      <c r="BT129" s="1">
        <f>+'CPBS ER'!D60</f>
        <v>0</v>
      </c>
      <c r="BU129" s="1">
        <f>+'CPBS ER'!E60</f>
        <v>0</v>
      </c>
      <c r="BV129" s="1">
        <f>+'CPBS ER'!F60</f>
        <v>0</v>
      </c>
      <c r="BW129" s="1">
        <f>+'CPBS ER'!G60</f>
        <v>0</v>
      </c>
      <c r="BX129" s="3"/>
      <c r="BY129" s="1"/>
      <c r="BZ129" s="1"/>
      <c r="CA129" s="1"/>
      <c r="CB129" s="1">
        <f>+'ENBS ER'!D60</f>
        <v>0</v>
      </c>
      <c r="CC129" s="1">
        <f>+'ENBS ER'!E60+'ENBS ER'!C60</f>
        <v>0</v>
      </c>
      <c r="CD129" s="1">
        <f>+'ENBS ER'!F60</f>
        <v>0</v>
      </c>
      <c r="CE129" s="1">
        <f>+'ENBS ER'!G60</f>
        <v>0</v>
      </c>
      <c r="CF129" s="1">
        <f>+'ENBS ER'!H60</f>
        <v>0</v>
      </c>
      <c r="CG129" s="1">
        <f>+'ENBS ER'!I60</f>
        <v>0</v>
      </c>
      <c r="CH129" s="1">
        <f>+'ENBS ER'!J60</f>
        <v>0</v>
      </c>
      <c r="CI129" s="1"/>
      <c r="CJ129" s="1"/>
      <c r="CK129" s="1"/>
      <c r="CL129" s="1">
        <f>+'ENBS ER'!M60</f>
        <v>0</v>
      </c>
      <c r="CM129" s="1">
        <f>+'ENBS ER'!N60</f>
        <v>0</v>
      </c>
      <c r="CN129" s="1">
        <f>+'ENBS ER'!O60</f>
        <v>0</v>
      </c>
      <c r="CO129" s="1">
        <f>+'ENBS ER'!P60</f>
        <v>0</v>
      </c>
      <c r="CP129" s="1">
        <f>+'ENBS ER'!Q60</f>
        <v>0</v>
      </c>
      <c r="CQ129" s="1">
        <f>+'ENBS ER'!R60</f>
        <v>0</v>
      </c>
      <c r="CR129" s="1">
        <f>+'ENBS ER'!S60</f>
        <v>0</v>
      </c>
      <c r="CS129" s="1"/>
      <c r="CT129" s="1"/>
      <c r="CU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V129" s="1"/>
      <c r="DW129" s="1">
        <f t="shared" si="206"/>
        <v>0</v>
      </c>
      <c r="DX129" s="1"/>
      <c r="DY129" s="1"/>
      <c r="DZ129" s="1"/>
      <c r="EC129" s="1"/>
      <c r="ED129" s="1"/>
      <c r="EE129" s="1">
        <f t="shared" si="207"/>
        <v>0</v>
      </c>
      <c r="EF129" s="1"/>
      <c r="EG129" s="1"/>
    </row>
    <row r="130" spans="1:137" ht="15.75">
      <c r="A130" s="1"/>
      <c r="B130" s="1" t="s">
        <v>1353</v>
      </c>
      <c r="C130" s="1"/>
      <c r="D130" s="1">
        <f>+'GFBS ER'!B61</f>
        <v>0</v>
      </c>
      <c r="E130" s="1">
        <f>+'SRBS ER'!B61</f>
        <v>0</v>
      </c>
      <c r="F130" s="1">
        <f>+'SRBS ER'!C61</f>
        <v>0</v>
      </c>
      <c r="G130" s="1">
        <f>+'SRBS ER'!D61</f>
        <v>0</v>
      </c>
      <c r="H130" s="1">
        <f>+'SRBS ER'!E61</f>
        <v>0</v>
      </c>
      <c r="I130" s="1">
        <f>+'SRBS ER'!F61</f>
        <v>0</v>
      </c>
      <c r="J130" s="1">
        <f>+'SRBS ER'!G61</f>
        <v>0</v>
      </c>
      <c r="K130" s="1">
        <f>+'SRBS ER'!H61</f>
        <v>0</v>
      </c>
      <c r="L130" s="1">
        <f>+'SRBS ER'!I61</f>
        <v>0</v>
      </c>
      <c r="M130" s="1">
        <f>+'SRBS ER'!J61</f>
        <v>0</v>
      </c>
      <c r="N130" s="1">
        <f>+'SRBS ER'!K61</f>
        <v>0</v>
      </c>
      <c r="O130" s="1">
        <f>+'SRBS ER'!L61</f>
        <v>0</v>
      </c>
      <c r="P130" s="1">
        <f>+'SRBS ER'!M61</f>
        <v>0</v>
      </c>
      <c r="Q130" s="1">
        <f>+'SRBS ER'!N61</f>
        <v>0</v>
      </c>
      <c r="R130" s="1">
        <f>+'SRBS ER'!O61</f>
        <v>0</v>
      </c>
      <c r="S130" s="1">
        <f>+'SRBS ER'!P61</f>
        <v>0</v>
      </c>
      <c r="T130" s="1">
        <f>+'SRBS ER'!Q61</f>
        <v>0</v>
      </c>
      <c r="U130" s="1">
        <f>+'SRBS ER'!R61</f>
        <v>0</v>
      </c>
      <c r="V130" s="1">
        <f>+'SRBS ER'!S61</f>
        <v>0</v>
      </c>
      <c r="W130" s="1">
        <f>+'SRBS ER'!T61</f>
        <v>0</v>
      </c>
      <c r="X130" s="1">
        <f>+'SRBS ER'!U61</f>
        <v>0</v>
      </c>
      <c r="Y130" s="1">
        <f>+'SRBS ER'!V61</f>
        <v>0</v>
      </c>
      <c r="Z130" s="1">
        <f>+'SRBS ER'!W61</f>
        <v>0</v>
      </c>
      <c r="AA130" s="1">
        <f>+'SRBS ER'!X61</f>
        <v>0</v>
      </c>
      <c r="AB130" s="1">
        <f>+'SRBS ER'!Y61</f>
        <v>0</v>
      </c>
      <c r="AC130" s="1">
        <f>+'SRBS ER'!Z61</f>
        <v>0</v>
      </c>
      <c r="AD130" s="1">
        <f>+'SRBS ER'!AA61</f>
        <v>0</v>
      </c>
      <c r="AE130" s="1">
        <f>+'SRBS ER'!AB61+'SRBS ER'!AC61</f>
        <v>0</v>
      </c>
      <c r="AF130" s="1">
        <f>+'SRBS ER'!AD61</f>
        <v>0</v>
      </c>
      <c r="AG130" s="1">
        <f>+'SRBS ER'!AE61</f>
        <v>0</v>
      </c>
      <c r="AH130" s="1">
        <f>+'SRBS ER'!AF61</f>
        <v>0</v>
      </c>
      <c r="AI130" s="1">
        <f>+'SRBS ER'!AG61</f>
        <v>0</v>
      </c>
      <c r="AJ130" s="1">
        <f>+'SRBS ER'!AH61</f>
        <v>0</v>
      </c>
      <c r="AK130" s="1">
        <f>+'SRBS ER'!AI61</f>
        <v>0</v>
      </c>
      <c r="AL130" s="1">
        <f>+'SRBS ER'!AJ61</f>
        <v>0</v>
      </c>
      <c r="AM130" s="1">
        <f>+'SRBS ER'!AK61</f>
        <v>0</v>
      </c>
      <c r="AN130" s="1">
        <f>+'SRBS ER'!AL61</f>
        <v>0</v>
      </c>
      <c r="AO130" s="1">
        <f>+'SRBS ER'!AM61</f>
        <v>0</v>
      </c>
      <c r="AP130" s="1">
        <f>+'SRBS ER'!AN61</f>
        <v>0</v>
      </c>
      <c r="AQ130" s="1">
        <f>+'SRBS ER'!AO61</f>
        <v>0</v>
      </c>
      <c r="AR130" s="1">
        <f>+'SRBS ER'!AQ61</f>
        <v>0</v>
      </c>
      <c r="AS130" s="1">
        <f>+'SRBS ER'!AR61</f>
        <v>0</v>
      </c>
      <c r="AT130" s="1">
        <f>+'SRBS ER'!AS61</f>
        <v>0</v>
      </c>
      <c r="AU130" s="1">
        <f>+'SRBS ER'!AT61</f>
        <v>0</v>
      </c>
      <c r="AV130" s="1">
        <f>+'SRBS ER'!AU61</f>
        <v>0</v>
      </c>
      <c r="AW130" s="1"/>
      <c r="AX130" s="1">
        <f>+'SRBS ER'!AW61</f>
        <v>0</v>
      </c>
      <c r="AY130" s="1">
        <f>+'SRBS ER'!AX61</f>
        <v>0</v>
      </c>
      <c r="AZ130" s="1">
        <f>+'SRBS ER'!AY61</f>
        <v>0</v>
      </c>
      <c r="BA130" s="1">
        <f>+'SRBS ER'!AZ61</f>
        <v>0</v>
      </c>
      <c r="BB130" s="1">
        <f>+'SRBS ER'!BA61</f>
        <v>0</v>
      </c>
      <c r="BC130" s="1">
        <f>+'SRBS ER'!BB61</f>
        <v>0</v>
      </c>
      <c r="BD130" s="1"/>
      <c r="BE130" s="1"/>
      <c r="BF130" s="1">
        <f>SUM(E130:BE130)</f>
        <v>0</v>
      </c>
      <c r="BG130" s="1">
        <f t="shared" si="180"/>
        <v>0</v>
      </c>
      <c r="BH130" s="1">
        <f>+'DSBS ER'!B61</f>
        <v>0</v>
      </c>
      <c r="BI130" s="1">
        <f>+'DSBS ER'!C61</f>
        <v>0</v>
      </c>
      <c r="BJ130" s="1">
        <f>+'DSBS ER'!D61</f>
        <v>0</v>
      </c>
      <c r="BK130" s="1">
        <f>+'DSBS ER'!E61</f>
        <v>0</v>
      </c>
      <c r="BL130" s="1">
        <f>+'DSBS ER'!F61</f>
        <v>0</v>
      </c>
      <c r="BM130" s="1">
        <f>+'DSBS ER'!G61</f>
        <v>0</v>
      </c>
      <c r="BN130" s="1">
        <f>+'DSBS ER'!H61</f>
        <v>0</v>
      </c>
      <c r="BO130" s="1"/>
      <c r="BP130" s="1">
        <f t="shared" si="202"/>
        <v>0</v>
      </c>
      <c r="BQ130" s="1"/>
      <c r="BR130" s="1">
        <f>+'CPBS ER'!B61</f>
        <v>0</v>
      </c>
      <c r="BS130" s="1">
        <f>+'CPBS ER'!C61</f>
        <v>0</v>
      </c>
      <c r="BT130" s="1">
        <f>+'CPBS ER'!D61</f>
        <v>0</v>
      </c>
      <c r="BU130" s="1">
        <f>+'CPBS ER'!E61</f>
        <v>0</v>
      </c>
      <c r="BV130" s="1">
        <f>+'CPBS ER'!F61</f>
        <v>0</v>
      </c>
      <c r="BW130" s="1">
        <f>+'CPBS ER'!G61</f>
        <v>0</v>
      </c>
      <c r="BX130" s="3"/>
      <c r="BY130" s="1">
        <f>SUM(BR130:BX130)</f>
        <v>0</v>
      </c>
      <c r="BZ130" s="1"/>
      <c r="CA130" s="1"/>
      <c r="CB130" s="1">
        <f>+'ENBS ER'!D61</f>
        <v>0</v>
      </c>
      <c r="CC130" s="1">
        <f>+'ENBS ER'!E61+'ENBS ER'!C61</f>
        <v>0</v>
      </c>
      <c r="CD130" s="1">
        <f>+'ENBS ER'!F61</f>
        <v>0</v>
      </c>
      <c r="CE130" s="1">
        <f>+'ENBS ER'!G61</f>
        <v>0</v>
      </c>
      <c r="CF130" s="1">
        <f>+'ENBS ER'!H61</f>
        <v>0</v>
      </c>
      <c r="CG130" s="1">
        <f>+'ENBS ER'!I61</f>
        <v>0</v>
      </c>
      <c r="CH130" s="1">
        <f>+'ENBS ER'!J61</f>
        <v>0</v>
      </c>
      <c r="CI130" s="1"/>
      <c r="CJ130" s="1">
        <f>SUM(CB130:CI130)</f>
        <v>0</v>
      </c>
      <c r="CK130" s="1"/>
      <c r="CL130" s="1">
        <f>+'ENBS ER'!M61</f>
        <v>0</v>
      </c>
      <c r="CM130" s="1">
        <f>+'ENBS ER'!N61</f>
        <v>0</v>
      </c>
      <c r="CN130" s="1">
        <f>+'ENBS ER'!O61</f>
        <v>0</v>
      </c>
      <c r="CO130" s="1">
        <f>+'ENBS ER'!P61</f>
        <v>0</v>
      </c>
      <c r="CP130" s="1">
        <f>+'ENBS ER'!Q61</f>
        <v>0</v>
      </c>
      <c r="CQ130" s="1">
        <f>+'ENBS ER'!R61</f>
        <v>0</v>
      </c>
      <c r="CR130" s="1">
        <f>+'ENBS ER'!S61</f>
        <v>0</v>
      </c>
      <c r="CS130" s="1"/>
      <c r="CT130" s="1"/>
      <c r="CU130" s="1">
        <f>SUM(CL130:CT130)-CT130</f>
        <v>0</v>
      </c>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V130" s="1"/>
      <c r="DW130" s="1">
        <f t="shared" si="206"/>
        <v>0</v>
      </c>
      <c r="DX130" s="1"/>
      <c r="DY130" s="1"/>
      <c r="DZ130" s="1"/>
      <c r="EC130" s="1"/>
      <c r="ED130" s="1"/>
      <c r="EE130" s="1">
        <f t="shared" si="207"/>
        <v>0</v>
      </c>
      <c r="EF130" s="1"/>
      <c r="EG130" s="1"/>
    </row>
    <row r="131" spans="1:137" ht="15.75">
      <c r="A131" s="1"/>
      <c r="B131" s="1" t="s">
        <v>1220</v>
      </c>
      <c r="C131" s="1"/>
      <c r="D131" s="1">
        <f>+'GFBS ER'!B62</f>
        <v>0</v>
      </c>
      <c r="E131" s="1">
        <f>+'SRBS ER'!B62</f>
        <v>0</v>
      </c>
      <c r="F131" s="1">
        <f>+'SRBS ER'!C62</f>
        <v>0</v>
      </c>
      <c r="G131" s="1">
        <f>+'SRBS ER'!D62</f>
        <v>0</v>
      </c>
      <c r="H131" s="1">
        <f>+'SRBS ER'!E62</f>
        <v>0</v>
      </c>
      <c r="I131" s="1">
        <f>+'SRBS ER'!F62</f>
        <v>0</v>
      </c>
      <c r="J131" s="1">
        <f>+'SRBS ER'!G62</f>
        <v>0</v>
      </c>
      <c r="K131" s="1">
        <f>+'SRBS ER'!H62</f>
        <v>0</v>
      </c>
      <c r="L131" s="1">
        <f>+'SRBS ER'!I62</f>
        <v>0</v>
      </c>
      <c r="M131" s="1">
        <f>+'SRBS ER'!J62</f>
        <v>0</v>
      </c>
      <c r="N131" s="1">
        <f>+'SRBS ER'!K62</f>
        <v>0</v>
      </c>
      <c r="O131" s="1">
        <f>+'SRBS ER'!L62</f>
        <v>0</v>
      </c>
      <c r="P131" s="1">
        <f>+'SRBS ER'!M62</f>
        <v>0</v>
      </c>
      <c r="Q131" s="1">
        <f>+'SRBS ER'!N62</f>
        <v>0</v>
      </c>
      <c r="R131" s="1">
        <f>+'SRBS ER'!O62</f>
        <v>0</v>
      </c>
      <c r="S131" s="1">
        <f>+'SRBS ER'!P62</f>
        <v>0</v>
      </c>
      <c r="T131" s="1">
        <f>+'SRBS ER'!Q62</f>
        <v>0</v>
      </c>
      <c r="U131" s="1">
        <f>+'SRBS ER'!R62</f>
        <v>0</v>
      </c>
      <c r="V131" s="1">
        <f>+'SRBS ER'!S62</f>
        <v>0</v>
      </c>
      <c r="W131" s="1">
        <f>+'SRBS ER'!T62</f>
        <v>0</v>
      </c>
      <c r="X131" s="1">
        <f>+'SRBS ER'!U62</f>
        <v>0</v>
      </c>
      <c r="Y131" s="1">
        <f>+'SRBS ER'!V62</f>
        <v>0</v>
      </c>
      <c r="Z131" s="1">
        <f>+'SRBS ER'!W62</f>
        <v>0</v>
      </c>
      <c r="AA131" s="1">
        <f>+'SRBS ER'!X62</f>
        <v>0</v>
      </c>
      <c r="AB131" s="1">
        <f>+'SRBS ER'!Y62</f>
        <v>0</v>
      </c>
      <c r="AC131" s="1">
        <f>+'SRBS ER'!Z62</f>
        <v>0</v>
      </c>
      <c r="AD131" s="1">
        <f>+'SRBS ER'!AA62</f>
        <v>0</v>
      </c>
      <c r="AE131" s="1">
        <f>+'SRBS ER'!AB62+'SRBS ER'!AC62</f>
        <v>0</v>
      </c>
      <c r="AF131" s="1">
        <f>+'SRBS ER'!AD62</f>
        <v>0</v>
      </c>
      <c r="AG131" s="1">
        <f>+'SRBS ER'!AE62</f>
        <v>0</v>
      </c>
      <c r="AH131" s="1">
        <f>+'SRBS ER'!AF62</f>
        <v>0</v>
      </c>
      <c r="AI131" s="1">
        <f>+'SRBS ER'!AG62</f>
        <v>0</v>
      </c>
      <c r="AJ131" s="1">
        <f>+'SRBS ER'!AH62</f>
        <v>0</v>
      </c>
      <c r="AK131" s="1">
        <f>+'SRBS ER'!AI62</f>
        <v>0</v>
      </c>
      <c r="AL131" s="1">
        <f>+'SRBS ER'!AJ62</f>
        <v>0</v>
      </c>
      <c r="AM131" s="1">
        <f>+'SRBS ER'!AK62</f>
        <v>0</v>
      </c>
      <c r="AN131" s="1">
        <f>+'SRBS ER'!AL62</f>
        <v>0</v>
      </c>
      <c r="AO131" s="1">
        <f>+'SRBS ER'!AM62</f>
        <v>0</v>
      </c>
      <c r="AP131" s="1">
        <f>+'SRBS ER'!AN62</f>
        <v>0</v>
      </c>
      <c r="AQ131" s="1">
        <f>+'SRBS ER'!AO62</f>
        <v>0</v>
      </c>
      <c r="AR131" s="1">
        <f>+'SRBS ER'!AQ62</f>
        <v>0</v>
      </c>
      <c r="AS131" s="1">
        <f>+'SRBS ER'!AR62</f>
        <v>0</v>
      </c>
      <c r="AT131" s="1">
        <f>+'SRBS ER'!AS62</f>
        <v>0</v>
      </c>
      <c r="AU131" s="1">
        <f>+'SRBS ER'!AT62</f>
        <v>0</v>
      </c>
      <c r="AV131" s="1">
        <f>+'SRBS ER'!AU62</f>
        <v>0</v>
      </c>
      <c r="AW131" s="1"/>
      <c r="AX131" s="1">
        <f>+'SRBS ER'!AW62</f>
        <v>0</v>
      </c>
      <c r="AY131" s="1">
        <f>+'SRBS ER'!AX62</f>
        <v>0</v>
      </c>
      <c r="AZ131" s="1">
        <f>+'SRBS ER'!AY62</f>
        <v>0</v>
      </c>
      <c r="BA131" s="1">
        <f>+'SRBS ER'!AZ62</f>
        <v>0</v>
      </c>
      <c r="BB131" s="1">
        <f>+'SRBS ER'!BA62</f>
        <v>0</v>
      </c>
      <c r="BC131" s="1">
        <f>+'SRBS ER'!BB62</f>
        <v>0</v>
      </c>
      <c r="BD131" s="1"/>
      <c r="BE131" s="1"/>
      <c r="BF131" s="1">
        <f>SUM(E131:BE131)</f>
        <v>0</v>
      </c>
      <c r="BG131" s="1">
        <f t="shared" si="180"/>
        <v>0</v>
      </c>
      <c r="BH131" s="1">
        <f>+'DSBS ER'!B62</f>
        <v>0</v>
      </c>
      <c r="BI131" s="1">
        <f>+'DSBS ER'!C62</f>
        <v>0</v>
      </c>
      <c r="BJ131" s="1">
        <f>+'DSBS ER'!D62</f>
        <v>0</v>
      </c>
      <c r="BK131" s="1">
        <f>+'DSBS ER'!E62</f>
        <v>0</v>
      </c>
      <c r="BL131" s="1">
        <f>+'DSBS ER'!F62</f>
        <v>0</v>
      </c>
      <c r="BM131" s="1">
        <f>+'DSBS ER'!G62</f>
        <v>0</v>
      </c>
      <c r="BN131" s="1">
        <f>+'DSBS ER'!H62</f>
        <v>0</v>
      </c>
      <c r="BO131" s="1"/>
      <c r="BP131" s="1">
        <f t="shared" si="202"/>
        <v>0</v>
      </c>
      <c r="BQ131" s="1"/>
      <c r="BR131" s="1">
        <f>+'CPBS ER'!B62</f>
        <v>0</v>
      </c>
      <c r="BS131" s="1">
        <f>+'CPBS ER'!C62</f>
        <v>0</v>
      </c>
      <c r="BT131" s="1">
        <f>+'CPBS ER'!D62</f>
        <v>0</v>
      </c>
      <c r="BU131" s="1">
        <f>+'CPBS ER'!E62</f>
        <v>0</v>
      </c>
      <c r="BV131" s="1">
        <f>+'CPBS ER'!F62</f>
        <v>0</v>
      </c>
      <c r="BW131" s="1">
        <f>+'CPBS ER'!G62</f>
        <v>0</v>
      </c>
      <c r="BX131" s="3"/>
      <c r="BY131" s="1">
        <f>SUM(BR131:BX131)</f>
        <v>0</v>
      </c>
      <c r="BZ131" s="1"/>
      <c r="CA131" s="1"/>
      <c r="CB131" s="1">
        <f>+'ENBS ER'!D62</f>
        <v>0</v>
      </c>
      <c r="CC131" s="1">
        <f>+'ENBS ER'!E62+'ENBS ER'!C62+0</f>
        <v>0</v>
      </c>
      <c r="CD131" s="1">
        <f>+'ENBS ER'!F62</f>
        <v>0</v>
      </c>
      <c r="CE131" s="1">
        <f>+'ENBS ER'!G62</f>
        <v>0</v>
      </c>
      <c r="CF131" s="1">
        <f>+'ENBS ER'!H62</f>
        <v>0</v>
      </c>
      <c r="CG131" s="1">
        <f>+'ENBS ER'!I62-0</f>
        <v>0</v>
      </c>
      <c r="CH131" s="1">
        <f>+'ENBS ER'!J62</f>
        <v>0</v>
      </c>
      <c r="CI131" s="1"/>
      <c r="CJ131" s="1">
        <f>SUM(CB131:CI131)</f>
        <v>0</v>
      </c>
      <c r="CK131" s="1"/>
      <c r="CL131" s="1">
        <f>+'ENBS ER'!M62</f>
        <v>0</v>
      </c>
      <c r="CM131" s="1">
        <f>+'ENBS ER'!N62-0</f>
        <v>0</v>
      </c>
      <c r="CN131" s="1">
        <f>+'ENBS ER'!O62</f>
        <v>0</v>
      </c>
      <c r="CO131" s="1">
        <f>+'ENBS ER'!P62</f>
        <v>0</v>
      </c>
      <c r="CP131" s="1">
        <f>+'ENBS ER'!Q62</f>
        <v>0</v>
      </c>
      <c r="CQ131" s="1">
        <f>+'ENBS ER'!R62</f>
        <v>0</v>
      </c>
      <c r="CR131" s="1">
        <f>+'ENBS ER'!S62</f>
        <v>0</v>
      </c>
      <c r="CS131" s="1"/>
      <c r="CT131" s="1"/>
      <c r="CU131" s="1">
        <f>SUM(CL131:CT131)-CT131</f>
        <v>0</v>
      </c>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V131" s="1"/>
      <c r="DW131" s="1">
        <f t="shared" si="206"/>
        <v>0</v>
      </c>
      <c r="DX131" s="1"/>
      <c r="DY131" s="1"/>
      <c r="DZ131" s="1"/>
      <c r="EC131" s="1"/>
      <c r="ED131" s="1"/>
      <c r="EE131" s="1">
        <f t="shared" si="207"/>
        <v>0</v>
      </c>
      <c r="EF131" s="1"/>
      <c r="EG131" s="1"/>
    </row>
    <row r="132" spans="1:137" ht="15.75">
      <c r="A132" s="1"/>
      <c r="B132" s="1" t="s">
        <v>1028</v>
      </c>
      <c r="C132" s="1"/>
      <c r="D132" s="1">
        <f>+'GFBS ER'!B63</f>
        <v>0</v>
      </c>
      <c r="E132" s="1">
        <f>+'SRBS ER'!B63</f>
        <v>0</v>
      </c>
      <c r="F132" s="1">
        <f>+'SRBS ER'!C63</f>
        <v>0</v>
      </c>
      <c r="G132" s="1">
        <f>+'SRBS ER'!D63</f>
        <v>0</v>
      </c>
      <c r="H132" s="1">
        <f>+'SRBS ER'!E63</f>
        <v>0</v>
      </c>
      <c r="I132" s="1">
        <f>+'SRBS ER'!F63</f>
        <v>0</v>
      </c>
      <c r="J132" s="1">
        <f>+'SRBS ER'!G63</f>
        <v>0</v>
      </c>
      <c r="K132" s="1">
        <f>+'SRBS ER'!H63</f>
        <v>0</v>
      </c>
      <c r="L132" s="1">
        <f>+'SRBS ER'!I63</f>
        <v>0</v>
      </c>
      <c r="M132" s="1">
        <f>+'SRBS ER'!J63</f>
        <v>0</v>
      </c>
      <c r="N132" s="1">
        <f>+'SRBS ER'!K63</f>
        <v>0</v>
      </c>
      <c r="O132" s="1">
        <f>+'SRBS ER'!L63</f>
        <v>0</v>
      </c>
      <c r="P132" s="1">
        <f>+'SRBS ER'!M63</f>
        <v>0</v>
      </c>
      <c r="Q132" s="1">
        <f>+'SRBS ER'!N63</f>
        <v>0</v>
      </c>
      <c r="R132" s="1">
        <f>+'SRBS ER'!O63</f>
        <v>0</v>
      </c>
      <c r="S132" s="1">
        <f>+'SRBS ER'!P63</f>
        <v>0</v>
      </c>
      <c r="T132" s="1">
        <f>+'SRBS ER'!Q63</f>
        <v>0</v>
      </c>
      <c r="U132" s="1">
        <f>+'SRBS ER'!R63</f>
        <v>0</v>
      </c>
      <c r="V132" s="1">
        <f>+'SRBS ER'!S63</f>
        <v>0</v>
      </c>
      <c r="W132" s="1">
        <f>+'SRBS ER'!T63</f>
        <v>0</v>
      </c>
      <c r="X132" s="1">
        <f>+'SRBS ER'!U63</f>
        <v>0</v>
      </c>
      <c r="Y132" s="1">
        <f>+'SRBS ER'!V63</f>
        <v>0</v>
      </c>
      <c r="Z132" s="1">
        <f>+'SRBS ER'!W63</f>
        <v>0</v>
      </c>
      <c r="AA132" s="1">
        <f>+'SRBS ER'!X63</f>
        <v>0</v>
      </c>
      <c r="AB132" s="1">
        <f>+'SRBS ER'!Y63</f>
        <v>0</v>
      </c>
      <c r="AC132" s="1">
        <f>+'SRBS ER'!Z63</f>
        <v>0</v>
      </c>
      <c r="AD132" s="1">
        <f>+'SRBS ER'!AA63</f>
        <v>0</v>
      </c>
      <c r="AE132" s="1">
        <f>+'SRBS ER'!AB63+'SRBS ER'!AC63</f>
        <v>0</v>
      </c>
      <c r="AF132" s="1">
        <f>+'SRBS ER'!AD63</f>
        <v>0</v>
      </c>
      <c r="AG132" s="1">
        <f>+'SRBS ER'!AE63</f>
        <v>0</v>
      </c>
      <c r="AH132" s="1">
        <f>+'SRBS ER'!AF63</f>
        <v>0</v>
      </c>
      <c r="AI132" s="1">
        <f>+'SRBS ER'!AG63</f>
        <v>0</v>
      </c>
      <c r="AJ132" s="1">
        <f>+'SRBS ER'!AH63</f>
        <v>0</v>
      </c>
      <c r="AK132" s="1">
        <f>+'SRBS ER'!AI63</f>
        <v>0</v>
      </c>
      <c r="AL132" s="1">
        <f>+'SRBS ER'!AJ63</f>
        <v>0</v>
      </c>
      <c r="AM132" s="1">
        <f>+'SRBS ER'!AK63</f>
        <v>0</v>
      </c>
      <c r="AN132" s="1">
        <f>+'SRBS ER'!AL63</f>
        <v>0</v>
      </c>
      <c r="AO132" s="1">
        <f>+'SRBS ER'!AM63</f>
        <v>0</v>
      </c>
      <c r="AP132" s="1">
        <f>+'SRBS ER'!AN63</f>
        <v>0</v>
      </c>
      <c r="AQ132" s="1">
        <f>+'SRBS ER'!AO63</f>
        <v>0</v>
      </c>
      <c r="AR132" s="1">
        <f>+'SRBS ER'!AQ63</f>
        <v>0</v>
      </c>
      <c r="AS132" s="1">
        <f>+'SRBS ER'!AR63</f>
        <v>0</v>
      </c>
      <c r="AT132" s="1">
        <f>+'SRBS ER'!AS63</f>
        <v>0</v>
      </c>
      <c r="AU132" s="1">
        <f>+'SRBS ER'!AT63</f>
        <v>0</v>
      </c>
      <c r="AV132" s="1">
        <f>+'SRBS ER'!AU63</f>
        <v>0</v>
      </c>
      <c r="AW132" s="1"/>
      <c r="AX132" s="1">
        <f>+'SRBS ER'!AW63</f>
        <v>0</v>
      </c>
      <c r="AY132" s="1">
        <f>+'SRBS ER'!AX63</f>
        <v>0</v>
      </c>
      <c r="AZ132" s="1">
        <f>+'SRBS ER'!AY63</f>
        <v>0</v>
      </c>
      <c r="BA132" s="1">
        <f>+'SRBS ER'!AZ63</f>
        <v>0</v>
      </c>
      <c r="BB132" s="1">
        <f>+'SRBS ER'!BA63</f>
        <v>0</v>
      </c>
      <c r="BC132" s="1">
        <f>+'SRBS ER'!BB63</f>
        <v>0</v>
      </c>
      <c r="BD132" s="1"/>
      <c r="BE132" s="1"/>
      <c r="BF132" s="1">
        <f>SUM(E132:BE132)</f>
        <v>0</v>
      </c>
      <c r="BG132" s="1">
        <f t="shared" si="180"/>
        <v>0</v>
      </c>
      <c r="BH132" s="1">
        <f>+'DSBS ER'!B63</f>
        <v>0</v>
      </c>
      <c r="BI132" s="1">
        <f>+'DSBS ER'!C63</f>
        <v>0</v>
      </c>
      <c r="BJ132" s="1">
        <f>+'DSBS ER'!D63</f>
        <v>0</v>
      </c>
      <c r="BK132" s="1">
        <f>+'DSBS ER'!E63</f>
        <v>0</v>
      </c>
      <c r="BL132" s="1">
        <f>+'DSBS ER'!F63</f>
        <v>0</v>
      </c>
      <c r="BM132" s="1">
        <f>+'DSBS ER'!G63</f>
        <v>0</v>
      </c>
      <c r="BN132" s="1">
        <f>+'DSBS ER'!H63</f>
        <v>0</v>
      </c>
      <c r="BO132" s="1"/>
      <c r="BP132" s="1">
        <f t="shared" si="202"/>
        <v>0</v>
      </c>
      <c r="BQ132" s="1"/>
      <c r="BR132" s="1">
        <f>+'CPBS ER'!B63</f>
        <v>0</v>
      </c>
      <c r="BS132" s="1">
        <f>+'CPBS ER'!C63</f>
        <v>0</v>
      </c>
      <c r="BT132" s="1">
        <f>+'CPBS ER'!D63</f>
        <v>0</v>
      </c>
      <c r="BU132" s="1">
        <f>+'CPBS ER'!E63</f>
        <v>0</v>
      </c>
      <c r="BV132" s="1">
        <f>+'CPBS ER'!F63</f>
        <v>0</v>
      </c>
      <c r="BW132" s="1">
        <f>+'CPBS ER'!G63</f>
        <v>0</v>
      </c>
      <c r="BX132" s="3"/>
      <c r="BY132" s="1">
        <f>SUM(BR132:BX132)</f>
        <v>0</v>
      </c>
      <c r="BZ132" s="1"/>
      <c r="CA132" s="1"/>
      <c r="CB132" s="1">
        <f>+'ENBS ER'!D63</f>
        <v>0</v>
      </c>
      <c r="CC132" s="1">
        <f>+'ENBS ER'!E63+'ENBS ER'!C63</f>
        <v>0</v>
      </c>
      <c r="CD132" s="1">
        <f>+'ENBS ER'!F63</f>
        <v>0</v>
      </c>
      <c r="CE132" s="1">
        <f>+'ENBS ER'!G63</f>
        <v>0</v>
      </c>
      <c r="CF132" s="1">
        <f>+'ENBS ER'!H63</f>
        <v>0</v>
      </c>
      <c r="CG132" s="1">
        <f>+'ENBS ER'!I63</f>
        <v>0</v>
      </c>
      <c r="CH132" s="1">
        <f>+'ENBS ER'!J63</f>
        <v>0</v>
      </c>
      <c r="CI132" s="1"/>
      <c r="CJ132" s="1">
        <f>SUM(CB132:CI132)</f>
        <v>0</v>
      </c>
      <c r="CK132" s="1"/>
      <c r="CL132" s="1">
        <f>+'ENBS ER'!M63</f>
        <v>0</v>
      </c>
      <c r="CM132" s="1">
        <f>+'ENBS ER'!N63</f>
        <v>0</v>
      </c>
      <c r="CN132" s="1">
        <f>+'ENBS ER'!O63</f>
        <v>0</v>
      </c>
      <c r="CO132" s="1">
        <f>+'ENBS ER'!P63</f>
        <v>0</v>
      </c>
      <c r="CP132" s="1">
        <f>+'ENBS ER'!Q63</f>
        <v>0</v>
      </c>
      <c r="CQ132" s="1">
        <f>+'ENBS ER'!R63</f>
        <v>0</v>
      </c>
      <c r="CR132" s="1">
        <f>+'ENBS ER'!S63</f>
        <v>0</v>
      </c>
      <c r="CS132" s="1"/>
      <c r="CT132" s="1"/>
      <c r="CU132" s="1">
        <f>SUM(CL132:CT132)-CT132</f>
        <v>0</v>
      </c>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V132" s="1"/>
      <c r="DW132" s="1">
        <f t="shared" si="206"/>
        <v>0</v>
      </c>
      <c r="DX132" s="1"/>
      <c r="DY132" s="1"/>
      <c r="DZ132" s="1"/>
      <c r="EC132" s="1"/>
      <c r="ED132" s="1"/>
      <c r="EE132" s="1">
        <f t="shared" si="207"/>
        <v>0</v>
      </c>
      <c r="EF132" s="1"/>
      <c r="EG132" s="1"/>
    </row>
    <row r="133" spans="1:137" ht="15.75">
      <c r="A133" s="1"/>
      <c r="B133" s="1" t="s">
        <v>83</v>
      </c>
      <c r="C133" s="1"/>
      <c r="D133" s="1">
        <f>+'GFBS ER'!B64</f>
        <v>0</v>
      </c>
      <c r="E133" s="1">
        <f>+'SRBS ER'!B64</f>
        <v>0</v>
      </c>
      <c r="F133" s="1">
        <f>+'SRBS ER'!C64</f>
        <v>0</v>
      </c>
      <c r="G133" s="1">
        <f>+'SRBS ER'!D64</f>
        <v>0</v>
      </c>
      <c r="H133" s="1">
        <f>+'SRBS ER'!E64</f>
        <v>0</v>
      </c>
      <c r="I133" s="1">
        <f>+'SRBS ER'!F64</f>
        <v>0</v>
      </c>
      <c r="J133" s="1">
        <f>+'SRBS ER'!G64</f>
        <v>0</v>
      </c>
      <c r="K133" s="1">
        <f>+'SRBS ER'!H64</f>
        <v>0</v>
      </c>
      <c r="L133" s="1">
        <f>+'SRBS ER'!I64</f>
        <v>0</v>
      </c>
      <c r="M133" s="1">
        <f>+'SRBS ER'!J64</f>
        <v>0</v>
      </c>
      <c r="N133" s="1">
        <f>+'SRBS ER'!K64</f>
        <v>0</v>
      </c>
      <c r="O133" s="1">
        <f>+'SRBS ER'!L64</f>
        <v>0</v>
      </c>
      <c r="P133" s="1">
        <f>+'SRBS ER'!M64</f>
        <v>0</v>
      </c>
      <c r="Q133" s="1">
        <f>+'SRBS ER'!N64</f>
        <v>0</v>
      </c>
      <c r="R133" s="1">
        <f>+'SRBS ER'!O64</f>
        <v>0</v>
      </c>
      <c r="S133" s="1">
        <f>+'SRBS ER'!P64</f>
        <v>0</v>
      </c>
      <c r="T133" s="1">
        <f>+'SRBS ER'!Q64</f>
        <v>0</v>
      </c>
      <c r="U133" s="1">
        <f>+'SRBS ER'!R64</f>
        <v>0</v>
      </c>
      <c r="V133" s="1">
        <f>+'SRBS ER'!S64</f>
        <v>0</v>
      </c>
      <c r="W133" s="1">
        <f>+'SRBS ER'!T64</f>
        <v>0</v>
      </c>
      <c r="X133" s="1">
        <f>+'SRBS ER'!U64</f>
        <v>0</v>
      </c>
      <c r="Y133" s="1">
        <f>+'SRBS ER'!V64</f>
        <v>0</v>
      </c>
      <c r="Z133" s="1">
        <f>+'SRBS ER'!W64</f>
        <v>0</v>
      </c>
      <c r="AA133" s="1">
        <f>+'SRBS ER'!X64</f>
        <v>0</v>
      </c>
      <c r="AB133" s="1">
        <f>+'SRBS ER'!Y64</f>
        <v>0</v>
      </c>
      <c r="AC133" s="1">
        <f>+'SRBS ER'!Z64</f>
        <v>0</v>
      </c>
      <c r="AD133" s="1">
        <f>+'SRBS ER'!AA64</f>
        <v>0</v>
      </c>
      <c r="AE133" s="1">
        <f>+'SRBS ER'!AB64+'SRBS ER'!AC64</f>
        <v>0</v>
      </c>
      <c r="AF133" s="1">
        <f>+'SRBS ER'!AD64</f>
        <v>0</v>
      </c>
      <c r="AG133" s="1">
        <f>+'SRBS ER'!AE64</f>
        <v>0</v>
      </c>
      <c r="AH133" s="1">
        <f>+'SRBS ER'!AF64</f>
        <v>0</v>
      </c>
      <c r="AI133" s="1">
        <f>+'SRBS ER'!AG64</f>
        <v>0</v>
      </c>
      <c r="AJ133" s="1">
        <f>+'SRBS ER'!AH64</f>
        <v>0</v>
      </c>
      <c r="AK133" s="1">
        <f>+'SRBS ER'!AI64</f>
        <v>0</v>
      </c>
      <c r="AL133" s="1">
        <f>+'SRBS ER'!AJ64</f>
        <v>0</v>
      </c>
      <c r="AM133" s="1">
        <f>+'SRBS ER'!AK64</f>
        <v>0</v>
      </c>
      <c r="AN133" s="1">
        <f>+'SRBS ER'!AL64</f>
        <v>0</v>
      </c>
      <c r="AO133" s="1">
        <f>+'SRBS ER'!AM64</f>
        <v>0</v>
      </c>
      <c r="AP133" s="1">
        <f>+'SRBS ER'!AN64</f>
        <v>0</v>
      </c>
      <c r="AQ133" s="1">
        <f>+'SRBS ER'!AO64</f>
        <v>0</v>
      </c>
      <c r="AR133" s="1">
        <f>+'SRBS ER'!AQ64</f>
        <v>0</v>
      </c>
      <c r="AS133" s="1">
        <f>+'SRBS ER'!AR64</f>
        <v>0</v>
      </c>
      <c r="AT133" s="1">
        <f>+'SRBS ER'!AS64</f>
        <v>0</v>
      </c>
      <c r="AU133" s="1">
        <f>+'SRBS ER'!AT64</f>
        <v>0</v>
      </c>
      <c r="AV133" s="1">
        <f>+'SRBS ER'!AU64</f>
        <v>0</v>
      </c>
      <c r="AW133" s="1"/>
      <c r="AX133" s="1">
        <f>+'SRBS ER'!AW64</f>
        <v>0</v>
      </c>
      <c r="AY133" s="1">
        <f>+'SRBS ER'!AX64</f>
        <v>0</v>
      </c>
      <c r="AZ133" s="1">
        <f>+'SRBS ER'!AY64</f>
        <v>0</v>
      </c>
      <c r="BA133" s="1">
        <f>+'SRBS ER'!AZ64</f>
        <v>0</v>
      </c>
      <c r="BB133" s="1">
        <f>+'SRBS ER'!BA64</f>
        <v>0</v>
      </c>
      <c r="BC133" s="1">
        <f>+'SRBS ER'!BB64</f>
        <v>0</v>
      </c>
      <c r="BD133" s="1"/>
      <c r="BE133" s="1"/>
      <c r="BF133" s="1">
        <f>SUM(E133:BE133)</f>
        <v>0</v>
      </c>
      <c r="BG133" s="1">
        <f t="shared" si="180"/>
        <v>0</v>
      </c>
      <c r="BH133" s="1">
        <f>+'DSBS ER'!B64</f>
        <v>0</v>
      </c>
      <c r="BI133" s="1">
        <f>+'DSBS ER'!C64</f>
        <v>0</v>
      </c>
      <c r="BJ133" s="1">
        <f>+'DSBS ER'!D64</f>
        <v>0</v>
      </c>
      <c r="BK133" s="1">
        <f>+'DSBS ER'!E64</f>
        <v>0</v>
      </c>
      <c r="BL133" s="1">
        <f>+'DSBS ER'!F64</f>
        <v>0</v>
      </c>
      <c r="BM133" s="1">
        <f>+'DSBS ER'!G64</f>
        <v>0</v>
      </c>
      <c r="BN133" s="1">
        <f>+'DSBS ER'!H64</f>
        <v>0</v>
      </c>
      <c r="BO133" s="1"/>
      <c r="BP133" s="1">
        <f t="shared" si="202"/>
        <v>0</v>
      </c>
      <c r="BQ133" s="1"/>
      <c r="BR133" s="1">
        <f>+'CPBS ER'!B64</f>
        <v>0</v>
      </c>
      <c r="BS133" s="1">
        <f>+'CPBS ER'!C64</f>
        <v>0</v>
      </c>
      <c r="BT133" s="1">
        <f>+'CPBS ER'!D64</f>
        <v>0</v>
      </c>
      <c r="BU133" s="1">
        <f>+'CPBS ER'!E64</f>
        <v>0</v>
      </c>
      <c r="BV133" s="1">
        <f>+'CPBS ER'!F64</f>
        <v>0</v>
      </c>
      <c r="BW133" s="1">
        <f>+'CPBS ER'!G64</f>
        <v>0</v>
      </c>
      <c r="BX133" s="3"/>
      <c r="BY133" s="1">
        <f>SUM(BR133:BX133)</f>
        <v>0</v>
      </c>
      <c r="BZ133" s="1"/>
      <c r="CA133" s="1"/>
      <c r="CB133" s="1">
        <f>+'ENBS ER'!D64</f>
        <v>0</v>
      </c>
      <c r="CC133" s="1">
        <f>+'ENBS ER'!E64+'ENBS ER'!C64</f>
        <v>0</v>
      </c>
      <c r="CD133" s="1">
        <f>+'ENBS ER'!F64</f>
        <v>0</v>
      </c>
      <c r="CE133" s="1">
        <f>+'ENBS ER'!G64</f>
        <v>0</v>
      </c>
      <c r="CF133" s="216">
        <f>+'ENBS ER'!H64+15300</f>
        <v>42075</v>
      </c>
      <c r="CG133" s="216">
        <f>+'ENBS ER'!I64-23309</f>
        <v>1075257</v>
      </c>
      <c r="CH133" s="1">
        <f>+'ENBS ER'!J64</f>
        <v>0</v>
      </c>
      <c r="CI133" s="1"/>
      <c r="CJ133" s="1">
        <f>SUM(CB133:CI133)</f>
        <v>1117332</v>
      </c>
      <c r="CK133" s="1"/>
      <c r="CL133" s="1">
        <f>+'ENBS ER'!M64</f>
        <v>0</v>
      </c>
      <c r="CM133" s="1">
        <f>+'ENBS ER'!N64</f>
        <v>0</v>
      </c>
      <c r="CN133" s="1">
        <f>+'ENBS ER'!O64</f>
        <v>0</v>
      </c>
      <c r="CO133" s="1">
        <f>+'ENBS ER'!P64</f>
        <v>0</v>
      </c>
      <c r="CP133" s="1">
        <f>+'ENBS ER'!Q64</f>
        <v>0</v>
      </c>
      <c r="CQ133" s="1">
        <f>+'ENBS ER'!R64</f>
        <v>0</v>
      </c>
      <c r="CR133" s="1">
        <f>+'ENBS ER'!S64</f>
        <v>0</v>
      </c>
      <c r="CS133" s="1"/>
      <c r="CT133" s="1"/>
      <c r="CU133" s="1">
        <f>SUM(CL133:CT133)-CT133</f>
        <v>0</v>
      </c>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V133" s="1"/>
      <c r="DW133" s="1">
        <f t="shared" si="206"/>
        <v>0</v>
      </c>
      <c r="DX133" s="1"/>
      <c r="DY133" s="1"/>
      <c r="DZ133" s="1"/>
      <c r="EC133" s="1"/>
      <c r="ED133" s="1"/>
      <c r="EE133" s="1">
        <f t="shared" si="207"/>
        <v>0</v>
      </c>
      <c r="EF133" s="1"/>
      <c r="EG133" s="1"/>
    </row>
    <row r="134" spans="1:137" ht="15.75">
      <c r="A134" s="1"/>
      <c r="B134" s="1" t="s">
        <v>84</v>
      </c>
      <c r="C134" s="1"/>
      <c r="D134" s="1">
        <f>+'GFBS ER'!B65</f>
        <v>0</v>
      </c>
      <c r="E134" s="1">
        <f>+'SRBS ER'!B65</f>
        <v>0</v>
      </c>
      <c r="F134" s="1">
        <f>+'SRBS ER'!C65</f>
        <v>0</v>
      </c>
      <c r="G134" s="1">
        <f>+'SRBS ER'!D65</f>
        <v>0</v>
      </c>
      <c r="H134" s="1">
        <f>+'SRBS ER'!E65</f>
        <v>0</v>
      </c>
      <c r="I134" s="1">
        <f>+'SRBS ER'!F65</f>
        <v>0</v>
      </c>
      <c r="J134" s="1">
        <f>+'SRBS ER'!G65</f>
        <v>0</v>
      </c>
      <c r="K134" s="1">
        <f>+'SRBS ER'!H65</f>
        <v>0</v>
      </c>
      <c r="L134" s="1">
        <f>+'SRBS ER'!I65</f>
        <v>0</v>
      </c>
      <c r="M134" s="1">
        <f>+'SRBS ER'!J65</f>
        <v>0</v>
      </c>
      <c r="N134" s="1">
        <f>+'SRBS ER'!K65</f>
        <v>0</v>
      </c>
      <c r="O134" s="1">
        <f>+'SRBS ER'!L65</f>
        <v>0</v>
      </c>
      <c r="P134" s="1">
        <f>+'SRBS ER'!M65</f>
        <v>0</v>
      </c>
      <c r="Q134" s="1">
        <f>+'SRBS ER'!N65</f>
        <v>0</v>
      </c>
      <c r="R134" s="1">
        <f>+'SRBS ER'!O65</f>
        <v>0</v>
      </c>
      <c r="S134" s="1">
        <f>+'SRBS ER'!P65</f>
        <v>0</v>
      </c>
      <c r="T134" s="1">
        <f>+'SRBS ER'!Q65</f>
        <v>0</v>
      </c>
      <c r="U134" s="1">
        <f>+'SRBS ER'!R65</f>
        <v>0</v>
      </c>
      <c r="V134" s="1">
        <f>+'SRBS ER'!S65</f>
        <v>0</v>
      </c>
      <c r="W134" s="1">
        <f>+'SRBS ER'!T65</f>
        <v>0</v>
      </c>
      <c r="X134" s="1">
        <f>+'SRBS ER'!U65</f>
        <v>0</v>
      </c>
      <c r="Y134" s="1">
        <f>+'SRBS ER'!V65</f>
        <v>0</v>
      </c>
      <c r="Z134" s="1">
        <f>+'SRBS ER'!W65</f>
        <v>0</v>
      </c>
      <c r="AA134" s="1">
        <f>+'SRBS ER'!X65</f>
        <v>0</v>
      </c>
      <c r="AB134" s="1">
        <f>+'SRBS ER'!Y65</f>
        <v>0</v>
      </c>
      <c r="AC134" s="1">
        <f>+'SRBS ER'!Z65</f>
        <v>0</v>
      </c>
      <c r="AD134" s="1">
        <f>+'SRBS ER'!AA65</f>
        <v>0</v>
      </c>
      <c r="AE134" s="1">
        <f>+'SRBS ER'!AB65+'SRBS ER'!AC65</f>
        <v>0</v>
      </c>
      <c r="AF134" s="1">
        <f>+'SRBS ER'!AD65</f>
        <v>0</v>
      </c>
      <c r="AG134" s="1">
        <f>+'SRBS ER'!AE65</f>
        <v>0</v>
      </c>
      <c r="AH134" s="1">
        <f>+'SRBS ER'!AF65</f>
        <v>0</v>
      </c>
      <c r="AI134" s="1">
        <f>+'SRBS ER'!AG65</f>
        <v>0</v>
      </c>
      <c r="AJ134" s="1">
        <f>+'SRBS ER'!AH65</f>
        <v>0</v>
      </c>
      <c r="AK134" s="1">
        <f>+'SRBS ER'!AI65</f>
        <v>0</v>
      </c>
      <c r="AL134" s="1">
        <f>+'SRBS ER'!AJ65</f>
        <v>0</v>
      </c>
      <c r="AM134" s="1">
        <f>+'SRBS ER'!AK65</f>
        <v>0</v>
      </c>
      <c r="AN134" s="1">
        <f>+'SRBS ER'!AL65</f>
        <v>0</v>
      </c>
      <c r="AO134" s="1">
        <f>+'SRBS ER'!AM65</f>
        <v>0</v>
      </c>
      <c r="AP134" s="1">
        <f>+'SRBS ER'!AN65</f>
        <v>0</v>
      </c>
      <c r="AQ134" s="1">
        <f>+'SRBS ER'!AO65</f>
        <v>0</v>
      </c>
      <c r="AR134" s="1">
        <f>+'SRBS ER'!AQ65</f>
        <v>0</v>
      </c>
      <c r="AS134" s="1">
        <f>+'SRBS ER'!AR65</f>
        <v>0</v>
      </c>
      <c r="AT134" s="1">
        <f>+'SRBS ER'!AS65</f>
        <v>0</v>
      </c>
      <c r="AU134" s="1">
        <f>+'SRBS ER'!AT65</f>
        <v>0</v>
      </c>
      <c r="AV134" s="1">
        <f>+'SRBS ER'!AU65</f>
        <v>0</v>
      </c>
      <c r="AW134" s="1"/>
      <c r="AX134" s="1">
        <f>+'SRBS ER'!AW65</f>
        <v>0</v>
      </c>
      <c r="AY134" s="1">
        <f>+'SRBS ER'!AX65</f>
        <v>0</v>
      </c>
      <c r="AZ134" s="1">
        <f>+'SRBS ER'!AY65</f>
        <v>0</v>
      </c>
      <c r="BA134" s="1">
        <f>+'SRBS ER'!AZ65</f>
        <v>0</v>
      </c>
      <c r="BB134" s="1">
        <f>+'SRBS ER'!BA65</f>
        <v>0</v>
      </c>
      <c r="BC134" s="1">
        <f>+'SRBS ER'!BB65</f>
        <v>0</v>
      </c>
      <c r="BD134" s="1"/>
      <c r="BE134" s="1"/>
      <c r="BF134" s="1">
        <f>SUM(E134:BE134)</f>
        <v>0</v>
      </c>
      <c r="BG134" s="1">
        <f t="shared" si="180"/>
        <v>0</v>
      </c>
      <c r="BH134" s="1">
        <f>+'DSBS ER'!B65</f>
        <v>0</v>
      </c>
      <c r="BI134" s="1">
        <f>+'DSBS ER'!C65</f>
        <v>0</v>
      </c>
      <c r="BJ134" s="1">
        <f>+'DSBS ER'!D65</f>
        <v>0</v>
      </c>
      <c r="BK134" s="1">
        <f>+'DSBS ER'!E65</f>
        <v>0</v>
      </c>
      <c r="BL134" s="1">
        <f>+'DSBS ER'!F65</f>
        <v>0</v>
      </c>
      <c r="BM134" s="1">
        <f>+'DSBS ER'!G65</f>
        <v>0</v>
      </c>
      <c r="BN134" s="1">
        <f>+'DSBS ER'!H65</f>
        <v>0</v>
      </c>
      <c r="BO134" s="1"/>
      <c r="BP134" s="1">
        <f t="shared" si="202"/>
        <v>0</v>
      </c>
      <c r="BQ134" s="1"/>
      <c r="BR134" s="1">
        <f>+'CPBS ER'!B65</f>
        <v>0</v>
      </c>
      <c r="BS134" s="1">
        <f>+'CPBS ER'!C65</f>
        <v>0</v>
      </c>
      <c r="BT134" s="1">
        <f>+'CPBS ER'!D65</f>
        <v>0</v>
      </c>
      <c r="BU134" s="1">
        <f>+'CPBS ER'!E65</f>
        <v>0</v>
      </c>
      <c r="BV134" s="1">
        <f>+'CPBS ER'!F65</f>
        <v>0</v>
      </c>
      <c r="BW134" s="1">
        <f>+'CPBS ER'!G65</f>
        <v>0</v>
      </c>
      <c r="BX134" s="3"/>
      <c r="BY134" s="1">
        <f>SUM(BR134:BX134)</f>
        <v>0</v>
      </c>
      <c r="BZ134" s="1"/>
      <c r="CA134" s="1"/>
      <c r="CB134" s="1">
        <f>+'ENBS ER'!D65</f>
        <v>0</v>
      </c>
      <c r="CC134" s="1">
        <f>+'ENBS ER'!E65+'ENBS ER'!C65</f>
        <v>0</v>
      </c>
      <c r="CD134" s="1">
        <f>+'ENBS ER'!F65</f>
        <v>0</v>
      </c>
      <c r="CE134" s="1">
        <f>+'ENBS ER'!G65</f>
        <v>0</v>
      </c>
      <c r="CF134" s="1">
        <f>+'ENBS ER'!H65</f>
        <v>0</v>
      </c>
      <c r="CG134" s="1">
        <f>+'ENBS ER'!I65</f>
        <v>0</v>
      </c>
      <c r="CH134" s="1">
        <f>+'ENBS ER'!J65</f>
        <v>0</v>
      </c>
      <c r="CI134" s="1"/>
      <c r="CJ134" s="1">
        <f>SUM(CB134:CI134)</f>
        <v>0</v>
      </c>
      <c r="CK134" s="1"/>
      <c r="CL134" s="1">
        <f>+'ENBS ER'!M65</f>
        <v>0</v>
      </c>
      <c r="CM134" s="1">
        <f>+'ENBS ER'!N65</f>
        <v>0</v>
      </c>
      <c r="CN134" s="1">
        <f>+'ENBS ER'!O65</f>
        <v>0</v>
      </c>
      <c r="CO134" s="1">
        <f>+'ENBS ER'!P65</f>
        <v>0</v>
      </c>
      <c r="CP134" s="1">
        <f>+'ENBS ER'!Q65</f>
        <v>0</v>
      </c>
      <c r="CQ134" s="1">
        <f>+'ENBS ER'!R65</f>
        <v>0</v>
      </c>
      <c r="CR134" s="1">
        <f>+'ENBS ER'!S65</f>
        <v>0</v>
      </c>
      <c r="CS134" s="1"/>
      <c r="CT134" s="1"/>
      <c r="CU134" s="1">
        <f>SUM(CL134:CT134)-CT134</f>
        <v>0</v>
      </c>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V134" s="1"/>
      <c r="DW134" s="1">
        <f t="shared" si="206"/>
        <v>0</v>
      </c>
      <c r="DX134" s="1"/>
      <c r="DY134" s="1"/>
      <c r="DZ134" s="1"/>
      <c r="EC134" s="1"/>
      <c r="ED134" s="1"/>
      <c r="EE134" s="1">
        <f t="shared" si="207"/>
        <v>0</v>
      </c>
      <c r="EF134" s="1"/>
      <c r="EG134" s="1"/>
    </row>
    <row r="135" spans="1:137" ht="15.7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f t="shared" si="180"/>
        <v>0</v>
      </c>
      <c r="BH135" s="1"/>
      <c r="BI135" s="1"/>
      <c r="BJ135" s="1"/>
      <c r="BK135" s="1"/>
      <c r="BL135" s="1"/>
      <c r="BM135" s="1"/>
      <c r="BN135" s="1"/>
      <c r="BO135" s="1"/>
      <c r="BP135" s="1"/>
      <c r="BQ135" s="1"/>
      <c r="BR135" s="1"/>
      <c r="BS135" s="1"/>
      <c r="BT135" s="1"/>
      <c r="BX135" s="3"/>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V135" s="1"/>
      <c r="DW135" s="1"/>
      <c r="DX135" s="1"/>
      <c r="DY135" s="1"/>
      <c r="DZ135" s="1"/>
      <c r="EC135" s="1"/>
      <c r="ED135" s="1"/>
      <c r="EE135" s="1">
        <f t="shared" si="207"/>
        <v>0</v>
      </c>
      <c r="EF135" s="1"/>
      <c r="EG135" s="1"/>
    </row>
    <row r="136" spans="1:137" ht="15.75">
      <c r="A136" s="1"/>
      <c r="B136" s="1" t="s">
        <v>705</v>
      </c>
      <c r="C136" s="1"/>
      <c r="D136" s="1">
        <f t="shared" ref="D136:J136" si="208">SUM(D117:D135)</f>
        <v>2375361</v>
      </c>
      <c r="E136" s="1">
        <f t="shared" si="208"/>
        <v>374291</v>
      </c>
      <c r="F136" s="1">
        <f t="shared" si="208"/>
        <v>283</v>
      </c>
      <c r="G136" s="1">
        <f t="shared" si="208"/>
        <v>7902</v>
      </c>
      <c r="H136" s="1">
        <f t="shared" si="208"/>
        <v>30868</v>
      </c>
      <c r="I136" s="1">
        <f t="shared" si="208"/>
        <v>2940</v>
      </c>
      <c r="J136" s="1">
        <f t="shared" si="208"/>
        <v>70281</v>
      </c>
      <c r="K136" s="1">
        <f t="shared" ref="K136:U136" si="209">SUM(K117:K135)</f>
        <v>68</v>
      </c>
      <c r="L136" s="1">
        <f>SUM(L117:L135)</f>
        <v>3958</v>
      </c>
      <c r="M136" s="1">
        <f t="shared" si="209"/>
        <v>14444</v>
      </c>
      <c r="N136" s="1">
        <f>SUM(N117:N135)</f>
        <v>3973</v>
      </c>
      <c r="O136" s="1">
        <f t="shared" si="209"/>
        <v>413</v>
      </c>
      <c r="P136" s="1">
        <f>SUM(P117:P135)</f>
        <v>0</v>
      </c>
      <c r="Q136" s="1">
        <f t="shared" si="209"/>
        <v>39506</v>
      </c>
      <c r="R136" s="1">
        <f t="shared" si="209"/>
        <v>9730</v>
      </c>
      <c r="S136" s="1">
        <f t="shared" si="209"/>
        <v>6305</v>
      </c>
      <c r="T136" s="1">
        <f t="shared" si="209"/>
        <v>54</v>
      </c>
      <c r="U136" s="1">
        <f t="shared" si="209"/>
        <v>32321</v>
      </c>
      <c r="V136" s="1">
        <f t="shared" ref="V136:AK136" si="210">SUM(V117:V135)</f>
        <v>4551</v>
      </c>
      <c r="W136" s="1">
        <f t="shared" si="210"/>
        <v>5671</v>
      </c>
      <c r="X136" s="1">
        <f t="shared" si="210"/>
        <v>264432</v>
      </c>
      <c r="Y136" s="1">
        <f t="shared" si="210"/>
        <v>0</v>
      </c>
      <c r="Z136" s="1">
        <f t="shared" si="210"/>
        <v>0</v>
      </c>
      <c r="AA136" s="1">
        <f t="shared" si="210"/>
        <v>0</v>
      </c>
      <c r="AB136" s="1">
        <f t="shared" si="210"/>
        <v>103173</v>
      </c>
      <c r="AC136" s="1">
        <f t="shared" si="210"/>
        <v>0</v>
      </c>
      <c r="AD136" s="1">
        <f t="shared" si="210"/>
        <v>0</v>
      </c>
      <c r="AE136" s="1">
        <f t="shared" si="210"/>
        <v>0</v>
      </c>
      <c r="AF136" s="1">
        <f t="shared" si="210"/>
        <v>0</v>
      </c>
      <c r="AG136" s="1">
        <f t="shared" si="210"/>
        <v>0</v>
      </c>
      <c r="AH136" s="1">
        <f t="shared" si="210"/>
        <v>0</v>
      </c>
      <c r="AI136" s="1">
        <f t="shared" si="210"/>
        <v>0</v>
      </c>
      <c r="AJ136" s="1">
        <f t="shared" si="210"/>
        <v>0</v>
      </c>
      <c r="AK136" s="1">
        <f t="shared" si="210"/>
        <v>0</v>
      </c>
      <c r="AL136" s="1">
        <f t="shared" ref="AL136:AS136" si="211">SUM(AL117:AL135)</f>
        <v>0</v>
      </c>
      <c r="AM136" s="1">
        <f t="shared" si="211"/>
        <v>0</v>
      </c>
      <c r="AN136" s="1">
        <f t="shared" si="211"/>
        <v>0</v>
      </c>
      <c r="AO136" s="1">
        <f t="shared" si="211"/>
        <v>0</v>
      </c>
      <c r="AP136" s="1">
        <f t="shared" si="211"/>
        <v>0</v>
      </c>
      <c r="AQ136" s="1">
        <f>SUM(AQ117:AQ135)</f>
        <v>0</v>
      </c>
      <c r="AR136" s="1">
        <f t="shared" si="211"/>
        <v>0</v>
      </c>
      <c r="AS136" s="1">
        <f t="shared" si="211"/>
        <v>0</v>
      </c>
      <c r="AT136" s="1">
        <f>SUM(AT117:AT135)</f>
        <v>0</v>
      </c>
      <c r="AU136" s="1">
        <f t="shared" ref="AU136:BA136" si="212">SUM(AU117:AU135)</f>
        <v>62477</v>
      </c>
      <c r="AV136" s="1">
        <f t="shared" si="212"/>
        <v>22045</v>
      </c>
      <c r="AW136" s="1"/>
      <c r="AX136" s="1">
        <f t="shared" si="212"/>
        <v>11972</v>
      </c>
      <c r="AY136" s="1">
        <f t="shared" si="212"/>
        <v>0</v>
      </c>
      <c r="AZ136" s="1">
        <f t="shared" si="212"/>
        <v>0</v>
      </c>
      <c r="BA136" s="1">
        <f t="shared" si="212"/>
        <v>8728</v>
      </c>
      <c r="BB136" s="1">
        <f>SUM(BB117:BB135)</f>
        <v>9711766</v>
      </c>
      <c r="BC136" s="1">
        <f>SUM(BC117:BC135)</f>
        <v>59223</v>
      </c>
      <c r="BD136" s="1">
        <f>SUM(BD117:BD135)</f>
        <v>0</v>
      </c>
      <c r="BE136" s="1"/>
      <c r="BF136" s="1">
        <f>SUM(BF117:BF135)</f>
        <v>10851375</v>
      </c>
      <c r="BG136" s="1">
        <f t="shared" si="180"/>
        <v>815954</v>
      </c>
      <c r="BH136" s="1">
        <f t="shared" ref="BH136:BN136" si="213">SUM(BH117:BH135)</f>
        <v>0</v>
      </c>
      <c r="BI136" s="1">
        <f t="shared" si="213"/>
        <v>22709</v>
      </c>
      <c r="BJ136" s="1">
        <f t="shared" si="213"/>
        <v>0</v>
      </c>
      <c r="BK136" s="1">
        <f t="shared" si="213"/>
        <v>0</v>
      </c>
      <c r="BL136" s="1">
        <f t="shared" si="213"/>
        <v>2273</v>
      </c>
      <c r="BM136" s="1">
        <f>SUM(BM117:BM135)</f>
        <v>15468</v>
      </c>
      <c r="BN136" s="1">
        <f t="shared" si="213"/>
        <v>511160</v>
      </c>
      <c r="BO136" s="1">
        <f t="shared" ref="BO136:BW136" si="214">SUM(BO117:BO135)</f>
        <v>0</v>
      </c>
      <c r="BP136" s="1">
        <f t="shared" si="214"/>
        <v>551610</v>
      </c>
      <c r="BQ136" s="1"/>
      <c r="BR136" s="1">
        <f t="shared" si="214"/>
        <v>0</v>
      </c>
      <c r="BS136" s="1">
        <f t="shared" si="214"/>
        <v>0</v>
      </c>
      <c r="BT136" s="1">
        <f t="shared" si="214"/>
        <v>24383</v>
      </c>
      <c r="BU136" s="1">
        <f t="shared" si="214"/>
        <v>0</v>
      </c>
      <c r="BV136" s="1">
        <f>SUM(BV117:BV135)</f>
        <v>0</v>
      </c>
      <c r="BW136" s="1">
        <f t="shared" si="214"/>
        <v>0</v>
      </c>
      <c r="BX136" s="3"/>
      <c r="BY136" s="1">
        <f t="shared" ref="BY136:CJ136" si="215">SUM(BY117:BY135)</f>
        <v>24383</v>
      </c>
      <c r="BZ136" s="1"/>
      <c r="CA136" s="1"/>
      <c r="CB136" s="1">
        <f t="shared" si="215"/>
        <v>0</v>
      </c>
      <c r="CC136" s="1">
        <f>SUM(CC117:CC135)</f>
        <v>43721</v>
      </c>
      <c r="CD136" s="1">
        <f t="shared" si="215"/>
        <v>6056</v>
      </c>
      <c r="CE136" s="1">
        <f t="shared" si="215"/>
        <v>22402</v>
      </c>
      <c r="CF136" s="1">
        <f t="shared" si="215"/>
        <v>216332</v>
      </c>
      <c r="CG136" s="1">
        <f t="shared" si="215"/>
        <v>2199498</v>
      </c>
      <c r="CH136" s="1">
        <f t="shared" si="215"/>
        <v>3645</v>
      </c>
      <c r="CI136" s="1">
        <f t="shared" si="215"/>
        <v>0</v>
      </c>
      <c r="CJ136" s="1">
        <f t="shared" si="215"/>
        <v>2491654</v>
      </c>
      <c r="CK136" s="1"/>
      <c r="CL136" s="1">
        <f t="shared" ref="CL136:CR136" si="216">SUM(CL117:CL135)</f>
        <v>0</v>
      </c>
      <c r="CM136" s="1">
        <f t="shared" si="216"/>
        <v>0</v>
      </c>
      <c r="CN136" s="1">
        <f t="shared" si="216"/>
        <v>0</v>
      </c>
      <c r="CO136" s="1">
        <f t="shared" si="216"/>
        <v>0</v>
      </c>
      <c r="CP136" s="1">
        <f t="shared" si="216"/>
        <v>0</v>
      </c>
      <c r="CQ136" s="1">
        <f t="shared" si="216"/>
        <v>0</v>
      </c>
      <c r="CR136" s="1">
        <f t="shared" si="216"/>
        <v>0</v>
      </c>
      <c r="CS136" s="1"/>
      <c r="CT136" s="1"/>
      <c r="CU136" s="1">
        <f>SUM(CU117:CU135)</f>
        <v>0</v>
      </c>
      <c r="CW136" s="1">
        <f>SUM(CW117:CW135)</f>
        <v>90459</v>
      </c>
      <c r="CX136" s="1">
        <f t="shared" ref="CX136:DN136" si="217">SUM(CX117:CX135)</f>
        <v>0</v>
      </c>
      <c r="CY136" s="1">
        <f t="shared" si="217"/>
        <v>0</v>
      </c>
      <c r="CZ136" s="1">
        <f t="shared" si="217"/>
        <v>41606</v>
      </c>
      <c r="DA136" s="1">
        <f t="shared" si="217"/>
        <v>0</v>
      </c>
      <c r="DB136" s="1">
        <f t="shared" si="217"/>
        <v>0</v>
      </c>
      <c r="DC136" s="1">
        <f t="shared" si="217"/>
        <v>0</v>
      </c>
      <c r="DD136" s="1">
        <f t="shared" si="217"/>
        <v>15629</v>
      </c>
      <c r="DE136" s="1">
        <f t="shared" si="217"/>
        <v>0</v>
      </c>
      <c r="DF136" s="1">
        <f t="shared" si="217"/>
        <v>74322</v>
      </c>
      <c r="DG136" s="1">
        <f t="shared" si="217"/>
        <v>0</v>
      </c>
      <c r="DH136" s="1">
        <f t="shared" si="217"/>
        <v>1082</v>
      </c>
      <c r="DI136" s="1">
        <f t="shared" si="217"/>
        <v>476989</v>
      </c>
      <c r="DJ136" s="1">
        <f t="shared" si="217"/>
        <v>0</v>
      </c>
      <c r="DK136" s="1">
        <f t="shared" si="217"/>
        <v>4921</v>
      </c>
      <c r="DL136" s="1">
        <f t="shared" si="217"/>
        <v>0</v>
      </c>
      <c r="DM136" s="1">
        <f t="shared" si="217"/>
        <v>0</v>
      </c>
      <c r="DN136" s="1">
        <f t="shared" si="217"/>
        <v>0</v>
      </c>
      <c r="DO136" s="1">
        <f>SUM(DO117:DO135)</f>
        <v>59182</v>
      </c>
      <c r="DP136" s="1">
        <f t="shared" ref="DP136:DT136" si="218">SUM(DP117:DP135)</f>
        <v>0</v>
      </c>
      <c r="DQ136" s="1">
        <f t="shared" si="218"/>
        <v>99738</v>
      </c>
      <c r="DR136" s="1">
        <f t="shared" si="218"/>
        <v>3850796</v>
      </c>
      <c r="DS136" s="1">
        <f t="shared" si="218"/>
        <v>909928</v>
      </c>
      <c r="DT136" s="1">
        <f t="shared" si="218"/>
        <v>670699</v>
      </c>
      <c r="DV136" s="1"/>
      <c r="DW136" s="1">
        <f>SUM(DW117:DW135)</f>
        <v>6204892</v>
      </c>
      <c r="DX136" s="1">
        <f>SUM(DX117:DX135)</f>
        <v>0</v>
      </c>
      <c r="DY136" s="1"/>
      <c r="DZ136" s="1">
        <f>SUM(DZ117:DZ135)</f>
        <v>0</v>
      </c>
      <c r="EC136" s="1">
        <f>SUM(EC117:EC135)</f>
        <v>0</v>
      </c>
      <c r="ED136" s="253"/>
      <c r="EE136" s="1">
        <f>SUM(EE117:EE135)</f>
        <v>12500243</v>
      </c>
      <c r="EF136" s="1">
        <f>SUM(EF117:EF135)</f>
        <v>0</v>
      </c>
      <c r="EG136" s="1">
        <f>SUM(EG117:EG135)</f>
        <v>0</v>
      </c>
    </row>
    <row r="137" spans="1:137" ht="15.7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3"/>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V137" s="1"/>
      <c r="DW137" s="1"/>
      <c r="DX137" s="1"/>
      <c r="DY137" s="1"/>
      <c r="DZ137" s="1"/>
      <c r="EC137" s="1"/>
      <c r="ED137" s="253"/>
      <c r="EE137" s="1"/>
      <c r="EF137" s="1"/>
      <c r="EG137" s="1"/>
    </row>
    <row r="138" spans="1:137" ht="15.75">
      <c r="A138" s="1"/>
      <c r="B138" s="308" t="s">
        <v>1815</v>
      </c>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3"/>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V138" s="1"/>
      <c r="DW138" s="1"/>
      <c r="DX138" s="1"/>
      <c r="DY138" s="1"/>
      <c r="DZ138" s="1"/>
      <c r="EC138" s="1"/>
      <c r="ED138" s="253"/>
      <c r="EE138" s="1"/>
      <c r="EF138" s="1"/>
      <c r="EG138" s="1"/>
    </row>
    <row r="139" spans="1:137" ht="15.75">
      <c r="A139" s="1"/>
      <c r="B139" s="89"/>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3"/>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V139" s="1"/>
      <c r="DW139" s="1"/>
      <c r="DX139" s="1"/>
      <c r="DY139" s="1"/>
      <c r="DZ139" s="1"/>
      <c r="EC139" s="1"/>
      <c r="ED139" s="253"/>
      <c r="EE139" s="1"/>
      <c r="EF139" s="1"/>
      <c r="EG139" s="1"/>
    </row>
    <row r="140" spans="1:137" ht="15.75">
      <c r="A140" s="1"/>
      <c r="B140" s="89" t="s">
        <v>3259</v>
      </c>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3"/>
      <c r="BY140" s="1"/>
      <c r="BZ140" s="1"/>
      <c r="CA140" s="1"/>
      <c r="CB140" s="1"/>
      <c r="CC140" s="1"/>
      <c r="CD140" s="1"/>
      <c r="CE140" s="1"/>
      <c r="CF140" s="1"/>
      <c r="CG140" s="1"/>
      <c r="CH140" s="1"/>
      <c r="CI140" s="1"/>
      <c r="CJ140" s="1"/>
      <c r="CK140" s="1"/>
      <c r="CL140" s="1"/>
      <c r="CM140" s="1004">
        <f>652385+7971</f>
        <v>660356</v>
      </c>
      <c r="CN140" s="1004">
        <f t="shared" ref="CN140:CO140" si="219">652385+7971</f>
        <v>660356</v>
      </c>
      <c r="CO140" s="1004">
        <f t="shared" si="219"/>
        <v>660356</v>
      </c>
      <c r="CP140" s="1004">
        <v>0</v>
      </c>
      <c r="CQ140" s="1"/>
      <c r="CR140" s="1"/>
      <c r="CS140" s="1"/>
      <c r="CT140" s="1"/>
      <c r="CU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V140" s="1"/>
      <c r="DW140" s="1"/>
      <c r="DX140" s="1"/>
      <c r="DY140" s="1"/>
      <c r="DZ140" s="1"/>
      <c r="EC140" s="1"/>
      <c r="ED140" s="253"/>
      <c r="EE140" s="1"/>
      <c r="EF140" s="1"/>
      <c r="EG140" s="1"/>
    </row>
    <row r="141" spans="1:137" ht="15.7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3"/>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V141" s="1"/>
      <c r="DW141" s="1"/>
      <c r="DX141" s="1"/>
      <c r="DY141" s="1"/>
      <c r="DZ141" s="1"/>
      <c r="EC141" s="1"/>
      <c r="ED141" s="253"/>
      <c r="EE141" s="1"/>
      <c r="EF141" s="1"/>
      <c r="EG141" s="1"/>
    </row>
    <row r="142" spans="1:137" ht="15.7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3"/>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V142" s="1"/>
      <c r="DW142" s="1"/>
      <c r="DX142" s="1"/>
      <c r="DY142" s="1"/>
      <c r="DZ142" s="1"/>
      <c r="EC142" s="1"/>
      <c r="ED142" s="253"/>
      <c r="EE142" s="1"/>
      <c r="EF142" s="1"/>
      <c r="EG142" s="1"/>
    </row>
    <row r="143" spans="1:137" ht="15.75">
      <c r="A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f t="shared" si="180"/>
        <v>0</v>
      </c>
      <c r="BH143" s="1"/>
      <c r="BI143" s="1"/>
      <c r="BJ143" s="1"/>
      <c r="BK143" s="1"/>
      <c r="BL143" s="1"/>
      <c r="BM143" s="1"/>
      <c r="BN143" s="1"/>
      <c r="BO143" s="1"/>
      <c r="BP143" s="1"/>
      <c r="BQ143" s="1"/>
      <c r="BR143" s="1"/>
      <c r="BS143" s="1"/>
      <c r="BT143" s="1"/>
      <c r="BX143" s="3"/>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V143" s="1"/>
      <c r="DW143" s="1"/>
      <c r="DX143" s="1"/>
      <c r="DY143" s="1"/>
      <c r="DZ143" s="1"/>
      <c r="EC143" s="1"/>
      <c r="ED143" s="1"/>
      <c r="EE143" s="1"/>
      <c r="EF143" s="1"/>
      <c r="EG143" s="1"/>
    </row>
    <row r="144" spans="1:137" ht="15.75">
      <c r="A144" s="1"/>
      <c r="B144" s="2" t="s">
        <v>701</v>
      </c>
      <c r="C144" s="2"/>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f t="shared" si="180"/>
        <v>0</v>
      </c>
      <c r="BH144" s="1"/>
      <c r="BI144" s="1"/>
      <c r="BJ144" s="1"/>
      <c r="BK144" s="1"/>
      <c r="BL144" s="1"/>
      <c r="BM144" s="1"/>
      <c r="BN144" s="1"/>
      <c r="BO144" s="1"/>
      <c r="BP144" s="1"/>
      <c r="BQ144" s="1"/>
      <c r="BR144" s="1"/>
      <c r="BS144" s="1"/>
      <c r="BT144" s="1"/>
      <c r="BX144" s="3"/>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V144" s="1"/>
      <c r="DW144" s="1"/>
      <c r="DX144" s="1"/>
      <c r="DY144" s="1"/>
      <c r="DZ144" s="1"/>
      <c r="EC144" s="1"/>
      <c r="ED144" s="1"/>
      <c r="EE144" s="1"/>
      <c r="EF144" s="1"/>
      <c r="EG144" s="1"/>
    </row>
    <row r="145" spans="1:137" ht="15.75">
      <c r="A145" s="1"/>
      <c r="B145" s="1" t="s">
        <v>702</v>
      </c>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f t="shared" si="180"/>
        <v>0</v>
      </c>
      <c r="BH145" s="1"/>
      <c r="BI145" s="1"/>
      <c r="BJ145" s="1"/>
      <c r="BK145" s="1"/>
      <c r="BL145" s="1"/>
      <c r="BM145" s="1"/>
      <c r="BN145" s="1"/>
      <c r="BO145" s="1"/>
      <c r="BP145" s="1"/>
      <c r="BQ145" s="1"/>
      <c r="BR145" s="1"/>
      <c r="BS145" s="1"/>
      <c r="BT145" s="1"/>
      <c r="BX145" s="3"/>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V145" s="1"/>
      <c r="DW145" s="1"/>
      <c r="DX145" s="1"/>
      <c r="DY145" s="1"/>
      <c r="DZ145" s="1"/>
      <c r="EC145" s="1"/>
      <c r="ED145" s="1"/>
      <c r="EE145" s="1">
        <f t="shared" ref="EE145:EE154" si="220">SUM(CW145:ED145)</f>
        <v>0</v>
      </c>
      <c r="EF145" s="1"/>
      <c r="EG145" s="1"/>
    </row>
    <row r="146" spans="1:137" ht="15.75">
      <c r="A146" s="1"/>
      <c r="B146" s="1" t="s">
        <v>1041</v>
      </c>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f t="shared" si="180"/>
        <v>0</v>
      </c>
      <c r="BH146" s="1"/>
      <c r="BI146" s="1"/>
      <c r="BJ146" s="1"/>
      <c r="BK146" s="1"/>
      <c r="BL146" s="1"/>
      <c r="BM146" s="1"/>
      <c r="BN146" s="1"/>
      <c r="BO146" s="1"/>
      <c r="BP146" s="1"/>
      <c r="BQ146" s="1"/>
      <c r="BR146" s="1"/>
      <c r="BS146" s="1"/>
      <c r="BT146" s="1"/>
      <c r="BX146" s="3"/>
      <c r="BY146" s="1"/>
      <c r="BZ146" s="1"/>
      <c r="CA146" s="1"/>
      <c r="CB146" s="1"/>
      <c r="CC146" s="1"/>
      <c r="CD146" s="1"/>
      <c r="CE146" s="1"/>
      <c r="CF146" s="1"/>
      <c r="CG146" s="1"/>
      <c r="CH146" s="1"/>
      <c r="CI146" s="1"/>
      <c r="CJ146" s="1">
        <f t="shared" ref="CJ146:CJ154" si="221">SUM(CB146:CI146)</f>
        <v>0</v>
      </c>
      <c r="CK146" s="1"/>
      <c r="CL146" s="1"/>
      <c r="CM146" s="1"/>
      <c r="CN146" s="1"/>
      <c r="CO146" s="1"/>
      <c r="CP146" s="1"/>
      <c r="CQ146" s="1"/>
      <c r="CR146" s="1"/>
      <c r="CS146" s="1"/>
      <c r="CT146" s="1"/>
      <c r="CU146" s="1">
        <f>SUM(CL146:CT146)</f>
        <v>0</v>
      </c>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V146" s="1"/>
      <c r="DW146" s="1">
        <f t="shared" ref="DW146:DW152" si="222">SUM(CY146:DV146)</f>
        <v>0</v>
      </c>
      <c r="DX146" s="1"/>
      <c r="DY146" s="1"/>
      <c r="DZ146" s="1"/>
      <c r="EC146" s="1"/>
      <c r="ED146" s="1"/>
      <c r="EE146" s="1">
        <f t="shared" si="220"/>
        <v>0</v>
      </c>
      <c r="EF146" s="1"/>
      <c r="EG146" s="1"/>
    </row>
    <row r="147" spans="1:137" ht="15.75">
      <c r="A147" s="1"/>
      <c r="B147" s="1" t="s">
        <v>1042</v>
      </c>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f t="shared" si="180"/>
        <v>0</v>
      </c>
      <c r="BH147" s="1"/>
      <c r="BI147" s="1"/>
      <c r="BJ147" s="1"/>
      <c r="BK147" s="1"/>
      <c r="BL147" s="1"/>
      <c r="BM147" s="1"/>
      <c r="BN147" s="1"/>
      <c r="BO147" s="1"/>
      <c r="BP147" s="1"/>
      <c r="BQ147" s="1"/>
      <c r="BR147" s="1"/>
      <c r="BS147" s="1"/>
      <c r="BT147" s="1"/>
      <c r="BX147" s="3"/>
      <c r="BY147" s="1"/>
      <c r="BZ147" s="1"/>
      <c r="CA147" s="1"/>
      <c r="CB147" s="1"/>
      <c r="CC147" s="1"/>
      <c r="CD147" s="1"/>
      <c r="CE147" s="1"/>
      <c r="CF147" s="1"/>
      <c r="CG147" s="1"/>
      <c r="CH147" s="1"/>
      <c r="CI147" s="1"/>
      <c r="CJ147" s="1">
        <f t="shared" si="221"/>
        <v>0</v>
      </c>
      <c r="CK147" s="1"/>
      <c r="CL147" s="32"/>
      <c r="CM147" s="32"/>
      <c r="CN147" s="32"/>
      <c r="CO147" s="32"/>
      <c r="CP147" s="32"/>
      <c r="CQ147" s="32"/>
      <c r="CR147" s="32"/>
      <c r="CS147" s="1"/>
      <c r="CT147" s="1"/>
      <c r="CU147" s="1">
        <f>SUM(CL147:CT147)</f>
        <v>0</v>
      </c>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V147" s="1"/>
      <c r="DW147" s="1">
        <f t="shared" si="222"/>
        <v>0</v>
      </c>
      <c r="DX147" s="1"/>
      <c r="DY147" s="1"/>
      <c r="DZ147" s="1"/>
      <c r="EC147" s="1"/>
      <c r="ED147" s="1"/>
      <c r="EE147" s="1">
        <f t="shared" si="220"/>
        <v>0</v>
      </c>
      <c r="EF147" s="1"/>
      <c r="EG147" s="1"/>
    </row>
    <row r="148" spans="1:137" ht="15.75">
      <c r="A148" s="1"/>
      <c r="B148" s="1" t="s">
        <v>505</v>
      </c>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f t="shared" si="180"/>
        <v>0</v>
      </c>
      <c r="BH148" s="1"/>
      <c r="BI148" s="1"/>
      <c r="BJ148" s="1"/>
      <c r="BK148" s="1"/>
      <c r="BL148" s="1"/>
      <c r="BM148" s="1"/>
      <c r="BN148" s="1"/>
      <c r="BO148" s="1"/>
      <c r="BP148" s="1"/>
      <c r="BQ148" s="1"/>
      <c r="BR148" s="1"/>
      <c r="BS148" s="1"/>
      <c r="BT148" s="1"/>
      <c r="BX148" s="3"/>
      <c r="BY148" s="1"/>
      <c r="BZ148" s="1"/>
      <c r="CA148" s="1"/>
      <c r="CB148" s="1"/>
      <c r="CC148" s="1"/>
      <c r="CD148" s="1"/>
      <c r="CE148" s="1"/>
      <c r="CF148" s="1"/>
      <c r="CG148" s="1"/>
      <c r="CH148" s="1"/>
      <c r="CI148" s="1"/>
      <c r="CJ148" s="1">
        <f t="shared" si="221"/>
        <v>0</v>
      </c>
      <c r="CK148" s="1"/>
      <c r="CL148" s="1"/>
      <c r="CM148" s="1"/>
      <c r="CN148" s="1"/>
      <c r="CO148" s="1"/>
      <c r="CP148" s="1"/>
      <c r="CQ148" s="1"/>
      <c r="CR148" s="1"/>
      <c r="CS148" s="1"/>
      <c r="CT148" s="1"/>
      <c r="CU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V148" s="1"/>
      <c r="DW148" s="1">
        <f t="shared" si="222"/>
        <v>0</v>
      </c>
      <c r="DX148" s="1"/>
      <c r="DY148" s="1"/>
      <c r="DZ148" s="1"/>
      <c r="EC148" s="1"/>
      <c r="ED148" s="1"/>
      <c r="EE148" s="1">
        <f t="shared" si="220"/>
        <v>0</v>
      </c>
      <c r="EF148" s="1"/>
      <c r="EG148" s="1"/>
    </row>
    <row r="149" spans="1:137" ht="15.75">
      <c r="A149" s="1"/>
      <c r="B149" s="1" t="s">
        <v>707</v>
      </c>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f t="shared" si="180"/>
        <v>0</v>
      </c>
      <c r="BH149" s="1"/>
      <c r="BI149" s="1"/>
      <c r="BJ149" s="1"/>
      <c r="BK149" s="1"/>
      <c r="BL149" s="1"/>
      <c r="BM149" s="1"/>
      <c r="BN149" s="1"/>
      <c r="BO149" s="1"/>
      <c r="BP149" s="1"/>
      <c r="BQ149" s="1"/>
      <c r="BR149" s="1"/>
      <c r="BS149" s="1"/>
      <c r="BT149" s="1"/>
      <c r="BX149" s="3"/>
      <c r="BY149" s="1"/>
      <c r="BZ149" s="1"/>
      <c r="CA149" s="1"/>
      <c r="CB149" s="1"/>
      <c r="CC149" s="1"/>
      <c r="CD149" s="1"/>
      <c r="CE149" s="1"/>
      <c r="CF149" s="1"/>
      <c r="CG149" s="1"/>
      <c r="CH149" s="1"/>
      <c r="CI149" s="1"/>
      <c r="CJ149" s="1">
        <f t="shared" si="221"/>
        <v>0</v>
      </c>
      <c r="CK149" s="1"/>
      <c r="CL149" s="1"/>
      <c r="CM149" s="1"/>
      <c r="CN149" s="1"/>
      <c r="CO149" s="1"/>
      <c r="CP149" s="1"/>
      <c r="CQ149" s="1"/>
      <c r="CR149" s="1"/>
      <c r="CS149" s="1"/>
      <c r="CT149" s="1"/>
      <c r="CU149" s="1">
        <f t="shared" ref="CU149:CU160" si="223">SUM(CL149:CT149)</f>
        <v>0</v>
      </c>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V149" s="1"/>
      <c r="DW149" s="1">
        <f t="shared" si="222"/>
        <v>0</v>
      </c>
      <c r="DX149" s="1"/>
      <c r="DY149" s="1"/>
      <c r="DZ149" s="1"/>
      <c r="EC149" s="1"/>
      <c r="ED149" s="1"/>
      <c r="EE149" s="1">
        <f t="shared" si="220"/>
        <v>0</v>
      </c>
      <c r="EF149" s="1"/>
      <c r="EG149" s="1"/>
    </row>
    <row r="150" spans="1:137" ht="15.75">
      <c r="A150" s="1"/>
      <c r="B150" s="1" t="s">
        <v>1368</v>
      </c>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f t="shared" si="180"/>
        <v>0</v>
      </c>
      <c r="BH150" s="1"/>
      <c r="BI150" s="1"/>
      <c r="BJ150" s="1"/>
      <c r="BK150" s="1"/>
      <c r="BL150" s="1"/>
      <c r="BM150" s="1"/>
      <c r="BN150" s="1"/>
      <c r="BO150" s="1"/>
      <c r="BP150" s="1"/>
      <c r="BQ150" s="1"/>
      <c r="BR150" s="1"/>
      <c r="BS150" s="1"/>
      <c r="BT150" s="1"/>
      <c r="BX150" s="3"/>
      <c r="BY150" s="1"/>
      <c r="BZ150" s="1"/>
      <c r="CA150" s="1"/>
      <c r="CB150" s="1">
        <v>0</v>
      </c>
      <c r="CC150" s="1">
        <v>0</v>
      </c>
      <c r="CD150" s="1"/>
      <c r="CE150" s="1"/>
      <c r="CF150" s="1"/>
      <c r="CG150" s="1">
        <v>0</v>
      </c>
      <c r="CH150" s="1"/>
      <c r="CI150" s="1"/>
      <c r="CJ150" s="1">
        <f t="shared" si="221"/>
        <v>0</v>
      </c>
      <c r="CK150" s="1"/>
      <c r="CL150" s="1"/>
      <c r="CM150" s="1"/>
      <c r="CN150" s="1"/>
      <c r="CO150" s="1"/>
      <c r="CP150" s="1"/>
      <c r="CQ150" s="1"/>
      <c r="CR150" s="1"/>
      <c r="CS150" s="1"/>
      <c r="CT150" s="1"/>
      <c r="CU150" s="1">
        <f t="shared" si="223"/>
        <v>0</v>
      </c>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V150" s="1"/>
      <c r="DW150" s="1">
        <f t="shared" si="222"/>
        <v>0</v>
      </c>
      <c r="DX150" s="1"/>
      <c r="DY150" s="1"/>
      <c r="DZ150" s="1"/>
      <c r="EC150" s="1"/>
      <c r="ED150" s="1"/>
      <c r="EE150" s="1">
        <f t="shared" si="220"/>
        <v>0</v>
      </c>
      <c r="EF150" s="1"/>
      <c r="EG150" s="1"/>
    </row>
    <row r="151" spans="1:137" ht="15.75">
      <c r="A151" s="1"/>
      <c r="B151" s="1" t="s">
        <v>1368</v>
      </c>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f t="shared" si="180"/>
        <v>0</v>
      </c>
      <c r="BH151" s="1"/>
      <c r="BI151" s="1"/>
      <c r="BJ151" s="1"/>
      <c r="BK151" s="1"/>
      <c r="BL151" s="1"/>
      <c r="BM151" s="1"/>
      <c r="BN151" s="1"/>
      <c r="BO151" s="1"/>
      <c r="BP151" s="1"/>
      <c r="BQ151" s="1"/>
      <c r="BR151" s="1"/>
      <c r="BS151" s="1"/>
      <c r="BT151" s="1"/>
      <c r="BX151" s="3"/>
      <c r="BY151" s="1"/>
      <c r="BZ151" s="1"/>
      <c r="CA151" s="1"/>
      <c r="CB151" s="1"/>
      <c r="CC151" s="1"/>
      <c r="CD151" s="1"/>
      <c r="CE151" s="1"/>
      <c r="CF151" s="1"/>
      <c r="CG151" s="1">
        <v>0</v>
      </c>
      <c r="CH151" s="1"/>
      <c r="CI151" s="1"/>
      <c r="CJ151" s="1">
        <f t="shared" si="221"/>
        <v>0</v>
      </c>
      <c r="CK151" s="1"/>
      <c r="CL151" s="1"/>
      <c r="CM151" s="1"/>
      <c r="CN151" s="1"/>
      <c r="CO151" s="1"/>
      <c r="CP151" s="1"/>
      <c r="CQ151" s="1"/>
      <c r="CR151" s="1"/>
      <c r="CS151" s="1"/>
      <c r="CT151" s="1"/>
      <c r="CU151" s="1">
        <f t="shared" si="223"/>
        <v>0</v>
      </c>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V151" s="1"/>
      <c r="DW151" s="1">
        <f t="shared" si="222"/>
        <v>0</v>
      </c>
      <c r="DX151" s="1"/>
      <c r="DY151" s="1"/>
      <c r="DZ151" s="1"/>
      <c r="EC151" s="1"/>
      <c r="ED151" s="1"/>
      <c r="EE151" s="1">
        <f t="shared" si="220"/>
        <v>0</v>
      </c>
      <c r="EF151" s="1"/>
      <c r="EG151" s="1"/>
    </row>
    <row r="152" spans="1:137" ht="15.75">
      <c r="A152" s="1"/>
      <c r="B152" s="1" t="s">
        <v>126</v>
      </c>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f t="shared" si="180"/>
        <v>0</v>
      </c>
      <c r="BH152" s="1"/>
      <c r="BI152" s="1"/>
      <c r="BJ152" s="1"/>
      <c r="BK152" s="1"/>
      <c r="BL152" s="1"/>
      <c r="BM152" s="1"/>
      <c r="BN152" s="1"/>
      <c r="BO152" s="1"/>
      <c r="BP152" s="1"/>
      <c r="BQ152" s="1"/>
      <c r="BR152" s="1"/>
      <c r="BS152" s="1"/>
      <c r="BT152" s="1"/>
      <c r="BX152" s="3"/>
      <c r="BY152" s="1"/>
      <c r="BZ152" s="1"/>
      <c r="CA152" s="1"/>
      <c r="CB152" s="1">
        <v>0</v>
      </c>
      <c r="CC152" s="1">
        <v>0</v>
      </c>
      <c r="CD152" s="1"/>
      <c r="CE152" s="1"/>
      <c r="CF152" s="1"/>
      <c r="CG152" s="1"/>
      <c r="CH152" s="1"/>
      <c r="CI152" s="1"/>
      <c r="CJ152" s="1">
        <f t="shared" si="221"/>
        <v>0</v>
      </c>
      <c r="CK152" s="1"/>
      <c r="CL152" s="1"/>
      <c r="CM152" s="1"/>
      <c r="CN152" s="1"/>
      <c r="CO152" s="1"/>
      <c r="CP152" s="1"/>
      <c r="CQ152" s="1"/>
      <c r="CR152" s="1"/>
      <c r="CS152" s="1"/>
      <c r="CT152" s="1"/>
      <c r="CU152" s="1">
        <f t="shared" si="223"/>
        <v>0</v>
      </c>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V152" s="1"/>
      <c r="DW152" s="1">
        <f t="shared" si="222"/>
        <v>0</v>
      </c>
      <c r="DX152" s="1"/>
      <c r="DY152" s="1"/>
      <c r="DZ152" s="1"/>
      <c r="EC152" s="1"/>
      <c r="ED152" s="1"/>
      <c r="EE152" s="1">
        <f t="shared" si="220"/>
        <v>0</v>
      </c>
      <c r="EF152" s="1"/>
      <c r="EG152" s="1"/>
    </row>
    <row r="153" spans="1:137" ht="15.75">
      <c r="A153" s="1"/>
      <c r="B153" s="1" t="s">
        <v>967</v>
      </c>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f t="shared" si="180"/>
        <v>0</v>
      </c>
      <c r="BH153" s="1"/>
      <c r="BI153" s="1"/>
      <c r="BJ153" s="1"/>
      <c r="BK153" s="1"/>
      <c r="BL153" s="1"/>
      <c r="BM153" s="1"/>
      <c r="BN153" s="1"/>
      <c r="BO153" s="1"/>
      <c r="BP153" s="1"/>
      <c r="BQ153" s="1"/>
      <c r="BR153" s="1"/>
      <c r="BS153" s="1"/>
      <c r="BT153" s="1"/>
      <c r="BX153" s="3"/>
      <c r="BY153" s="1"/>
      <c r="BZ153" s="1"/>
      <c r="CA153" s="1"/>
      <c r="CB153" s="1"/>
      <c r="CC153" s="1"/>
      <c r="CD153" s="1"/>
      <c r="CE153" s="1"/>
      <c r="CF153" s="1"/>
      <c r="CG153" s="1"/>
      <c r="CH153" s="1"/>
      <c r="CI153" s="1"/>
      <c r="CJ153" s="1">
        <f t="shared" si="221"/>
        <v>0</v>
      </c>
      <c r="CK153" s="1"/>
      <c r="CL153" s="1"/>
      <c r="CM153" s="1"/>
      <c r="CN153" s="1"/>
      <c r="CO153" s="1"/>
      <c r="CP153" s="1"/>
      <c r="CQ153" s="1"/>
      <c r="CR153" s="1"/>
      <c r="CS153" s="1"/>
      <c r="CT153" s="1"/>
      <c r="CU153" s="1">
        <f t="shared" si="223"/>
        <v>0</v>
      </c>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V153" s="1"/>
      <c r="DW153" s="1"/>
      <c r="DX153" s="1"/>
      <c r="DY153" s="1"/>
      <c r="DZ153" s="1"/>
      <c r="EC153" s="1"/>
      <c r="ED153" s="1"/>
      <c r="EE153" s="1">
        <f t="shared" si="220"/>
        <v>0</v>
      </c>
      <c r="EF153" s="1"/>
      <c r="EG153" s="1"/>
    </row>
    <row r="154" spans="1:137" ht="15.75">
      <c r="A154" s="1"/>
      <c r="B154" s="1" t="s">
        <v>235</v>
      </c>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f t="shared" si="180"/>
        <v>0</v>
      </c>
      <c r="BH154" s="1"/>
      <c r="BI154" s="1"/>
      <c r="BJ154" s="1"/>
      <c r="BK154" s="1"/>
      <c r="BL154" s="1"/>
      <c r="BM154" s="1"/>
      <c r="BN154" s="1"/>
      <c r="BO154" s="1"/>
      <c r="BP154" s="1"/>
      <c r="BQ154" s="1"/>
      <c r="BR154" s="1"/>
      <c r="BS154" s="1"/>
      <c r="BT154" s="1"/>
      <c r="BX154" s="3"/>
      <c r="BY154" s="1"/>
      <c r="BZ154" s="1"/>
      <c r="CA154" s="1"/>
      <c r="CB154" s="1">
        <f>+'ENBS ER'!D70-CB135-0</f>
        <v>0</v>
      </c>
      <c r="CC154" s="248">
        <f>+'ENBS ER'!E70+CC196</f>
        <v>8164448</v>
      </c>
      <c r="CD154" s="248">
        <f>+'ENBS ER'!F70+CD196</f>
        <v>46750</v>
      </c>
      <c r="CE154" s="248">
        <f>+'ENBS ER'!G70+CE196</f>
        <v>98039</v>
      </c>
      <c r="CF154" s="605">
        <f>+'ENBS ER'!H70+CF196-15300</f>
        <v>1180465</v>
      </c>
      <c r="CG154" s="605">
        <f>+'ENBS ER'!I70+CG196+23309</f>
        <v>7510950</v>
      </c>
      <c r="CH154" s="248">
        <f>+'ENBS ER'!J70+CH196</f>
        <v>118600</v>
      </c>
      <c r="CI154" s="1"/>
      <c r="CJ154" s="1">
        <f t="shared" si="221"/>
        <v>17119252</v>
      </c>
      <c r="CK154" s="1"/>
      <c r="CL154" s="248">
        <f>+'ENBS ER'!M70+CL196</f>
        <v>2360894</v>
      </c>
      <c r="CM154" s="605">
        <f>+'ENBS ER'!N70+CM196+5031+12830-7971</f>
        <v>1022560</v>
      </c>
      <c r="CN154" s="248">
        <f>+'ENBS ER'!O70+CN196</f>
        <v>369306</v>
      </c>
      <c r="CO154" s="248">
        <f>+'ENBS ER'!P70+CO196</f>
        <v>94233</v>
      </c>
      <c r="CP154" s="248">
        <f>+'ENBS ER'!Q70+CP196</f>
        <v>1412414</v>
      </c>
      <c r="CQ154" s="248">
        <f>+'ENBS ER'!R70+CQ196</f>
        <v>801614</v>
      </c>
      <c r="CR154" s="248">
        <f>+'ENBS ER'!S70+CR196</f>
        <v>97424</v>
      </c>
      <c r="CS154" s="1"/>
      <c r="CT154" s="1"/>
      <c r="CU154" s="1">
        <f t="shared" si="223"/>
        <v>6158445</v>
      </c>
      <c r="CW154" s="1">
        <f>+'TA BS ER'!B73</f>
        <v>3891655</v>
      </c>
      <c r="CX154" s="1">
        <f>+'TA BS ER'!C73</f>
        <v>0</v>
      </c>
      <c r="CY154" s="1">
        <f>+'TA BS ER'!D73</f>
        <v>32848</v>
      </c>
      <c r="CZ154" s="1">
        <f>+'TA BS ER'!E73</f>
        <v>0</v>
      </c>
      <c r="DA154" s="1">
        <f>+'TA BS ER'!F73</f>
        <v>0</v>
      </c>
      <c r="DB154" s="1">
        <f>+'TA BS ER'!G73</f>
        <v>44162</v>
      </c>
      <c r="DC154" s="1">
        <f>+'TA BS ER'!H73</f>
        <v>8412</v>
      </c>
      <c r="DD154" s="1">
        <f>+'TA BS ER'!I73</f>
        <v>0</v>
      </c>
      <c r="DE154" s="1">
        <f>+'TA BS ER'!J73</f>
        <v>8608</v>
      </c>
      <c r="DF154" s="1">
        <f>+'TA BS ER'!K73</f>
        <v>0</v>
      </c>
      <c r="DG154" s="1">
        <f>+'TA BS ER'!L73</f>
        <v>204466</v>
      </c>
      <c r="DH154" s="1">
        <f>+'TA BS ER'!M73</f>
        <v>0</v>
      </c>
      <c r="DI154" s="1">
        <f>+'TA BS ER'!N73</f>
        <v>0</v>
      </c>
      <c r="DJ154" s="1">
        <f>+'TA BS ER'!O73</f>
        <v>296099</v>
      </c>
      <c r="DK154" s="1">
        <f>+'TA BS ER'!P73</f>
        <v>0</v>
      </c>
      <c r="DL154" s="1">
        <f>+'TA BS ER'!Q73</f>
        <v>1325611</v>
      </c>
      <c r="DM154" s="1">
        <f>+'TA BS ER'!R73</f>
        <v>0</v>
      </c>
      <c r="DN154" s="1">
        <f>+'TA BS ER'!S73</f>
        <v>90503</v>
      </c>
      <c r="DO154" s="1">
        <f>+'TA BS ER'!T73</f>
        <v>0</v>
      </c>
      <c r="DP154" s="1">
        <f>+'TA BS ER'!U73</f>
        <v>34351</v>
      </c>
      <c r="DQ154" s="1">
        <f>+'TA BS ER'!V73+'SRBS ER'!BD18</f>
        <v>6671184</v>
      </c>
      <c r="DR154" s="1">
        <f>+'TA BS ER'!W73+DR196</f>
        <v>53937427</v>
      </c>
      <c r="DS154" s="1">
        <f>+'TA BS ER'!X73</f>
        <v>880292</v>
      </c>
      <c r="DT154" s="1">
        <f>+'TA BS ER'!Y73+DT196</f>
        <v>1071770</v>
      </c>
      <c r="DV154" s="1"/>
      <c r="DW154" s="1">
        <f t="shared" ref="DW154:DW160" si="224">SUM(CY154:DV154)</f>
        <v>64605733</v>
      </c>
      <c r="DX154" s="1"/>
      <c r="DY154" s="1"/>
      <c r="DZ154" s="1">
        <f>+DZ112</f>
        <v>155027</v>
      </c>
      <c r="EC154" s="82"/>
      <c r="ED154" s="617" t="s">
        <v>2748</v>
      </c>
      <c r="EE154" s="1">
        <f t="shared" si="220"/>
        <v>133258148</v>
      </c>
      <c r="EF154" s="1"/>
      <c r="EG154" s="1"/>
    </row>
    <row r="155" spans="1:137" ht="15.75">
      <c r="A155" s="1"/>
      <c r="B155" s="1" t="s">
        <v>703</v>
      </c>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f t="shared" si="180"/>
        <v>0</v>
      </c>
      <c r="BH155" s="1"/>
      <c r="BI155" s="1"/>
      <c r="BJ155" s="1"/>
      <c r="BK155" s="1"/>
      <c r="BL155" s="1"/>
      <c r="BM155" s="1"/>
      <c r="BN155" s="1"/>
      <c r="BO155" s="1"/>
      <c r="BP155" s="1"/>
      <c r="BQ155" s="1"/>
      <c r="BR155" s="1"/>
      <c r="BS155" s="1"/>
      <c r="BT155" s="1"/>
      <c r="BX155" s="3"/>
      <c r="BY155" s="1"/>
      <c r="BZ155" s="1"/>
      <c r="CA155" s="1"/>
      <c r="CB155" s="1"/>
      <c r="CC155" s="1"/>
      <c r="CD155" s="1"/>
      <c r="CE155" s="1"/>
      <c r="CF155" s="1"/>
      <c r="CG155" s="1"/>
      <c r="CH155" s="1"/>
      <c r="CI155" s="1"/>
      <c r="CJ155" s="1"/>
      <c r="CK155" s="1"/>
      <c r="CL155" s="1"/>
      <c r="CM155" s="1"/>
      <c r="CN155" s="1"/>
      <c r="CO155" s="1"/>
      <c r="CP155" s="1"/>
      <c r="CQ155" s="1"/>
      <c r="CR155" s="1"/>
      <c r="CS155" s="1"/>
      <c r="CT155" s="1"/>
      <c r="CU155" s="1">
        <f t="shared" si="223"/>
        <v>0</v>
      </c>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V155" s="1"/>
      <c r="DW155" s="1">
        <f t="shared" si="224"/>
        <v>0</v>
      </c>
      <c r="DX155" s="1"/>
      <c r="DY155" s="1"/>
      <c r="DZ155" s="1"/>
      <c r="EC155" s="139"/>
      <c r="ED155" s="1"/>
      <c r="EE155" s="1"/>
      <c r="EF155" s="1"/>
      <c r="EG155" s="1"/>
    </row>
    <row r="156" spans="1:137" ht="15.75">
      <c r="A156" s="1"/>
      <c r="B156" s="1" t="s">
        <v>707</v>
      </c>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f t="shared" ref="BG156:BG170" si="225">+BF156-X156-P156-BC156-BB156</f>
        <v>0</v>
      </c>
      <c r="BH156" s="1"/>
      <c r="BI156" s="1"/>
      <c r="BJ156" s="1"/>
      <c r="BK156" s="1"/>
      <c r="BL156" s="1"/>
      <c r="BM156" s="1"/>
      <c r="BN156" s="1"/>
      <c r="BO156" s="1"/>
      <c r="BP156" s="1"/>
      <c r="BQ156" s="1"/>
      <c r="BR156" s="1"/>
      <c r="BS156" s="1"/>
      <c r="BT156" s="1"/>
      <c r="BX156" s="3"/>
      <c r="BY156" s="1"/>
      <c r="BZ156" s="1"/>
      <c r="CA156" s="1"/>
      <c r="CB156" s="1"/>
      <c r="CC156" s="1"/>
      <c r="CD156" s="1"/>
      <c r="CE156" s="1"/>
      <c r="CF156" s="1"/>
      <c r="CG156" s="1"/>
      <c r="CH156" s="1"/>
      <c r="CI156" s="1"/>
      <c r="CJ156" s="1">
        <f t="shared" ref="CJ156:CJ169" si="226">SUM(CB156:CI156)</f>
        <v>0</v>
      </c>
      <c r="CK156" s="1"/>
      <c r="CL156" s="1"/>
      <c r="CM156" s="1"/>
      <c r="CN156" s="1"/>
      <c r="CO156" s="1"/>
      <c r="CP156" s="1"/>
      <c r="CQ156" s="1"/>
      <c r="CR156" s="1"/>
      <c r="CS156" s="1"/>
      <c r="CT156" s="1"/>
      <c r="CU156" s="1">
        <f t="shared" si="223"/>
        <v>0</v>
      </c>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V156" s="1"/>
      <c r="DW156" s="1">
        <f t="shared" si="224"/>
        <v>0</v>
      </c>
      <c r="DX156" s="1"/>
      <c r="DY156" s="1"/>
      <c r="DZ156" s="1"/>
      <c r="EC156" s="89"/>
      <c r="ED156" s="1"/>
      <c r="EE156" s="1">
        <f>SUM(CW156:ED156)</f>
        <v>0</v>
      </c>
      <c r="EF156" s="1"/>
      <c r="EG156" s="1"/>
    </row>
    <row r="157" spans="1:137" ht="15.75">
      <c r="A157" s="1"/>
      <c r="B157" s="1" t="s">
        <v>390</v>
      </c>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f>SUM(E157:BE157)</f>
        <v>0</v>
      </c>
      <c r="BG157" s="1">
        <f t="shared" si="225"/>
        <v>0</v>
      </c>
      <c r="BH157" s="1">
        <f>+'DSBS ER'!B70+BH196</f>
        <v>0</v>
      </c>
      <c r="BI157" s="1">
        <f>+'DSBS ER'!C70+BI196</f>
        <v>41294</v>
      </c>
      <c r="BJ157" s="1">
        <f>+'DSBS ER'!D70+BJ196</f>
        <v>0</v>
      </c>
      <c r="BK157" s="1">
        <f>+'DSBS ER'!E70+BK196</f>
        <v>387148</v>
      </c>
      <c r="BL157" s="1">
        <f>+'DSBS ER'!F70+BL196</f>
        <v>55606</v>
      </c>
      <c r="BM157" s="1">
        <f>+'DSBS ER'!G70+BM196</f>
        <v>19430</v>
      </c>
      <c r="BN157" s="1">
        <f>+'DSBS ER'!H70+BN196</f>
        <v>121101</v>
      </c>
      <c r="BO157" s="1"/>
      <c r="BP157" s="1">
        <f>SUM(BH157:BN157)</f>
        <v>624579</v>
      </c>
      <c r="BQ157" s="1"/>
      <c r="BR157" s="1"/>
      <c r="BS157" s="1"/>
      <c r="BT157" s="1"/>
      <c r="BX157" s="3"/>
      <c r="BY157" s="1">
        <f>SUM(BR157:BX157)</f>
        <v>0</v>
      </c>
      <c r="BZ157" s="1"/>
      <c r="CA157" s="1"/>
      <c r="CB157" s="1"/>
      <c r="CC157" s="1"/>
      <c r="CD157" s="1"/>
      <c r="CE157" s="1"/>
      <c r="CF157" s="1"/>
      <c r="CG157" s="1"/>
      <c r="CH157" s="1"/>
      <c r="CI157" s="1"/>
      <c r="CJ157" s="1">
        <f t="shared" si="226"/>
        <v>0</v>
      </c>
      <c r="CK157" s="1"/>
      <c r="CL157" s="1"/>
      <c r="CM157" s="1"/>
      <c r="CN157" s="1"/>
      <c r="CO157" s="1"/>
      <c r="CP157" s="1"/>
      <c r="CQ157" s="1"/>
      <c r="CR157" s="1"/>
      <c r="CS157" s="1"/>
      <c r="CT157" s="1"/>
      <c r="CU157" s="1">
        <f t="shared" si="223"/>
        <v>0</v>
      </c>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V157" s="1"/>
      <c r="DW157" s="1">
        <f t="shared" si="224"/>
        <v>0</v>
      </c>
      <c r="DX157" s="1"/>
      <c r="DY157" s="1"/>
      <c r="DZ157" s="1"/>
      <c r="EC157" s="1"/>
      <c r="ED157" s="1"/>
      <c r="EE157" s="1">
        <f>SUM(CW157:ED157)</f>
        <v>0</v>
      </c>
      <c r="EF157" s="1"/>
      <c r="EG157" s="1"/>
    </row>
    <row r="158" spans="1:137" ht="15.75">
      <c r="A158" s="1"/>
      <c r="B158" s="1" t="s">
        <v>809</v>
      </c>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f>SUM(E158:BE158)</f>
        <v>0</v>
      </c>
      <c r="BG158" s="1">
        <f t="shared" si="225"/>
        <v>0</v>
      </c>
      <c r="BH158" s="1"/>
      <c r="BI158" s="1"/>
      <c r="BJ158" s="1"/>
      <c r="BK158" s="1"/>
      <c r="BL158" s="1"/>
      <c r="BM158" s="1"/>
      <c r="BN158" s="1"/>
      <c r="BO158" s="1"/>
      <c r="BP158" s="1">
        <f t="shared" ref="BP158:BP169" si="227">SUM(BH158:BN158)</f>
        <v>0</v>
      </c>
      <c r="BQ158" s="1"/>
      <c r="BR158" s="1"/>
      <c r="BS158" s="1"/>
      <c r="BT158" s="1"/>
      <c r="BX158" s="3"/>
      <c r="BY158" s="1">
        <f>SUM(BR158:BX158)</f>
        <v>0</v>
      </c>
      <c r="BZ158" s="1"/>
      <c r="CA158" s="1"/>
      <c r="CB158" s="1"/>
      <c r="CC158" s="1"/>
      <c r="CD158" s="1"/>
      <c r="CE158" s="1"/>
      <c r="CF158" s="1"/>
      <c r="CG158" s="1"/>
      <c r="CH158" s="1"/>
      <c r="CI158" s="1"/>
      <c r="CJ158" s="1">
        <f t="shared" si="226"/>
        <v>0</v>
      </c>
      <c r="CK158" s="1"/>
      <c r="CL158" s="1"/>
      <c r="CM158" s="1"/>
      <c r="CN158" s="1"/>
      <c r="CO158" s="1"/>
      <c r="CP158" s="1"/>
      <c r="CQ158" s="1"/>
      <c r="CR158" s="1"/>
      <c r="CS158" s="1"/>
      <c r="CT158" s="1"/>
      <c r="CU158" s="1">
        <f t="shared" si="223"/>
        <v>0</v>
      </c>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V158" s="1"/>
      <c r="DW158" s="1">
        <f t="shared" si="224"/>
        <v>0</v>
      </c>
      <c r="DX158" s="1"/>
      <c r="DY158" s="1"/>
      <c r="DZ158" s="1"/>
      <c r="EC158" s="1"/>
      <c r="ED158" s="1"/>
      <c r="EE158" s="1">
        <f>SUM(CW158:ED158)</f>
        <v>0</v>
      </c>
      <c r="EF158" s="1"/>
      <c r="EG158" s="1"/>
    </row>
    <row r="159" spans="1:137" ht="15.75">
      <c r="A159" s="1"/>
      <c r="B159" s="1" t="s">
        <v>1216</v>
      </c>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f>SUM(E159:BE159)</f>
        <v>0</v>
      </c>
      <c r="BG159" s="1">
        <f t="shared" si="225"/>
        <v>0</v>
      </c>
      <c r="BH159" s="1"/>
      <c r="BI159" s="1"/>
      <c r="BJ159" s="1"/>
      <c r="BK159" s="1"/>
      <c r="BL159" s="1"/>
      <c r="BM159" s="1"/>
      <c r="BN159" s="1"/>
      <c r="BO159" s="1"/>
      <c r="BP159" s="1">
        <f t="shared" si="227"/>
        <v>0</v>
      </c>
      <c r="BQ159" s="1"/>
      <c r="BR159" s="1"/>
      <c r="BS159" s="1"/>
      <c r="BT159" s="1"/>
      <c r="BX159" s="3"/>
      <c r="BY159" s="1"/>
      <c r="BZ159" s="1"/>
      <c r="CA159" s="1"/>
      <c r="CB159" s="1"/>
      <c r="CC159" s="1"/>
      <c r="CD159" s="1"/>
      <c r="CE159" s="1"/>
      <c r="CF159" s="1"/>
      <c r="CG159" s="1"/>
      <c r="CH159" s="1"/>
      <c r="CI159" s="1"/>
      <c r="CJ159" s="1">
        <f t="shared" si="226"/>
        <v>0</v>
      </c>
      <c r="CK159" s="1"/>
      <c r="CL159" s="1"/>
      <c r="CM159" s="1"/>
      <c r="CN159" s="1"/>
      <c r="CO159" s="1"/>
      <c r="CP159" s="1"/>
      <c r="CQ159" s="1"/>
      <c r="CR159" s="1"/>
      <c r="CS159" s="1"/>
      <c r="CT159" s="1"/>
      <c r="CU159" s="1">
        <f t="shared" si="223"/>
        <v>0</v>
      </c>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V159" s="1"/>
      <c r="DW159" s="1">
        <f t="shared" si="224"/>
        <v>0</v>
      </c>
      <c r="DX159" s="1"/>
      <c r="DY159" s="1"/>
      <c r="DZ159" s="1"/>
      <c r="EC159" s="1"/>
      <c r="ED159" s="1"/>
      <c r="EE159" s="1">
        <f>SUM(CW159:ED159)</f>
        <v>0</v>
      </c>
      <c r="EF159" s="1"/>
      <c r="EG159" s="1"/>
    </row>
    <row r="160" spans="1:137" ht="15.75">
      <c r="A160" s="1"/>
      <c r="B160" s="1" t="s">
        <v>698</v>
      </c>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f>SUM(E160:BE160)</f>
        <v>0</v>
      </c>
      <c r="BG160" s="1">
        <f t="shared" si="225"/>
        <v>0</v>
      </c>
      <c r="BH160" s="1"/>
      <c r="BI160" s="1"/>
      <c r="BJ160" s="1"/>
      <c r="BK160" s="1"/>
      <c r="BL160" s="1"/>
      <c r="BM160" s="1"/>
      <c r="BN160" s="1"/>
      <c r="BO160" s="1"/>
      <c r="BP160" s="1">
        <f t="shared" si="227"/>
        <v>0</v>
      </c>
      <c r="BQ160" s="1"/>
      <c r="BR160" s="1"/>
      <c r="BS160" s="1"/>
      <c r="BT160" s="1"/>
      <c r="BX160" s="3"/>
      <c r="BY160" s="1">
        <f>SUM(BR160:BX160)</f>
        <v>0</v>
      </c>
      <c r="BZ160" s="1"/>
      <c r="CA160" s="1"/>
      <c r="CB160" s="1"/>
      <c r="CC160" s="1"/>
      <c r="CD160" s="1"/>
      <c r="CE160" s="1"/>
      <c r="CF160" s="1"/>
      <c r="CG160" s="1"/>
      <c r="CH160" s="1"/>
      <c r="CI160" s="1"/>
      <c r="CJ160" s="1">
        <f t="shared" si="226"/>
        <v>0</v>
      </c>
      <c r="CK160" s="1"/>
      <c r="CL160" s="1"/>
      <c r="CM160" s="1"/>
      <c r="CN160" s="1"/>
      <c r="CO160" s="1"/>
      <c r="CP160" s="1"/>
      <c r="CQ160" s="1"/>
      <c r="CR160" s="1"/>
      <c r="CS160" s="1"/>
      <c r="CT160" s="1"/>
      <c r="CU160" s="1">
        <f t="shared" si="223"/>
        <v>0</v>
      </c>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V160" s="1"/>
      <c r="DW160" s="1">
        <f t="shared" si="224"/>
        <v>0</v>
      </c>
      <c r="DX160" s="1"/>
      <c r="DY160" s="1"/>
      <c r="DZ160" s="1"/>
      <c r="EC160" s="1"/>
      <c r="ED160" s="1"/>
      <c r="EE160" s="1">
        <f>SUM(CW160:ED160)</f>
        <v>0</v>
      </c>
      <c r="EF160" s="1"/>
      <c r="EG160" s="1"/>
    </row>
    <row r="161" spans="1:137" ht="15.7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f t="shared" si="225"/>
        <v>0</v>
      </c>
      <c r="BH161" s="1"/>
      <c r="BI161" s="1"/>
      <c r="BJ161" s="1"/>
      <c r="BK161" s="1"/>
      <c r="BL161" s="1"/>
      <c r="BM161" s="1"/>
      <c r="BN161" s="1"/>
      <c r="BO161" s="1"/>
      <c r="BP161" s="1"/>
      <c r="BQ161" s="1"/>
      <c r="BR161" s="1"/>
      <c r="BS161" s="1"/>
      <c r="BT161" s="1"/>
      <c r="BX161" s="3"/>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V161" s="1"/>
      <c r="DW161" s="1"/>
      <c r="DX161" s="1"/>
      <c r="DY161" s="1"/>
      <c r="DZ161" s="1"/>
      <c r="EC161" s="1"/>
      <c r="ED161" s="1"/>
      <c r="EE161" s="1"/>
      <c r="EF161" s="1"/>
      <c r="EG161" s="1"/>
    </row>
    <row r="162" spans="1:137" ht="15.75">
      <c r="A162" s="1"/>
      <c r="B162" s="1" t="s">
        <v>541</v>
      </c>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248">
        <f>+BD112</f>
        <v>371646</v>
      </c>
      <c r="BE162" s="1"/>
      <c r="BF162" s="1">
        <f>SUM(E162:BE162)</f>
        <v>371646</v>
      </c>
      <c r="BG162" s="1">
        <f t="shared" si="225"/>
        <v>371646</v>
      </c>
      <c r="BH162" s="1"/>
      <c r="BI162" s="1"/>
      <c r="BJ162" s="1"/>
      <c r="BK162" s="1"/>
      <c r="BL162" s="1"/>
      <c r="BM162" s="1"/>
      <c r="BN162" s="1"/>
      <c r="BO162" s="1"/>
      <c r="BP162" s="1">
        <f t="shared" si="227"/>
        <v>0</v>
      </c>
      <c r="BQ162" s="1"/>
      <c r="BR162" s="1"/>
      <c r="BS162" s="1"/>
      <c r="BT162" s="1"/>
      <c r="BX162" s="3"/>
      <c r="BY162" s="1"/>
      <c r="BZ162" s="1"/>
      <c r="CA162" s="1"/>
      <c r="CB162" s="1"/>
      <c r="CC162" s="1"/>
      <c r="CD162" s="1"/>
      <c r="CE162" s="1"/>
      <c r="CF162" s="1"/>
      <c r="CG162" s="1"/>
      <c r="CH162" s="1"/>
      <c r="CI162" s="1"/>
      <c r="CJ162" s="1">
        <f t="shared" si="226"/>
        <v>0</v>
      </c>
      <c r="CK162" s="1"/>
      <c r="CL162" s="1"/>
      <c r="CM162" s="1"/>
      <c r="CN162" s="1"/>
      <c r="CO162" s="1"/>
      <c r="CP162" s="1"/>
      <c r="CQ162" s="1"/>
      <c r="CR162" s="1"/>
      <c r="CS162" s="1"/>
      <c r="CT162" s="1"/>
      <c r="CU162" s="1">
        <f t="shared" ref="CU162:CU169" si="228">SUM(CL162:CT162)</f>
        <v>0</v>
      </c>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V162" s="1"/>
      <c r="DW162" s="1">
        <f t="shared" ref="DW162:DW169" si="229">SUM(CY162:DV162)</f>
        <v>0</v>
      </c>
      <c r="DX162" s="1"/>
      <c r="DY162" s="1"/>
      <c r="DZ162" s="1"/>
      <c r="EC162" s="1"/>
      <c r="ED162" s="1"/>
      <c r="EE162" s="1">
        <f t="shared" ref="EE162:EE169" si="230">SUM(CW162:ED162)</f>
        <v>0</v>
      </c>
      <c r="EF162" s="1"/>
      <c r="EG162" s="1"/>
    </row>
    <row r="163" spans="1:137" ht="15.75">
      <c r="A163" s="1"/>
      <c r="B163" s="1" t="s">
        <v>699</v>
      </c>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f>SUM(E163:BE163)</f>
        <v>0</v>
      </c>
      <c r="BG163" s="1">
        <f t="shared" si="225"/>
        <v>0</v>
      </c>
      <c r="BH163" s="1"/>
      <c r="BI163" s="1"/>
      <c r="BJ163" s="1"/>
      <c r="BK163" s="1"/>
      <c r="BL163" s="1"/>
      <c r="BM163" s="1"/>
      <c r="BN163" s="1"/>
      <c r="BO163" s="1"/>
      <c r="BP163" s="1">
        <f t="shared" si="227"/>
        <v>0</v>
      </c>
      <c r="BQ163" s="1"/>
      <c r="BR163" s="1"/>
      <c r="BS163" s="1"/>
      <c r="BT163" s="1"/>
      <c r="BX163" s="3"/>
      <c r="BY163" s="1">
        <f>SUM(BR163:BX163)</f>
        <v>0</v>
      </c>
      <c r="BZ163" s="1"/>
      <c r="CA163" s="1"/>
      <c r="CB163" s="1"/>
      <c r="CC163" s="1"/>
      <c r="CD163" s="1"/>
      <c r="CE163" s="1"/>
      <c r="CF163" s="1"/>
      <c r="CG163" s="1"/>
      <c r="CH163" s="1"/>
      <c r="CI163" s="1"/>
      <c r="CJ163" s="1">
        <f t="shared" si="226"/>
        <v>0</v>
      </c>
      <c r="CK163" s="1"/>
      <c r="CL163" s="1"/>
      <c r="CM163" s="1"/>
      <c r="CN163" s="1"/>
      <c r="CO163" s="1"/>
      <c r="CP163" s="1"/>
      <c r="CQ163" s="1"/>
      <c r="CR163" s="1"/>
      <c r="CS163" s="1"/>
      <c r="CT163" s="1"/>
      <c r="CU163" s="1">
        <f t="shared" si="228"/>
        <v>0</v>
      </c>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V163" s="1"/>
      <c r="DW163" s="1">
        <f t="shared" si="229"/>
        <v>0</v>
      </c>
      <c r="DX163" s="1"/>
      <c r="DY163" s="1"/>
      <c r="DZ163" s="1"/>
      <c r="EC163" s="1"/>
      <c r="ED163" s="1"/>
      <c r="EE163" s="1">
        <f t="shared" si="230"/>
        <v>0</v>
      </c>
      <c r="EF163" s="1"/>
      <c r="EG163" s="180">
        <f>+EG112</f>
        <v>365897</v>
      </c>
    </row>
    <row r="164" spans="1:137" ht="15.75">
      <c r="A164" s="1"/>
      <c r="B164" s="1" t="s">
        <v>1083</v>
      </c>
      <c r="C164" s="1"/>
      <c r="D164" s="1">
        <f>+'GFBS ER'!B70+D196</f>
        <v>10244401</v>
      </c>
      <c r="E164" s="1">
        <f>+'SRBS ER'!B70+E196</f>
        <v>-172932</v>
      </c>
      <c r="F164" s="1">
        <f>+'SRBS ER'!C70+F196</f>
        <v>3692</v>
      </c>
      <c r="G164" s="1">
        <f>+'SRBS ER'!D70+G196</f>
        <v>73809</v>
      </c>
      <c r="H164" s="1">
        <f>+'SRBS ER'!E70+H196</f>
        <v>357347</v>
      </c>
      <c r="I164" s="1">
        <f>+'SRBS ER'!F70+I196</f>
        <v>71683</v>
      </c>
      <c r="J164" s="1">
        <f>+'SRBS ER'!G70+J196</f>
        <v>1721516</v>
      </c>
      <c r="K164" s="1">
        <f>+'SRBS ER'!H70+K196</f>
        <v>1303</v>
      </c>
      <c r="L164" s="1">
        <f>+'SRBS ER'!I70+L196</f>
        <v>21640</v>
      </c>
      <c r="M164" s="1">
        <f>+'SRBS ER'!J70+M196</f>
        <v>672067</v>
      </c>
      <c r="N164" s="1">
        <f>+'SRBS ER'!K70+N196</f>
        <v>84305</v>
      </c>
      <c r="O164" s="1">
        <f>+'SRBS ER'!L70+O196</f>
        <v>60405</v>
      </c>
      <c r="P164" s="1">
        <f>+'SRBS ER'!M70+P196</f>
        <v>0</v>
      </c>
      <c r="Q164" s="1">
        <f>+'SRBS ER'!N70+Q196</f>
        <v>185629</v>
      </c>
      <c r="R164" s="1">
        <f>+'SRBS ER'!O70+R196</f>
        <v>380215</v>
      </c>
      <c r="S164" s="1">
        <f>+'SRBS ER'!P70+S196</f>
        <v>1058146</v>
      </c>
      <c r="T164" s="1">
        <f>+'SRBS ER'!Q70+T196</f>
        <v>308</v>
      </c>
      <c r="U164" s="1">
        <f>+'SRBS ER'!R70+U196</f>
        <v>611023</v>
      </c>
      <c r="V164" s="1">
        <f>+'SRBS ER'!S70+V196</f>
        <v>2517</v>
      </c>
      <c r="W164" s="1">
        <f>+'SRBS ER'!T70+W196</f>
        <v>255076</v>
      </c>
      <c r="X164" s="1">
        <f>+'SRBS ER'!U70+X196</f>
        <v>4417198</v>
      </c>
      <c r="Y164" s="1">
        <f>+'SRBS ER'!V70+Y196</f>
        <v>35779</v>
      </c>
      <c r="Z164" s="1">
        <f>+'SRBS ER'!W70+Z196</f>
        <v>107003</v>
      </c>
      <c r="AA164" s="1">
        <f>+'SRBS ER'!X70+AA196</f>
        <v>100039</v>
      </c>
      <c r="AB164" s="1">
        <f>+'SRBS ER'!Y70+AB196</f>
        <v>1667779</v>
      </c>
      <c r="AC164" s="1">
        <f>+'SRBS ER'!Z70+AC196</f>
        <v>238913</v>
      </c>
      <c r="AD164" s="1">
        <f>+'SRBS ER'!AA70+AD196</f>
        <v>28133</v>
      </c>
      <c r="AE164" s="1">
        <f>+'SRBS ER'!AB70+'SRBS ER'!AC70+AE196</f>
        <v>82435</v>
      </c>
      <c r="AF164" s="1">
        <f>+'SRBS ER'!AD70+AF196</f>
        <v>21202</v>
      </c>
      <c r="AG164" s="1">
        <f>+'SRBS ER'!AE70+AG196</f>
        <v>422641</v>
      </c>
      <c r="AH164" s="1">
        <f>+'SRBS ER'!AF70+AH196</f>
        <v>253738</v>
      </c>
      <c r="AI164" s="1">
        <f>+'SRBS ER'!AG70+AI196</f>
        <v>21826</v>
      </c>
      <c r="AJ164" s="1">
        <f>+'SRBS ER'!AH70+AJ196</f>
        <v>62464</v>
      </c>
      <c r="AK164" s="1">
        <f>+'SRBS ER'!AI70+AK196</f>
        <v>5768</v>
      </c>
      <c r="AL164" s="1">
        <f>+'SRBS ER'!AJ70+AL196</f>
        <v>35534</v>
      </c>
      <c r="AM164" s="1">
        <f>+'SRBS ER'!AK70+AM196</f>
        <v>39899</v>
      </c>
      <c r="AN164" s="1">
        <f>+'SRBS ER'!AL70+AN196</f>
        <v>168446</v>
      </c>
      <c r="AO164" s="1">
        <f>+'SRBS ER'!AM70+AO196</f>
        <v>0</v>
      </c>
      <c r="AP164" s="1">
        <f>+'SRBS ER'!AN70+AP196</f>
        <v>1675727</v>
      </c>
      <c r="AQ164" s="1">
        <f>+'SRBS ER'!AO70+AQ196</f>
        <v>872198</v>
      </c>
      <c r="AR164" s="1">
        <f>+'SRBS ER'!AQ70+AR196</f>
        <v>0</v>
      </c>
      <c r="AS164" s="1">
        <f>+'SRBS ER'!AR70+AS196</f>
        <v>96879</v>
      </c>
      <c r="AT164" s="1">
        <f>+'SRBS ER'!AS70+AT196</f>
        <v>656704</v>
      </c>
      <c r="AU164" s="1">
        <f>+'SRBS ER'!AT70+AU196</f>
        <v>-62477</v>
      </c>
      <c r="AV164" s="1">
        <f>+'SRBS ER'!AU70+AV196</f>
        <v>-22045</v>
      </c>
      <c r="AW164" s="1"/>
      <c r="AX164" s="1">
        <f>+'SRBS ER'!AW70+AX196</f>
        <v>-11972</v>
      </c>
      <c r="AY164" s="1">
        <f>+'SRBS ER'!AX70+AY196</f>
        <v>0</v>
      </c>
      <c r="AZ164" s="1">
        <f>+'SRBS ER'!AY70+AZ196</f>
        <v>17572</v>
      </c>
      <c r="BA164" s="1">
        <f>+'SRBS ER'!AZ70+BA196</f>
        <v>-8728</v>
      </c>
      <c r="BB164" s="216">
        <f>+'SRBS ER'!BA70+BB196-6724351</f>
        <v>-197128</v>
      </c>
      <c r="BC164" s="134">
        <f>+'SRBS ER'!BB70+BC196</f>
        <v>6823774</v>
      </c>
      <c r="BD164" s="1"/>
      <c r="BE164" s="1"/>
      <c r="BF164" s="1">
        <f>SUM(E164:BE164)</f>
        <v>22937050</v>
      </c>
      <c r="BG164" s="1">
        <f t="shared" si="225"/>
        <v>11893206</v>
      </c>
      <c r="BO164" s="1"/>
      <c r="BP164" s="1">
        <f t="shared" si="227"/>
        <v>0</v>
      </c>
      <c r="BQ164" s="1"/>
      <c r="BR164" s="182">
        <f>+'CPBS ER'!B70+BR196</f>
        <v>17958090</v>
      </c>
      <c r="BS164" s="1">
        <f>+'CPBS ER'!C70</f>
        <v>0</v>
      </c>
      <c r="BT164" s="1">
        <f>+'CPBS ER'!D70</f>
        <v>-24383</v>
      </c>
      <c r="BU164" s="1">
        <f>+'CPBS ER'!E70</f>
        <v>0</v>
      </c>
      <c r="BV164" s="1">
        <f>+'CPBS ER'!F70</f>
        <v>0</v>
      </c>
      <c r="BW164" s="1">
        <f>+'CPBS ER'!G70</f>
        <v>2453628</v>
      </c>
      <c r="BX164" s="3"/>
      <c r="BY164" s="1">
        <f>SUM(BR164:BX164)</f>
        <v>20387335</v>
      </c>
      <c r="BZ164" s="1"/>
      <c r="CA164" s="1"/>
      <c r="CB164" s="1"/>
      <c r="CC164" s="1"/>
      <c r="CD164" s="1"/>
      <c r="CE164" s="1"/>
      <c r="CF164" s="1"/>
      <c r="CG164" s="1"/>
      <c r="CH164" s="1"/>
      <c r="CI164" s="1"/>
      <c r="CJ164" s="1">
        <f t="shared" si="226"/>
        <v>0</v>
      </c>
      <c r="CK164" s="1"/>
      <c r="CL164" s="1"/>
      <c r="CM164" s="1"/>
      <c r="CN164" s="1"/>
      <c r="CO164" s="1"/>
      <c r="CP164" s="1"/>
      <c r="CQ164" s="1"/>
      <c r="CR164" s="1"/>
      <c r="CS164" s="1"/>
      <c r="CT164" s="1"/>
      <c r="CU164" s="1">
        <f t="shared" si="228"/>
        <v>0</v>
      </c>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V164" s="1"/>
      <c r="DW164" s="1">
        <f t="shared" si="229"/>
        <v>0</v>
      </c>
      <c r="DX164" s="1"/>
      <c r="DY164" s="1"/>
      <c r="DZ164" s="1"/>
      <c r="ED164" s="1"/>
      <c r="EE164" s="1">
        <f t="shared" si="230"/>
        <v>0</v>
      </c>
      <c r="EF164" s="1"/>
      <c r="EG164" s="1"/>
    </row>
    <row r="165" spans="1:137" ht="15.75">
      <c r="A165" s="1"/>
      <c r="B165" s="1" t="s">
        <v>1</v>
      </c>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f t="shared" si="225"/>
        <v>0</v>
      </c>
      <c r="BH165" s="1"/>
      <c r="BI165" s="1"/>
      <c r="BJ165" s="1"/>
      <c r="BK165" s="1"/>
      <c r="BL165" s="1"/>
      <c r="BM165" s="1"/>
      <c r="BN165" s="1"/>
      <c r="BO165" s="1"/>
      <c r="BP165" s="1">
        <f t="shared" si="227"/>
        <v>0</v>
      </c>
      <c r="BQ165" s="1"/>
      <c r="BR165" s="1"/>
      <c r="BS165" s="1"/>
      <c r="BT165" s="1"/>
      <c r="BX165" s="3"/>
      <c r="BY165" s="1"/>
      <c r="BZ165" s="1"/>
      <c r="CA165" s="1"/>
      <c r="CB165" s="1"/>
      <c r="CC165" s="1"/>
      <c r="CD165" s="1"/>
      <c r="CE165" s="1"/>
      <c r="CF165" s="1"/>
      <c r="CG165" s="1"/>
      <c r="CH165" s="1"/>
      <c r="CI165" s="1"/>
      <c r="CJ165" s="1">
        <f t="shared" si="226"/>
        <v>0</v>
      </c>
      <c r="CK165" s="1"/>
      <c r="CL165" s="1"/>
      <c r="CM165" s="1"/>
      <c r="CN165" s="1"/>
      <c r="CO165" s="1"/>
      <c r="CP165" s="1"/>
      <c r="CQ165" s="1"/>
      <c r="CR165" s="1"/>
      <c r="CS165" s="1"/>
      <c r="CT165" s="1"/>
      <c r="CU165" s="1">
        <f t="shared" si="228"/>
        <v>0</v>
      </c>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V165" s="1"/>
      <c r="DW165" s="1">
        <f t="shared" si="229"/>
        <v>0</v>
      </c>
      <c r="DX165" s="1"/>
      <c r="DY165" s="1"/>
      <c r="DZ165" s="1"/>
      <c r="EC165" s="32"/>
      <c r="ED165" s="1"/>
      <c r="EE165" s="1">
        <f t="shared" si="230"/>
        <v>0</v>
      </c>
      <c r="EF165" s="1"/>
      <c r="EG165" s="1"/>
    </row>
    <row r="166" spans="1:137" ht="15.75">
      <c r="A166" s="1"/>
      <c r="B166" s="1" t="s">
        <v>1375</v>
      </c>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f t="shared" si="225"/>
        <v>0</v>
      </c>
      <c r="BH166" s="1"/>
      <c r="BI166" s="1"/>
      <c r="BJ166" s="1"/>
      <c r="BK166" s="1"/>
      <c r="BL166" s="1"/>
      <c r="BM166" s="1"/>
      <c r="BN166" s="1"/>
      <c r="BO166" s="1"/>
      <c r="BP166" s="1">
        <f t="shared" si="227"/>
        <v>0</v>
      </c>
      <c r="BQ166" s="1"/>
      <c r="BR166" s="1"/>
      <c r="BS166" s="1"/>
      <c r="BT166" s="1"/>
      <c r="BX166" s="3"/>
      <c r="BY166" s="1"/>
      <c r="BZ166" s="1"/>
      <c r="CA166" s="1"/>
      <c r="CB166" s="1"/>
      <c r="CC166" s="1"/>
      <c r="CD166" s="1"/>
      <c r="CE166" s="1"/>
      <c r="CF166" s="1"/>
      <c r="CG166" s="1"/>
      <c r="CH166" s="1"/>
      <c r="CI166" s="1"/>
      <c r="CJ166" s="1">
        <f t="shared" si="226"/>
        <v>0</v>
      </c>
      <c r="CK166" s="1"/>
      <c r="CL166" s="1"/>
      <c r="CM166" s="1"/>
      <c r="CN166" s="1"/>
      <c r="CO166" s="1"/>
      <c r="CP166" s="1"/>
      <c r="CQ166" s="1"/>
      <c r="CR166" s="1"/>
      <c r="CS166" s="1"/>
      <c r="CT166" s="1"/>
      <c r="CU166" s="1">
        <f t="shared" si="228"/>
        <v>0</v>
      </c>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V166" s="1"/>
      <c r="DW166" s="1">
        <f t="shared" si="229"/>
        <v>0</v>
      </c>
      <c r="DX166" s="1"/>
      <c r="DY166" s="1"/>
      <c r="DZ166" s="1"/>
      <c r="EC166" s="32"/>
      <c r="ED166" s="1"/>
      <c r="EE166" s="1">
        <f t="shared" si="230"/>
        <v>0</v>
      </c>
      <c r="EF166" s="1"/>
      <c r="EG166" s="1"/>
    </row>
    <row r="167" spans="1:137" ht="15.75">
      <c r="A167" s="1"/>
      <c r="B167" s="1" t="s">
        <v>96</v>
      </c>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f t="shared" si="225"/>
        <v>0</v>
      </c>
      <c r="BH167" s="1"/>
      <c r="BI167" s="1"/>
      <c r="BJ167" s="1"/>
      <c r="BK167" s="1"/>
      <c r="BL167" s="1"/>
      <c r="BM167" s="1"/>
      <c r="BN167" s="1"/>
      <c r="BO167" s="1"/>
      <c r="BP167" s="1">
        <f t="shared" si="227"/>
        <v>0</v>
      </c>
      <c r="BQ167" s="1"/>
      <c r="BR167" s="1"/>
      <c r="BS167" s="1"/>
      <c r="BT167" s="1"/>
      <c r="BX167" s="3"/>
      <c r="BY167" s="1"/>
      <c r="BZ167" s="1"/>
      <c r="CA167" s="1"/>
      <c r="CB167" s="1"/>
      <c r="CC167" s="1"/>
      <c r="CD167" s="1"/>
      <c r="CE167" s="1"/>
      <c r="CF167" s="1"/>
      <c r="CG167" s="1"/>
      <c r="CH167" s="1"/>
      <c r="CI167" s="1"/>
      <c r="CJ167" s="1">
        <f t="shared" si="226"/>
        <v>0</v>
      </c>
      <c r="CK167" s="1"/>
      <c r="CL167" s="1"/>
      <c r="CM167" s="1"/>
      <c r="CN167" s="1"/>
      <c r="CO167" s="1"/>
      <c r="CP167" s="1"/>
      <c r="CQ167" s="1"/>
      <c r="CR167" s="1"/>
      <c r="CS167" s="1"/>
      <c r="CT167" s="1"/>
      <c r="CU167" s="1">
        <f t="shared" si="228"/>
        <v>0</v>
      </c>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V167" s="1"/>
      <c r="DW167" s="1">
        <f t="shared" si="229"/>
        <v>0</v>
      </c>
      <c r="DX167" s="1"/>
      <c r="DY167" s="1"/>
      <c r="DZ167" s="1"/>
      <c r="EC167" s="32"/>
      <c r="ED167" s="1"/>
      <c r="EE167" s="1">
        <f t="shared" si="230"/>
        <v>0</v>
      </c>
      <c r="EF167" s="1"/>
      <c r="EG167" s="1"/>
    </row>
    <row r="168" spans="1:137" ht="15.75">
      <c r="A168" s="1"/>
      <c r="B168" s="1" t="s">
        <v>783</v>
      </c>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f t="shared" si="225"/>
        <v>0</v>
      </c>
      <c r="BH168" s="1"/>
      <c r="BI168" s="1"/>
      <c r="BJ168" s="1"/>
      <c r="BK168" s="1"/>
      <c r="BL168" s="1"/>
      <c r="BM168" s="1"/>
      <c r="BN168" s="1"/>
      <c r="BO168" s="1"/>
      <c r="BP168" s="1">
        <f t="shared" si="227"/>
        <v>0</v>
      </c>
      <c r="BQ168" s="1"/>
      <c r="BR168" s="1"/>
      <c r="BS168" s="1"/>
      <c r="BT168" s="1"/>
      <c r="BX168" s="3"/>
      <c r="BY168" s="1"/>
      <c r="BZ168" s="1"/>
      <c r="CA168" s="1"/>
      <c r="CB168" s="1"/>
      <c r="CC168" s="1"/>
      <c r="CD168" s="1"/>
      <c r="CE168" s="1"/>
      <c r="CF168" s="1"/>
      <c r="CG168" s="1"/>
      <c r="CH168" s="1"/>
      <c r="CI168" s="1"/>
      <c r="CJ168" s="1">
        <f t="shared" si="226"/>
        <v>0</v>
      </c>
      <c r="CK168" s="1"/>
      <c r="CL168" s="1"/>
      <c r="CM168" s="1"/>
      <c r="CN168" s="1"/>
      <c r="CO168" s="1"/>
      <c r="CP168" s="1"/>
      <c r="CQ168" s="1"/>
      <c r="CR168" s="1"/>
      <c r="CS168" s="1"/>
      <c r="CT168" s="1"/>
      <c r="CU168" s="1">
        <f t="shared" si="228"/>
        <v>0</v>
      </c>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V168" s="1"/>
      <c r="DW168" s="1">
        <f t="shared" si="229"/>
        <v>0</v>
      </c>
      <c r="DX168" s="1"/>
      <c r="DY168" s="1"/>
      <c r="DZ168" s="1"/>
      <c r="EC168" s="32"/>
      <c r="ED168" s="1"/>
      <c r="EE168" s="1">
        <f t="shared" si="230"/>
        <v>0</v>
      </c>
      <c r="EF168" s="1"/>
      <c r="EG168" s="1"/>
    </row>
    <row r="169" spans="1:137" ht="15.75">
      <c r="A169" s="1"/>
      <c r="B169" s="1" t="s">
        <v>1197</v>
      </c>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f t="shared" si="225"/>
        <v>0</v>
      </c>
      <c r="BH169" s="1"/>
      <c r="BI169" s="1"/>
      <c r="BJ169" s="1"/>
      <c r="BK169" s="1"/>
      <c r="BL169" s="1"/>
      <c r="BM169" s="1"/>
      <c r="BN169" s="1"/>
      <c r="BO169" s="1"/>
      <c r="BP169" s="1">
        <f t="shared" si="227"/>
        <v>0</v>
      </c>
      <c r="BQ169" s="1"/>
      <c r="BR169" s="1"/>
      <c r="BS169" s="1"/>
      <c r="BT169" s="1"/>
      <c r="BX169" s="3"/>
      <c r="BY169" s="1">
        <f>SUM(BR169:BX169)</f>
        <v>0</v>
      </c>
      <c r="BZ169" s="1"/>
      <c r="CA169" s="1"/>
      <c r="CB169" s="1"/>
      <c r="CC169" s="1"/>
      <c r="CD169" s="1"/>
      <c r="CE169" s="1"/>
      <c r="CF169" s="1"/>
      <c r="CG169" s="1"/>
      <c r="CH169" s="1"/>
      <c r="CI169" s="1"/>
      <c r="CJ169" s="1">
        <f t="shared" si="226"/>
        <v>0</v>
      </c>
      <c r="CK169" s="1"/>
      <c r="CL169" s="1"/>
      <c r="CM169" s="1"/>
      <c r="CN169" s="1"/>
      <c r="CO169" s="1"/>
      <c r="CP169" s="1"/>
      <c r="CQ169" s="1"/>
      <c r="CR169" s="1"/>
      <c r="CS169" s="1"/>
      <c r="CT169" s="1"/>
      <c r="CU169" s="1">
        <f t="shared" si="228"/>
        <v>0</v>
      </c>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V169" s="1"/>
      <c r="DW169" s="1">
        <f t="shared" si="229"/>
        <v>0</v>
      </c>
      <c r="DX169" s="1"/>
      <c r="DY169" s="1"/>
      <c r="DZ169" s="1"/>
      <c r="EC169" s="1"/>
      <c r="ED169" s="1"/>
      <c r="EE169" s="1">
        <f t="shared" si="230"/>
        <v>0</v>
      </c>
      <c r="EF169" s="1"/>
    </row>
    <row r="170" spans="1:137" ht="15.7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f t="shared" si="225"/>
        <v>0</v>
      </c>
      <c r="BH170" s="1"/>
      <c r="BI170" s="1"/>
      <c r="BJ170" s="1"/>
      <c r="BK170" s="1"/>
      <c r="BL170" s="1"/>
      <c r="BM170" s="1"/>
      <c r="BN170" s="1"/>
      <c r="BO170" s="1"/>
      <c r="BP170" s="1"/>
      <c r="BQ170" s="1"/>
      <c r="BR170" s="1"/>
      <c r="BS170" s="1"/>
      <c r="BT170" s="1"/>
      <c r="BX170" s="3"/>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V170" s="1"/>
      <c r="DW170" s="1"/>
      <c r="DX170" s="1"/>
      <c r="DY170" s="1"/>
      <c r="DZ170" s="1"/>
      <c r="EC170" s="1"/>
      <c r="ED170" s="1"/>
      <c r="EE170" s="1"/>
      <c r="EF170" s="1"/>
      <c r="EG170" s="1"/>
    </row>
    <row r="171" spans="1:137" ht="15.75">
      <c r="A171" s="1"/>
      <c r="B171" s="1" t="s">
        <v>1196</v>
      </c>
      <c r="C171" s="1"/>
      <c r="D171" s="1">
        <f t="shared" ref="D171:O171" si="231">SUM(D146:D169)</f>
        <v>10244401</v>
      </c>
      <c r="E171" s="1">
        <f t="shared" si="231"/>
        <v>-172932</v>
      </c>
      <c r="F171" s="1">
        <f t="shared" si="231"/>
        <v>3692</v>
      </c>
      <c r="G171" s="1">
        <f t="shared" si="231"/>
        <v>73809</v>
      </c>
      <c r="H171" s="1">
        <f t="shared" si="231"/>
        <v>357347</v>
      </c>
      <c r="I171" s="1">
        <f t="shared" si="231"/>
        <v>71683</v>
      </c>
      <c r="J171" s="1">
        <f t="shared" si="231"/>
        <v>1721516</v>
      </c>
      <c r="K171" s="1">
        <f t="shared" si="231"/>
        <v>1303</v>
      </c>
      <c r="L171" s="1">
        <f>SUM(L146:L169)</f>
        <v>21640</v>
      </c>
      <c r="M171" s="1">
        <f t="shared" si="231"/>
        <v>672067</v>
      </c>
      <c r="N171" s="1">
        <f>SUM(N146:N169)</f>
        <v>84305</v>
      </c>
      <c r="O171" s="1">
        <f t="shared" si="231"/>
        <v>60405</v>
      </c>
      <c r="P171" s="1">
        <f>SUM(P145:P169)</f>
        <v>0</v>
      </c>
      <c r="Q171" s="1">
        <f t="shared" ref="Q171:Y171" si="232">SUM(Q146:Q169)</f>
        <v>185629</v>
      </c>
      <c r="R171" s="1">
        <f t="shared" si="232"/>
        <v>380215</v>
      </c>
      <c r="S171" s="1">
        <f t="shared" si="232"/>
        <v>1058146</v>
      </c>
      <c r="T171" s="1">
        <f t="shared" si="232"/>
        <v>308</v>
      </c>
      <c r="U171" s="1">
        <f t="shared" si="232"/>
        <v>611023</v>
      </c>
      <c r="V171" s="1">
        <f t="shared" si="232"/>
        <v>2517</v>
      </c>
      <c r="W171" s="1">
        <f t="shared" si="232"/>
        <v>255076</v>
      </c>
      <c r="X171" s="1">
        <f t="shared" si="232"/>
        <v>4417198</v>
      </c>
      <c r="Y171" s="1">
        <f t="shared" si="232"/>
        <v>35779</v>
      </c>
      <c r="Z171" s="1">
        <f t="shared" ref="Z171:AK171" si="233">SUM(Z146:Z169)</f>
        <v>107003</v>
      </c>
      <c r="AA171" s="1">
        <f t="shared" si="233"/>
        <v>100039</v>
      </c>
      <c r="AB171" s="1">
        <f>SUM(AB146:AB169)</f>
        <v>1667779</v>
      </c>
      <c r="AC171" s="1">
        <f t="shared" si="233"/>
        <v>238913</v>
      </c>
      <c r="AD171" s="1">
        <f t="shared" si="233"/>
        <v>28133</v>
      </c>
      <c r="AE171" s="1">
        <f t="shared" si="233"/>
        <v>82435</v>
      </c>
      <c r="AF171" s="1">
        <f t="shared" si="233"/>
        <v>21202</v>
      </c>
      <c r="AG171" s="1">
        <f t="shared" si="233"/>
        <v>422641</v>
      </c>
      <c r="AH171" s="1">
        <f t="shared" si="233"/>
        <v>253738</v>
      </c>
      <c r="AI171" s="1">
        <f t="shared" si="233"/>
        <v>21826</v>
      </c>
      <c r="AJ171" s="1">
        <f t="shared" si="233"/>
        <v>62464</v>
      </c>
      <c r="AK171" s="1">
        <f t="shared" si="233"/>
        <v>5768</v>
      </c>
      <c r="AL171" s="1">
        <f t="shared" ref="AL171:AR171" si="234">SUM(AL146:AL169)</f>
        <v>35534</v>
      </c>
      <c r="AM171" s="1">
        <f t="shared" si="234"/>
        <v>39899</v>
      </c>
      <c r="AN171" s="1">
        <f t="shared" si="234"/>
        <v>168446</v>
      </c>
      <c r="AO171" s="1">
        <f t="shared" si="234"/>
        <v>0</v>
      </c>
      <c r="AP171" s="1">
        <f t="shared" si="234"/>
        <v>1675727</v>
      </c>
      <c r="AQ171" s="1">
        <f>SUM(AQ146:AQ169)</f>
        <v>872198</v>
      </c>
      <c r="AR171" s="1">
        <f t="shared" si="234"/>
        <v>0</v>
      </c>
      <c r="AS171" s="1">
        <f>SUM(AS146:AS169)</f>
        <v>96879</v>
      </c>
      <c r="AT171" s="1">
        <f>SUM(AT146:AT169)</f>
        <v>656704</v>
      </c>
      <c r="AU171" s="1">
        <f>SUM(AU146:AU169)</f>
        <v>-62477</v>
      </c>
      <c r="AV171" s="1">
        <f t="shared" ref="AV171:BA171" si="235">SUM(AV146:AV169)</f>
        <v>-22045</v>
      </c>
      <c r="AW171" s="1"/>
      <c r="AX171" s="1">
        <f t="shared" si="235"/>
        <v>-11972</v>
      </c>
      <c r="AY171" s="1">
        <f t="shared" si="235"/>
        <v>0</v>
      </c>
      <c r="AZ171" s="1">
        <f t="shared" si="235"/>
        <v>17572</v>
      </c>
      <c r="BA171" s="1">
        <f t="shared" si="235"/>
        <v>-8728</v>
      </c>
      <c r="BB171" s="1">
        <f>SUM(BB146:BB169)</f>
        <v>-197128</v>
      </c>
      <c r="BC171" s="1">
        <f>SUM(BC146:BC169)</f>
        <v>6823774</v>
      </c>
      <c r="BD171" s="1">
        <f>SUM(BD146:BD169)</f>
        <v>371646</v>
      </c>
      <c r="BE171" s="1"/>
      <c r="BF171" s="1">
        <f>SUM(BF146:BF169)</f>
        <v>23308696</v>
      </c>
      <c r="BG171" s="1">
        <f>SUM(BG146:BG169)</f>
        <v>12264852</v>
      </c>
      <c r="BH171" s="1">
        <f t="shared" ref="BH171:BN171" si="236">SUM(BH146:BH169)</f>
        <v>0</v>
      </c>
      <c r="BI171" s="1">
        <f t="shared" si="236"/>
        <v>41294</v>
      </c>
      <c r="BJ171" s="1">
        <f t="shared" si="236"/>
        <v>0</v>
      </c>
      <c r="BK171" s="1">
        <f t="shared" si="236"/>
        <v>387148</v>
      </c>
      <c r="BL171" s="1">
        <f t="shared" si="236"/>
        <v>55606</v>
      </c>
      <c r="BM171" s="1">
        <f t="shared" si="236"/>
        <v>19430</v>
      </c>
      <c r="BN171" s="1">
        <f t="shared" si="236"/>
        <v>121101</v>
      </c>
      <c r="BO171" s="1"/>
      <c r="BP171" s="1">
        <f t="shared" ref="BP171:BU171" si="237">SUM(BP146:BP169)</f>
        <v>624579</v>
      </c>
      <c r="BQ171" s="1"/>
      <c r="BR171" s="1">
        <f t="shared" si="237"/>
        <v>17958090</v>
      </c>
      <c r="BS171" s="1">
        <f t="shared" si="237"/>
        <v>0</v>
      </c>
      <c r="BT171" s="1">
        <f t="shared" si="237"/>
        <v>-24383</v>
      </c>
      <c r="BU171" s="1">
        <f t="shared" si="237"/>
        <v>0</v>
      </c>
      <c r="BV171" s="1">
        <f>SUM(BV146:BV169)</f>
        <v>0</v>
      </c>
      <c r="BW171" s="1">
        <f>SUM(BW146:BW169)</f>
        <v>2453628</v>
      </c>
      <c r="BX171" s="3"/>
      <c r="BY171" s="1">
        <f>SUM(BY146:BY169)</f>
        <v>20387335</v>
      </c>
      <c r="BZ171" s="1"/>
      <c r="CA171" s="1"/>
      <c r="CB171" s="1">
        <f t="shared" ref="CB171:CH171" si="238">SUM(CB146:CB169)</f>
        <v>0</v>
      </c>
      <c r="CC171" s="1">
        <f>SUM(CC146:CC169)</f>
        <v>8164448</v>
      </c>
      <c r="CD171" s="1">
        <f t="shared" si="238"/>
        <v>46750</v>
      </c>
      <c r="CE171" s="1">
        <f t="shared" si="238"/>
        <v>98039</v>
      </c>
      <c r="CF171" s="1">
        <f t="shared" si="238"/>
        <v>1180465</v>
      </c>
      <c r="CG171" s="1">
        <f t="shared" si="238"/>
        <v>7510950</v>
      </c>
      <c r="CH171" s="1">
        <f t="shared" si="238"/>
        <v>118600</v>
      </c>
      <c r="CI171" s="1"/>
      <c r="CJ171" s="1">
        <f>SUM(CJ146:CJ169)</f>
        <v>17119252</v>
      </c>
      <c r="CK171" s="1"/>
      <c r="CL171" s="1">
        <f t="shared" ref="CL171:CR171" si="239">SUM(CL146:CL169)</f>
        <v>2360894</v>
      </c>
      <c r="CM171" s="1">
        <f>SUM(CM146:CM169)</f>
        <v>1022560</v>
      </c>
      <c r="CN171" s="1">
        <f t="shared" si="239"/>
        <v>369306</v>
      </c>
      <c r="CO171" s="1">
        <f t="shared" si="239"/>
        <v>94233</v>
      </c>
      <c r="CP171" s="1">
        <f t="shared" si="239"/>
        <v>1412414</v>
      </c>
      <c r="CQ171" s="1">
        <f t="shared" si="239"/>
        <v>801614</v>
      </c>
      <c r="CR171" s="1">
        <f t="shared" si="239"/>
        <v>97424</v>
      </c>
      <c r="CS171" s="1"/>
      <c r="CT171" s="1"/>
      <c r="CU171" s="1">
        <f>SUM(CU146:CU169)</f>
        <v>6158445</v>
      </c>
      <c r="CW171" s="1">
        <f>SUM(CW145:CW169)</f>
        <v>3891655</v>
      </c>
      <c r="CX171" s="1">
        <f>SUM(CX146:CX169)</f>
        <v>0</v>
      </c>
      <c r="CY171" s="1">
        <f>SUM(CY146:CY169)</f>
        <v>32848</v>
      </c>
      <c r="CZ171" s="1">
        <f t="shared" ref="CZ171:DT171" si="240">SUM(CZ146:CZ169)</f>
        <v>0</v>
      </c>
      <c r="DA171" s="1">
        <f t="shared" si="240"/>
        <v>0</v>
      </c>
      <c r="DB171" s="1">
        <f t="shared" si="240"/>
        <v>44162</v>
      </c>
      <c r="DC171" s="1">
        <f t="shared" si="240"/>
        <v>8412</v>
      </c>
      <c r="DD171" s="1">
        <f t="shared" si="240"/>
        <v>0</v>
      </c>
      <c r="DE171" s="1">
        <f t="shared" si="240"/>
        <v>8608</v>
      </c>
      <c r="DF171" s="1">
        <f t="shared" si="240"/>
        <v>0</v>
      </c>
      <c r="DG171" s="1">
        <f t="shared" si="240"/>
        <v>204466</v>
      </c>
      <c r="DH171" s="1">
        <f t="shared" si="240"/>
        <v>0</v>
      </c>
      <c r="DI171" s="1">
        <f t="shared" si="240"/>
        <v>0</v>
      </c>
      <c r="DJ171" s="1">
        <f t="shared" si="240"/>
        <v>296099</v>
      </c>
      <c r="DK171" s="1">
        <f t="shared" si="240"/>
        <v>0</v>
      </c>
      <c r="DL171" s="1">
        <f t="shared" si="240"/>
        <v>1325611</v>
      </c>
      <c r="DM171" s="1">
        <f t="shared" si="240"/>
        <v>0</v>
      </c>
      <c r="DN171" s="1">
        <f t="shared" si="240"/>
        <v>90503</v>
      </c>
      <c r="DO171" s="1">
        <f>SUM(DO146:DO169)</f>
        <v>0</v>
      </c>
      <c r="DP171" s="1">
        <f>SUM(DP146:DP169)</f>
        <v>34351</v>
      </c>
      <c r="DQ171" s="1">
        <f t="shared" si="240"/>
        <v>6671184</v>
      </c>
      <c r="DR171" s="1">
        <f t="shared" si="240"/>
        <v>53937427</v>
      </c>
      <c r="DS171" s="1">
        <f t="shared" si="240"/>
        <v>880292</v>
      </c>
      <c r="DT171" s="1">
        <f t="shared" si="240"/>
        <v>1071770</v>
      </c>
      <c r="DV171" s="1"/>
      <c r="DW171" s="1">
        <f>SUM(DW146:DW169)</f>
        <v>64605733</v>
      </c>
      <c r="DX171" s="1">
        <f>SUM(DX146:DX169)</f>
        <v>0</v>
      </c>
      <c r="DY171" s="1"/>
      <c r="DZ171" s="1">
        <f>SUM(DZ146:DZ169)</f>
        <v>155027</v>
      </c>
      <c r="EC171" s="1">
        <f>SUM(EC145:EC169)</f>
        <v>0</v>
      </c>
      <c r="ED171" s="1"/>
      <c r="EE171" s="1">
        <f>SUM(EE145:EE169)</f>
        <v>133258148</v>
      </c>
      <c r="EF171" s="1"/>
      <c r="EG171" s="1">
        <f>SUM(EG146:EG170)</f>
        <v>365897</v>
      </c>
    </row>
    <row r="172" spans="1:137" ht="15.7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3"/>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V172" s="1"/>
      <c r="DW172" s="1"/>
      <c r="DX172" s="1"/>
      <c r="DY172" s="1"/>
      <c r="DZ172" s="1"/>
      <c r="EC172" s="1"/>
      <c r="ED172" s="1"/>
      <c r="EE172" s="1"/>
      <c r="EF172" s="1"/>
      <c r="EG172" s="1"/>
    </row>
    <row r="173" spans="1:137" ht="15.75">
      <c r="A173" s="1"/>
      <c r="B173" s="1" t="s">
        <v>700</v>
      </c>
      <c r="C173" s="1"/>
      <c r="D173" s="1">
        <f t="shared" ref="D173:AJ173" si="241">SUM(D136+D171)</f>
        <v>12619762</v>
      </c>
      <c r="E173" s="1">
        <f t="shared" si="241"/>
        <v>201359</v>
      </c>
      <c r="F173" s="1">
        <f t="shared" si="241"/>
        <v>3975</v>
      </c>
      <c r="G173" s="1">
        <f t="shared" si="241"/>
        <v>81711</v>
      </c>
      <c r="H173" s="1">
        <f t="shared" si="241"/>
        <v>388215</v>
      </c>
      <c r="I173" s="1">
        <f t="shared" si="241"/>
        <v>74623</v>
      </c>
      <c r="J173" s="1">
        <f t="shared" si="241"/>
        <v>1791797</v>
      </c>
      <c r="K173" s="1">
        <f t="shared" si="241"/>
        <v>1371</v>
      </c>
      <c r="L173" s="1">
        <f>SUM(L136+L171)</f>
        <v>25598</v>
      </c>
      <c r="M173" s="1">
        <f t="shared" si="241"/>
        <v>686511</v>
      </c>
      <c r="N173" s="1">
        <f>SUM(N136+N171)</f>
        <v>88278</v>
      </c>
      <c r="O173" s="1">
        <f t="shared" si="241"/>
        <v>60818</v>
      </c>
      <c r="P173" s="1">
        <f t="shared" si="241"/>
        <v>0</v>
      </c>
      <c r="Q173" s="1">
        <f t="shared" si="241"/>
        <v>225135</v>
      </c>
      <c r="R173" s="1">
        <f t="shared" si="241"/>
        <v>389945</v>
      </c>
      <c r="S173" s="1">
        <f t="shared" si="241"/>
        <v>1064451</v>
      </c>
      <c r="T173" s="1">
        <f t="shared" si="241"/>
        <v>362</v>
      </c>
      <c r="U173" s="1">
        <f t="shared" si="241"/>
        <v>643344</v>
      </c>
      <c r="V173" s="1">
        <f t="shared" si="241"/>
        <v>7068</v>
      </c>
      <c r="W173" s="1">
        <f t="shared" si="241"/>
        <v>260747</v>
      </c>
      <c r="X173" s="1">
        <f t="shared" si="241"/>
        <v>4681630</v>
      </c>
      <c r="Y173" s="1">
        <f t="shared" si="241"/>
        <v>35779</v>
      </c>
      <c r="Z173" s="1">
        <f t="shared" si="241"/>
        <v>107003</v>
      </c>
      <c r="AA173" s="1">
        <f t="shared" si="241"/>
        <v>100039</v>
      </c>
      <c r="AB173" s="1">
        <f>SUM(AB136+AB171)</f>
        <v>1770952</v>
      </c>
      <c r="AC173" s="1">
        <f t="shared" si="241"/>
        <v>238913</v>
      </c>
      <c r="AD173" s="1">
        <f t="shared" si="241"/>
        <v>28133</v>
      </c>
      <c r="AE173" s="1">
        <f t="shared" si="241"/>
        <v>82435</v>
      </c>
      <c r="AF173" s="1">
        <f t="shared" si="241"/>
        <v>21202</v>
      </c>
      <c r="AG173" s="1">
        <f t="shared" si="241"/>
        <v>422641</v>
      </c>
      <c r="AH173" s="1">
        <f t="shared" si="241"/>
        <v>253738</v>
      </c>
      <c r="AI173" s="1">
        <f t="shared" si="241"/>
        <v>21826</v>
      </c>
      <c r="AJ173" s="1">
        <f t="shared" si="241"/>
        <v>62464</v>
      </c>
      <c r="AK173" s="1">
        <f>SUM(AK136+AK171)</f>
        <v>5768</v>
      </c>
      <c r="AL173" s="1">
        <f t="shared" ref="AL173:AR173" si="242">SUM(AL136+AL171)</f>
        <v>35534</v>
      </c>
      <c r="AM173" s="1">
        <f t="shared" si="242"/>
        <v>39899</v>
      </c>
      <c r="AN173" s="1">
        <f t="shared" si="242"/>
        <v>168446</v>
      </c>
      <c r="AO173" s="1">
        <f t="shared" si="242"/>
        <v>0</v>
      </c>
      <c r="AP173" s="1">
        <f t="shared" si="242"/>
        <v>1675727</v>
      </c>
      <c r="AQ173" s="1">
        <f>SUM(AQ136+AQ171)</f>
        <v>872198</v>
      </c>
      <c r="AR173" s="1">
        <f t="shared" si="242"/>
        <v>0</v>
      </c>
      <c r="AS173" s="1">
        <f>SUM(AS136+AS171)</f>
        <v>96879</v>
      </c>
      <c r="AT173" s="1">
        <f>SUM(AT136+AT171)</f>
        <v>656704</v>
      </c>
      <c r="AU173" s="1">
        <f>SUM(AU136+AU171)</f>
        <v>0</v>
      </c>
      <c r="AV173" s="1">
        <f t="shared" ref="AV173:BA173" si="243">SUM(AV136+AV171)</f>
        <v>0</v>
      </c>
      <c r="AW173" s="1"/>
      <c r="AX173" s="1">
        <f t="shared" si="243"/>
        <v>0</v>
      </c>
      <c r="AY173" s="1">
        <f t="shared" si="243"/>
        <v>0</v>
      </c>
      <c r="AZ173" s="1">
        <f t="shared" si="243"/>
        <v>17572</v>
      </c>
      <c r="BA173" s="1">
        <f t="shared" si="243"/>
        <v>0</v>
      </c>
      <c r="BB173" s="1">
        <f>SUM(BB136+BB171)</f>
        <v>9514638</v>
      </c>
      <c r="BC173" s="1">
        <f>SUM(BC136+BC171)</f>
        <v>6882997</v>
      </c>
      <c r="BD173" s="1">
        <f>SUM(BD136+BD171)</f>
        <v>371646</v>
      </c>
      <c r="BE173" s="1"/>
      <c r="BF173" s="1">
        <f>SUM(BF136+BF171)</f>
        <v>34160071</v>
      </c>
      <c r="BG173" s="1">
        <f>SUM(BG136+BG171)</f>
        <v>13080806</v>
      </c>
      <c r="BH173" s="1">
        <f t="shared" ref="BH173:BN173" si="244">SUM(BH136+BH171)</f>
        <v>0</v>
      </c>
      <c r="BI173" s="1">
        <f t="shared" si="244"/>
        <v>64003</v>
      </c>
      <c r="BJ173" s="1">
        <f t="shared" si="244"/>
        <v>0</v>
      </c>
      <c r="BK173" s="1">
        <f t="shared" si="244"/>
        <v>387148</v>
      </c>
      <c r="BL173" s="1">
        <f t="shared" si="244"/>
        <v>57879</v>
      </c>
      <c r="BM173" s="1">
        <f>SUM(BM136+BM171)</f>
        <v>34898</v>
      </c>
      <c r="BN173" s="1">
        <f t="shared" si="244"/>
        <v>632261</v>
      </c>
      <c r="BO173" s="1"/>
      <c r="BP173" s="1">
        <f>SUM(BP136+BP171)</f>
        <v>1176189</v>
      </c>
      <c r="BQ173" s="1"/>
      <c r="BR173" s="1">
        <f t="shared" ref="BR173:BW173" si="245">SUM(BR136+BR171)</f>
        <v>17958090</v>
      </c>
      <c r="BS173" s="1">
        <f t="shared" si="245"/>
        <v>0</v>
      </c>
      <c r="BT173" s="1">
        <f t="shared" si="245"/>
        <v>0</v>
      </c>
      <c r="BU173" s="1">
        <f t="shared" si="245"/>
        <v>0</v>
      </c>
      <c r="BV173" s="1">
        <f t="shared" si="245"/>
        <v>0</v>
      </c>
      <c r="BW173" s="1">
        <f t="shared" si="245"/>
        <v>2453628</v>
      </c>
      <c r="BX173" s="3"/>
      <c r="BY173" s="1">
        <f>SUM(BY136+BY171)</f>
        <v>20411718</v>
      </c>
      <c r="BZ173" s="1"/>
      <c r="CA173" s="1"/>
      <c r="CB173" s="1">
        <f t="shared" ref="CB173:CH173" si="246">SUM(CB136+CB171)</f>
        <v>0</v>
      </c>
      <c r="CC173" s="1">
        <f t="shared" si="246"/>
        <v>8208169</v>
      </c>
      <c r="CD173" s="1">
        <f t="shared" si="246"/>
        <v>52806</v>
      </c>
      <c r="CE173" s="1">
        <f t="shared" si="246"/>
        <v>120441</v>
      </c>
      <c r="CF173" s="1">
        <f t="shared" si="246"/>
        <v>1396797</v>
      </c>
      <c r="CG173" s="1">
        <f t="shared" si="246"/>
        <v>9710448</v>
      </c>
      <c r="CH173" s="1">
        <f t="shared" si="246"/>
        <v>122245</v>
      </c>
      <c r="CI173" s="1"/>
      <c r="CJ173" s="1">
        <f t="shared" ref="CJ173:CR173" si="247">SUM(CJ136+CJ171)</f>
        <v>19610906</v>
      </c>
      <c r="CK173" s="1"/>
      <c r="CL173" s="1">
        <f t="shared" si="247"/>
        <v>2360894</v>
      </c>
      <c r="CM173" s="1">
        <f>SUM(CM136+CM171+CM140)</f>
        <v>1682916</v>
      </c>
      <c r="CN173" s="1">
        <f t="shared" si="247"/>
        <v>369306</v>
      </c>
      <c r="CO173" s="1">
        <f t="shared" si="247"/>
        <v>94233</v>
      </c>
      <c r="CP173" s="1">
        <f t="shared" si="247"/>
        <v>1412414</v>
      </c>
      <c r="CQ173" s="1">
        <f t="shared" si="247"/>
        <v>801614</v>
      </c>
      <c r="CR173" s="1">
        <f t="shared" si="247"/>
        <v>97424</v>
      </c>
      <c r="CS173" s="1"/>
      <c r="CT173" s="1"/>
      <c r="CU173" s="1">
        <f>SUM(CU136+CU171)</f>
        <v>6158445</v>
      </c>
      <c r="CW173" s="1">
        <f>SUM(CW136+CW171)</f>
        <v>3982114</v>
      </c>
      <c r="CX173" s="1">
        <f t="shared" ref="CX173:DT173" si="248">SUM(CX136+CX171)</f>
        <v>0</v>
      </c>
      <c r="CY173" s="1">
        <f t="shared" si="248"/>
        <v>32848</v>
      </c>
      <c r="CZ173" s="1">
        <f t="shared" si="248"/>
        <v>41606</v>
      </c>
      <c r="DA173" s="1">
        <f t="shared" si="248"/>
        <v>0</v>
      </c>
      <c r="DB173" s="1">
        <f t="shared" si="248"/>
        <v>44162</v>
      </c>
      <c r="DC173" s="1">
        <f t="shared" si="248"/>
        <v>8412</v>
      </c>
      <c r="DD173" s="1">
        <f t="shared" si="248"/>
        <v>15629</v>
      </c>
      <c r="DE173" s="1">
        <f t="shared" si="248"/>
        <v>8608</v>
      </c>
      <c r="DF173" s="1">
        <f t="shared" si="248"/>
        <v>74322</v>
      </c>
      <c r="DG173" s="1">
        <f t="shared" si="248"/>
        <v>204466</v>
      </c>
      <c r="DH173" s="1">
        <f t="shared" si="248"/>
        <v>1082</v>
      </c>
      <c r="DI173" s="1">
        <f t="shared" si="248"/>
        <v>476989</v>
      </c>
      <c r="DJ173" s="1">
        <f t="shared" si="248"/>
        <v>296099</v>
      </c>
      <c r="DK173" s="1">
        <f t="shared" si="248"/>
        <v>4921</v>
      </c>
      <c r="DL173" s="1">
        <f t="shared" si="248"/>
        <v>1325611</v>
      </c>
      <c r="DM173" s="1">
        <f t="shared" si="248"/>
        <v>0</v>
      </c>
      <c r="DN173" s="1">
        <f t="shared" si="248"/>
        <v>90503</v>
      </c>
      <c r="DO173" s="1">
        <f>SUM(DO136+DO171)</f>
        <v>59182</v>
      </c>
      <c r="DP173" s="1">
        <f>SUM(DP136+DP171)</f>
        <v>34351</v>
      </c>
      <c r="DQ173" s="1">
        <f t="shared" si="248"/>
        <v>6770922</v>
      </c>
      <c r="DR173" s="1">
        <f t="shared" si="248"/>
        <v>57788223</v>
      </c>
      <c r="DS173" s="1">
        <f t="shared" si="248"/>
        <v>1790220</v>
      </c>
      <c r="DT173" s="1">
        <f t="shared" si="248"/>
        <v>1742469</v>
      </c>
      <c r="DV173" s="1"/>
      <c r="DW173" s="1">
        <f>SUM(DW136+DW171)</f>
        <v>70810625</v>
      </c>
      <c r="DX173" s="1">
        <f>SUM(DX136+DX171)</f>
        <v>0</v>
      </c>
      <c r="DY173" s="1"/>
      <c r="DZ173" s="1">
        <f>SUM(DZ136+DZ171)</f>
        <v>155027</v>
      </c>
      <c r="EC173" s="1">
        <f>SUM(EC136+EC171)</f>
        <v>0</v>
      </c>
      <c r="ED173" s="1"/>
      <c r="EE173" s="1">
        <f>SUM(EE136+EE171)</f>
        <v>145758391</v>
      </c>
      <c r="EF173" s="1"/>
      <c r="EG173" s="1">
        <f>SUM(EG136+EG171)</f>
        <v>365897</v>
      </c>
    </row>
    <row r="174" spans="1:137" ht="15.7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3"/>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V174" s="1"/>
      <c r="DW174" s="1"/>
      <c r="DX174" s="1"/>
      <c r="DY174" s="1"/>
      <c r="DZ174" s="1"/>
      <c r="EC174" s="1"/>
      <c r="ED174" s="1"/>
      <c r="EE174" s="1"/>
      <c r="EF174" s="1"/>
      <c r="EG174" s="1"/>
    </row>
    <row r="175" spans="1:137" ht="15.75">
      <c r="A175" s="1"/>
      <c r="B175" s="1" t="s">
        <v>626</v>
      </c>
      <c r="C175" s="1"/>
      <c r="D175" s="1">
        <f t="shared" ref="D175:AK175" si="249">SUM(D112-D173)</f>
        <v>0</v>
      </c>
      <c r="E175" s="1">
        <f t="shared" si="249"/>
        <v>0</v>
      </c>
      <c r="F175" s="1">
        <f t="shared" si="249"/>
        <v>0</v>
      </c>
      <c r="G175" s="1">
        <f t="shared" si="249"/>
        <v>0</v>
      </c>
      <c r="H175" s="1">
        <f t="shared" si="249"/>
        <v>0</v>
      </c>
      <c r="I175" s="1">
        <f t="shared" si="249"/>
        <v>0</v>
      </c>
      <c r="J175" s="1">
        <f t="shared" si="249"/>
        <v>0</v>
      </c>
      <c r="K175" s="1">
        <f t="shared" si="249"/>
        <v>0</v>
      </c>
      <c r="L175" s="1">
        <f>SUM(L112-L173)</f>
        <v>0</v>
      </c>
      <c r="M175" s="1">
        <f t="shared" si="249"/>
        <v>0</v>
      </c>
      <c r="N175" s="1">
        <f>SUM(N112-N173)</f>
        <v>0</v>
      </c>
      <c r="O175" s="1">
        <f t="shared" si="249"/>
        <v>0</v>
      </c>
      <c r="P175" s="1">
        <f t="shared" si="249"/>
        <v>0</v>
      </c>
      <c r="Q175" s="1">
        <f t="shared" si="249"/>
        <v>0</v>
      </c>
      <c r="R175" s="1">
        <f t="shared" si="249"/>
        <v>0</v>
      </c>
      <c r="S175" s="1">
        <f t="shared" si="249"/>
        <v>0</v>
      </c>
      <c r="T175" s="1">
        <f t="shared" si="249"/>
        <v>0</v>
      </c>
      <c r="U175" s="1">
        <f t="shared" si="249"/>
        <v>0</v>
      </c>
      <c r="V175" s="1">
        <f t="shared" si="249"/>
        <v>0</v>
      </c>
      <c r="W175" s="1">
        <f t="shared" si="249"/>
        <v>0</v>
      </c>
      <c r="X175" s="1">
        <f t="shared" si="249"/>
        <v>0</v>
      </c>
      <c r="Y175" s="1">
        <f t="shared" si="249"/>
        <v>0</v>
      </c>
      <c r="Z175" s="1">
        <f t="shared" si="249"/>
        <v>0</v>
      </c>
      <c r="AA175" s="1">
        <f t="shared" si="249"/>
        <v>0</v>
      </c>
      <c r="AB175" s="1">
        <f>SUM(AB112-AB173)</f>
        <v>0</v>
      </c>
      <c r="AC175" s="1">
        <f t="shared" si="249"/>
        <v>0</v>
      </c>
      <c r="AD175" s="1">
        <f t="shared" si="249"/>
        <v>0</v>
      </c>
      <c r="AE175" s="1">
        <f t="shared" si="249"/>
        <v>0</v>
      </c>
      <c r="AF175" s="1">
        <f t="shared" si="249"/>
        <v>0</v>
      </c>
      <c r="AG175" s="1">
        <f t="shared" si="249"/>
        <v>0</v>
      </c>
      <c r="AH175" s="1">
        <f t="shared" si="249"/>
        <v>0</v>
      </c>
      <c r="AI175" s="1">
        <f t="shared" si="249"/>
        <v>0</v>
      </c>
      <c r="AJ175" s="1">
        <f t="shared" si="249"/>
        <v>0</v>
      </c>
      <c r="AK175" s="1">
        <f t="shared" si="249"/>
        <v>0</v>
      </c>
      <c r="AL175" s="1">
        <f t="shared" ref="AL175:AR175" si="250">SUM(AL112-AL173)</f>
        <v>0</v>
      </c>
      <c r="AM175" s="1">
        <f t="shared" si="250"/>
        <v>0</v>
      </c>
      <c r="AN175" s="1">
        <f t="shared" si="250"/>
        <v>0</v>
      </c>
      <c r="AO175" s="1">
        <f t="shared" si="250"/>
        <v>0</v>
      </c>
      <c r="AP175" s="1">
        <f t="shared" si="250"/>
        <v>0</v>
      </c>
      <c r="AQ175" s="1">
        <f>SUM(AQ112-AQ173)</f>
        <v>0</v>
      </c>
      <c r="AR175" s="1">
        <f t="shared" si="250"/>
        <v>0</v>
      </c>
      <c r="AS175" s="1">
        <f>SUM(AS112-AS173)</f>
        <v>0</v>
      </c>
      <c r="AT175" s="1">
        <f>SUM(AT112-AT173)</f>
        <v>0</v>
      </c>
      <c r="AU175" s="1">
        <f>SUM(AU112-AU173)</f>
        <v>0</v>
      </c>
      <c r="AV175" s="1">
        <f t="shared" ref="AV175:BA175" si="251">SUM(AV112-AV173)</f>
        <v>0</v>
      </c>
      <c r="AW175" s="1"/>
      <c r="AX175" s="1">
        <f t="shared" si="251"/>
        <v>0</v>
      </c>
      <c r="AY175" s="1">
        <f t="shared" si="251"/>
        <v>0</v>
      </c>
      <c r="AZ175" s="1">
        <f t="shared" si="251"/>
        <v>0</v>
      </c>
      <c r="BA175" s="1">
        <f t="shared" si="251"/>
        <v>0</v>
      </c>
      <c r="BB175" s="1">
        <f>SUM(BB112-BB173)</f>
        <v>0</v>
      </c>
      <c r="BC175" s="1">
        <f>SUM(BC112-BC173)</f>
        <v>0</v>
      </c>
      <c r="BD175" s="1">
        <f>SUM(BD112-BD173)</f>
        <v>0</v>
      </c>
      <c r="BE175" s="1"/>
      <c r="BF175" s="1">
        <f>SUM(BF112-BF173)</f>
        <v>-4635</v>
      </c>
      <c r="BG175" s="1"/>
      <c r="BH175" s="1">
        <f t="shared" ref="BH175:BN175" si="252">SUM(BH112-BH173)</f>
        <v>0</v>
      </c>
      <c r="BI175" s="1">
        <f t="shared" si="252"/>
        <v>0</v>
      </c>
      <c r="BJ175" s="1">
        <f t="shared" si="252"/>
        <v>0</v>
      </c>
      <c r="BK175" s="1">
        <f t="shared" si="252"/>
        <v>0</v>
      </c>
      <c r="BL175" s="1">
        <f t="shared" si="252"/>
        <v>0</v>
      </c>
      <c r="BM175" s="1">
        <f>SUM(BM112-BM173)</f>
        <v>0</v>
      </c>
      <c r="BN175" s="1">
        <f t="shared" si="252"/>
        <v>0</v>
      </c>
      <c r="BO175" s="1"/>
      <c r="BP175" s="1">
        <f>SUM(BP112-BP173)</f>
        <v>0</v>
      </c>
      <c r="BQ175" s="1"/>
      <c r="BR175" s="1">
        <f t="shared" ref="BR175:BW175" si="253">SUM(BR112-BR173)</f>
        <v>0</v>
      </c>
      <c r="BS175" s="1">
        <f t="shared" si="253"/>
        <v>0</v>
      </c>
      <c r="BT175" s="1">
        <f t="shared" si="253"/>
        <v>0</v>
      </c>
      <c r="BU175" s="1">
        <f t="shared" si="253"/>
        <v>0</v>
      </c>
      <c r="BV175" s="1">
        <f t="shared" si="253"/>
        <v>0</v>
      </c>
      <c r="BW175" s="1">
        <f t="shared" si="253"/>
        <v>0</v>
      </c>
      <c r="BX175" s="3"/>
      <c r="BY175" s="1">
        <f>SUM(BY112-BY173)</f>
        <v>0</v>
      </c>
      <c r="BZ175" s="1"/>
      <c r="CA175" s="1"/>
      <c r="CB175" s="1">
        <f t="shared" ref="CB175:CH175" si="254">SUM(CB112-CB173)</f>
        <v>0</v>
      </c>
      <c r="CC175" s="1">
        <f t="shared" si="254"/>
        <v>0</v>
      </c>
      <c r="CD175" s="1">
        <f t="shared" si="254"/>
        <v>0</v>
      </c>
      <c r="CE175" s="1">
        <f t="shared" si="254"/>
        <v>0</v>
      </c>
      <c r="CF175" s="1">
        <f t="shared" si="254"/>
        <v>0</v>
      </c>
      <c r="CG175" s="1">
        <f>SUM(CG112-CG173)</f>
        <v>0</v>
      </c>
      <c r="CH175" s="1">
        <f t="shared" si="254"/>
        <v>0</v>
      </c>
      <c r="CI175" s="1"/>
      <c r="CJ175" s="1">
        <f t="shared" ref="CJ175:CR175" si="255">SUM(CJ112-CJ173)</f>
        <v>0</v>
      </c>
      <c r="CK175" s="1"/>
      <c r="CL175" s="1">
        <f t="shared" si="255"/>
        <v>0</v>
      </c>
      <c r="CM175" s="1">
        <f>SUM(CM112-CM173)</f>
        <v>0</v>
      </c>
      <c r="CN175" s="1">
        <f t="shared" si="255"/>
        <v>670246</v>
      </c>
      <c r="CO175" s="1">
        <f t="shared" si="255"/>
        <v>670246</v>
      </c>
      <c r="CP175" s="1">
        <f t="shared" si="255"/>
        <v>0</v>
      </c>
      <c r="CQ175" s="1">
        <f t="shared" si="255"/>
        <v>0</v>
      </c>
      <c r="CR175" s="1">
        <f t="shared" si="255"/>
        <v>0</v>
      </c>
      <c r="CS175" s="1"/>
      <c r="CT175" s="1"/>
      <c r="CU175" s="1">
        <f>SUM(CU112-CU173)</f>
        <v>-9890</v>
      </c>
      <c r="CW175" s="1">
        <f>SUM(CW112-CW173)</f>
        <v>0</v>
      </c>
      <c r="CX175" s="1">
        <f t="shared" ref="CX175:DT175" si="256">SUM(CX112-CX173)</f>
        <v>0</v>
      </c>
      <c r="CY175" s="1">
        <f t="shared" si="256"/>
        <v>0</v>
      </c>
      <c r="CZ175" s="1">
        <f t="shared" si="256"/>
        <v>0</v>
      </c>
      <c r="DA175" s="1">
        <f t="shared" si="256"/>
        <v>0</v>
      </c>
      <c r="DB175" s="1">
        <f t="shared" si="256"/>
        <v>0</v>
      </c>
      <c r="DC175" s="1">
        <f t="shared" si="256"/>
        <v>0</v>
      </c>
      <c r="DD175" s="1">
        <f t="shared" si="256"/>
        <v>0</v>
      </c>
      <c r="DE175" s="1">
        <f t="shared" si="256"/>
        <v>0</v>
      </c>
      <c r="DF175" s="1">
        <f t="shared" si="256"/>
        <v>0</v>
      </c>
      <c r="DG175" s="1">
        <f t="shared" si="256"/>
        <v>0</v>
      </c>
      <c r="DH175" s="1">
        <f t="shared" si="256"/>
        <v>0</v>
      </c>
      <c r="DI175" s="1">
        <f t="shared" si="256"/>
        <v>0</v>
      </c>
      <c r="DJ175" s="1">
        <f t="shared" si="256"/>
        <v>0</v>
      </c>
      <c r="DK175" s="1">
        <f t="shared" si="256"/>
        <v>0</v>
      </c>
      <c r="DL175" s="1">
        <f t="shared" si="256"/>
        <v>0</v>
      </c>
      <c r="DM175" s="1">
        <f t="shared" si="256"/>
        <v>0</v>
      </c>
      <c r="DN175" s="1">
        <f t="shared" si="256"/>
        <v>0</v>
      </c>
      <c r="DO175" s="1">
        <f>SUM(DO112-DO173)</f>
        <v>0</v>
      </c>
      <c r="DP175" s="1">
        <f>SUM(DP112-DP173)</f>
        <v>0</v>
      </c>
      <c r="DQ175" s="1">
        <f t="shared" si="256"/>
        <v>0</v>
      </c>
      <c r="DR175" s="1">
        <f t="shared" si="256"/>
        <v>0</v>
      </c>
      <c r="DS175" s="1">
        <f t="shared" si="256"/>
        <v>0</v>
      </c>
      <c r="DT175" s="1">
        <f t="shared" si="256"/>
        <v>0</v>
      </c>
      <c r="DV175" s="1"/>
      <c r="DW175" s="1">
        <f>SUM(DW112-DW173)</f>
        <v>3907792</v>
      </c>
      <c r="DX175" s="1">
        <f>SUM(DX112-DX173)</f>
        <v>85925212</v>
      </c>
      <c r="DY175" s="1"/>
      <c r="DZ175" s="1">
        <f>SUM(DZ112-DZ173)</f>
        <v>0</v>
      </c>
      <c r="EC175" s="1">
        <f>SUM(EC112-EC173)</f>
        <v>0</v>
      </c>
      <c r="ED175" s="1"/>
      <c r="EE175" s="1">
        <f>SUM(EE112-EE173)</f>
        <v>89833004</v>
      </c>
      <c r="EF175" s="1"/>
      <c r="EG175" s="1">
        <f>SUM(EG112-EG173)</f>
        <v>0</v>
      </c>
    </row>
    <row r="176" spans="1:137" ht="15.7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X176" s="3"/>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V176" s="1"/>
      <c r="DW176" s="1"/>
      <c r="DX176" s="1"/>
      <c r="DY176" s="1"/>
      <c r="DZ176" s="1"/>
      <c r="EC176" s="1"/>
      <c r="ED176" s="1"/>
      <c r="EE176" s="1"/>
      <c r="EF176" s="1"/>
      <c r="EG176" s="1"/>
    </row>
    <row r="177" spans="1:137" ht="15.75">
      <c r="A177" s="10"/>
      <c r="B177" s="10" t="s">
        <v>128</v>
      </c>
      <c r="C177" s="10"/>
      <c r="D177" s="10">
        <f t="shared" ref="D177:M177" si="257">D71</f>
        <v>10244401</v>
      </c>
      <c r="E177" s="10">
        <f t="shared" si="257"/>
        <v>-172932</v>
      </c>
      <c r="F177" s="10">
        <f t="shared" si="257"/>
        <v>3692</v>
      </c>
      <c r="G177" s="10">
        <f t="shared" si="257"/>
        <v>73809</v>
      </c>
      <c r="H177" s="10">
        <f t="shared" si="257"/>
        <v>357347</v>
      </c>
      <c r="I177" s="10">
        <f t="shared" si="257"/>
        <v>71683</v>
      </c>
      <c r="J177" s="10">
        <f t="shared" si="257"/>
        <v>1721516</v>
      </c>
      <c r="K177" s="10">
        <f t="shared" si="257"/>
        <v>1303</v>
      </c>
      <c r="L177" s="10">
        <f t="shared" si="257"/>
        <v>21640</v>
      </c>
      <c r="M177" s="10">
        <f t="shared" si="257"/>
        <v>672067</v>
      </c>
      <c r="N177" s="10">
        <f t="shared" ref="N177:U177" si="258">N71</f>
        <v>84305</v>
      </c>
      <c r="O177" s="10">
        <f t="shared" si="258"/>
        <v>60405</v>
      </c>
      <c r="P177" s="10">
        <f>P71</f>
        <v>0</v>
      </c>
      <c r="Q177" s="10">
        <f t="shared" si="258"/>
        <v>185629</v>
      </c>
      <c r="R177" s="10">
        <f t="shared" si="258"/>
        <v>380215</v>
      </c>
      <c r="S177" s="10">
        <f t="shared" si="258"/>
        <v>1058146</v>
      </c>
      <c r="T177" s="10">
        <f t="shared" si="258"/>
        <v>308</v>
      </c>
      <c r="U177" s="10">
        <f t="shared" si="258"/>
        <v>611023</v>
      </c>
      <c r="V177" s="10">
        <f t="shared" ref="V177:AC177" si="259">V71</f>
        <v>2517</v>
      </c>
      <c r="W177" s="10">
        <f t="shared" si="259"/>
        <v>255076</v>
      </c>
      <c r="X177" s="10">
        <f t="shared" si="259"/>
        <v>4417198</v>
      </c>
      <c r="Y177" s="10">
        <f t="shared" si="259"/>
        <v>35779</v>
      </c>
      <c r="Z177" s="10">
        <f t="shared" si="259"/>
        <v>107003</v>
      </c>
      <c r="AA177" s="10">
        <f t="shared" si="259"/>
        <v>100039</v>
      </c>
      <c r="AB177" s="10">
        <f>AB71</f>
        <v>1667779</v>
      </c>
      <c r="AC177" s="10">
        <f t="shared" si="259"/>
        <v>238913</v>
      </c>
      <c r="AD177" s="10"/>
      <c r="AE177" s="10">
        <f t="shared" ref="AE177:AK177" si="260">AE71</f>
        <v>82435</v>
      </c>
      <c r="AF177" s="10">
        <f t="shared" si="260"/>
        <v>21202</v>
      </c>
      <c r="AG177" s="10">
        <f t="shared" si="260"/>
        <v>422641</v>
      </c>
      <c r="AH177" s="10">
        <f t="shared" si="260"/>
        <v>253738</v>
      </c>
      <c r="AI177" s="10">
        <f t="shared" si="260"/>
        <v>21826</v>
      </c>
      <c r="AJ177" s="10">
        <f t="shared" si="260"/>
        <v>62464</v>
      </c>
      <c r="AK177" s="10">
        <f t="shared" si="260"/>
        <v>5768</v>
      </c>
      <c r="AL177" s="10">
        <f t="shared" ref="AL177:AR177" si="261">AL71</f>
        <v>35534</v>
      </c>
      <c r="AM177" s="10">
        <f t="shared" si="261"/>
        <v>39899</v>
      </c>
      <c r="AN177" s="10">
        <f t="shared" si="261"/>
        <v>168446</v>
      </c>
      <c r="AO177" s="10">
        <f t="shared" si="261"/>
        <v>0</v>
      </c>
      <c r="AP177" s="10">
        <f t="shared" si="261"/>
        <v>1675727</v>
      </c>
      <c r="AQ177" s="10">
        <f>AQ71</f>
        <v>872198</v>
      </c>
      <c r="AR177" s="10">
        <f t="shared" si="261"/>
        <v>0</v>
      </c>
      <c r="AS177" s="10">
        <f>AS71</f>
        <v>96879</v>
      </c>
      <c r="AT177" s="10">
        <f>AT71</f>
        <v>656704</v>
      </c>
      <c r="AU177" s="10">
        <f>AU71</f>
        <v>-62477</v>
      </c>
      <c r="AV177" s="10">
        <f t="shared" ref="AV177:BA177" si="262">AV71</f>
        <v>-22045</v>
      </c>
      <c r="AW177" s="10"/>
      <c r="AX177" s="10">
        <f t="shared" si="262"/>
        <v>-11972</v>
      </c>
      <c r="AY177" s="10">
        <f t="shared" si="262"/>
        <v>0</v>
      </c>
      <c r="AZ177" s="10">
        <f t="shared" si="262"/>
        <v>17572</v>
      </c>
      <c r="BA177" s="10">
        <f t="shared" si="262"/>
        <v>-8728</v>
      </c>
      <c r="BB177" s="10">
        <f>BB71</f>
        <v>-197128</v>
      </c>
      <c r="BC177" s="10">
        <f>BC71</f>
        <v>6823774</v>
      </c>
      <c r="BD177" s="10">
        <f>BD71</f>
        <v>371646</v>
      </c>
      <c r="BE177" s="1"/>
      <c r="BF177" s="10">
        <f>BF71</f>
        <v>23308696</v>
      </c>
      <c r="BG177" s="10"/>
      <c r="BH177" s="10">
        <f t="shared" ref="BH177:BN177" si="263">BH71</f>
        <v>0</v>
      </c>
      <c r="BI177" s="10">
        <f t="shared" si="263"/>
        <v>41294</v>
      </c>
      <c r="BJ177" s="10">
        <f t="shared" si="263"/>
        <v>0</v>
      </c>
      <c r="BK177" s="10">
        <f t="shared" si="263"/>
        <v>387148</v>
      </c>
      <c r="BL177" s="10">
        <f t="shared" si="263"/>
        <v>55606</v>
      </c>
      <c r="BM177" s="10">
        <f>BM71</f>
        <v>19430</v>
      </c>
      <c r="BN177" s="10">
        <f t="shared" si="263"/>
        <v>121101</v>
      </c>
      <c r="BO177" s="1"/>
      <c r="BP177" s="10">
        <f>BP71</f>
        <v>624579</v>
      </c>
      <c r="BQ177" s="10"/>
      <c r="BR177" s="10">
        <f>BR71</f>
        <v>17958090</v>
      </c>
      <c r="BS177" s="10">
        <f>BS71</f>
        <v>0</v>
      </c>
      <c r="BT177" s="10"/>
      <c r="BX177" s="3"/>
      <c r="BY177" s="10">
        <f t="shared" ref="BY177:CH177" si="264">BY71</f>
        <v>20387335</v>
      </c>
      <c r="BZ177" s="10"/>
      <c r="CA177" s="10"/>
      <c r="CB177" s="10">
        <f t="shared" si="264"/>
        <v>0</v>
      </c>
      <c r="CC177" s="10">
        <f>CC71</f>
        <v>8164448</v>
      </c>
      <c r="CD177" s="10">
        <f t="shared" si="264"/>
        <v>46750</v>
      </c>
      <c r="CE177" s="10">
        <f t="shared" si="264"/>
        <v>98039</v>
      </c>
      <c r="CF177" s="10">
        <f t="shared" si="264"/>
        <v>1180465</v>
      </c>
      <c r="CG177" s="10">
        <f t="shared" si="264"/>
        <v>7510950</v>
      </c>
      <c r="CH177" s="10">
        <f t="shared" si="264"/>
        <v>118600</v>
      </c>
      <c r="CI177" s="1"/>
      <c r="CJ177" s="10">
        <f>CJ71</f>
        <v>17119252</v>
      </c>
      <c r="CK177" s="10"/>
      <c r="CL177" s="10">
        <f>CL71</f>
        <v>2360894</v>
      </c>
      <c r="CM177" s="10"/>
      <c r="CN177" s="10">
        <f>CN71</f>
        <v>369306</v>
      </c>
      <c r="CO177" s="10">
        <f>CO71</f>
        <v>94233</v>
      </c>
      <c r="CP177" s="10">
        <f>CP71</f>
        <v>1412414</v>
      </c>
      <c r="CQ177" s="10">
        <f>CQ71</f>
        <v>801614</v>
      </c>
      <c r="CR177" s="10">
        <f>CR71</f>
        <v>97424</v>
      </c>
      <c r="CS177" s="1"/>
      <c r="CT177" s="1"/>
      <c r="CU177" s="10">
        <f>CU71</f>
        <v>6158445</v>
      </c>
      <c r="CW177" s="10">
        <f>CW71</f>
        <v>3891655</v>
      </c>
      <c r="CX177" s="10">
        <f>CX71</f>
        <v>0</v>
      </c>
      <c r="CY177" s="10">
        <f>CY71</f>
        <v>32848</v>
      </c>
      <c r="CZ177" s="10"/>
      <c r="DA177" s="10"/>
      <c r="DB177" s="10">
        <f t="shared" ref="DB177:DC177" si="265">DB71</f>
        <v>44162</v>
      </c>
      <c r="DC177" s="10">
        <f t="shared" si="265"/>
        <v>8412</v>
      </c>
      <c r="DD177" s="10"/>
      <c r="DE177" s="10">
        <f>DE71</f>
        <v>8608</v>
      </c>
      <c r="DF177" s="10"/>
      <c r="DG177" s="10">
        <f t="shared" ref="DG177:DL177" si="266">DG71</f>
        <v>204466</v>
      </c>
      <c r="DH177" s="10">
        <f t="shared" si="266"/>
        <v>0</v>
      </c>
      <c r="DI177" s="10">
        <f t="shared" si="266"/>
        <v>0</v>
      </c>
      <c r="DJ177" s="10">
        <f t="shared" si="266"/>
        <v>296099</v>
      </c>
      <c r="DK177" s="10">
        <f t="shared" si="266"/>
        <v>0</v>
      </c>
      <c r="DL177" s="10">
        <f t="shared" si="266"/>
        <v>1325611</v>
      </c>
      <c r="DM177" s="10"/>
      <c r="DN177" s="10">
        <f>DN71</f>
        <v>90503</v>
      </c>
      <c r="DO177" s="10">
        <f>DO71</f>
        <v>0</v>
      </c>
      <c r="DP177" s="10">
        <f>DP71</f>
        <v>34351</v>
      </c>
      <c r="DQ177" s="10">
        <f>DQ71</f>
        <v>6671184</v>
      </c>
      <c r="DR177" s="10"/>
      <c r="DS177" s="10"/>
      <c r="DT177" s="10"/>
      <c r="DV177" s="10"/>
      <c r="DW177" s="10">
        <f t="shared" ref="DW177:EC177" si="267">DW71</f>
        <v>69017002</v>
      </c>
      <c r="DX177" s="10" t="e">
        <f t="shared" si="267"/>
        <v>#REF!</v>
      </c>
      <c r="DY177" s="10"/>
      <c r="DZ177" s="10">
        <f t="shared" si="267"/>
        <v>155027</v>
      </c>
      <c r="EC177" s="10">
        <f t="shared" si="267"/>
        <v>0</v>
      </c>
      <c r="ED177" s="1"/>
      <c r="EE177" s="10">
        <f>EE71</f>
        <v>-357711544</v>
      </c>
      <c r="EF177" s="10"/>
      <c r="EG177" s="10"/>
    </row>
    <row r="178" spans="1:137" ht="8.1" customHeight="1">
      <c r="A178" s="10"/>
      <c r="B178" s="10" t="s">
        <v>129</v>
      </c>
      <c r="C178" s="10"/>
      <c r="D178" s="10">
        <f t="shared" ref="D178:N178" si="268">SUM(D171-D177)</f>
        <v>0</v>
      </c>
      <c r="E178" s="10">
        <f>SUM(E171-E177)</f>
        <v>0</v>
      </c>
      <c r="F178" s="10">
        <f>SUM(F171-F177)</f>
        <v>0</v>
      </c>
      <c r="G178" s="10">
        <f>SUM(G171-G177)</f>
        <v>0</v>
      </c>
      <c r="H178" s="10">
        <f>SUM(H171-H177)</f>
        <v>0</v>
      </c>
      <c r="I178" s="10">
        <f>SUM(I171-I177)</f>
        <v>0</v>
      </c>
      <c r="J178" s="10">
        <f t="shared" si="268"/>
        <v>0</v>
      </c>
      <c r="K178" s="10">
        <f t="shared" si="268"/>
        <v>0</v>
      </c>
      <c r="L178" s="10">
        <f>SUM(L171-L177)</f>
        <v>0</v>
      </c>
      <c r="M178" s="10">
        <f t="shared" si="268"/>
        <v>0</v>
      </c>
      <c r="N178" s="10">
        <f t="shared" si="268"/>
        <v>0</v>
      </c>
      <c r="O178" s="10">
        <f t="shared" ref="O178:U178" si="269">SUM(O171-O177)</f>
        <v>0</v>
      </c>
      <c r="P178" s="10">
        <f>SUM(P171-P177)</f>
        <v>0</v>
      </c>
      <c r="Q178" s="10">
        <f t="shared" si="269"/>
        <v>0</v>
      </c>
      <c r="R178" s="10">
        <f t="shared" si="269"/>
        <v>0</v>
      </c>
      <c r="S178" s="10">
        <f t="shared" si="269"/>
        <v>0</v>
      </c>
      <c r="T178" s="10">
        <f t="shared" si="269"/>
        <v>0</v>
      </c>
      <c r="U178" s="10">
        <f t="shared" si="269"/>
        <v>0</v>
      </c>
      <c r="V178" s="10">
        <f t="shared" ref="V178:AC178" si="270">SUM(V171-V177)</f>
        <v>0</v>
      </c>
      <c r="W178" s="10">
        <f t="shared" si="270"/>
        <v>0</v>
      </c>
      <c r="X178" s="10">
        <f t="shared" si="270"/>
        <v>0</v>
      </c>
      <c r="Y178" s="10">
        <f t="shared" si="270"/>
        <v>0</v>
      </c>
      <c r="Z178" s="10">
        <f t="shared" si="270"/>
        <v>0</v>
      </c>
      <c r="AA178" s="10">
        <f t="shared" si="270"/>
        <v>0</v>
      </c>
      <c r="AB178" s="10">
        <f>SUM(AB171-AB177)</f>
        <v>0</v>
      </c>
      <c r="AC178" s="10">
        <f t="shared" si="270"/>
        <v>0</v>
      </c>
      <c r="AD178" s="10"/>
      <c r="AE178" s="10">
        <f t="shared" ref="AE178:AK178" si="271">SUM(AE171-AE177)</f>
        <v>0</v>
      </c>
      <c r="AF178" s="10">
        <f t="shared" si="271"/>
        <v>0</v>
      </c>
      <c r="AG178" s="10">
        <f t="shared" si="271"/>
        <v>0</v>
      </c>
      <c r="AH178" s="10">
        <f t="shared" si="271"/>
        <v>0</v>
      </c>
      <c r="AI178" s="10">
        <f t="shared" si="271"/>
        <v>0</v>
      </c>
      <c r="AJ178" s="10">
        <f t="shared" si="271"/>
        <v>0</v>
      </c>
      <c r="AK178" s="10">
        <f t="shared" si="271"/>
        <v>0</v>
      </c>
      <c r="AL178" s="10">
        <f t="shared" ref="AL178:AS178" si="272">SUM(AL171-AL177)</f>
        <v>0</v>
      </c>
      <c r="AM178" s="10">
        <f t="shared" si="272"/>
        <v>0</v>
      </c>
      <c r="AN178" s="10">
        <f t="shared" si="272"/>
        <v>0</v>
      </c>
      <c r="AO178" s="10">
        <f t="shared" si="272"/>
        <v>0</v>
      </c>
      <c r="AP178" s="10">
        <f t="shared" si="272"/>
        <v>0</v>
      </c>
      <c r="AQ178" s="10">
        <f>SUM(AQ171-AQ177)</f>
        <v>0</v>
      </c>
      <c r="AR178" s="10">
        <f t="shared" si="272"/>
        <v>0</v>
      </c>
      <c r="AS178" s="10">
        <f t="shared" si="272"/>
        <v>0</v>
      </c>
      <c r="AT178" s="10">
        <f>SUM(AT171-AT177)</f>
        <v>0</v>
      </c>
      <c r="AU178" s="10">
        <f t="shared" ref="AU178:BB178" si="273">SUM(AU171-AU177)</f>
        <v>0</v>
      </c>
      <c r="AV178" s="10">
        <f t="shared" si="273"/>
        <v>0</v>
      </c>
      <c r="AW178" s="10"/>
      <c r="AX178" s="10">
        <f t="shared" si="273"/>
        <v>0</v>
      </c>
      <c r="AY178" s="10">
        <f t="shared" si="273"/>
        <v>0</v>
      </c>
      <c r="AZ178" s="10">
        <f t="shared" si="273"/>
        <v>0</v>
      </c>
      <c r="BA178" s="10">
        <f t="shared" si="273"/>
        <v>0</v>
      </c>
      <c r="BB178" s="10">
        <f t="shared" si="273"/>
        <v>0</v>
      </c>
      <c r="BC178" s="10">
        <f>SUM(BC171-BC177)</f>
        <v>0</v>
      </c>
      <c r="BD178" s="10">
        <f>SUM(BD171-BD177)</f>
        <v>0</v>
      </c>
      <c r="BE178" s="1"/>
      <c r="BF178" s="10">
        <f>SUM(BF171-BF177)</f>
        <v>0</v>
      </c>
      <c r="BG178" s="10"/>
      <c r="BH178" s="10">
        <f t="shared" ref="BH178:BN178" si="274">SUM(BH171-BH177)</f>
        <v>0</v>
      </c>
      <c r="BI178" s="10">
        <f t="shared" si="274"/>
        <v>0</v>
      </c>
      <c r="BJ178" s="10">
        <f t="shared" si="274"/>
        <v>0</v>
      </c>
      <c r="BK178" s="10">
        <f t="shared" si="274"/>
        <v>0</v>
      </c>
      <c r="BL178" s="10">
        <f t="shared" si="274"/>
        <v>0</v>
      </c>
      <c r="BM178" s="10">
        <f>SUM(BM171-BM177)</f>
        <v>0</v>
      </c>
      <c r="BN178" s="10">
        <f t="shared" si="274"/>
        <v>0</v>
      </c>
      <c r="BO178" s="1"/>
      <c r="BP178" s="10">
        <f>SUM(BP171-BP177)</f>
        <v>0</v>
      </c>
      <c r="BQ178" s="10"/>
      <c r="BR178" s="10">
        <f>SUM(BR171-BR177)</f>
        <v>0</v>
      </c>
      <c r="BS178" s="10">
        <f>SUM(BS171-BS177)</f>
        <v>0</v>
      </c>
      <c r="BT178" s="10"/>
      <c r="BX178" s="3"/>
      <c r="BY178" s="10">
        <f t="shared" ref="BY178:CH178" si="275">SUM(BY171-BY177)</f>
        <v>0</v>
      </c>
      <c r="BZ178" s="10"/>
      <c r="CA178" s="10"/>
      <c r="CB178" s="10">
        <f t="shared" si="275"/>
        <v>0</v>
      </c>
      <c r="CC178" s="10">
        <f>SUM(CC171-CC177)</f>
        <v>0</v>
      </c>
      <c r="CD178" s="10">
        <f t="shared" si="275"/>
        <v>0</v>
      </c>
      <c r="CE178" s="10">
        <f t="shared" si="275"/>
        <v>0</v>
      </c>
      <c r="CF178" s="10">
        <f t="shared" si="275"/>
        <v>0</v>
      </c>
      <c r="CG178" s="10">
        <f t="shared" si="275"/>
        <v>0</v>
      </c>
      <c r="CH178" s="10">
        <f t="shared" si="275"/>
        <v>0</v>
      </c>
      <c r="CI178" s="1"/>
      <c r="CJ178" s="10">
        <f>SUM(CJ171-CJ177)</f>
        <v>0</v>
      </c>
      <c r="CK178" s="10"/>
      <c r="CL178" s="10">
        <f>SUM(CL171-CL177)</f>
        <v>0</v>
      </c>
      <c r="CM178" s="10"/>
      <c r="CN178" s="10">
        <f>SUM(CN171-CN177)</f>
        <v>0</v>
      </c>
      <c r="CO178" s="10">
        <f>SUM(CO171-CO177)</f>
        <v>0</v>
      </c>
      <c r="CP178" s="10">
        <f>SUM(CP171-CP177)</f>
        <v>0</v>
      </c>
      <c r="CQ178" s="10">
        <f>SUM(CQ171-CQ177)</f>
        <v>0</v>
      </c>
      <c r="CR178" s="10">
        <f>SUM(CR171-CR177)</f>
        <v>0</v>
      </c>
      <c r="CS178" s="1"/>
      <c r="CT178" s="1"/>
      <c r="CU178" s="10">
        <f>SUM(CU171-CU177)</f>
        <v>0</v>
      </c>
      <c r="CW178" s="10">
        <f>SUM(CW171-CW177)</f>
        <v>0</v>
      </c>
      <c r="CX178" s="10"/>
      <c r="CY178" s="10"/>
      <c r="CZ178" s="10"/>
      <c r="DA178" s="10"/>
      <c r="DB178" s="10"/>
      <c r="DC178" s="10">
        <f>SUM(DC171-DC177)</f>
        <v>0</v>
      </c>
      <c r="DD178" s="10"/>
      <c r="DE178" s="10">
        <f>SUM(DE171-DE177)</f>
        <v>0</v>
      </c>
      <c r="DF178" s="10"/>
      <c r="DG178" s="10">
        <f>SUM(DG171-DG177)</f>
        <v>0</v>
      </c>
      <c r="DH178" s="10">
        <f>SUM(DH171-DH177)</f>
        <v>0</v>
      </c>
      <c r="DI178" s="10"/>
      <c r="DJ178" s="10"/>
      <c r="DK178" s="10"/>
      <c r="DL178" s="10"/>
      <c r="DM178" s="10"/>
      <c r="DN178" s="10"/>
      <c r="DO178" s="10">
        <f>SUM(DO171-DO177)</f>
        <v>0</v>
      </c>
      <c r="DP178" s="10"/>
      <c r="DQ178" s="10"/>
      <c r="DR178" s="10"/>
      <c r="DS178" s="10"/>
      <c r="DT178" s="10"/>
      <c r="DV178" s="10"/>
      <c r="DW178" s="10">
        <f>SUM(DW171-DW177)</f>
        <v>-4411269</v>
      </c>
      <c r="DX178" s="10"/>
      <c r="DY178" s="10"/>
      <c r="DZ178" s="10"/>
      <c r="EC178" s="10"/>
      <c r="ED178" s="1"/>
      <c r="EE178" s="10">
        <f>SUM(EE171-EE177)</f>
        <v>490969692</v>
      </c>
      <c r="EF178" s="10"/>
      <c r="EG178" s="10">
        <f>SUM(EG171-EG177)</f>
        <v>365897</v>
      </c>
    </row>
    <row r="179" spans="1:137" ht="0.9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X179" s="3"/>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V179" s="1"/>
      <c r="DW179" s="1"/>
      <c r="DX179" s="1"/>
      <c r="DY179" s="1"/>
      <c r="DZ179" s="1"/>
      <c r="EC179" s="1"/>
      <c r="ED179" s="1"/>
      <c r="EE179" s="1"/>
      <c r="EF179" s="1"/>
      <c r="EG179" s="1"/>
    </row>
    <row r="180" spans="1:137" ht="15.75">
      <c r="A180" s="1"/>
      <c r="B180" s="1" t="s">
        <v>1150</v>
      </c>
      <c r="C180" s="1"/>
      <c r="D180" s="1">
        <f>+'Govt IS'!D70</f>
        <v>10224732</v>
      </c>
      <c r="E180" s="1">
        <f>+'SR IS'!C65</f>
        <v>-102054</v>
      </c>
      <c r="F180" s="1">
        <f>'SR IS'!E65</f>
        <v>3692</v>
      </c>
      <c r="G180" s="1">
        <f>'SR IS'!G65</f>
        <v>73809</v>
      </c>
      <c r="H180" s="1">
        <f>'SR IS'!I65</f>
        <v>357347</v>
      </c>
      <c r="I180" s="1">
        <f>'SR IS'!K65</f>
        <v>4500</v>
      </c>
      <c r="J180" s="1">
        <f>'SR IS'!N65</f>
        <v>2097057</v>
      </c>
      <c r="K180" s="1">
        <f>'SR IS'!P65</f>
        <v>1303</v>
      </c>
      <c r="L180" s="1">
        <f>'SR IS'!R65</f>
        <v>21640</v>
      </c>
      <c r="M180" s="1">
        <f>'SR IS'!T65</f>
        <v>660329</v>
      </c>
      <c r="N180" s="1">
        <f>'SR IS'!V65</f>
        <v>84305</v>
      </c>
      <c r="O180" s="1">
        <f>'SR IS'!Y65</f>
        <v>60405</v>
      </c>
      <c r="P180" s="1"/>
      <c r="Q180" s="1">
        <f>'SR IS'!AA65</f>
        <v>185629</v>
      </c>
      <c r="R180" s="1">
        <f>'SR IS'!AC65</f>
        <v>380215</v>
      </c>
      <c r="S180" s="1">
        <f>'SR IS'!AE65</f>
        <v>1022934</v>
      </c>
      <c r="T180" s="1">
        <f>'SR IS'!AG65</f>
        <v>308</v>
      </c>
      <c r="U180" s="1">
        <f>'SR IS'!AJ65</f>
        <v>653461</v>
      </c>
      <c r="V180" s="1">
        <f>'SR IS'!AL65</f>
        <v>2517</v>
      </c>
      <c r="W180" s="1">
        <f>'SR IS'!AN65</f>
        <v>255076</v>
      </c>
      <c r="X180" s="1">
        <f>'Govt IS'!F70</f>
        <v>4366091</v>
      </c>
      <c r="Y180" s="1">
        <f>'SR IS'!AP65</f>
        <v>35779</v>
      </c>
      <c r="Z180" s="1">
        <f>'SR IS'!AR65</f>
        <v>107003</v>
      </c>
      <c r="AA180" s="1">
        <f>'SR IS'!AU65</f>
        <v>100039</v>
      </c>
      <c r="AB180" s="1">
        <f>'SR IS'!AW65</f>
        <v>1631376</v>
      </c>
      <c r="AC180" s="1">
        <f>'SR IS'!AY65</f>
        <v>238913</v>
      </c>
      <c r="AD180" s="1">
        <f>'SR IS'!BA65</f>
        <v>28133</v>
      </c>
      <c r="AE180" s="1">
        <f>'SR IS'!BC65</f>
        <v>82435</v>
      </c>
      <c r="AF180" s="1">
        <f>'SR IS'!BH65</f>
        <v>21202</v>
      </c>
      <c r="AG180" s="1">
        <f>'SR IS'!BJ65</f>
        <v>422641</v>
      </c>
      <c r="AH180" s="1">
        <f>'SR IS'!BL65</f>
        <v>253738</v>
      </c>
      <c r="AI180" s="1">
        <f>'SR IS'!BN65</f>
        <v>21826</v>
      </c>
      <c r="AJ180" s="1">
        <f>'SR IS'!BP65</f>
        <v>62464</v>
      </c>
      <c r="AK180" s="1">
        <f>+'SR IS'!BU65</f>
        <v>5768</v>
      </c>
      <c r="AL180" s="1">
        <f>+'SR IS'!BW65</f>
        <v>35534</v>
      </c>
      <c r="AM180" s="1">
        <f>+'SR IS'!BY65</f>
        <v>39899</v>
      </c>
      <c r="AN180" s="1">
        <f>+'SR IS'!CA65</f>
        <v>168446</v>
      </c>
      <c r="AO180" s="1">
        <f>+'SR IS'!CC65</f>
        <v>0</v>
      </c>
      <c r="AP180" s="1">
        <f>+'SR IS'!CH65</f>
        <v>1675727</v>
      </c>
      <c r="AQ180" s="1">
        <f>+'SR IS'!CJ65</f>
        <v>872198</v>
      </c>
      <c r="AR180" s="1">
        <f>+'SR IS'!CL65</f>
        <v>104504</v>
      </c>
      <c r="AS180" s="1">
        <f>+'SR IS'!CN65</f>
        <v>96879</v>
      </c>
      <c r="AT180" s="1">
        <f>+'SR IS'!CP65</f>
        <v>247580</v>
      </c>
      <c r="AU180" s="1">
        <f>+'SR IS'!CU65</f>
        <v>-1287</v>
      </c>
      <c r="AV180" s="1">
        <f>+'SR IS'!CW65</f>
        <v>-22045</v>
      </c>
      <c r="AW180" s="1"/>
      <c r="AX180" s="1">
        <f>+'SR IS'!CY65</f>
        <v>-11972</v>
      </c>
      <c r="AY180" s="1">
        <f>+'SR IS'!DA65</f>
        <v>0</v>
      </c>
      <c r="AZ180" s="1">
        <f>+'SR IS'!DC65</f>
        <v>17572</v>
      </c>
      <c r="BA180" s="1">
        <f>+'SR IS'!DO65</f>
        <v>-8728</v>
      </c>
      <c r="BB180" s="1">
        <f>+'Govt IS'!G70</f>
        <v>-287714</v>
      </c>
      <c r="BC180" s="1">
        <f>+'Govt IS'!H70</f>
        <v>6813379</v>
      </c>
      <c r="BD180" s="1">
        <f>+'SR IS'!DU65</f>
        <v>371646</v>
      </c>
      <c r="BE180" s="1"/>
      <c r="BF180" s="1">
        <f>+'SR IS'!EC65+'Govt IS'!F70+'Govt IS'!H70</f>
        <v>23539213</v>
      </c>
      <c r="BG180" s="1"/>
      <c r="BH180" s="1">
        <f>'DS IS'!D66</f>
        <v>0</v>
      </c>
      <c r="BI180" s="1">
        <f>+'DS IS'!F66</f>
        <v>41294</v>
      </c>
      <c r="BJ180" s="1">
        <f>+'DS IS'!H66</f>
        <v>0</v>
      </c>
      <c r="BK180" s="1">
        <f>'DS IS'!J66</f>
        <v>387148</v>
      </c>
      <c r="BL180" s="1">
        <f>'DS IS'!L66</f>
        <v>55606</v>
      </c>
      <c r="BM180" s="1">
        <f>'DS IS'!N66</f>
        <v>19430</v>
      </c>
      <c r="BN180" s="1">
        <f>+'Govt IS'!J70</f>
        <v>121101</v>
      </c>
      <c r="BO180" s="1"/>
      <c r="BP180" s="1">
        <f>'DS IS'!P66+'Govt IS'!J70</f>
        <v>624579</v>
      </c>
      <c r="BQ180" s="1"/>
      <c r="BR180" s="1">
        <f>'Govt IS'!N70</f>
        <v>17906114</v>
      </c>
      <c r="BS180" s="1">
        <f>'CP IS'!D64</f>
        <v>0</v>
      </c>
      <c r="BT180" s="1">
        <f>'CP IS'!F64</f>
        <v>-24383</v>
      </c>
      <c r="BU180" s="1">
        <f>'CP IS'!H64</f>
        <v>0</v>
      </c>
      <c r="BV180" s="1">
        <f>+'CP IS'!J64</f>
        <v>0</v>
      </c>
      <c r="BW180" s="1">
        <f>+'CP IS'!L64</f>
        <v>2342458</v>
      </c>
      <c r="BX180" s="3"/>
      <c r="BY180" s="1">
        <f>+'Govt IS'!N70+'CP IS'!N64</f>
        <v>20224189</v>
      </c>
      <c r="BZ180" s="1"/>
      <c r="CA180" s="1"/>
      <c r="CB180" s="1">
        <f>'ENT IS'!D65</f>
        <v>0</v>
      </c>
      <c r="CC180" s="1">
        <f>PROPREV!H65</f>
        <v>7781237</v>
      </c>
      <c r="CD180" s="1">
        <f>'ENT IS'!F65</f>
        <v>49380</v>
      </c>
      <c r="CE180" s="1">
        <f>'ENT IS'!H65</f>
        <v>180053</v>
      </c>
      <c r="CF180" s="1">
        <f>'ENT IS'!J65</f>
        <v>1269238</v>
      </c>
      <c r="CG180" s="1">
        <f>PROPREV!F65</f>
        <v>7199713</v>
      </c>
      <c r="CH180" s="1">
        <f>'ENT IS'!L65</f>
        <v>121163</v>
      </c>
      <c r="CI180" s="1"/>
      <c r="CJ180" s="1">
        <f>+'ENT IS'!D65+PROPREV!H65+PROPREV!F65+PROPREV!J65</f>
        <v>16600784</v>
      </c>
      <c r="CK180" s="1"/>
      <c r="CL180" s="1">
        <f>'IS IS'!D61</f>
        <v>2264757</v>
      </c>
      <c r="CM180" s="1">
        <f>'IS IS'!F61</f>
        <v>995738</v>
      </c>
      <c r="CN180" s="1">
        <f>'IS IS'!H61</f>
        <v>309413</v>
      </c>
      <c r="CO180" s="1">
        <f>'IS IS'!J61</f>
        <v>119825</v>
      </c>
      <c r="CP180" s="1">
        <f>'IS IS'!N61</f>
        <v>1437849</v>
      </c>
      <c r="CQ180" s="1">
        <f>'IS IS'!P61</f>
        <v>801614</v>
      </c>
      <c r="CR180" s="1">
        <f>'IS IS'!R61</f>
        <v>-129336</v>
      </c>
      <c r="CS180" s="1"/>
      <c r="CT180" s="1"/>
      <c r="CU180" s="1">
        <f>CU71</f>
        <v>6158445</v>
      </c>
      <c r="CW180" s="1">
        <f>+'Cust Funds Chg in NP'!C38</f>
        <v>3980305</v>
      </c>
      <c r="CX180" s="1"/>
      <c r="CY180" s="1">
        <f>+'Cust Funds Chg in NP'!E38</f>
        <v>32848</v>
      </c>
      <c r="CZ180" s="1"/>
      <c r="DA180" s="1"/>
      <c r="DB180" s="1">
        <f>+'Cust Funds Chg in NP'!G38</f>
        <v>44162</v>
      </c>
      <c r="DC180" s="1">
        <f>+'Cust Funds Chg in NP'!I38</f>
        <v>8412</v>
      </c>
      <c r="DD180" s="1">
        <f>+'Cust Funds Chg in NP'!M38</f>
        <v>0</v>
      </c>
      <c r="DE180" s="1">
        <f>+'Cust Funds Chg in NP'!O38</f>
        <v>8608</v>
      </c>
      <c r="DF180" s="1"/>
      <c r="DG180" s="1"/>
      <c r="DH180" s="1"/>
      <c r="DI180" s="1"/>
      <c r="DJ180" s="1">
        <f>+'Cust Funds Chg in NP'!Q38</f>
        <v>296099</v>
      </c>
      <c r="DK180" s="1"/>
      <c r="DL180" s="1">
        <f>+'Cust Funds Chg in NP'!S38</f>
        <v>1325611</v>
      </c>
      <c r="DM180" s="1"/>
      <c r="DN180" s="1">
        <f>+'Cust Funds Chg in NP'!W38</f>
        <v>90503</v>
      </c>
      <c r="DO180" s="1"/>
      <c r="DP180" s="1"/>
      <c r="DQ180" s="1"/>
      <c r="DR180" s="1"/>
      <c r="DS180" s="1">
        <f>+'Cust Funds Chg in NP'!AG38</f>
        <v>1772021</v>
      </c>
      <c r="DT180" s="1">
        <f>+'Cust Funds Chg in NP'!AI38</f>
        <v>1494534</v>
      </c>
      <c r="DV180" s="1"/>
      <c r="DW180" s="1"/>
      <c r="DX180" s="1"/>
      <c r="DY180" s="1"/>
      <c r="DZ180" s="1">
        <f>+'Cust Funds Chg in NP'!AK38</f>
        <v>155027</v>
      </c>
      <c r="EC180" s="1">
        <f>'COMP UNIT IS Don''t Use FY21'!D54</f>
        <v>0</v>
      </c>
      <c r="ED180" s="1"/>
      <c r="EE180" s="1"/>
      <c r="EF180" s="1"/>
      <c r="EG180" s="1">
        <f>+'COMBING IS'!J66</f>
        <v>365897</v>
      </c>
    </row>
    <row r="181" spans="1:137" ht="15.7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3"/>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V181" s="1"/>
      <c r="DW181" s="1"/>
      <c r="DX181" s="1"/>
      <c r="DY181" s="1"/>
      <c r="DZ181" s="1"/>
      <c r="EC181" s="1"/>
      <c r="ED181" s="1"/>
      <c r="EE181" s="1"/>
      <c r="EF181" s="1"/>
      <c r="EG181" s="1"/>
    </row>
    <row r="182" spans="1:137" ht="15.75">
      <c r="A182" s="1"/>
      <c r="D182">
        <f>+D171-D180+INPUT!D331</f>
        <v>0</v>
      </c>
      <c r="E182">
        <f>+E171-E180+INPUT!E331</f>
        <v>0</v>
      </c>
      <c r="F182">
        <f>+F171-F180+INPUT!F331</f>
        <v>0</v>
      </c>
      <c r="G182">
        <f>+G171-G180+INPUT!G331</f>
        <v>0</v>
      </c>
      <c r="H182">
        <f>+H171-H180+INPUT!H331</f>
        <v>0</v>
      </c>
      <c r="I182">
        <f>+I171-I180+INPUT!I331</f>
        <v>0</v>
      </c>
      <c r="J182">
        <f>+J171-J180+INPUT!J331</f>
        <v>0</v>
      </c>
      <c r="K182">
        <f>+K171-K180+INPUT!K331</f>
        <v>0</v>
      </c>
      <c r="L182">
        <f>+L171-L180+INPUT!L331</f>
        <v>0</v>
      </c>
      <c r="M182">
        <f>+M171-M180+INPUT!M331</f>
        <v>0</v>
      </c>
      <c r="N182">
        <f>+N171-N180+INPUT!N331</f>
        <v>0</v>
      </c>
      <c r="O182">
        <f>+O171-O180+INPUT!O331</f>
        <v>0</v>
      </c>
      <c r="Q182">
        <f>+Q171-Q180+INPUT!Q331</f>
        <v>0</v>
      </c>
      <c r="R182">
        <f>+R171-R180+INPUT!R331</f>
        <v>0</v>
      </c>
      <c r="S182">
        <f>+S171-S180+INPUT!S331</f>
        <v>0</v>
      </c>
      <c r="T182">
        <f>+T171-T180+INPUT!T331</f>
        <v>0</v>
      </c>
      <c r="U182">
        <f>+U171-U180+INPUT!U331</f>
        <v>0</v>
      </c>
      <c r="V182">
        <f>+V171-V180+INPUT!V331</f>
        <v>0</v>
      </c>
      <c r="W182">
        <f>+W171-W180+INPUT!W331</f>
        <v>0</v>
      </c>
      <c r="X182">
        <f>+X171-X180+INPUT!X331</f>
        <v>0</v>
      </c>
      <c r="Y182">
        <f>+Y171-Y180+INPUT!Y331</f>
        <v>0</v>
      </c>
      <c r="Z182">
        <f>+Z171-Z180+INPUT!Z331</f>
        <v>0</v>
      </c>
      <c r="AA182">
        <f>+AA171-AA180+INPUT!AA331</f>
        <v>0</v>
      </c>
      <c r="AB182">
        <f>+AB171-AB180+INPUT!AB331</f>
        <v>0</v>
      </c>
      <c r="AC182">
        <f>+AC171-AC180+INPUT!AC331</f>
        <v>0</v>
      </c>
      <c r="AD182">
        <f>+AD171-AD180+INPUT!AD331</f>
        <v>0</v>
      </c>
      <c r="AE182">
        <f>+AE171-AE180+INPUT!AE331</f>
        <v>0</v>
      </c>
      <c r="AF182">
        <f>+AF171-AF180+INPUT!AF331</f>
        <v>0</v>
      </c>
      <c r="AG182">
        <f>+AG171-AG180+INPUT!AG331</f>
        <v>0</v>
      </c>
      <c r="AH182">
        <f>+AH171-AH180+INPUT!AH331</f>
        <v>0</v>
      </c>
      <c r="AI182">
        <f>+AI171-AI180+INPUT!AI331</f>
        <v>0</v>
      </c>
      <c r="AJ182">
        <f>+AJ171-AJ180+INPUT!AJ331</f>
        <v>0</v>
      </c>
      <c r="AK182">
        <f>+AK171-AK180+INPUT!AK331</f>
        <v>0</v>
      </c>
      <c r="AL182">
        <f>+AL171-AL180+INPUT!AL331</f>
        <v>0</v>
      </c>
      <c r="AM182">
        <f>+AM171-AM180+INPUT!AM331</f>
        <v>0</v>
      </c>
      <c r="AN182">
        <f>+AN171-AN180+INPUT!AN331</f>
        <v>0</v>
      </c>
      <c r="AO182">
        <f>+AO171-AO180+INPUT!AO331</f>
        <v>0</v>
      </c>
      <c r="AP182">
        <f>+AP171-AP180+INPUT!AP331</f>
        <v>0</v>
      </c>
      <c r="AQ182">
        <f>+AQ171-AQ180+INPUT!AQ331</f>
        <v>0</v>
      </c>
      <c r="AR182">
        <f>+AR171-AR180+INPUT!AR331</f>
        <v>0</v>
      </c>
      <c r="AS182">
        <f>+AS171-AS180+INPUT!AS331</f>
        <v>0</v>
      </c>
      <c r="AT182">
        <f>+AT171-AT180+INPUT!AT331</f>
        <v>0</v>
      </c>
      <c r="AU182">
        <f>+AU171-AU180+INPUT!AU331</f>
        <v>0</v>
      </c>
      <c r="AV182">
        <f>+AV171-AV180+INPUT!AV331</f>
        <v>0</v>
      </c>
      <c r="AX182">
        <f>+AX171-AX180+INPUT!AX331</f>
        <v>0</v>
      </c>
      <c r="AY182">
        <f>+AY171-AY180+INPUT!AY331</f>
        <v>0</v>
      </c>
      <c r="AZ182">
        <f>+AZ171-AZ180+INPUT!AZ331</f>
        <v>0</v>
      </c>
      <c r="BA182">
        <f>+BA171-BA180+INPUT!BA331</f>
        <v>0</v>
      </c>
      <c r="BB182">
        <f>+BB171-BB180+INPUT!BB331</f>
        <v>0</v>
      </c>
      <c r="BC182">
        <f>+BC171-BC180+INPUT!BC331</f>
        <v>0</v>
      </c>
      <c r="BD182">
        <f>+BD171-BD180+INPUT!BD331</f>
        <v>0</v>
      </c>
      <c r="BE182" s="1"/>
      <c r="BF182">
        <f>+BF171-BF180+INPUT!BF331</f>
        <v>-287714</v>
      </c>
      <c r="BG182">
        <f>SUM(E182:BD182)</f>
        <v>0</v>
      </c>
      <c r="BH182">
        <f>+BH171-BH180+INPUT!BH331</f>
        <v>0</v>
      </c>
      <c r="BI182">
        <f>+BI171-BI180+INPUT!BI331</f>
        <v>0</v>
      </c>
      <c r="BJ182">
        <f>+BJ171-BJ180+INPUT!BJ331</f>
        <v>0</v>
      </c>
      <c r="BK182">
        <f>+BK171-BK180+INPUT!BK331</f>
        <v>0</v>
      </c>
      <c r="BL182">
        <f>+BL171-BL180+INPUT!BL331</f>
        <v>0</v>
      </c>
      <c r="BM182">
        <f>+BM171-BM180+INPUT!BM331</f>
        <v>0</v>
      </c>
      <c r="BN182">
        <f>+BN171-BN180+INPUT!BN331</f>
        <v>0</v>
      </c>
      <c r="BO182" s="1"/>
      <c r="BP182">
        <f>+BP171-BP180+INPUT!BP331</f>
        <v>0</v>
      </c>
      <c r="BR182">
        <f>+BR171-BR180+INPUT!BR331</f>
        <v>0</v>
      </c>
      <c r="BS182">
        <f>+BS171-BS180+INPUT!BS331</f>
        <v>0</v>
      </c>
      <c r="BT182">
        <f>+BT171-BT180+INPUT!BT331</f>
        <v>0</v>
      </c>
      <c r="BU182">
        <f>+BU171-BU180+INPUT!BU331</f>
        <v>0</v>
      </c>
      <c r="BV182">
        <f>+BV171-BV180+INPUT!BV331</f>
        <v>0</v>
      </c>
      <c r="BW182">
        <f>+BW171-BW180+INPUT!BW331</f>
        <v>0</v>
      </c>
      <c r="BX182" s="3"/>
      <c r="BY182">
        <f>+BY171-BY180+INPUT!BY331</f>
        <v>0</v>
      </c>
      <c r="CB182">
        <f>+CB171-CB180+INPUT!CB331</f>
        <v>0</v>
      </c>
      <c r="CC182">
        <f>+CC171-CC180+INPUT!CC331</f>
        <v>1</v>
      </c>
      <c r="CD182">
        <f>+CD171-CD180+INPUT!CD331</f>
        <v>2</v>
      </c>
      <c r="CE182">
        <f>+CE171-CE180+INPUT!CE331</f>
        <v>-73849</v>
      </c>
      <c r="CF182" s="991">
        <f>+CF171-CF180+INPUT!CF331</f>
        <v>-15300</v>
      </c>
      <c r="CG182" s="991">
        <f>+CG171-CG180+INPUT!CG331</f>
        <v>23306</v>
      </c>
      <c r="CH182">
        <f>+CH171-CH180+INPUT!CH331</f>
        <v>0</v>
      </c>
      <c r="CI182" s="1"/>
      <c r="CJ182">
        <f>+CJ171-CJ180+INPUT!CJ331</f>
        <v>-65840</v>
      </c>
      <c r="CL182">
        <f>+CL171-CL180+INPUT!CL331</f>
        <v>0</v>
      </c>
      <c r="CM182">
        <f>+CM171-CM180+INPUT!CM331</f>
        <v>-7241</v>
      </c>
      <c r="CN182">
        <f>+CN171-CN180+INPUT!CN331</f>
        <v>-3</v>
      </c>
      <c r="CO182">
        <f>+CO171-CO180+INPUT!CO331</f>
        <v>0</v>
      </c>
      <c r="CP182">
        <f>+CP171-CP180+INPUT!CP331</f>
        <v>-505047</v>
      </c>
      <c r="CQ182">
        <f>+CQ171-CQ180+INPUT!CQ331</f>
        <v>0</v>
      </c>
      <c r="CR182">
        <f>+CR171-CR180+INPUT!CR331</f>
        <v>0</v>
      </c>
      <c r="CS182" s="1"/>
      <c r="CT182" s="1"/>
      <c r="CU182">
        <f>+CU171-CU147-CU180</f>
        <v>0</v>
      </c>
      <c r="CW182">
        <f>+CW171-CW180</f>
        <v>-88650</v>
      </c>
      <c r="CX182">
        <f>+CX171-CX180</f>
        <v>0</v>
      </c>
      <c r="CY182">
        <f>+CY171-CY180</f>
        <v>0</v>
      </c>
      <c r="CZ182" s="1"/>
      <c r="DA182" s="1"/>
      <c r="DB182">
        <f t="shared" ref="DB182:DE182" si="276">+DB171-DB180</f>
        <v>0</v>
      </c>
      <c r="DC182">
        <f t="shared" si="276"/>
        <v>0</v>
      </c>
      <c r="DD182">
        <f t="shared" si="276"/>
        <v>0</v>
      </c>
      <c r="DE182">
        <f t="shared" si="276"/>
        <v>0</v>
      </c>
      <c r="DF182" s="1"/>
      <c r="DG182">
        <f t="shared" ref="DG182:DL182" si="277">+DG171-DG180</f>
        <v>204466</v>
      </c>
      <c r="DH182">
        <f t="shared" si="277"/>
        <v>0</v>
      </c>
      <c r="DI182">
        <f t="shared" si="277"/>
        <v>0</v>
      </c>
      <c r="DJ182">
        <f t="shared" si="277"/>
        <v>0</v>
      </c>
      <c r="DK182">
        <f t="shared" si="277"/>
        <v>0</v>
      </c>
      <c r="DL182">
        <f t="shared" si="277"/>
        <v>0</v>
      </c>
      <c r="DM182" s="1"/>
      <c r="DN182">
        <f>+DN171-DN180</f>
        <v>0</v>
      </c>
      <c r="DO182">
        <f>+DO171-DO180</f>
        <v>0</v>
      </c>
      <c r="DP182">
        <f>+DP171-DP180</f>
        <v>34351</v>
      </c>
      <c r="DQ182">
        <f>+DQ171-DQ180</f>
        <v>6671184</v>
      </c>
      <c r="DR182">
        <f t="shared" ref="DR182:DT182" si="278">+DR171-DR180</f>
        <v>53937427</v>
      </c>
      <c r="DS182">
        <f t="shared" si="278"/>
        <v>-891729</v>
      </c>
      <c r="DT182">
        <f t="shared" si="278"/>
        <v>-422764</v>
      </c>
      <c r="DV182" s="1"/>
      <c r="DW182">
        <f>+DW171-DW180</f>
        <v>64605733</v>
      </c>
      <c r="DX182">
        <f>+DX171-DX180</f>
        <v>0</v>
      </c>
      <c r="DZ182">
        <f>+DZ171-DZ180</f>
        <v>0</v>
      </c>
      <c r="EC182">
        <f>+EC171-EC180+INPUT!EB331</f>
        <v>0</v>
      </c>
      <c r="ED182" s="1"/>
      <c r="EE182">
        <f>+EE171-EE180</f>
        <v>133258148</v>
      </c>
      <c r="EF182">
        <f>+EF171-EF180</f>
        <v>0</v>
      </c>
      <c r="EG182">
        <f>+EG171-EG180</f>
        <v>0</v>
      </c>
    </row>
    <row r="183" spans="1:137" ht="15.75">
      <c r="A183" s="1"/>
      <c r="X183" s="156" t="s">
        <v>3330</v>
      </c>
      <c r="BE183" s="1"/>
      <c r="BF183" t="s">
        <v>1184</v>
      </c>
      <c r="BO183" s="1"/>
      <c r="BX183" s="3"/>
      <c r="CF183" s="991" t="s">
        <v>2956</v>
      </c>
      <c r="CG183" s="143"/>
      <c r="CI183" s="1"/>
      <c r="CM183" s="1214" t="s">
        <v>3287</v>
      </c>
      <c r="CS183" s="1"/>
      <c r="CT183" s="1"/>
      <c r="CZ183" s="1"/>
      <c r="DA183" s="1"/>
      <c r="DF183" s="1"/>
      <c r="DM183" s="1"/>
      <c r="DR183" s="1"/>
      <c r="DS183" s="1"/>
      <c r="DT183" s="1"/>
      <c r="DV183" s="1"/>
      <c r="EC183" s="159" t="s">
        <v>2305</v>
      </c>
      <c r="ED183" s="1"/>
    </row>
    <row r="184" spans="1:137" ht="15.75">
      <c r="A184" s="1"/>
      <c r="B184" s="7" t="s">
        <v>778</v>
      </c>
      <c r="C184" s="7"/>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X184" s="3"/>
      <c r="BY184" s="1"/>
      <c r="BZ184" s="1"/>
      <c r="CA184" s="1"/>
      <c r="CB184" s="1"/>
      <c r="CC184" s="1"/>
      <c r="CD184" s="1"/>
      <c r="CE184" s="1"/>
      <c r="CF184" s="89" t="s">
        <v>2957</v>
      </c>
      <c r="CG184" s="1"/>
      <c r="CH184" s="1"/>
      <c r="CI184" s="1"/>
      <c r="CJ184" s="1"/>
      <c r="CK184" s="1"/>
      <c r="CL184" s="1"/>
      <c r="CM184" s="1215" t="s">
        <v>3288</v>
      </c>
      <c r="CN184" s="1"/>
      <c r="CO184" s="1"/>
      <c r="CP184" s="1"/>
      <c r="CQ184" s="1"/>
      <c r="CR184" s="1"/>
      <c r="CS184" s="1"/>
      <c r="CT184" s="1"/>
      <c r="CU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V184" s="1"/>
      <c r="DW184" s="1"/>
      <c r="DX184" s="1"/>
      <c r="DY184" s="1"/>
      <c r="DZ184" s="1"/>
      <c r="EC184" s="1"/>
      <c r="ED184" s="1"/>
      <c r="EE184" s="1"/>
      <c r="EF184" s="1"/>
      <c r="EG184" s="1"/>
    </row>
    <row r="185" spans="1:137" ht="15.7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X185" s="3"/>
      <c r="BY185" s="1"/>
      <c r="BZ185" s="1"/>
      <c r="CA185" s="1"/>
      <c r="CB185" s="1"/>
      <c r="CC185" s="1"/>
      <c r="CD185" s="1"/>
      <c r="CE185" s="1"/>
      <c r="CF185" s="1"/>
      <c r="CG185" s="991" t="s">
        <v>3198</v>
      </c>
      <c r="CH185" s="1"/>
      <c r="CI185" s="1"/>
      <c r="CJ185" s="1"/>
      <c r="CK185" s="1"/>
      <c r="CL185" s="1"/>
      <c r="CM185" s="1"/>
      <c r="CN185" s="1"/>
      <c r="CO185" s="1"/>
      <c r="CP185" s="1"/>
      <c r="CQ185" s="1"/>
      <c r="CR185" s="1"/>
      <c r="CS185" s="1"/>
      <c r="CT185" s="1"/>
      <c r="CU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V185" s="1"/>
      <c r="DW185" s="1"/>
      <c r="DX185" s="1"/>
      <c r="DY185" s="1"/>
      <c r="DZ185" s="1"/>
      <c r="EC185" s="1"/>
      <c r="ED185" s="1"/>
      <c r="EE185" s="1"/>
      <c r="EF185" s="1"/>
      <c r="EG185" s="754" t="s">
        <v>3360</v>
      </c>
    </row>
    <row r="186" spans="1:137" ht="15.75">
      <c r="A186" s="1"/>
      <c r="B186" s="1" t="s">
        <v>151</v>
      </c>
      <c r="C186" s="1"/>
      <c r="D186" s="81">
        <v>7452016</v>
      </c>
      <c r="E186" s="81">
        <v>330187</v>
      </c>
      <c r="F186" s="81">
        <v>5631</v>
      </c>
      <c r="G186" s="81">
        <v>-13234</v>
      </c>
      <c r="H186" s="81">
        <v>305110</v>
      </c>
      <c r="I186" s="81">
        <v>4500</v>
      </c>
      <c r="J186" s="81">
        <v>1970166</v>
      </c>
      <c r="K186" s="81">
        <v>74</v>
      </c>
      <c r="L186" s="81">
        <v>8485</v>
      </c>
      <c r="M186" s="81">
        <v>529000</v>
      </c>
      <c r="N186" s="81">
        <v>86030</v>
      </c>
      <c r="O186" s="81">
        <v>48826</v>
      </c>
      <c r="P186" s="81"/>
      <c r="Q186" s="81">
        <v>198091</v>
      </c>
      <c r="R186" s="81">
        <v>347266</v>
      </c>
      <c r="S186" s="81">
        <v>1157672</v>
      </c>
      <c r="T186" s="81">
        <v>289</v>
      </c>
      <c r="U186" s="81">
        <v>666764</v>
      </c>
      <c r="V186" s="81">
        <v>142</v>
      </c>
      <c r="W186" s="81">
        <v>253822</v>
      </c>
      <c r="X186" s="81">
        <v>3347149</v>
      </c>
      <c r="Y186" s="81">
        <v>-4554</v>
      </c>
      <c r="Z186" s="81">
        <v>54037</v>
      </c>
      <c r="AA186" s="81">
        <v>138674</v>
      </c>
      <c r="AB186" s="81">
        <v>1317706</v>
      </c>
      <c r="AC186" s="81">
        <v>195203</v>
      </c>
      <c r="AD186" s="81">
        <v>19792</v>
      </c>
      <c r="AE186" s="81">
        <v>77193</v>
      </c>
      <c r="AF186" s="81">
        <v>21108</v>
      </c>
      <c r="AG186" s="81">
        <v>476992</v>
      </c>
      <c r="AH186" s="81">
        <v>347620</v>
      </c>
      <c r="AI186" s="81">
        <v>45849</v>
      </c>
      <c r="AJ186" s="81">
        <v>60394</v>
      </c>
      <c r="AK186" s="81">
        <v>25</v>
      </c>
      <c r="AL186" s="81">
        <v>52789</v>
      </c>
      <c r="AM186" s="81">
        <v>58393</v>
      </c>
      <c r="AN186" s="81">
        <v>193845</v>
      </c>
      <c r="AO186" s="81">
        <v>0</v>
      </c>
      <c r="AP186" s="81">
        <v>414553</v>
      </c>
      <c r="AQ186" s="81">
        <v>696878</v>
      </c>
      <c r="AR186" s="81">
        <v>47367</v>
      </c>
      <c r="AS186" s="81">
        <v>67703</v>
      </c>
      <c r="AT186" s="81">
        <v>560220</v>
      </c>
      <c r="AU186" s="81">
        <v>-7069</v>
      </c>
      <c r="AV186" s="81">
        <v>0</v>
      </c>
      <c r="AW186" s="81"/>
      <c r="AX186" s="81">
        <v>-62728</v>
      </c>
      <c r="AY186" s="81">
        <v>0</v>
      </c>
      <c r="AZ186" s="81">
        <v>34313</v>
      </c>
      <c r="BA186" s="81">
        <v>-25945</v>
      </c>
      <c r="BB186" s="81">
        <v>10529537</v>
      </c>
      <c r="BC186" s="81">
        <v>6043255</v>
      </c>
      <c r="BD186" s="81">
        <v>363764</v>
      </c>
      <c r="BF186" s="1">
        <f>SUM(E186:BE186)</f>
        <v>30962884</v>
      </c>
      <c r="BH186" s="81">
        <v>0</v>
      </c>
      <c r="BI186" s="81">
        <v>46955</v>
      </c>
      <c r="BJ186" s="81">
        <v>0</v>
      </c>
      <c r="BK186" s="81">
        <v>366520</v>
      </c>
      <c r="BL186" s="81">
        <v>59194</v>
      </c>
      <c r="BM186" s="81">
        <v>4817</v>
      </c>
      <c r="BN186" s="81">
        <v>94782</v>
      </c>
      <c r="BO186" s="1"/>
      <c r="BP186" s="1">
        <f>SUM(BH186:BN186)</f>
        <v>572268</v>
      </c>
      <c r="BQ186" s="1"/>
      <c r="BR186" s="81">
        <v>15525227</v>
      </c>
      <c r="BS186" s="81">
        <v>0</v>
      </c>
      <c r="BT186" s="81">
        <v>-15316</v>
      </c>
      <c r="BU186" s="81">
        <v>0</v>
      </c>
      <c r="BV186" s="81">
        <v>46164</v>
      </c>
      <c r="BW186" s="81">
        <v>1562109</v>
      </c>
      <c r="BX186" s="3"/>
      <c r="BY186" s="1">
        <f>SUM(BR186:BX186)</f>
        <v>17118184</v>
      </c>
      <c r="BZ186" s="1"/>
      <c r="CA186" s="1"/>
      <c r="CB186" s="32"/>
      <c r="CC186" s="1"/>
      <c r="CD186" s="1"/>
      <c r="CE186" s="1"/>
      <c r="CF186" s="1"/>
      <c r="CG186" s="1"/>
      <c r="CH186" s="1"/>
      <c r="CI186" s="1"/>
      <c r="CJ186" s="1"/>
      <c r="CK186" s="1"/>
      <c r="CL186" s="32"/>
      <c r="CM186" s="32"/>
      <c r="CN186" s="32"/>
      <c r="CO186" s="32"/>
      <c r="CP186" s="32"/>
      <c r="CQ186" s="32"/>
      <c r="CR186" s="32"/>
      <c r="CS186" s="1"/>
      <c r="CT186" s="1"/>
      <c r="CU186" s="1">
        <v>2305663</v>
      </c>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V186" s="1"/>
      <c r="DW186" s="1"/>
      <c r="DX186" s="1"/>
      <c r="DY186" s="1"/>
      <c r="DZ186" s="1"/>
      <c r="EC186" s="1"/>
      <c r="ED186" s="1"/>
      <c r="EE186" s="1"/>
      <c r="EF186" s="1"/>
      <c r="EG186" s="755">
        <v>357491</v>
      </c>
    </row>
    <row r="187" spans="1:137" ht="15.75">
      <c r="A187" s="1"/>
      <c r="B187" s="1061" t="s">
        <v>3304</v>
      </c>
      <c r="C187" s="3"/>
      <c r="D187" s="1"/>
      <c r="E187" s="2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f>+AX186-AX61</f>
        <v>0</v>
      </c>
      <c r="AY187" s="1">
        <f t="shared" ref="AY187:BD187" si="279">+AY186-AY61</f>
        <v>0</v>
      </c>
      <c r="AZ187" s="1">
        <f t="shared" si="279"/>
        <v>0</v>
      </c>
      <c r="BA187" s="1">
        <f t="shared" si="279"/>
        <v>0</v>
      </c>
      <c r="BB187" s="1">
        <f t="shared" si="279"/>
        <v>-36036</v>
      </c>
      <c r="BC187" s="1">
        <f t="shared" si="279"/>
        <v>25381</v>
      </c>
      <c r="BD187" s="1">
        <f t="shared" si="279"/>
        <v>0</v>
      </c>
      <c r="BE187" s="1"/>
      <c r="BF187" s="1"/>
      <c r="BG187" s="1"/>
      <c r="BH187" s="1">
        <f t="shared" ref="BH187" si="280">+BH186-BH61</f>
        <v>0</v>
      </c>
      <c r="BI187" s="1">
        <f t="shared" ref="BI187" si="281">+BI186-BI61</f>
        <v>0</v>
      </c>
      <c r="BJ187" s="1">
        <f t="shared" ref="BJ187" si="282">+BJ186-BJ61</f>
        <v>0</v>
      </c>
      <c r="BK187" s="1">
        <f t="shared" ref="BK187" si="283">+BK186-BK61</f>
        <v>0</v>
      </c>
      <c r="BL187" s="1">
        <f t="shared" ref="BL187" si="284">+BL186-BL61</f>
        <v>0</v>
      </c>
      <c r="BM187" s="1">
        <f t="shared" ref="BM187" si="285">+BM186-BM61</f>
        <v>0</v>
      </c>
      <c r="BN187" s="1">
        <f t="shared" ref="BN187" si="286">+BN186-BN61</f>
        <v>0</v>
      </c>
      <c r="BO187" s="1"/>
      <c r="BP187" s="1"/>
      <c r="BQ187" s="1"/>
      <c r="BR187" s="1"/>
      <c r="BS187" s="1"/>
      <c r="BT187" s="1"/>
      <c r="BX187" s="3"/>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V187" s="1"/>
      <c r="DW187" s="1"/>
      <c r="DX187" s="1"/>
      <c r="DY187" s="1"/>
      <c r="DZ187" s="1"/>
      <c r="EC187" s="1"/>
      <c r="ED187" s="1"/>
      <c r="EE187" s="1"/>
      <c r="EF187" s="1"/>
      <c r="EG187" s="1"/>
    </row>
    <row r="188" spans="1:137" ht="15">
      <c r="B188" s="1212" t="s">
        <v>3305</v>
      </c>
      <c r="J188" s="144" t="s">
        <v>1621</v>
      </c>
      <c r="AS188" s="144" t="s">
        <v>1621</v>
      </c>
      <c r="AT188" s="144"/>
      <c r="CS188" s="1"/>
      <c r="EG188" s="1"/>
    </row>
    <row r="189" spans="1:137" ht="15">
      <c r="B189" s="985" t="s">
        <v>2941</v>
      </c>
      <c r="J189" s="143"/>
      <c r="AS189" s="143" t="s">
        <v>1622</v>
      </c>
      <c r="AT189" s="143"/>
      <c r="CC189" s="21" t="s">
        <v>3041</v>
      </c>
      <c r="CS189" s="1"/>
      <c r="EG189" s="1"/>
    </row>
    <row r="190" spans="1:137" ht="15">
      <c r="B190" s="143" t="s">
        <v>3192</v>
      </c>
      <c r="C190" s="36" t="s">
        <v>2947</v>
      </c>
      <c r="J190" s="143"/>
      <c r="AS190" s="143" t="s">
        <v>1623</v>
      </c>
      <c r="AT190" s="143"/>
      <c r="CS190" s="1"/>
      <c r="EG190" s="1"/>
    </row>
    <row r="191" spans="1:137" ht="15">
      <c r="B191" s="143" t="s">
        <v>2946</v>
      </c>
      <c r="D191" s="146">
        <v>0</v>
      </c>
      <c r="E191" s="211">
        <v>0</v>
      </c>
      <c r="J191" s="211"/>
      <c r="X191" s="146"/>
      <c r="Z191" s="146">
        <v>0</v>
      </c>
      <c r="AS191" s="143" t="s">
        <v>1624</v>
      </c>
      <c r="AT191" s="143"/>
      <c r="BB191" s="211">
        <v>0</v>
      </c>
      <c r="BH191" s="146"/>
      <c r="BI191" s="146"/>
      <c r="BJ191" s="146"/>
      <c r="BK191" s="146"/>
      <c r="BL191" s="146"/>
      <c r="BM191" s="211">
        <v>0</v>
      </c>
      <c r="BN191" s="146"/>
      <c r="BR191" s="146"/>
      <c r="BS191" s="146"/>
      <c r="BT191" s="146"/>
      <c r="BU191" s="146"/>
      <c r="BV191" s="146"/>
      <c r="BW191" s="146"/>
      <c r="CC191" s="211">
        <v>-1</v>
      </c>
      <c r="CD191" s="211">
        <v>-2</v>
      </c>
      <c r="CE191" s="211">
        <v>-1</v>
      </c>
      <c r="CF191" s="211">
        <v>0</v>
      </c>
      <c r="CG191" s="211">
        <v>3</v>
      </c>
      <c r="CH191" s="211">
        <v>0</v>
      </c>
      <c r="CL191" s="211">
        <v>0</v>
      </c>
      <c r="CM191" s="211">
        <v>0</v>
      </c>
      <c r="CN191" s="211">
        <v>0</v>
      </c>
      <c r="CO191" s="211">
        <v>0</v>
      </c>
      <c r="CP191" s="211">
        <v>-2</v>
      </c>
      <c r="CQ191" s="211">
        <v>0</v>
      </c>
      <c r="CR191" s="211">
        <v>0</v>
      </c>
      <c r="CS191" s="1"/>
      <c r="DP191">
        <f>+CR191</f>
        <v>0</v>
      </c>
    </row>
    <row r="192" spans="1:137" ht="15">
      <c r="B192" s="143" t="s">
        <v>2948</v>
      </c>
      <c r="J192" s="143"/>
      <c r="AS192" s="143" t="s">
        <v>1625</v>
      </c>
      <c r="AT192" s="143"/>
      <c r="CS192" s="1"/>
    </row>
    <row r="193" spans="2:124" ht="15">
      <c r="B193" s="143" t="s">
        <v>3193</v>
      </c>
      <c r="J193" s="143"/>
      <c r="AS193" s="143" t="s">
        <v>1626</v>
      </c>
      <c r="AT193" s="143"/>
      <c r="CS193" s="1"/>
    </row>
    <row r="194" spans="2:124" ht="15">
      <c r="J194" s="125"/>
      <c r="K194" s="125"/>
      <c r="L194" s="125"/>
      <c r="AS194" s="125"/>
      <c r="AT194" s="125"/>
      <c r="CS194" s="1"/>
    </row>
    <row r="195" spans="2:124" ht="15">
      <c r="B195" s="985" t="s">
        <v>2942</v>
      </c>
      <c r="J195" s="143"/>
      <c r="CS195" s="1"/>
      <c r="DR195" s="818" t="s">
        <v>2958</v>
      </c>
    </row>
    <row r="196" spans="2:124" ht="15">
      <c r="B196" s="143" t="s">
        <v>3313</v>
      </c>
      <c r="D196" s="146">
        <v>1</v>
      </c>
      <c r="E196" s="146">
        <v>0</v>
      </c>
      <c r="F196" s="146"/>
      <c r="G196" s="146"/>
      <c r="H196" s="146"/>
      <c r="I196" s="146"/>
      <c r="J196" s="146">
        <v>1</v>
      </c>
      <c r="K196" s="146"/>
      <c r="L196" s="146"/>
      <c r="M196" s="146"/>
      <c r="N196" s="146"/>
      <c r="O196" s="146"/>
      <c r="P196" s="146"/>
      <c r="Q196" s="146"/>
      <c r="R196" s="146"/>
      <c r="S196" s="146"/>
      <c r="T196" s="146"/>
      <c r="U196" s="146"/>
      <c r="V196" s="146"/>
      <c r="W196" s="146"/>
      <c r="X196" s="146">
        <v>-1</v>
      </c>
      <c r="Y196" s="146"/>
      <c r="Z196" s="146">
        <v>0</v>
      </c>
      <c r="AA196" s="146"/>
      <c r="AB196" s="146"/>
      <c r="AC196" s="146"/>
      <c r="AD196" s="146"/>
      <c r="AE196" s="146"/>
      <c r="AF196" s="146"/>
      <c r="AG196" s="146"/>
      <c r="AH196" s="146"/>
      <c r="AI196" s="146"/>
      <c r="AJ196" s="146"/>
      <c r="AK196" s="146"/>
      <c r="AL196" s="146"/>
      <c r="AM196" s="146"/>
      <c r="AN196" s="146"/>
      <c r="AO196" s="146"/>
      <c r="AP196" s="146"/>
      <c r="AQ196" s="146"/>
      <c r="AR196" s="146"/>
      <c r="AS196" s="146"/>
      <c r="AT196" s="146"/>
      <c r="AU196" s="146"/>
      <c r="AV196" s="146"/>
      <c r="AW196" s="146"/>
      <c r="AX196" s="146"/>
      <c r="AY196" s="146"/>
      <c r="AZ196" s="146"/>
      <c r="BA196" s="146"/>
      <c r="BB196" s="146">
        <v>0</v>
      </c>
      <c r="BC196" s="146">
        <v>0</v>
      </c>
      <c r="BD196" s="146"/>
      <c r="BH196" s="146"/>
      <c r="BI196" s="146"/>
      <c r="BJ196" s="146"/>
      <c r="BK196" s="146"/>
      <c r="BL196" s="146"/>
      <c r="BM196" s="146"/>
      <c r="BN196" s="146"/>
      <c r="BR196" s="146">
        <v>0</v>
      </c>
      <c r="BS196" s="146"/>
      <c r="BT196" s="146"/>
      <c r="BU196" s="146"/>
      <c r="BV196" s="146"/>
      <c r="BW196" s="146"/>
      <c r="CB196" s="987">
        <v>0</v>
      </c>
      <c r="CC196" s="987">
        <v>0</v>
      </c>
      <c r="CD196" s="987">
        <v>0</v>
      </c>
      <c r="CE196" s="987">
        <v>1</v>
      </c>
      <c r="CF196" s="987">
        <v>0</v>
      </c>
      <c r="CG196" s="987">
        <v>0</v>
      </c>
      <c r="CH196" s="987">
        <v>0</v>
      </c>
      <c r="CL196" s="987">
        <v>0</v>
      </c>
      <c r="CM196" s="987">
        <v>-1</v>
      </c>
      <c r="CN196" s="987">
        <v>0</v>
      </c>
      <c r="CO196" s="987">
        <v>0</v>
      </c>
      <c r="CP196" s="987">
        <v>0</v>
      </c>
      <c r="CQ196" s="987">
        <v>0</v>
      </c>
      <c r="CR196" s="987">
        <v>0</v>
      </c>
      <c r="CS196" s="1"/>
      <c r="DR196" s="987">
        <v>0</v>
      </c>
      <c r="DT196" s="987">
        <v>0</v>
      </c>
    </row>
    <row r="197" spans="2:124" ht="15">
      <c r="B197" s="143" t="s">
        <v>3194</v>
      </c>
      <c r="J197" s="143"/>
      <c r="CS197" s="1"/>
    </row>
    <row r="198" spans="2:124" ht="15">
      <c r="B198" s="143" t="s">
        <v>2951</v>
      </c>
      <c r="J198" s="143"/>
      <c r="CS198" s="1"/>
    </row>
    <row r="199" spans="2:124" ht="15.75" thickBot="1">
      <c r="BD199" s="77" t="s">
        <v>3360</v>
      </c>
      <c r="CS199" s="1"/>
    </row>
    <row r="200" spans="2:124" ht="13.5" thickBot="1">
      <c r="B200" s="985" t="s">
        <v>2945</v>
      </c>
      <c r="BD200" s="146"/>
      <c r="CB200" s="988" t="s">
        <v>2955</v>
      </c>
      <c r="CC200" s="989"/>
      <c r="CD200" s="989"/>
      <c r="CE200" s="989"/>
      <c r="CF200" s="989"/>
      <c r="CG200" s="990"/>
      <c r="CH200" s="59"/>
      <c r="CL200" s="988" t="s">
        <v>2955</v>
      </c>
      <c r="CM200" s="989"/>
      <c r="CN200" s="989"/>
      <c r="CO200" s="989"/>
      <c r="CP200" s="989"/>
      <c r="CQ200" s="990"/>
      <c r="CR200" s="59"/>
      <c r="DQ200" s="818" t="s">
        <v>2958</v>
      </c>
      <c r="DR200" s="818"/>
    </row>
    <row r="201" spans="2:124">
      <c r="B201" s="143" t="s">
        <v>3345</v>
      </c>
      <c r="D201" s="146">
        <v>-4</v>
      </c>
      <c r="E201" s="146">
        <v>0</v>
      </c>
      <c r="F201" s="146">
        <v>0</v>
      </c>
      <c r="G201" s="146">
        <v>-1</v>
      </c>
      <c r="H201" s="146">
        <v>-1</v>
      </c>
      <c r="I201" s="146">
        <v>1</v>
      </c>
      <c r="J201" s="146">
        <v>1</v>
      </c>
      <c r="K201" s="146">
        <v>1</v>
      </c>
      <c r="L201" s="146">
        <v>0</v>
      </c>
      <c r="M201" s="146">
        <v>0</v>
      </c>
      <c r="N201" s="146">
        <v>1</v>
      </c>
      <c r="O201" s="146">
        <v>-1</v>
      </c>
      <c r="Q201" s="146">
        <v>-1</v>
      </c>
      <c r="R201" s="146">
        <v>2</v>
      </c>
      <c r="S201" s="146">
        <v>0</v>
      </c>
      <c r="T201" s="146"/>
      <c r="U201" s="146">
        <v>0</v>
      </c>
      <c r="V201" s="146">
        <v>0</v>
      </c>
      <c r="W201" s="146">
        <v>2</v>
      </c>
      <c r="X201" s="146">
        <v>0</v>
      </c>
      <c r="Y201" s="146">
        <v>0</v>
      </c>
      <c r="Z201" s="146">
        <v>-2</v>
      </c>
      <c r="AA201" s="146">
        <v>0</v>
      </c>
      <c r="AB201" s="146">
        <v>0</v>
      </c>
      <c r="AC201" s="146">
        <v>1</v>
      </c>
      <c r="AD201" s="146">
        <v>0</v>
      </c>
      <c r="AE201" s="146">
        <v>-1</v>
      </c>
      <c r="AF201" s="146">
        <v>0</v>
      </c>
      <c r="AG201" s="146">
        <v>0</v>
      </c>
      <c r="AH201" s="146">
        <v>0</v>
      </c>
      <c r="AI201" s="146">
        <v>0</v>
      </c>
      <c r="AJ201" s="146">
        <v>0</v>
      </c>
      <c r="AK201" s="146">
        <v>1</v>
      </c>
      <c r="AL201" s="146">
        <v>0</v>
      </c>
      <c r="AM201" s="146">
        <v>-1</v>
      </c>
      <c r="AN201" s="146">
        <v>0</v>
      </c>
      <c r="AP201" s="146">
        <v>0</v>
      </c>
      <c r="AQ201" s="146">
        <v>1</v>
      </c>
      <c r="AS201" s="146">
        <v>0</v>
      </c>
      <c r="AU201" s="146">
        <v>0</v>
      </c>
      <c r="AX201" s="146">
        <v>0</v>
      </c>
      <c r="AY201" s="146">
        <v>0</v>
      </c>
      <c r="AZ201" s="146">
        <v>0</v>
      </c>
      <c r="BA201" s="146">
        <v>0</v>
      </c>
      <c r="BB201" s="146">
        <v>-1</v>
      </c>
      <c r="BC201" s="146">
        <v>0</v>
      </c>
      <c r="BH201" s="146">
        <v>0</v>
      </c>
      <c r="BI201" s="146">
        <v>0</v>
      </c>
      <c r="BJ201" s="146"/>
      <c r="BK201" s="146">
        <v>0</v>
      </c>
      <c r="BL201" s="146">
        <v>0</v>
      </c>
      <c r="BM201" s="146"/>
      <c r="BN201" s="146">
        <v>-1</v>
      </c>
      <c r="BR201" s="146">
        <v>-1</v>
      </c>
      <c r="BS201" s="146"/>
      <c r="BT201" s="146">
        <v>0</v>
      </c>
      <c r="BU201" s="146"/>
      <c r="BV201" s="146">
        <v>-1</v>
      </c>
      <c r="BW201" s="146">
        <v>0</v>
      </c>
      <c r="CC201" s="987">
        <v>0</v>
      </c>
      <c r="CD201" s="987">
        <v>0</v>
      </c>
      <c r="CE201" s="987">
        <v>1</v>
      </c>
      <c r="CF201" s="987">
        <v>0</v>
      </c>
      <c r="CG201" s="987">
        <v>-2</v>
      </c>
      <c r="CH201" s="987">
        <v>1</v>
      </c>
      <c r="CL201" s="987">
        <v>0</v>
      </c>
      <c r="CM201" s="987">
        <v>-1</v>
      </c>
      <c r="CN201" s="987">
        <v>-1</v>
      </c>
      <c r="CO201" s="987">
        <v>1</v>
      </c>
      <c r="CP201" s="987">
        <v>2</v>
      </c>
      <c r="CQ201" s="987">
        <v>0</v>
      </c>
      <c r="CR201" s="987">
        <v>0</v>
      </c>
      <c r="CW201" s="987">
        <v>0</v>
      </c>
      <c r="CX201" s="987">
        <v>0</v>
      </c>
      <c r="CY201" s="987">
        <v>1</v>
      </c>
      <c r="CZ201" s="987">
        <v>0</v>
      </c>
      <c r="DA201" s="987">
        <v>0</v>
      </c>
      <c r="DB201" s="987">
        <v>0</v>
      </c>
      <c r="DC201" s="987">
        <v>0</v>
      </c>
      <c r="DD201" s="987">
        <v>0</v>
      </c>
      <c r="DE201" s="987">
        <v>1</v>
      </c>
      <c r="DF201" s="987">
        <v>0</v>
      </c>
      <c r="DG201" s="987">
        <v>0</v>
      </c>
      <c r="DH201" s="987">
        <v>0</v>
      </c>
      <c r="DI201" s="987">
        <v>0</v>
      </c>
      <c r="DJ201" s="987">
        <v>0</v>
      </c>
      <c r="DK201" s="987">
        <v>0</v>
      </c>
      <c r="DL201" s="987">
        <v>0</v>
      </c>
      <c r="DM201" s="987">
        <v>0</v>
      </c>
      <c r="DN201" s="987">
        <v>0</v>
      </c>
      <c r="DO201" s="987">
        <v>0</v>
      </c>
      <c r="DP201" s="987">
        <v>0</v>
      </c>
      <c r="DQ201" s="987">
        <v>0</v>
      </c>
      <c r="DR201" s="987">
        <v>1</v>
      </c>
      <c r="DS201" s="987">
        <v>0</v>
      </c>
      <c r="DT201" s="987">
        <v>0</v>
      </c>
    </row>
    <row r="202" spans="2:124">
      <c r="B202" s="143" t="s">
        <v>2949</v>
      </c>
    </row>
    <row r="203" spans="2:124">
      <c r="B203" s="143" t="s">
        <v>2950</v>
      </c>
    </row>
    <row r="204" spans="2:124">
      <c r="B204" s="143" t="s">
        <v>3040</v>
      </c>
    </row>
    <row r="205" spans="2:124">
      <c r="B205" s="143"/>
    </row>
    <row r="206" spans="2:124">
      <c r="B206" s="143"/>
    </row>
    <row r="207" spans="2:124">
      <c r="B207" s="143"/>
    </row>
    <row r="208" spans="2:124">
      <c r="B208" s="143"/>
    </row>
  </sheetData>
  <phoneticPr fontId="0" type="noConversion"/>
  <pageMargins left="0.33" right="0.33" top="0.5" bottom="0.5" header="0.5" footer="0.5"/>
  <pageSetup scale="7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locked="0" defaultSize="0" autoFill="0" autoLine="0" autoPict="0">
                <anchor moveWithCells="1" sizeWithCells="1">
                  <from>
                    <xdr:col>9</xdr:col>
                    <xdr:colOff>38100</xdr:colOff>
                    <xdr:row>0</xdr:row>
                    <xdr:rowOff>0</xdr:rowOff>
                  </from>
                  <to>
                    <xdr:col>9</xdr:col>
                    <xdr:colOff>590550</xdr:colOff>
                    <xdr:row>0</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codeName="Sheet10">
    <pageSetUpPr fitToPage="1"/>
  </sheetPr>
  <dimension ref="A1:EQ527"/>
  <sheetViews>
    <sheetView topLeftCell="B5" zoomScale="84" zoomScaleNormal="84" zoomScaleSheetLayoutView="100" workbookViewId="0">
      <pane xSplit="1" ySplit="4" topLeftCell="CB94" activePane="bottomRight" state="frozen"/>
      <selection activeCell="CW83" sqref="CW83"/>
      <selection pane="topRight" activeCell="CW83" sqref="CW83"/>
      <selection pane="bottomLeft" activeCell="CW83" sqref="CW83"/>
      <selection pane="bottomRight" activeCell="CD108" sqref="CD108"/>
    </sheetView>
  </sheetViews>
  <sheetFormatPr defaultRowHeight="12.75"/>
  <cols>
    <col min="1" max="1" width="6.7109375" hidden="1" customWidth="1"/>
    <col min="2" max="2" width="87" customWidth="1"/>
    <col min="3" max="3" width="13.140625" style="23" customWidth="1"/>
    <col min="4" max="4" width="21.140625" customWidth="1"/>
    <col min="5" max="5" width="13.5703125" customWidth="1"/>
    <col min="6" max="6" width="18" customWidth="1"/>
    <col min="7" max="7" width="11.7109375" customWidth="1"/>
    <col min="8" max="8" width="14" customWidth="1"/>
    <col min="9" max="9" width="15.42578125" customWidth="1"/>
    <col min="10" max="10" width="15" customWidth="1"/>
    <col min="11" max="12" width="13.28515625" customWidth="1"/>
    <col min="13" max="13" width="12.7109375" customWidth="1"/>
    <col min="14" max="16" width="15.5703125" customWidth="1"/>
    <col min="17" max="17" width="17.28515625" customWidth="1"/>
    <col min="18" max="18" width="14.42578125" customWidth="1"/>
    <col min="19" max="19" width="14.7109375" customWidth="1"/>
    <col min="20" max="20" width="21.28515625" customWidth="1"/>
    <col min="21" max="21" width="13.5703125" customWidth="1"/>
    <col min="22" max="22" width="10.85546875" customWidth="1"/>
    <col min="23" max="23" width="13.140625" customWidth="1"/>
    <col min="24" max="24" width="17.85546875" customWidth="1"/>
    <col min="25" max="25" width="14.140625" customWidth="1"/>
    <col min="26" max="26" width="13.85546875" customWidth="1"/>
    <col min="27" max="28" width="19.85546875" customWidth="1"/>
    <col min="29" max="29" width="12.42578125" customWidth="1"/>
    <col min="30" max="30" width="13.28515625" customWidth="1"/>
    <col min="31" max="31" width="11" customWidth="1"/>
    <col min="32" max="32" width="11.7109375" customWidth="1"/>
    <col min="33" max="33" width="16.7109375" customWidth="1"/>
    <col min="34" max="34" width="11.7109375" customWidth="1"/>
    <col min="35" max="35" width="12.42578125" customWidth="1"/>
    <col min="36" max="36" width="17.5703125" customWidth="1"/>
    <col min="37" max="37" width="20.5703125" customWidth="1"/>
    <col min="38" max="41" width="12.7109375" customWidth="1"/>
    <col min="42" max="42" width="16.140625" customWidth="1"/>
    <col min="43" max="44" width="13.42578125" customWidth="1"/>
    <col min="45" max="45" width="12.140625" customWidth="1"/>
    <col min="46" max="46" width="18.85546875" customWidth="1"/>
    <col min="47" max="47" width="13" customWidth="1"/>
    <col min="48" max="48" width="14.5703125" customWidth="1"/>
    <col min="49" max="50" width="12.7109375" customWidth="1"/>
    <col min="51" max="51" width="13.5703125" customWidth="1"/>
    <col min="52" max="53" width="12.140625" customWidth="1"/>
    <col min="54" max="54" width="14.85546875" customWidth="1"/>
    <col min="55" max="55" width="17.7109375" customWidth="1"/>
    <col min="56" max="56" width="17.28515625" customWidth="1"/>
    <col min="57" max="57" width="5.5703125" customWidth="1"/>
    <col min="58" max="58" width="15.5703125" customWidth="1"/>
    <col min="59" max="59" width="20" customWidth="1"/>
    <col min="60" max="61" width="15.5703125" customWidth="1"/>
    <col min="62" max="62" width="13" customWidth="1"/>
    <col min="63" max="63" width="16.42578125" customWidth="1"/>
    <col min="64" max="65" width="15" customWidth="1"/>
    <col min="66" max="66" width="20.5703125" customWidth="1"/>
    <col min="67" max="67" width="5.7109375" customWidth="1"/>
    <col min="68" max="68" width="13.5703125" customWidth="1"/>
    <col min="69" max="69" width="16.7109375" customWidth="1"/>
    <col min="70" max="70" width="19.5703125" customWidth="1"/>
    <col min="71" max="72" width="12.7109375" customWidth="1"/>
    <col min="73" max="73" width="16.28515625" customWidth="1"/>
    <col min="74" max="74" width="20.85546875" customWidth="1"/>
    <col min="75" max="75" width="19.140625" customWidth="1"/>
    <col min="76" max="76" width="5.140625" customWidth="1"/>
    <col min="77" max="77" width="17.42578125" customWidth="1"/>
    <col min="78" max="79" width="18.5703125" customWidth="1"/>
    <col min="80" max="80" width="24.5703125" customWidth="1"/>
    <col min="81" max="81" width="18.42578125" customWidth="1"/>
    <col min="82" max="82" width="16.28515625" customWidth="1"/>
    <col min="83" max="83" width="15" customWidth="1"/>
    <col min="84" max="84" width="13.7109375" customWidth="1"/>
    <col min="85" max="85" width="16.140625" customWidth="1"/>
    <col min="86" max="86" width="14.140625" customWidth="1"/>
    <col min="87" max="87" width="5.42578125" customWidth="1"/>
    <col min="88" max="90" width="16.7109375" customWidth="1"/>
    <col min="91" max="91" width="13.28515625" customWidth="1"/>
    <col min="92" max="92" width="12.85546875" customWidth="1"/>
    <col min="93" max="97" width="14.28515625" customWidth="1"/>
    <col min="98" max="98" width="6.7109375" customWidth="1"/>
    <col min="99" max="99" width="14.28515625" customWidth="1"/>
    <col min="100" max="100" width="12" customWidth="1"/>
    <col min="101" max="101" width="14.28515625" customWidth="1"/>
    <col min="102" max="108" width="12" customWidth="1"/>
    <col min="109" max="109" width="17.140625" customWidth="1"/>
    <col min="110" max="110" width="18" customWidth="1"/>
    <col min="111" max="111" width="13.42578125" customWidth="1"/>
    <col min="112" max="112" width="9.7109375" customWidth="1"/>
    <col min="113" max="114" width="16" customWidth="1"/>
    <col min="115" max="115" width="18.5703125" customWidth="1"/>
    <col min="116" max="116" width="21.140625" customWidth="1"/>
    <col min="117" max="117" width="9.7109375" customWidth="1"/>
    <col min="118" max="118" width="16.85546875" customWidth="1"/>
    <col min="119" max="119" width="12.42578125" customWidth="1"/>
    <col min="120" max="120" width="13.42578125" customWidth="1"/>
    <col min="121" max="121" width="13.7109375" bestFit="1" customWidth="1"/>
    <col min="122" max="122" width="15.5703125" bestFit="1" customWidth="1"/>
    <col min="123" max="123" width="15.7109375" customWidth="1"/>
    <col min="124" max="124" width="14.28515625" bestFit="1" customWidth="1"/>
    <col min="125" max="125" width="15.7109375" customWidth="1"/>
    <col min="126" max="126" width="3.140625" customWidth="1"/>
    <col min="127" max="127" width="15.28515625" customWidth="1"/>
    <col min="128" max="128" width="15.5703125" customWidth="1"/>
    <col min="129" max="130" width="13.5703125" customWidth="1"/>
    <col min="132" max="132" width="24.5703125" customWidth="1"/>
    <col min="133" max="133" width="58.42578125" bestFit="1" customWidth="1"/>
    <col min="134" max="134" width="15.140625" customWidth="1"/>
    <col min="135" max="135" width="9.7109375" customWidth="1"/>
    <col min="136" max="136" width="18.7109375" customWidth="1"/>
    <col min="137" max="137" width="8.5703125" customWidth="1"/>
    <col min="138" max="138" width="9.5703125" customWidth="1"/>
    <col min="139" max="139" width="20" customWidth="1"/>
    <col min="140" max="140" width="18.140625" customWidth="1"/>
    <col min="141" max="141" width="9.7109375" customWidth="1"/>
    <col min="142" max="142" width="12.140625" customWidth="1"/>
    <col min="143" max="143" width="11.42578125" bestFit="1" customWidth="1"/>
    <col min="144" max="144" width="14" bestFit="1" customWidth="1"/>
    <col min="145" max="145" width="13" customWidth="1"/>
    <col min="146" max="146" width="13.85546875" customWidth="1"/>
    <col min="147" max="147" width="14.140625" customWidth="1"/>
  </cols>
  <sheetData>
    <row r="1" spans="1:147" ht="15.75" hidden="1">
      <c r="A1" s="1"/>
      <c r="B1" s="33">
        <f>+'Sys INPUT'!B1</f>
        <v>45107</v>
      </c>
      <c r="C1" s="93"/>
      <c r="D1" s="1"/>
      <c r="E1" s="1"/>
      <c r="F1" s="1"/>
      <c r="G1" s="1"/>
      <c r="H1" s="1"/>
      <c r="I1" s="1"/>
      <c r="J1" s="1"/>
      <c r="K1" s="1"/>
      <c r="L1" s="1"/>
      <c r="M1" s="1"/>
      <c r="N1" s="1"/>
      <c r="O1" s="1"/>
      <c r="Q1" s="1"/>
      <c r="R1" s="1"/>
      <c r="S1" s="1"/>
      <c r="T1" s="1"/>
      <c r="U1" s="1"/>
      <c r="V1" s="1"/>
      <c r="W1" s="1"/>
      <c r="X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V1" s="1"/>
      <c r="DW1" s="1"/>
      <c r="DX1" s="1"/>
      <c r="DY1" s="1"/>
      <c r="DZ1" s="1"/>
      <c r="EB1" s="1"/>
      <c r="EC1" s="1"/>
      <c r="ED1" s="1"/>
      <c r="EE1" s="1"/>
      <c r="EF1" s="1"/>
      <c r="EQ1" s="1"/>
    </row>
    <row r="2" spans="1:147" ht="15.75" hidden="1">
      <c r="A2" s="1"/>
      <c r="B2" s="33" t="str">
        <f>+'Sys INPUT'!B2</f>
        <v>For the  Fiscal Year Ended June 30, 2023</v>
      </c>
      <c r="C2" s="93"/>
      <c r="D2" s="1"/>
      <c r="E2" s="1"/>
      <c r="F2" s="1"/>
      <c r="G2" s="1"/>
      <c r="H2" s="1"/>
      <c r="I2" s="1"/>
      <c r="J2" s="1"/>
      <c r="K2" s="1"/>
      <c r="L2" s="1"/>
      <c r="M2" s="1"/>
      <c r="N2" s="1"/>
      <c r="O2" s="1"/>
      <c r="Q2" s="1"/>
      <c r="R2" s="1"/>
      <c r="S2" s="1"/>
      <c r="T2" s="1"/>
      <c r="U2" s="1"/>
      <c r="V2" s="1"/>
      <c r="W2" s="1"/>
      <c r="X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V2" s="1"/>
      <c r="DW2" s="1"/>
      <c r="DX2" s="1"/>
      <c r="DY2" s="1"/>
      <c r="DZ2" s="1"/>
      <c r="EB2" s="1"/>
      <c r="EC2" s="1"/>
      <c r="ED2" s="1"/>
      <c r="EE2" s="1"/>
      <c r="EF2" s="1"/>
      <c r="EQ2" s="1"/>
    </row>
    <row r="3" spans="1:147" ht="15" hidden="1">
      <c r="A3" s="1"/>
      <c r="B3" s="1"/>
      <c r="C3" s="11"/>
      <c r="D3" s="1"/>
      <c r="E3" s="1"/>
      <c r="F3" s="1"/>
      <c r="G3" s="1"/>
      <c r="H3" s="1"/>
      <c r="I3" s="1"/>
      <c r="J3" s="1"/>
      <c r="K3" s="1"/>
      <c r="L3" s="1"/>
      <c r="M3" s="1"/>
      <c r="N3" s="1"/>
      <c r="O3" s="1"/>
      <c r="Q3" s="1"/>
      <c r="R3" s="1"/>
      <c r="S3" s="1"/>
      <c r="T3" s="1"/>
      <c r="U3" s="1"/>
      <c r="V3" s="1"/>
      <c r="W3" s="1"/>
      <c r="X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V3" s="1"/>
      <c r="DW3" s="1"/>
      <c r="DX3" s="1"/>
      <c r="DY3" s="1"/>
      <c r="DZ3" s="1"/>
      <c r="EB3" s="1"/>
      <c r="EC3" s="1"/>
      <c r="ED3" s="1"/>
      <c r="EE3" s="1"/>
      <c r="EF3" s="1"/>
      <c r="EQ3" s="1"/>
    </row>
    <row r="4" spans="1:147" ht="15.75" hidden="1">
      <c r="A4" s="1"/>
      <c r="B4" s="2" t="s">
        <v>886</v>
      </c>
      <c r="C4" s="3"/>
      <c r="D4" s="1"/>
      <c r="E4" s="1"/>
      <c r="F4" s="1"/>
      <c r="G4" s="1"/>
      <c r="H4" s="1"/>
      <c r="I4" s="1"/>
      <c r="J4" s="1"/>
      <c r="K4" s="1"/>
      <c r="L4" s="1"/>
      <c r="M4" s="1"/>
      <c r="N4" s="1"/>
      <c r="O4" s="1"/>
      <c r="Q4" s="1"/>
      <c r="R4" s="1"/>
      <c r="S4" s="1"/>
      <c r="T4" s="1"/>
      <c r="U4" s="1"/>
      <c r="V4" s="1"/>
      <c r="W4" s="1"/>
      <c r="X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V4" s="1"/>
      <c r="DW4" s="1"/>
      <c r="DX4" s="1"/>
      <c r="DY4" s="1"/>
      <c r="DZ4" s="1"/>
      <c r="EB4" s="1"/>
      <c r="EC4" s="1"/>
      <c r="ED4" s="1"/>
      <c r="EE4" s="1"/>
      <c r="EF4" s="1"/>
      <c r="EQ4" s="1"/>
    </row>
    <row r="5" spans="1:147" ht="15.75">
      <c r="A5" s="1"/>
      <c r="D5" s="3"/>
      <c r="E5" s="3" t="s">
        <v>1298</v>
      </c>
      <c r="F5" s="3" t="s">
        <v>894</v>
      </c>
      <c r="G5" s="3"/>
      <c r="H5" s="3"/>
      <c r="I5" s="3"/>
      <c r="J5" s="3"/>
      <c r="K5" s="3" t="s">
        <v>892</v>
      </c>
      <c r="L5" s="3" t="s">
        <v>1746</v>
      </c>
      <c r="M5" s="3"/>
      <c r="N5" s="3" t="s">
        <v>1655</v>
      </c>
      <c r="O5" s="3"/>
      <c r="Q5" s="3"/>
      <c r="R5" s="3"/>
      <c r="S5" s="3"/>
      <c r="T5" s="3"/>
      <c r="U5" s="3"/>
      <c r="V5" s="3"/>
      <c r="W5" s="3"/>
      <c r="X5" s="3"/>
      <c r="Y5" s="3" t="s">
        <v>249</v>
      </c>
      <c r="Z5" s="3"/>
      <c r="AA5" s="3"/>
      <c r="AB5" s="3" t="s">
        <v>2622</v>
      </c>
      <c r="AC5" s="3"/>
      <c r="AD5" s="3"/>
      <c r="AE5" s="3"/>
      <c r="AF5" s="3"/>
      <c r="AG5" s="3" t="s">
        <v>314</v>
      </c>
      <c r="AH5" s="3" t="s">
        <v>278</v>
      </c>
      <c r="AI5" s="3" t="s">
        <v>935</v>
      </c>
      <c r="AJ5" s="3" t="s">
        <v>312</v>
      </c>
      <c r="AK5" s="13" t="s">
        <v>1907</v>
      </c>
      <c r="AL5" s="13" t="s">
        <v>894</v>
      </c>
      <c r="AM5" s="13" t="s">
        <v>894</v>
      </c>
      <c r="AN5" s="13" t="s">
        <v>1558</v>
      </c>
      <c r="AO5" s="13" t="s">
        <v>1558</v>
      </c>
      <c r="AP5" s="3"/>
      <c r="AQ5" s="3" t="s">
        <v>1020</v>
      </c>
      <c r="AR5" s="3"/>
      <c r="AS5" s="3"/>
      <c r="AT5" s="3" t="s">
        <v>1088</v>
      </c>
      <c r="AU5" s="3"/>
      <c r="AV5" s="3" t="s">
        <v>113</v>
      </c>
      <c r="AW5" s="60"/>
      <c r="AX5" s="60" t="s">
        <v>1046</v>
      </c>
      <c r="AY5" s="3"/>
      <c r="AZ5" s="60" t="s">
        <v>348</v>
      </c>
      <c r="BA5" s="60" t="s">
        <v>1560</v>
      </c>
      <c r="BC5" s="3" t="s">
        <v>1297</v>
      </c>
      <c r="BD5" s="3"/>
      <c r="BE5" s="3"/>
      <c r="BF5" s="3" t="s">
        <v>315</v>
      </c>
      <c r="BG5" s="3" t="s">
        <v>1518</v>
      </c>
      <c r="BH5" s="3" t="s">
        <v>1358</v>
      </c>
      <c r="BI5" s="3" t="s">
        <v>604</v>
      </c>
      <c r="BJ5" s="3" t="s">
        <v>1298</v>
      </c>
      <c r="BK5" s="3" t="s">
        <v>63</v>
      </c>
      <c r="BL5" s="3" t="s">
        <v>1655</v>
      </c>
      <c r="BM5" s="3" t="s">
        <v>2595</v>
      </c>
      <c r="BN5" s="3" t="s">
        <v>307</v>
      </c>
      <c r="BO5" s="3"/>
      <c r="BP5" s="3" t="s">
        <v>315</v>
      </c>
      <c r="BQ5" s="3" t="s">
        <v>1518</v>
      </c>
      <c r="BR5" s="3"/>
      <c r="BS5" s="3"/>
      <c r="BT5" s="3"/>
      <c r="BU5" s="3" t="s">
        <v>279</v>
      </c>
      <c r="BV5" s="3" t="s">
        <v>2595</v>
      </c>
      <c r="BW5" s="3" t="s">
        <v>1294</v>
      </c>
      <c r="BX5" s="3"/>
      <c r="BY5" s="3" t="s">
        <v>315</v>
      </c>
      <c r="BZ5" s="3" t="s">
        <v>1518</v>
      </c>
      <c r="CA5" s="3" t="s">
        <v>1518</v>
      </c>
      <c r="CB5" s="3"/>
      <c r="CC5" s="3"/>
      <c r="CD5" s="3"/>
      <c r="CE5" s="3"/>
      <c r="CF5" s="3" t="s">
        <v>308</v>
      </c>
      <c r="CG5" s="3"/>
      <c r="CH5" s="3"/>
      <c r="CI5" s="3"/>
      <c r="CJ5" s="3" t="s">
        <v>315</v>
      </c>
      <c r="CK5" s="3"/>
      <c r="CL5" s="3" t="s">
        <v>310</v>
      </c>
      <c r="CM5" s="3" t="s">
        <v>1298</v>
      </c>
      <c r="CN5" s="3"/>
      <c r="CO5" s="3"/>
      <c r="CP5" s="3" t="s">
        <v>948</v>
      </c>
      <c r="CQ5" s="3"/>
      <c r="CR5" s="3"/>
      <c r="CS5" s="3"/>
      <c r="CT5" s="3"/>
      <c r="CU5" s="3" t="s">
        <v>315</v>
      </c>
      <c r="CW5" s="3"/>
      <c r="CX5" s="3" t="s">
        <v>425</v>
      </c>
      <c r="CY5" s="3" t="s">
        <v>294</v>
      </c>
      <c r="CZ5" s="3"/>
      <c r="DA5" s="3"/>
      <c r="DB5" s="3"/>
      <c r="DC5" s="3" t="s">
        <v>1354</v>
      </c>
      <c r="DD5" s="3" t="s">
        <v>20</v>
      </c>
      <c r="DE5" s="3"/>
      <c r="DF5" s="3" t="s">
        <v>478</v>
      </c>
      <c r="DG5" s="3"/>
      <c r="DH5" s="3" t="s">
        <v>888</v>
      </c>
      <c r="DI5" s="3"/>
      <c r="DJ5" s="3"/>
      <c r="DK5" s="3"/>
      <c r="DL5" s="3"/>
      <c r="DM5" s="3" t="s">
        <v>889</v>
      </c>
      <c r="DO5" s="3"/>
      <c r="DP5" s="3" t="s">
        <v>1618</v>
      </c>
      <c r="DQ5" s="3"/>
      <c r="DR5" s="3"/>
      <c r="DS5" s="3"/>
      <c r="DT5" s="3"/>
      <c r="DV5" s="3"/>
      <c r="DW5" s="3" t="s">
        <v>315</v>
      </c>
      <c r="DX5" s="3" t="s">
        <v>2959</v>
      </c>
      <c r="DY5" s="3" t="s">
        <v>1357</v>
      </c>
      <c r="DZ5" s="3"/>
      <c r="EB5" s="3"/>
      <c r="EC5" s="3"/>
      <c r="ED5" s="3" t="s">
        <v>315</v>
      </c>
      <c r="EE5" s="3"/>
      <c r="EF5" s="13" t="s">
        <v>1075</v>
      </c>
      <c r="EG5" s="6"/>
      <c r="EQ5" s="3"/>
    </row>
    <row r="6" spans="1:147" ht="15.75">
      <c r="A6" s="1"/>
      <c r="B6" s="1"/>
      <c r="C6" s="11"/>
      <c r="D6" s="3"/>
      <c r="E6" s="3" t="s">
        <v>554</v>
      </c>
      <c r="F6" s="3" t="s">
        <v>14</v>
      </c>
      <c r="G6" s="3" t="s">
        <v>14</v>
      </c>
      <c r="H6" s="3" t="s">
        <v>898</v>
      </c>
      <c r="I6" s="3" t="s">
        <v>903</v>
      </c>
      <c r="J6" s="3"/>
      <c r="K6" s="3" t="s">
        <v>70</v>
      </c>
      <c r="L6" s="3" t="s">
        <v>1749</v>
      </c>
      <c r="M6" s="3" t="s">
        <v>893</v>
      </c>
      <c r="N6" s="3" t="s">
        <v>1656</v>
      </c>
      <c r="O6" s="3"/>
      <c r="Q6" s="3" t="s">
        <v>1613</v>
      </c>
      <c r="R6" s="3" t="s">
        <v>901</v>
      </c>
      <c r="S6" s="3"/>
      <c r="T6" s="3" t="s">
        <v>902</v>
      </c>
      <c r="U6" s="3"/>
      <c r="V6" s="3" t="s">
        <v>904</v>
      </c>
      <c r="W6" s="3" t="s">
        <v>517</v>
      </c>
      <c r="X6" s="3" t="s">
        <v>249</v>
      </c>
      <c r="Y6" s="3" t="s">
        <v>1029</v>
      </c>
      <c r="Z6" s="3" t="s">
        <v>1019</v>
      </c>
      <c r="AA6" s="3" t="s">
        <v>2624</v>
      </c>
      <c r="AB6" s="3" t="s">
        <v>2621</v>
      </c>
      <c r="AC6" s="3" t="s">
        <v>899</v>
      </c>
      <c r="AD6" s="3" t="s">
        <v>900</v>
      </c>
      <c r="AE6" s="3" t="s">
        <v>313</v>
      </c>
      <c r="AF6" s="3" t="s">
        <v>1358</v>
      </c>
      <c r="AG6" s="3" t="s">
        <v>61</v>
      </c>
      <c r="AH6" s="3" t="s">
        <v>279</v>
      </c>
      <c r="AI6" s="3" t="s">
        <v>59</v>
      </c>
      <c r="AJ6" s="3" t="s">
        <v>20</v>
      </c>
      <c r="AK6" s="13" t="s">
        <v>1561</v>
      </c>
      <c r="AL6" s="13" t="s">
        <v>1561</v>
      </c>
      <c r="AM6" s="13" t="s">
        <v>1562</v>
      </c>
      <c r="AN6" s="13" t="s">
        <v>72</v>
      </c>
      <c r="AO6" s="1061" t="s">
        <v>3022</v>
      </c>
      <c r="AP6" s="3" t="s">
        <v>604</v>
      </c>
      <c r="AQ6" s="3" t="s">
        <v>1619</v>
      </c>
      <c r="AR6" s="3"/>
      <c r="AS6" s="3" t="s">
        <v>58</v>
      </c>
      <c r="AT6" s="3" t="s">
        <v>2744</v>
      </c>
      <c r="AU6" s="3"/>
      <c r="AV6" s="3" t="s">
        <v>112</v>
      </c>
      <c r="AW6" s="60"/>
      <c r="AX6" s="60" t="s">
        <v>1001</v>
      </c>
      <c r="AY6" s="3" t="s">
        <v>559</v>
      </c>
      <c r="AZ6" s="60" t="s">
        <v>349</v>
      </c>
      <c r="BA6" s="60" t="s">
        <v>297</v>
      </c>
      <c r="BB6" s="60" t="s">
        <v>956</v>
      </c>
      <c r="BC6" s="3" t="s">
        <v>552</v>
      </c>
      <c r="BD6" s="6" t="s">
        <v>901</v>
      </c>
      <c r="BE6" s="3"/>
      <c r="BF6" s="3" t="s">
        <v>1297</v>
      </c>
      <c r="BG6" s="3" t="s">
        <v>1519</v>
      </c>
      <c r="BH6" s="3" t="s">
        <v>310</v>
      </c>
      <c r="BI6" s="3" t="s">
        <v>1283</v>
      </c>
      <c r="BJ6" s="3" t="s">
        <v>539</v>
      </c>
      <c r="BK6" s="3" t="s">
        <v>222</v>
      </c>
      <c r="BL6" s="3" t="s">
        <v>1741</v>
      </c>
      <c r="BM6" s="3" t="s">
        <v>577</v>
      </c>
      <c r="BN6" s="3" t="s">
        <v>64</v>
      </c>
      <c r="BO6" s="3"/>
      <c r="BP6" s="3" t="s">
        <v>65</v>
      </c>
      <c r="BQ6" s="3" t="s">
        <v>1520</v>
      </c>
      <c r="BR6" s="3" t="s">
        <v>67</v>
      </c>
      <c r="BS6" s="3" t="s">
        <v>266</v>
      </c>
      <c r="BT6" s="3" t="s">
        <v>883</v>
      </c>
      <c r="BU6" s="3" t="s">
        <v>761</v>
      </c>
      <c r="BV6" s="3" t="s">
        <v>577</v>
      </c>
      <c r="BW6" s="3" t="s">
        <v>1295</v>
      </c>
      <c r="BX6" s="3"/>
      <c r="BY6" s="3" t="s">
        <v>67</v>
      </c>
      <c r="BZ6" s="3" t="s">
        <v>1521</v>
      </c>
      <c r="CA6" s="3" t="s">
        <v>1522</v>
      </c>
      <c r="CB6" s="3"/>
      <c r="CC6" s="3" t="s">
        <v>1004</v>
      </c>
      <c r="CD6" s="3" t="s">
        <v>193</v>
      </c>
      <c r="CE6" s="3" t="s">
        <v>900</v>
      </c>
      <c r="CF6" s="3" t="s">
        <v>68</v>
      </c>
      <c r="CG6" s="3" t="s">
        <v>517</v>
      </c>
      <c r="CH6" s="3" t="s">
        <v>69</v>
      </c>
      <c r="CI6" s="3"/>
      <c r="CJ6" s="3" t="s">
        <v>71</v>
      </c>
      <c r="CK6" s="3"/>
      <c r="CL6" s="3" t="s">
        <v>72</v>
      </c>
      <c r="CM6" s="3" t="s">
        <v>73</v>
      </c>
      <c r="CN6" s="3" t="s">
        <v>517</v>
      </c>
      <c r="CO6" s="3" t="s">
        <v>74</v>
      </c>
      <c r="CP6" s="3" t="s">
        <v>949</v>
      </c>
      <c r="CQ6" s="3" t="s">
        <v>532</v>
      </c>
      <c r="CR6" s="3" t="s">
        <v>1298</v>
      </c>
      <c r="CS6" s="3"/>
      <c r="CT6" s="3"/>
      <c r="CU6" s="3" t="s">
        <v>534</v>
      </c>
      <c r="CW6" s="3"/>
      <c r="CX6" s="3" t="s">
        <v>426</v>
      </c>
      <c r="CY6" s="3" t="s">
        <v>295</v>
      </c>
      <c r="CZ6" s="3" t="s">
        <v>1133</v>
      </c>
      <c r="DA6" s="3" t="s">
        <v>476</v>
      </c>
      <c r="DB6" s="3" t="s">
        <v>21</v>
      </c>
      <c r="DC6" s="3" t="s">
        <v>1188</v>
      </c>
      <c r="DD6" s="3" t="s">
        <v>1189</v>
      </c>
      <c r="DE6" s="3" t="s">
        <v>2343</v>
      </c>
      <c r="DF6" s="3" t="s">
        <v>365</v>
      </c>
      <c r="DG6" s="3" t="s">
        <v>20</v>
      </c>
      <c r="DH6" s="3" t="s">
        <v>32</v>
      </c>
      <c r="DI6" s="3" t="s">
        <v>781</v>
      </c>
      <c r="DJ6" s="3" t="s">
        <v>782</v>
      </c>
      <c r="DK6" s="3" t="s">
        <v>1129</v>
      </c>
      <c r="DL6" s="3" t="s">
        <v>1130</v>
      </c>
      <c r="DM6" s="3" t="s">
        <v>1134</v>
      </c>
      <c r="DN6" s="3" t="s">
        <v>1132</v>
      </c>
      <c r="DO6" s="3" t="s">
        <v>791</v>
      </c>
      <c r="DP6" s="3" t="s">
        <v>1627</v>
      </c>
      <c r="DQ6" s="3" t="s">
        <v>1297</v>
      </c>
      <c r="DR6" s="3"/>
      <c r="DS6" s="3"/>
      <c r="DT6" s="3"/>
      <c r="DU6" s="3" t="s">
        <v>2962</v>
      </c>
      <c r="DW6" s="3" t="s">
        <v>2959</v>
      </c>
      <c r="DX6" s="1090" t="s">
        <v>3102</v>
      </c>
      <c r="DY6" s="3" t="s">
        <v>535</v>
      </c>
      <c r="DZ6" s="3"/>
      <c r="EB6" s="3" t="s">
        <v>2277</v>
      </c>
      <c r="EC6" s="3"/>
      <c r="ED6" s="3" t="s">
        <v>13</v>
      </c>
      <c r="EE6" s="3"/>
      <c r="EF6" s="6" t="s">
        <v>901</v>
      </c>
      <c r="EG6" s="6"/>
      <c r="EQ6" s="3"/>
    </row>
    <row r="7" spans="1:147" ht="15.75">
      <c r="A7" s="1"/>
      <c r="B7" s="1"/>
      <c r="C7" s="11"/>
      <c r="D7" s="3" t="s">
        <v>890</v>
      </c>
      <c r="E7" s="3" t="s">
        <v>835</v>
      </c>
      <c r="F7" s="3" t="s">
        <v>950</v>
      </c>
      <c r="G7" s="3" t="s">
        <v>950</v>
      </c>
      <c r="H7" s="3" t="s">
        <v>1382</v>
      </c>
      <c r="I7" s="3" t="s">
        <v>1298</v>
      </c>
      <c r="J7" s="3" t="s">
        <v>1020</v>
      </c>
      <c r="K7" s="3" t="s">
        <v>950</v>
      </c>
      <c r="L7" s="3" t="s">
        <v>1338</v>
      </c>
      <c r="M7" s="3" t="s">
        <v>535</v>
      </c>
      <c r="N7" s="3" t="s">
        <v>625</v>
      </c>
      <c r="O7" s="3" t="s">
        <v>899</v>
      </c>
      <c r="P7" s="3" t="s">
        <v>316</v>
      </c>
      <c r="Q7" s="3" t="s">
        <v>1281</v>
      </c>
      <c r="R7" s="3" t="s">
        <v>1385</v>
      </c>
      <c r="S7" s="3" t="s">
        <v>1386</v>
      </c>
      <c r="T7" s="3" t="s">
        <v>1387</v>
      </c>
      <c r="U7" s="3" t="s">
        <v>1298</v>
      </c>
      <c r="V7" s="3" t="s">
        <v>97</v>
      </c>
      <c r="W7" s="3" t="s">
        <v>636</v>
      </c>
      <c r="X7" s="3" t="s">
        <v>250</v>
      </c>
      <c r="Y7" s="3" t="s">
        <v>1003</v>
      </c>
      <c r="Z7" s="3" t="s">
        <v>538</v>
      </c>
      <c r="AA7" s="3" t="s">
        <v>537</v>
      </c>
      <c r="AB7" s="3" t="s">
        <v>1267</v>
      </c>
      <c r="AC7" s="3" t="s">
        <v>1384</v>
      </c>
      <c r="AD7" s="3" t="s">
        <v>899</v>
      </c>
      <c r="AE7" s="3" t="s">
        <v>836</v>
      </c>
      <c r="AF7" s="3" t="s">
        <v>951</v>
      </c>
      <c r="AG7" s="3" t="s">
        <v>1339</v>
      </c>
      <c r="AH7" s="3" t="s">
        <v>280</v>
      </c>
      <c r="AI7" s="3" t="s">
        <v>1337</v>
      </c>
      <c r="AJ7" s="3" t="s">
        <v>1337</v>
      </c>
      <c r="AK7" s="3" t="s">
        <v>1564</v>
      </c>
      <c r="AL7" s="3" t="s">
        <v>1564</v>
      </c>
      <c r="AM7" s="3" t="s">
        <v>1563</v>
      </c>
      <c r="AN7" s="3" t="s">
        <v>1565</v>
      </c>
      <c r="AO7" s="1061" t="s">
        <v>3023</v>
      </c>
      <c r="AP7" s="3" t="s">
        <v>1283</v>
      </c>
      <c r="AQ7" s="3" t="s">
        <v>1618</v>
      </c>
      <c r="AR7" s="3" t="s">
        <v>553</v>
      </c>
      <c r="AS7" s="3" t="s">
        <v>20</v>
      </c>
      <c r="AT7" s="3" t="s">
        <v>1338</v>
      </c>
      <c r="AU7" s="3" t="s">
        <v>1190</v>
      </c>
      <c r="AV7" s="3" t="s">
        <v>761</v>
      </c>
      <c r="AW7" s="60"/>
      <c r="AX7" s="60" t="s">
        <v>327</v>
      </c>
      <c r="AY7" s="3" t="s">
        <v>1384</v>
      </c>
      <c r="AZ7" s="60" t="s">
        <v>761</v>
      </c>
      <c r="BA7" s="60" t="s">
        <v>761</v>
      </c>
      <c r="BB7" s="60" t="s">
        <v>835</v>
      </c>
      <c r="BC7" s="3" t="s">
        <v>856</v>
      </c>
      <c r="BD7" s="6" t="s">
        <v>119</v>
      </c>
      <c r="BE7" s="3"/>
      <c r="BF7" s="3" t="s">
        <v>221</v>
      </c>
      <c r="BG7" s="3" t="s">
        <v>221</v>
      </c>
      <c r="BH7" s="3" t="s">
        <v>65</v>
      </c>
      <c r="BI7" s="3" t="s">
        <v>65</v>
      </c>
      <c r="BJ7" s="3" t="s">
        <v>65</v>
      </c>
      <c r="BK7" s="3" t="s">
        <v>65</v>
      </c>
      <c r="BL7" s="3" t="s">
        <v>65</v>
      </c>
      <c r="BM7" s="3" t="s">
        <v>65</v>
      </c>
      <c r="BN7" s="3" t="s">
        <v>606</v>
      </c>
      <c r="BO7" s="3"/>
      <c r="BP7" s="3" t="s">
        <v>223</v>
      </c>
      <c r="BQ7" s="3" t="s">
        <v>223</v>
      </c>
      <c r="BR7" s="3" t="s">
        <v>1384</v>
      </c>
      <c r="BS7" s="3" t="s">
        <v>224</v>
      </c>
      <c r="BT7" s="3" t="s">
        <v>224</v>
      </c>
      <c r="BU7" s="3" t="s">
        <v>224</v>
      </c>
      <c r="BV7" s="3" t="s">
        <v>2603</v>
      </c>
      <c r="BW7" s="3" t="s">
        <v>224</v>
      </c>
      <c r="BX7" s="3"/>
      <c r="BY7" s="3" t="s">
        <v>224</v>
      </c>
      <c r="BZ7" s="3" t="s">
        <v>224</v>
      </c>
      <c r="CA7" s="3" t="s">
        <v>540</v>
      </c>
      <c r="CB7" s="3"/>
      <c r="CC7" s="3" t="s">
        <v>71</v>
      </c>
      <c r="CD7" s="3" t="s">
        <v>1131</v>
      </c>
      <c r="CE7" s="3" t="s">
        <v>1131</v>
      </c>
      <c r="CF7" s="3" t="s">
        <v>194</v>
      </c>
      <c r="CG7" s="3" t="s">
        <v>194</v>
      </c>
      <c r="CH7" s="3" t="s">
        <v>1131</v>
      </c>
      <c r="CI7" s="3"/>
      <c r="CJ7" s="3" t="s">
        <v>540</v>
      </c>
      <c r="CK7" s="3"/>
      <c r="CL7" s="3" t="s">
        <v>1267</v>
      </c>
      <c r="CM7" s="3" t="s">
        <v>539</v>
      </c>
      <c r="CN7" s="3" t="s">
        <v>1268</v>
      </c>
      <c r="CO7" s="3" t="s">
        <v>222</v>
      </c>
      <c r="CP7" s="3" t="s">
        <v>1269</v>
      </c>
      <c r="CQ7" s="3" t="s">
        <v>1270</v>
      </c>
      <c r="CR7" s="3" t="s">
        <v>1270</v>
      </c>
      <c r="CS7" s="3"/>
      <c r="CT7" s="3"/>
      <c r="CU7" s="3" t="s">
        <v>223</v>
      </c>
      <c r="CW7" s="3" t="s">
        <v>316</v>
      </c>
      <c r="CX7" s="3" t="s">
        <v>586</v>
      </c>
      <c r="CY7" s="3" t="s">
        <v>296</v>
      </c>
      <c r="CZ7" s="3" t="s">
        <v>762</v>
      </c>
      <c r="DA7" s="3" t="s">
        <v>222</v>
      </c>
      <c r="DB7" s="3" t="s">
        <v>590</v>
      </c>
      <c r="DC7" s="3" t="s">
        <v>584</v>
      </c>
      <c r="DD7" s="3" t="s">
        <v>519</v>
      </c>
      <c r="DE7" s="3" t="s">
        <v>584</v>
      </c>
      <c r="DF7" s="3" t="s">
        <v>762</v>
      </c>
      <c r="DG7" s="3" t="s">
        <v>587</v>
      </c>
      <c r="DH7" s="3" t="s">
        <v>586</v>
      </c>
      <c r="DI7" s="3" t="s">
        <v>20</v>
      </c>
      <c r="DJ7" s="3" t="s">
        <v>588</v>
      </c>
      <c r="DK7" s="3" t="s">
        <v>762</v>
      </c>
      <c r="DL7" s="3" t="s">
        <v>589</v>
      </c>
      <c r="DM7" s="3" t="s">
        <v>762</v>
      </c>
      <c r="DN7" s="3" t="s">
        <v>762</v>
      </c>
      <c r="DO7" s="3" t="s">
        <v>1282</v>
      </c>
      <c r="DP7" s="3" t="s">
        <v>1628</v>
      </c>
      <c r="DQ7" s="3" t="s">
        <v>856</v>
      </c>
      <c r="DR7" s="3" t="s">
        <v>585</v>
      </c>
      <c r="DS7" s="3" t="s">
        <v>592</v>
      </c>
      <c r="DT7" s="3" t="s">
        <v>591</v>
      </c>
      <c r="DU7" s="3" t="s">
        <v>2963</v>
      </c>
      <c r="DW7" s="3" t="s">
        <v>2960</v>
      </c>
      <c r="DX7" s="1090" t="s">
        <v>3103</v>
      </c>
      <c r="DY7" s="3" t="s">
        <v>584</v>
      </c>
      <c r="DZ7" s="3"/>
      <c r="EB7" s="3" t="s">
        <v>2278</v>
      </c>
      <c r="EC7" s="3"/>
      <c r="ED7" s="3" t="s">
        <v>594</v>
      </c>
      <c r="EE7" s="3"/>
      <c r="EF7" s="6" t="s">
        <v>545</v>
      </c>
      <c r="EG7" s="6"/>
      <c r="EQ7" s="3" t="s">
        <v>316</v>
      </c>
    </row>
    <row r="8" spans="1:147" ht="15.75">
      <c r="A8" s="4"/>
      <c r="B8" s="4"/>
      <c r="C8" s="101"/>
      <c r="D8" s="5">
        <v>1</v>
      </c>
      <c r="E8" s="5" t="s">
        <v>516</v>
      </c>
      <c r="F8" s="5">
        <v>201</v>
      </c>
      <c r="G8" s="5">
        <v>202</v>
      </c>
      <c r="H8" s="5">
        <v>203</v>
      </c>
      <c r="I8" s="5">
        <v>204</v>
      </c>
      <c r="J8" s="5">
        <v>211</v>
      </c>
      <c r="K8" s="5">
        <v>215</v>
      </c>
      <c r="L8" s="5">
        <v>216</v>
      </c>
      <c r="M8" s="5">
        <v>218</v>
      </c>
      <c r="N8" s="5">
        <v>220</v>
      </c>
      <c r="O8" s="5">
        <v>221</v>
      </c>
      <c r="P8" s="5">
        <v>2220</v>
      </c>
      <c r="Q8" s="5">
        <v>223</v>
      </c>
      <c r="R8" s="5">
        <v>224</v>
      </c>
      <c r="S8" s="5">
        <v>225</v>
      </c>
      <c r="T8" s="5">
        <v>226</v>
      </c>
      <c r="U8" s="5">
        <v>227</v>
      </c>
      <c r="V8" s="5">
        <v>228</v>
      </c>
      <c r="W8" s="5">
        <v>229</v>
      </c>
      <c r="X8" s="5">
        <v>230</v>
      </c>
      <c r="Y8" s="5">
        <v>231</v>
      </c>
      <c r="Z8" s="5">
        <v>232</v>
      </c>
      <c r="AA8" s="5" t="s">
        <v>2629</v>
      </c>
      <c r="AB8" s="5" t="s">
        <v>2619</v>
      </c>
      <c r="AC8" s="5">
        <v>235</v>
      </c>
      <c r="AD8" s="5">
        <v>236</v>
      </c>
      <c r="AE8" s="5" t="s">
        <v>52</v>
      </c>
      <c r="AF8" s="5">
        <v>240</v>
      </c>
      <c r="AG8" s="5">
        <v>241</v>
      </c>
      <c r="AH8" s="5">
        <v>242</v>
      </c>
      <c r="AI8" s="5">
        <v>243</v>
      </c>
      <c r="AJ8" s="5">
        <v>244</v>
      </c>
      <c r="AK8" s="5">
        <v>247</v>
      </c>
      <c r="AL8" s="5">
        <v>248</v>
      </c>
      <c r="AM8" s="5">
        <v>249</v>
      </c>
      <c r="AN8" s="5">
        <v>250</v>
      </c>
      <c r="AO8" s="1062" t="s">
        <v>3024</v>
      </c>
      <c r="AP8" s="136">
        <v>252</v>
      </c>
      <c r="AQ8" s="5">
        <v>253</v>
      </c>
      <c r="AR8" s="5">
        <v>280</v>
      </c>
      <c r="AS8" s="5">
        <v>282</v>
      </c>
      <c r="AT8" s="5">
        <v>283</v>
      </c>
      <c r="AU8" s="5">
        <v>291</v>
      </c>
      <c r="AV8" s="5">
        <v>293</v>
      </c>
      <c r="AW8" s="5"/>
      <c r="AX8" s="5">
        <v>295</v>
      </c>
      <c r="AY8" s="5">
        <v>296</v>
      </c>
      <c r="AZ8" s="61">
        <v>297</v>
      </c>
      <c r="BA8" s="61">
        <v>299</v>
      </c>
      <c r="BB8" s="61" t="s">
        <v>1138</v>
      </c>
      <c r="BC8" s="61" t="s">
        <v>2746</v>
      </c>
      <c r="BD8" s="5"/>
      <c r="BE8" s="5"/>
      <c r="BF8" s="5"/>
      <c r="BG8" s="5"/>
      <c r="BH8" s="5">
        <v>500</v>
      </c>
      <c r="BI8" s="5">
        <v>501</v>
      </c>
      <c r="BJ8" s="5">
        <v>502</v>
      </c>
      <c r="BK8" s="5">
        <v>503</v>
      </c>
      <c r="BL8" s="5">
        <v>504</v>
      </c>
      <c r="BM8" s="5">
        <v>505</v>
      </c>
      <c r="BN8" s="5" t="s">
        <v>1999</v>
      </c>
      <c r="BO8" s="5"/>
      <c r="BP8" s="5"/>
      <c r="BQ8" s="5"/>
      <c r="BR8" s="5">
        <v>550</v>
      </c>
      <c r="BS8" s="5">
        <v>551</v>
      </c>
      <c r="BT8" s="5">
        <v>552</v>
      </c>
      <c r="BU8" s="5">
        <v>553</v>
      </c>
      <c r="BV8" s="5">
        <v>555</v>
      </c>
      <c r="BW8" s="5">
        <v>556</v>
      </c>
      <c r="BX8" s="3" t="s">
        <v>16</v>
      </c>
      <c r="BY8" s="5"/>
      <c r="BZ8" s="5"/>
      <c r="CA8" s="5"/>
      <c r="CB8" s="5"/>
      <c r="CC8" s="5">
        <v>602</v>
      </c>
      <c r="CD8" s="5">
        <v>610</v>
      </c>
      <c r="CE8" s="5">
        <v>611</v>
      </c>
      <c r="CF8" s="5">
        <v>612</v>
      </c>
      <c r="CG8" s="5">
        <v>613</v>
      </c>
      <c r="CH8" s="5">
        <v>614</v>
      </c>
      <c r="CI8" s="5" t="s">
        <v>16</v>
      </c>
      <c r="CJ8" s="5"/>
      <c r="CK8" s="5"/>
      <c r="CL8" s="5">
        <v>650</v>
      </c>
      <c r="CM8" s="5">
        <v>651</v>
      </c>
      <c r="CN8" s="5">
        <v>652</v>
      </c>
      <c r="CO8" s="5">
        <v>653</v>
      </c>
      <c r="CP8" s="5">
        <v>655</v>
      </c>
      <c r="CQ8" s="5">
        <v>656</v>
      </c>
      <c r="CR8" s="5">
        <v>657</v>
      </c>
      <c r="CS8" s="5"/>
      <c r="CT8" s="5"/>
      <c r="CU8" s="5"/>
      <c r="CW8" s="919" t="s">
        <v>2840</v>
      </c>
      <c r="CX8" s="918" t="s">
        <v>2841</v>
      </c>
      <c r="CY8" s="919" t="s">
        <v>2842</v>
      </c>
      <c r="CZ8" s="918" t="s">
        <v>2846</v>
      </c>
      <c r="DA8" s="918" t="s">
        <v>2847</v>
      </c>
      <c r="DB8" s="919" t="s">
        <v>2843</v>
      </c>
      <c r="DC8" s="919" t="s">
        <v>2844</v>
      </c>
      <c r="DD8" s="919" t="s">
        <v>2856</v>
      </c>
      <c r="DE8" s="919" t="s">
        <v>2845</v>
      </c>
      <c r="DF8" s="918" t="s">
        <v>2848</v>
      </c>
      <c r="DG8" s="918" t="s">
        <v>2849</v>
      </c>
      <c r="DH8" s="918" t="s">
        <v>2850</v>
      </c>
      <c r="DI8" s="918" t="s">
        <v>2851</v>
      </c>
      <c r="DJ8" s="919">
        <v>714</v>
      </c>
      <c r="DK8" s="918" t="s">
        <v>2852</v>
      </c>
      <c r="DL8" s="919">
        <v>716</v>
      </c>
      <c r="DM8" s="918" t="s">
        <v>2853</v>
      </c>
      <c r="DN8" s="919">
        <v>718</v>
      </c>
      <c r="DO8" s="918" t="s">
        <v>2854</v>
      </c>
      <c r="DP8" s="919" t="s">
        <v>2855</v>
      </c>
      <c r="DQ8" s="919" t="s">
        <v>1750</v>
      </c>
      <c r="DR8" s="919" t="s">
        <v>157</v>
      </c>
      <c r="DS8" s="919" t="s">
        <v>158</v>
      </c>
      <c r="DT8" s="919" t="s">
        <v>605</v>
      </c>
      <c r="DU8" s="919" t="s">
        <v>2877</v>
      </c>
      <c r="DW8" s="5"/>
      <c r="DX8" s="1090" t="s">
        <v>3104</v>
      </c>
      <c r="DY8" s="919" t="s">
        <v>2876</v>
      </c>
      <c r="DZ8" s="5"/>
      <c r="EB8" s="5">
        <v>692</v>
      </c>
      <c r="EC8" s="5"/>
      <c r="ED8" s="5"/>
      <c r="EE8" s="5"/>
      <c r="EQ8" s="5">
        <v>691</v>
      </c>
    </row>
    <row r="9" spans="1:147" ht="15.75">
      <c r="A9" s="1"/>
      <c r="B9" s="7" t="s">
        <v>596</v>
      </c>
      <c r="C9" s="30"/>
      <c r="D9" s="1"/>
      <c r="E9" s="1"/>
      <c r="F9" s="1"/>
      <c r="G9" s="1"/>
      <c r="H9" s="1"/>
      <c r="I9" s="1"/>
      <c r="J9" s="1"/>
      <c r="K9" s="1"/>
      <c r="L9" s="1"/>
      <c r="M9" s="1"/>
      <c r="N9" s="1"/>
      <c r="O9" s="1"/>
      <c r="P9" t="s">
        <v>972</v>
      </c>
      <c r="Q9" s="1"/>
      <c r="R9" s="1"/>
      <c r="S9" s="1"/>
      <c r="T9" s="1"/>
      <c r="U9" s="1"/>
      <c r="V9" s="1"/>
      <c r="W9" s="1"/>
      <c r="X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C9" s="1"/>
      <c r="BD9" s="1"/>
      <c r="BE9" s="1"/>
      <c r="BF9" s="1">
        <f>+BF12+D12+BP12+BY12</f>
        <v>13163837</v>
      </c>
      <c r="BG9" s="1"/>
      <c r="BH9" s="1"/>
      <c r="BI9" s="1"/>
      <c r="BJ9" s="1"/>
      <c r="BK9" s="1"/>
      <c r="BL9" s="1"/>
      <c r="BM9" s="1"/>
      <c r="BN9" s="1"/>
      <c r="BO9" s="1"/>
      <c r="BP9" s="1"/>
      <c r="BQ9" s="1"/>
      <c r="BR9" s="1"/>
      <c r="BS9" s="1"/>
      <c r="BT9" s="1"/>
      <c r="BU9" s="1"/>
      <c r="BV9" s="1"/>
      <c r="BX9" s="1"/>
      <c r="BY9" s="1"/>
      <c r="BZ9" s="1"/>
      <c r="CA9" s="1"/>
      <c r="CB9" s="1"/>
      <c r="CC9" s="1"/>
      <c r="CD9" s="1"/>
      <c r="CE9" s="1"/>
      <c r="CF9" s="1"/>
      <c r="CG9" s="1"/>
      <c r="CH9" s="1"/>
      <c r="CI9" s="1"/>
      <c r="CJ9" s="1"/>
      <c r="CK9" s="1"/>
      <c r="CL9" s="1"/>
      <c r="CM9" s="1"/>
      <c r="CN9" s="1"/>
      <c r="CO9" s="1"/>
      <c r="CP9" s="1"/>
      <c r="CQ9" s="1"/>
      <c r="CR9" s="1"/>
      <c r="CS9" s="1"/>
      <c r="CT9" s="5"/>
      <c r="CU9" s="1"/>
      <c r="CW9" s="1"/>
      <c r="CX9" s="1"/>
      <c r="CY9" s="1"/>
      <c r="CZ9" s="1"/>
      <c r="DA9" s="1"/>
      <c r="DB9" s="1"/>
      <c r="DC9" s="1"/>
      <c r="DD9" s="1"/>
      <c r="DE9" s="1"/>
      <c r="DF9" s="1"/>
      <c r="DG9" s="1"/>
      <c r="DH9" s="1"/>
      <c r="DI9" s="1"/>
      <c r="DJ9" s="1"/>
      <c r="DK9" s="1"/>
      <c r="DL9" s="1"/>
      <c r="DM9" s="1"/>
      <c r="DN9" s="1"/>
      <c r="DO9" s="1"/>
      <c r="DP9" s="1"/>
      <c r="DQ9" s="1"/>
      <c r="DR9" s="1"/>
      <c r="DS9" s="1"/>
      <c r="DT9" s="1"/>
      <c r="DW9" s="1"/>
      <c r="DX9" s="1"/>
      <c r="DY9" s="1"/>
      <c r="DZ9" s="1"/>
      <c r="EB9" s="1"/>
      <c r="EC9" s="1"/>
      <c r="ED9" s="1"/>
      <c r="EE9" s="1"/>
      <c r="EF9" s="1"/>
      <c r="EG9" s="1"/>
      <c r="EQ9" s="1"/>
    </row>
    <row r="10" spans="1:147" ht="15.75">
      <c r="A10" s="1"/>
      <c r="B10" s="1" t="s">
        <v>220</v>
      </c>
      <c r="C10" s="11"/>
      <c r="D10" s="1">
        <f>+'Sys INPUT'!D10-D223+D283</f>
        <v>8345677</v>
      </c>
      <c r="E10" s="1">
        <f>+'Sys INPUT'!E10-E223+E283</f>
        <v>0</v>
      </c>
      <c r="F10" s="1">
        <f>+'Sys INPUT'!F10-F223+F283</f>
        <v>18860</v>
      </c>
      <c r="G10" s="1">
        <f>+'Sys INPUT'!G10-G223+G283</f>
        <v>277464</v>
      </c>
      <c r="H10" s="1">
        <f>+'Sys INPUT'!H10-H223+H283</f>
        <v>383245</v>
      </c>
      <c r="I10" s="1">
        <f>+'Sys INPUT'!I10-I223+I283</f>
        <v>118035</v>
      </c>
      <c r="J10" s="1">
        <f>+'Sys INPUT'!J10-J223+J283</f>
        <v>3522199</v>
      </c>
      <c r="K10" s="1">
        <f>+'Sys INPUT'!K10-K223+K283+0</f>
        <v>1627</v>
      </c>
      <c r="L10" s="1">
        <f>+'Sys INPUT'!L10-L223+L283</f>
        <v>24961</v>
      </c>
      <c r="M10" s="1">
        <f>+'Sys INPUT'!M10-M223+M283</f>
        <v>1993605</v>
      </c>
      <c r="N10" s="1">
        <f>+'Sys INPUT'!N10-N223+N283</f>
        <v>164571</v>
      </c>
      <c r="O10" s="1">
        <f>+'Sys INPUT'!O10-O223+O283</f>
        <v>17904</v>
      </c>
      <c r="P10" s="1">
        <f>+'Sys INPUT'!P10-P223+P283-0</f>
        <v>0</v>
      </c>
      <c r="Q10" s="1">
        <f>+'Sys INPUT'!Q10-Q223+Q283</f>
        <v>1577156</v>
      </c>
      <c r="R10" s="1">
        <f>+'Sys INPUT'!R10-R223+R283</f>
        <v>397180</v>
      </c>
      <c r="S10" s="1">
        <f>+'Sys INPUT'!S10-S223+S283</f>
        <v>844820</v>
      </c>
      <c r="T10" s="1">
        <f>+'Sys INPUT'!T10-T223+T283</f>
        <v>19</v>
      </c>
      <c r="U10" s="1">
        <f>+'Sys INPUT'!U10-U223+U283</f>
        <v>1402348</v>
      </c>
      <c r="V10" s="1">
        <f>+'Sys INPUT'!V10-V223+V283</f>
        <v>182837</v>
      </c>
      <c r="W10" s="1">
        <f>+'Sys INPUT'!W10-W223+W283</f>
        <v>229335</v>
      </c>
      <c r="X10" s="1">
        <f>+'Sys INPUT'!X10-X223+X283</f>
        <v>12195590</v>
      </c>
      <c r="Y10" s="1">
        <f>+'Sys INPUT'!Y10-Y223+Y283</f>
        <v>0</v>
      </c>
      <c r="Z10" s="1">
        <f>+'Sys INPUT'!Z10-Z223+Z283</f>
        <v>0</v>
      </c>
      <c r="AA10" s="1">
        <f>+'Sys INPUT'!AA10-AA223+AA283</f>
        <v>0</v>
      </c>
      <c r="AB10" s="1">
        <f>+'Sys INPUT'!AB10-AB223+AB283</f>
        <v>4417832</v>
      </c>
      <c r="AC10" s="1">
        <f>+'Sys INPUT'!AC10-AC223+AC283</f>
        <v>43710</v>
      </c>
      <c r="AD10" s="1">
        <f>+'Sys INPUT'!AD10-AD223+AD283</f>
        <v>0</v>
      </c>
      <c r="AE10" s="1">
        <f>+'Sys INPUT'!AE10-AE223+AE283</f>
        <v>0</v>
      </c>
      <c r="AF10" s="1">
        <f>+'Sys INPUT'!AF10-AF223+AF283</f>
        <v>0</v>
      </c>
      <c r="AG10" s="1">
        <f>+'Sys INPUT'!AG10-AG223+AG283</f>
        <v>0</v>
      </c>
      <c r="AH10" s="1">
        <f>+'Sys INPUT'!AH10-AH223+AH283</f>
        <v>0</v>
      </c>
      <c r="AI10" s="1">
        <f>+'Sys INPUT'!AI10-AI223+AI283</f>
        <v>0</v>
      </c>
      <c r="AJ10" s="1">
        <f>+'Sys INPUT'!AJ10-AJ223+AJ283</f>
        <v>0</v>
      </c>
      <c r="AK10" s="1">
        <f>+'Sys INPUT'!AK10-AK223+AK283</f>
        <v>0</v>
      </c>
      <c r="AL10" s="1">
        <f>+'Sys INPUT'!AL10-AL223+AL283</f>
        <v>0</v>
      </c>
      <c r="AM10" s="1">
        <f>+'Sys INPUT'!AM10-AM223+AM283</f>
        <v>0</v>
      </c>
      <c r="AN10" s="1">
        <f>+'Sys INPUT'!AN10-AN223+AN283</f>
        <v>0</v>
      </c>
      <c r="AO10" s="1">
        <f>+'Sys INPUT'!AO10-AO223+AO283</f>
        <v>0</v>
      </c>
      <c r="AP10" s="1">
        <f>+'Sys INPUT'!AP10-AP223+AP283</f>
        <v>0</v>
      </c>
      <c r="AQ10" s="1">
        <f>+'Sys INPUT'!AQ10-AQ223+AQ283</f>
        <v>0</v>
      </c>
      <c r="AR10" s="1">
        <f>+'Sys INPUT'!AR10-AR223+AR283</f>
        <v>0</v>
      </c>
      <c r="AS10" s="1">
        <f>+'Sys INPUT'!AS10-AS223+AS283</f>
        <v>0</v>
      </c>
      <c r="AT10" s="1">
        <f>+'Sys INPUT'!AT10-AT223+AT283</f>
        <v>0</v>
      </c>
      <c r="AU10" s="1">
        <f>+'Sys INPUT'!AU10-AU223+AU283</f>
        <v>0</v>
      </c>
      <c r="AV10" s="1">
        <f>+'Sys INPUT'!AV10-AV223+AV283</f>
        <v>0</v>
      </c>
      <c r="AW10" s="1"/>
      <c r="AX10" s="1">
        <f>+'Sys INPUT'!AX10-AX223+AX283</f>
        <v>0</v>
      </c>
      <c r="AY10" s="1">
        <f>+'Sys INPUT'!AY10-AY223+AY283</f>
        <v>0</v>
      </c>
      <c r="AZ10" s="1">
        <f>+'Sys INPUT'!AZ10-AZ223+AZ283</f>
        <v>0</v>
      </c>
      <c r="BA10" s="1">
        <f>+'Sys INPUT'!BA10-BA223+BA283</f>
        <v>0</v>
      </c>
      <c r="BB10" s="1">
        <f>+'Sys INPUT'!BB10-BB223+BB283</f>
        <v>0</v>
      </c>
      <c r="BC10" s="1">
        <f>+'Sys INPUT'!BC10-BC223+BC283</f>
        <v>1661921</v>
      </c>
      <c r="BD10" s="1">
        <f>+'Sys INPUT'!BD10-BD223+BD283</f>
        <v>0</v>
      </c>
      <c r="BE10" s="1"/>
      <c r="BF10" s="1">
        <f>SUM(E10:BE10)</f>
        <v>29475219</v>
      </c>
      <c r="BG10" s="1">
        <f>+BF10-X10-P10-BB10-BC10</f>
        <v>15617708</v>
      </c>
      <c r="BH10" s="1">
        <f>+'Sys INPUT'!BH10-BH223+BH283</f>
        <v>0</v>
      </c>
      <c r="BI10" s="1">
        <f>+'Sys INPUT'!BI10-BI223+BI283</f>
        <v>946730</v>
      </c>
      <c r="BJ10" s="1">
        <f>+'Sys INPUT'!BJ10-BJ223+BJ283</f>
        <v>0</v>
      </c>
      <c r="BK10" s="1">
        <f>+'Sys INPUT'!BK10-BK223+BK283</f>
        <v>0</v>
      </c>
      <c r="BL10" s="1">
        <f>+'Sys INPUT'!BL10-BL223+BL283</f>
        <v>91757</v>
      </c>
      <c r="BM10" s="1">
        <f>+'Sys INPUT'!BM10-BM223+BM283</f>
        <v>643929</v>
      </c>
      <c r="BN10" s="1">
        <f>+'Sys INPUT'!BN10-BN223+BN283</f>
        <v>128782</v>
      </c>
      <c r="BO10" s="1"/>
      <c r="BP10" s="1">
        <f>SUM(BH10:BN10)</f>
        <v>1811198</v>
      </c>
      <c r="BQ10" s="1"/>
      <c r="BR10" s="1">
        <f>+'Sys INPUT'!BR10-BR223+BR283</f>
        <v>0</v>
      </c>
      <c r="BS10" s="1">
        <f>+'Sys INPUT'!BS10-BS223+BS283</f>
        <v>0</v>
      </c>
      <c r="BT10" s="1">
        <f>+'Sys INPUT'!BT10-BT223+BT283</f>
        <v>0</v>
      </c>
      <c r="BU10" s="1">
        <f>+'Sys INPUT'!BU10-BU223+BU283</f>
        <v>0</v>
      </c>
      <c r="BV10" s="1">
        <f>+'Sys INPUT'!BV10-BV223+BV283</f>
        <v>0</v>
      </c>
      <c r="BW10" s="1">
        <f>+'Sys INPUT'!BW10-BW223+BW283</f>
        <v>0</v>
      </c>
      <c r="BX10" s="3"/>
      <c r="BY10" s="1">
        <f t="shared" ref="BY10:BY16" si="0">SUM(BR10:BX10)</f>
        <v>0</v>
      </c>
      <c r="BZ10" s="1">
        <f>+BY10-BR10</f>
        <v>0</v>
      </c>
      <c r="CA10" s="1">
        <f t="shared" ref="CA10:CA39" si="1">+BG10+BQ10+BZ10+EF10</f>
        <v>15617708</v>
      </c>
      <c r="CB10" s="1"/>
      <c r="CC10" s="1">
        <f>+'Sys INPUT'!CC10-CC223-CC228+CC283+CC288</f>
        <v>552792</v>
      </c>
      <c r="CD10" s="1"/>
      <c r="CE10" s="1"/>
      <c r="CF10" s="1"/>
      <c r="CG10" s="1"/>
      <c r="CH10" s="1"/>
      <c r="CI10" s="1"/>
      <c r="CJ10" s="1">
        <f t="shared" ref="CJ10:CJ16" si="2">SUM(CB10:CI10)</f>
        <v>552792</v>
      </c>
      <c r="CK10" s="1"/>
      <c r="CL10" s="1">
        <f>+'Sys INPUT'!CL10-CL222+CL282-0</f>
        <v>0</v>
      </c>
      <c r="CM10" s="1">
        <f>+'Sys INPUT'!CM10-CM222+CM282-0</f>
        <v>0</v>
      </c>
      <c r="CN10" s="1">
        <f>+'Sys INPUT'!CN10-CN222+CN282-0</f>
        <v>0</v>
      </c>
      <c r="CO10" s="1">
        <f>+'Sys INPUT'!CO10-CO222+CO282-0</f>
        <v>0</v>
      </c>
      <c r="CP10" s="1">
        <f>+'Sys INPUT'!CP10-CP222+CP282-0</f>
        <v>0</v>
      </c>
      <c r="CQ10" s="1">
        <f>+'Sys INPUT'!CQ10-CQ222+CQ282-0</f>
        <v>0</v>
      </c>
      <c r="CR10" s="1">
        <f>+'Sys INPUT'!CR10-CR222+CR282-0</f>
        <v>0</v>
      </c>
      <c r="CS10" s="1"/>
      <c r="CT10" s="5"/>
      <c r="CU10" s="1">
        <f t="shared" ref="CU10:CU16" si="3">SUM(CL10:CT10)</f>
        <v>0</v>
      </c>
      <c r="CW10" s="1">
        <f>+'Sys INPUT'!CW10-CW223-CW228+CW283+CW288</f>
        <v>3888070</v>
      </c>
      <c r="CX10" s="1">
        <f>+'Sys INPUT'!CX10-CX223+CX283+CX288</f>
        <v>0</v>
      </c>
      <c r="CY10" s="1">
        <f>+'Sys INPUT'!CY10-CY223+CY283+CY288</f>
        <v>0</v>
      </c>
      <c r="CZ10" s="1">
        <f>+'Sys INPUT'!CZ10-CZ223+CZ283+CZ288</f>
        <v>0</v>
      </c>
      <c r="DA10" s="1">
        <f>+'Sys INPUT'!DA10-DA223+DA283+DA288</f>
        <v>0</v>
      </c>
      <c r="DB10" s="1">
        <f>+'Sys INPUT'!DB10-DB223+DB283+DB288</f>
        <v>0</v>
      </c>
      <c r="DC10" s="1">
        <f>+'Sys INPUT'!DC10-DC223+DC283+DC288</f>
        <v>0</v>
      </c>
      <c r="DD10" s="1">
        <f>+'Sys INPUT'!DD10-DD223+DD283+DD288</f>
        <v>0</v>
      </c>
      <c r="DE10" s="1">
        <f>+'Sys INPUT'!DE10-DE223+DE283+DE288</f>
        <v>0</v>
      </c>
      <c r="DF10" s="1">
        <f>+'Sys INPUT'!DF10-DF223-DF228+DF283+DF288</f>
        <v>0</v>
      </c>
      <c r="DG10" s="1">
        <f>+'Sys INPUT'!DG10-DG223+DG283+DG288</f>
        <v>0</v>
      </c>
      <c r="DH10" s="1">
        <f>+'Sys INPUT'!DH10-DH223+DH283+DH288</f>
        <v>0</v>
      </c>
      <c r="DI10" s="1">
        <f>+'Sys INPUT'!DI10-DI223+DI283+DI288</f>
        <v>0</v>
      </c>
      <c r="DJ10" s="1">
        <f>+'Sys INPUT'!DJ10-DJ223+DJ283+DJ288</f>
        <v>0</v>
      </c>
      <c r="DK10" s="1">
        <f>+'Sys INPUT'!DK10-DK223+DK283+DK288</f>
        <v>0</v>
      </c>
      <c r="DL10" s="1">
        <f>+'Sys INPUT'!DL10-DL223+DL283+DL288</f>
        <v>0</v>
      </c>
      <c r="DM10" s="1">
        <f>+'Sys INPUT'!DM10-DM223+DM283+DM288</f>
        <v>0</v>
      </c>
      <c r="DN10" s="1">
        <f>+'Sys INPUT'!DN10-DN223+DN283+DN288</f>
        <v>0</v>
      </c>
      <c r="DO10" s="1">
        <f>+'Sys INPUT'!DO10-DO223+DO283+DO288</f>
        <v>0</v>
      </c>
      <c r="DP10" s="1">
        <f>+'Sys INPUT'!DP10-DP223+DP283+DP288</f>
        <v>0</v>
      </c>
      <c r="DQ10" s="1">
        <f>+'Sys INPUT'!DQ10-DQ223-DQ228+DQ283+DQ288</f>
        <v>3698257</v>
      </c>
      <c r="DR10" s="1">
        <f>+'Sys INPUT'!DR10-DR223-DR228+DR283+DR288</f>
        <v>51771391</v>
      </c>
      <c r="DS10" s="1">
        <f>+'Sys INPUT'!DS10-DS223-DS228+DS283+DS288</f>
        <v>30562981</v>
      </c>
      <c r="DT10" s="1">
        <f>+'Sys INPUT'!DT10-DT223-DT228+DT283+DT288</f>
        <v>17403903</v>
      </c>
      <c r="DW10" s="1">
        <f>+CW10+CY10+DB10+DC10+DD10+DE10+DJ10+DL10+DN10+DQ10+DR10+DS10+DT10</f>
        <v>107324602</v>
      </c>
      <c r="DX10" s="1"/>
      <c r="DY10" s="1"/>
      <c r="DZ10" s="1"/>
      <c r="EB10" s="1">
        <f>+'Sys INPUT'!EC10-EB223+EB283</f>
        <v>0</v>
      </c>
      <c r="EC10" s="1"/>
      <c r="ED10" s="1"/>
      <c r="EE10" s="1"/>
      <c r="EF10" s="1">
        <f>+'Sys INPUT'!EG10-EF223+EF283</f>
        <v>0</v>
      </c>
      <c r="EG10" s="1"/>
      <c r="EL10" s="1">
        <f>+'Sys INPUT'!HT10+'Sys INPUT'!HU10-EL223+EL283</f>
        <v>0</v>
      </c>
      <c r="EM10" s="1">
        <f>+'Sys INPUT'!HV10-EM223+EM283</f>
        <v>0</v>
      </c>
      <c r="EN10">
        <f t="shared" ref="EN10:EN16" si="4">SUM(DE10:EM10)</f>
        <v>210761134</v>
      </c>
      <c r="EQ10" s="1">
        <f>+'Sys INPUT'!AF10+'Sys INPUT'!ER10-EQ223+EQ283</f>
        <v>0</v>
      </c>
    </row>
    <row r="11" spans="1:147" ht="15.75">
      <c r="A11" s="1"/>
      <c r="B11" s="1" t="s">
        <v>468</v>
      </c>
      <c r="C11" s="11"/>
      <c r="D11" s="1">
        <f>+'Sys INPUT'!D11-D224+D284</f>
        <v>260735</v>
      </c>
      <c r="E11" s="1">
        <f>+'Sys INPUT'!E11</f>
        <v>2400</v>
      </c>
      <c r="F11" s="1">
        <f>+'Sys INPUT'!F11</f>
        <v>0</v>
      </c>
      <c r="G11" s="1">
        <f>+'Sys INPUT'!G11</f>
        <v>0</v>
      </c>
      <c r="H11" s="1">
        <f>+'Sys INPUT'!H11</f>
        <v>0</v>
      </c>
      <c r="I11" s="1">
        <f>+'Sys INPUT'!I11</f>
        <v>0</v>
      </c>
      <c r="J11" s="1">
        <f>+'Sys INPUT'!J11</f>
        <v>0</v>
      </c>
      <c r="K11" s="1">
        <f>+'Sys INPUT'!K11-K225+K285</f>
        <v>0</v>
      </c>
      <c r="L11" s="1">
        <f>+'Sys INPUT'!L11-L225+L285</f>
        <v>0</v>
      </c>
      <c r="M11" s="1">
        <f>+'Sys INPUT'!M11</f>
        <v>0</v>
      </c>
      <c r="N11" s="1">
        <f>+'Sys INPUT'!N11</f>
        <v>0</v>
      </c>
      <c r="O11" s="1">
        <f>+'Sys INPUT'!O11</f>
        <v>0</v>
      </c>
      <c r="P11" s="1">
        <f>+'Sys INPUT'!P11</f>
        <v>0</v>
      </c>
      <c r="Q11" s="1">
        <f>+'Sys INPUT'!Q11</f>
        <v>0</v>
      </c>
      <c r="R11" s="1">
        <f>+'Sys INPUT'!R11</f>
        <v>0</v>
      </c>
      <c r="S11" s="1">
        <f>+'Sys INPUT'!S11</f>
        <v>0</v>
      </c>
      <c r="T11" s="1">
        <f>+'Sys INPUT'!T11</f>
        <v>0</v>
      </c>
      <c r="U11" s="1">
        <f>+'Sys INPUT'!U11</f>
        <v>0</v>
      </c>
      <c r="V11" s="1">
        <f>+'Sys INPUT'!V11</f>
        <v>0</v>
      </c>
      <c r="W11" s="1">
        <f>+'Sys INPUT'!W11</f>
        <v>0</v>
      </c>
      <c r="X11" s="1">
        <f>+'Sys INPUT'!X11</f>
        <v>2170</v>
      </c>
      <c r="Y11" s="1">
        <f>+'Sys INPUT'!Y11</f>
        <v>0</v>
      </c>
      <c r="Z11" s="1">
        <f>+'Sys INPUT'!Z11</f>
        <v>0</v>
      </c>
      <c r="AA11" s="1">
        <f>+'Sys INPUT'!AA11</f>
        <v>0</v>
      </c>
      <c r="AB11" s="1">
        <f>+'Sys INPUT'!AB11</f>
        <v>0</v>
      </c>
      <c r="AC11" s="1">
        <f>+'Sys INPUT'!AC11</f>
        <v>0</v>
      </c>
      <c r="AD11" s="1">
        <f>+'Sys INPUT'!AD11</f>
        <v>0</v>
      </c>
      <c r="AE11" s="1">
        <f>+'Sys INPUT'!AE11</f>
        <v>0</v>
      </c>
      <c r="AF11" s="1">
        <f>+'Sys INPUT'!AF11</f>
        <v>0</v>
      </c>
      <c r="AG11" s="1">
        <f>+'Sys INPUT'!AG11</f>
        <v>0</v>
      </c>
      <c r="AH11" s="1">
        <f>+'Sys INPUT'!AH11</f>
        <v>0</v>
      </c>
      <c r="AI11" s="1">
        <f>+'Sys INPUT'!AI11</f>
        <v>0</v>
      </c>
      <c r="AJ11" s="1">
        <f>+'Sys INPUT'!AJ11</f>
        <v>0</v>
      </c>
      <c r="AK11" s="1">
        <f>+'Sys INPUT'!AK11</f>
        <v>0</v>
      </c>
      <c r="AL11" s="1">
        <f>+'Sys INPUT'!AL11</f>
        <v>0</v>
      </c>
      <c r="AM11" s="1">
        <f>+'Sys INPUT'!AM11</f>
        <v>0</v>
      </c>
      <c r="AN11" s="1">
        <f>+'Sys INPUT'!AN11</f>
        <v>0</v>
      </c>
      <c r="AO11" s="1">
        <f>+'Sys INPUT'!AO11</f>
        <v>0</v>
      </c>
      <c r="AP11" s="1">
        <f>+'Sys INPUT'!AP11</f>
        <v>0</v>
      </c>
      <c r="AQ11" s="1">
        <f>+'Sys INPUT'!AQ11</f>
        <v>0</v>
      </c>
      <c r="AR11" s="1">
        <f>+'Sys INPUT'!AR11</f>
        <v>0</v>
      </c>
      <c r="AS11" s="1">
        <f>+'Sys INPUT'!AS11</f>
        <v>0</v>
      </c>
      <c r="AT11" s="1">
        <f>+'Sys INPUT'!AT11</f>
        <v>0</v>
      </c>
      <c r="AU11" s="1">
        <f>+'Sys INPUT'!AU11</f>
        <v>0</v>
      </c>
      <c r="AV11" s="1">
        <f>+'Sys INPUT'!AV11</f>
        <v>0</v>
      </c>
      <c r="AW11" s="1"/>
      <c r="AX11" s="1">
        <f>+'Sys INPUT'!AX11</f>
        <v>0</v>
      </c>
      <c r="AY11" s="1">
        <f>+'Sys INPUT'!AY11</f>
        <v>0</v>
      </c>
      <c r="AZ11" s="1">
        <f>+'Sys INPUT'!AZ11</f>
        <v>0</v>
      </c>
      <c r="BA11" s="1">
        <f>+'Sys INPUT'!BA11</f>
        <v>0</v>
      </c>
      <c r="BB11" s="1">
        <f>+'Sys INPUT'!BB11</f>
        <v>0</v>
      </c>
      <c r="BC11" s="1">
        <f>+'Sys INPUT'!BC11</f>
        <v>0</v>
      </c>
      <c r="BD11" s="1">
        <f>+'Sys INPUT'!BD11</f>
        <v>0</v>
      </c>
      <c r="BE11" s="1"/>
      <c r="BF11" s="1">
        <f t="shared" ref="BF11:BF15" si="5">SUM(E11:BE11)</f>
        <v>4570</v>
      </c>
      <c r="BG11" s="1">
        <f t="shared" ref="BG11:BG17" si="6">+BF11-X11-P11-BB11-BC11</f>
        <v>2400</v>
      </c>
      <c r="BH11" s="1">
        <f>+'Sys INPUT'!BH11</f>
        <v>0</v>
      </c>
      <c r="BI11" s="1">
        <f>+'Sys INPUT'!BI11</f>
        <v>0</v>
      </c>
      <c r="BJ11" s="1">
        <f>+'Sys INPUT'!BJ11</f>
        <v>0</v>
      </c>
      <c r="BK11" s="1">
        <f>+'Sys INPUT'!BK11</f>
        <v>0</v>
      </c>
      <c r="BL11" s="1">
        <f>+'Sys INPUT'!BL11</f>
        <v>0</v>
      </c>
      <c r="BM11" s="1">
        <f>+'Sys INPUT'!BM11</f>
        <v>0</v>
      </c>
      <c r="BN11" s="1">
        <f>+'Sys INPUT'!BN11</f>
        <v>0</v>
      </c>
      <c r="BO11" s="1"/>
      <c r="BP11" s="1">
        <f t="shared" ref="BP11:BP16" si="7">SUM(BH11:BN11)</f>
        <v>0</v>
      </c>
      <c r="BQ11" s="1"/>
      <c r="BR11" s="1">
        <f>+'Sys INPUT'!BR11</f>
        <v>0</v>
      </c>
      <c r="BS11" s="1">
        <f>+'Sys INPUT'!BS11</f>
        <v>0</v>
      </c>
      <c r="BT11" s="1">
        <f>+'Sys INPUT'!BT11</f>
        <v>0</v>
      </c>
      <c r="BU11" s="1">
        <f>+'Sys INPUT'!BU11</f>
        <v>0</v>
      </c>
      <c r="BV11" s="1">
        <f>+'Sys INPUT'!BV11</f>
        <v>0</v>
      </c>
      <c r="BW11" s="1">
        <f>+'Sys INPUT'!BW11</f>
        <v>0</v>
      </c>
      <c r="BX11" s="3"/>
      <c r="BY11" s="1">
        <f t="shared" si="0"/>
        <v>0</v>
      </c>
      <c r="BZ11" s="1">
        <f t="shared" ref="BZ11:BZ19" si="8">+BY11-BR11</f>
        <v>0</v>
      </c>
      <c r="CA11" s="1">
        <f t="shared" si="1"/>
        <v>2400</v>
      </c>
      <c r="CB11" s="1"/>
      <c r="CC11" s="1"/>
      <c r="CD11" s="1"/>
      <c r="CE11" s="1"/>
      <c r="CF11" s="1"/>
      <c r="CG11" s="1"/>
      <c r="CH11" s="1"/>
      <c r="CI11" s="1"/>
      <c r="CJ11" s="1">
        <f t="shared" si="2"/>
        <v>0</v>
      </c>
      <c r="CK11" s="1"/>
      <c r="CL11" s="1">
        <f>+'Sys INPUT'!CL11-CL223+CL283-0</f>
        <v>0</v>
      </c>
      <c r="CM11" s="1">
        <f>+'Sys INPUT'!CM11-CM223+CM283-0</f>
        <v>0</v>
      </c>
      <c r="CN11" s="1">
        <f>+'Sys INPUT'!CN11-CN223+CN283-0</f>
        <v>0</v>
      </c>
      <c r="CO11" s="1">
        <f>+'Sys INPUT'!CO11-CO223+CO283-0</f>
        <v>0</v>
      </c>
      <c r="CP11" s="1">
        <f>+'Sys INPUT'!CP11-CP223+CP283-0</f>
        <v>0</v>
      </c>
      <c r="CQ11" s="1">
        <f>+'Sys INPUT'!CQ11-CQ223+CQ283-0</f>
        <v>0</v>
      </c>
      <c r="CR11" s="1">
        <f>+'Sys INPUT'!CR11-CR223+CR283-0</f>
        <v>0</v>
      </c>
      <c r="CS11" s="1"/>
      <c r="CT11" s="5"/>
      <c r="CU11" s="1">
        <f t="shared" si="3"/>
        <v>0</v>
      </c>
      <c r="CW11" s="1"/>
      <c r="CX11" s="1"/>
      <c r="CY11" s="1"/>
      <c r="CZ11" s="1"/>
      <c r="DA11" s="1"/>
      <c r="DB11" s="1"/>
      <c r="DC11" s="1"/>
      <c r="DD11" s="1"/>
      <c r="DE11" s="1"/>
      <c r="DF11" s="1"/>
      <c r="DG11" s="1"/>
      <c r="DH11" s="1"/>
      <c r="DI11" s="1"/>
      <c r="DJ11" s="1"/>
      <c r="DK11" s="1"/>
      <c r="DL11" s="1"/>
      <c r="DM11" s="1"/>
      <c r="DN11" s="1"/>
      <c r="DO11" s="1"/>
      <c r="DP11" s="1"/>
      <c r="DQ11" s="1"/>
      <c r="DR11" s="1"/>
      <c r="DS11" s="1"/>
      <c r="DT11" s="1"/>
      <c r="DW11" s="1">
        <f t="shared" ref="DW11:DW16" si="9">+CW11+CY11+DB11+DC11+DD11+DE11+DJ11+DL11+DN11+DQ11+DR11+DS11+DT11</f>
        <v>0</v>
      </c>
      <c r="DX11" s="1"/>
      <c r="DY11" s="1"/>
      <c r="DZ11" s="1"/>
      <c r="EB11" s="1">
        <f>+'Sys INPUT'!EC11</f>
        <v>0</v>
      </c>
      <c r="EC11" s="1"/>
      <c r="ED11" s="1"/>
      <c r="EE11" s="1"/>
      <c r="EF11" s="1">
        <f>+'Sys INPUT'!EG11</f>
        <v>0</v>
      </c>
      <c r="EG11" s="1"/>
      <c r="EI11">
        <f>+D11+BF11+BP11+BY11+CU11</f>
        <v>265305</v>
      </c>
      <c r="EL11" s="1">
        <f>+'Sys INPUT'!HT11+'Sys INPUT'!HU11</f>
        <v>0</v>
      </c>
      <c r="EM11" s="1">
        <f>+'Sys INPUT'!HV11</f>
        <v>0</v>
      </c>
      <c r="EN11">
        <f t="shared" si="4"/>
        <v>265305</v>
      </c>
      <c r="EQ11" s="1">
        <f>+'Sys INPUT'!AF11+'Sys INPUT'!ER11</f>
        <v>0</v>
      </c>
    </row>
    <row r="12" spans="1:147" ht="15.75">
      <c r="A12" s="1"/>
      <c r="B12" s="1" t="s">
        <v>444</v>
      </c>
      <c r="C12" s="11"/>
      <c r="D12" s="1">
        <f>+'Sys INPUT'!D12-D225+D285</f>
        <v>4160809</v>
      </c>
      <c r="E12" s="1">
        <f>+'Sys INPUT'!E12-E225+E285</f>
        <v>1617452</v>
      </c>
      <c r="F12" s="1">
        <f>+'Sys INPUT'!F12-F225+F285</f>
        <v>0</v>
      </c>
      <c r="G12" s="1">
        <f>+'Sys INPUT'!G12-G225+G285</f>
        <v>0</v>
      </c>
      <c r="H12" s="1">
        <f>+'Sys INPUT'!H12-H225+H285</f>
        <v>0</v>
      </c>
      <c r="I12" s="1">
        <f>+'Sys INPUT'!I12-I225+I285</f>
        <v>337361</v>
      </c>
      <c r="J12" s="1">
        <f>+'Sys INPUT'!J12-J225+J285</f>
        <v>1045460</v>
      </c>
      <c r="K12" s="1">
        <f>+'Sys INPUT'!K12-K226+K286</f>
        <v>0</v>
      </c>
      <c r="L12" s="1">
        <f>+'Sys INPUT'!L12-L226+L286</f>
        <v>0</v>
      </c>
      <c r="M12" s="1">
        <f>+'Sys INPUT'!M12-M225+M285</f>
        <v>70177</v>
      </c>
      <c r="N12" s="1">
        <f>+'Sys INPUT'!N12-N225+N285</f>
        <v>10660</v>
      </c>
      <c r="O12" s="1">
        <f>+'Sys INPUT'!O12-O225+O285</f>
        <v>1076</v>
      </c>
      <c r="P12" s="1">
        <f>+'Sys INPUT'!P12-P225+P285-0</f>
        <v>0</v>
      </c>
      <c r="Q12" s="1">
        <f>+'Sys INPUT'!Q12-Q225+Q285</f>
        <v>0</v>
      </c>
      <c r="R12" s="1">
        <f>+'Sys INPUT'!R12-R225+R285</f>
        <v>26509</v>
      </c>
      <c r="S12" s="1">
        <f>+'Sys INPUT'!S12-S225+S285</f>
        <v>42913</v>
      </c>
      <c r="T12" s="1">
        <f>+'Sys INPUT'!T12-T225+T285</f>
        <v>0</v>
      </c>
      <c r="U12" s="1">
        <f>+'Sys INPUT'!U12-U225+U285</f>
        <v>459799</v>
      </c>
      <c r="V12" s="1">
        <f>+'Sys INPUT'!V12-V225+V285</f>
        <v>0</v>
      </c>
      <c r="W12" s="1">
        <f>+'Sys INPUT'!W12-W225+W285</f>
        <v>0</v>
      </c>
      <c r="X12" s="1">
        <f>+'Sys INPUT'!X12-X225+X285</f>
        <v>1163404</v>
      </c>
      <c r="Y12" s="1">
        <f>+'Sys INPUT'!Y12-Y225+Y285</f>
        <v>0</v>
      </c>
      <c r="Z12" s="1">
        <f>+'Sys INPUT'!Z12-Z225+Z285</f>
        <v>4490</v>
      </c>
      <c r="AA12" s="1">
        <f>+'Sys INPUT'!AA12-AA225+AA285</f>
        <v>0</v>
      </c>
      <c r="AB12" s="1">
        <f>+'Sys INPUT'!AB12-AB225+AB285</f>
        <v>416922</v>
      </c>
      <c r="AC12" s="1">
        <f>+'Sys INPUT'!AC12-AC225+AC285</f>
        <v>0</v>
      </c>
      <c r="AD12" s="1">
        <f>+'Sys INPUT'!AD12-AD225+AD285</f>
        <v>0</v>
      </c>
      <c r="AE12" s="1">
        <f>+'Sys INPUT'!AE12-AE225+AE285</f>
        <v>25558</v>
      </c>
      <c r="AF12" s="1">
        <f>+'Sys INPUT'!AF12-AF225+AF285</f>
        <v>0</v>
      </c>
      <c r="AG12" s="1">
        <f>+'Sys INPUT'!AG12-AG225+AG285</f>
        <v>0</v>
      </c>
      <c r="AH12" s="1">
        <f>+'Sys INPUT'!AH12-AH225+AH285</f>
        <v>0</v>
      </c>
      <c r="AI12" s="1">
        <f>+'Sys INPUT'!AI12-AI225+AI285</f>
        <v>0</v>
      </c>
      <c r="AJ12" s="1">
        <f>+'Sys INPUT'!AJ12-AJ225+AJ285</f>
        <v>0</v>
      </c>
      <c r="AK12" s="1">
        <f>+'Sys INPUT'!AK12-AK225+AK285</f>
        <v>0</v>
      </c>
      <c r="AL12" s="1">
        <f>+'Sys INPUT'!AL12-AL225+AL285</f>
        <v>0</v>
      </c>
      <c r="AM12" s="1">
        <f>+'Sys INPUT'!AM12-AM225+AM285</f>
        <v>0</v>
      </c>
      <c r="AN12" s="1">
        <f>+'Sys INPUT'!AN12-AN225+AN285</f>
        <v>0</v>
      </c>
      <c r="AO12" s="1">
        <f>+'Sys INPUT'!AO12-AO225+AO285</f>
        <v>0</v>
      </c>
      <c r="AP12" s="1">
        <f>+'Sys INPUT'!AP12-AP225+AP285</f>
        <v>0</v>
      </c>
      <c r="AQ12" s="1">
        <f>+'Sys INPUT'!AQ12-AQ225+AQ285</f>
        <v>0</v>
      </c>
      <c r="AR12" s="1">
        <f>+'Sys INPUT'!AR12-AR225+AR285</f>
        <v>211080</v>
      </c>
      <c r="AS12" s="1">
        <f>+'Sys INPUT'!AS12-AS225+AS285</f>
        <v>272779</v>
      </c>
      <c r="AT12" s="1">
        <f>+'Sys INPUT'!AT12-AT225+AT285</f>
        <v>338610</v>
      </c>
      <c r="AU12" s="1">
        <f>+'Sys INPUT'!AU12-AU225+AU285</f>
        <v>249698</v>
      </c>
      <c r="AV12" s="1">
        <f>+'Sys INPUT'!AV12-AV225+AV285</f>
        <v>0</v>
      </c>
      <c r="AW12" s="1"/>
      <c r="AX12" s="1">
        <f>+'Sys INPUT'!AX12-AX225+AX285</f>
        <v>100801</v>
      </c>
      <c r="AY12" s="1">
        <f>+'Sys INPUT'!AY12-AY225+AY285</f>
        <v>0</v>
      </c>
      <c r="AZ12" s="1">
        <f>+'Sys INPUT'!AZ12-AZ225+AZ285</f>
        <v>9352</v>
      </c>
      <c r="BA12" s="1">
        <f>+'Sys INPUT'!BA12-BA225+BA285</f>
        <v>104225</v>
      </c>
      <c r="BB12" s="1">
        <f>+'Sys INPUT'!BB12-BB225+BB285</f>
        <v>2480548</v>
      </c>
      <c r="BC12" s="1">
        <f>+'Sys INPUT'!BC12-BC225+BD284+0</f>
        <v>895</v>
      </c>
      <c r="BD12" s="1">
        <f>+'Sys INPUT'!BD12-BD225+BD285</f>
        <v>0</v>
      </c>
      <c r="BE12" s="1"/>
      <c r="BF12" s="1">
        <f>SUM(E12:BE12)</f>
        <v>8989769</v>
      </c>
      <c r="BG12" s="1">
        <f t="shared" si="6"/>
        <v>5344922</v>
      </c>
      <c r="BH12" s="1">
        <f>+'Sys INPUT'!BH12-BH225+BH285</f>
        <v>0</v>
      </c>
      <c r="BI12" s="1">
        <f>+'Sys INPUT'!BI12-BI225+BI285</f>
        <v>0</v>
      </c>
      <c r="BJ12" s="1">
        <f>+'Sys INPUT'!BJ12-BJ225+BJ285</f>
        <v>0</v>
      </c>
      <c r="BK12" s="1">
        <f>+'Sys INPUT'!BK12-BK225+BK285</f>
        <v>0</v>
      </c>
      <c r="BL12" s="1">
        <f>+'Sys INPUT'!BL12-BL225+BL285</f>
        <v>0</v>
      </c>
      <c r="BM12" s="1">
        <f>+'Sys INPUT'!BM12-BM225+BM285</f>
        <v>0</v>
      </c>
      <c r="BN12" s="1">
        <f>+'Sys INPUT'!BN12-BN225+BN285</f>
        <v>0</v>
      </c>
      <c r="BO12" s="1"/>
      <c r="BP12" s="1">
        <f t="shared" si="7"/>
        <v>0</v>
      </c>
      <c r="BQ12" s="1"/>
      <c r="BR12" s="1">
        <f>+'Sys INPUT'!BR12-BR225+BR285</f>
        <v>0</v>
      </c>
      <c r="BS12" s="1">
        <f>+'Sys INPUT'!BS12-BS225+BS285</f>
        <v>0</v>
      </c>
      <c r="BT12" s="1">
        <f>+'Sys INPUT'!BT12-BT225+BT285</f>
        <v>0</v>
      </c>
      <c r="BU12" s="1">
        <f>+'Sys INPUT'!BU12-BU225+BU285</f>
        <v>0</v>
      </c>
      <c r="BV12" s="1">
        <f>+'Sys INPUT'!BV12-BV225+BV285</f>
        <v>0</v>
      </c>
      <c r="BW12" s="1">
        <f>+'Sys INPUT'!BW12-BW225+BW285</f>
        <v>13259</v>
      </c>
      <c r="BX12" s="3"/>
      <c r="BY12" s="1">
        <f t="shared" si="0"/>
        <v>13259</v>
      </c>
      <c r="BZ12" s="1">
        <f t="shared" si="8"/>
        <v>13259</v>
      </c>
      <c r="CA12" s="1">
        <f t="shared" si="1"/>
        <v>5358181</v>
      </c>
      <c r="CB12" s="1"/>
      <c r="CC12" s="213">
        <f>+'Sys INPUT'!CC12-CC225+CC285+CC320</f>
        <v>19350</v>
      </c>
      <c r="CD12" s="1">
        <f>+'Sys INPUT'!CD12-CD225+CD285</f>
        <v>0</v>
      </c>
      <c r="CE12" s="1">
        <f>+'Sys INPUT'!CE12-CE225+CE285</f>
        <v>0</v>
      </c>
      <c r="CF12" s="1"/>
      <c r="CG12" s="213">
        <f>+'Sys INPUT'!CG12-CG225+CG285+CG320</f>
        <v>0</v>
      </c>
      <c r="CH12" s="1"/>
      <c r="CI12" s="1"/>
      <c r="CJ12" s="1">
        <f t="shared" si="2"/>
        <v>19350</v>
      </c>
      <c r="CK12" s="1"/>
      <c r="CL12" s="1">
        <f>+'Sys INPUT'!CL12-CL225+CL285-0</f>
        <v>0</v>
      </c>
      <c r="CM12" s="1">
        <f>+'Sys INPUT'!CM12-CM225+CM285-0</f>
        <v>0</v>
      </c>
      <c r="CN12" s="1">
        <f>+'Sys INPUT'!CN12-CN225+CN285-0</f>
        <v>0</v>
      </c>
      <c r="CO12" s="1">
        <f>+'Sys INPUT'!CO12-CO225+CO285-0</f>
        <v>0</v>
      </c>
      <c r="CP12" s="1">
        <f>+'Sys INPUT'!CP12-CP225+CP285-0</f>
        <v>0</v>
      </c>
      <c r="CQ12" s="1">
        <f>+'Sys INPUT'!CQ12-CQ225+CQ285-0</f>
        <v>0</v>
      </c>
      <c r="CR12" s="1">
        <f>+'Sys INPUT'!CR12-CR225+CR285-0</f>
        <v>0</v>
      </c>
      <c r="CS12" s="1"/>
      <c r="CT12" s="5"/>
      <c r="CU12" s="1">
        <f t="shared" si="3"/>
        <v>0</v>
      </c>
      <c r="CW12" s="1">
        <f>+'Sys INPUT'!CW12-CW225+CW285+0</f>
        <v>235343</v>
      </c>
      <c r="CX12" s="1">
        <f>+'Sys INPUT'!CX12-CX225+CX285+0</f>
        <v>0</v>
      </c>
      <c r="CY12" s="1">
        <f>+'Sys INPUT'!CY12-CY225+CY285+0</f>
        <v>0</v>
      </c>
      <c r="CZ12" s="1">
        <f>+'Sys INPUT'!CZ12-CZ225+CZ285+0</f>
        <v>0</v>
      </c>
      <c r="DA12" s="1">
        <f>+'Sys INPUT'!DA12-DA225+DA285+0</f>
        <v>0</v>
      </c>
      <c r="DB12" s="1">
        <f>+'Sys INPUT'!DB12-DB225+DB285+0</f>
        <v>0</v>
      </c>
      <c r="DC12" s="1">
        <f>+'Sys INPUT'!DC12-DC225+DC285+0</f>
        <v>0</v>
      </c>
      <c r="DD12" s="1">
        <f>+'Sys INPUT'!DD12-DD225+DD285+0</f>
        <v>0</v>
      </c>
      <c r="DE12" s="1">
        <f>+'Sys INPUT'!DE12-DE225+DE285+0</f>
        <v>0</v>
      </c>
      <c r="DF12" s="1">
        <f>+'Sys INPUT'!DF12-DF225+DF285+0</f>
        <v>0</v>
      </c>
      <c r="DG12" s="1">
        <f>+'Sys INPUT'!DG12-DG225+DG285+0</f>
        <v>0</v>
      </c>
      <c r="DH12" s="1">
        <f>+'Sys INPUT'!DH12-DH225+DH285+0</f>
        <v>0</v>
      </c>
      <c r="DI12" s="1">
        <f>+'Sys INPUT'!DI12-DI225+DI285+0</f>
        <v>0</v>
      </c>
      <c r="DJ12" s="1">
        <f>+'Sys INPUT'!DJ12-DJ225+DJ285+0</f>
        <v>0</v>
      </c>
      <c r="DK12" s="1">
        <f>+'Sys INPUT'!DK12-DK225+DK285+0</f>
        <v>0</v>
      </c>
      <c r="DL12" s="1">
        <f>+'Sys INPUT'!DL12-DL225+DL285+0</f>
        <v>0</v>
      </c>
      <c r="DM12" s="1">
        <f>+'Sys INPUT'!DM12-DM225+DM285+0</f>
        <v>0</v>
      </c>
      <c r="DN12" s="1">
        <f>+'Sys INPUT'!DN12-DN225+DN285+0</f>
        <v>0</v>
      </c>
      <c r="DO12" s="1">
        <f>+'Sys INPUT'!DO12-DO225+DO285+0</f>
        <v>0</v>
      </c>
      <c r="DP12" s="1">
        <f>+'Sys INPUT'!DP12-DP225+DP285+0</f>
        <v>0</v>
      </c>
      <c r="DQ12" s="1">
        <f>+'Sys INPUT'!DQ12-DQ225+DQ285+0</f>
        <v>151548</v>
      </c>
      <c r="DR12" s="1">
        <f>+'Sys INPUT'!DR12-DR225+DR285+0</f>
        <v>0</v>
      </c>
      <c r="DS12" s="1">
        <f>+'Sys INPUT'!DS12-DS225+DS285+0</f>
        <v>0</v>
      </c>
      <c r="DT12" s="1">
        <f>+'Sys INPUT'!DT12-DT225+DT285+0</f>
        <v>0</v>
      </c>
      <c r="DW12" s="1">
        <f t="shared" si="9"/>
        <v>386891</v>
      </c>
      <c r="DX12" s="1"/>
      <c r="DY12" s="1"/>
      <c r="DZ12" s="1"/>
      <c r="EB12" s="1">
        <f>+'Sys INPUT'!EC12-EB225+EB285</f>
        <v>0</v>
      </c>
      <c r="EC12" s="1"/>
      <c r="ED12" s="1"/>
      <c r="EE12" s="1"/>
      <c r="EF12" s="1">
        <f>+'Sys INPUT'!EG12-EF225+EF285</f>
        <v>0</v>
      </c>
      <c r="EG12" s="1"/>
      <c r="EL12" s="32">
        <f>+'Sys INPUT'!HT12+'Sys INPUT'!HU12-EL225+EL285+0</f>
        <v>0</v>
      </c>
      <c r="EM12" s="1">
        <f>+'Sys INPUT'!HV12-EM225+EM285</f>
        <v>0</v>
      </c>
      <c r="EN12">
        <f t="shared" si="4"/>
        <v>538439</v>
      </c>
      <c r="EQ12" s="32">
        <f>+'Sys INPUT'!AF12+'Sys INPUT'!ER12-EQ225+EQ285+0</f>
        <v>0</v>
      </c>
    </row>
    <row r="13" spans="1:147" ht="15.75">
      <c r="A13" s="1"/>
      <c r="B13" s="1" t="s">
        <v>445</v>
      </c>
      <c r="C13" s="11"/>
      <c r="D13" s="1">
        <f>+'Sys INPUT'!D13-D226+D286</f>
        <v>1289265</v>
      </c>
      <c r="E13" s="1">
        <f>+'Sys INPUT'!E13-E226+E286+E250-E310</f>
        <v>22930</v>
      </c>
      <c r="F13" s="1">
        <f>+'Sys INPUT'!F13-F226+F286</f>
        <v>0</v>
      </c>
      <c r="G13" s="1">
        <f>+'Sys INPUT'!G13-G226+G286</f>
        <v>0</v>
      </c>
      <c r="H13" s="1">
        <f>+'Sys INPUT'!H13-H226+H286</f>
        <v>1980</v>
      </c>
      <c r="I13" s="1">
        <f>+'Sys INPUT'!I13-I226+I286</f>
        <v>0</v>
      </c>
      <c r="J13" s="1">
        <f>+'Sys INPUT'!J13-J226+J286</f>
        <v>93219</v>
      </c>
      <c r="K13" s="1">
        <f>+'Sys INPUT'!K13-K227+K287</f>
        <v>0</v>
      </c>
      <c r="L13" s="1">
        <f>+'Sys INPUT'!L13-L227+L287</f>
        <v>0</v>
      </c>
      <c r="M13" s="1">
        <f>+'Sys INPUT'!M13-M226+M286</f>
        <v>79977</v>
      </c>
      <c r="N13" s="1">
        <f>+'Sys INPUT'!N13-N226+N286</f>
        <v>0</v>
      </c>
      <c r="O13" s="1">
        <f>+'Sys INPUT'!O13-O226+O286</f>
        <v>0</v>
      </c>
      <c r="P13" s="1">
        <f>+'Sys INPUT'!P13-P226+P286</f>
        <v>0</v>
      </c>
      <c r="Q13" s="1">
        <f>+'Sys INPUT'!Q13-Q226+Q286</f>
        <v>0</v>
      </c>
      <c r="R13" s="1">
        <f>+'Sys INPUT'!R13-R226+R286</f>
        <v>31719</v>
      </c>
      <c r="S13" s="1">
        <f>+'Sys INPUT'!S13-S226+S286</f>
        <v>13949</v>
      </c>
      <c r="T13" s="1">
        <f>+'Sys INPUT'!T13-T226+T286</f>
        <v>0</v>
      </c>
      <c r="U13" s="1">
        <f>+'Sys INPUT'!U13-U226+U286</f>
        <v>630381</v>
      </c>
      <c r="V13" s="1">
        <f>+'Sys INPUT'!V13-V226+V286</f>
        <v>0</v>
      </c>
      <c r="W13" s="1">
        <f>+'Sys INPUT'!W13-W226+W286</f>
        <v>3085</v>
      </c>
      <c r="X13" s="1">
        <f>+'Sys INPUT'!X13-X226+X286</f>
        <v>712666</v>
      </c>
      <c r="Y13" s="1">
        <f>+'Sys INPUT'!Y13-Y226+Y286</f>
        <v>0</v>
      </c>
      <c r="Z13" s="1">
        <f>+'Sys INPUT'!Z13-Z226+Z286</f>
        <v>141202</v>
      </c>
      <c r="AA13" s="1">
        <f>+'Sys INPUT'!AA13-AA226+AA286</f>
        <v>94970</v>
      </c>
      <c r="AB13" s="1">
        <f>+'Sys INPUT'!AB13-AB226+AB286</f>
        <v>0</v>
      </c>
      <c r="AC13" s="1">
        <f>+'Sys INPUT'!AC13-AC226+AC286</f>
        <v>0</v>
      </c>
      <c r="AD13" s="1">
        <f>+'Sys INPUT'!AD13-AD226+AD286</f>
        <v>0</v>
      </c>
      <c r="AE13" s="1">
        <f>+'Sys INPUT'!AE13-AE226+AE286</f>
        <v>0</v>
      </c>
      <c r="AF13" s="1">
        <f>+'Sys INPUT'!AF13-AF226+AF286</f>
        <v>0</v>
      </c>
      <c r="AG13" s="1">
        <f>+'Sys INPUT'!AG13-AG226+AG286</f>
        <v>0</v>
      </c>
      <c r="AH13" s="1">
        <f>+'Sys INPUT'!AH13-AH226+AH286</f>
        <v>0</v>
      </c>
      <c r="AI13" s="1">
        <f>+'Sys INPUT'!AI13-AI226+AI286</f>
        <v>0</v>
      </c>
      <c r="AJ13" s="1">
        <f>+'Sys INPUT'!AJ13-AJ226+AJ286</f>
        <v>0</v>
      </c>
      <c r="AK13" s="1">
        <f>+'Sys INPUT'!AK13-AK226+AK286</f>
        <v>28621</v>
      </c>
      <c r="AL13" s="1">
        <f>+'Sys INPUT'!AL13-AL226+AL286</f>
        <v>184447</v>
      </c>
      <c r="AM13" s="1">
        <f>+'Sys INPUT'!AM13-AM226+AM286</f>
        <v>14954</v>
      </c>
      <c r="AN13" s="1">
        <f>+'Sys INPUT'!AN13-AN226+AN286</f>
        <v>27243</v>
      </c>
      <c r="AO13" s="1">
        <f>+'Sys INPUT'!AO13-AO226+AO286</f>
        <v>0</v>
      </c>
      <c r="AP13" s="1">
        <f>+'Sys INPUT'!AP13-AP226+AP286</f>
        <v>0</v>
      </c>
      <c r="AQ13" s="1">
        <f>+'Sys INPUT'!AQ13-AQ226+AQ286</f>
        <v>0</v>
      </c>
      <c r="AR13" s="1">
        <f>+'Sys INPUT'!AR13-AR226+AR286</f>
        <v>0</v>
      </c>
      <c r="AS13" s="1">
        <f>+'Sys INPUT'!AS13-AS226+AS286</f>
        <v>0</v>
      </c>
      <c r="AT13" s="1">
        <f>+'Sys INPUT'!AT13-AT226+AT286</f>
        <v>0</v>
      </c>
      <c r="AU13" s="1">
        <f>+'Sys INPUT'!AU13-AU226+AU286</f>
        <v>0</v>
      </c>
      <c r="AV13" s="1">
        <f>+'Sys INPUT'!AV13-AV226+AV286</f>
        <v>0</v>
      </c>
      <c r="AW13" s="1"/>
      <c r="AX13" s="1">
        <f>+'Sys INPUT'!AX13-AX226+AX286</f>
        <v>0</v>
      </c>
      <c r="AY13" s="1">
        <f>+'Sys INPUT'!AY13-AY226+AY286</f>
        <v>0</v>
      </c>
      <c r="AZ13" s="1">
        <f>+'Sys INPUT'!AZ13-AZ226+AZ286</f>
        <v>15000</v>
      </c>
      <c r="BA13" s="1">
        <f>+'Sys INPUT'!BA13-BA226+BA286</f>
        <v>0</v>
      </c>
      <c r="BB13" s="1">
        <f>+'Sys INPUT'!BB13-BB226+BB286</f>
        <v>0</v>
      </c>
      <c r="BC13" s="1">
        <f>+'Sys INPUT'!BC13-BC226+BC286</f>
        <v>0</v>
      </c>
      <c r="BD13" s="1">
        <f>+'Sys INPUT'!BD13-BD226+BD286</f>
        <v>0</v>
      </c>
      <c r="BE13" s="1"/>
      <c r="BF13" s="1">
        <f>SUM(E13:BE13)</f>
        <v>2096343</v>
      </c>
      <c r="BG13" s="1">
        <f t="shared" si="6"/>
        <v>1383677</v>
      </c>
      <c r="BH13" s="1">
        <f>+'Sys INPUT'!BH13-BH226+BH286</f>
        <v>0</v>
      </c>
      <c r="BI13" s="1">
        <f>+'Sys INPUT'!BI13-BI226+BI286</f>
        <v>0</v>
      </c>
      <c r="BJ13" s="1">
        <f>+'Sys INPUT'!BJ13-BJ226+BJ286</f>
        <v>0</v>
      </c>
      <c r="BK13" s="1">
        <f>+'Sys INPUT'!BK13-BK226+BK286</f>
        <v>0</v>
      </c>
      <c r="BL13" s="1">
        <f>+'Sys INPUT'!BL13-BL226+BL286</f>
        <v>0</v>
      </c>
      <c r="BM13" s="1">
        <f>+'Sys INPUT'!BM13-BM226+BM286</f>
        <v>0</v>
      </c>
      <c r="BN13" s="1">
        <f>+'Sys INPUT'!BN13-BN226+BN286</f>
        <v>0</v>
      </c>
      <c r="BO13" s="1"/>
      <c r="BP13" s="1">
        <f t="shared" si="7"/>
        <v>0</v>
      </c>
      <c r="BQ13" s="1"/>
      <c r="BR13" s="1">
        <f>+'Sys INPUT'!BR13-BR226+BR286</f>
        <v>0</v>
      </c>
      <c r="BS13" s="1">
        <f>+'Sys INPUT'!BS13-BS226+BS286</f>
        <v>0</v>
      </c>
      <c r="BT13" s="1">
        <f>+'Sys INPUT'!BT13-BT226+BT286</f>
        <v>0</v>
      </c>
      <c r="BU13" s="1">
        <f>+'Sys INPUT'!BU13-BU226+BU286</f>
        <v>0</v>
      </c>
      <c r="BV13" s="1">
        <f>+'Sys INPUT'!BV13-BV226+BV286</f>
        <v>0</v>
      </c>
      <c r="BW13" s="1">
        <f>+'Sys INPUT'!BW13-BW226+BW286</f>
        <v>0</v>
      </c>
      <c r="BX13" s="3"/>
      <c r="BY13" s="1">
        <f t="shared" si="0"/>
        <v>0</v>
      </c>
      <c r="BZ13" s="1">
        <f t="shared" si="8"/>
        <v>0</v>
      </c>
      <c r="CA13" s="1">
        <f t="shared" si="1"/>
        <v>1384729</v>
      </c>
      <c r="CB13" s="1"/>
      <c r="CC13" s="1">
        <f>+'Sys INPUT'!CC13-CC226+CC286</f>
        <v>1257477</v>
      </c>
      <c r="CD13" s="1">
        <f>+'Sys INPUT'!CD13-CD228+CD288-0</f>
        <v>130712</v>
      </c>
      <c r="CE13" s="1">
        <f>+'Sys INPUT'!CE13-CE226-CE228+CE286+CE288</f>
        <v>166377</v>
      </c>
      <c r="CF13" s="1">
        <f>+'Sys INPUT'!CF13-CF226-CF228+CF286+CF288+0</f>
        <v>1402726</v>
      </c>
      <c r="CG13" s="1">
        <f>+'Sys INPUT'!CG13-CG226-CG228+CG286+CG288+0+0</f>
        <v>1356265</v>
      </c>
      <c r="CH13" s="1">
        <f>+'Sys INPUT'!CH13-CH226-CH228+CH286+CH288-0</f>
        <v>43362</v>
      </c>
      <c r="CI13" s="1"/>
      <c r="CJ13" s="1">
        <f t="shared" si="2"/>
        <v>4356919</v>
      </c>
      <c r="CK13" s="1"/>
      <c r="CL13" s="1">
        <f>+'Sys INPUT'!CL13-CL226+CL286</f>
        <v>0</v>
      </c>
      <c r="CM13" s="1136">
        <f>+'Sys INPUT'!CM13-CM226+CM286-256740+255347</f>
        <v>553465</v>
      </c>
      <c r="CN13" s="1">
        <f>+'Sys INPUT'!CN13-CN226+CN286+0</f>
        <v>871228</v>
      </c>
      <c r="CO13" s="1">
        <f>+'Sys INPUT'!CO13-CO226+CO286</f>
        <v>503094</v>
      </c>
      <c r="CP13" s="1">
        <f>+'Sys INPUT'!CP13-CP226+CP286+0</f>
        <v>2785270</v>
      </c>
      <c r="CQ13" s="1">
        <f>+'Sys INPUT'!CQ13-CQ226+CQ286-0</f>
        <v>809227</v>
      </c>
      <c r="CR13" s="1">
        <f>+'Sys INPUT'!CR13-CR226+CR286+0</f>
        <v>6742394</v>
      </c>
      <c r="CS13" s="1"/>
      <c r="CT13" s="5"/>
      <c r="CU13" s="1">
        <f t="shared" si="3"/>
        <v>12264678</v>
      </c>
      <c r="CW13" s="1"/>
      <c r="CX13" s="1"/>
      <c r="CY13" s="1"/>
      <c r="CZ13" s="1"/>
      <c r="DA13" s="1"/>
      <c r="DB13" s="1"/>
      <c r="DC13" s="1"/>
      <c r="DD13" s="1"/>
      <c r="DE13" s="1"/>
      <c r="DF13" s="1"/>
      <c r="DG13" s="1"/>
      <c r="DH13" s="1"/>
      <c r="DI13" s="1"/>
      <c r="DJ13" s="1"/>
      <c r="DK13" s="1"/>
      <c r="DL13" s="1"/>
      <c r="DM13" s="1"/>
      <c r="DN13" s="1"/>
      <c r="DO13" s="1"/>
      <c r="DP13" s="1"/>
      <c r="DQ13" s="1"/>
      <c r="DR13" s="1"/>
      <c r="DS13" s="1"/>
      <c r="DT13" s="1"/>
      <c r="DW13" s="1">
        <f t="shared" si="9"/>
        <v>0</v>
      </c>
      <c r="DX13" s="1"/>
      <c r="DY13" s="1"/>
      <c r="DZ13" s="1"/>
      <c r="EB13" s="250">
        <v>0</v>
      </c>
      <c r="EC13" s="616"/>
      <c r="ED13" s="1"/>
      <c r="EE13" s="1"/>
      <c r="EF13" s="1">
        <f>+'Sys INPUT'!EG13-EF226+EF286</f>
        <v>1052</v>
      </c>
      <c r="EG13" s="1"/>
      <c r="EI13">
        <f>+D13+BF13+BP13+BY13+EF13</f>
        <v>3386660</v>
      </c>
      <c r="EL13" s="32">
        <f>+'Sys INPUT'!HT13+'Sys INPUT'!HU13-EL226+EL286+0</f>
        <v>0</v>
      </c>
      <c r="EM13" s="1">
        <f>+'Sys INPUT'!HV13-EM226+EM286</f>
        <v>0</v>
      </c>
      <c r="EN13">
        <f t="shared" si="4"/>
        <v>3387712</v>
      </c>
      <c r="EQ13" s="32">
        <f>+'Sys INPUT'!AF13+'Sys INPUT'!ER13-EQ226+0</f>
        <v>0</v>
      </c>
    </row>
    <row r="14" spans="1:147" ht="15.75">
      <c r="A14" s="1"/>
      <c r="B14" s="1" t="s">
        <v>446</v>
      </c>
      <c r="C14" s="11"/>
      <c r="D14" s="1">
        <f>+'Sys INPUT'!D14-D229+D289</f>
        <v>36199</v>
      </c>
      <c r="E14" s="1">
        <f>+'Sys INPUT'!E14-E227+E287</f>
        <v>0</v>
      </c>
      <c r="F14" s="1">
        <f>+'Sys INPUT'!F14-F227+F287</f>
        <v>0</v>
      </c>
      <c r="G14" s="1">
        <f>+'Sys INPUT'!G14-G227+G287</f>
        <v>0</v>
      </c>
      <c r="H14" s="1">
        <f>+'Sys INPUT'!H14-H227+H287</f>
        <v>0</v>
      </c>
      <c r="I14" s="1">
        <f>+'Sys INPUT'!I14-I229+I289</f>
        <v>0</v>
      </c>
      <c r="J14" s="1">
        <f>+'Sys INPUT'!J14-J229+J289</f>
        <v>0</v>
      </c>
      <c r="K14" s="1">
        <f>+'Sys INPUT'!K14-K228+K288</f>
        <v>0</v>
      </c>
      <c r="L14" s="1">
        <f>+'Sys INPUT'!L14-L228+L288</f>
        <v>0</v>
      </c>
      <c r="M14" s="1">
        <f>+'Sys INPUT'!M14-M229+M289</f>
        <v>18459</v>
      </c>
      <c r="N14" s="1">
        <f>+'Sys INPUT'!N14-N229+N289</f>
        <v>0</v>
      </c>
      <c r="O14" s="1">
        <f>+'Sys INPUT'!O14-O229+O289</f>
        <v>0</v>
      </c>
      <c r="P14" s="1">
        <f>+'Sys INPUT'!P14-P229+P289</f>
        <v>0</v>
      </c>
      <c r="Q14" s="1">
        <f>+'Sys INPUT'!Q14-Q229+Q289</f>
        <v>0</v>
      </c>
      <c r="R14" s="1">
        <f>+'Sys INPUT'!R14-R229+R289</f>
        <v>0</v>
      </c>
      <c r="S14" s="1">
        <f>+'Sys INPUT'!S14-S229+S289</f>
        <v>0</v>
      </c>
      <c r="T14" s="1">
        <f>+'Sys INPUT'!T14-T229+T289</f>
        <v>0</v>
      </c>
      <c r="U14" s="1">
        <f>+'Sys INPUT'!U14-U229+U289</f>
        <v>5165</v>
      </c>
      <c r="V14" s="1">
        <f>+'Sys INPUT'!V14-V229+V289</f>
        <v>0</v>
      </c>
      <c r="W14" s="1">
        <f>+'Sys INPUT'!W14-W229+W289</f>
        <v>0</v>
      </c>
      <c r="X14" s="1">
        <f>+'Sys INPUT'!X14-X229+X289</f>
        <v>379217</v>
      </c>
      <c r="Y14" s="1">
        <f>+'Sys INPUT'!Y14-Y229+Y289</f>
        <v>0</v>
      </c>
      <c r="Z14" s="1">
        <f>+'Sys INPUT'!Z14-Z229+Z289</f>
        <v>4097</v>
      </c>
      <c r="AA14" s="1">
        <f>+'Sys INPUT'!AA14-AA229+AA289</f>
        <v>0</v>
      </c>
      <c r="AB14" s="1">
        <f>+'Sys INPUT'!AB14-AB229+AB289</f>
        <v>0</v>
      </c>
      <c r="AC14" s="1">
        <f>+'Sys INPUT'!AC14-AC229+AC289</f>
        <v>0</v>
      </c>
      <c r="AD14" s="1">
        <f>+'Sys INPUT'!AD14-AD229+AD289</f>
        <v>0</v>
      </c>
      <c r="AE14" s="1">
        <f>+'Sys INPUT'!AE14-AE229+AE289</f>
        <v>0</v>
      </c>
      <c r="AF14" s="1">
        <f>+'Sys INPUT'!AF14-AF229+AF289</f>
        <v>94</v>
      </c>
      <c r="AG14" s="1">
        <f>+'Sys INPUT'!AG14-AG229+AG289</f>
        <v>18709</v>
      </c>
      <c r="AH14" s="1">
        <f>+'Sys INPUT'!AH14-AH229+AH289</f>
        <v>0</v>
      </c>
      <c r="AI14" s="1">
        <f>+'Sys INPUT'!AI14-AI229+AI289</f>
        <v>0</v>
      </c>
      <c r="AJ14" s="1">
        <f>+'Sys INPUT'!AJ14-AJ229+AJ289</f>
        <v>0</v>
      </c>
      <c r="AK14" s="1">
        <f>+'Sys INPUT'!AK14-AK229+AK289</f>
        <v>0</v>
      </c>
      <c r="AL14" s="1">
        <f>+'Sys INPUT'!AL14-AL229+AL289</f>
        <v>0</v>
      </c>
      <c r="AM14" s="1">
        <f>+'Sys INPUT'!AM14-AM229+AM289</f>
        <v>0</v>
      </c>
      <c r="AN14" s="1">
        <f>+'Sys INPUT'!AN14-AN229+AN289</f>
        <v>0</v>
      </c>
      <c r="AO14" s="1">
        <f>+'Sys INPUT'!AO14-AO229+AO289</f>
        <v>0</v>
      </c>
      <c r="AP14" s="1">
        <f>+'Sys INPUT'!AP14-AP229+AP289</f>
        <v>0</v>
      </c>
      <c r="AQ14" s="1">
        <f>+'Sys INPUT'!AQ14-AQ229+AQ289</f>
        <v>0</v>
      </c>
      <c r="AR14" s="1">
        <f>+'Sys INPUT'!AR14-AR229+AR289</f>
        <v>0</v>
      </c>
      <c r="AS14" s="1">
        <f>+'Sys INPUT'!AS14-AS229+AS289</f>
        <v>0</v>
      </c>
      <c r="AT14" s="1">
        <f>+'Sys INPUT'!AT14-AT229+AT289</f>
        <v>0</v>
      </c>
      <c r="AU14" s="1">
        <f>+'Sys INPUT'!AU14-AU229+AU289</f>
        <v>0</v>
      </c>
      <c r="AV14" s="1">
        <f>+'Sys INPUT'!AV14-AV229+AV289</f>
        <v>0</v>
      </c>
      <c r="AW14" s="1"/>
      <c r="AX14" s="1">
        <f>+'Sys INPUT'!AX14-AX229+AX289</f>
        <v>0</v>
      </c>
      <c r="AY14" s="1">
        <f>+'Sys INPUT'!AY14-AY229+AY289</f>
        <v>0</v>
      </c>
      <c r="AZ14" s="1">
        <f>+'Sys INPUT'!AZ14-AZ229+AZ289</f>
        <v>0</v>
      </c>
      <c r="BA14" s="1">
        <f>+'Sys INPUT'!BA14-BA229+BA289</f>
        <v>0</v>
      </c>
      <c r="BB14" s="1">
        <f>+'Sys INPUT'!BB14-BB229+BB289</f>
        <v>0</v>
      </c>
      <c r="BC14" s="1">
        <f>+'Sys INPUT'!BC14-BC229+BC289</f>
        <v>0</v>
      </c>
      <c r="BD14" s="1">
        <f>+'Sys INPUT'!BD14-BD229+BD289</f>
        <v>0</v>
      </c>
      <c r="BE14" s="1"/>
      <c r="BF14" s="1">
        <f t="shared" si="5"/>
        <v>425741</v>
      </c>
      <c r="BG14" s="1">
        <f t="shared" si="6"/>
        <v>46524</v>
      </c>
      <c r="BH14" s="1">
        <f>+'Sys INPUT'!BH14-BH229+BH289</f>
        <v>0</v>
      </c>
      <c r="BI14" s="1">
        <f>+'Sys INPUT'!BI14-BI229+BI289</f>
        <v>0</v>
      </c>
      <c r="BJ14" s="1">
        <f>+'Sys INPUT'!BJ14-BJ229+BJ289</f>
        <v>0</v>
      </c>
      <c r="BK14" s="1">
        <f>+'Sys INPUT'!BK14-BK229+BK289</f>
        <v>0</v>
      </c>
      <c r="BL14" s="1">
        <f>+'Sys INPUT'!BL14-BL229+BL289</f>
        <v>0</v>
      </c>
      <c r="BM14" s="1">
        <f>+'Sys INPUT'!BM14-BM229+BM289</f>
        <v>0</v>
      </c>
      <c r="BN14" s="1">
        <f>+'Sys INPUT'!BN14-BN229+BN289</f>
        <v>0</v>
      </c>
      <c r="BO14" s="1"/>
      <c r="BP14" s="1">
        <f t="shared" si="7"/>
        <v>0</v>
      </c>
      <c r="BQ14" s="1"/>
      <c r="BR14" s="1">
        <f>+'Sys INPUT'!BR14-BR229+BR289</f>
        <v>0</v>
      </c>
      <c r="BS14" s="1">
        <f>+'Sys INPUT'!BS14-BS229+BS289</f>
        <v>0</v>
      </c>
      <c r="BT14" s="1">
        <f>+'Sys INPUT'!BT14-BT229+BT289</f>
        <v>0</v>
      </c>
      <c r="BU14" s="1">
        <f>+'Sys INPUT'!BU14-BU229+BU289</f>
        <v>0</v>
      </c>
      <c r="BV14" s="1">
        <f>+'Sys INPUT'!BV14-BV229+BV289</f>
        <v>0</v>
      </c>
      <c r="BW14" s="1">
        <f>+'Sys INPUT'!BW14-BW229+BW289</f>
        <v>0</v>
      </c>
      <c r="BX14" s="3"/>
      <c r="BY14" s="1">
        <f t="shared" si="0"/>
        <v>0</v>
      </c>
      <c r="BZ14" s="1">
        <f t="shared" si="8"/>
        <v>0</v>
      </c>
      <c r="CA14" s="1">
        <f t="shared" si="1"/>
        <v>46524</v>
      </c>
      <c r="CB14" s="1"/>
      <c r="CC14" s="1"/>
      <c r="CD14" s="1"/>
      <c r="CE14" s="1"/>
      <c r="CF14" s="1"/>
      <c r="CG14" s="1"/>
      <c r="CH14" s="1"/>
      <c r="CI14" s="1"/>
      <c r="CJ14" s="1">
        <f t="shared" si="2"/>
        <v>0</v>
      </c>
      <c r="CK14" s="1"/>
      <c r="CL14" s="1">
        <f>+'Sys INPUT'!CL14-CL227+CL287</f>
        <v>0</v>
      </c>
      <c r="CM14" s="1">
        <f>+'Sys INPUT'!CM14-CM227+CM287-0</f>
        <v>0</v>
      </c>
      <c r="CN14" s="1">
        <f>+'Sys INPUT'!CN14-CN227+CN287-0</f>
        <v>0</v>
      </c>
      <c r="CO14" s="1">
        <f>+'Sys INPUT'!CO14-CO227+CO287-0</f>
        <v>0</v>
      </c>
      <c r="CP14" s="1">
        <f>+'Sys INPUT'!CP14-CP227+CP287-0</f>
        <v>0</v>
      </c>
      <c r="CQ14" s="1">
        <f>+'Sys INPUT'!CQ14-CQ227+CQ287-0</f>
        <v>0</v>
      </c>
      <c r="CR14" s="1">
        <f>+'Sys INPUT'!CR14-CR227+CR287-0</f>
        <v>0</v>
      </c>
      <c r="CS14" s="1"/>
      <c r="CT14" s="5"/>
      <c r="CU14" s="1">
        <f t="shared" si="3"/>
        <v>0</v>
      </c>
      <c r="CW14" s="1"/>
      <c r="CX14" s="1"/>
      <c r="CY14" s="1"/>
      <c r="CZ14" s="1"/>
      <c r="DA14" s="1"/>
      <c r="DB14" s="1"/>
      <c r="DC14" s="1"/>
      <c r="DD14" s="1"/>
      <c r="DE14" s="1"/>
      <c r="DF14" s="1"/>
      <c r="DG14" s="1"/>
      <c r="DH14" s="1"/>
      <c r="DI14" s="1"/>
      <c r="DJ14" s="1"/>
      <c r="DK14" s="1"/>
      <c r="DL14" s="1"/>
      <c r="DM14" s="1"/>
      <c r="DN14" s="1"/>
      <c r="DO14" s="1"/>
      <c r="DP14" s="1"/>
      <c r="DQ14" s="1"/>
      <c r="DR14" s="1"/>
      <c r="DS14" s="1"/>
      <c r="DT14" s="1"/>
      <c r="DW14" s="1">
        <f t="shared" si="9"/>
        <v>0</v>
      </c>
      <c r="DX14" s="1"/>
      <c r="DY14" s="1"/>
      <c r="DZ14" s="1"/>
      <c r="EB14" s="1">
        <f>+'Sys INPUT'!EC14-EB229+EB289</f>
        <v>0</v>
      </c>
      <c r="EC14" s="253"/>
      <c r="ED14" s="1"/>
      <c r="EE14" s="1"/>
      <c r="EF14" s="1">
        <f>+'Sys INPUT'!EG14-EF229+EF289</f>
        <v>0</v>
      </c>
      <c r="EG14" s="1"/>
      <c r="EL14" s="32">
        <f>+'Sys INPUT'!HT14+'Sys INPUT'!HU14-EL229-EL289+0</f>
        <v>0</v>
      </c>
      <c r="EM14" s="1">
        <f>+'Sys INPUT'!HV14-EM229+EM289</f>
        <v>0</v>
      </c>
      <c r="EN14">
        <f t="shared" si="4"/>
        <v>0</v>
      </c>
      <c r="EQ14" s="32">
        <f>+'Sys INPUT'!AF14+'Sys INPUT'!ER14-EQ229-EQ289+0</f>
        <v>94</v>
      </c>
    </row>
    <row r="15" spans="1:147" ht="15.75">
      <c r="A15" s="1"/>
      <c r="B15" s="1" t="s">
        <v>974</v>
      </c>
      <c r="C15" s="11"/>
      <c r="D15" s="141">
        <f>+'Sys INPUT'!D15-D231+D291+0</f>
        <v>187792</v>
      </c>
      <c r="E15" s="1">
        <f>+'Sys INPUT'!E15-E228+E288</f>
        <v>17156</v>
      </c>
      <c r="F15" s="1">
        <f>+'Sys INPUT'!F15-F228+F288</f>
        <v>0</v>
      </c>
      <c r="G15" s="1">
        <f>+'Sys INPUT'!G15-G228+G288</f>
        <v>0</v>
      </c>
      <c r="H15" s="1">
        <f>+'Sys INPUT'!H15-H228+H288-H231+H291</f>
        <v>22740</v>
      </c>
      <c r="I15" s="1">
        <f>+'Sys INPUT'!I15-I228+I288-I231+I291</f>
        <v>74369</v>
      </c>
      <c r="J15" s="1">
        <f>+'Sys INPUT'!J15-J228+J288-J231+J291+0</f>
        <v>3218</v>
      </c>
      <c r="K15" s="1">
        <f>+'Sys INPUT'!K15-K229+K289</f>
        <v>0</v>
      </c>
      <c r="L15" s="1">
        <f>+'Sys INPUT'!L15-L229+L289</f>
        <v>0</v>
      </c>
      <c r="M15" s="1">
        <f>+'Sys INPUT'!M15+0</f>
        <v>7000</v>
      </c>
      <c r="N15" s="1">
        <f>+'Sys INPUT'!N15</f>
        <v>0</v>
      </c>
      <c r="O15" s="1">
        <f>+'Sys INPUT'!O15</f>
        <v>0</v>
      </c>
      <c r="P15" s="1">
        <f>+'Sys INPUT'!P15</f>
        <v>0</v>
      </c>
      <c r="Q15" s="1">
        <f>+'Sys INPUT'!Q15</f>
        <v>0</v>
      </c>
      <c r="R15" s="1">
        <f>+'Sys INPUT'!R15</f>
        <v>0</v>
      </c>
      <c r="S15" s="1">
        <f>+'Sys INPUT'!S15</f>
        <v>5150</v>
      </c>
      <c r="T15" s="1">
        <f>+'Sys INPUT'!T15</f>
        <v>0</v>
      </c>
      <c r="U15" s="1">
        <f>+'Sys INPUT'!U15</f>
        <v>13452</v>
      </c>
      <c r="V15" s="1">
        <f>+'Sys INPUT'!V15</f>
        <v>0</v>
      </c>
      <c r="W15" s="1">
        <f>+'Sys INPUT'!W15</f>
        <v>1208</v>
      </c>
      <c r="X15" s="141">
        <f>+'Sys INPUT'!X15+X291-X231+0</f>
        <v>192438</v>
      </c>
      <c r="Y15" s="1">
        <f>+'Sys INPUT'!Y15+0</f>
        <v>0</v>
      </c>
      <c r="Z15" s="1">
        <f>+'Sys INPUT'!Z15</f>
        <v>150175</v>
      </c>
      <c r="AA15" s="1">
        <f>+'Sys INPUT'!AA15</f>
        <v>0</v>
      </c>
      <c r="AB15" s="1">
        <f>+'Sys INPUT'!AB15</f>
        <v>395</v>
      </c>
      <c r="AC15" s="1">
        <f>+'Sys INPUT'!AC15</f>
        <v>0</v>
      </c>
      <c r="AD15" s="1">
        <f>+'Sys INPUT'!AD15-AD231+AD291</f>
        <v>33441</v>
      </c>
      <c r="AE15" s="1">
        <f>+'Sys INPUT'!AE15</f>
        <v>16396</v>
      </c>
      <c r="AF15" s="1">
        <f>+'Sys INPUT'!AF15</f>
        <v>0</v>
      </c>
      <c r="AG15" s="1">
        <f>+'Sys INPUT'!AG15</f>
        <v>0</v>
      </c>
      <c r="AH15" s="1">
        <f>+'Sys INPUT'!AH15</f>
        <v>0</v>
      </c>
      <c r="AI15" s="1">
        <f>+'Sys INPUT'!AI15</f>
        <v>0</v>
      </c>
      <c r="AJ15" s="1">
        <f>+'Sys INPUT'!AJ15</f>
        <v>0</v>
      </c>
      <c r="AK15" s="1">
        <f>+'Sys INPUT'!AK15</f>
        <v>0</v>
      </c>
      <c r="AL15" s="1">
        <f>+'Sys INPUT'!AL15</f>
        <v>0</v>
      </c>
      <c r="AM15" s="1">
        <f>+'Sys INPUT'!AM15</f>
        <v>0</v>
      </c>
      <c r="AN15" s="1">
        <f>+'Sys INPUT'!AN15</f>
        <v>0</v>
      </c>
      <c r="AO15" s="1">
        <f>+'Sys INPUT'!AO15</f>
        <v>0</v>
      </c>
      <c r="AP15" s="1">
        <f>+'Sys INPUT'!AP15</f>
        <v>0</v>
      </c>
      <c r="AQ15" s="1">
        <f>+'Sys INPUT'!AQ15</f>
        <v>147419</v>
      </c>
      <c r="AR15" s="1">
        <f>+'Sys INPUT'!AR15</f>
        <v>0</v>
      </c>
      <c r="AS15" s="1">
        <f>+'Sys INPUT'!AS15</f>
        <v>0</v>
      </c>
      <c r="AT15" s="1">
        <f>+'Sys INPUT'!AT15</f>
        <v>0</v>
      </c>
      <c r="AU15" s="1">
        <f>+'Sys INPUT'!AU15</f>
        <v>0</v>
      </c>
      <c r="AV15" s="1">
        <f>+'Sys INPUT'!AV15</f>
        <v>0</v>
      </c>
      <c r="AW15" s="1"/>
      <c r="AX15" s="1">
        <f>+'Sys INPUT'!AX15</f>
        <v>0</v>
      </c>
      <c r="AY15" s="1">
        <f>+'Sys INPUT'!AY15</f>
        <v>0</v>
      </c>
      <c r="AZ15" s="1">
        <f>+'Sys INPUT'!AZ15</f>
        <v>0</v>
      </c>
      <c r="BA15" s="1">
        <f>+'Sys INPUT'!BA15</f>
        <v>0</v>
      </c>
      <c r="BB15" s="1">
        <f>+'Sys INPUT'!BB15</f>
        <v>0</v>
      </c>
      <c r="BC15" s="1">
        <f>+'Sys INPUT'!BC15+0</f>
        <v>82156</v>
      </c>
      <c r="BD15" s="1">
        <f>+'Sys INPUT'!BD15</f>
        <v>0</v>
      </c>
      <c r="BE15" s="1"/>
      <c r="BF15" s="1">
        <f t="shared" si="5"/>
        <v>766713</v>
      </c>
      <c r="BG15" s="1">
        <f t="shared" si="6"/>
        <v>492119</v>
      </c>
      <c r="BH15" s="1">
        <f>+'Sys INPUT'!BH15</f>
        <v>112309</v>
      </c>
      <c r="BI15" s="1">
        <f>+'Sys INPUT'!BI15</f>
        <v>0</v>
      </c>
      <c r="BJ15" s="1">
        <f>+'Sys INPUT'!BJ15</f>
        <v>0</v>
      </c>
      <c r="BK15" s="1">
        <f>+'Sys INPUT'!BK15</f>
        <v>0</v>
      </c>
      <c r="BL15" s="1">
        <f>+'Sys INPUT'!BL15</f>
        <v>0</v>
      </c>
      <c r="BM15" s="1">
        <f>+'Sys INPUT'!BM15</f>
        <v>0</v>
      </c>
      <c r="BN15" s="1">
        <f>+'Sys INPUT'!BN15</f>
        <v>0</v>
      </c>
      <c r="BO15" s="1"/>
      <c r="BP15" s="1">
        <f t="shared" si="7"/>
        <v>112309</v>
      </c>
      <c r="BQ15" s="1"/>
      <c r="BR15" s="141">
        <f>+'Sys INPUT'!BR15+0</f>
        <v>86339</v>
      </c>
      <c r="BS15" s="1">
        <f>+'Sys INPUT'!BS15</f>
        <v>0</v>
      </c>
      <c r="BT15" s="1">
        <f>+'Sys INPUT'!BT15-BT231+BT291</f>
        <v>0</v>
      </c>
      <c r="BU15" s="1">
        <f>+'Sys INPUT'!BU15</f>
        <v>0</v>
      </c>
      <c r="BV15" s="1">
        <f>+'Sys INPUT'!BV15</f>
        <v>0</v>
      </c>
      <c r="BW15" s="1">
        <f>+'Sys INPUT'!BW15</f>
        <v>111</v>
      </c>
      <c r="BX15" s="3"/>
      <c r="BY15" s="1">
        <f t="shared" si="0"/>
        <v>86450</v>
      </c>
      <c r="BZ15" s="1">
        <f>+BY15-BR15</f>
        <v>111</v>
      </c>
      <c r="CA15" s="1">
        <f t="shared" si="1"/>
        <v>492230</v>
      </c>
      <c r="CB15" s="1"/>
      <c r="CC15" s="42">
        <f>+'Sys INPUT'!CC15-CC231+CC291+0</f>
        <v>0</v>
      </c>
      <c r="CD15" s="1">
        <f>+'Sys INPUT'!CD15</f>
        <v>0</v>
      </c>
      <c r="CE15" s="1">
        <f>+'Sys INPUT'!CE15</f>
        <v>0</v>
      </c>
      <c r="CF15" s="1">
        <f>+'Sys INPUT'!CF15</f>
        <v>0</v>
      </c>
      <c r="CG15" s="1">
        <f>+'Sys INPUT'!CG15+0</f>
        <v>0</v>
      </c>
      <c r="CH15" s="1">
        <f>+'Sys INPUT'!CH15</f>
        <v>0</v>
      </c>
      <c r="CI15" s="1"/>
      <c r="CJ15" s="1">
        <f t="shared" si="2"/>
        <v>0</v>
      </c>
      <c r="CK15" s="1"/>
      <c r="CL15" s="1">
        <f>+'Sys INPUT'!CL15-CL228+CL288+0</f>
        <v>1842365</v>
      </c>
      <c r="CM15" s="1">
        <f>+'Sys INPUT'!CM15-CM228+CM288+0</f>
        <v>0</v>
      </c>
      <c r="CN15" s="1">
        <f>+'Sys INPUT'!CN15-CN228+CN288+0</f>
        <v>9000</v>
      </c>
      <c r="CO15" s="1">
        <f>+'Sys INPUT'!CO15-CO228+CO288-0</f>
        <v>0</v>
      </c>
      <c r="CP15" s="1">
        <f>+'Sys INPUT'!CP15-CP228-CP231+CP288+CP291</f>
        <v>0</v>
      </c>
      <c r="CQ15" s="1">
        <f>+'Sys INPUT'!CQ15-CQ228-CQ231+CQ288+CQ291</f>
        <v>0</v>
      </c>
      <c r="CR15" s="1">
        <f>+'Sys INPUT'!CR15-CR228+CR288-0</f>
        <v>0</v>
      </c>
      <c r="CS15" s="1"/>
      <c r="CT15" s="5"/>
      <c r="CU15" s="1">
        <f t="shared" si="3"/>
        <v>1851365</v>
      </c>
      <c r="CW15" s="1">
        <f>+'Sys INPUT'!CW15+CW286-0-0-0</f>
        <v>189819</v>
      </c>
      <c r="CX15" s="1">
        <f>+'Sys INPUT'!CX15+CX286-0-0-0</f>
        <v>0</v>
      </c>
      <c r="CY15" s="1">
        <f>+'Sys INPUT'!CY15+CY286-0-0-0</f>
        <v>11675</v>
      </c>
      <c r="CZ15" s="1">
        <f>+'Sys INPUT'!CZ15+CZ286-0-0-0</f>
        <v>0</v>
      </c>
      <c r="DA15" s="1">
        <f>+'Sys INPUT'!DA15+DA286-0-0-0</f>
        <v>0</v>
      </c>
      <c r="DB15" s="1">
        <f>+'Sys INPUT'!DB15+DB286+0</f>
        <v>554703</v>
      </c>
      <c r="DC15" s="1">
        <f>+'Sys INPUT'!DC15+DC286-0-0-0</f>
        <v>215485</v>
      </c>
      <c r="DD15" s="1">
        <f>+'Sys INPUT'!DD15+DD286-0-0-0</f>
        <v>0</v>
      </c>
      <c r="DE15" s="1">
        <f>+'Sys INPUT'!DE15+DE286-0-0-0</f>
        <v>2117</v>
      </c>
      <c r="DF15" s="1">
        <f>+'Sys INPUT'!DF15+DF286-0-0-0</f>
        <v>0</v>
      </c>
      <c r="DG15" s="1">
        <f>+'Sys INPUT'!DG15+DG286-0-0-0</f>
        <v>151548</v>
      </c>
      <c r="DH15" s="1">
        <f>+'Sys INPUT'!DH15+DH286-0-0-0</f>
        <v>0</v>
      </c>
      <c r="DI15" s="1">
        <f>+'Sys INPUT'!DI15+DI286-0-0-0</f>
        <v>0</v>
      </c>
      <c r="DJ15" s="1">
        <f>+'Sys INPUT'!DJ15+DJ286-0-0-0</f>
        <v>0</v>
      </c>
      <c r="DK15" s="1">
        <f>+'Sys INPUT'!DK15+DK286-0-0-0</f>
        <v>0</v>
      </c>
      <c r="DL15" s="1">
        <f>+'Sys INPUT'!DL15+DL286-0-0-0</f>
        <v>825294</v>
      </c>
      <c r="DM15" s="1">
        <f>+'Sys INPUT'!DM15+DM286-0-0-0</f>
        <v>0</v>
      </c>
      <c r="DN15" s="1">
        <f>+'Sys INPUT'!DN15+DN286-0-0-0</f>
        <v>168122</v>
      </c>
      <c r="DO15" s="1">
        <f>+'Sys INPUT'!DO15+DO286-0-0-0</f>
        <v>0</v>
      </c>
      <c r="DP15" s="1">
        <f>+'Sys INPUT'!DP15+DP286-0-0-0</f>
        <v>23125</v>
      </c>
      <c r="DQ15" s="1">
        <f>+'Sys INPUT'!DQ15+DQ286-0-0-0</f>
        <v>754424</v>
      </c>
      <c r="DR15" s="1">
        <f>+'Sys INPUT'!DR15+DR286-DU15</f>
        <v>115979108</v>
      </c>
      <c r="DS15" s="1">
        <f>+'Sys INPUT'!DS15+DS286-0-0-0</f>
        <v>8612</v>
      </c>
      <c r="DT15" s="1">
        <f>+'Sys INPUT'!DT15+DT286-0-0-0</f>
        <v>9488085</v>
      </c>
      <c r="DU15">
        <f>+'FIDCH FDS'!Q16</f>
        <v>5274294</v>
      </c>
      <c r="DW15" s="1">
        <f t="shared" si="9"/>
        <v>128197444</v>
      </c>
      <c r="DX15" s="1"/>
      <c r="DY15" s="1">
        <f>+'Sys INPUT'!DZ15</f>
        <v>879061</v>
      </c>
      <c r="DZ15" s="1"/>
      <c r="EB15" s="1">
        <f>+'Sys INPUT'!EC15-EB231+EB291</f>
        <v>0</v>
      </c>
      <c r="EC15" s="1"/>
      <c r="ED15" s="1"/>
      <c r="EE15" s="1"/>
      <c r="EF15" s="1">
        <f>+'Sys INPUT'!EG15</f>
        <v>0</v>
      </c>
      <c r="EG15" s="1"/>
      <c r="EL15" s="1">
        <f>+'Sys INPUT'!HT15+'Sys INPUT'!HU15+0-0</f>
        <v>0</v>
      </c>
      <c r="EM15" s="1">
        <f>+'Sys INPUT'!HV15</f>
        <v>0</v>
      </c>
      <c r="EN15">
        <f t="shared" si="4"/>
        <v>261751234</v>
      </c>
      <c r="EQ15" s="32">
        <f>+'Sys INPUT'!AF15+'Sys INPUT'!ER15+EQ286-0-0-0</f>
        <v>0</v>
      </c>
    </row>
    <row r="16" spans="1:147" ht="15.75">
      <c r="A16" s="1"/>
      <c r="B16" s="1" t="s">
        <v>410</v>
      </c>
      <c r="C16" s="11"/>
      <c r="D16" s="1">
        <f>+'Sys INPUT'!D16-D227-D230+D287+D290</f>
        <v>1252244</v>
      </c>
      <c r="E16" s="1">
        <f>+'Sys INPUT'!E16-E227-E230+E287+E290</f>
        <v>0</v>
      </c>
      <c r="F16" s="1">
        <f>+'Sys INPUT'!F16-F227-F230+F287+F290</f>
        <v>0</v>
      </c>
      <c r="G16" s="1">
        <f>+'Sys INPUT'!G16-G227-G230+G287+G290</f>
        <v>6</v>
      </c>
      <c r="H16" s="1">
        <f>+'Sys INPUT'!H16-H227-H230+H287+H290</f>
        <v>0</v>
      </c>
      <c r="I16" s="1">
        <f>+'Sys INPUT'!I16-I227-I230+I287+I290</f>
        <v>4</v>
      </c>
      <c r="J16" s="1">
        <f>+'Sys INPUT'!J16-J227-J230+J287+J290</f>
        <v>43436</v>
      </c>
      <c r="K16" s="1">
        <f>+'Sys INPUT'!K16-K230+K290</f>
        <v>0</v>
      </c>
      <c r="L16" s="1">
        <f>+'Sys INPUT'!L16-L230+L290</f>
        <v>0</v>
      </c>
      <c r="M16" s="1">
        <f>+'Sys INPUT'!M16-M227-M230+M287+M290</f>
        <v>19</v>
      </c>
      <c r="N16" s="1">
        <f>+'Sys INPUT'!N16-N227-N230+N287+N290</f>
        <v>5</v>
      </c>
      <c r="O16" s="1">
        <f>+'Sys INPUT'!O16-O227-O230+O287+O290</f>
        <v>1</v>
      </c>
      <c r="P16" s="1">
        <f>+'Sys INPUT'!P16-P227-P230+P287+P290-0</f>
        <v>0</v>
      </c>
      <c r="Q16" s="1">
        <f>+'Sys INPUT'!Q16-Q227-Q230+Q287+Q290</f>
        <v>52</v>
      </c>
      <c r="R16" s="1">
        <f>+'Sys INPUT'!R16-R227-R230+R287+R290</f>
        <v>22984</v>
      </c>
      <c r="S16" s="1">
        <f>+'Sys INPUT'!S16-S227-S230+S287+S290</f>
        <v>15</v>
      </c>
      <c r="T16" s="1">
        <f>+'Sys INPUT'!T16-T227-T230+T287+T290</f>
        <v>0</v>
      </c>
      <c r="U16" s="1">
        <f>+'Sys INPUT'!U16-U227-U230+U287+U290</f>
        <v>42</v>
      </c>
      <c r="V16" s="1">
        <f>+'Sys INPUT'!V16-V227-V230+V287+V290</f>
        <v>6</v>
      </c>
      <c r="W16" s="1">
        <f>+'Sys INPUT'!W16-W227-W230+W287+W290</f>
        <v>7</v>
      </c>
      <c r="X16" s="1">
        <f>+'Sys INPUT'!X16-X227-X230+X287+X290</f>
        <v>333</v>
      </c>
      <c r="Y16" s="1">
        <f>+'Sys INPUT'!Y16-Y227-Y230+Y287+Y290</f>
        <v>0</v>
      </c>
      <c r="Z16" s="1">
        <f>+'Sys INPUT'!Z16-Z227-Z230+Z287+Z290</f>
        <v>0</v>
      </c>
      <c r="AA16" s="1">
        <f>+'Sys INPUT'!AA16-AA227-AA230+AA287+AA290</f>
        <v>0</v>
      </c>
      <c r="AB16" s="1">
        <f>+'Sys INPUT'!AB16-AB227-AB230+AB287+AB290</f>
        <v>108</v>
      </c>
      <c r="AC16" s="1">
        <f>+'Sys INPUT'!AC16-AC227-AC230+AC287+AC290</f>
        <v>0</v>
      </c>
      <c r="AD16" s="1">
        <f>+'Sys INPUT'!AD16-AD227-AD230+AD287+AD290</f>
        <v>0</v>
      </c>
      <c r="AE16" s="1">
        <f>+'Sys INPUT'!AE16-AE227-AE230+AE287+AE290</f>
        <v>0</v>
      </c>
      <c r="AF16" s="1">
        <f>+'Sys INPUT'!AF16-AF227-AF230+AF287+AF290</f>
        <v>0</v>
      </c>
      <c r="AG16" s="1">
        <f>+'Sys INPUT'!AG16-AG227-AG230+AG287+AG290</f>
        <v>0</v>
      </c>
      <c r="AH16" s="1">
        <f>+'Sys INPUT'!AH16-AH227-AH230+AH287+AH290</f>
        <v>9564</v>
      </c>
      <c r="AI16" s="1">
        <f>+'Sys INPUT'!AI16-AI227-AI230+AI287+AI290</f>
        <v>977</v>
      </c>
      <c r="AJ16" s="1">
        <f>+'Sys INPUT'!AJ16-AJ227-AJ230+AJ287+AJ290</f>
        <v>2070</v>
      </c>
      <c r="AK16" s="1">
        <f>+'Sys INPUT'!AK16-AK227-AK230+AK287+AK290</f>
        <v>234</v>
      </c>
      <c r="AL16" s="1">
        <f>+'Sys INPUT'!AL16-AL227-AL230+AL287+AL290</f>
        <v>2449</v>
      </c>
      <c r="AM16" s="1">
        <f>+'Sys INPUT'!AM16-AM227-AM230+AM287+AM290</f>
        <v>1624</v>
      </c>
      <c r="AN16" s="1">
        <f>+'Sys INPUT'!AN16-AN227-AN230+AN287+AN290</f>
        <v>0</v>
      </c>
      <c r="AO16" s="1">
        <f>+'Sys INPUT'!AO16-AO227-AO230+AO287+AO290</f>
        <v>0</v>
      </c>
      <c r="AP16" s="1">
        <f>+'Sys INPUT'!AP16-AP227-AP230+AP287+AP290</f>
        <v>66678</v>
      </c>
      <c r="AQ16" s="1">
        <f>+'Sys INPUT'!AQ16-AQ227-AQ230+AQ287+AQ290</f>
        <v>27901</v>
      </c>
      <c r="AR16" s="1">
        <f>+'Sys INPUT'!AR16-AR227-AR230+AR287+AR290</f>
        <v>0</v>
      </c>
      <c r="AS16" s="1">
        <f>+'Sys INPUT'!AS16-AS227-AS230+AS287+AS290</f>
        <v>0</v>
      </c>
      <c r="AT16" s="1">
        <f>+'Sys INPUT'!AT16-AT227-AT230+AT287+AT290</f>
        <v>0</v>
      </c>
      <c r="AU16" s="1">
        <f>+'Sys INPUT'!AU16-AU227-AU230+AU287+AU290</f>
        <v>0</v>
      </c>
      <c r="AV16" s="1">
        <f>+'Sys INPUT'!AV16-AV227-AV230+AV287+AV290</f>
        <v>0</v>
      </c>
      <c r="AW16" s="1"/>
      <c r="AX16" s="1">
        <f>+'Sys INPUT'!AX16-AX227-AX230+AX287+AX290</f>
        <v>0</v>
      </c>
      <c r="AY16" s="1">
        <f>+'Sys INPUT'!AY16-AY227-AY230+AY287+AY290</f>
        <v>0</v>
      </c>
      <c r="AZ16" s="1">
        <f>+'Sys INPUT'!AZ16-AZ227-AZ230+AZ287+AZ290</f>
        <v>0</v>
      </c>
      <c r="BA16" s="1">
        <f>+'Sys INPUT'!BA16-BA227-BA230+BA287+BA290</f>
        <v>0</v>
      </c>
      <c r="BB16" s="1">
        <f>+'Sys INPUT'!BB16-BB227-BB230+BB287+BB290</f>
        <v>0</v>
      </c>
      <c r="BC16" s="1">
        <f>+'Sys INPUT'!BC16-BC227-BC230+BC287+BC290</f>
        <v>214545</v>
      </c>
      <c r="BD16" s="1">
        <f>+'Sys INPUT'!BD16-BD227-BD230+BD287+BD290</f>
        <v>17652</v>
      </c>
      <c r="BE16" s="1"/>
      <c r="BF16" s="1">
        <f>SUM(E16:BE16)</f>
        <v>410712</v>
      </c>
      <c r="BG16" s="1">
        <f t="shared" si="6"/>
        <v>195834</v>
      </c>
      <c r="BH16" s="1">
        <f>+'Sys INPUT'!BH16-BH227-BH230+BH287+BH290</f>
        <v>0</v>
      </c>
      <c r="BI16" s="1">
        <f>+'Sys INPUT'!BI16-BI227-BI230+BI287+BI290</f>
        <v>14292</v>
      </c>
      <c r="BJ16" s="1">
        <f>+'Sys INPUT'!BJ16-BJ227-BJ230+BJ287+BJ290</f>
        <v>0</v>
      </c>
      <c r="BK16" s="1">
        <f>+'Sys INPUT'!BK16-BK227-BK230+BK287+BK290</f>
        <v>12653</v>
      </c>
      <c r="BL16" s="1">
        <f>+'Sys INPUT'!BL16-BL227-BL230+BL287+BL290</f>
        <v>1125</v>
      </c>
      <c r="BM16" s="1">
        <f>+'Sys INPUT'!BM16-BM227-BM230+BM287+BM290</f>
        <v>7284</v>
      </c>
      <c r="BN16" s="1">
        <f>+'Sys INPUT'!BN16-BN227-BN230+BN287+BN290</f>
        <v>2794</v>
      </c>
      <c r="BO16" s="1"/>
      <c r="BP16" s="1">
        <f t="shared" si="7"/>
        <v>38148</v>
      </c>
      <c r="BQ16" s="1"/>
      <c r="BR16" s="1">
        <f>+'Sys INPUT'!BR16-BR227-BR230+BR287+BR290</f>
        <v>556062</v>
      </c>
      <c r="BS16" s="1">
        <f>+'Sys INPUT'!BS16-BS227-BS230+BS287+BS290</f>
        <v>0</v>
      </c>
      <c r="BT16" s="1">
        <f>+'Sys INPUT'!BT16-BT227-BT230+BT287+BT290</f>
        <v>0</v>
      </c>
      <c r="BU16" s="1">
        <f>+'Sys INPUT'!BU16-BU227-BU230+BU287+BU290</f>
        <v>0</v>
      </c>
      <c r="BV16" s="1">
        <f>+'Sys INPUT'!BV16-BV227-BV230+BV287+BV290</f>
        <v>317</v>
      </c>
      <c r="BW16" s="1">
        <f>+'Sys INPUT'!BW16-BW227-BW230+BW287+BW290</f>
        <v>0</v>
      </c>
      <c r="BX16" s="3"/>
      <c r="BY16" s="1">
        <f t="shared" si="0"/>
        <v>556379</v>
      </c>
      <c r="BZ16" s="1">
        <f t="shared" si="8"/>
        <v>317</v>
      </c>
      <c r="CA16" s="1">
        <f t="shared" si="1"/>
        <v>213109</v>
      </c>
      <c r="CB16" s="1"/>
      <c r="CC16" s="42">
        <f>+'Sys INPUT'!CC16-CC227-CC230+CC287+CC290+0</f>
        <v>11854</v>
      </c>
      <c r="CD16" s="1">
        <f>+'Sys INPUT'!CD16-CD227-CD230+CD287+CD290</f>
        <v>583</v>
      </c>
      <c r="CE16" s="1">
        <f>+'Sys INPUT'!CE16-CE227-CE230+CE287+CE290</f>
        <v>1126</v>
      </c>
      <c r="CF16" s="1">
        <f>+'Sys INPUT'!CF16-CF227-CF230+CF287+CF290</f>
        <v>32023</v>
      </c>
      <c r="CG16" s="1">
        <f>+'Sys INPUT'!CG16-CG227-CG230+CG287+CG290</f>
        <v>132256</v>
      </c>
      <c r="CH16" s="1">
        <f>+'Sys INPUT'!CH16-CH227-CH230+CH287+CH290</f>
        <v>3622</v>
      </c>
      <c r="CI16" s="1"/>
      <c r="CJ16" s="1">
        <f t="shared" si="2"/>
        <v>181464</v>
      </c>
      <c r="CK16" s="1"/>
      <c r="CL16" s="1">
        <f>+'Sys INPUT'!CL16-CL229+CL289</f>
        <v>68501</v>
      </c>
      <c r="CM16" s="1136">
        <f>+'Sys INPUT'!CM16-CM229+CM289+8634</f>
        <v>20826</v>
      </c>
      <c r="CN16" s="1">
        <f>+'Sys INPUT'!CN16-CN229+CN289-0</f>
        <v>18060</v>
      </c>
      <c r="CO16" s="1">
        <f>+'Sys INPUT'!CO16-CO229+CO289-0</f>
        <v>2411</v>
      </c>
      <c r="CP16" s="1">
        <f>+'Sys INPUT'!CP16-CP229+CP289-0</f>
        <v>37985</v>
      </c>
      <c r="CQ16" s="1">
        <f>+'Sys INPUT'!CQ16-CQ229+CQ289-0</f>
        <v>20709</v>
      </c>
      <c r="CR16" s="1">
        <f>+'Sys INPUT'!CR16-CR229+CR289-0</f>
        <v>18291</v>
      </c>
      <c r="CS16" s="1"/>
      <c r="CT16" s="5"/>
      <c r="CU16" s="1">
        <f t="shared" si="3"/>
        <v>186783</v>
      </c>
      <c r="CW16" s="1">
        <f>'Sys INPUT'!CW16-CW227-CW230+CW287+CW290</f>
        <v>103765</v>
      </c>
      <c r="CX16" s="1">
        <f>'Sys INPUT'!CX16-CX227-CX230+CX287+CX290</f>
        <v>0</v>
      </c>
      <c r="CY16" s="1">
        <f>'Sys INPUT'!CY16-CY227-CY230+CY287+CY290</f>
        <v>1380</v>
      </c>
      <c r="CZ16" s="1">
        <f>'Sys INPUT'!CZ16-CZ227-CZ230+CZ287+CZ290</f>
        <v>0</v>
      </c>
      <c r="DA16" s="1">
        <f>'Sys INPUT'!DA16-DA227-DA230+DA287+DA290</f>
        <v>0</v>
      </c>
      <c r="DB16" s="1">
        <f>'Sys INPUT'!DB16-DB227-DB230+DB287+DB290</f>
        <v>0</v>
      </c>
      <c r="DC16" s="1">
        <f>'Sys INPUT'!DC16-DC227-DC230+DC287+DC290</f>
        <v>0</v>
      </c>
      <c r="DD16" s="1">
        <f>'Sys INPUT'!DD16-DD227-DD230+DD287+DD290</f>
        <v>0</v>
      </c>
      <c r="DE16" s="1">
        <f>'Sys INPUT'!DE16-DE227-DE230+DE287+DE290</f>
        <v>0</v>
      </c>
      <c r="DF16" s="1">
        <f>'Sys INPUT'!DF16-DF227-DF230+DF287+DF290</f>
        <v>0</v>
      </c>
      <c r="DG16" s="1">
        <f>'Sys INPUT'!DG16-DG227-DG230+DG287+DG290</f>
        <v>0</v>
      </c>
      <c r="DH16" s="1">
        <f>'Sys INPUT'!DH16-DH227-DH230+DH287+DH290</f>
        <v>0</v>
      </c>
      <c r="DI16" s="1">
        <f>'Sys INPUT'!DI16-DI227-DI230+DI287+DI290</f>
        <v>0</v>
      </c>
      <c r="DJ16" s="1">
        <f>'Sys INPUT'!DJ16-DJ227-DJ230+DJ287+DJ290</f>
        <v>0</v>
      </c>
      <c r="DK16" s="1">
        <f>'Sys INPUT'!DK16-DK227-DK230+DK287+DK290</f>
        <v>0</v>
      </c>
      <c r="DL16" s="1">
        <f>'Sys INPUT'!DL16-DL227-DL230+DL287+DL290</f>
        <v>0</v>
      </c>
      <c r="DM16" s="1">
        <f>'Sys INPUT'!DM16-DM227-DM230+DM287+DM290</f>
        <v>0</v>
      </c>
      <c r="DN16" s="1">
        <f>'Sys INPUT'!DN16-DN227-DN230+DN287+DN290</f>
        <v>0</v>
      </c>
      <c r="DO16" s="1">
        <f>'Sys INPUT'!DO16-DO227-DO230+DO287+DO290</f>
        <v>0</v>
      </c>
      <c r="DP16" s="1">
        <f>'Sys INPUT'!DP16-DP227-DP230+DP287+DP290</f>
        <v>429</v>
      </c>
      <c r="DQ16" s="1">
        <f>'Sys INPUT'!DQ16-DQ227-DQ230+DQ287+DQ290</f>
        <v>199584</v>
      </c>
      <c r="DR16" s="1">
        <f>'Sys INPUT'!DR16-DR227-DR230+DR287+DR290-DU16</f>
        <v>5385555</v>
      </c>
      <c r="DS16" s="1">
        <f>'Sys INPUT'!DS16-DS227-DS230+DS287+DS290</f>
        <v>144</v>
      </c>
      <c r="DT16" s="1">
        <f>'Sys INPUT'!DT16-DT227-DT230+DT287+DT290</f>
        <v>21961</v>
      </c>
      <c r="DU16">
        <f>+'FIDCH FDS'!Q17</f>
        <v>20075</v>
      </c>
      <c r="DW16" s="1">
        <f t="shared" si="9"/>
        <v>5712389</v>
      </c>
      <c r="DX16" s="1"/>
      <c r="DY16" s="1"/>
      <c r="DZ16" s="1"/>
      <c r="EB16" s="1">
        <f>+'Sys INPUT'!EC16-EB227-EB230+EB287+EB290</f>
        <v>0</v>
      </c>
      <c r="EC16" s="1"/>
      <c r="ED16" s="1"/>
      <c r="EE16" s="1"/>
      <c r="EF16" s="1">
        <f>+'Sys INPUT'!EG16-EF227-EF230+EF287+EF290</f>
        <v>16958</v>
      </c>
      <c r="EG16" s="1"/>
      <c r="EL16" s="32">
        <f>+'Sys INPUT'!HT16+'Sys INPUT'!HU16-EL227-EL230+EL287+EL290+0</f>
        <v>0</v>
      </c>
      <c r="EM16" s="1">
        <f>+'Sys INPUT'!HV16-EM227-EM230+EM287+EM290</f>
        <v>0</v>
      </c>
      <c r="EN16">
        <f t="shared" si="4"/>
        <v>11357095</v>
      </c>
      <c r="EQ16" s="32">
        <f>+'Sys INPUT'!AF16+'Sys INPUT'!ER16-EQ227-EQ230+EQ287+EQ290</f>
        <v>0</v>
      </c>
    </row>
    <row r="17" spans="1:147" ht="15.75">
      <c r="A17" s="1"/>
      <c r="B17" s="1"/>
      <c r="C17" s="1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f t="shared" si="6"/>
        <v>0</v>
      </c>
      <c r="BH17" s="1"/>
      <c r="BI17" s="1"/>
      <c r="BJ17" s="1"/>
      <c r="BK17" s="1"/>
      <c r="BL17" s="1"/>
      <c r="BM17" s="1"/>
      <c r="BN17" s="1"/>
      <c r="BO17" s="1"/>
      <c r="BP17" s="1"/>
      <c r="BQ17" s="1"/>
      <c r="BR17" s="1"/>
      <c r="BS17" s="1"/>
      <c r="BT17" s="1"/>
      <c r="BU17" s="1"/>
      <c r="BV17" s="1"/>
      <c r="BW17" s="1"/>
      <c r="BX17" s="3"/>
      <c r="BY17" s="1"/>
      <c r="BZ17" s="1">
        <f t="shared" si="8"/>
        <v>0</v>
      </c>
      <c r="CA17" s="1">
        <f t="shared" si="1"/>
        <v>0</v>
      </c>
      <c r="CB17" s="76"/>
      <c r="CC17" s="1"/>
      <c r="CD17" s="1"/>
      <c r="CE17" s="1"/>
      <c r="CF17" s="1"/>
      <c r="CG17" s="1"/>
      <c r="CH17" s="1"/>
      <c r="CI17" s="1"/>
      <c r="CJ17" s="1"/>
      <c r="CK17" s="1"/>
      <c r="CL17" s="1"/>
      <c r="CM17" s="1"/>
      <c r="CN17" s="1"/>
      <c r="CO17" s="1"/>
      <c r="CP17" s="1"/>
      <c r="CQ17" s="1"/>
      <c r="CR17" s="1"/>
      <c r="CS17" s="1"/>
      <c r="CT17" s="5"/>
      <c r="CU17" s="1"/>
      <c r="CW17" s="1"/>
      <c r="CX17" s="1"/>
      <c r="CY17" s="1"/>
      <c r="CZ17" s="1"/>
      <c r="DA17" s="1"/>
      <c r="DB17" s="1"/>
      <c r="DC17" s="1"/>
      <c r="DD17" s="1"/>
      <c r="DE17" s="1"/>
      <c r="DF17" s="1"/>
      <c r="DG17" s="1"/>
      <c r="DH17" s="1"/>
      <c r="DI17" s="1"/>
      <c r="DJ17" s="1"/>
      <c r="DK17" s="1"/>
      <c r="DL17" s="1"/>
      <c r="DM17" s="1"/>
      <c r="DN17" s="1"/>
      <c r="DO17" s="1"/>
      <c r="DP17" s="1"/>
      <c r="DQ17" s="1"/>
      <c r="DR17" s="1"/>
      <c r="DS17" s="1"/>
      <c r="DT17" s="1"/>
      <c r="DW17" s="1"/>
      <c r="DX17" s="1"/>
      <c r="DY17" s="1"/>
      <c r="DZ17" s="1"/>
      <c r="EB17" s="1"/>
      <c r="EC17" s="1"/>
      <c r="ED17" s="1"/>
      <c r="EE17" s="1"/>
      <c r="EF17" s="1"/>
      <c r="EG17" s="1"/>
      <c r="EL17" s="1"/>
      <c r="EM17" s="1"/>
      <c r="EQ17" s="1"/>
    </row>
    <row r="18" spans="1:147" ht="15.75">
      <c r="A18" s="1"/>
      <c r="B18" s="1" t="s">
        <v>1212</v>
      </c>
      <c r="C18" s="11"/>
      <c r="D18" s="1">
        <f>SUM(D10:D17)</f>
        <v>15532721</v>
      </c>
      <c r="E18" s="1">
        <f t="shared" ref="E18:BD18" si="10">SUM(E10:E17)</f>
        <v>1659938</v>
      </c>
      <c r="F18" s="1">
        <f t="shared" si="10"/>
        <v>18860</v>
      </c>
      <c r="G18" s="1">
        <f t="shared" si="10"/>
        <v>277470</v>
      </c>
      <c r="H18" s="1">
        <f t="shared" si="10"/>
        <v>407965</v>
      </c>
      <c r="I18" s="1">
        <f t="shared" si="10"/>
        <v>529769</v>
      </c>
      <c r="J18" s="1">
        <f t="shared" si="10"/>
        <v>4707532</v>
      </c>
      <c r="K18" s="1">
        <f t="shared" si="10"/>
        <v>1627</v>
      </c>
      <c r="L18" s="1">
        <f>SUM(L10:L17)</f>
        <v>24961</v>
      </c>
      <c r="M18" s="1">
        <f t="shared" si="10"/>
        <v>2169237</v>
      </c>
      <c r="N18" s="1">
        <f>SUM(N10:N17)</f>
        <v>175236</v>
      </c>
      <c r="O18" s="1">
        <f t="shared" si="10"/>
        <v>18981</v>
      </c>
      <c r="P18" s="1">
        <f t="shared" si="10"/>
        <v>0</v>
      </c>
      <c r="Q18" s="1">
        <f t="shared" si="10"/>
        <v>1577208</v>
      </c>
      <c r="R18" s="1">
        <f t="shared" si="10"/>
        <v>478392</v>
      </c>
      <c r="S18" s="1">
        <f t="shared" si="10"/>
        <v>906847</v>
      </c>
      <c r="T18" s="1">
        <f t="shared" si="10"/>
        <v>19</v>
      </c>
      <c r="U18" s="1">
        <f t="shared" si="10"/>
        <v>2511187</v>
      </c>
      <c r="V18" s="1">
        <f t="shared" si="10"/>
        <v>182843</v>
      </c>
      <c r="W18" s="1">
        <f t="shared" si="10"/>
        <v>233635</v>
      </c>
      <c r="X18" s="1">
        <f t="shared" si="10"/>
        <v>14645818</v>
      </c>
      <c r="Y18" s="1">
        <f t="shared" si="10"/>
        <v>0</v>
      </c>
      <c r="Z18" s="1">
        <f t="shared" si="10"/>
        <v>299964</v>
      </c>
      <c r="AA18" s="1">
        <f t="shared" si="10"/>
        <v>94970</v>
      </c>
      <c r="AB18" s="1">
        <f>SUM(AB10:AB17)</f>
        <v>4835257</v>
      </c>
      <c r="AC18" s="1">
        <f t="shared" si="10"/>
        <v>43710</v>
      </c>
      <c r="AD18" s="1">
        <f t="shared" si="10"/>
        <v>33441</v>
      </c>
      <c r="AE18" s="1">
        <f t="shared" si="10"/>
        <v>41954</v>
      </c>
      <c r="AF18" s="1">
        <f t="shared" si="10"/>
        <v>94</v>
      </c>
      <c r="AG18" s="1">
        <f t="shared" si="10"/>
        <v>18709</v>
      </c>
      <c r="AH18" s="1">
        <f t="shared" si="10"/>
        <v>9564</v>
      </c>
      <c r="AI18" s="1">
        <f t="shared" si="10"/>
        <v>977</v>
      </c>
      <c r="AJ18" s="1">
        <f t="shared" si="10"/>
        <v>2070</v>
      </c>
      <c r="AK18" s="1">
        <f t="shared" ref="AK18:AQ18" si="11">SUM(AK10:AK17)</f>
        <v>28855</v>
      </c>
      <c r="AL18" s="1">
        <f t="shared" si="11"/>
        <v>186896</v>
      </c>
      <c r="AM18" s="1">
        <f t="shared" si="11"/>
        <v>16578</v>
      </c>
      <c r="AN18" s="1">
        <f t="shared" si="11"/>
        <v>27243</v>
      </c>
      <c r="AO18" s="1">
        <f t="shared" si="11"/>
        <v>0</v>
      </c>
      <c r="AP18" s="1">
        <f t="shared" si="11"/>
        <v>66678</v>
      </c>
      <c r="AQ18" s="1">
        <f t="shared" si="11"/>
        <v>175320</v>
      </c>
      <c r="AR18" s="1">
        <f t="shared" si="10"/>
        <v>211080</v>
      </c>
      <c r="AS18" s="1">
        <f t="shared" si="10"/>
        <v>272779</v>
      </c>
      <c r="AT18" s="1">
        <f>SUM(AT10:AT17)</f>
        <v>338610</v>
      </c>
      <c r="AU18" s="1">
        <f t="shared" si="10"/>
        <v>249698</v>
      </c>
      <c r="AV18" s="1">
        <f t="shared" si="10"/>
        <v>0</v>
      </c>
      <c r="AW18" s="1"/>
      <c r="AX18" s="1">
        <f t="shared" si="10"/>
        <v>100801</v>
      </c>
      <c r="AY18" s="1">
        <f t="shared" si="10"/>
        <v>0</v>
      </c>
      <c r="AZ18" s="1">
        <f t="shared" si="10"/>
        <v>24352</v>
      </c>
      <c r="BA18" s="1">
        <f t="shared" si="10"/>
        <v>104225</v>
      </c>
      <c r="BB18" s="1">
        <f t="shared" si="10"/>
        <v>2480548</v>
      </c>
      <c r="BC18" s="1">
        <f>SUM(BC10:BC17)</f>
        <v>1959517</v>
      </c>
      <c r="BD18" s="1">
        <f t="shared" si="10"/>
        <v>17652</v>
      </c>
      <c r="BE18" s="1"/>
      <c r="BF18" s="1">
        <f t="shared" ref="BF18:BN18" si="12">SUM(BF10:BF17)</f>
        <v>42169067</v>
      </c>
      <c r="BG18" s="1">
        <f>SUM(BG10:BG17)</f>
        <v>23083184</v>
      </c>
      <c r="BH18" s="1">
        <f t="shared" si="12"/>
        <v>112309</v>
      </c>
      <c r="BI18" s="1">
        <f>SUM(BI10:BI17)</f>
        <v>961022</v>
      </c>
      <c r="BJ18" s="1">
        <f t="shared" si="12"/>
        <v>0</v>
      </c>
      <c r="BK18" s="1">
        <f t="shared" si="12"/>
        <v>12653</v>
      </c>
      <c r="BL18" s="1">
        <f>SUM(BL10:BL17)</f>
        <v>92882</v>
      </c>
      <c r="BM18" s="1">
        <f>SUM(BM10:BM17)</f>
        <v>651213</v>
      </c>
      <c r="BN18" s="1">
        <f t="shared" si="12"/>
        <v>131576</v>
      </c>
      <c r="BO18" s="1"/>
      <c r="BP18" s="1">
        <f t="shared" ref="BP18:BW18" si="13">SUM(BP10:BP17)</f>
        <v>1961655</v>
      </c>
      <c r="BQ18" s="1">
        <f>+BP18-BN18</f>
        <v>1830079</v>
      </c>
      <c r="BR18" s="1">
        <f t="shared" si="13"/>
        <v>642401</v>
      </c>
      <c r="BS18" s="1">
        <f t="shared" si="13"/>
        <v>0</v>
      </c>
      <c r="BT18" s="1">
        <f t="shared" si="13"/>
        <v>0</v>
      </c>
      <c r="BU18" s="1">
        <f t="shared" si="13"/>
        <v>0</v>
      </c>
      <c r="BV18" s="1">
        <f>SUM(BV10:BV17)</f>
        <v>317</v>
      </c>
      <c r="BW18" s="1">
        <f t="shared" si="13"/>
        <v>13370</v>
      </c>
      <c r="BX18" s="3"/>
      <c r="BY18" s="1">
        <f t="shared" ref="BY18:CH18" si="14">SUM(BY10:BY17)</f>
        <v>656088</v>
      </c>
      <c r="BZ18" s="1">
        <f t="shared" si="8"/>
        <v>13687</v>
      </c>
      <c r="CA18" s="1">
        <f t="shared" si="1"/>
        <v>24944960</v>
      </c>
      <c r="CB18" s="1"/>
      <c r="CC18" s="1">
        <f>SUM(CC10:CC17)</f>
        <v>1841473</v>
      </c>
      <c r="CD18" s="1">
        <f t="shared" si="14"/>
        <v>131295</v>
      </c>
      <c r="CE18" s="1">
        <f t="shared" si="14"/>
        <v>167503</v>
      </c>
      <c r="CF18" s="1">
        <f t="shared" si="14"/>
        <v>1434749</v>
      </c>
      <c r="CG18" s="1">
        <f t="shared" si="14"/>
        <v>1488521</v>
      </c>
      <c r="CH18" s="1">
        <f t="shared" si="14"/>
        <v>46984</v>
      </c>
      <c r="CI18" s="1"/>
      <c r="CJ18" s="1">
        <f t="shared" ref="CJ18:CR18" si="15">SUM(CJ10:CJ17)</f>
        <v>5110525</v>
      </c>
      <c r="CK18" s="1"/>
      <c r="CL18" s="1">
        <f t="shared" si="15"/>
        <v>1910866</v>
      </c>
      <c r="CM18" s="1">
        <f t="shared" si="15"/>
        <v>574291</v>
      </c>
      <c r="CN18" s="1">
        <f t="shared" si="15"/>
        <v>898288</v>
      </c>
      <c r="CO18" s="1">
        <f t="shared" si="15"/>
        <v>505505</v>
      </c>
      <c r="CP18" s="1">
        <f t="shared" si="15"/>
        <v>2823255</v>
      </c>
      <c r="CQ18" s="1">
        <f t="shared" si="15"/>
        <v>829936</v>
      </c>
      <c r="CR18" s="1">
        <f t="shared" si="15"/>
        <v>6760685</v>
      </c>
      <c r="CS18" s="1"/>
      <c r="CT18" s="5"/>
      <c r="CU18" s="1">
        <f>SUM(CU10:CU17)</f>
        <v>14302826</v>
      </c>
      <c r="CW18" s="1">
        <f>SUM(CW10:CW17)</f>
        <v>4416997</v>
      </c>
      <c r="CX18" s="1">
        <f t="shared" ref="CX18:DT18" si="16">SUM(CX10:CX17)</f>
        <v>0</v>
      </c>
      <c r="CY18" s="1">
        <f t="shared" si="16"/>
        <v>13055</v>
      </c>
      <c r="CZ18" s="1">
        <f t="shared" si="16"/>
        <v>0</v>
      </c>
      <c r="DA18" s="1">
        <f t="shared" si="16"/>
        <v>0</v>
      </c>
      <c r="DB18" s="1">
        <f t="shared" si="16"/>
        <v>554703</v>
      </c>
      <c r="DC18" s="1">
        <f t="shared" si="16"/>
        <v>215485</v>
      </c>
      <c r="DD18" s="1">
        <f t="shared" si="16"/>
        <v>0</v>
      </c>
      <c r="DE18" s="1">
        <f t="shared" si="16"/>
        <v>2117</v>
      </c>
      <c r="DF18" s="1">
        <f t="shared" si="16"/>
        <v>0</v>
      </c>
      <c r="DG18" s="1">
        <f t="shared" si="16"/>
        <v>151548</v>
      </c>
      <c r="DH18" s="1">
        <f t="shared" si="16"/>
        <v>0</v>
      </c>
      <c r="DI18" s="1">
        <f t="shared" si="16"/>
        <v>0</v>
      </c>
      <c r="DJ18" s="1">
        <f t="shared" si="16"/>
        <v>0</v>
      </c>
      <c r="DK18" s="1">
        <f t="shared" si="16"/>
        <v>0</v>
      </c>
      <c r="DL18" s="1">
        <f t="shared" si="16"/>
        <v>825294</v>
      </c>
      <c r="DM18" s="1">
        <f t="shared" si="16"/>
        <v>0</v>
      </c>
      <c r="DN18" s="1">
        <f t="shared" si="16"/>
        <v>168122</v>
      </c>
      <c r="DO18" s="1">
        <f t="shared" si="16"/>
        <v>0</v>
      </c>
      <c r="DP18" s="1">
        <f t="shared" si="16"/>
        <v>23554</v>
      </c>
      <c r="DQ18" s="1">
        <f t="shared" si="16"/>
        <v>4803813</v>
      </c>
      <c r="DR18" s="1">
        <f t="shared" si="16"/>
        <v>173136054</v>
      </c>
      <c r="DS18" s="1">
        <f t="shared" si="16"/>
        <v>30571737</v>
      </c>
      <c r="DT18" s="1">
        <f t="shared" si="16"/>
        <v>26913949</v>
      </c>
      <c r="DW18" s="1">
        <f>SUM(DW10:DW17)</f>
        <v>241621326</v>
      </c>
      <c r="DX18" s="1"/>
      <c r="DY18" s="1">
        <f>SUM(DY10:DY17)</f>
        <v>879061</v>
      </c>
      <c r="DZ18" s="1"/>
      <c r="EB18" s="1">
        <f>SUM(EB10:EB17)</f>
        <v>0</v>
      </c>
      <c r="EC18" s="1"/>
      <c r="ED18" s="1"/>
      <c r="EE18" s="1"/>
      <c r="EF18" s="1">
        <f>SUM(EF10:EF17)</f>
        <v>18010</v>
      </c>
      <c r="EG18" s="1"/>
      <c r="EL18" s="1">
        <f>SUM(EL10:EL17)</f>
        <v>0</v>
      </c>
      <c r="EM18" s="1">
        <f>SUM(EM10:EM17)</f>
        <v>0</v>
      </c>
      <c r="EN18">
        <f t="shared" ref="EN18:EN45" si="17">SUM(DE18:EM18)</f>
        <v>479114585</v>
      </c>
      <c r="EQ18" s="1">
        <f>SUM(EQ10:EQ17)</f>
        <v>94</v>
      </c>
    </row>
    <row r="19" spans="1:147" ht="15.75">
      <c r="A19" s="1"/>
      <c r="B19" s="1"/>
      <c r="C19" s="11"/>
      <c r="D19" s="1">
        <f>+D18+D46+D50+D54</f>
        <v>17603257</v>
      </c>
      <c r="E19" s="1">
        <f t="shared" ref="E19:O19" si="18">+E18+E46+E50+E54</f>
        <v>2387768</v>
      </c>
      <c r="F19" s="1">
        <f t="shared" si="18"/>
        <v>18860</v>
      </c>
      <c r="G19" s="1">
        <f t="shared" si="18"/>
        <v>277470</v>
      </c>
      <c r="H19" s="1">
        <f t="shared" si="18"/>
        <v>422411</v>
      </c>
      <c r="I19" s="1">
        <f t="shared" si="18"/>
        <v>535409</v>
      </c>
      <c r="J19" s="1">
        <f t="shared" si="18"/>
        <v>4919962</v>
      </c>
      <c r="K19" s="1">
        <f t="shared" si="18"/>
        <v>1627</v>
      </c>
      <c r="L19" s="1">
        <f>+L18+L46+L50+L54</f>
        <v>24961</v>
      </c>
      <c r="M19" s="1">
        <f t="shared" si="18"/>
        <v>2251595</v>
      </c>
      <c r="N19" s="1">
        <f>+N18+N46+N50+N54</f>
        <v>175236</v>
      </c>
      <c r="O19" s="1">
        <f t="shared" si="18"/>
        <v>58981</v>
      </c>
      <c r="P19" s="1"/>
      <c r="Q19" s="1">
        <f t="shared" ref="Q19:BB19" si="19">+Q18+Q46+Q50+Q54</f>
        <v>1577208</v>
      </c>
      <c r="R19" s="1">
        <f t="shared" si="19"/>
        <v>490612</v>
      </c>
      <c r="S19" s="1">
        <f t="shared" si="19"/>
        <v>950557</v>
      </c>
      <c r="T19" s="1">
        <f t="shared" si="19"/>
        <v>19</v>
      </c>
      <c r="U19" s="1">
        <f t="shared" si="19"/>
        <v>2946000</v>
      </c>
      <c r="V19" s="1">
        <f t="shared" si="19"/>
        <v>182843</v>
      </c>
      <c r="W19" s="1">
        <f t="shared" si="19"/>
        <v>239275</v>
      </c>
      <c r="X19" s="1">
        <f t="shared" si="19"/>
        <v>15245743</v>
      </c>
      <c r="Y19" s="1">
        <f t="shared" si="19"/>
        <v>342640</v>
      </c>
      <c r="Z19" s="1">
        <f t="shared" si="19"/>
        <v>349964</v>
      </c>
      <c r="AA19" s="1">
        <f t="shared" si="19"/>
        <v>100610</v>
      </c>
      <c r="AB19" s="1">
        <f>+AB18+AB46+AB50+AB54</f>
        <v>5037704</v>
      </c>
      <c r="AC19" s="1">
        <f t="shared" si="19"/>
        <v>43710</v>
      </c>
      <c r="AD19" s="1">
        <f t="shared" si="19"/>
        <v>33441</v>
      </c>
      <c r="AE19" s="1">
        <f t="shared" si="19"/>
        <v>41954</v>
      </c>
      <c r="AF19" s="1">
        <f t="shared" si="19"/>
        <v>94</v>
      </c>
      <c r="AG19" s="1">
        <f t="shared" si="19"/>
        <v>18709</v>
      </c>
      <c r="AH19" s="1">
        <f t="shared" si="19"/>
        <v>9564</v>
      </c>
      <c r="AI19" s="1">
        <f t="shared" si="19"/>
        <v>977</v>
      </c>
      <c r="AJ19" s="1">
        <f t="shared" si="19"/>
        <v>2070</v>
      </c>
      <c r="AK19" s="1">
        <f t="shared" si="19"/>
        <v>28855</v>
      </c>
      <c r="AL19" s="1">
        <f t="shared" ref="AL19:AQ19" si="20">+AL18+AL46+AL50+AL54</f>
        <v>186896</v>
      </c>
      <c r="AM19" s="1">
        <f t="shared" si="20"/>
        <v>16578</v>
      </c>
      <c r="AN19" s="1">
        <f t="shared" si="20"/>
        <v>27243</v>
      </c>
      <c r="AO19" s="1">
        <f t="shared" si="20"/>
        <v>0</v>
      </c>
      <c r="AP19" s="1">
        <f t="shared" si="20"/>
        <v>3281561</v>
      </c>
      <c r="AQ19" s="1">
        <f t="shared" si="20"/>
        <v>175320</v>
      </c>
      <c r="AR19" s="1">
        <f t="shared" si="19"/>
        <v>211080</v>
      </c>
      <c r="AS19" s="1">
        <f t="shared" si="19"/>
        <v>272779</v>
      </c>
      <c r="AT19" s="1">
        <f>+AT18+AT46+AT50+AT54</f>
        <v>351353</v>
      </c>
      <c r="AU19" s="1">
        <f t="shared" si="19"/>
        <v>255338</v>
      </c>
      <c r="AV19" s="1">
        <f t="shared" si="19"/>
        <v>0</v>
      </c>
      <c r="AW19" s="1"/>
      <c r="AX19" s="1">
        <f t="shared" si="19"/>
        <v>100801</v>
      </c>
      <c r="AY19" s="1">
        <f t="shared" si="19"/>
        <v>0</v>
      </c>
      <c r="AZ19" s="1">
        <f t="shared" si="19"/>
        <v>24352</v>
      </c>
      <c r="BA19" s="1">
        <f t="shared" si="19"/>
        <v>104225</v>
      </c>
      <c r="BB19" s="1">
        <f t="shared" si="19"/>
        <v>2480548</v>
      </c>
      <c r="BC19" s="1">
        <f>+BC18+BC46+BC50+BC54</f>
        <v>1970964</v>
      </c>
      <c r="BD19" s="1"/>
      <c r="BE19" s="1"/>
      <c r="BF19" s="1">
        <f>+BF18+BF46+BF54-P18-P46</f>
        <v>44978636</v>
      </c>
      <c r="BG19" s="1"/>
      <c r="BH19" s="1"/>
      <c r="BI19" s="1"/>
      <c r="BJ19" s="1"/>
      <c r="BK19" s="1"/>
      <c r="BL19" s="1"/>
      <c r="BM19" s="1"/>
      <c r="BN19" s="1"/>
      <c r="BO19" s="1"/>
      <c r="BP19" s="1">
        <f>+BP18+BP46+BP50</f>
        <v>1969630</v>
      </c>
      <c r="BQ19" s="1"/>
      <c r="BR19" s="1"/>
      <c r="BS19" s="1"/>
      <c r="BT19" s="1"/>
      <c r="BU19" s="1"/>
      <c r="BV19" s="1"/>
      <c r="BW19" s="1"/>
      <c r="BX19" s="3"/>
      <c r="BY19" s="1">
        <f>+BY18+BY46+BY50+BY54</f>
        <v>6457217</v>
      </c>
      <c r="BZ19" s="1">
        <f t="shared" si="8"/>
        <v>6457217</v>
      </c>
      <c r="CA19" s="1">
        <f t="shared" si="1"/>
        <v>6457217</v>
      </c>
      <c r="CB19" s="1"/>
      <c r="CC19" s="1">
        <f>+'Sys INPUT'!CC18-INPUT!CC232</f>
        <v>1826788</v>
      </c>
      <c r="CD19" s="1">
        <f>+'Sys INPUT'!CD18-INPUT!CD232</f>
        <v>125360</v>
      </c>
      <c r="CE19" s="1">
        <f>+'Sys INPUT'!CE18-INPUT!CE232</f>
        <v>145549</v>
      </c>
      <c r="CF19" s="1">
        <f>+'Sys INPUT'!CF18-INPUT!CF232</f>
        <v>1263977</v>
      </c>
      <c r="CG19" s="1">
        <f>+'Sys INPUT'!CG18-INPUT!CG232</f>
        <v>1382885</v>
      </c>
      <c r="CH19" s="1">
        <f>+'Sys INPUT'!CH18-INPUT!CH232</f>
        <v>43412</v>
      </c>
      <c r="CI19" s="1"/>
      <c r="CJ19" s="1">
        <f>+CJ18+CJ46</f>
        <v>5160607</v>
      </c>
      <c r="CK19" s="1"/>
      <c r="CL19" s="1">
        <f t="shared" ref="CL19:CR19" si="21">+CL18+CL46+CL50+CL54</f>
        <v>2466608</v>
      </c>
      <c r="CM19" s="1">
        <f t="shared" si="21"/>
        <v>574291</v>
      </c>
      <c r="CN19" s="1">
        <f t="shared" si="21"/>
        <v>898288</v>
      </c>
      <c r="CO19" s="1">
        <f t="shared" si="21"/>
        <v>505505</v>
      </c>
      <c r="CP19" s="1">
        <f t="shared" si="21"/>
        <v>2824390</v>
      </c>
      <c r="CQ19" s="1">
        <f t="shared" si="21"/>
        <v>929936</v>
      </c>
      <c r="CR19" s="1">
        <f t="shared" si="21"/>
        <v>8260685</v>
      </c>
      <c r="CS19" s="1"/>
      <c r="CT19" s="5"/>
      <c r="CU19" s="1">
        <f>+CU18+CU46+CU56</f>
        <v>16459703</v>
      </c>
      <c r="CW19" s="1"/>
      <c r="CX19" s="1"/>
      <c r="CY19" s="1"/>
      <c r="CZ19" s="1"/>
      <c r="DA19" s="1"/>
      <c r="DB19" s="1"/>
      <c r="DC19" s="1"/>
      <c r="DD19" s="1"/>
      <c r="DE19" s="1"/>
      <c r="DF19" s="1"/>
      <c r="DG19" s="1"/>
      <c r="DH19" s="1"/>
      <c r="DI19" s="1"/>
      <c r="DJ19" s="1"/>
      <c r="DK19" s="1"/>
      <c r="DL19" s="1"/>
      <c r="DM19" s="1"/>
      <c r="DN19" s="1"/>
      <c r="DO19" s="1"/>
      <c r="DP19" s="1"/>
      <c r="DQ19" s="1"/>
      <c r="DR19" s="1"/>
      <c r="DS19" s="1"/>
      <c r="DT19" s="1"/>
      <c r="DW19" s="1"/>
      <c r="DX19" s="1"/>
      <c r="DY19" s="1"/>
      <c r="DZ19" s="1"/>
      <c r="EB19" s="1"/>
      <c r="EC19" s="1"/>
      <c r="ED19" s="1"/>
      <c r="EE19" s="1"/>
      <c r="EF19" s="1"/>
      <c r="EG19" s="1"/>
      <c r="EL19" s="1"/>
      <c r="EM19" s="1"/>
      <c r="EN19">
        <f t="shared" si="17"/>
        <v>0</v>
      </c>
      <c r="EQ19" s="1"/>
    </row>
    <row r="20" spans="1:147" ht="15.75">
      <c r="A20" s="1"/>
      <c r="B20" s="7" t="s">
        <v>202</v>
      </c>
      <c r="C20" s="30"/>
      <c r="D20" s="1"/>
      <c r="E20" s="1"/>
      <c r="F20" s="1"/>
      <c r="G20" s="1"/>
      <c r="H20" s="1"/>
      <c r="I20" s="1"/>
      <c r="J20" s="1"/>
      <c r="K20" s="1"/>
      <c r="L20" s="1"/>
      <c r="M20" s="1"/>
      <c r="N20" s="1"/>
      <c r="O20" s="1">
        <f>SUM(E19:O19)</f>
        <v>11074280</v>
      </c>
      <c r="P20" s="1"/>
      <c r="Q20" s="1"/>
      <c r="R20" s="1"/>
      <c r="S20" s="1"/>
      <c r="T20" s="1"/>
      <c r="U20" s="1"/>
      <c r="V20" s="1"/>
      <c r="W20" s="1">
        <f>SUM(Q19:W19)</f>
        <v>6386514</v>
      </c>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f>SUM(Y19:BC19)</f>
        <v>15469330</v>
      </c>
      <c r="BD20" s="1"/>
      <c r="BE20" s="1"/>
      <c r="BF20" s="1"/>
      <c r="BG20" s="1"/>
      <c r="BH20" s="1"/>
      <c r="BI20" s="1"/>
      <c r="BJ20" s="1"/>
      <c r="BK20" s="1"/>
      <c r="BL20" s="1"/>
      <c r="BM20" s="1"/>
      <c r="BN20" s="1"/>
      <c r="BO20" s="1"/>
      <c r="BP20" s="1"/>
      <c r="BQ20" s="1"/>
      <c r="BR20" s="1"/>
      <c r="BS20" s="1"/>
      <c r="BT20" s="1"/>
      <c r="BU20" s="1"/>
      <c r="BV20" s="1"/>
      <c r="BW20" s="1"/>
      <c r="BX20" s="3"/>
      <c r="BY20" s="1"/>
      <c r="BZ20" s="1"/>
      <c r="CA20" s="1">
        <f t="shared" si="1"/>
        <v>0</v>
      </c>
      <c r="CB20" s="1"/>
      <c r="CC20" s="1"/>
      <c r="CD20" s="1"/>
      <c r="CE20" s="1"/>
      <c r="CF20" s="1"/>
      <c r="CG20" s="1"/>
      <c r="CH20" s="1"/>
      <c r="CI20" s="1"/>
      <c r="CJ20" s="1"/>
      <c r="CK20" s="1"/>
      <c r="CL20" s="1"/>
      <c r="CM20" s="1"/>
      <c r="CN20" s="1"/>
      <c r="CO20" s="1"/>
      <c r="CP20" s="1"/>
      <c r="CQ20" s="1"/>
      <c r="CR20" s="1"/>
      <c r="CS20" s="1"/>
      <c r="CT20" s="5"/>
      <c r="CU20" s="1"/>
      <c r="CW20" s="1"/>
      <c r="CX20" s="1"/>
      <c r="CY20" s="1"/>
      <c r="CZ20" s="1"/>
      <c r="DA20" s="1"/>
      <c r="DB20" s="1"/>
      <c r="DC20" s="1"/>
      <c r="DD20" s="1"/>
      <c r="DE20" s="1"/>
      <c r="DF20" s="1"/>
      <c r="DG20" s="1"/>
      <c r="DH20" s="1"/>
      <c r="DI20" s="1"/>
      <c r="DJ20" s="1"/>
      <c r="DK20" s="1"/>
      <c r="DL20" s="1"/>
      <c r="DM20" s="1"/>
      <c r="DN20" s="1"/>
      <c r="DO20" s="1"/>
      <c r="DP20" s="1"/>
      <c r="DQ20" s="1"/>
      <c r="DR20" s="1"/>
      <c r="DS20" s="1"/>
      <c r="DT20" s="1"/>
      <c r="DW20" s="1"/>
      <c r="DX20" s="1"/>
      <c r="DY20" s="1"/>
      <c r="DZ20" s="1"/>
      <c r="EB20" s="1">
        <f>+EB19-EB18</f>
        <v>0</v>
      </c>
      <c r="EC20" s="89" t="s">
        <v>1668</v>
      </c>
      <c r="ED20" s="1"/>
      <c r="EE20" s="1"/>
      <c r="EF20" s="1"/>
      <c r="EG20" s="1"/>
      <c r="EL20" s="1"/>
      <c r="EM20" s="1"/>
      <c r="EN20">
        <f t="shared" si="17"/>
        <v>0</v>
      </c>
      <c r="EQ20" s="1"/>
    </row>
    <row r="21" spans="1:147" ht="15.75">
      <c r="A21" s="1"/>
      <c r="B21" s="1" t="s">
        <v>203</v>
      </c>
      <c r="C21" s="11"/>
      <c r="D21" s="868" t="s">
        <v>2756</v>
      </c>
      <c r="E21" s="1"/>
      <c r="F21" s="1"/>
      <c r="G21" s="1"/>
      <c r="H21" s="1"/>
      <c r="I21" s="1"/>
      <c r="J21" s="1"/>
      <c r="K21" s="1"/>
      <c r="L21" s="1"/>
      <c r="M21" s="1"/>
      <c r="N21" s="1"/>
      <c r="O21" s="1"/>
      <c r="P21" s="1"/>
      <c r="Q21" s="1"/>
      <c r="R21" s="1"/>
      <c r="S21" s="1"/>
      <c r="T21" s="1"/>
      <c r="U21" s="1"/>
      <c r="V21" s="1"/>
      <c r="W21" s="1"/>
      <c r="X21" s="868" t="s">
        <v>2756</v>
      </c>
      <c r="Y21" s="1"/>
      <c r="Z21" s="1"/>
      <c r="AA21" s="1"/>
      <c r="AB21" s="1"/>
      <c r="AC21" s="1"/>
      <c r="AD21" s="1"/>
      <c r="AE21" s="1"/>
      <c r="AF21" s="1"/>
      <c r="AG21" s="1"/>
      <c r="AH21" s="1"/>
      <c r="AI21" s="1">
        <f>+'Sys INPUT'!AI21-AI235+AI253+AI295-AI313</f>
        <v>0</v>
      </c>
      <c r="AJ21" s="1">
        <f>+'Sys INPUT'!AJ21-AJ235+AJ253+AJ295-AJ313</f>
        <v>0</v>
      </c>
      <c r="AK21" s="1"/>
      <c r="AL21" s="1"/>
      <c r="AM21" s="1"/>
      <c r="AN21" s="1"/>
      <c r="AO21" s="1"/>
      <c r="AP21" s="1"/>
      <c r="AQ21" s="1"/>
      <c r="AR21" s="1"/>
      <c r="AS21" s="1"/>
      <c r="AT21" s="1"/>
      <c r="AU21" s="1"/>
      <c r="AV21" s="1"/>
      <c r="AW21" s="1"/>
      <c r="AX21" s="1"/>
      <c r="AY21" s="1"/>
      <c r="AZ21" s="1"/>
      <c r="BA21" s="868" t="s">
        <v>2756</v>
      </c>
      <c r="BB21" s="1"/>
      <c r="BC21" s="1"/>
      <c r="BD21" s="1"/>
      <c r="BE21" s="1"/>
      <c r="BF21" s="1"/>
      <c r="BG21" s="1"/>
      <c r="BH21" s="1"/>
      <c r="BI21" s="1"/>
      <c r="BJ21" s="1"/>
      <c r="BK21" s="1"/>
      <c r="BL21" s="1"/>
      <c r="BM21" s="1"/>
      <c r="BN21" s="1"/>
      <c r="BO21" s="1"/>
      <c r="BP21" s="1"/>
      <c r="BQ21" s="1"/>
      <c r="BR21" s="868" t="s">
        <v>2756</v>
      </c>
      <c r="BS21" s="141"/>
      <c r="BT21" s="141"/>
      <c r="BU21" s="141"/>
      <c r="BV21" s="141"/>
      <c r="BW21" s="141"/>
      <c r="BX21" s="3"/>
      <c r="BY21" s="1"/>
      <c r="BZ21" s="1"/>
      <c r="CA21" s="1">
        <f t="shared" si="1"/>
        <v>0</v>
      </c>
      <c r="CB21" s="1"/>
      <c r="CC21" s="1"/>
      <c r="CD21" s="1"/>
      <c r="CE21" s="1"/>
      <c r="CF21" s="1"/>
      <c r="CG21" s="1"/>
      <c r="CH21" s="1"/>
      <c r="CI21" s="1"/>
      <c r="CJ21" s="1"/>
      <c r="CK21" s="1"/>
      <c r="CL21" s="1"/>
      <c r="CM21" s="1"/>
      <c r="CN21" s="1"/>
      <c r="CO21" s="1"/>
      <c r="CP21" s="1"/>
      <c r="CQ21" s="1"/>
      <c r="CR21" s="1"/>
      <c r="CS21" s="1"/>
      <c r="CT21" s="5"/>
      <c r="CU21" s="1"/>
      <c r="CW21" s="1"/>
      <c r="CX21" s="1"/>
      <c r="CY21" s="1"/>
      <c r="CZ21" s="1"/>
      <c r="DA21" s="1"/>
      <c r="DB21" s="1"/>
      <c r="DC21" s="1"/>
      <c r="DD21" s="1"/>
      <c r="DE21" s="1"/>
      <c r="DF21" s="1"/>
      <c r="DG21" s="1"/>
      <c r="DH21" s="1"/>
      <c r="DI21" s="1"/>
      <c r="DJ21" s="1"/>
      <c r="DK21" s="1"/>
      <c r="DL21" s="1"/>
      <c r="DM21" s="1"/>
      <c r="DN21" s="1"/>
      <c r="DO21" s="1"/>
      <c r="DP21" s="1"/>
      <c r="DQ21" s="1"/>
      <c r="DR21" s="1"/>
      <c r="DS21" s="1"/>
      <c r="DT21" s="1"/>
      <c r="DW21" s="1"/>
      <c r="DX21" s="1"/>
      <c r="DY21" s="1"/>
      <c r="DZ21" s="1"/>
      <c r="EB21" s="1"/>
      <c r="EC21" s="1"/>
      <c r="ED21" s="1"/>
      <c r="EE21" s="1"/>
      <c r="EF21" s="1"/>
      <c r="EG21" s="1"/>
      <c r="EL21" s="1"/>
      <c r="EM21" s="1"/>
      <c r="EN21">
        <f t="shared" si="17"/>
        <v>0</v>
      </c>
      <c r="EQ21" s="1"/>
    </row>
    <row r="22" spans="1:147" ht="15.75">
      <c r="A22" s="1"/>
      <c r="B22" s="1" t="s">
        <v>204</v>
      </c>
      <c r="C22" s="11"/>
      <c r="D22" s="1004">
        <f>+'Sys INPUT'!D22-D236+D296-60000-46603-30900-63289-26596-32670</f>
        <v>9903359</v>
      </c>
      <c r="E22" s="1"/>
      <c r="F22" s="1"/>
      <c r="G22" s="1"/>
      <c r="H22" s="1"/>
      <c r="I22" s="1"/>
      <c r="J22" s="1"/>
      <c r="K22" s="1"/>
      <c r="L22" s="1"/>
      <c r="M22" s="1">
        <f>+'Sys INPUT'!M22-M236+M296+0</f>
        <v>1747791</v>
      </c>
      <c r="N22" s="1"/>
      <c r="O22" s="1"/>
      <c r="P22" s="1"/>
      <c r="Q22" s="1">
        <f>+'Sys INPUT'!Q22-Q236+Q296+0</f>
        <v>0</v>
      </c>
      <c r="R22" s="1"/>
      <c r="S22" s="1">
        <f>+'Sys INPUT'!S22-S236+S296-0</f>
        <v>1069681</v>
      </c>
      <c r="T22" s="1"/>
      <c r="U22" s="1"/>
      <c r="V22" s="1"/>
      <c r="W22" s="1"/>
      <c r="X22" s="1"/>
      <c r="Y22" s="1"/>
      <c r="Z22" s="1"/>
      <c r="AA22" s="1">
        <f>+'Sys INPUT'!AA22-AA236+AA296</f>
        <v>108245</v>
      </c>
      <c r="AB22" s="1">
        <f>+'Sys INPUT'!AB22-AB236+AB296</f>
        <v>0</v>
      </c>
      <c r="AC22" s="1"/>
      <c r="AD22" s="1"/>
      <c r="AE22" s="1">
        <f>+'Sys INPUT'!AE22-AE236+AE296</f>
        <v>0</v>
      </c>
      <c r="AF22" s="1">
        <f>+'Sys INPUT'!AF22-AF236+AF296</f>
        <v>0</v>
      </c>
      <c r="AG22" s="1">
        <f>+'Sys INPUT'!AG22-AG236+AG296</f>
        <v>73060</v>
      </c>
      <c r="AH22" s="1">
        <f>+'Sys INPUT'!AH22-AH236+AH296</f>
        <v>103446</v>
      </c>
      <c r="AI22" s="1">
        <f>+'Sys INPUT'!AI22-AI236+AI296</f>
        <v>0</v>
      </c>
      <c r="AJ22" s="1">
        <f>+'Sys INPUT'!AJ22-AJ236+AJ296</f>
        <v>0</v>
      </c>
      <c r="AK22" s="1">
        <f>+'Sys INPUT'!AK22-AK236+AK296</f>
        <v>0</v>
      </c>
      <c r="AL22" s="1">
        <f>+'Sys INPUT'!AL22-AL236+AL296</f>
        <v>0</v>
      </c>
      <c r="AM22" s="1">
        <f>+'Sys INPUT'!AM22-AM236+AM296</f>
        <v>0</v>
      </c>
      <c r="AN22" s="1">
        <f>+'Sys INPUT'!AN22-AN236+AN296</f>
        <v>0</v>
      </c>
      <c r="AO22" s="1">
        <f>+'Sys INPUT'!AO22-AO236+AO296</f>
        <v>0</v>
      </c>
      <c r="AP22" s="1">
        <f>+'Sys INPUT'!AP22-AP236+AP296</f>
        <v>2020387</v>
      </c>
      <c r="AQ22" s="1">
        <f>+'Sys INPUT'!AQ22-AQ236+AQ296</f>
        <v>0</v>
      </c>
      <c r="AR22" s="1"/>
      <c r="AS22" s="1"/>
      <c r="AT22" s="1"/>
      <c r="AU22" s="1004">
        <f>+'Sys INPUT'!AU22-AU236+AU296-27345</f>
        <v>222211</v>
      </c>
      <c r="AV22" s="1">
        <f>+'Sys INPUT'!AV22-AV236+AV296</f>
        <v>0</v>
      </c>
      <c r="AW22" s="1"/>
      <c r="AX22" s="1">
        <f>+'Sys INPUT'!AX22-AX236+AX296</f>
        <v>0</v>
      </c>
      <c r="AY22" s="1">
        <f>+'Sys INPUT'!AY22-AY236+AY296</f>
        <v>0</v>
      </c>
      <c r="AZ22" s="1">
        <f>+'Sys INPUT'!AZ22-AZ236+AZ296</f>
        <v>0</v>
      </c>
      <c r="BA22" s="1">
        <f>+'Sys INPUT'!BA22-BA236+BA296</f>
        <v>0</v>
      </c>
      <c r="BB22" s="1">
        <f>+'Sys INPUT'!BB22-BB236+BB296</f>
        <v>1306820</v>
      </c>
      <c r="BC22" s="1">
        <f>+'Sys INPUT'!BC22-BC236+BC296</f>
        <v>0</v>
      </c>
      <c r="BD22" s="1"/>
      <c r="BE22" s="1"/>
      <c r="BF22" s="1">
        <f>SUM(E22:BE22)</f>
        <v>6651641</v>
      </c>
      <c r="BG22" s="1">
        <f t="shared" ref="BG22:BG40" si="22">+BF22-X22-P22-BB22-BC22</f>
        <v>5344821</v>
      </c>
      <c r="BH22" s="1"/>
      <c r="BI22" s="1"/>
      <c r="BJ22" s="1"/>
      <c r="BK22" s="1"/>
      <c r="BL22" s="1"/>
      <c r="BM22" s="1"/>
      <c r="BN22" s="1">
        <f>+'Sys INPUT'!BN22-BN236+BN254+BN296-BN314</f>
        <v>0</v>
      </c>
      <c r="BO22" s="1"/>
      <c r="BP22" s="1">
        <f>SUM(BH22:BN22)</f>
        <v>0</v>
      </c>
      <c r="BQ22" s="1"/>
      <c r="BR22" s="141">
        <f>+'Sys INPUT'!BR22-BR236+BR296-609327</f>
        <v>328652</v>
      </c>
      <c r="BS22" s="1">
        <f>+'Sys INPUT'!BS22-BS236+BS296+0</f>
        <v>0</v>
      </c>
      <c r="BT22" s="1">
        <f>+'Sys INPUT'!BT22-BT236+BT296+0</f>
        <v>0</v>
      </c>
      <c r="BU22" s="1">
        <f>+'Sys INPUT'!BU22-BU236+BU296-0</f>
        <v>0</v>
      </c>
      <c r="BV22" s="1">
        <f>+'Sys INPUT'!BV22-BV236+BV296-0</f>
        <v>0</v>
      </c>
      <c r="BW22" s="1">
        <f>+'Sys INPUT'!BW22-BW236+BW296+0</f>
        <v>0</v>
      </c>
      <c r="BX22" s="3"/>
      <c r="BY22" s="1">
        <f t="shared" ref="BY22:BY29" si="23">SUM(BR22:BX22)</f>
        <v>328652</v>
      </c>
      <c r="BZ22" s="1">
        <f t="shared" ref="BZ22:BZ39" si="24">+BY22-BR22</f>
        <v>0</v>
      </c>
      <c r="CA22" s="1">
        <f t="shared" si="1"/>
        <v>5344821</v>
      </c>
      <c r="CB22" s="1"/>
      <c r="CC22" s="1"/>
      <c r="CD22" s="1"/>
      <c r="CE22" s="1"/>
      <c r="CF22" s="1"/>
      <c r="CG22" s="1"/>
      <c r="CH22" s="1"/>
      <c r="CI22" s="1"/>
      <c r="CJ22" s="1">
        <f t="shared" ref="CJ22:CJ29" si="25">SUM(CB22:CI22)</f>
        <v>0</v>
      </c>
      <c r="CK22" s="1"/>
      <c r="CL22" s="1"/>
      <c r="CM22" s="1"/>
      <c r="CN22" s="1"/>
      <c r="CO22" s="1"/>
      <c r="CP22" s="1"/>
      <c r="CQ22" s="1"/>
      <c r="CR22" s="1"/>
      <c r="CS22" s="1"/>
      <c r="CT22" s="5"/>
      <c r="CU22" s="1">
        <f t="shared" ref="CU22:CU29" si="26">SUM(CL22:CT22)</f>
        <v>0</v>
      </c>
      <c r="CW22" s="1"/>
      <c r="CX22" s="1"/>
      <c r="CY22" s="1"/>
      <c r="CZ22" s="1"/>
      <c r="DA22" s="1"/>
      <c r="DB22" s="1"/>
      <c r="DC22" s="1"/>
      <c r="DD22" s="1"/>
      <c r="DE22" s="1"/>
      <c r="DF22" s="1"/>
      <c r="DG22" s="1"/>
      <c r="DH22" s="1"/>
      <c r="DI22" s="1"/>
      <c r="DJ22" s="1"/>
      <c r="DK22" s="1"/>
      <c r="DL22" s="1"/>
      <c r="DM22" s="1"/>
      <c r="DN22" s="1"/>
      <c r="DO22" s="1"/>
      <c r="DP22" s="1"/>
      <c r="DQ22" s="1"/>
      <c r="DR22" s="1"/>
      <c r="DS22" s="1"/>
      <c r="DT22" s="1"/>
      <c r="DW22" s="1">
        <f t="shared" ref="DW22:DW39" si="27">+CW22+CY22+DB22+DC22+DD22+DE22+DJ22+DL22+DN22+DQ22+DR22+DS22+DT22</f>
        <v>0</v>
      </c>
      <c r="DX22" s="1"/>
      <c r="DY22" s="1"/>
      <c r="DZ22" s="1"/>
      <c r="EB22" s="1">
        <f>+EB23-EB25-EB34</f>
        <v>0</v>
      </c>
      <c r="EC22" s="89" t="s">
        <v>1669</v>
      </c>
      <c r="ED22" s="1"/>
      <c r="EE22" s="1"/>
      <c r="EF22" s="1"/>
      <c r="EG22" s="1"/>
      <c r="EL22" s="1"/>
      <c r="EM22" s="1"/>
      <c r="EN22">
        <f t="shared" si="17"/>
        <v>0</v>
      </c>
      <c r="EQ22" s="1"/>
    </row>
    <row r="23" spans="1:147" ht="15.75">
      <c r="A23" s="1"/>
      <c r="B23" s="1" t="s">
        <v>205</v>
      </c>
      <c r="C23" s="11"/>
      <c r="D23" s="1">
        <f>+'Sys INPUT'!D23-D237+D297</f>
        <v>121957</v>
      </c>
      <c r="E23" s="1"/>
      <c r="F23" s="1"/>
      <c r="G23" s="1"/>
      <c r="H23" s="1"/>
      <c r="I23" s="1">
        <f>+'Sys INPUT'!I23-I237+I297</f>
        <v>445112</v>
      </c>
      <c r="J23" s="1"/>
      <c r="K23" s="1"/>
      <c r="L23" s="1"/>
      <c r="M23" s="1">
        <f>+'Sys INPUT'!M23-M237+M297-0</f>
        <v>367475</v>
      </c>
      <c r="N23" s="1">
        <f>+'Sys INPUT'!N23-N237+N297-0</f>
        <v>101961</v>
      </c>
      <c r="O23" s="1"/>
      <c r="P23" s="1"/>
      <c r="Q23" s="1"/>
      <c r="R23" s="1"/>
      <c r="S23" s="1"/>
      <c r="T23" s="1">
        <f>+'Sys INPUT'!T23-T237+T297</f>
        <v>0</v>
      </c>
      <c r="U23" s="1"/>
      <c r="V23" s="1"/>
      <c r="W23" s="1"/>
      <c r="X23" s="141">
        <f>+'Sys INPUT'!X23-X237+X297-0</f>
        <v>13363543</v>
      </c>
      <c r="Y23" s="1004">
        <f>+'Sys INPUT'!Y23-Y237+Y297-0</f>
        <v>302307</v>
      </c>
      <c r="Z23" s="1">
        <f>+'Sys INPUT'!Z23-Z237+Z255+Z297-Z315</f>
        <v>296998</v>
      </c>
      <c r="AA23" s="1"/>
      <c r="AB23" s="1">
        <f>+'Sys INPUT'!AB23-AB237+AB297</f>
        <v>4400455</v>
      </c>
      <c r="AC23" s="1"/>
      <c r="AD23" s="1"/>
      <c r="AE23" s="1">
        <f>+'Sys INPUT'!AE23-AE237+AE255+AE297-AE315</f>
        <v>0</v>
      </c>
      <c r="AF23" s="1"/>
      <c r="AG23" s="1"/>
      <c r="AH23" s="1"/>
      <c r="AI23" s="1">
        <f>+'Sys INPUT'!AI23-AI237+AI297</f>
        <v>0</v>
      </c>
      <c r="AJ23" s="1">
        <f>+'Sys INPUT'!AJ23-AJ237+AJ297</f>
        <v>0</v>
      </c>
      <c r="AK23" s="1">
        <f>+'Sys INPUT'!AK23-AK237+AK297</f>
        <v>0</v>
      </c>
      <c r="AL23" s="1">
        <f>+'Sys INPUT'!AL23-AL237+AL297</f>
        <v>0</v>
      </c>
      <c r="AM23" s="1">
        <f>+'Sys INPUT'!AM23-AM237+AM297</f>
        <v>0</v>
      </c>
      <c r="AN23" s="1">
        <f>+'Sys INPUT'!AN23-AN237+AN297</f>
        <v>0</v>
      </c>
      <c r="AO23" s="1">
        <f>+'Sys INPUT'!AO23-AO237+AO297</f>
        <v>0</v>
      </c>
      <c r="AP23" s="1">
        <f>+'Sys INPUT'!AP23-AP237+AP297</f>
        <v>0</v>
      </c>
      <c r="AQ23" s="1"/>
      <c r="AR23" s="1"/>
      <c r="AS23" s="1"/>
      <c r="AT23" s="1"/>
      <c r="AU23" s="1"/>
      <c r="AV23" s="1">
        <f>+'Sys INPUT'!AV23-AV237+AV255+AV297-AV315</f>
        <v>22045</v>
      </c>
      <c r="AW23" s="1"/>
      <c r="AX23" s="1">
        <f>+'Sys INPUT'!AX23-AX237+AX255+AX297-AX315</f>
        <v>50045</v>
      </c>
      <c r="AY23" s="1"/>
      <c r="AZ23" s="1"/>
      <c r="BA23" s="1">
        <f>+'Sys INPUT'!BA23-BA237+BA255+BA297-BA315+0</f>
        <v>87008</v>
      </c>
      <c r="BB23" s="141">
        <f>+'Sys INPUT'!BB23-BB237+BB255+BB297-BB315+37050</f>
        <v>830620</v>
      </c>
      <c r="BC23" s="1"/>
      <c r="BD23" s="1"/>
      <c r="BE23" s="1"/>
      <c r="BF23" s="1">
        <f>SUM(E23:BE23)</f>
        <v>20267569</v>
      </c>
      <c r="BG23" s="1">
        <f t="shared" si="22"/>
        <v>6073406</v>
      </c>
      <c r="BH23" s="1"/>
      <c r="BI23" s="1"/>
      <c r="BJ23" s="1"/>
      <c r="BK23" s="1"/>
      <c r="BL23" s="1"/>
      <c r="BM23" s="1"/>
      <c r="BN23" s="1">
        <f>+'Sys INPUT'!BN23-BN237+BN255+BN297-BN315</f>
        <v>0</v>
      </c>
      <c r="BO23" s="1"/>
      <c r="BP23" s="1">
        <f t="shared" ref="BP23:BP40" si="28">SUM(BH23:BN23)</f>
        <v>0</v>
      </c>
      <c r="BQ23" s="1"/>
      <c r="BR23" s="1">
        <f>+'Sys INPUT'!BR23-BR237+BR297-0</f>
        <v>248609</v>
      </c>
      <c r="BS23" s="1">
        <f>+'Sys INPUT'!BS23-BS237+BS297</f>
        <v>0</v>
      </c>
      <c r="BT23" s="1">
        <f>+'Sys INPUT'!BT23-BT237+BT297</f>
        <v>0</v>
      </c>
      <c r="BU23" s="1">
        <f>+'Sys INPUT'!BU23-BU237+BU297</f>
        <v>0</v>
      </c>
      <c r="BV23" s="141">
        <f>+'Sys INPUT'!BV23-BV237+BV297-0</f>
        <v>2416</v>
      </c>
      <c r="BW23" s="1">
        <f>+'Sys INPUT'!BW23-BW237+BW297</f>
        <v>0</v>
      </c>
      <c r="BX23" s="3"/>
      <c r="BY23" s="1">
        <f t="shared" si="23"/>
        <v>251025</v>
      </c>
      <c r="BZ23" s="1">
        <f t="shared" si="24"/>
        <v>2416</v>
      </c>
      <c r="CA23" s="1">
        <f t="shared" si="1"/>
        <v>6075822</v>
      </c>
      <c r="CB23" s="1"/>
      <c r="CC23" s="1"/>
      <c r="CD23" s="1"/>
      <c r="CE23" s="1"/>
      <c r="CF23" s="1"/>
      <c r="CG23" s="1"/>
      <c r="CH23" s="1"/>
      <c r="CI23" s="1"/>
      <c r="CJ23" s="1">
        <f t="shared" si="25"/>
        <v>0</v>
      </c>
      <c r="CK23" s="1"/>
      <c r="CL23" s="1"/>
      <c r="CM23" s="1"/>
      <c r="CN23" s="1"/>
      <c r="CO23" s="1"/>
      <c r="CP23" s="1"/>
      <c r="CQ23" s="1"/>
      <c r="CR23" s="1"/>
      <c r="CS23" s="1"/>
      <c r="CT23" s="5"/>
      <c r="CU23" s="1">
        <f t="shared" si="26"/>
        <v>0</v>
      </c>
      <c r="CW23" s="1"/>
      <c r="CX23" s="1"/>
      <c r="CY23" s="1"/>
      <c r="CZ23" s="1"/>
      <c r="DA23" s="1"/>
      <c r="DB23" s="1"/>
      <c r="DC23" s="1"/>
      <c r="DD23" s="1"/>
      <c r="DE23" s="1"/>
      <c r="DF23" s="1"/>
      <c r="DG23" s="1"/>
      <c r="DH23" s="1"/>
      <c r="DI23" s="1"/>
      <c r="DJ23" s="1"/>
      <c r="DK23" s="1"/>
      <c r="DL23" s="1"/>
      <c r="DM23" s="1"/>
      <c r="DN23" s="1"/>
      <c r="DO23" s="1"/>
      <c r="DP23" s="1"/>
      <c r="DQ23" s="1"/>
      <c r="DR23" s="1"/>
      <c r="DS23" s="1"/>
      <c r="DT23" s="1"/>
      <c r="DW23" s="1">
        <f t="shared" si="27"/>
        <v>0</v>
      </c>
      <c r="DX23" s="1"/>
      <c r="DY23" s="1"/>
      <c r="DZ23" s="1"/>
      <c r="EB23" s="89"/>
      <c r="EC23" s="1"/>
      <c r="ED23" s="1"/>
      <c r="EE23" s="1"/>
      <c r="EF23" s="1"/>
      <c r="EG23" s="1"/>
      <c r="EL23" s="1"/>
      <c r="EM23" s="1"/>
      <c r="EN23">
        <f t="shared" si="17"/>
        <v>0</v>
      </c>
      <c r="EQ23" s="1"/>
    </row>
    <row r="24" spans="1:147" ht="15.75">
      <c r="A24" s="1"/>
      <c r="B24" s="1" t="s">
        <v>206</v>
      </c>
      <c r="C24" s="11"/>
      <c r="D24" s="1">
        <f>+'Sys INPUT'!D24-D238+D256+D298-D316-0-0-0</f>
        <v>1985424</v>
      </c>
      <c r="E24" s="1"/>
      <c r="F24" s="1"/>
      <c r="G24" s="1"/>
      <c r="H24" s="1"/>
      <c r="I24" s="1"/>
      <c r="J24" s="1">
        <f>+'Sys INPUT'!J24-J238+J256+J298-J316</f>
        <v>2838047</v>
      </c>
      <c r="K24" s="1"/>
      <c r="L24" s="1"/>
      <c r="M24" s="1"/>
      <c r="N24" s="1"/>
      <c r="O24" s="1"/>
      <c r="P24" s="1"/>
      <c r="Q24" s="1"/>
      <c r="R24" s="1">
        <f>+'Sys INPUT'!R24-R238+R256+R298-R316</f>
        <v>307663</v>
      </c>
      <c r="S24" s="1"/>
      <c r="T24" s="1"/>
      <c r="U24" s="1"/>
      <c r="V24" s="1"/>
      <c r="W24" s="1"/>
      <c r="X24" s="1"/>
      <c r="Y24" s="1"/>
      <c r="Z24" s="1"/>
      <c r="AA24" s="1"/>
      <c r="AB24" s="1"/>
      <c r="AC24" s="1"/>
      <c r="AD24" s="1"/>
      <c r="AE24" s="1">
        <f>+'Sys INPUT'!AE24-AE238+AE256+AE298-AE316</f>
        <v>0</v>
      </c>
      <c r="AF24" s="1"/>
      <c r="AG24" s="1"/>
      <c r="AH24" s="1"/>
      <c r="AI24" s="1">
        <f>+'Sys INPUT'!AI24-AI238+AI298</f>
        <v>0</v>
      </c>
      <c r="AJ24" s="1">
        <f>+'Sys INPUT'!AJ24-AJ238+AJ298</f>
        <v>0</v>
      </c>
      <c r="AK24" s="1">
        <f>+'Sys INPUT'!AK24-AK238+AK298</f>
        <v>23112</v>
      </c>
      <c r="AL24" s="1">
        <f>+'Sys INPUT'!AL24-AL238+AL298</f>
        <v>204151</v>
      </c>
      <c r="AM24" s="1">
        <f>+'Sys INPUT'!AM24-AM238+AM298</f>
        <v>35072</v>
      </c>
      <c r="AN24" s="1">
        <f>+'Sys INPUT'!AN24-AN238+AN298</f>
        <v>0</v>
      </c>
      <c r="AO24" s="1">
        <f>+'Sys INPUT'!AO24-AO238+AO298</f>
        <v>0</v>
      </c>
      <c r="AP24" s="1">
        <f>+'Sys INPUT'!AP24-AP238+AP298</f>
        <v>0</v>
      </c>
      <c r="AQ24" s="1">
        <f>+'Sys INPUT'!AQ24-AQ238+AQ256+AQ298-AQ316</f>
        <v>0</v>
      </c>
      <c r="AR24" s="1"/>
      <c r="AS24" s="1">
        <f>+'Sys INPUT'!AS24-AS238+AS256+AS298-AS316</f>
        <v>187603</v>
      </c>
      <c r="AT24" s="1">
        <f>+'Sys INPUT'!AT24-AT238+AT256+AT298-AT316</f>
        <v>0</v>
      </c>
      <c r="AU24" s="1"/>
      <c r="AV24" s="1"/>
      <c r="AW24" s="1"/>
      <c r="AX24" s="1">
        <f>+'Sys INPUT'!AX24-AX238+AX256+AX298-AX316</f>
        <v>0</v>
      </c>
      <c r="AY24" s="1"/>
      <c r="AZ24" s="1">
        <f>+'Sys INPUT'!AZ24-AZ238+AZ256+AZ298-AZ316</f>
        <v>41093</v>
      </c>
      <c r="BA24" s="1">
        <f>+'Sys INPUT'!BA24-BA238+BA256+BA298-BA316</f>
        <v>0</v>
      </c>
      <c r="BB24" s="1">
        <f>+'Sys INPUT'!BB24-BB238+BB256+BB298-BB316</f>
        <v>1800</v>
      </c>
      <c r="BC24" s="1">
        <f>+'Sys INPUT'!BC24-BC238+BC256+BC298-BC316-0</f>
        <v>923968</v>
      </c>
      <c r="BD24" s="1"/>
      <c r="BE24" s="1"/>
      <c r="BF24" s="1">
        <f t="shared" ref="BF24:BF28" si="29">SUM(E24:BE24)</f>
        <v>4562509</v>
      </c>
      <c r="BG24" s="1">
        <f t="shared" si="22"/>
        <v>3636741</v>
      </c>
      <c r="BH24" s="1">
        <f>+'Sys INPUT'!BH24-BH238+BH256+BH298-BH316</f>
        <v>0</v>
      </c>
      <c r="BI24" s="1">
        <f>+'Sys INPUT'!BI24-BI238+BI256+BI298-BI316</f>
        <v>0</v>
      </c>
      <c r="BJ24" s="1">
        <f>+'Sys INPUT'!BJ24-BJ238+BJ256+BJ298-BJ316</f>
        <v>0</v>
      </c>
      <c r="BK24" s="1">
        <f>+'Sys INPUT'!BK24-BK238+BK256+BK298-BK316</f>
        <v>0</v>
      </c>
      <c r="BL24" s="1">
        <f>+'Sys INPUT'!BL24-BL238+BL256+BL298-BL316</f>
        <v>0</v>
      </c>
      <c r="BM24" s="1">
        <f>+'Sys INPUT'!BM24-BM238+BM256+BM298-BM316</f>
        <v>0</v>
      </c>
      <c r="BN24" s="1">
        <f>+'Sys INPUT'!BN24-BN238+BN256+BN298-BN316</f>
        <v>0</v>
      </c>
      <c r="BO24" s="1"/>
      <c r="BP24" s="1">
        <f t="shared" si="28"/>
        <v>0</v>
      </c>
      <c r="BQ24" s="1"/>
      <c r="BR24" s="141">
        <f>+'Sys INPUT'!BR24-BR238+BR298-216387-277951+72</f>
        <v>274932</v>
      </c>
      <c r="BS24" s="1">
        <f>+'Sys INPUT'!BS24-BS238+BS298-0+0</f>
        <v>0</v>
      </c>
      <c r="BT24" s="141">
        <f>+'Sys INPUT'!BT24-BT238+BT298-387324</f>
        <v>86605</v>
      </c>
      <c r="BU24" s="1">
        <f>+'Sys INPUT'!BU24-BU238+BU298+0</f>
        <v>0</v>
      </c>
      <c r="BV24" s="1">
        <f>+'Sys INPUT'!BV24-BV238+BV298+0</f>
        <v>0</v>
      </c>
      <c r="BW24" s="141">
        <f>+'Sys INPUT'!BW24-BW238+BW298-1281303+1130906-195610</f>
        <v>151695</v>
      </c>
      <c r="BX24" s="3"/>
      <c r="BY24" s="1">
        <f t="shared" si="23"/>
        <v>513232</v>
      </c>
      <c r="BZ24" s="1">
        <f t="shared" si="24"/>
        <v>238300</v>
      </c>
      <c r="CA24" s="1">
        <f t="shared" si="1"/>
        <v>3875041</v>
      </c>
      <c r="CB24" s="1"/>
      <c r="CC24" s="1"/>
      <c r="CD24" s="1"/>
      <c r="CE24" s="1"/>
      <c r="CF24" s="1"/>
      <c r="CG24" s="1"/>
      <c r="CH24" s="1"/>
      <c r="CI24" s="1"/>
      <c r="CJ24" s="1">
        <f t="shared" si="25"/>
        <v>0</v>
      </c>
      <c r="CK24" s="1"/>
      <c r="CL24" s="1"/>
      <c r="CM24" s="1"/>
      <c r="CN24" s="1"/>
      <c r="CO24" s="1"/>
      <c r="CP24" s="1"/>
      <c r="CQ24" s="1"/>
      <c r="CR24" s="1"/>
      <c r="CS24" s="1"/>
      <c r="CT24" s="5"/>
      <c r="CU24" s="1">
        <f t="shared" si="26"/>
        <v>0</v>
      </c>
      <c r="CW24" s="1"/>
      <c r="CX24" s="1"/>
      <c r="CY24" s="1"/>
      <c r="CZ24" s="1"/>
      <c r="DA24" s="1"/>
      <c r="DB24" s="1"/>
      <c r="DC24" s="1"/>
      <c r="DD24" s="1"/>
      <c r="DE24" s="1"/>
      <c r="DF24" s="1"/>
      <c r="DG24" s="1"/>
      <c r="DH24" s="1"/>
      <c r="DI24" s="1"/>
      <c r="DJ24" s="1"/>
      <c r="DK24" s="1"/>
      <c r="DL24" s="1"/>
      <c r="DM24" s="1"/>
      <c r="DN24" s="1"/>
      <c r="DO24" s="1"/>
      <c r="DP24" s="1"/>
      <c r="DQ24" s="1"/>
      <c r="DR24" s="1"/>
      <c r="DS24" s="1"/>
      <c r="DT24" s="1"/>
      <c r="DW24" s="1">
        <f t="shared" si="27"/>
        <v>0</v>
      </c>
      <c r="DX24" s="1"/>
      <c r="DY24" s="1"/>
      <c r="DZ24" s="1"/>
      <c r="EB24" s="1"/>
      <c r="EC24" s="1"/>
      <c r="ED24" s="1"/>
      <c r="EE24" s="1"/>
      <c r="EF24" s="1"/>
      <c r="EG24" s="1"/>
      <c r="EL24" s="1"/>
      <c r="EM24" s="1"/>
      <c r="EN24">
        <f t="shared" si="17"/>
        <v>0</v>
      </c>
      <c r="EQ24" s="1"/>
    </row>
    <row r="25" spans="1:147" ht="15.75">
      <c r="A25" s="1"/>
      <c r="B25" s="1" t="s">
        <v>207</v>
      </c>
      <c r="C25" s="11"/>
      <c r="D25" s="1">
        <f>+'Sys INPUT'!D25-D239+D257+D299-D317</f>
        <v>73516</v>
      </c>
      <c r="E25" s="1">
        <f>+'Sys INPUT'!E25-E239+E257+E299-E317+0</f>
        <v>2759193</v>
      </c>
      <c r="F25" s="1">
        <f>+'Sys INPUT'!F25-F239+F257+F299-F317</f>
        <v>20799</v>
      </c>
      <c r="G25" s="1">
        <f>+'Sys INPUT'!G25-G239+G257+G299-G317</f>
        <v>190427</v>
      </c>
      <c r="H25" s="1">
        <f>+'Sys INPUT'!H25-H239+H257+H299-H317</f>
        <v>362149</v>
      </c>
      <c r="I25" s="1136">
        <f>+'Sys INPUT'!I25-I239+I257+I299-I317-54000</f>
        <v>36297</v>
      </c>
      <c r="J25" s="1"/>
      <c r="K25" s="1">
        <f>+'Sys INPUT'!K25-K239+K257+K299-K317+0</f>
        <v>398</v>
      </c>
      <c r="L25" s="1">
        <f>+'Sys INPUT'!L25-L239+L257+L299-L317</f>
        <v>11806</v>
      </c>
      <c r="M25" s="1"/>
      <c r="N25" s="1"/>
      <c r="O25" s="1"/>
      <c r="P25" s="1"/>
      <c r="Q25" s="1">
        <f>+'Sys INPUT'!Q25</f>
        <v>0</v>
      </c>
      <c r="R25" s="1"/>
      <c r="S25" s="1"/>
      <c r="T25" s="1"/>
      <c r="U25" s="1">
        <f>+'Sys INPUT'!U25-U239+U257+U299-U317-0</f>
        <v>2607263</v>
      </c>
      <c r="V25" s="1"/>
      <c r="W25" s="1"/>
      <c r="X25" s="1"/>
      <c r="Y25" s="1"/>
      <c r="Z25" s="1"/>
      <c r="AA25" s="1"/>
      <c r="AB25" s="1"/>
      <c r="AC25" s="1"/>
      <c r="AD25" s="1"/>
      <c r="AE25" s="1">
        <f>+'Sys INPUT'!AE25-AE239+AE299</f>
        <v>36352</v>
      </c>
      <c r="AF25" s="1"/>
      <c r="AG25" s="1"/>
      <c r="AH25" s="1"/>
      <c r="AI25" s="1">
        <f>+'Sys INPUT'!AI25-AI239+AI299</f>
        <v>0</v>
      </c>
      <c r="AJ25" s="1">
        <f>+'Sys INPUT'!AJ25-AJ239+AJ299</f>
        <v>0</v>
      </c>
      <c r="AK25" s="1">
        <f>+'Sys INPUT'!AK25-AK239+AK299</f>
        <v>0</v>
      </c>
      <c r="AL25" s="1">
        <f>+'Sys INPUT'!AL25-AL239+AL299</f>
        <v>0</v>
      </c>
      <c r="AM25" s="1">
        <f>+'Sys INPUT'!AM25-AM239+AM299</f>
        <v>0</v>
      </c>
      <c r="AN25" s="1">
        <f>+'Sys INPUT'!AN25-AN239+AN299</f>
        <v>52642</v>
      </c>
      <c r="AO25" s="1">
        <f>+'Sys INPUT'!AO25-AO239+AO299</f>
        <v>0</v>
      </c>
      <c r="AP25" s="1">
        <f>+'Sys INPUT'!AP25-AP239+AP299</f>
        <v>0</v>
      </c>
      <c r="AQ25" s="1">
        <f>+'Sys INPUT'!AQ25-AQ239+AQ257+AQ299-AQ317</f>
        <v>0</v>
      </c>
      <c r="AR25" s="1">
        <f>+'Sys INPUT'!AR25-AR239+AR257+AR299-AR317</f>
        <v>153943</v>
      </c>
      <c r="AS25" s="1"/>
      <c r="AT25" s="1"/>
      <c r="AU25" s="1"/>
      <c r="AV25" s="1"/>
      <c r="AW25" s="1"/>
      <c r="AX25" s="1">
        <f>+'Sys INPUT'!AX25-AX239+AX257+AX299-AX317</f>
        <v>0</v>
      </c>
      <c r="AY25" s="1"/>
      <c r="AZ25" s="1"/>
      <c r="BA25" s="1"/>
      <c r="BB25" s="1">
        <f>+'Sys INPUT'!BB25-BB239+BB257+BB299-BB317</f>
        <v>0</v>
      </c>
      <c r="BC25" s="1"/>
      <c r="BD25" s="1">
        <f>+'Sys INPUT'!BD25-BD239+BD257+BD299-BD317</f>
        <v>9770</v>
      </c>
      <c r="BE25" s="1"/>
      <c r="BF25" s="1">
        <f t="shared" si="29"/>
        <v>6241039</v>
      </c>
      <c r="BG25" s="1">
        <f t="shared" si="22"/>
        <v>6241039</v>
      </c>
      <c r="BH25" s="1"/>
      <c r="BI25" s="1"/>
      <c r="BJ25" s="1">
        <f>+'Sys INPUT'!BJ25-BJ239+BJ257+BJ299-BJ317</f>
        <v>0</v>
      </c>
      <c r="BK25" s="1"/>
      <c r="BL25" s="1"/>
      <c r="BM25" s="1"/>
      <c r="BN25" s="1">
        <f>+'Sys INPUT'!BN25-BN239+BN257+BN299-BN317</f>
        <v>0</v>
      </c>
      <c r="BO25" s="1"/>
      <c r="BP25" s="1">
        <f t="shared" si="28"/>
        <v>0</v>
      </c>
      <c r="BQ25" s="1"/>
      <c r="BR25" s="1">
        <f>+'Sys INPUT'!BR25-BR239+BR299-0</f>
        <v>41899</v>
      </c>
      <c r="BS25" s="1">
        <f>+'Sys INPUT'!BS25-BS239+BS299</f>
        <v>0</v>
      </c>
      <c r="BT25" s="1">
        <f>+'Sys INPUT'!BT25-BT239+BT299</f>
        <v>0</v>
      </c>
      <c r="BU25" s="1">
        <f>+'Sys INPUT'!BU25-BU239+BU299</f>
        <v>0</v>
      </c>
      <c r="BV25" s="1">
        <f>+'Sys INPUT'!BV25-BV239+BV299</f>
        <v>0</v>
      </c>
      <c r="BW25" s="1">
        <f>+'Sys INPUT'!BW25-BW239+BW299</f>
        <v>0</v>
      </c>
      <c r="BX25" s="3"/>
      <c r="BY25" s="1">
        <f t="shared" si="23"/>
        <v>41899</v>
      </c>
      <c r="BZ25" s="1">
        <f t="shared" si="24"/>
        <v>0</v>
      </c>
      <c r="CA25" s="1">
        <f t="shared" si="1"/>
        <v>6250643</v>
      </c>
      <c r="CB25" s="1"/>
      <c r="CC25" s="1"/>
      <c r="CD25" s="1"/>
      <c r="CE25" s="1"/>
      <c r="CF25" s="1"/>
      <c r="CG25" s="1"/>
      <c r="CH25" s="1"/>
      <c r="CI25" s="1"/>
      <c r="CJ25" s="1">
        <f t="shared" si="25"/>
        <v>0</v>
      </c>
      <c r="CK25" s="1"/>
      <c r="CL25" s="1"/>
      <c r="CM25" s="1"/>
      <c r="CN25" s="1"/>
      <c r="CO25" s="1"/>
      <c r="CP25" s="1"/>
      <c r="CQ25" s="1"/>
      <c r="CR25" s="1"/>
      <c r="CS25" s="1"/>
      <c r="CT25" s="5"/>
      <c r="CU25" s="1">
        <f t="shared" si="26"/>
        <v>0</v>
      </c>
      <c r="CW25" s="1"/>
      <c r="CX25" s="1"/>
      <c r="CY25" s="1"/>
      <c r="CZ25" s="1"/>
      <c r="DA25" s="1"/>
      <c r="DB25" s="1"/>
      <c r="DC25" s="1"/>
      <c r="DD25" s="1"/>
      <c r="DE25" s="1"/>
      <c r="DF25" s="1"/>
      <c r="DG25" s="1"/>
      <c r="DH25" s="1"/>
      <c r="DI25" s="1"/>
      <c r="DJ25" s="1"/>
      <c r="DK25" s="1"/>
      <c r="DL25" s="1"/>
      <c r="DM25" s="1"/>
      <c r="DN25" s="1"/>
      <c r="DO25" s="1"/>
      <c r="DP25" s="1"/>
      <c r="DQ25" s="1"/>
      <c r="DR25" s="1"/>
      <c r="DS25" s="1"/>
      <c r="DT25" s="1"/>
      <c r="DW25" s="1">
        <f t="shared" si="27"/>
        <v>0</v>
      </c>
      <c r="DX25" s="1"/>
      <c r="DY25" s="1"/>
      <c r="DZ25" s="1"/>
      <c r="EB25" s="250">
        <v>0</v>
      </c>
      <c r="EC25" s="616"/>
      <c r="ED25" s="1"/>
      <c r="EE25" s="1"/>
      <c r="EF25" s="1">
        <f>+'Sys INPUT'!EG25-EF239+EF257+EF299-EF269-EF317-0+EF329</f>
        <v>9604</v>
      </c>
      <c r="EG25" s="1"/>
      <c r="EL25" s="1"/>
      <c r="EM25" s="1">
        <f>+'Sys INPUT'!HV25-EM239+EM257+EM299-EM317-0</f>
        <v>0</v>
      </c>
      <c r="EN25">
        <f t="shared" si="17"/>
        <v>9604</v>
      </c>
      <c r="EQ25" s="1"/>
    </row>
    <row r="26" spans="1:147" ht="15.75">
      <c r="A26" s="1"/>
      <c r="B26" s="1" t="s">
        <v>350</v>
      </c>
      <c r="C26" s="11"/>
      <c r="D26" s="1">
        <f>+'Sys INPUT'!D26-D240+D300</f>
        <v>599703</v>
      </c>
      <c r="E26" s="1">
        <f>+'Sys INPUT'!E26-E240+E300</f>
        <v>0</v>
      </c>
      <c r="F26" s="1"/>
      <c r="G26" s="1"/>
      <c r="H26" s="1"/>
      <c r="I26" s="1"/>
      <c r="J26" s="1"/>
      <c r="K26" s="1"/>
      <c r="L26" s="1"/>
      <c r="M26" s="1"/>
      <c r="N26" s="1"/>
      <c r="O26" s="1"/>
      <c r="P26" s="1"/>
      <c r="Q26" s="1">
        <f>+'Sys INPUT'!Q26</f>
        <v>0</v>
      </c>
      <c r="R26" s="1"/>
      <c r="S26" s="1"/>
      <c r="T26" s="1"/>
      <c r="U26" s="1"/>
      <c r="V26" s="1">
        <f>+'Sys INPUT'!V26-V240+V258+V300-V318</f>
        <v>177468</v>
      </c>
      <c r="W26" s="1">
        <f>+'Sys INPUT'!W26-W240+W258+W300-W318+0</f>
        <v>226021</v>
      </c>
      <c r="X26" s="1"/>
      <c r="Y26" s="1"/>
      <c r="Z26" s="1"/>
      <c r="AA26" s="1"/>
      <c r="AB26" s="1"/>
      <c r="AC26" s="1"/>
      <c r="AD26" s="1"/>
      <c r="AE26" s="1"/>
      <c r="AF26" s="1"/>
      <c r="AG26" s="1"/>
      <c r="AH26" s="1"/>
      <c r="AI26" s="1">
        <f>+'Sys INPUT'!AI26-AI240+AI300</f>
        <v>25000</v>
      </c>
      <c r="AJ26" s="1">
        <f>+'Sys INPUT'!AJ26-AJ240+AJ300</f>
        <v>0</v>
      </c>
      <c r="AK26" s="1">
        <f>+'Sys INPUT'!AK26-AK240+AK300</f>
        <v>0</v>
      </c>
      <c r="AL26" s="1">
        <f>+'Sys INPUT'!AL26-AL240+AL300</f>
        <v>0</v>
      </c>
      <c r="AM26" s="1">
        <f>+'Sys INPUT'!AM26-AM240+AM300</f>
        <v>0</v>
      </c>
      <c r="AN26" s="1">
        <f>+'Sys INPUT'!AN26-AN240+AN300</f>
        <v>0</v>
      </c>
      <c r="AO26" s="1">
        <f>+'Sys INPUT'!AO26-AO240+AO300</f>
        <v>0</v>
      </c>
      <c r="AP26" s="1">
        <f>+'Sys INPUT'!AP26-AP240+AP300</f>
        <v>0</v>
      </c>
      <c r="AQ26" s="1"/>
      <c r="AR26" s="1"/>
      <c r="AS26" s="1"/>
      <c r="AT26" s="1"/>
      <c r="AU26" s="1"/>
      <c r="AV26" s="1"/>
      <c r="AW26" s="1"/>
      <c r="AX26" s="1">
        <f>+'Sys INPUT'!AX26-AX240+AX258+AX300-AX318</f>
        <v>0</v>
      </c>
      <c r="AY26" s="1">
        <f>+'Sys INPUT'!AY26-AY240+AY300</f>
        <v>0</v>
      </c>
      <c r="AZ26" s="1"/>
      <c r="BA26" s="1"/>
      <c r="BB26" s="1">
        <f>+'Sys INPUT'!BB26-BB240+BB258+BB300-BB318</f>
        <v>0</v>
      </c>
      <c r="BC26" s="1"/>
      <c r="BD26" s="1"/>
      <c r="BE26" s="1"/>
      <c r="BF26" s="1">
        <f t="shared" si="29"/>
        <v>428489</v>
      </c>
      <c r="BG26" s="1">
        <f t="shared" si="22"/>
        <v>428489</v>
      </c>
      <c r="BH26" s="1"/>
      <c r="BI26" s="1"/>
      <c r="BJ26" s="1"/>
      <c r="BK26" s="1"/>
      <c r="BL26" s="1"/>
      <c r="BM26" s="1"/>
      <c r="BN26" s="1">
        <f>+'Sys INPUT'!BN26-BN240+BN258+BN300-BN318</f>
        <v>0</v>
      </c>
      <c r="BO26" s="1"/>
      <c r="BP26" s="1">
        <f t="shared" si="28"/>
        <v>0</v>
      </c>
      <c r="BQ26" s="1"/>
      <c r="BR26" s="1"/>
      <c r="BS26" s="1"/>
      <c r="BT26" s="1"/>
      <c r="BU26" s="1">
        <f>+'Sys INPUT'!BU26-BU240+BU258+BU300-BU318</f>
        <v>0</v>
      </c>
      <c r="BV26" s="1">
        <f>+'Sys INPUT'!BV26-BV240+BV258+BV300-BV318</f>
        <v>0</v>
      </c>
      <c r="BW26" s="1">
        <f>+'Sys INPUT'!BW26-BW240+BW258+BW300-BW318</f>
        <v>0</v>
      </c>
      <c r="BX26" s="3"/>
      <c r="BY26" s="1">
        <f t="shared" si="23"/>
        <v>0</v>
      </c>
      <c r="BZ26" s="1">
        <f t="shared" si="24"/>
        <v>0</v>
      </c>
      <c r="CA26" s="1">
        <f t="shared" si="1"/>
        <v>428489</v>
      </c>
      <c r="CB26" s="1"/>
      <c r="CC26" s="1"/>
      <c r="CD26" s="1"/>
      <c r="CE26" s="1"/>
      <c r="CF26" s="1"/>
      <c r="CG26" s="1"/>
      <c r="CH26" s="1"/>
      <c r="CI26" s="1"/>
      <c r="CJ26" s="1">
        <f t="shared" si="25"/>
        <v>0</v>
      </c>
      <c r="CK26" s="1"/>
      <c r="CL26" s="1"/>
      <c r="CM26" s="1"/>
      <c r="CN26" s="1"/>
      <c r="CO26" s="1"/>
      <c r="CP26" s="1"/>
      <c r="CQ26" s="1"/>
      <c r="CR26" s="1"/>
      <c r="CS26" s="1"/>
      <c r="CT26" s="5"/>
      <c r="CU26" s="1">
        <f t="shared" si="26"/>
        <v>0</v>
      </c>
      <c r="CW26" s="1"/>
      <c r="CX26" s="1"/>
      <c r="CY26" s="1"/>
      <c r="CZ26" s="1"/>
      <c r="DA26" s="1"/>
      <c r="DB26" s="1"/>
      <c r="DC26" s="1"/>
      <c r="DD26" s="1"/>
      <c r="DE26" s="1"/>
      <c r="DF26" s="1"/>
      <c r="DG26" s="1"/>
      <c r="DH26" s="1"/>
      <c r="DI26" s="1"/>
      <c r="DJ26" s="1"/>
      <c r="DK26" s="1"/>
      <c r="DL26" s="1"/>
      <c r="DM26" s="1"/>
      <c r="DN26" s="1"/>
      <c r="DO26" s="1"/>
      <c r="DP26" s="1"/>
      <c r="DQ26" s="1"/>
      <c r="DR26" s="1"/>
      <c r="DS26" s="1"/>
      <c r="DT26" s="1"/>
      <c r="DW26" s="1">
        <f t="shared" si="27"/>
        <v>0</v>
      </c>
      <c r="DX26" s="1"/>
      <c r="DY26" s="1"/>
      <c r="DZ26" s="1"/>
      <c r="EB26" s="1"/>
      <c r="EC26" s="253"/>
      <c r="ED26" s="1"/>
      <c r="EE26" s="1"/>
      <c r="EF26" s="1"/>
      <c r="EG26" s="1"/>
      <c r="EL26" s="1"/>
      <c r="EM26" s="1"/>
      <c r="EN26">
        <f t="shared" si="17"/>
        <v>0</v>
      </c>
      <c r="EQ26" s="1"/>
    </row>
    <row r="27" spans="1:147" ht="15.75">
      <c r="A27" s="1"/>
      <c r="B27" s="1" t="s">
        <v>351</v>
      </c>
      <c r="C27" s="11"/>
      <c r="D27" s="1">
        <f>+'Sys INPUT'!D27-D241+D301-0</f>
        <v>0</v>
      </c>
      <c r="E27" s="1">
        <f>+'Sys INPUT'!E27-E241+E301</f>
        <v>0</v>
      </c>
      <c r="F27" s="1"/>
      <c r="G27" s="1"/>
      <c r="H27" s="1"/>
      <c r="I27" s="1"/>
      <c r="J27" s="1"/>
      <c r="K27" s="1"/>
      <c r="L27" s="1"/>
      <c r="M27" s="1"/>
      <c r="N27" s="1">
        <f>+'Sys INPUT'!N27-N241+N259+N301-N319</f>
        <v>0</v>
      </c>
      <c r="O27" s="1">
        <f>+'Sys INPUT'!O27-O241+O259+O301-O319</f>
        <v>44402</v>
      </c>
      <c r="P27" s="1">
        <f>+'Sys INPUT'!P27-P241+P259+P301-P319-0</f>
        <v>0</v>
      </c>
      <c r="Q27" s="1">
        <f>+'Sys INPUT'!Q27</f>
        <v>0</v>
      </c>
      <c r="R27" s="1"/>
      <c r="S27" s="1"/>
      <c r="T27" s="1"/>
      <c r="U27" s="1"/>
      <c r="V27" s="1"/>
      <c r="W27" s="1"/>
      <c r="X27" s="1"/>
      <c r="Y27" s="1"/>
      <c r="Z27" s="1"/>
      <c r="AA27" s="1"/>
      <c r="AB27" s="1"/>
      <c r="AC27" s="1">
        <f>+'Sys INPUT'!AC27-AC241+AC259+AC301-AC319+0</f>
        <v>0</v>
      </c>
      <c r="AD27" s="1">
        <f>+'Sys INPUT'!AD27-AD241+AD259+AD301-AD319</f>
        <v>25100</v>
      </c>
      <c r="AE27" s="1"/>
      <c r="AF27" s="1"/>
      <c r="AG27" s="1"/>
      <c r="AH27" s="1"/>
      <c r="AI27" s="1">
        <f>+'Sys INPUT'!AI27-AI241+AI301</f>
        <v>0</v>
      </c>
      <c r="AJ27" s="1">
        <f>+'Sys INPUT'!AJ27-AJ241+AJ301</f>
        <v>0</v>
      </c>
      <c r="AK27" s="1">
        <f>+'Sys INPUT'!AK27-AK241+AK301</f>
        <v>0</v>
      </c>
      <c r="AL27" s="1">
        <f>+'Sys INPUT'!AL27-AL241+AL301</f>
        <v>0</v>
      </c>
      <c r="AM27" s="1">
        <f>+'Sys INPUT'!AM27-AM241+AM301</f>
        <v>0</v>
      </c>
      <c r="AN27" s="1">
        <f>+'Sys INPUT'!AN27-AN241+AN301</f>
        <v>0</v>
      </c>
      <c r="AO27" s="1">
        <f>+'Sys INPUT'!AO27-AO241+AO301</f>
        <v>0</v>
      </c>
      <c r="AP27" s="1">
        <f>+'Sys INPUT'!AP27-AP241+AP301</f>
        <v>0</v>
      </c>
      <c r="AQ27" s="1"/>
      <c r="AR27" s="1"/>
      <c r="AS27" s="1"/>
      <c r="AT27" s="1"/>
      <c r="AU27" s="1"/>
      <c r="AV27" s="1"/>
      <c r="AW27" s="1"/>
      <c r="AX27" s="1">
        <f>+'Sys INPUT'!AX27-AX241+AX259+AX301-AX319</f>
        <v>0</v>
      </c>
      <c r="AY27" s="1"/>
      <c r="AZ27" s="1"/>
      <c r="BA27" s="1"/>
      <c r="BB27" s="1">
        <f>+'Sys INPUT'!BB27-BB241+BB259+BB301-BB319</f>
        <v>0</v>
      </c>
      <c r="BC27" s="1"/>
      <c r="BD27" s="1"/>
      <c r="BE27" s="1"/>
      <c r="BF27" s="1">
        <f t="shared" si="29"/>
        <v>69502</v>
      </c>
      <c r="BG27" s="1">
        <f t="shared" si="22"/>
        <v>69502</v>
      </c>
      <c r="BH27" s="1"/>
      <c r="BI27" s="1"/>
      <c r="BJ27" s="1"/>
      <c r="BK27" s="1"/>
      <c r="BL27" s="1"/>
      <c r="BM27" s="1"/>
      <c r="BN27" s="1">
        <f>+'Sys INPUT'!BN27-BN241+BN259+BN301-BN319</f>
        <v>0</v>
      </c>
      <c r="BO27" s="1"/>
      <c r="BP27" s="1">
        <f t="shared" si="28"/>
        <v>0</v>
      </c>
      <c r="BQ27" s="1"/>
      <c r="BR27" s="1"/>
      <c r="BS27" s="1"/>
      <c r="BT27" s="1"/>
      <c r="BU27" s="1"/>
      <c r="BV27" s="1"/>
      <c r="BW27" s="1">
        <f>+'Sys INPUT'!BW27-BW241+BW301</f>
        <v>0</v>
      </c>
      <c r="BX27" s="3"/>
      <c r="BY27" s="1">
        <f t="shared" si="23"/>
        <v>0</v>
      </c>
      <c r="BZ27" s="1">
        <f t="shared" si="24"/>
        <v>0</v>
      </c>
      <c r="CA27" s="1">
        <f t="shared" si="1"/>
        <v>69502</v>
      </c>
      <c r="CB27" s="1"/>
      <c r="CC27" s="1"/>
      <c r="CD27" s="1"/>
      <c r="CE27" s="1"/>
      <c r="CF27" s="1"/>
      <c r="CG27" s="1"/>
      <c r="CH27" s="1"/>
      <c r="CI27" s="1"/>
      <c r="CJ27" s="1">
        <f t="shared" si="25"/>
        <v>0</v>
      </c>
      <c r="CK27" s="1"/>
      <c r="CL27" s="1"/>
      <c r="CM27" s="1"/>
      <c r="CN27" s="1"/>
      <c r="CO27" s="1"/>
      <c r="CP27" s="1"/>
      <c r="CQ27" s="1"/>
      <c r="CR27" s="1"/>
      <c r="CS27" s="1"/>
      <c r="CT27" s="5"/>
      <c r="CU27" s="1">
        <f t="shared" si="26"/>
        <v>0</v>
      </c>
      <c r="CW27" s="1"/>
      <c r="CX27" s="1"/>
      <c r="CY27" s="1"/>
      <c r="CZ27" s="1"/>
      <c r="DA27" s="1"/>
      <c r="DB27" s="1"/>
      <c r="DC27" s="1"/>
      <c r="DD27" s="1"/>
      <c r="DE27" s="1"/>
      <c r="DF27" s="1"/>
      <c r="DG27" s="1"/>
      <c r="DH27" s="1"/>
      <c r="DI27" s="1"/>
      <c r="DJ27" s="1"/>
      <c r="DK27" s="1"/>
      <c r="DL27" s="1"/>
      <c r="DM27" s="1"/>
      <c r="DN27" s="1"/>
      <c r="DO27" s="1"/>
      <c r="DP27" s="1"/>
      <c r="DQ27" s="1"/>
      <c r="DR27" s="1"/>
      <c r="DS27" s="1"/>
      <c r="DT27" s="1"/>
      <c r="DW27" s="1">
        <f t="shared" si="27"/>
        <v>0</v>
      </c>
      <c r="DX27" s="1"/>
      <c r="DY27" s="1"/>
      <c r="DZ27" s="1"/>
      <c r="EB27" s="1"/>
      <c r="EC27" s="1"/>
      <c r="ED27" s="1"/>
      <c r="EE27" s="1"/>
      <c r="EF27" s="1"/>
      <c r="EG27" s="1"/>
      <c r="EL27" s="32">
        <f>+'Sys INPUT'!HT27+'Sys INPUT'!HU27-EL241+EL301-EL29-EL28</f>
        <v>0</v>
      </c>
      <c r="EM27" s="1"/>
      <c r="EN27">
        <f t="shared" si="17"/>
        <v>0</v>
      </c>
      <c r="EQ27" s="32">
        <f>+'Sys INPUT'!AF27+'Sys INPUT'!ER27-EQ241+EQ301-EQ29-EQ28+EQ329-0</f>
        <v>0</v>
      </c>
    </row>
    <row r="28" spans="1:147" ht="15.75">
      <c r="A28" s="1"/>
      <c r="B28" s="1" t="s">
        <v>352</v>
      </c>
      <c r="C28" s="11"/>
      <c r="D28" s="1136">
        <f>+'Sys INPUT'!D28-D243+D303+1332+58668+46603+30900+63289+26596</f>
        <v>227388</v>
      </c>
      <c r="E28" s="1">
        <f>+'Sys INPUT'!E28</f>
        <v>0</v>
      </c>
      <c r="F28" s="1">
        <f>+'Sys INPUT'!F28</f>
        <v>0</v>
      </c>
      <c r="G28" s="1">
        <f>+'Sys INPUT'!G28</f>
        <v>0</v>
      </c>
      <c r="H28" s="1">
        <f>+'Sys INPUT'!H28</f>
        <v>0</v>
      </c>
      <c r="I28" s="1136">
        <f>+'Sys INPUT'!I28+1811+52189</f>
        <v>54000</v>
      </c>
      <c r="J28" s="1">
        <f>+'Sys INPUT'!J28-J243+J303</f>
        <v>0</v>
      </c>
      <c r="K28" s="1">
        <f>+'Sys INPUT'!K28</f>
        <v>0</v>
      </c>
      <c r="L28" s="1">
        <f>+'Sys INPUT'!L28</f>
        <v>0</v>
      </c>
      <c r="M28" s="1">
        <f>+'Sys INPUT'!M28</f>
        <v>0</v>
      </c>
      <c r="N28" s="1">
        <f>+'Sys INPUT'!N28</f>
        <v>0</v>
      </c>
      <c r="O28" s="1">
        <f>+'Sys INPUT'!O28</f>
        <v>0</v>
      </c>
      <c r="P28" s="1">
        <f>+'Sys INPUT'!P28</f>
        <v>0</v>
      </c>
      <c r="Q28" s="1">
        <f>+'Sys INPUT'!Q28</f>
        <v>0</v>
      </c>
      <c r="R28" s="1">
        <f>+'Sys INPUT'!R28</f>
        <v>0</v>
      </c>
      <c r="S28" s="1">
        <f>+'Sys INPUT'!S28</f>
        <v>0</v>
      </c>
      <c r="T28" s="1">
        <f>+'Sys INPUT'!T28</f>
        <v>0</v>
      </c>
      <c r="U28" s="1">
        <f>+'Sys INPUT'!U28</f>
        <v>0</v>
      </c>
      <c r="V28" s="1">
        <f>+'Sys INPUT'!V28</f>
        <v>0</v>
      </c>
      <c r="W28" s="1">
        <f>+'Sys INPUT'!W28</f>
        <v>0</v>
      </c>
      <c r="X28" s="1">
        <f>+'Sys INPUT'!X28</f>
        <v>0</v>
      </c>
      <c r="Y28" s="1136">
        <f>+'Sys INPUT'!Y28+0</f>
        <v>0</v>
      </c>
      <c r="Z28" s="1">
        <f>+'Sys INPUT'!Z28</f>
        <v>0</v>
      </c>
      <c r="AA28" s="1">
        <f>+'Sys INPUT'!AA28</f>
        <v>0</v>
      </c>
      <c r="AB28" s="1">
        <f>+'Sys INPUT'!AB28</f>
        <v>0</v>
      </c>
      <c r="AC28" s="1">
        <f>+'Sys INPUT'!AC28</f>
        <v>0</v>
      </c>
      <c r="AD28" s="1">
        <f>+'Sys INPUT'!AD28</f>
        <v>0</v>
      </c>
      <c r="AE28" s="1">
        <f>+'Sys INPUT'!AE28</f>
        <v>0</v>
      </c>
      <c r="AF28" s="1">
        <f>+'Sys INPUT'!AF28</f>
        <v>0</v>
      </c>
      <c r="AG28" s="1">
        <f>+'Sys INPUT'!AG28</f>
        <v>0</v>
      </c>
      <c r="AH28" s="1">
        <f>+'Sys INPUT'!AH28</f>
        <v>0</v>
      </c>
      <c r="AI28" s="1">
        <f>+'Sys INPUT'!AI28-AI242+AI302</f>
        <v>0</v>
      </c>
      <c r="AJ28" s="1">
        <f>+'Sys INPUT'!AJ28-AJ242+AJ302</f>
        <v>0</v>
      </c>
      <c r="AK28" s="1">
        <f>+'Sys INPUT'!AK28-AK242+AK302</f>
        <v>0</v>
      </c>
      <c r="AL28" s="1">
        <f>+'Sys INPUT'!AL28-AL242+AL302</f>
        <v>0</v>
      </c>
      <c r="AM28" s="1">
        <f>+'Sys INPUT'!AM28-AM242+AM302</f>
        <v>0</v>
      </c>
      <c r="AN28" s="1">
        <f>+'Sys INPUT'!AN28-AN242+AN302</f>
        <v>0</v>
      </c>
      <c r="AO28" s="1">
        <f>+'Sys INPUT'!AO28-AO242+AO302</f>
        <v>0</v>
      </c>
      <c r="AP28" s="1">
        <f>+'Sys INPUT'!AP28-AP242+AP302</f>
        <v>0</v>
      </c>
      <c r="AQ28" s="1">
        <f>+'Sys INPUT'!AQ28</f>
        <v>0</v>
      </c>
      <c r="AR28" s="1">
        <f>+'Sys INPUT'!AR28</f>
        <v>0</v>
      </c>
      <c r="AS28" s="1">
        <f>+'Sys INPUT'!AS28</f>
        <v>0</v>
      </c>
      <c r="AT28" s="1">
        <f>+'Sys INPUT'!AT28</f>
        <v>0</v>
      </c>
      <c r="AU28" s="1136">
        <f>+'Sys INPUT'!AU28+27345</f>
        <v>27345</v>
      </c>
      <c r="AV28" s="1">
        <f>+'Sys INPUT'!AV28</f>
        <v>0</v>
      </c>
      <c r="AW28" s="1"/>
      <c r="AX28" s="1">
        <f>+'Sys INPUT'!AX28-AX242+AX269+AX302-AX329</f>
        <v>0</v>
      </c>
      <c r="AY28" s="1">
        <f>+'Sys INPUT'!AY28</f>
        <v>0</v>
      </c>
      <c r="AZ28" s="1">
        <f>+'Sys INPUT'!AZ28</f>
        <v>0</v>
      </c>
      <c r="BA28" s="1">
        <f>+'Sys INPUT'!BA28</f>
        <v>0</v>
      </c>
      <c r="BB28" s="1">
        <f>+'Sys INPUT'!BB28</f>
        <v>0</v>
      </c>
      <c r="BC28" s="1">
        <f>+'Sys INPUT'!BC28</f>
        <v>34</v>
      </c>
      <c r="BD28" s="1"/>
      <c r="BE28" s="1"/>
      <c r="BF28" s="1">
        <f t="shared" si="29"/>
        <v>81379</v>
      </c>
      <c r="BG28" s="1">
        <f t="shared" si="22"/>
        <v>81345</v>
      </c>
      <c r="BH28" s="1">
        <f>+'Sys INPUT'!BH28</f>
        <v>112309</v>
      </c>
      <c r="BI28" s="1">
        <f>+'Sys INPUT'!BI28</f>
        <v>966683</v>
      </c>
      <c r="BJ28" s="1">
        <f>+'Sys INPUT'!BJ28</f>
        <v>0</v>
      </c>
      <c r="BK28" s="1">
        <f>+'Sys INPUT'!BK28</f>
        <v>0</v>
      </c>
      <c r="BL28" s="1">
        <f>+'Sys INPUT'!BL28</f>
        <v>96470</v>
      </c>
      <c r="BM28" s="1">
        <f>+'Sys INPUT'!BM28</f>
        <v>636600</v>
      </c>
      <c r="BN28" s="1">
        <f>+'Sys INPUT'!BN28</f>
        <v>97148</v>
      </c>
      <c r="BO28" s="1"/>
      <c r="BP28" s="1">
        <f t="shared" si="28"/>
        <v>1909210</v>
      </c>
      <c r="BQ28" s="1"/>
      <c r="BR28" s="1">
        <f>+'Sys INPUT'!BR28</f>
        <v>0</v>
      </c>
      <c r="BS28" s="1">
        <f>+'Sys INPUT'!BS28</f>
        <v>0</v>
      </c>
      <c r="BT28" s="1">
        <f>+'Sys INPUT'!BT28</f>
        <v>0</v>
      </c>
      <c r="BU28" s="1">
        <f>+'Sys INPUT'!BU28</f>
        <v>0</v>
      </c>
      <c r="BV28" s="1">
        <f>+'Sys INPUT'!BV28</f>
        <v>0</v>
      </c>
      <c r="BW28" s="1">
        <f>+'Sys INPUT'!BW28</f>
        <v>0</v>
      </c>
      <c r="BX28" s="3"/>
      <c r="BY28" s="1">
        <f t="shared" si="23"/>
        <v>0</v>
      </c>
      <c r="BZ28" s="1">
        <f t="shared" si="24"/>
        <v>0</v>
      </c>
      <c r="CA28" s="1">
        <f t="shared" si="1"/>
        <v>81345</v>
      </c>
      <c r="CB28" s="1"/>
      <c r="CC28" s="1"/>
      <c r="CD28" s="1"/>
      <c r="CE28" s="1"/>
      <c r="CF28" s="1"/>
      <c r="CG28" s="1"/>
      <c r="CH28" s="1"/>
      <c r="CI28" s="1"/>
      <c r="CJ28" s="1">
        <f t="shared" si="25"/>
        <v>0</v>
      </c>
      <c r="CK28" s="1"/>
      <c r="CL28" s="1"/>
      <c r="CM28" s="1"/>
      <c r="CN28" s="1"/>
      <c r="CO28" s="1"/>
      <c r="CP28" s="1"/>
      <c r="CQ28" s="1"/>
      <c r="CR28" s="1"/>
      <c r="CS28" s="1"/>
      <c r="CT28" s="5"/>
      <c r="CU28" s="1">
        <f t="shared" si="26"/>
        <v>0</v>
      </c>
      <c r="CW28" s="1"/>
      <c r="CX28" s="1"/>
      <c r="CY28" s="1"/>
      <c r="CZ28" s="1"/>
      <c r="DA28" s="1"/>
      <c r="DB28" s="1"/>
      <c r="DC28" s="1"/>
      <c r="DD28" s="1"/>
      <c r="DE28" s="1"/>
      <c r="DF28" s="1"/>
      <c r="DG28" s="1"/>
      <c r="DH28" s="1"/>
      <c r="DI28" s="1"/>
      <c r="DJ28" s="1"/>
      <c r="DK28" s="1"/>
      <c r="DL28" s="1"/>
      <c r="DM28" s="1"/>
      <c r="DN28" s="1"/>
      <c r="DO28" s="1"/>
      <c r="DP28" s="1"/>
      <c r="DQ28" s="1"/>
      <c r="DR28" s="1"/>
      <c r="DS28" s="1"/>
      <c r="DT28" s="1"/>
      <c r="DW28" s="1">
        <f t="shared" si="27"/>
        <v>0</v>
      </c>
      <c r="DX28" s="1"/>
      <c r="DY28" s="1"/>
      <c r="DZ28" s="1"/>
      <c r="EB28" s="1"/>
      <c r="EC28" s="1"/>
      <c r="ED28" s="1"/>
      <c r="EE28" s="1"/>
      <c r="EF28" s="1"/>
      <c r="EG28" s="1"/>
      <c r="EL28" s="32">
        <v>0</v>
      </c>
      <c r="EM28" s="1"/>
      <c r="EN28">
        <f t="shared" si="17"/>
        <v>0</v>
      </c>
      <c r="EQ28" s="32">
        <v>0</v>
      </c>
    </row>
    <row r="29" spans="1:147" ht="15.75">
      <c r="A29" s="1"/>
      <c r="B29" s="1" t="s">
        <v>462</v>
      </c>
      <c r="C29" s="11"/>
      <c r="D29" s="1136">
        <f>123084+92495+61328+186828+78576+32670</f>
        <v>574981</v>
      </c>
      <c r="E29" s="1">
        <f>+'Sys INPUT'!E29-0</f>
        <v>0</v>
      </c>
      <c r="F29" s="1">
        <f>+'Sys INPUT'!F29</f>
        <v>0</v>
      </c>
      <c r="G29" s="1">
        <f>+'Sys INPUT'!G29</f>
        <v>0</v>
      </c>
      <c r="H29" s="1">
        <f>+'Sys INPUT'!H29</f>
        <v>0</v>
      </c>
      <c r="I29" s="1136">
        <f>+'Sys INPUT'!I29+0</f>
        <v>0</v>
      </c>
      <c r="J29" s="1">
        <f>+'Sys INPUT'!J29-J244+J304</f>
        <v>0</v>
      </c>
      <c r="K29" s="1">
        <f>+'Sys INPUT'!K29</f>
        <v>0</v>
      </c>
      <c r="L29" s="1">
        <f>+'Sys INPUT'!L29</f>
        <v>0</v>
      </c>
      <c r="M29" s="1">
        <f>+'Sys INPUT'!M29</f>
        <v>0</v>
      </c>
      <c r="N29" s="1">
        <f>+'Sys INPUT'!N29</f>
        <v>0</v>
      </c>
      <c r="O29" s="1">
        <f>+'Sys INPUT'!O29</f>
        <v>0</v>
      </c>
      <c r="P29" s="1">
        <f>+'Sys INPUT'!P29</f>
        <v>0</v>
      </c>
      <c r="Q29" s="1">
        <f>+'Sys INPUT'!Q29</f>
        <v>0</v>
      </c>
      <c r="R29" s="1">
        <f>+'Sys INPUT'!R29</f>
        <v>0</v>
      </c>
      <c r="S29" s="1">
        <f>+'Sys INPUT'!S29</f>
        <v>0</v>
      </c>
      <c r="T29" s="1">
        <f>+'Sys INPUT'!T29</f>
        <v>0</v>
      </c>
      <c r="U29" s="1">
        <f>+'Sys INPUT'!U29</f>
        <v>0</v>
      </c>
      <c r="V29" s="1">
        <f>+'Sys INPUT'!V29</f>
        <v>0</v>
      </c>
      <c r="W29" s="1">
        <f>+'Sys INPUT'!W29-0</f>
        <v>0</v>
      </c>
      <c r="X29" s="141">
        <f>+'Sys INPUT'!X29-X244+X304+0</f>
        <v>98168</v>
      </c>
      <c r="Y29" s="1004">
        <f>+'Sys INPUT'!Y29+0</f>
        <v>0</v>
      </c>
      <c r="Z29" s="1">
        <f>+'Sys INPUT'!Z29</f>
        <v>0</v>
      </c>
      <c r="AA29" s="1">
        <f>+'Sys INPUT'!AA29</f>
        <v>0</v>
      </c>
      <c r="AB29" s="1">
        <f>+'Sys INPUT'!AB29</f>
        <v>0</v>
      </c>
      <c r="AC29" s="1">
        <f>+'Sys INPUT'!AC29-AC244+AC304-0</f>
        <v>0</v>
      </c>
      <c r="AD29" s="1">
        <f>+'Sys INPUT'!AD29</f>
        <v>0</v>
      </c>
      <c r="AE29" s="1">
        <f>+'Sys INPUT'!AE29</f>
        <v>0</v>
      </c>
      <c r="AF29" s="1">
        <f>+'Sys INPUT'!AF29</f>
        <v>0</v>
      </c>
      <c r="AG29" s="1">
        <f>+'Sys INPUT'!AG29</f>
        <v>0</v>
      </c>
      <c r="AH29" s="1">
        <f>+'Sys INPUT'!AH29</f>
        <v>0</v>
      </c>
      <c r="AI29" s="1">
        <f>+'Sys INPUT'!AI29-AI243+AI303</f>
        <v>0</v>
      </c>
      <c r="AJ29" s="1">
        <f>+'Sys INPUT'!AJ29-AJ243+AJ303</f>
        <v>0</v>
      </c>
      <c r="AK29" s="1">
        <f>+'Sys INPUT'!AK29-AK243+AK303</f>
        <v>0</v>
      </c>
      <c r="AL29" s="1">
        <f>+'Sys INPUT'!AL29-AL243+AL303</f>
        <v>0</v>
      </c>
      <c r="AM29" s="1">
        <f>+'Sys INPUT'!AM29-AM243+AM303</f>
        <v>0</v>
      </c>
      <c r="AN29" s="1">
        <f>+'Sys INPUT'!AN29-AN243+AN303</f>
        <v>0</v>
      </c>
      <c r="AO29" s="1">
        <f>+'Sys INPUT'!AO29-AO243+AO303</f>
        <v>0</v>
      </c>
      <c r="AP29" s="1">
        <f>+'Sys INPUT'!AP29-AP243+AP303</f>
        <v>0</v>
      </c>
      <c r="AQ29" s="1">
        <f>+'Sys INPUT'!AQ29</f>
        <v>0</v>
      </c>
      <c r="AR29" s="1">
        <f>+'Sys INPUT'!AR29</f>
        <v>0</v>
      </c>
      <c r="AS29" s="1">
        <f>+'Sys INPUT'!AS29</f>
        <v>0</v>
      </c>
      <c r="AT29" s="1">
        <f>+'Sys INPUT'!AT29+AT304-AT244</f>
        <v>663993</v>
      </c>
      <c r="AU29" s="1004">
        <f>+'Sys INPUT'!AU29+157932</f>
        <v>157932</v>
      </c>
      <c r="AV29" s="1">
        <f>+'Sys INPUT'!AV29</f>
        <v>0</v>
      </c>
      <c r="AW29" s="1"/>
      <c r="AX29" s="1">
        <f>+'Sys INPUT'!AX29</f>
        <v>0</v>
      </c>
      <c r="AY29" s="1">
        <f>+'Sys INPUT'!AY29</f>
        <v>0</v>
      </c>
      <c r="AZ29" s="1">
        <f>+'Sys INPUT'!AZ29</f>
        <v>0</v>
      </c>
      <c r="BA29" s="1">
        <f>+'Sys INPUT'!BA29-0</f>
        <v>0</v>
      </c>
      <c r="BB29" s="1136">
        <f>+'Sys INPUT'!BB29-37050</f>
        <v>222390</v>
      </c>
      <c r="BC29" s="1">
        <f>+'Sys INPUT'!BC29-BC244+BC304+0</f>
        <v>0</v>
      </c>
      <c r="BD29" s="1"/>
      <c r="BE29" s="1"/>
      <c r="BF29" s="1">
        <f>SUM(E29:BE29)</f>
        <v>1142483</v>
      </c>
      <c r="BG29" s="1">
        <f t="shared" si="22"/>
        <v>821925</v>
      </c>
      <c r="BH29" s="1">
        <f>+'Sys INPUT'!BH29</f>
        <v>0</v>
      </c>
      <c r="BI29" s="1">
        <f>+'Sys INPUT'!BI29</f>
        <v>0</v>
      </c>
      <c r="BJ29" s="1">
        <f>+'Sys INPUT'!BJ29</f>
        <v>0</v>
      </c>
      <c r="BK29" s="1">
        <f>+'Sys INPUT'!BK29</f>
        <v>0</v>
      </c>
      <c r="BL29" s="1">
        <f>+'Sys INPUT'!BL29</f>
        <v>0</v>
      </c>
      <c r="BM29" s="1">
        <f>+'Sys INPUT'!BM29</f>
        <v>0</v>
      </c>
      <c r="BN29" s="1">
        <f>+'Sys INPUT'!BN29</f>
        <v>0</v>
      </c>
      <c r="BO29" s="1"/>
      <c r="BP29" s="1">
        <f t="shared" si="28"/>
        <v>0</v>
      </c>
      <c r="BQ29" s="1"/>
      <c r="BR29" s="141">
        <f>609327+216387+277951-72</f>
        <v>1103593</v>
      </c>
      <c r="BS29" s="1">
        <v>0</v>
      </c>
      <c r="BT29" s="141">
        <v>387324</v>
      </c>
      <c r="BU29" s="1"/>
      <c r="BV29" s="141">
        <f>0</f>
        <v>0</v>
      </c>
      <c r="BW29" s="141">
        <f>1281303+-1130906+195610</f>
        <v>346007</v>
      </c>
      <c r="BX29" s="3"/>
      <c r="BY29" s="1">
        <f t="shared" si="23"/>
        <v>1836924</v>
      </c>
      <c r="BZ29" s="1">
        <f t="shared" si="24"/>
        <v>733331</v>
      </c>
      <c r="CA29" s="1">
        <f t="shared" si="1"/>
        <v>1555256</v>
      </c>
      <c r="CB29" s="1"/>
      <c r="CC29" s="1"/>
      <c r="CD29" s="1"/>
      <c r="CE29" s="1"/>
      <c r="CF29" s="1"/>
      <c r="CG29" s="1"/>
      <c r="CH29" s="1"/>
      <c r="CI29" s="1"/>
      <c r="CJ29" s="1">
        <f t="shared" si="25"/>
        <v>0</v>
      </c>
      <c r="CK29" s="1"/>
      <c r="CL29" s="1"/>
      <c r="CM29" s="1"/>
      <c r="CN29" s="1"/>
      <c r="CO29" s="1"/>
      <c r="CP29" s="1"/>
      <c r="CQ29" s="1"/>
      <c r="CR29" s="1"/>
      <c r="CS29" s="1"/>
      <c r="CT29" s="5"/>
      <c r="CU29" s="1">
        <f t="shared" si="26"/>
        <v>0</v>
      </c>
      <c r="CW29" s="1"/>
      <c r="CX29" s="1"/>
      <c r="CY29" s="1"/>
      <c r="CZ29" s="1"/>
      <c r="DA29" s="1"/>
      <c r="DB29" s="1"/>
      <c r="DC29" s="1"/>
      <c r="DD29" s="1"/>
      <c r="DE29" s="1"/>
      <c r="DF29" s="1"/>
      <c r="DG29" s="1"/>
      <c r="DH29" s="1"/>
      <c r="DI29" s="1"/>
      <c r="DJ29" s="1"/>
      <c r="DK29" s="1"/>
      <c r="DL29" s="1"/>
      <c r="DM29" s="1"/>
      <c r="DN29" s="1"/>
      <c r="DO29" s="1"/>
      <c r="DP29" s="1"/>
      <c r="DQ29" s="1"/>
      <c r="DR29" s="1"/>
      <c r="DS29" s="1"/>
      <c r="DT29" s="1"/>
      <c r="DW29" s="1">
        <f t="shared" si="27"/>
        <v>0</v>
      </c>
      <c r="DX29" s="1"/>
      <c r="DY29" s="1"/>
      <c r="DZ29" s="1"/>
      <c r="EB29" s="1">
        <f>+'Sys INPUT'!EC29</f>
        <v>0</v>
      </c>
      <c r="EC29" s="1"/>
      <c r="ED29" s="1"/>
      <c r="EE29" s="1"/>
      <c r="EF29" s="1">
        <f>+'Sys INPUT'!EG29</f>
        <v>0</v>
      </c>
      <c r="EG29" s="1"/>
      <c r="EL29" s="32">
        <f>+'Sys INPUT'!HT29+'Sys INPUT'!HU29+0</f>
        <v>0</v>
      </c>
      <c r="EM29" s="1"/>
      <c r="EN29">
        <f t="shared" si="17"/>
        <v>0</v>
      </c>
      <c r="EQ29" s="32">
        <f>+'Sys INPUT'!AF29+'Sys INPUT'!ER29+0</f>
        <v>0</v>
      </c>
    </row>
    <row r="30" spans="1:147" ht="15.75">
      <c r="A30" s="1"/>
      <c r="B30" s="8" t="s">
        <v>463</v>
      </c>
      <c r="C30" s="102"/>
      <c r="D30" s="1289" t="s">
        <v>3480</v>
      </c>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289" t="s">
        <v>3480</v>
      </c>
      <c r="AV30" s="1"/>
      <c r="AW30" s="1"/>
      <c r="AX30" s="1"/>
      <c r="AY30" s="1"/>
      <c r="AZ30" s="1"/>
      <c r="BA30" s="1"/>
      <c r="BB30" s="1"/>
      <c r="BC30" s="1"/>
      <c r="BD30" s="1"/>
      <c r="BE30" s="1"/>
      <c r="BF30" s="1"/>
      <c r="BG30" s="1">
        <f t="shared" si="22"/>
        <v>0</v>
      </c>
      <c r="BH30" s="1"/>
      <c r="BI30" s="1"/>
      <c r="BJ30" s="1"/>
      <c r="BK30" s="1"/>
      <c r="BL30" s="1"/>
      <c r="BM30" s="1"/>
      <c r="BN30" s="1">
        <f>+'Sys INPUT'!BN30</f>
        <v>0</v>
      </c>
      <c r="BO30" s="1"/>
      <c r="BP30" s="1">
        <f t="shared" si="28"/>
        <v>0</v>
      </c>
      <c r="BQ30" s="1"/>
      <c r="BR30" s="1"/>
      <c r="BS30" s="1"/>
      <c r="BT30" s="1"/>
      <c r="BU30" s="1"/>
      <c r="BV30" s="1"/>
      <c r="BW30" s="1"/>
      <c r="BX30" s="3"/>
      <c r="BY30" s="1"/>
      <c r="BZ30" s="1">
        <f t="shared" si="24"/>
        <v>0</v>
      </c>
      <c r="CA30" s="1">
        <f t="shared" si="1"/>
        <v>0</v>
      </c>
      <c r="CB30" s="76"/>
      <c r="CC30" s="1"/>
      <c r="CD30" s="1"/>
      <c r="CE30" s="1"/>
      <c r="CF30" s="1"/>
      <c r="CG30" s="1"/>
      <c r="CH30" s="1"/>
      <c r="CI30" s="1"/>
      <c r="CJ30" s="1"/>
      <c r="CK30" s="1"/>
      <c r="CL30" s="1"/>
      <c r="CM30" s="1"/>
      <c r="CN30" s="1"/>
      <c r="CO30" s="1"/>
      <c r="CP30" s="1"/>
      <c r="CQ30" s="1"/>
      <c r="CR30" s="1"/>
      <c r="CS30" s="1"/>
      <c r="CT30" s="5"/>
      <c r="CU30" s="1"/>
      <c r="CW30" s="1"/>
      <c r="CX30" s="1"/>
      <c r="CY30" s="1"/>
      <c r="CZ30" s="1"/>
      <c r="DA30" s="1"/>
      <c r="DB30" s="1"/>
      <c r="DC30" s="1"/>
      <c r="DD30" s="1"/>
      <c r="DE30" s="1"/>
      <c r="DF30" s="1"/>
      <c r="DG30" s="1"/>
      <c r="DH30" s="1"/>
      <c r="DI30" s="1"/>
      <c r="DJ30" s="1"/>
      <c r="DK30" s="1"/>
      <c r="DL30" s="1"/>
      <c r="DM30" s="1"/>
      <c r="DN30" s="1"/>
      <c r="DO30" s="1"/>
      <c r="DP30" s="1"/>
      <c r="DQ30" s="1"/>
      <c r="DR30" s="1"/>
      <c r="DS30" s="1"/>
      <c r="DT30" s="1"/>
      <c r="DW30" s="1">
        <f t="shared" si="27"/>
        <v>0</v>
      </c>
      <c r="DX30" s="1"/>
      <c r="DY30" s="1"/>
      <c r="DZ30" s="1"/>
      <c r="EB30" s="1"/>
      <c r="EC30" s="1"/>
      <c r="ED30" s="1"/>
      <c r="EE30" s="1"/>
      <c r="EF30" s="1"/>
      <c r="EG30" s="1"/>
      <c r="EL30" s="1"/>
      <c r="EM30" s="1"/>
      <c r="EN30">
        <f t="shared" si="17"/>
        <v>0</v>
      </c>
      <c r="EQ30" s="1"/>
    </row>
    <row r="31" spans="1:147" ht="15.75">
      <c r="A31" s="1"/>
      <c r="B31" s="1" t="s">
        <v>464</v>
      </c>
      <c r="C31" s="11"/>
      <c r="D31" s="89" t="s">
        <v>3482</v>
      </c>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f t="shared" ref="BF31:BF38" si="30">SUM(E31:BE31)</f>
        <v>0</v>
      </c>
      <c r="BG31" s="1">
        <f t="shared" si="22"/>
        <v>0</v>
      </c>
      <c r="BH31" s="1"/>
      <c r="BI31" s="1"/>
      <c r="BJ31" s="1"/>
      <c r="BK31" s="1"/>
      <c r="BL31" s="1"/>
      <c r="BM31" s="1"/>
      <c r="BN31" s="1">
        <f>+'Sys INPUT'!BN31</f>
        <v>0</v>
      </c>
      <c r="BO31" s="1"/>
      <c r="BP31" s="1">
        <f t="shared" si="28"/>
        <v>0</v>
      </c>
      <c r="BQ31" s="1"/>
      <c r="BR31" s="1"/>
      <c r="BS31" s="1"/>
      <c r="BT31" s="1"/>
      <c r="BU31" s="1"/>
      <c r="BV31" s="1"/>
      <c r="BW31" s="1"/>
      <c r="BX31" s="3"/>
      <c r="BY31" s="1">
        <f>SUM(BR31:BX31)</f>
        <v>0</v>
      </c>
      <c r="BZ31" s="1">
        <f t="shared" si="24"/>
        <v>0</v>
      </c>
      <c r="CA31" s="1">
        <f t="shared" si="1"/>
        <v>0</v>
      </c>
      <c r="CB31" s="1"/>
      <c r="CC31" s="655">
        <f>+'Sys INPUT'!CC31-CC245-CC269-CC261+CC262-CC263-CC265+CC266-CC267+CC305+CC321-CC322+CC323+CC325-CC326+CC327+CC329+CC320</f>
        <v>545371</v>
      </c>
      <c r="CD31" s="1">
        <f>+'Sys INPUT'!CD31-CD245-CD269-CD265+CD305+CD321+CD329+0</f>
        <v>30771</v>
      </c>
      <c r="CE31" s="1">
        <f>+'Sys INPUT'!CE31-CE245-CE269-CE265+CE305+CE321+CE329+0</f>
        <v>19916</v>
      </c>
      <c r="CF31" s="1">
        <f>+'Sys INPUT'!CF31-CF245-CF269-CF265+CF305+CF321+CF329+0</f>
        <v>0</v>
      </c>
      <c r="CG31" s="655">
        <f>+'Sys INPUT'!CG31-CG245-CG269-CG261+CG262-CG263-CG265+CG266-CG267+CG305+CG321-CG322+CG323+CG325-CG326+CG327+CG329+CG320</f>
        <v>249862</v>
      </c>
      <c r="CH31" s="1">
        <f>+'Sys INPUT'!CH31-CH245-CH269-CH265+CH305+CH321+CH329+0</f>
        <v>17474</v>
      </c>
      <c r="CI31" s="1"/>
      <c r="CJ31" s="1">
        <f t="shared" ref="CJ31:CJ38" si="31">SUM(CB31:CI31)</f>
        <v>863394</v>
      </c>
      <c r="CK31" s="1">
        <f>+CJ31-CB31-CC31-CG31</f>
        <v>68161</v>
      </c>
      <c r="CL31" s="655">
        <f>+'Sys INPUT'!CL31-CL245-CL269-CL265+CL305+CL321+CL329</f>
        <v>756423</v>
      </c>
      <c r="CM31" s="655">
        <f>+'Sys INPUT'!CM31-CM245-CM269-CM265+CM305+CM321+CM329</f>
        <v>0</v>
      </c>
      <c r="CN31" s="655">
        <f>+'Sys INPUT'!CN31-CN245-CN269-CN265+CN305+CN321+CN329</f>
        <v>454798</v>
      </c>
      <c r="CO31" s="1">
        <f>+'Sys INPUT'!CO31-CO245-CO269-CO265+CO305+CO321+CO329-0</f>
        <v>0</v>
      </c>
      <c r="CP31" s="655">
        <f>+'Sys INPUT'!CP31-CP245-CP269-CP265+CP305+CP321+CP329</f>
        <v>1337152</v>
      </c>
      <c r="CQ31" s="1">
        <f>+'Sys INPUT'!CQ31-CQ245-CQ269-CQ265+CQ305+CQ321+CQ329-0</f>
        <v>0</v>
      </c>
      <c r="CR31" s="1">
        <f>+'Sys INPUT'!CR31-CR245-CR269-CR265+CR305+CR321+CR329-0</f>
        <v>51052</v>
      </c>
      <c r="CS31" s="1"/>
      <c r="CT31" s="5"/>
      <c r="CU31" s="1">
        <f t="shared" ref="CU31:CU38" si="32">SUM(CL31:CT31)</f>
        <v>2599425</v>
      </c>
      <c r="CW31" s="1"/>
      <c r="CX31" s="1"/>
      <c r="CY31" s="1"/>
      <c r="CZ31" s="1"/>
      <c r="DA31" s="1"/>
      <c r="DB31" s="1"/>
      <c r="DC31" s="1"/>
      <c r="DD31" s="1"/>
      <c r="DE31" s="1"/>
      <c r="DF31" s="1"/>
      <c r="DG31" s="1"/>
      <c r="DH31" s="1"/>
      <c r="DI31" s="1"/>
      <c r="DJ31" s="1"/>
      <c r="DK31" s="1"/>
      <c r="DL31" s="1"/>
      <c r="DM31" s="1"/>
      <c r="DN31" s="1"/>
      <c r="DO31" s="1"/>
      <c r="DP31" s="1"/>
      <c r="DQ31" s="1"/>
      <c r="DR31" s="1"/>
      <c r="DS31" s="1"/>
      <c r="DT31" s="1"/>
      <c r="DW31" s="1">
        <f t="shared" si="27"/>
        <v>0</v>
      </c>
      <c r="DX31" s="1"/>
      <c r="DY31" s="1"/>
      <c r="DZ31" s="1"/>
      <c r="EB31" s="1"/>
      <c r="EC31" s="1"/>
      <c r="ED31" s="1"/>
      <c r="EE31" s="1"/>
      <c r="EF31" s="1"/>
      <c r="EG31" s="1"/>
      <c r="EL31" s="1"/>
      <c r="EM31" s="1"/>
      <c r="EN31">
        <f t="shared" si="17"/>
        <v>0</v>
      </c>
      <c r="EQ31" s="1"/>
    </row>
    <row r="32" spans="1:147" ht="15.75">
      <c r="A32" s="1"/>
      <c r="B32" s="1" t="s">
        <v>465</v>
      </c>
      <c r="C32" s="1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f t="shared" si="30"/>
        <v>0</v>
      </c>
      <c r="BG32" s="1">
        <f t="shared" si="22"/>
        <v>0</v>
      </c>
      <c r="BH32" s="1"/>
      <c r="BI32" s="1"/>
      <c r="BJ32" s="1"/>
      <c r="BK32" s="1"/>
      <c r="BL32" s="1"/>
      <c r="BM32" s="1"/>
      <c r="BN32" s="1">
        <f>+'Sys INPUT'!BN32</f>
        <v>0</v>
      </c>
      <c r="BO32" s="1"/>
      <c r="BP32" s="1">
        <f t="shared" si="28"/>
        <v>0</v>
      </c>
      <c r="BQ32" s="1"/>
      <c r="BR32" s="1"/>
      <c r="BS32" s="1"/>
      <c r="BT32" s="1"/>
      <c r="BU32" s="1"/>
      <c r="BV32" s="1"/>
      <c r="BW32" s="1"/>
      <c r="BX32" s="3"/>
      <c r="BY32" s="1">
        <f>SUM(BR32:BX32)</f>
        <v>0</v>
      </c>
      <c r="BZ32" s="1">
        <f t="shared" si="24"/>
        <v>0</v>
      </c>
      <c r="CA32" s="1">
        <f t="shared" si="1"/>
        <v>0</v>
      </c>
      <c r="CB32" s="1"/>
      <c r="CC32" s="1">
        <f>+'Sys INPUT'!CC32-INPUT!CC246+CC258+INPUT!CC306-CC318</f>
        <v>247402</v>
      </c>
      <c r="CD32" s="1">
        <f>+'Sys INPUT'!CD32-INPUT!CD246+CD258+INPUT!CD306-CD318</f>
        <v>10966</v>
      </c>
      <c r="CE32" s="1">
        <f>+'Sys INPUT'!CE32-INPUT!CE246+CE258+INPUT!CE306-CE318</f>
        <v>10299</v>
      </c>
      <c r="CF32" s="1">
        <f>+'Sys INPUT'!CF32-INPUT!CF246+CF258+INPUT!CF306-CF318</f>
        <v>55091</v>
      </c>
      <c r="CG32" s="1">
        <f>+'Sys INPUT'!CG32-INPUT!CG246+CG258+INPUT!CG306-CG318</f>
        <v>281168</v>
      </c>
      <c r="CH32" s="1">
        <f>+'Sys INPUT'!CH32-INPUT!CH246+CH258+INPUT!CH306-CH318</f>
        <v>12799</v>
      </c>
      <c r="CI32" s="1"/>
      <c r="CJ32" s="1">
        <f t="shared" si="31"/>
        <v>617725</v>
      </c>
      <c r="CK32" s="1">
        <f>+CJ32-CB32-CC32-CG32</f>
        <v>89155</v>
      </c>
      <c r="CL32" s="1">
        <f>+'Sys INPUT'!CL32-INPUT!CL246+CL258+INPUT!CL306-CL318</f>
        <v>335541</v>
      </c>
      <c r="CM32" s="1">
        <f>+'Sys INPUT'!CM32-INPUT!CM246+CM258+INPUT!CM306-CM318</f>
        <v>77920</v>
      </c>
      <c r="CN32" s="1">
        <f>+'Sys INPUT'!CN32-INPUT!CN246+CN258+INPUT!CN306-CN318</f>
        <v>271209</v>
      </c>
      <c r="CO32" s="1">
        <f>+'Sys INPUT'!CO32-INPUT!CO246+CO258+INPUT!CO306-CO318</f>
        <v>493147</v>
      </c>
      <c r="CP32" s="1004">
        <f>+'Sys INPUT'!CP32-INPUT!CP246+CP258+INPUT!CP306-CP318-505049+2</f>
        <v>445425</v>
      </c>
      <c r="CQ32" s="42">
        <f>+'Sys INPUT'!CQ32-INPUT!CQ246+CQ258+INPUT!CQ306-CQ318</f>
        <v>0</v>
      </c>
      <c r="CR32" s="1">
        <f>+'Sys INPUT'!CR32-INPUT!CR246+CR258+INPUT!CR306-CR318</f>
        <v>761095</v>
      </c>
      <c r="CS32" s="1"/>
      <c r="CT32" s="5"/>
      <c r="CU32" s="1">
        <f t="shared" si="32"/>
        <v>2384337</v>
      </c>
      <c r="CV32">
        <f>-505049+2</f>
        <v>-505047</v>
      </c>
      <c r="CW32" s="1"/>
      <c r="CX32" s="1"/>
      <c r="CY32" s="1"/>
      <c r="CZ32" s="1"/>
      <c r="DA32" s="1"/>
      <c r="DB32" s="1"/>
      <c r="DC32" s="1"/>
      <c r="DD32" s="1"/>
      <c r="DE32" s="1"/>
      <c r="DF32" s="1"/>
      <c r="DG32" s="1"/>
      <c r="DH32" s="1"/>
      <c r="DI32" s="1"/>
      <c r="DJ32" s="1"/>
      <c r="DK32" s="1"/>
      <c r="DL32" s="1"/>
      <c r="DM32" s="1"/>
      <c r="DN32" s="1"/>
      <c r="DO32" s="1"/>
      <c r="DP32" s="1"/>
      <c r="DQ32" s="1"/>
      <c r="DR32" s="1"/>
      <c r="DS32" s="1"/>
      <c r="DT32" s="1"/>
      <c r="DW32" s="1">
        <f t="shared" si="27"/>
        <v>0</v>
      </c>
      <c r="DX32" s="1"/>
      <c r="DY32" s="1"/>
      <c r="DZ32" s="1"/>
      <c r="EB32" s="1"/>
      <c r="EC32" s="1"/>
      <c r="ED32" s="1"/>
      <c r="EE32" s="1"/>
      <c r="EF32" s="1"/>
      <c r="EG32" s="1"/>
      <c r="EL32" s="1"/>
      <c r="EM32" s="1"/>
      <c r="EN32">
        <f t="shared" si="17"/>
        <v>0</v>
      </c>
      <c r="EQ32" s="1"/>
    </row>
    <row r="33" spans="1:147" ht="15.75">
      <c r="A33" s="1"/>
      <c r="B33" s="1" t="s">
        <v>466</v>
      </c>
      <c r="C33" s="1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f t="shared" si="30"/>
        <v>0</v>
      </c>
      <c r="BG33" s="1">
        <f t="shared" si="22"/>
        <v>0</v>
      </c>
      <c r="BH33" s="1"/>
      <c r="BI33" s="1"/>
      <c r="BJ33" s="1"/>
      <c r="BK33" s="1"/>
      <c r="BL33" s="1"/>
      <c r="BM33" s="1"/>
      <c r="BN33" s="1">
        <f>+'Sys INPUT'!BN33</f>
        <v>0</v>
      </c>
      <c r="BO33" s="1"/>
      <c r="BP33" s="1">
        <f t="shared" si="28"/>
        <v>0</v>
      </c>
      <c r="BQ33" s="1"/>
      <c r="BR33" s="1"/>
      <c r="BS33" s="1"/>
      <c r="BT33" s="1"/>
      <c r="BU33" s="1"/>
      <c r="BV33" s="1"/>
      <c r="BW33" s="1"/>
      <c r="BX33" s="3"/>
      <c r="BY33" s="1">
        <f>SUM(BR33:BX33)</f>
        <v>0</v>
      </c>
      <c r="BZ33" s="1">
        <f t="shared" si="24"/>
        <v>0</v>
      </c>
      <c r="CA33" s="1">
        <f t="shared" si="1"/>
        <v>0</v>
      </c>
      <c r="CB33" s="1"/>
      <c r="CC33" s="42">
        <f>+'Sys INPUT'!CC33-INPUT!CC247+INPUT!CC307+1</f>
        <v>903812</v>
      </c>
      <c r="CD33" s="42">
        <f>+'Sys INPUT'!CD33-INPUT!CD247+INPUT!CD307+2</f>
        <v>64578</v>
      </c>
      <c r="CE33" s="42">
        <f>+'Sys INPUT'!CE33-INPUT!CE247+INPUT!CE307+1</f>
        <v>165702</v>
      </c>
      <c r="CF33" s="42">
        <f>+'Sys INPUT'!CF33-INPUT!CF247+INPUT!CF307-15300+5273</f>
        <v>1384810</v>
      </c>
      <c r="CG33" s="42">
        <f>+'Sys INPUT'!CG33-INPUT!CG247+INPUT!CG307+16079+23309-3</f>
        <v>270526</v>
      </c>
      <c r="CH33" s="1">
        <f>+'Sys INPUT'!CH33-INPUT!CH247+INPUT!CH307+0</f>
        <v>2314</v>
      </c>
      <c r="CI33" s="1"/>
      <c r="CJ33" s="1">
        <f t="shared" si="31"/>
        <v>2791742</v>
      </c>
      <c r="CK33" s="1">
        <f>+CJ33-CB33-CC33-CG33</f>
        <v>1617404</v>
      </c>
      <c r="CL33" s="42">
        <f>+'Sys INPUT'!CL33-INPUT!CL247+INPUT!CL307+126264</f>
        <v>771977</v>
      </c>
      <c r="CM33" s="1">
        <f>+'Sys INPUT'!CM33-INPUT!CM247+INPUT!CM307+31259</f>
        <v>137181</v>
      </c>
      <c r="CN33" s="42">
        <f>+'Sys INPUT'!CN33-INPUT!CN247+INPUT!CN307+13144-3</f>
        <v>77237</v>
      </c>
      <c r="CO33" s="42">
        <f>+'Sys INPUT'!CO33-INPUT!CO247+INPUT!CO307+0</f>
        <v>3130</v>
      </c>
      <c r="CP33" s="1">
        <f>+'Sys INPUT'!CP33-INPUT!CP247+INPUT!CP307</f>
        <v>280564</v>
      </c>
      <c r="CQ33" s="42">
        <f>+'Sys INPUT'!CQ33-INPUT!CQ247+INPUT!CQ307</f>
        <v>1158274</v>
      </c>
      <c r="CR33" s="1">
        <f>+'Sys INPUT'!CR33-INPUT!CR247+INPUT!CR307+0</f>
        <v>8115671</v>
      </c>
      <c r="CS33" s="1"/>
      <c r="CT33" s="5"/>
      <c r="CU33" s="1">
        <f t="shared" si="32"/>
        <v>10544034</v>
      </c>
      <c r="CW33" s="1"/>
      <c r="CX33" s="1"/>
      <c r="CY33" s="1"/>
      <c r="CZ33" s="1"/>
      <c r="DA33" s="1"/>
      <c r="DB33" s="1"/>
      <c r="DC33" s="1"/>
      <c r="DD33" s="1"/>
      <c r="DE33" s="1"/>
      <c r="DF33" s="1"/>
      <c r="DG33" s="1"/>
      <c r="DH33" s="1"/>
      <c r="DI33" s="1"/>
      <c r="DJ33" s="1"/>
      <c r="DK33" s="1"/>
      <c r="DL33" s="1"/>
      <c r="DM33" s="1"/>
      <c r="DN33" s="1"/>
      <c r="DO33" s="1"/>
      <c r="DP33" s="1"/>
      <c r="DQ33" s="1"/>
      <c r="DR33" s="1"/>
      <c r="DS33" s="1"/>
      <c r="DT33" s="1"/>
      <c r="DW33" s="1">
        <f t="shared" si="27"/>
        <v>0</v>
      </c>
      <c r="DX33" s="1"/>
      <c r="DY33" s="1"/>
      <c r="DZ33" s="1"/>
      <c r="EB33" s="1"/>
      <c r="EC33" s="1"/>
      <c r="ED33" s="1"/>
      <c r="EE33" s="1"/>
      <c r="EF33" s="1"/>
      <c r="EG33" s="1"/>
      <c r="EL33" s="1"/>
      <c r="EM33" s="1"/>
      <c r="EN33">
        <f t="shared" si="17"/>
        <v>0</v>
      </c>
      <c r="EQ33" s="1"/>
    </row>
    <row r="34" spans="1:147" ht="15.75">
      <c r="A34" s="1"/>
      <c r="B34" s="1" t="s">
        <v>411</v>
      </c>
      <c r="C34" s="1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f t="shared" si="30"/>
        <v>0</v>
      </c>
      <c r="BG34" s="1">
        <f t="shared" si="22"/>
        <v>0</v>
      </c>
      <c r="BH34" s="1"/>
      <c r="BI34" s="1"/>
      <c r="BJ34" s="1"/>
      <c r="BK34" s="1"/>
      <c r="BL34" s="1"/>
      <c r="BM34" s="1"/>
      <c r="BN34" s="1">
        <f>+'Sys INPUT'!BN34</f>
        <v>0</v>
      </c>
      <c r="BO34" s="1"/>
      <c r="BP34" s="1">
        <f t="shared" si="28"/>
        <v>0</v>
      </c>
      <c r="BQ34" s="1"/>
      <c r="BR34" s="1"/>
      <c r="BS34" s="1"/>
      <c r="BT34" s="1"/>
      <c r="BU34" s="1"/>
      <c r="BV34" s="1"/>
      <c r="BW34" s="1"/>
      <c r="BX34" s="3"/>
      <c r="BY34" s="1">
        <f>SUM(BR34:BX34)</f>
        <v>0</v>
      </c>
      <c r="BZ34" s="1">
        <f t="shared" si="24"/>
        <v>0</v>
      </c>
      <c r="CA34" s="1">
        <f t="shared" si="1"/>
        <v>0</v>
      </c>
      <c r="CB34" s="1"/>
      <c r="CC34" s="42">
        <f>+'Sys INPUT'!CC34-CC249+CC309+0</f>
        <v>0</v>
      </c>
      <c r="CD34" s="1">
        <f>+'Sys INPUT'!CD34-CD249+CD310-0</f>
        <v>0</v>
      </c>
      <c r="CE34" s="42">
        <f>+'Sys INPUT'!CE34-CE249+CE309-73850</f>
        <v>0</v>
      </c>
      <c r="CF34" s="1">
        <f>+'Sys INPUT'!CF34-CF249+CF309-5273</f>
        <v>0</v>
      </c>
      <c r="CG34" s="42">
        <f>+'Sys INPUT'!CG34-CG249+CG309+0-16079</f>
        <v>0</v>
      </c>
      <c r="CH34" s="1">
        <f>+'Sys INPUT'!CH34-CH249+CH309-0</f>
        <v>0</v>
      </c>
      <c r="CI34" s="1"/>
      <c r="CJ34" s="1">
        <f t="shared" si="31"/>
        <v>0</v>
      </c>
      <c r="CK34" s="1">
        <f>+CJ34-CB34-CC34-CG34</f>
        <v>0</v>
      </c>
      <c r="CL34" s="42">
        <f>+'Sys INPUT'!CL34-CL249+CL309-126264</f>
        <v>0</v>
      </c>
      <c r="CM34" s="42">
        <f>+'Sys INPUT'!CM34-CM249+CM309-31259</f>
        <v>0</v>
      </c>
      <c r="CN34" s="42">
        <f>+'Sys INPUT'!CN34-CN249+CN309-13144</f>
        <v>0</v>
      </c>
      <c r="CO34" s="42">
        <f>+'Sys INPUT'!CO34-CO249+CO309-0</f>
        <v>0</v>
      </c>
      <c r="CP34" s="1">
        <f>+'Sys INPUT'!CP34-CP249+CP309-0</f>
        <v>0</v>
      </c>
      <c r="CQ34" s="1">
        <f>+'Sys INPUT'!CQ34-CQ249+CQ309-0</f>
        <v>0</v>
      </c>
      <c r="CR34" s="1">
        <f>+'Sys INPUT'!CR34-CR249+CR309</f>
        <v>0</v>
      </c>
      <c r="CS34" s="1"/>
      <c r="CT34" s="5"/>
      <c r="CU34" s="1">
        <f t="shared" si="32"/>
        <v>0</v>
      </c>
      <c r="CW34" s="1"/>
      <c r="CX34" s="1"/>
      <c r="CY34" s="1"/>
      <c r="CZ34" s="1"/>
      <c r="DA34" s="1"/>
      <c r="DB34" s="1"/>
      <c r="DC34" s="1"/>
      <c r="DD34" s="1"/>
      <c r="DE34" s="1"/>
      <c r="DF34" s="1"/>
      <c r="DG34" s="1"/>
      <c r="DH34" s="1"/>
      <c r="DI34" s="1"/>
      <c r="DJ34" s="1"/>
      <c r="DK34" s="1"/>
      <c r="DL34" s="1"/>
      <c r="DM34" s="1"/>
      <c r="DN34" s="1"/>
      <c r="DO34" s="1"/>
      <c r="DP34" s="1"/>
      <c r="DQ34" s="1"/>
      <c r="DR34" s="1"/>
      <c r="DS34" s="1"/>
      <c r="DT34" s="1"/>
      <c r="DW34" s="1">
        <f t="shared" si="27"/>
        <v>0</v>
      </c>
      <c r="DX34" s="1"/>
      <c r="DY34" s="1"/>
      <c r="DZ34" s="1"/>
      <c r="EB34" s="1">
        <f>+'Sys INPUT'!EC34-EB249+INPUT!EB309+0</f>
        <v>0</v>
      </c>
      <c r="EC34" s="1"/>
      <c r="ED34" s="1"/>
      <c r="EE34" s="1"/>
      <c r="EF34" s="1"/>
      <c r="EG34" s="1"/>
      <c r="EI34">
        <f>+D34+BF34+BP34+BY34+ED34+CU34+CJ34</f>
        <v>0</v>
      </c>
      <c r="EL34" s="1"/>
      <c r="EM34" s="1"/>
      <c r="EN34">
        <f t="shared" si="17"/>
        <v>0</v>
      </c>
      <c r="EQ34" s="1"/>
    </row>
    <row r="35" spans="1:147" ht="15.75">
      <c r="A35" s="1"/>
      <c r="B35" s="1"/>
      <c r="C35" s="1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f t="shared" si="30"/>
        <v>0</v>
      </c>
      <c r="BG35" s="1">
        <f t="shared" si="22"/>
        <v>0</v>
      </c>
      <c r="BH35" s="1"/>
      <c r="BI35" s="1"/>
      <c r="BJ35" s="1"/>
      <c r="BK35" s="1"/>
      <c r="BL35" s="1"/>
      <c r="BM35" s="1"/>
      <c r="BN35" s="1">
        <f>+'Sys INPUT'!BN35</f>
        <v>0</v>
      </c>
      <c r="BO35" s="1"/>
      <c r="BP35" s="1">
        <f t="shared" si="28"/>
        <v>0</v>
      </c>
      <c r="BQ35" s="1"/>
      <c r="BR35" s="1"/>
      <c r="BS35" s="1"/>
      <c r="BT35" s="1"/>
      <c r="BU35" s="1"/>
      <c r="BV35" s="1"/>
      <c r="BW35" s="1"/>
      <c r="BX35" s="3"/>
      <c r="BY35" s="1"/>
      <c r="BZ35" s="1">
        <f t="shared" si="24"/>
        <v>0</v>
      </c>
      <c r="CA35" s="1">
        <f t="shared" si="1"/>
        <v>0</v>
      </c>
      <c r="CB35" s="1"/>
      <c r="CC35" s="1"/>
      <c r="CD35" s="1"/>
      <c r="CE35" s="1"/>
      <c r="CF35" s="1"/>
      <c r="CG35" s="1"/>
      <c r="CH35" s="1"/>
      <c r="CI35" s="1"/>
      <c r="CJ35" s="1">
        <f t="shared" si="31"/>
        <v>0</v>
      </c>
      <c r="CK35" s="1"/>
      <c r="CL35" s="1"/>
      <c r="CM35" s="1"/>
      <c r="CN35" s="1"/>
      <c r="CO35" s="1"/>
      <c r="CP35" s="1"/>
      <c r="CQ35" s="1"/>
      <c r="CR35" s="1"/>
      <c r="CS35" s="1"/>
      <c r="CT35" s="5"/>
      <c r="CU35" s="1">
        <f t="shared" si="32"/>
        <v>0</v>
      </c>
      <c r="CW35" s="1"/>
      <c r="CX35" s="1"/>
      <c r="CY35" s="1"/>
      <c r="CZ35" s="1"/>
      <c r="DA35" s="1"/>
      <c r="DB35" s="1"/>
      <c r="DC35" s="1"/>
      <c r="DD35" s="1"/>
      <c r="DE35" s="1"/>
      <c r="DF35" s="1"/>
      <c r="DG35" s="1"/>
      <c r="DH35" s="1"/>
      <c r="DI35" s="1"/>
      <c r="DJ35" s="1"/>
      <c r="DK35" s="1"/>
      <c r="DL35" s="1"/>
      <c r="DM35" s="1"/>
      <c r="DN35" s="1"/>
      <c r="DO35" s="1"/>
      <c r="DP35" s="1"/>
      <c r="DQ35" s="1"/>
      <c r="DR35" s="1"/>
      <c r="DS35" s="1"/>
      <c r="DT35" s="1"/>
      <c r="DW35" s="1">
        <f t="shared" si="27"/>
        <v>0</v>
      </c>
      <c r="DX35" s="1"/>
      <c r="DY35" s="1"/>
      <c r="DZ35" s="1"/>
      <c r="EB35" s="89"/>
      <c r="EC35" s="1"/>
      <c r="ED35" s="1"/>
      <c r="EE35" s="1"/>
      <c r="EF35" s="1"/>
      <c r="EG35" s="1"/>
      <c r="EL35" s="1"/>
      <c r="EM35" s="1"/>
      <c r="EN35">
        <f t="shared" si="17"/>
        <v>0</v>
      </c>
      <c r="EQ35" s="1"/>
    </row>
    <row r="36" spans="1:147" ht="15.75">
      <c r="A36" s="1"/>
      <c r="B36" s="1" t="s">
        <v>565</v>
      </c>
      <c r="C36" s="1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f t="shared" si="30"/>
        <v>0</v>
      </c>
      <c r="BG36" s="1">
        <f t="shared" si="22"/>
        <v>0</v>
      </c>
      <c r="BH36" s="1"/>
      <c r="BI36" s="1"/>
      <c r="BJ36" s="1"/>
      <c r="BK36" s="1"/>
      <c r="BL36" s="1"/>
      <c r="BM36" s="1"/>
      <c r="BN36" s="1"/>
      <c r="BO36" s="1"/>
      <c r="BP36" s="1">
        <f t="shared" si="28"/>
        <v>0</v>
      </c>
      <c r="BQ36" s="1"/>
      <c r="BR36" s="1"/>
      <c r="BS36" s="1"/>
      <c r="BT36" s="1"/>
      <c r="BU36" s="1"/>
      <c r="BV36" s="1"/>
      <c r="BW36" s="1"/>
      <c r="BX36" s="3"/>
      <c r="BY36" s="1">
        <f>SUM(BR36:BX36)</f>
        <v>0</v>
      </c>
      <c r="BZ36" s="1">
        <f t="shared" si="24"/>
        <v>0</v>
      </c>
      <c r="CA36" s="1">
        <f t="shared" si="1"/>
        <v>0</v>
      </c>
      <c r="CB36" s="1"/>
      <c r="CC36" s="1"/>
      <c r="CD36" s="1"/>
      <c r="CE36" s="1"/>
      <c r="CF36" s="1"/>
      <c r="CG36" s="1"/>
      <c r="CH36" s="1"/>
      <c r="CI36" s="1"/>
      <c r="CJ36" s="1">
        <f t="shared" si="31"/>
        <v>0</v>
      </c>
      <c r="CK36" s="1"/>
      <c r="CL36" s="1"/>
      <c r="CM36" s="1"/>
      <c r="CN36" s="1"/>
      <c r="CO36" s="1"/>
      <c r="CP36" s="1"/>
      <c r="CQ36" s="1"/>
      <c r="CR36" s="1"/>
      <c r="CS36" s="1"/>
      <c r="CT36" s="5"/>
      <c r="CU36" s="1">
        <f t="shared" si="32"/>
        <v>0</v>
      </c>
      <c r="CW36" s="1"/>
      <c r="CX36" s="1"/>
      <c r="CY36" s="1"/>
      <c r="CZ36" s="1"/>
      <c r="DA36" s="1"/>
      <c r="DB36" s="1"/>
      <c r="DC36" s="1"/>
      <c r="DD36" s="1"/>
      <c r="DE36" s="1"/>
      <c r="DF36" s="1"/>
      <c r="DG36" s="1"/>
      <c r="DH36" s="1"/>
      <c r="DI36" s="1"/>
      <c r="DJ36" s="1"/>
      <c r="DK36" s="1"/>
      <c r="DL36" s="1"/>
      <c r="DM36" s="1"/>
      <c r="DN36" s="1"/>
      <c r="DO36" s="1"/>
      <c r="DP36" s="1"/>
      <c r="DQ36" s="1"/>
      <c r="DR36" s="1"/>
      <c r="DS36" s="1"/>
      <c r="DT36" s="1"/>
      <c r="DW36" s="1">
        <f t="shared" si="27"/>
        <v>0</v>
      </c>
      <c r="DX36" s="1"/>
      <c r="DY36" s="1"/>
      <c r="DZ36" s="1"/>
      <c r="EB36" s="1"/>
      <c r="EC36" s="1"/>
      <c r="ED36" s="1"/>
      <c r="EE36" s="1"/>
      <c r="EF36" s="1"/>
      <c r="EG36" s="1"/>
      <c r="EL36" s="1"/>
      <c r="EM36" s="1"/>
      <c r="EN36">
        <f t="shared" si="17"/>
        <v>0</v>
      </c>
      <c r="EQ36" s="1"/>
    </row>
    <row r="37" spans="1:147" ht="15.75">
      <c r="A37" s="1"/>
      <c r="B37" s="1" t="s">
        <v>286</v>
      </c>
      <c r="C37" s="1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f t="shared" si="30"/>
        <v>0</v>
      </c>
      <c r="BG37" s="1">
        <f t="shared" si="22"/>
        <v>0</v>
      </c>
      <c r="BH37" s="1"/>
      <c r="BI37" s="1"/>
      <c r="BJ37" s="1"/>
      <c r="BK37" s="1"/>
      <c r="BL37" s="1"/>
      <c r="BM37" s="1"/>
      <c r="BN37" s="1"/>
      <c r="BO37" s="1"/>
      <c r="BP37" s="1">
        <f t="shared" si="28"/>
        <v>0</v>
      </c>
      <c r="BQ37" s="1"/>
      <c r="BR37" s="1"/>
      <c r="BS37" s="1"/>
      <c r="BT37" s="1"/>
      <c r="BU37" s="1"/>
      <c r="BV37" s="1"/>
      <c r="BW37" s="1"/>
      <c r="BX37" s="3"/>
      <c r="BY37" s="1">
        <f>SUM(BR37:BX37)</f>
        <v>0</v>
      </c>
      <c r="BZ37" s="1">
        <f t="shared" si="24"/>
        <v>0</v>
      </c>
      <c r="CA37" s="1">
        <f t="shared" si="1"/>
        <v>0</v>
      </c>
      <c r="CB37" s="1"/>
      <c r="CC37" s="42">
        <f>+'Sys INPUT'!CC37+0</f>
        <v>0</v>
      </c>
      <c r="CD37" s="1">
        <f>+'Sys INPUT'!CD37</f>
        <v>0</v>
      </c>
      <c r="CE37" s="1">
        <f>+'Sys INPUT'!CE37</f>
        <v>0</v>
      </c>
      <c r="CF37" s="1">
        <f>+'Sys INPUT'!CF37</f>
        <v>0</v>
      </c>
      <c r="CG37" s="1">
        <f>+'Sys INPUT'!CG37+0+0</f>
        <v>23768</v>
      </c>
      <c r="CH37" s="1">
        <f>+'Sys INPUT'!CH37</f>
        <v>0</v>
      </c>
      <c r="CI37" s="1"/>
      <c r="CJ37" s="1">
        <f t="shared" si="31"/>
        <v>23768</v>
      </c>
      <c r="CK37" s="1"/>
      <c r="CL37" s="1">
        <f>+'Sys INPUT'!CL37-0-0-0-0</f>
        <v>0</v>
      </c>
      <c r="CM37" s="1">
        <f>+'Sys INPUT'!CM37-0-0-0-0</f>
        <v>0</v>
      </c>
      <c r="CN37" s="1">
        <f>+'Sys INPUT'!CN37-0-0-0-0</f>
        <v>0</v>
      </c>
      <c r="CO37" s="1">
        <f>+'Sys INPUT'!CO37+0</f>
        <v>0</v>
      </c>
      <c r="CP37" s="1004">
        <f>+'Sys INPUT'!CP37-CP252+CP312</f>
        <v>4540</v>
      </c>
      <c r="CQ37" s="1">
        <f>+'Sys INPUT'!CQ37-0-0-0-0</f>
        <v>0</v>
      </c>
      <c r="CR37" s="1">
        <f>+'Sys INPUT'!CR37-0-0-0-0</f>
        <v>0</v>
      </c>
      <c r="CS37" s="1"/>
      <c r="CT37" s="5"/>
      <c r="CU37" s="1">
        <f t="shared" si="32"/>
        <v>4540</v>
      </c>
      <c r="CW37" s="1"/>
      <c r="CX37" s="1"/>
      <c r="CY37" s="1"/>
      <c r="CZ37" s="1"/>
      <c r="DA37" s="1"/>
      <c r="DB37" s="1"/>
      <c r="DC37" s="1"/>
      <c r="DD37" s="1"/>
      <c r="DE37" s="1"/>
      <c r="DF37" s="1"/>
      <c r="DG37" s="1"/>
      <c r="DH37" s="1"/>
      <c r="DI37" s="1"/>
      <c r="DJ37" s="1"/>
      <c r="DK37" s="1"/>
      <c r="DL37" s="1"/>
      <c r="DM37" s="1"/>
      <c r="DN37" s="1"/>
      <c r="DO37" s="1"/>
      <c r="DP37" s="1"/>
      <c r="DQ37" s="1"/>
      <c r="DR37" s="1"/>
      <c r="DS37" s="1"/>
      <c r="DT37" s="1"/>
      <c r="DW37" s="1">
        <f t="shared" si="27"/>
        <v>0</v>
      </c>
      <c r="DX37" s="1"/>
      <c r="DY37" s="1"/>
      <c r="DZ37" s="1"/>
      <c r="EB37" s="1"/>
      <c r="EC37" s="1"/>
      <c r="ED37" s="1"/>
      <c r="EE37" s="1"/>
      <c r="EF37" s="1"/>
      <c r="EG37" s="1"/>
      <c r="EL37" s="1"/>
      <c r="EM37" s="1"/>
      <c r="EN37">
        <f t="shared" si="17"/>
        <v>0</v>
      </c>
      <c r="EQ37" s="1"/>
    </row>
    <row r="38" spans="1:147" ht="15.75">
      <c r="A38" s="1"/>
      <c r="B38" s="89" t="s">
        <v>3475</v>
      </c>
      <c r="C38" s="1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f t="shared" si="30"/>
        <v>0</v>
      </c>
      <c r="BG38" s="1">
        <f t="shared" si="22"/>
        <v>0</v>
      </c>
      <c r="BH38" s="1"/>
      <c r="BI38" s="1"/>
      <c r="BJ38" s="1"/>
      <c r="BK38" s="1"/>
      <c r="BL38" s="1"/>
      <c r="BM38" s="1"/>
      <c r="BN38" s="1"/>
      <c r="BO38" s="1"/>
      <c r="BP38" s="1">
        <f t="shared" si="28"/>
        <v>0</v>
      </c>
      <c r="BQ38" s="1"/>
      <c r="BR38" s="1"/>
      <c r="BS38" s="1"/>
      <c r="BT38" s="1"/>
      <c r="BU38" s="1"/>
      <c r="BV38" s="1"/>
      <c r="BW38" s="1"/>
      <c r="BX38" s="3"/>
      <c r="BY38" s="1">
        <f>SUM(BR38:BX38)</f>
        <v>0</v>
      </c>
      <c r="BZ38" s="1">
        <f t="shared" si="24"/>
        <v>0</v>
      </c>
      <c r="CA38" s="1">
        <f t="shared" si="1"/>
        <v>0</v>
      </c>
      <c r="CB38" s="1"/>
      <c r="CC38" s="1">
        <f>+CC313</f>
        <v>324769</v>
      </c>
      <c r="CD38" s="1">
        <f>+CD313+0</f>
        <v>2755</v>
      </c>
      <c r="CE38" s="1">
        <f>+CE313-0</f>
        <v>10674</v>
      </c>
      <c r="CF38" s="1">
        <v>0</v>
      </c>
      <c r="CG38" s="1">
        <f>+CG313</f>
        <v>380339</v>
      </c>
      <c r="CH38" s="1">
        <v>0</v>
      </c>
      <c r="CI38" s="1"/>
      <c r="CJ38" s="1">
        <f t="shared" si="31"/>
        <v>718537</v>
      </c>
      <c r="CK38" s="1"/>
      <c r="CL38" s="1">
        <f>+CL313-0</f>
        <v>28166</v>
      </c>
      <c r="CM38" s="1">
        <f>+CM313-0</f>
        <v>34063</v>
      </c>
      <c r="CN38" s="1">
        <f>+CN313-0</f>
        <v>3661</v>
      </c>
      <c r="CO38" s="1">
        <f>+CO313-0</f>
        <v>0</v>
      </c>
      <c r="CP38" s="1298">
        <f>+CP313</f>
        <v>296450</v>
      </c>
      <c r="CQ38" s="1">
        <f>+CQ313-0</f>
        <v>0</v>
      </c>
      <c r="CR38" s="1">
        <f>+CR313-0</f>
        <v>0</v>
      </c>
      <c r="CS38" s="1"/>
      <c r="CT38" s="5"/>
      <c r="CU38" s="1">
        <f t="shared" si="32"/>
        <v>362340</v>
      </c>
      <c r="CW38" s="1"/>
      <c r="CX38" s="1"/>
      <c r="CY38" s="1"/>
      <c r="CZ38" s="1"/>
      <c r="DA38" s="1"/>
      <c r="DB38" s="1"/>
      <c r="DC38" s="1"/>
      <c r="DD38" s="1"/>
      <c r="DE38" s="1"/>
      <c r="DF38" s="1"/>
      <c r="DG38" s="1"/>
      <c r="DH38" s="1"/>
      <c r="DI38" s="1"/>
      <c r="DJ38" s="1"/>
      <c r="DK38" s="1"/>
      <c r="DL38" s="1"/>
      <c r="DM38" s="1"/>
      <c r="DN38" s="1"/>
      <c r="DO38" s="1"/>
      <c r="DP38" s="1"/>
      <c r="DQ38" s="1"/>
      <c r="DR38" s="1"/>
      <c r="DS38" s="1"/>
      <c r="DT38" s="1"/>
      <c r="DW38" s="1">
        <f t="shared" si="27"/>
        <v>0</v>
      </c>
      <c r="DX38" s="1"/>
      <c r="DY38" s="1"/>
      <c r="DZ38" s="1"/>
      <c r="EB38" s="1"/>
      <c r="EC38" s="1"/>
      <c r="ED38" s="1"/>
      <c r="EE38" s="1"/>
      <c r="EF38" s="1"/>
      <c r="EG38" s="1"/>
      <c r="EL38" s="1"/>
      <c r="EM38" s="1"/>
      <c r="EN38">
        <f t="shared" si="17"/>
        <v>0</v>
      </c>
      <c r="EQ38" s="1"/>
    </row>
    <row r="39" spans="1:147" ht="15.75">
      <c r="A39" s="1"/>
      <c r="B39" s="8" t="s">
        <v>2839</v>
      </c>
      <c r="C39" s="1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f t="shared" si="22"/>
        <v>0</v>
      </c>
      <c r="BH39" s="1"/>
      <c r="BI39" s="1"/>
      <c r="BJ39" s="1"/>
      <c r="BK39" s="1"/>
      <c r="BL39" s="1"/>
      <c r="BM39" s="1"/>
      <c r="BN39" s="1"/>
      <c r="BO39" s="1"/>
      <c r="BP39" s="1">
        <f t="shared" si="28"/>
        <v>0</v>
      </c>
      <c r="BQ39" s="1"/>
      <c r="BR39" s="1"/>
      <c r="BS39" s="1"/>
      <c r="BT39" s="1"/>
      <c r="BU39" s="1"/>
      <c r="BV39" s="1"/>
      <c r="BW39" s="1"/>
      <c r="BX39" s="3"/>
      <c r="BY39" s="1"/>
      <c r="BZ39" s="1">
        <f t="shared" si="24"/>
        <v>0</v>
      </c>
      <c r="CA39" s="1">
        <f t="shared" si="1"/>
        <v>0</v>
      </c>
      <c r="CB39" s="1"/>
      <c r="CC39" s="1"/>
      <c r="CD39" s="1"/>
      <c r="CE39" s="1"/>
      <c r="CF39" s="1"/>
      <c r="CG39" s="1"/>
      <c r="CH39" s="1"/>
      <c r="CI39" s="1"/>
      <c r="CJ39" s="1"/>
      <c r="CK39" s="1"/>
      <c r="CL39" s="1"/>
      <c r="CM39" s="1"/>
      <c r="CN39" s="1"/>
      <c r="CO39" s="1"/>
      <c r="CP39" s="1"/>
      <c r="CQ39" s="1"/>
      <c r="CR39" s="1"/>
      <c r="CS39" s="1"/>
      <c r="CT39" s="5"/>
      <c r="CU39" s="1"/>
      <c r="CW39" s="1">
        <f>+'Sys INPUT'!CW39</f>
        <v>3961847</v>
      </c>
      <c r="CX39" s="1">
        <f>+'Sys INPUT'!CX39</f>
        <v>0</v>
      </c>
      <c r="CY39" s="1">
        <f>+'Sys INPUT'!CY39</f>
        <v>25951</v>
      </c>
      <c r="CZ39" s="1">
        <f>+'Sys INPUT'!CZ39</f>
        <v>0</v>
      </c>
      <c r="DA39" s="1">
        <f>+'Sys INPUT'!DA39</f>
        <v>0</v>
      </c>
      <c r="DB39" s="1">
        <f>+'Sys INPUT'!DB39</f>
        <v>561603</v>
      </c>
      <c r="DC39" s="1">
        <f>+'Sys INPUT'!DC39</f>
        <v>231220</v>
      </c>
      <c r="DD39" s="1">
        <f>+'Sys INPUT'!DD39</f>
        <v>0</v>
      </c>
      <c r="DE39" s="1">
        <f>+'Sys INPUT'!DE39</f>
        <v>0</v>
      </c>
      <c r="DF39" s="1">
        <f>+'Sys INPUT'!DF39</f>
        <v>0</v>
      </c>
      <c r="DG39" s="1">
        <f>+'Sys INPUT'!DG39</f>
        <v>0</v>
      </c>
      <c r="DH39" s="1">
        <f>+'Sys INPUT'!DH39</f>
        <v>0</v>
      </c>
      <c r="DI39" s="1">
        <f>+'Sys INPUT'!DI39</f>
        <v>0</v>
      </c>
      <c r="DJ39" s="1">
        <f>+'Sys INPUT'!DJ39</f>
        <v>0</v>
      </c>
      <c r="DK39" s="1">
        <f>+'Sys INPUT'!DK39</f>
        <v>0</v>
      </c>
      <c r="DL39" s="1">
        <f>+'Sys INPUT'!DL39</f>
        <v>400299</v>
      </c>
      <c r="DM39" s="1">
        <f>+'Sys INPUT'!DM39</f>
        <v>0</v>
      </c>
      <c r="DN39" s="1">
        <f>+'Sys INPUT'!DN39</f>
        <v>192303</v>
      </c>
      <c r="DO39" s="1">
        <f>+'Sys INPUT'!DO39</f>
        <v>0</v>
      </c>
      <c r="DP39" s="1">
        <f>+'Sys INPUT'!DP39</f>
        <v>0</v>
      </c>
      <c r="DQ39" s="1">
        <f>+'Sys INPUT'!DQ39</f>
        <v>3994603</v>
      </c>
      <c r="DR39" s="1">
        <f>+'Sys INPUT'!DR39-DU39</f>
        <v>168249934</v>
      </c>
      <c r="DS39" s="1">
        <f>+'Sys INPUT'!DS39</f>
        <v>30644291</v>
      </c>
      <c r="DT39" s="1">
        <f>+'Sys INPUT'!DT39</f>
        <v>26717967</v>
      </c>
      <c r="DU39">
        <f>+'FIDCH FDS'!Q22</f>
        <v>4441691</v>
      </c>
      <c r="DW39" s="1">
        <f t="shared" si="27"/>
        <v>234980018</v>
      </c>
      <c r="DX39" s="1"/>
      <c r="DY39" s="1">
        <f>+'Sys INPUT'!DZ39</f>
        <v>835054</v>
      </c>
      <c r="DZ39" s="1"/>
      <c r="EB39" s="1"/>
      <c r="EC39" s="1"/>
      <c r="ED39" s="1"/>
      <c r="EE39" s="1"/>
      <c r="EF39" s="1"/>
      <c r="EG39" s="1"/>
      <c r="EL39" s="1"/>
      <c r="EM39" s="1"/>
      <c r="EN39">
        <f t="shared" si="17"/>
        <v>470456160</v>
      </c>
      <c r="EQ39" s="1"/>
    </row>
    <row r="40" spans="1:147" ht="15.75">
      <c r="A40" s="1"/>
      <c r="B40" s="1"/>
      <c r="C40" s="1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f t="shared" si="22"/>
        <v>0</v>
      </c>
      <c r="BH40" s="1"/>
      <c r="BI40" s="1"/>
      <c r="BJ40" s="1"/>
      <c r="BK40" s="1"/>
      <c r="BL40" s="1"/>
      <c r="BM40" s="1"/>
      <c r="BN40" s="1"/>
      <c r="BO40" s="1"/>
      <c r="BP40" s="1">
        <f t="shared" si="28"/>
        <v>0</v>
      </c>
      <c r="BQ40" s="1"/>
      <c r="BR40" s="1"/>
      <c r="BS40" s="1"/>
      <c r="BT40" s="1"/>
      <c r="BU40" s="1"/>
      <c r="BV40" s="1"/>
      <c r="BW40" s="1"/>
      <c r="BX40" s="3"/>
      <c r="BY40" s="1"/>
      <c r="BZ40" s="1"/>
      <c r="CA40" s="1"/>
      <c r="CB40" s="1"/>
      <c r="CC40" s="1">
        <f>+'Sys INPUT'!CC41-INPUT!CC254+INPUT!CC258+INPUT!CC269</f>
        <v>1707138</v>
      </c>
      <c r="CD40" s="1">
        <f>+'Sys INPUT'!CD41-INPUT!CD254+INPUT!CD258+INPUT!CD269</f>
        <v>106093</v>
      </c>
      <c r="CE40" s="1">
        <f>+'Sys INPUT'!CE41-INPUT!CE254+INPUT!CE258+INPUT!CE269</f>
        <v>271967</v>
      </c>
      <c r="CF40" s="1">
        <f>+'Sys INPUT'!CF41-INPUT!CF254+INPUT!CF258+INPUT!CF269</f>
        <v>1357902</v>
      </c>
      <c r="CG40" s="1">
        <f>+'Sys INPUT'!CG41-INPUT!CG254+INPUT!CG258+INPUT!CG269</f>
        <v>837102</v>
      </c>
      <c r="CH40" s="1">
        <f>+'Sys INPUT'!CH41-INPUT!CH254+INPUT!CH258+INPUT!CH269</f>
        <v>32890</v>
      </c>
      <c r="CI40" s="1"/>
      <c r="CJ40" s="1"/>
      <c r="CK40" s="1"/>
      <c r="CL40" s="1"/>
      <c r="CM40" s="1"/>
      <c r="CN40" s="1"/>
      <c r="CO40" s="1"/>
      <c r="CP40" s="1"/>
      <c r="CQ40" s="1"/>
      <c r="CR40" s="1"/>
      <c r="CS40" s="1"/>
      <c r="CT40" s="5"/>
      <c r="CU40" s="1"/>
      <c r="CW40" s="1"/>
      <c r="CX40" s="1"/>
      <c r="CY40" s="1"/>
      <c r="CZ40" s="1"/>
      <c r="DA40" s="1"/>
      <c r="DB40" s="1"/>
      <c r="DC40" s="1"/>
      <c r="DD40" s="1"/>
      <c r="DE40" s="1"/>
      <c r="DF40" s="1"/>
      <c r="DG40" s="1"/>
      <c r="DH40" s="1"/>
      <c r="DI40" s="1"/>
      <c r="DJ40" s="1"/>
      <c r="DK40" s="1"/>
      <c r="DL40" s="1"/>
      <c r="DM40" s="1"/>
      <c r="DN40" s="1"/>
      <c r="DO40" s="1"/>
      <c r="DP40" s="1"/>
      <c r="DQ40" s="1"/>
      <c r="DR40" s="1"/>
      <c r="DS40" s="1"/>
      <c r="DT40" s="1"/>
      <c r="DW40" s="1"/>
      <c r="DX40" s="1"/>
      <c r="DY40" s="1"/>
      <c r="DZ40" s="1"/>
      <c r="EB40" s="1"/>
      <c r="EC40" s="1"/>
      <c r="ED40" s="1"/>
      <c r="EE40" s="1"/>
      <c r="EF40" s="1"/>
      <c r="EG40" s="1"/>
      <c r="EL40" s="1"/>
      <c r="EM40" s="1"/>
      <c r="EN40">
        <f t="shared" si="17"/>
        <v>0</v>
      </c>
      <c r="EQ40" s="1"/>
    </row>
    <row r="41" spans="1:147" ht="15.75">
      <c r="A41" s="1"/>
      <c r="B41" s="89" t="s">
        <v>1211</v>
      </c>
      <c r="C41" s="11"/>
      <c r="D41" s="1">
        <f t="shared" ref="D41:O41" si="33">SUM(D22:D40)</f>
        <v>13486328</v>
      </c>
      <c r="E41" s="1">
        <f t="shared" si="33"/>
        <v>2759193</v>
      </c>
      <c r="F41" s="1">
        <f t="shared" si="33"/>
        <v>20799</v>
      </c>
      <c r="G41" s="1">
        <f t="shared" si="33"/>
        <v>190427</v>
      </c>
      <c r="H41" s="1">
        <f t="shared" si="33"/>
        <v>362149</v>
      </c>
      <c r="I41" s="1">
        <f t="shared" si="33"/>
        <v>535409</v>
      </c>
      <c r="J41" s="1">
        <f t="shared" si="33"/>
        <v>2838047</v>
      </c>
      <c r="K41" s="1">
        <f t="shared" si="33"/>
        <v>398</v>
      </c>
      <c r="L41" s="1">
        <f>SUM(L22:L40)</f>
        <v>11806</v>
      </c>
      <c r="M41" s="1">
        <f t="shared" si="33"/>
        <v>2115266</v>
      </c>
      <c r="N41" s="1">
        <f>SUM(N22:N40)</f>
        <v>101961</v>
      </c>
      <c r="O41" s="1">
        <f t="shared" si="33"/>
        <v>44402</v>
      </c>
      <c r="P41" s="1">
        <f>SUM(P22:P40)</f>
        <v>0</v>
      </c>
      <c r="Q41" s="1">
        <f t="shared" ref="Q41:Y41" si="34">SUM(Q22:Q40)</f>
        <v>0</v>
      </c>
      <c r="R41" s="1">
        <f t="shared" si="34"/>
        <v>307663</v>
      </c>
      <c r="S41" s="1">
        <f t="shared" si="34"/>
        <v>1069681</v>
      </c>
      <c r="T41" s="1">
        <f t="shared" si="34"/>
        <v>0</v>
      </c>
      <c r="U41" s="1">
        <f t="shared" si="34"/>
        <v>2607263</v>
      </c>
      <c r="V41" s="1">
        <f t="shared" si="34"/>
        <v>177468</v>
      </c>
      <c r="W41" s="1">
        <f t="shared" si="34"/>
        <v>226021</v>
      </c>
      <c r="X41" s="1">
        <f t="shared" si="34"/>
        <v>13461711</v>
      </c>
      <c r="Y41" s="1">
        <f t="shared" si="34"/>
        <v>302307</v>
      </c>
      <c r="Z41" s="1">
        <f t="shared" ref="Z41:AS41" si="35">SUM(Z22:Z40)</f>
        <v>296998</v>
      </c>
      <c r="AA41" s="1">
        <f t="shared" si="35"/>
        <v>108245</v>
      </c>
      <c r="AB41" s="1">
        <f>SUM(AB22:AB40)</f>
        <v>4400455</v>
      </c>
      <c r="AC41" s="1">
        <f t="shared" si="35"/>
        <v>0</v>
      </c>
      <c r="AD41" s="1">
        <f t="shared" si="35"/>
        <v>25100</v>
      </c>
      <c r="AE41" s="1">
        <f t="shared" si="35"/>
        <v>36352</v>
      </c>
      <c r="AF41" s="1">
        <f t="shared" si="35"/>
        <v>0</v>
      </c>
      <c r="AG41" s="1">
        <f t="shared" si="35"/>
        <v>73060</v>
      </c>
      <c r="AH41" s="1">
        <f t="shared" si="35"/>
        <v>103446</v>
      </c>
      <c r="AI41" s="1">
        <f t="shared" si="35"/>
        <v>25000</v>
      </c>
      <c r="AJ41" s="1">
        <f t="shared" si="35"/>
        <v>0</v>
      </c>
      <c r="AK41" s="1">
        <f t="shared" si="35"/>
        <v>23112</v>
      </c>
      <c r="AL41" s="1">
        <f t="shared" ref="AL41:AQ41" si="36">SUM(AL22:AL40)</f>
        <v>204151</v>
      </c>
      <c r="AM41" s="1">
        <f t="shared" si="36"/>
        <v>35072</v>
      </c>
      <c r="AN41" s="1">
        <f t="shared" si="36"/>
        <v>52642</v>
      </c>
      <c r="AO41" s="1">
        <f t="shared" si="36"/>
        <v>0</v>
      </c>
      <c r="AP41" s="1">
        <f t="shared" si="36"/>
        <v>2020387</v>
      </c>
      <c r="AQ41" s="1">
        <f t="shared" si="36"/>
        <v>0</v>
      </c>
      <c r="AR41" s="1">
        <f t="shared" si="35"/>
        <v>153943</v>
      </c>
      <c r="AS41" s="1">
        <f t="shared" si="35"/>
        <v>187603</v>
      </c>
      <c r="AT41" s="1">
        <f>SUM(AT22:AT40)</f>
        <v>663993</v>
      </c>
      <c r="AU41" s="1">
        <f t="shared" ref="AU41:BA41" si="37">SUM(AU22:AU40)</f>
        <v>407488</v>
      </c>
      <c r="AV41" s="1">
        <f t="shared" si="37"/>
        <v>22045</v>
      </c>
      <c r="AW41" s="1"/>
      <c r="AX41" s="1">
        <f t="shared" si="37"/>
        <v>50045</v>
      </c>
      <c r="AY41" s="1">
        <f t="shared" si="37"/>
        <v>0</v>
      </c>
      <c r="AZ41" s="1">
        <f t="shared" si="37"/>
        <v>41093</v>
      </c>
      <c r="BA41" s="1">
        <f t="shared" si="37"/>
        <v>87008</v>
      </c>
      <c r="BB41" s="1">
        <f>SUM(BB22:BB40)</f>
        <v>2361630</v>
      </c>
      <c r="BC41" s="1">
        <f>SUM(BC22:BC40)</f>
        <v>924002</v>
      </c>
      <c r="BD41" s="1">
        <f>SUM(BD22:BD40)</f>
        <v>9770</v>
      </c>
      <c r="BE41" s="1"/>
      <c r="BF41" s="1">
        <f t="shared" ref="BF41:BN41" si="38">SUM(BF22:BF40)</f>
        <v>39444611</v>
      </c>
      <c r="BG41" s="1">
        <f>SUM(BG22:BG40)</f>
        <v>22697268</v>
      </c>
      <c r="BH41" s="1">
        <f t="shared" si="38"/>
        <v>112309</v>
      </c>
      <c r="BI41" s="1">
        <f>SUM(BI22:BI40)</f>
        <v>966683</v>
      </c>
      <c r="BJ41" s="1">
        <f t="shared" si="38"/>
        <v>0</v>
      </c>
      <c r="BK41" s="1">
        <f t="shared" si="38"/>
        <v>0</v>
      </c>
      <c r="BL41" s="1">
        <f>SUM(BL22:BL40)</f>
        <v>96470</v>
      </c>
      <c r="BM41" s="1">
        <f>SUM(BM22:BM40)</f>
        <v>636600</v>
      </c>
      <c r="BN41" s="1">
        <f t="shared" si="38"/>
        <v>97148</v>
      </c>
      <c r="BO41" s="1"/>
      <c r="BP41" s="1">
        <f t="shared" ref="BP41:BW41" si="39">SUM(BP22:BP40)</f>
        <v>1909210</v>
      </c>
      <c r="BQ41" s="1">
        <f>+BP41-BN41</f>
        <v>1812062</v>
      </c>
      <c r="BR41" s="1">
        <f t="shared" si="39"/>
        <v>1997685</v>
      </c>
      <c r="BS41" s="1">
        <f t="shared" si="39"/>
        <v>0</v>
      </c>
      <c r="BT41" s="1">
        <f t="shared" si="39"/>
        <v>473929</v>
      </c>
      <c r="BU41" s="1">
        <f t="shared" si="39"/>
        <v>0</v>
      </c>
      <c r="BV41" s="1">
        <f>SUM(BV22:BV40)</f>
        <v>2416</v>
      </c>
      <c r="BW41" s="1">
        <f t="shared" si="39"/>
        <v>497702</v>
      </c>
      <c r="BX41" s="3"/>
      <c r="BY41" s="1">
        <f>SUM(BY22:BY40)</f>
        <v>2971732</v>
      </c>
      <c r="BZ41" s="1"/>
      <c r="CA41" s="1"/>
      <c r="CB41" s="1"/>
      <c r="CC41" s="1">
        <f t="shared" ref="CC41:CH41" si="40">SUM(CC22:CC39)</f>
        <v>2021354</v>
      </c>
      <c r="CD41" s="1">
        <f t="shared" si="40"/>
        <v>109070</v>
      </c>
      <c r="CE41" s="1">
        <f t="shared" si="40"/>
        <v>206591</v>
      </c>
      <c r="CF41" s="1">
        <f t="shared" si="40"/>
        <v>1439901</v>
      </c>
      <c r="CG41" s="1">
        <f t="shared" si="40"/>
        <v>1205663</v>
      </c>
      <c r="CH41" s="1">
        <f t="shared" si="40"/>
        <v>32587</v>
      </c>
      <c r="CI41" s="1"/>
      <c r="CJ41" s="1">
        <f t="shared" ref="CJ41:CR41" si="41">SUM(CJ22:CJ40)</f>
        <v>5015166</v>
      </c>
      <c r="CK41" s="1"/>
      <c r="CL41" s="1">
        <f>SUM(CL22:CL40)</f>
        <v>1892107</v>
      </c>
      <c r="CM41" s="1">
        <f t="shared" si="41"/>
        <v>249164</v>
      </c>
      <c r="CN41" s="1">
        <f t="shared" si="41"/>
        <v>806905</v>
      </c>
      <c r="CO41" s="1">
        <f t="shared" si="41"/>
        <v>496277</v>
      </c>
      <c r="CP41" s="1">
        <f t="shared" si="41"/>
        <v>2364131</v>
      </c>
      <c r="CQ41" s="1">
        <f t="shared" si="41"/>
        <v>1158274</v>
      </c>
      <c r="CR41" s="1">
        <f t="shared" si="41"/>
        <v>8927818</v>
      </c>
      <c r="CS41" s="1"/>
      <c r="CT41" s="5"/>
      <c r="CU41" s="1">
        <f>SUM(CU22:CU40)</f>
        <v>15894676</v>
      </c>
      <c r="CW41" s="1">
        <f>SUM(CW22:CW40)</f>
        <v>3961847</v>
      </c>
      <c r="CX41" s="1">
        <f t="shared" ref="CX41:DT41" si="42">SUM(CX22:CX40)</f>
        <v>0</v>
      </c>
      <c r="CY41" s="1">
        <f t="shared" si="42"/>
        <v>25951</v>
      </c>
      <c r="CZ41" s="1">
        <f t="shared" si="42"/>
        <v>0</v>
      </c>
      <c r="DA41" s="1">
        <f t="shared" si="42"/>
        <v>0</v>
      </c>
      <c r="DB41" s="1">
        <f t="shared" si="42"/>
        <v>561603</v>
      </c>
      <c r="DC41" s="1">
        <f t="shared" si="42"/>
        <v>231220</v>
      </c>
      <c r="DD41" s="1">
        <f t="shared" si="42"/>
        <v>0</v>
      </c>
      <c r="DE41" s="1">
        <f t="shared" si="42"/>
        <v>0</v>
      </c>
      <c r="DF41" s="1">
        <f t="shared" si="42"/>
        <v>0</v>
      </c>
      <c r="DG41" s="1">
        <f t="shared" si="42"/>
        <v>0</v>
      </c>
      <c r="DH41" s="1">
        <f t="shared" si="42"/>
        <v>0</v>
      </c>
      <c r="DI41" s="1">
        <f t="shared" si="42"/>
        <v>0</v>
      </c>
      <c r="DJ41" s="1">
        <f t="shared" si="42"/>
        <v>0</v>
      </c>
      <c r="DK41" s="1">
        <f t="shared" si="42"/>
        <v>0</v>
      </c>
      <c r="DL41" s="1">
        <f t="shared" si="42"/>
        <v>400299</v>
      </c>
      <c r="DM41" s="1">
        <f t="shared" si="42"/>
        <v>0</v>
      </c>
      <c r="DN41" s="1">
        <f t="shared" si="42"/>
        <v>192303</v>
      </c>
      <c r="DO41" s="1">
        <f t="shared" si="42"/>
        <v>0</v>
      </c>
      <c r="DP41" s="1">
        <f t="shared" si="42"/>
        <v>0</v>
      </c>
      <c r="DQ41" s="1">
        <f t="shared" si="42"/>
        <v>3994603</v>
      </c>
      <c r="DR41" s="1">
        <f t="shared" si="42"/>
        <v>168249934</v>
      </c>
      <c r="DS41" s="1">
        <f t="shared" si="42"/>
        <v>30644291</v>
      </c>
      <c r="DT41" s="1">
        <f t="shared" si="42"/>
        <v>26717967</v>
      </c>
      <c r="DW41" s="1">
        <f>SUM(DW22:DW40)</f>
        <v>234980018</v>
      </c>
      <c r="DX41" s="1"/>
      <c r="DY41" s="1">
        <f>SUM(DY22:DY40)</f>
        <v>835054</v>
      </c>
      <c r="DZ41" s="1"/>
      <c r="EB41" s="1">
        <f>SUM(EB25:EB40)</f>
        <v>0</v>
      </c>
      <c r="EC41" s="1"/>
      <c r="ED41" s="1"/>
      <c r="EE41" s="1"/>
      <c r="EF41" s="1">
        <f>SUM(EF22:EF40)</f>
        <v>9604</v>
      </c>
      <c r="EG41" s="1"/>
      <c r="EL41" s="1">
        <f>SUM(EL22:EL40)</f>
        <v>0</v>
      </c>
      <c r="EM41" s="1">
        <f>SUM(EM22:EM40)</f>
        <v>0</v>
      </c>
      <c r="EN41">
        <f t="shared" si="17"/>
        <v>466024073</v>
      </c>
      <c r="EQ41" s="1">
        <f>SUM(EQ22:EQ40)</f>
        <v>0</v>
      </c>
    </row>
    <row r="42" spans="1:147" ht="15.75">
      <c r="A42" s="1"/>
      <c r="B42" s="1" t="s">
        <v>677</v>
      </c>
      <c r="C42" s="11"/>
      <c r="D42" s="1">
        <f>+D41-D47</f>
        <v>15372852</v>
      </c>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f>+BP41-BP47</f>
        <v>1917319</v>
      </c>
      <c r="BQ42" s="1"/>
      <c r="BR42" s="1"/>
      <c r="BS42" s="1"/>
      <c r="BT42" s="1"/>
      <c r="BU42" s="1"/>
      <c r="BV42" s="1"/>
      <c r="BW42" s="1"/>
      <c r="BX42" s="3"/>
      <c r="BY42" s="1">
        <f>+BY41-BY47</f>
        <v>3351212</v>
      </c>
      <c r="BZ42" s="1"/>
      <c r="CA42" s="1"/>
      <c r="CB42" s="1"/>
      <c r="CC42" s="1"/>
      <c r="CD42" s="1"/>
      <c r="CE42" s="1"/>
      <c r="CF42" s="1"/>
      <c r="CG42" s="1"/>
      <c r="CH42" s="1"/>
      <c r="CI42" s="1"/>
      <c r="CJ42" s="1">
        <f>+CJ41-CJ47</f>
        <v>5017793</v>
      </c>
      <c r="CK42" s="1"/>
      <c r="CL42" s="1">
        <f>+CL41-CL47</f>
        <v>1892107</v>
      </c>
      <c r="CM42" s="1">
        <f t="shared" ref="CM42:CR42" si="43">+CM41-CM47</f>
        <v>546184</v>
      </c>
      <c r="CN42" s="1">
        <f t="shared" si="43"/>
        <v>1075942</v>
      </c>
      <c r="CO42" s="1">
        <f t="shared" si="43"/>
        <v>496277</v>
      </c>
      <c r="CP42" s="1">
        <f t="shared" si="43"/>
        <v>2364131</v>
      </c>
      <c r="CQ42" s="1">
        <f t="shared" si="43"/>
        <v>1158274</v>
      </c>
      <c r="CR42" s="1">
        <f t="shared" si="43"/>
        <v>8927818</v>
      </c>
      <c r="CS42" s="1"/>
      <c r="CT42" s="5"/>
      <c r="CU42" s="1">
        <f>+CU41-CU47</f>
        <v>16460733</v>
      </c>
      <c r="CW42" s="1"/>
      <c r="CX42" s="1"/>
      <c r="CY42" s="1"/>
      <c r="CZ42" s="1"/>
      <c r="DA42" s="1"/>
      <c r="DB42" s="1"/>
      <c r="DC42" s="1"/>
      <c r="DD42" s="1"/>
      <c r="DE42" s="1"/>
      <c r="DF42" s="1"/>
      <c r="DG42" s="1"/>
      <c r="DH42" s="1"/>
      <c r="DI42" s="1"/>
      <c r="DJ42" s="1"/>
      <c r="DK42" s="1"/>
      <c r="DL42" s="1"/>
      <c r="DM42" s="1"/>
      <c r="DN42" s="1"/>
      <c r="DO42" s="1"/>
      <c r="DP42" s="1"/>
      <c r="DQ42" s="1"/>
      <c r="DR42" s="1"/>
      <c r="DS42" s="1"/>
      <c r="DT42" s="1"/>
      <c r="DW42" s="1"/>
      <c r="DX42" s="1"/>
      <c r="DY42" s="1"/>
      <c r="DZ42" s="1"/>
      <c r="EB42" s="1"/>
      <c r="EC42" s="1"/>
      <c r="ED42" s="1"/>
      <c r="EE42" s="1"/>
      <c r="EF42" s="1"/>
      <c r="EG42" s="1"/>
      <c r="EL42" s="1"/>
      <c r="EM42" s="1"/>
      <c r="EN42">
        <f t="shared" si="17"/>
        <v>0</v>
      </c>
      <c r="EQ42" s="1"/>
    </row>
    <row r="43" spans="1:147" ht="15.75">
      <c r="A43" s="1"/>
      <c r="B43" s="1" t="s">
        <v>598</v>
      </c>
      <c r="C43" s="11"/>
      <c r="D43" s="1">
        <f t="shared" ref="D43:O43" si="44">SUM(D18-D41)</f>
        <v>2046393</v>
      </c>
      <c r="E43" s="1">
        <f t="shared" si="44"/>
        <v>-1099255</v>
      </c>
      <c r="F43" s="1">
        <f t="shared" si="44"/>
        <v>-1939</v>
      </c>
      <c r="G43" s="1">
        <f t="shared" si="44"/>
        <v>87043</v>
      </c>
      <c r="H43" s="1">
        <f t="shared" si="44"/>
        <v>45816</v>
      </c>
      <c r="I43" s="1">
        <f t="shared" si="44"/>
        <v>-5640</v>
      </c>
      <c r="J43" s="1">
        <f t="shared" si="44"/>
        <v>1869485</v>
      </c>
      <c r="K43" s="1">
        <f t="shared" si="44"/>
        <v>1229</v>
      </c>
      <c r="L43" s="1">
        <f>SUM(L18-L41)</f>
        <v>13155</v>
      </c>
      <c r="M43" s="1">
        <f t="shared" si="44"/>
        <v>53971</v>
      </c>
      <c r="N43" s="1">
        <f>SUM(N18-N41)</f>
        <v>73275</v>
      </c>
      <c r="O43" s="1">
        <f t="shared" si="44"/>
        <v>-25421</v>
      </c>
      <c r="P43" s="1">
        <f>SUM(P18-P41)</f>
        <v>0</v>
      </c>
      <c r="Q43" s="1">
        <f t="shared" ref="Q43:X43" si="45">SUM(Q18-Q41)</f>
        <v>1577208</v>
      </c>
      <c r="R43" s="1">
        <f t="shared" si="45"/>
        <v>170729</v>
      </c>
      <c r="S43" s="1">
        <f t="shared" si="45"/>
        <v>-162834</v>
      </c>
      <c r="T43" s="1">
        <f t="shared" si="45"/>
        <v>19</v>
      </c>
      <c r="U43" s="1">
        <f t="shared" si="45"/>
        <v>-96076</v>
      </c>
      <c r="V43" s="1">
        <f t="shared" si="45"/>
        <v>5375</v>
      </c>
      <c r="W43" s="1">
        <f t="shared" si="45"/>
        <v>7614</v>
      </c>
      <c r="X43" s="1">
        <f t="shared" si="45"/>
        <v>1184107</v>
      </c>
      <c r="Y43" s="1">
        <f>SUM(Y18-Y41)</f>
        <v>-302307</v>
      </c>
      <c r="Z43" s="1">
        <f t="shared" ref="Z43:AS43" si="46">SUM(Z18-Z41)</f>
        <v>2966</v>
      </c>
      <c r="AA43" s="1">
        <f t="shared" si="46"/>
        <v>-13275</v>
      </c>
      <c r="AB43" s="1">
        <f>SUM(AB18-AB41)</f>
        <v>434802</v>
      </c>
      <c r="AC43" s="1">
        <f t="shared" si="46"/>
        <v>43710</v>
      </c>
      <c r="AD43" s="1">
        <f t="shared" si="46"/>
        <v>8341</v>
      </c>
      <c r="AE43" s="1">
        <f t="shared" si="46"/>
        <v>5602</v>
      </c>
      <c r="AF43" s="1">
        <f t="shared" si="46"/>
        <v>94</v>
      </c>
      <c r="AG43" s="1">
        <f t="shared" si="46"/>
        <v>-54351</v>
      </c>
      <c r="AH43" s="1">
        <f t="shared" si="46"/>
        <v>-93882</v>
      </c>
      <c r="AI43" s="1">
        <f t="shared" si="46"/>
        <v>-24023</v>
      </c>
      <c r="AJ43" s="1">
        <f t="shared" si="46"/>
        <v>2070</v>
      </c>
      <c r="AK43" s="1">
        <f t="shared" si="46"/>
        <v>5743</v>
      </c>
      <c r="AL43" s="1">
        <f t="shared" ref="AL43:AQ43" si="47">SUM(AL18-AL41)</f>
        <v>-17255</v>
      </c>
      <c r="AM43" s="1">
        <f t="shared" si="47"/>
        <v>-18494</v>
      </c>
      <c r="AN43" s="1">
        <f t="shared" si="47"/>
        <v>-25399</v>
      </c>
      <c r="AO43" s="1">
        <f t="shared" si="47"/>
        <v>0</v>
      </c>
      <c r="AP43" s="1">
        <f t="shared" si="47"/>
        <v>-1953709</v>
      </c>
      <c r="AQ43" s="1">
        <f t="shared" si="47"/>
        <v>175320</v>
      </c>
      <c r="AR43" s="1">
        <f t="shared" si="46"/>
        <v>57137</v>
      </c>
      <c r="AS43" s="1">
        <f t="shared" si="46"/>
        <v>85176</v>
      </c>
      <c r="AT43" s="1">
        <f>SUM(AT18-AT41)</f>
        <v>-325383</v>
      </c>
      <c r="AU43" s="1">
        <f t="shared" ref="AU43:AZ43" si="48">SUM(AU18-AU41)</f>
        <v>-157790</v>
      </c>
      <c r="AV43" s="1">
        <f t="shared" si="48"/>
        <v>-22045</v>
      </c>
      <c r="AW43" s="1"/>
      <c r="AX43" s="1">
        <f>SUM(AX18-AX41)</f>
        <v>50756</v>
      </c>
      <c r="AY43" s="1">
        <f t="shared" si="48"/>
        <v>0</v>
      </c>
      <c r="AZ43" s="1">
        <f t="shared" si="48"/>
        <v>-16741</v>
      </c>
      <c r="BA43" s="1">
        <f>SUM(BA18-BA41)</f>
        <v>17217</v>
      </c>
      <c r="BB43" s="1">
        <f>SUM(BB18-BB41)</f>
        <v>118918</v>
      </c>
      <c r="BC43" s="1">
        <f>SUM(BC18-BC41)</f>
        <v>1035515</v>
      </c>
      <c r="BD43" s="1">
        <f>SUM(BD18-BD41)</f>
        <v>7882</v>
      </c>
      <c r="BE43" s="1"/>
      <c r="BF43" s="1">
        <f t="shared" ref="BF43:BN43" si="49">SUM(BF18-BF41)</f>
        <v>2724456</v>
      </c>
      <c r="BG43" s="1">
        <f>+BF43-X43-P43-BC43</f>
        <v>504834</v>
      </c>
      <c r="BH43" s="1">
        <f t="shared" si="49"/>
        <v>0</v>
      </c>
      <c r="BI43" s="1">
        <f>SUM(BI18-BI41)</f>
        <v>-5661</v>
      </c>
      <c r="BJ43" s="1">
        <f t="shared" si="49"/>
        <v>0</v>
      </c>
      <c r="BK43" s="1">
        <f t="shared" si="49"/>
        <v>12653</v>
      </c>
      <c r="BL43" s="1">
        <f>SUM(BL18-BL41)</f>
        <v>-3588</v>
      </c>
      <c r="BM43" s="1">
        <f>SUM(BM18-BM41)</f>
        <v>14613</v>
      </c>
      <c r="BN43" s="1">
        <f t="shared" si="49"/>
        <v>34428</v>
      </c>
      <c r="BO43" s="1"/>
      <c r="BP43" s="1">
        <f>SUM(BP18-BP41)</f>
        <v>52445</v>
      </c>
      <c r="BQ43" s="1">
        <f>SUM(BQ18-BQ41)</f>
        <v>18017</v>
      </c>
      <c r="BR43" s="1">
        <f t="shared" ref="BR43:BW43" si="50">SUM(BR18-BR41)</f>
        <v>-1355284</v>
      </c>
      <c r="BS43" s="1">
        <f t="shared" si="50"/>
        <v>0</v>
      </c>
      <c r="BT43" s="1">
        <f t="shared" si="50"/>
        <v>-473929</v>
      </c>
      <c r="BU43" s="1">
        <f t="shared" si="50"/>
        <v>0</v>
      </c>
      <c r="BV43" s="1">
        <f t="shared" si="50"/>
        <v>-2099</v>
      </c>
      <c r="BW43" s="1">
        <f t="shared" si="50"/>
        <v>-484332</v>
      </c>
      <c r="BX43" s="3"/>
      <c r="BY43" s="1">
        <f t="shared" ref="BY43:CH43" si="51">SUM(BY18-BY41)</f>
        <v>-2315644</v>
      </c>
      <c r="BZ43" s="1"/>
      <c r="CA43" s="1"/>
      <c r="CB43" s="1"/>
      <c r="CC43" s="1">
        <f>SUM(CC18-CC41)</f>
        <v>-179881</v>
      </c>
      <c r="CD43" s="1">
        <f t="shared" si="51"/>
        <v>22225</v>
      </c>
      <c r="CE43" s="1">
        <f t="shared" si="51"/>
        <v>-39088</v>
      </c>
      <c r="CF43" s="1">
        <f t="shared" si="51"/>
        <v>-5152</v>
      </c>
      <c r="CG43" s="1">
        <f t="shared" si="51"/>
        <v>282858</v>
      </c>
      <c r="CH43" s="1">
        <f t="shared" si="51"/>
        <v>14397</v>
      </c>
      <c r="CI43" s="1"/>
      <c r="CJ43" s="1">
        <f t="shared" ref="CJ43:CR43" si="52">SUM(CJ18-CJ41)</f>
        <v>95359</v>
      </c>
      <c r="CK43" s="1"/>
      <c r="CL43" s="1">
        <f t="shared" si="52"/>
        <v>18759</v>
      </c>
      <c r="CM43" s="1">
        <f t="shared" si="52"/>
        <v>325127</v>
      </c>
      <c r="CN43" s="1">
        <f t="shared" si="52"/>
        <v>91383</v>
      </c>
      <c r="CO43" s="1">
        <f t="shared" si="52"/>
        <v>9228</v>
      </c>
      <c r="CP43" s="1">
        <f t="shared" si="52"/>
        <v>459124</v>
      </c>
      <c r="CQ43" s="1">
        <f t="shared" si="52"/>
        <v>-328338</v>
      </c>
      <c r="CR43" s="1">
        <f t="shared" si="52"/>
        <v>-2167133</v>
      </c>
      <c r="CS43" s="1"/>
      <c r="CT43" s="5"/>
      <c r="CU43" s="1">
        <f>SUM(CU18-CU41)</f>
        <v>-1591850</v>
      </c>
      <c r="CW43" s="1">
        <f>SUM(CW18-CW41)</f>
        <v>455150</v>
      </c>
      <c r="CX43" s="1">
        <f t="shared" ref="CX43:DT43" si="53">SUM(CX18-CX41)</f>
        <v>0</v>
      </c>
      <c r="CY43" s="1">
        <f t="shared" si="53"/>
        <v>-12896</v>
      </c>
      <c r="CZ43" s="1">
        <f t="shared" si="53"/>
        <v>0</v>
      </c>
      <c r="DA43" s="1">
        <f t="shared" si="53"/>
        <v>0</v>
      </c>
      <c r="DB43" s="1">
        <f t="shared" si="53"/>
        <v>-6900</v>
      </c>
      <c r="DC43" s="1">
        <f t="shared" si="53"/>
        <v>-15735</v>
      </c>
      <c r="DD43" s="1">
        <f t="shared" si="53"/>
        <v>0</v>
      </c>
      <c r="DE43" s="1">
        <f t="shared" si="53"/>
        <v>2117</v>
      </c>
      <c r="DF43" s="1">
        <f t="shared" si="53"/>
        <v>0</v>
      </c>
      <c r="DG43" s="1">
        <f t="shared" si="53"/>
        <v>151548</v>
      </c>
      <c r="DH43" s="1">
        <f t="shared" si="53"/>
        <v>0</v>
      </c>
      <c r="DI43" s="1">
        <f t="shared" si="53"/>
        <v>0</v>
      </c>
      <c r="DJ43" s="1">
        <f t="shared" si="53"/>
        <v>0</v>
      </c>
      <c r="DK43" s="1">
        <f t="shared" si="53"/>
        <v>0</v>
      </c>
      <c r="DL43" s="1">
        <f t="shared" si="53"/>
        <v>424995</v>
      </c>
      <c r="DM43" s="1">
        <f t="shared" si="53"/>
        <v>0</v>
      </c>
      <c r="DN43" s="1">
        <f t="shared" si="53"/>
        <v>-24181</v>
      </c>
      <c r="DO43" s="1">
        <f t="shared" si="53"/>
        <v>0</v>
      </c>
      <c r="DP43" s="1">
        <f t="shared" si="53"/>
        <v>23554</v>
      </c>
      <c r="DQ43" s="1">
        <f t="shared" si="53"/>
        <v>809210</v>
      </c>
      <c r="DR43" s="1">
        <f t="shared" si="53"/>
        <v>4886120</v>
      </c>
      <c r="DS43" s="1">
        <f t="shared" si="53"/>
        <v>-72554</v>
      </c>
      <c r="DT43" s="1">
        <f t="shared" si="53"/>
        <v>195982</v>
      </c>
      <c r="DW43" s="1">
        <f>SUM(DW18-DW41)</f>
        <v>6641308</v>
      </c>
      <c r="DX43" s="1"/>
      <c r="DY43" s="1">
        <f>SUM(DY18-DY41)</f>
        <v>44007</v>
      </c>
      <c r="DZ43" s="1"/>
      <c r="EB43" s="1">
        <f>SUM(EB18-EB41)</f>
        <v>0</v>
      </c>
      <c r="EC43" s="1"/>
      <c r="ED43" s="1"/>
      <c r="EE43" s="1"/>
      <c r="EF43" s="1">
        <f>SUM(EF18-EF41)</f>
        <v>8406</v>
      </c>
      <c r="EG43" s="1"/>
      <c r="EL43" s="1">
        <f>SUM(EL18-EL41)</f>
        <v>0</v>
      </c>
      <c r="EM43" s="1">
        <f>SUM(EM18-EM41)</f>
        <v>0</v>
      </c>
      <c r="EN43">
        <f t="shared" si="17"/>
        <v>13090512</v>
      </c>
      <c r="EQ43" s="1">
        <f>SUM(EQ18-EQ41)</f>
        <v>94</v>
      </c>
    </row>
    <row r="44" spans="1:147" ht="15.75">
      <c r="A44" s="1"/>
      <c r="B44" s="1"/>
      <c r="C44" s="1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D44" s="1"/>
      <c r="BE44" s="1"/>
      <c r="BF44" s="1"/>
      <c r="BG44" s="1"/>
      <c r="BH44" s="1"/>
      <c r="BI44" s="1"/>
      <c r="BJ44" s="1"/>
      <c r="BK44" s="1"/>
      <c r="BL44" s="1"/>
      <c r="BM44" s="1"/>
      <c r="BN44" s="1"/>
      <c r="BO44" s="1"/>
      <c r="BP44" s="1"/>
      <c r="BQ44" s="1"/>
      <c r="BR44" s="1"/>
      <c r="BS44" s="1"/>
      <c r="BT44" s="1"/>
      <c r="BU44" s="1"/>
      <c r="BV44" s="1"/>
      <c r="BW44" s="1"/>
      <c r="BX44" s="3"/>
      <c r="BY44" s="1"/>
      <c r="BZ44" s="1"/>
      <c r="CA44" s="1"/>
      <c r="CB44" s="1"/>
      <c r="CC44" s="1"/>
      <c r="CD44" s="1"/>
      <c r="CE44" s="1"/>
      <c r="CF44" s="1"/>
      <c r="CG44" s="1"/>
      <c r="CH44" s="1"/>
      <c r="CI44" s="1"/>
      <c r="CJ44" s="1"/>
      <c r="CK44" s="1"/>
      <c r="CL44" s="1"/>
      <c r="CM44" s="1"/>
      <c r="CN44" s="1"/>
      <c r="CO44" s="1"/>
      <c r="CP44" s="1"/>
      <c r="CQ44" s="1"/>
      <c r="CR44" s="1"/>
      <c r="CS44" s="1"/>
      <c r="CT44" s="5"/>
      <c r="CU44" s="1"/>
      <c r="CW44" s="1"/>
      <c r="CX44" s="1"/>
      <c r="CY44" s="1"/>
      <c r="CZ44" s="1"/>
      <c r="DA44" s="1"/>
      <c r="DB44" s="1"/>
      <c r="DC44" s="1"/>
      <c r="DD44" s="1"/>
      <c r="DE44" s="1"/>
      <c r="DF44" s="1"/>
      <c r="DG44" s="1"/>
      <c r="DH44" s="1"/>
      <c r="DI44" s="1"/>
      <c r="DJ44" s="1"/>
      <c r="DK44" s="1"/>
      <c r="DL44" s="1"/>
      <c r="DM44" s="1"/>
      <c r="DN44" s="1"/>
      <c r="DO44" s="1"/>
      <c r="DP44" s="1"/>
      <c r="DQ44" s="1"/>
      <c r="DR44" s="1"/>
      <c r="DS44" s="1"/>
      <c r="DT44" s="1"/>
      <c r="DW44" s="1"/>
      <c r="DX44" s="1"/>
      <c r="DY44" s="1"/>
      <c r="DZ44" s="1"/>
      <c r="EB44" s="1"/>
      <c r="EC44" s="1"/>
      <c r="ED44" s="1"/>
      <c r="EE44" s="1"/>
      <c r="EF44" s="1"/>
      <c r="EG44" s="1"/>
      <c r="EL44" s="1"/>
      <c r="EM44" s="1"/>
      <c r="EN44">
        <f t="shared" si="17"/>
        <v>0</v>
      </c>
      <c r="EQ44" s="1"/>
    </row>
    <row r="45" spans="1:147" ht="15.75">
      <c r="A45" s="1"/>
      <c r="B45" s="89" t="s">
        <v>833</v>
      </c>
      <c r="C45" s="1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D45" s="1"/>
      <c r="BE45" s="1"/>
      <c r="BF45" s="1">
        <f>+BF46-P46</f>
        <v>2809569</v>
      </c>
      <c r="BG45" s="1"/>
      <c r="BH45" s="1"/>
      <c r="BI45" s="1"/>
      <c r="BJ45" s="1"/>
      <c r="BK45" s="1"/>
      <c r="BL45" s="1"/>
      <c r="BM45" s="1"/>
      <c r="BN45" s="1"/>
      <c r="BO45" s="1"/>
      <c r="BP45" s="1"/>
      <c r="BQ45" s="1"/>
      <c r="BR45" s="1"/>
      <c r="BS45" s="1"/>
      <c r="BT45" s="1"/>
      <c r="BU45" s="1"/>
      <c r="BV45" s="1"/>
      <c r="BW45" s="1"/>
      <c r="BX45" s="3"/>
      <c r="BY45" s="1"/>
      <c r="BZ45" s="1"/>
      <c r="CA45" s="1"/>
      <c r="CB45" s="1"/>
      <c r="CC45" s="120" t="s">
        <v>1814</v>
      </c>
      <c r="CD45" s="1"/>
      <c r="CE45" s="1"/>
      <c r="CF45" s="1"/>
      <c r="CG45" s="1"/>
      <c r="CH45" s="1"/>
      <c r="CI45" s="1"/>
      <c r="CJ45" s="1"/>
      <c r="CK45" s="1"/>
      <c r="CL45" s="1"/>
      <c r="CM45" s="1"/>
      <c r="CN45" s="1"/>
      <c r="CO45" s="1"/>
      <c r="CP45" s="1"/>
      <c r="CQ45" s="89" t="s">
        <v>2295</v>
      </c>
      <c r="CR45" s="1"/>
      <c r="CS45" s="1"/>
      <c r="CT45" s="5"/>
      <c r="CU45" s="1"/>
      <c r="CW45" s="1"/>
      <c r="CX45" s="1"/>
      <c r="CY45" s="1"/>
      <c r="CZ45" s="1"/>
      <c r="DA45" s="1"/>
      <c r="DB45" s="1"/>
      <c r="DC45" s="1"/>
      <c r="DD45" s="1"/>
      <c r="DE45" s="1"/>
      <c r="DF45" s="1"/>
      <c r="DG45" s="1"/>
      <c r="DH45" s="1"/>
      <c r="DI45" s="1"/>
      <c r="DJ45" s="1"/>
      <c r="DK45" s="1"/>
      <c r="DL45" s="1"/>
      <c r="DM45" s="1"/>
      <c r="DN45" s="1"/>
      <c r="DO45" s="1"/>
      <c r="DP45" s="1"/>
      <c r="DQ45" s="1"/>
      <c r="DR45" s="1"/>
      <c r="DS45" s="1"/>
      <c r="DT45" s="1"/>
      <c r="DW45" s="1"/>
      <c r="DX45" s="1"/>
      <c r="DY45" s="1"/>
      <c r="DZ45" s="1"/>
      <c r="EB45" s="1"/>
      <c r="EC45" s="1"/>
      <c r="ED45" s="1"/>
      <c r="EE45" s="1"/>
      <c r="EF45" s="1"/>
      <c r="EG45" s="1"/>
      <c r="EL45" s="1"/>
      <c r="EM45" s="1"/>
      <c r="EN45">
        <f t="shared" si="17"/>
        <v>0</v>
      </c>
      <c r="EQ45" s="1"/>
    </row>
    <row r="46" spans="1:147" ht="15.75">
      <c r="A46" s="1"/>
      <c r="B46" s="1" t="s">
        <v>1213</v>
      </c>
      <c r="C46" s="11"/>
      <c r="D46" s="1">
        <f>+'Sys INPUT'!D46</f>
        <v>2070536</v>
      </c>
      <c r="E46" s="1">
        <f>+'Sys INPUT'!E46</f>
        <v>727830</v>
      </c>
      <c r="F46" s="1">
        <f>+'Sys INPUT'!F46</f>
        <v>0</v>
      </c>
      <c r="G46" s="1">
        <f>+'Sys INPUT'!G46</f>
        <v>0</v>
      </c>
      <c r="H46" s="1">
        <f>+'Sys INPUT'!H46</f>
        <v>14446</v>
      </c>
      <c r="I46" s="1">
        <f>+'Sys INPUT'!I46</f>
        <v>5640</v>
      </c>
      <c r="J46" s="1">
        <f>+'Sys INPUT'!J46</f>
        <v>212430</v>
      </c>
      <c r="K46" s="1">
        <f>+'Sys INPUT'!K46</f>
        <v>0</v>
      </c>
      <c r="L46" s="1">
        <f>+'Sys INPUT'!L46</f>
        <v>0</v>
      </c>
      <c r="M46" s="1">
        <f>+'Sys INPUT'!M46</f>
        <v>82358</v>
      </c>
      <c r="N46" s="1">
        <f>+'Sys INPUT'!N46</f>
        <v>0</v>
      </c>
      <c r="O46" s="1">
        <f>+'Sys INPUT'!O46</f>
        <v>40000</v>
      </c>
      <c r="P46" s="1">
        <f>+'Sys INPUT'!P46+0</f>
        <v>0</v>
      </c>
      <c r="Q46" s="1">
        <f>+'Sys INPUT'!Q46</f>
        <v>0</v>
      </c>
      <c r="R46" s="1">
        <f>+'Sys INPUT'!R46</f>
        <v>12220</v>
      </c>
      <c r="S46" s="1">
        <f>+'Sys INPUT'!S46</f>
        <v>43710</v>
      </c>
      <c r="T46" s="1">
        <f>+'Sys INPUT'!T46</f>
        <v>0</v>
      </c>
      <c r="U46" s="1">
        <f>+'Sys INPUT'!U46</f>
        <v>434813</v>
      </c>
      <c r="V46" s="1">
        <f>+'Sys INPUT'!V46</f>
        <v>0</v>
      </c>
      <c r="W46" s="1">
        <f>+'Sys INPUT'!W46</f>
        <v>5640</v>
      </c>
      <c r="X46" s="1">
        <f>+'Sys INPUT'!X46</f>
        <v>599925</v>
      </c>
      <c r="Y46" s="1">
        <f>+'Sys INPUT'!Y46-0</f>
        <v>342640</v>
      </c>
      <c r="Z46" s="1">
        <f>+'Sys INPUT'!Z46</f>
        <v>50000</v>
      </c>
      <c r="AA46" s="1">
        <f>+'Sys INPUT'!AA46</f>
        <v>5640</v>
      </c>
      <c r="AB46" s="1">
        <f>+'Sys INPUT'!AB46</f>
        <v>202447</v>
      </c>
      <c r="AC46" s="1">
        <f>+'Sys INPUT'!AC46</f>
        <v>0</v>
      </c>
      <c r="AD46" s="1">
        <f>+'Sys INPUT'!AD46</f>
        <v>0</v>
      </c>
      <c r="AE46" s="1">
        <f>+'Sys INPUT'!AE46</f>
        <v>0</v>
      </c>
      <c r="AF46" s="1">
        <f>+'Sys INPUT'!AF46</f>
        <v>0</v>
      </c>
      <c r="AG46" s="1">
        <f>+'Sys INPUT'!AG46</f>
        <v>0</v>
      </c>
      <c r="AH46" s="1">
        <f>+'Sys INPUT'!AH46</f>
        <v>0</v>
      </c>
      <c r="AI46" s="1">
        <f>+'Sys INPUT'!AI46</f>
        <v>0</v>
      </c>
      <c r="AJ46" s="1">
        <f>+'Sys INPUT'!AJ46</f>
        <v>0</v>
      </c>
      <c r="AK46" s="1">
        <f>+'Sys INPUT'!AK46</f>
        <v>0</v>
      </c>
      <c r="AL46" s="1">
        <f>+'Sys INPUT'!AL46</f>
        <v>0</v>
      </c>
      <c r="AM46" s="1">
        <f>+'Sys INPUT'!AM46</f>
        <v>0</v>
      </c>
      <c r="AN46" s="1">
        <f>+'Sys INPUT'!AN46</f>
        <v>0</v>
      </c>
      <c r="AO46" s="1">
        <f>+'Sys INPUT'!AO46</f>
        <v>0</v>
      </c>
      <c r="AP46" s="1">
        <f>+'Sys INPUT'!AP46</f>
        <v>0</v>
      </c>
      <c r="AQ46" s="1">
        <f>+'Sys INPUT'!AQ46</f>
        <v>0</v>
      </c>
      <c r="AR46" s="1">
        <f>+'Sys INPUT'!AR46</f>
        <v>0</v>
      </c>
      <c r="AS46" s="1">
        <f>+'Sys INPUT'!AS46</f>
        <v>0</v>
      </c>
      <c r="AT46" s="1">
        <f>+'Sys INPUT'!AT46</f>
        <v>12743</v>
      </c>
      <c r="AU46" s="1">
        <f>+'Sys INPUT'!AU46</f>
        <v>5640</v>
      </c>
      <c r="AV46" s="1">
        <f>+'Sys INPUT'!AV46</f>
        <v>0</v>
      </c>
      <c r="AW46" s="1"/>
      <c r="AX46" s="1">
        <f>+'Sys INPUT'!AX46</f>
        <v>0</v>
      </c>
      <c r="AY46" s="1">
        <f>+'Sys INPUT'!AY46</f>
        <v>0</v>
      </c>
      <c r="AZ46" s="1">
        <f>+'Sys INPUT'!AZ46</f>
        <v>0</v>
      </c>
      <c r="BA46" s="1">
        <f>+'Sys INPUT'!BA46</f>
        <v>0</v>
      </c>
      <c r="BB46" s="1">
        <f>+'Sys INPUT'!BB46</f>
        <v>0</v>
      </c>
      <c r="BC46" s="1">
        <f>+'Sys INPUT'!BC46</f>
        <v>11447</v>
      </c>
      <c r="BD46" s="1">
        <f>+'Sys INPUT'!BD46</f>
        <v>0</v>
      </c>
      <c r="BE46" s="1"/>
      <c r="BF46" s="1">
        <f t="shared" ref="BF46:BF57" si="54">SUM(E46:BE46)</f>
        <v>2809569</v>
      </c>
      <c r="BG46" s="1">
        <f>+BF46-X46-P46-BB46-BC46</f>
        <v>2198197</v>
      </c>
      <c r="BH46" s="1">
        <f>+'Sys INPUT'!BH46</f>
        <v>0</v>
      </c>
      <c r="BI46" s="1">
        <f>+'Sys INPUT'!BI46</f>
        <v>0</v>
      </c>
      <c r="BJ46" s="1">
        <f>+'Sys INPUT'!BJ46</f>
        <v>0</v>
      </c>
      <c r="BK46" s="1">
        <f>+'Sys INPUT'!BK46</f>
        <v>0</v>
      </c>
      <c r="BL46" s="1">
        <f>+'Sys INPUT'!BL46</f>
        <v>0</v>
      </c>
      <c r="BM46" s="1">
        <f>+'Sys INPUT'!BM46</f>
        <v>0</v>
      </c>
      <c r="BN46" s="1">
        <f>+'Sys INPUT'!BN46</f>
        <v>0</v>
      </c>
      <c r="BO46" s="1"/>
      <c r="BP46" s="1">
        <f>SUM(BH46:BN46)</f>
        <v>0</v>
      </c>
      <c r="BQ46" s="1">
        <f t="shared" ref="BQ46:BQ57" si="55">+BP46-BN46-BM46</f>
        <v>0</v>
      </c>
      <c r="BR46" s="1">
        <f>+'Sys INPUT'!BR46</f>
        <v>4055811</v>
      </c>
      <c r="BS46" s="1">
        <f>+'Sys INPUT'!BS46</f>
        <v>0</v>
      </c>
      <c r="BT46" s="1">
        <f>+'Sys INPUT'!BT46</f>
        <v>316372</v>
      </c>
      <c r="BU46" s="1">
        <f>+'Sys INPUT'!BU46</f>
        <v>0</v>
      </c>
      <c r="BV46" s="1">
        <f>+'Sys INPUT'!BV46</f>
        <v>0</v>
      </c>
      <c r="BW46" s="1">
        <f>+'Sys INPUT'!BW46</f>
        <v>1277424</v>
      </c>
      <c r="BX46" s="3"/>
      <c r="BY46" s="1">
        <f t="shared" ref="BY46:BY57" si="56">SUM(BR46:BX46)</f>
        <v>5649607</v>
      </c>
      <c r="BZ46" s="1">
        <f t="shared" ref="BZ46:BZ73" si="57">+BY46-BR46</f>
        <v>1593796</v>
      </c>
      <c r="CA46" s="1">
        <f>+BG46+BQ46+BZ46+EF46</f>
        <v>3791993</v>
      </c>
      <c r="CB46" s="1"/>
      <c r="CC46" s="1">
        <f>+'Sys INPUT'!CC46</f>
        <v>50000</v>
      </c>
      <c r="CD46" s="1">
        <f>+'Sys INPUT'!CD46</f>
        <v>0</v>
      </c>
      <c r="CE46" s="1">
        <f>+'Sys INPUT'!CE46</f>
        <v>0</v>
      </c>
      <c r="CF46" s="1">
        <f>+'Sys INPUT'!CF46+0</f>
        <v>0</v>
      </c>
      <c r="CG46" s="1">
        <f>+'Sys INPUT'!CG46</f>
        <v>82</v>
      </c>
      <c r="CH46" s="1">
        <f>+'Sys INPUT'!CH46</f>
        <v>0</v>
      </c>
      <c r="CI46" s="1"/>
      <c r="CJ46" s="1">
        <f t="shared" ref="CJ46:CJ57" si="58">SUM(CB46:CI46)</f>
        <v>50082</v>
      </c>
      <c r="CK46" s="1">
        <f>+CJ46-CB46-CC46-CG46</f>
        <v>0</v>
      </c>
      <c r="CL46" s="1">
        <f>+'Sys INPUT'!CL46</f>
        <v>555742</v>
      </c>
      <c r="CM46" s="1">
        <f>+'Sys INPUT'!CM46</f>
        <v>0</v>
      </c>
      <c r="CN46" s="1">
        <f>+'Sys INPUT'!CN46</f>
        <v>0</v>
      </c>
      <c r="CO46" s="1">
        <f>+'Sys INPUT'!CO46</f>
        <v>0</v>
      </c>
      <c r="CP46" s="1">
        <f>+'Sys INPUT'!CP46</f>
        <v>1135</v>
      </c>
      <c r="CQ46" s="1">
        <f>+'Sys INPUT'!CQ46</f>
        <v>100000</v>
      </c>
      <c r="CR46" s="1">
        <f>+'Sys INPUT'!CR46</f>
        <v>1500000</v>
      </c>
      <c r="CS46" s="1"/>
      <c r="CT46" s="5"/>
      <c r="CU46" s="1">
        <f t="shared" ref="CU46:CU57" si="59">SUM(CL46:CT46)</f>
        <v>2156877</v>
      </c>
      <c r="CW46" s="1"/>
      <c r="CX46" s="1"/>
      <c r="CY46" s="1"/>
      <c r="CZ46" s="1"/>
      <c r="DA46" s="1"/>
      <c r="DB46" s="1"/>
      <c r="DC46" s="1"/>
      <c r="DD46" s="1"/>
      <c r="DE46" s="1"/>
      <c r="DF46" s="1"/>
      <c r="DG46" s="1"/>
      <c r="DH46" s="1"/>
      <c r="DI46" s="1"/>
      <c r="DJ46" s="1"/>
      <c r="DK46" s="1"/>
      <c r="DL46" s="1"/>
      <c r="DM46" s="1"/>
      <c r="DN46" s="1"/>
      <c r="DO46" s="1"/>
      <c r="DP46" s="1"/>
      <c r="DQ46" s="1"/>
      <c r="DR46" s="1"/>
      <c r="DS46" s="1"/>
      <c r="DT46" s="1"/>
      <c r="DW46" s="1">
        <f t="shared" ref="DW46:DW57" si="60">+CW46+CY46+DB46+DC46+DD46+DE46+DJ46+DL46+DN46+DQ46+DR46+DS46+DT46</f>
        <v>0</v>
      </c>
      <c r="DX46" s="1"/>
      <c r="DY46" s="1"/>
      <c r="DZ46" s="1"/>
      <c r="EB46" s="1">
        <f>+'Sys INPUT'!EC46</f>
        <v>0</v>
      </c>
      <c r="EC46" s="1"/>
      <c r="ED46" s="1"/>
      <c r="EE46" s="1"/>
      <c r="EF46" s="1">
        <f>+'Sys INPUT'!EG46</f>
        <v>0</v>
      </c>
      <c r="EG46" s="1"/>
      <c r="EI46">
        <f>+D46+BF46+BP46+BY46+CJ46+CU46+ED46-P46</f>
        <v>12736671</v>
      </c>
      <c r="EL46" s="1"/>
      <c r="EM46" s="1"/>
      <c r="EN46">
        <f>+D46+BF46+BP46+BY46+CJ46+CU46-P46</f>
        <v>12736671</v>
      </c>
      <c r="EO46">
        <f>+EN46+EN47</f>
        <v>0</v>
      </c>
      <c r="EQ46" s="1">
        <f>+'Sys INPUT'!AF46+'Sys INPUT'!ER46</f>
        <v>0</v>
      </c>
    </row>
    <row r="47" spans="1:147" ht="15.75">
      <c r="A47" s="1"/>
      <c r="B47" s="1" t="s">
        <v>1214</v>
      </c>
      <c r="C47" s="11"/>
      <c r="D47" s="1">
        <f>+'Sys INPUT'!D47+D242-D302+0</f>
        <v>-1886524</v>
      </c>
      <c r="E47" s="1">
        <f>+'Sys INPUT'!E47</f>
        <v>-60816</v>
      </c>
      <c r="F47" s="1">
        <f>+'Sys INPUT'!F47</f>
        <v>0</v>
      </c>
      <c r="G47" s="1">
        <f>+'Sys INPUT'!G47</f>
        <v>0</v>
      </c>
      <c r="H47" s="1">
        <f>+'Sys INPUT'!H47</f>
        <v>-8025</v>
      </c>
      <c r="I47" s="1">
        <f>+'Sys INPUT'!I47</f>
        <v>0</v>
      </c>
      <c r="J47" s="1">
        <f>+'Sys INPUT'!J47</f>
        <v>-1955024</v>
      </c>
      <c r="K47" s="1">
        <f>+'Sys INPUT'!K47</f>
        <v>0</v>
      </c>
      <c r="L47" s="1">
        <f>+'Sys INPUT'!L47</f>
        <v>0</v>
      </c>
      <c r="M47" s="1">
        <f>+'Sys INPUT'!M47</f>
        <v>-5000</v>
      </c>
      <c r="N47" s="1">
        <f>+'Sys INPUT'!N47</f>
        <v>-75000</v>
      </c>
      <c r="O47" s="1">
        <f>+'Sys INPUT'!O47</f>
        <v>-3000</v>
      </c>
      <c r="P47" s="1">
        <f>+'Sys INPUT'!P47</f>
        <v>0</v>
      </c>
      <c r="Q47" s="1">
        <f>+'Sys INPUT'!Q47+0</f>
        <v>-1589670</v>
      </c>
      <c r="R47" s="1">
        <f>+'Sys INPUT'!R47</f>
        <v>-150000</v>
      </c>
      <c r="S47" s="1">
        <f>+'Sys INPUT'!S47</f>
        <v>-15614</v>
      </c>
      <c r="T47" s="1">
        <f>+'Sys INPUT'!T47</f>
        <v>0</v>
      </c>
      <c r="U47" s="1">
        <f>+'Sys INPUT'!U47</f>
        <v>-352040</v>
      </c>
      <c r="V47" s="1">
        <f>+'Sys INPUT'!V47</f>
        <v>-3000</v>
      </c>
      <c r="W47" s="1">
        <f>+'Sys INPUT'!W47</f>
        <v>-12000</v>
      </c>
      <c r="X47" s="1">
        <f>+'Sys INPUT'!X47</f>
        <v>-765090</v>
      </c>
      <c r="Y47" s="1">
        <f>+'Sys INPUT'!Y47+0</f>
        <v>0</v>
      </c>
      <c r="Z47" s="1">
        <f>+'Sys INPUT'!Z47</f>
        <v>0</v>
      </c>
      <c r="AA47" s="1">
        <f>+'Sys INPUT'!AA47</f>
        <v>-31000</v>
      </c>
      <c r="AB47" s="1">
        <f>+'Sys INPUT'!AB47</f>
        <v>-323579</v>
      </c>
      <c r="AC47" s="1">
        <f>+'Sys INPUT'!AC47</f>
        <v>0</v>
      </c>
      <c r="AD47" s="1">
        <f>+'Sys INPUT'!AD47</f>
        <v>0</v>
      </c>
      <c r="AE47" s="1">
        <f>+'Sys INPUT'!AE47</f>
        <v>-360</v>
      </c>
      <c r="AF47" s="1">
        <f>+'Sys INPUT'!AF47</f>
        <v>0</v>
      </c>
      <c r="AG47" s="1">
        <f>+'Sys INPUT'!AG47-AG302+AG242</f>
        <v>0</v>
      </c>
      <c r="AH47" s="1">
        <f>+'Sys INPUT'!AH47</f>
        <v>0</v>
      </c>
      <c r="AI47" s="1">
        <f>+'Sys INPUT'!AI47</f>
        <v>0</v>
      </c>
      <c r="AJ47" s="1">
        <f>+'Sys INPUT'!AJ47</f>
        <v>0</v>
      </c>
      <c r="AK47" s="1">
        <f>+'Sys INPUT'!AK47</f>
        <v>0</v>
      </c>
      <c r="AL47" s="1">
        <f>+'Sys INPUT'!AL47</f>
        <v>0</v>
      </c>
      <c r="AM47" s="1">
        <f>+'Sys INPUT'!AM47</f>
        <v>0</v>
      </c>
      <c r="AN47" s="1">
        <f>+'Sys INPUT'!AN47</f>
        <v>0</v>
      </c>
      <c r="AO47" s="1">
        <f>+'Sys INPUT'!AO47</f>
        <v>0</v>
      </c>
      <c r="AP47" s="1">
        <f>+'Sys INPUT'!AP47</f>
        <v>0</v>
      </c>
      <c r="AQ47" s="1">
        <f>+'Sys INPUT'!AQ47</f>
        <v>0</v>
      </c>
      <c r="AR47" s="1">
        <f>+'Sys INPUT'!AR47</f>
        <v>0</v>
      </c>
      <c r="AS47" s="1">
        <f>+'Sys INPUT'!AS47</f>
        <v>-56000</v>
      </c>
      <c r="AT47" s="1">
        <f>+'Sys INPUT'!AT47</f>
        <v>0</v>
      </c>
      <c r="AU47" s="1">
        <f>+'Sys INPUT'!AU47</f>
        <v>0</v>
      </c>
      <c r="AV47" s="1">
        <f>+'Sys INPUT'!AV47</f>
        <v>0</v>
      </c>
      <c r="AW47" s="1"/>
      <c r="AX47" s="1">
        <f>+'Sys INPUT'!AX47</f>
        <v>0</v>
      </c>
      <c r="AY47" s="1">
        <f>+'Sys INPUT'!AY47</f>
        <v>0</v>
      </c>
      <c r="AZ47" s="1">
        <f>+'Sys INPUT'!AZ47</f>
        <v>0</v>
      </c>
      <c r="BA47" s="1">
        <f>+'Sys INPUT'!BA47</f>
        <v>0</v>
      </c>
      <c r="BB47" s="1">
        <f>+'Sys INPUT'!BB47</f>
        <v>-4211818</v>
      </c>
      <c r="BC47" s="1">
        <f>+'Sys INPUT'!BC47</f>
        <v>-276838</v>
      </c>
      <c r="BD47" s="1">
        <f>+'Sys INPUT'!BD47</f>
        <v>0</v>
      </c>
      <c r="BE47" s="1"/>
      <c r="BF47" s="1">
        <f>SUM(E47:BE47)</f>
        <v>-9893874</v>
      </c>
      <c r="BG47" s="1">
        <f>+BF47-X47-P47-BB47-BC47</f>
        <v>-4640128</v>
      </c>
      <c r="BH47" s="1">
        <f>+'Sys INPUT'!BH47</f>
        <v>0</v>
      </c>
      <c r="BI47" s="1">
        <f>+'Sys INPUT'!BI47</f>
        <v>0</v>
      </c>
      <c r="BJ47" s="1">
        <f>+'Sys INPUT'!BJ47</f>
        <v>0</v>
      </c>
      <c r="BK47" s="1">
        <f>+'Sys INPUT'!BK47</f>
        <v>0</v>
      </c>
      <c r="BL47" s="1">
        <f>+'Sys INPUT'!BL47</f>
        <v>0</v>
      </c>
      <c r="BM47" s="1">
        <f>+'Sys INPUT'!BM47</f>
        <v>0</v>
      </c>
      <c r="BN47" s="1">
        <f>+'Sys INPUT'!BN47</f>
        <v>-8109</v>
      </c>
      <c r="BO47" s="1"/>
      <c r="BP47" s="1">
        <f t="shared" ref="BP47:BP57" si="61">SUM(BH47:BN47)</f>
        <v>-8109</v>
      </c>
      <c r="BQ47" s="1">
        <f t="shared" si="55"/>
        <v>0</v>
      </c>
      <c r="BR47" s="1">
        <f>+'Sys INPUT'!BR47</f>
        <v>-319640</v>
      </c>
      <c r="BS47" s="1">
        <f>+'Sys INPUT'!BS47</f>
        <v>0</v>
      </c>
      <c r="BT47" s="1">
        <f>+'Sys INPUT'!BT47</f>
        <v>-3032</v>
      </c>
      <c r="BU47" s="1">
        <f>+'Sys INPUT'!BU47</f>
        <v>0</v>
      </c>
      <c r="BV47" s="1">
        <f>+'Sys INPUT'!BV47</f>
        <v>-44065</v>
      </c>
      <c r="BW47" s="1">
        <f>+'Sys INPUT'!BW47</f>
        <v>-12743</v>
      </c>
      <c r="BX47" s="3"/>
      <c r="BY47" s="1">
        <f t="shared" si="56"/>
        <v>-379480</v>
      </c>
      <c r="BZ47" s="1">
        <f t="shared" si="57"/>
        <v>-59840</v>
      </c>
      <c r="CA47" s="1">
        <f>+BG47+BQ47+BZ47+EF47</f>
        <v>-4699968</v>
      </c>
      <c r="CB47" s="1"/>
      <c r="CC47" s="1">
        <f>+'Sys INPUT'!CC47</f>
        <v>0</v>
      </c>
      <c r="CD47" s="1">
        <f>+'Sys INPUT'!CD47</f>
        <v>-82</v>
      </c>
      <c r="CE47" s="1">
        <f>+'Sys INPUT'!CE47</f>
        <v>0</v>
      </c>
      <c r="CF47" s="1">
        <f>+'Sys INPUT'!CF47</f>
        <v>0</v>
      </c>
      <c r="CG47" s="1">
        <f>+'Sys INPUT'!CG47-0</f>
        <v>-2545</v>
      </c>
      <c r="CH47" s="1">
        <f>+'Sys INPUT'!CH47</f>
        <v>0</v>
      </c>
      <c r="CI47" s="1"/>
      <c r="CJ47" s="1">
        <f t="shared" si="58"/>
        <v>-2627</v>
      </c>
      <c r="CK47" s="1">
        <f>+CJ47-CB47-CC47-CG47</f>
        <v>-82</v>
      </c>
      <c r="CL47" s="1">
        <f>+'Sys INPUT'!CL47</f>
        <v>0</v>
      </c>
      <c r="CM47" s="1">
        <f>+'Sys INPUT'!CM47-0</f>
        <v>-297020</v>
      </c>
      <c r="CN47" s="1">
        <f>+'Sys INPUT'!CN47</f>
        <v>-269037</v>
      </c>
      <c r="CO47" s="1">
        <f>+'Sys INPUT'!CO47</f>
        <v>0</v>
      </c>
      <c r="CP47" s="1">
        <f>+'Sys INPUT'!CP47</f>
        <v>0</v>
      </c>
      <c r="CQ47" s="1">
        <f>+'Sys INPUT'!CQ47</f>
        <v>0</v>
      </c>
      <c r="CR47" s="1">
        <f>+'Sys INPUT'!CR47</f>
        <v>0</v>
      </c>
      <c r="CS47" s="1"/>
      <c r="CT47" s="5"/>
      <c r="CU47" s="1">
        <f t="shared" si="59"/>
        <v>-566057</v>
      </c>
      <c r="CW47" s="1"/>
      <c r="CX47" s="1"/>
      <c r="CY47" s="1"/>
      <c r="CZ47" s="1"/>
      <c r="DA47" s="1"/>
      <c r="DB47" s="1"/>
      <c r="DC47" s="1"/>
      <c r="DD47" s="1"/>
      <c r="DE47" s="1"/>
      <c r="DF47" s="1"/>
      <c r="DG47" s="1"/>
      <c r="DH47" s="1"/>
      <c r="DI47" s="1"/>
      <c r="DJ47" s="1"/>
      <c r="DK47" s="1"/>
      <c r="DL47" s="1"/>
      <c r="DM47" s="1"/>
      <c r="DN47" s="1"/>
      <c r="DO47" s="1"/>
      <c r="DP47" s="1"/>
      <c r="DQ47" s="1"/>
      <c r="DR47" s="1"/>
      <c r="DS47" s="1"/>
      <c r="DT47" s="1"/>
      <c r="DW47" s="1">
        <f t="shared" si="60"/>
        <v>0</v>
      </c>
      <c r="DX47" s="1"/>
      <c r="DY47" s="1"/>
      <c r="DZ47" s="1"/>
      <c r="EB47" s="250">
        <f>+'Sys INPUT'!EC47+0</f>
        <v>0</v>
      </c>
      <c r="EC47" s="253" t="s">
        <v>2606</v>
      </c>
      <c r="ED47" s="1"/>
      <c r="EE47" s="1"/>
      <c r="EF47" s="1">
        <f>+'Sys INPUT'!EG47</f>
        <v>0</v>
      </c>
      <c r="EG47" s="1"/>
      <c r="EI47">
        <f>+D47+BF47+BP47+BY47+CJ47+CU47+ED47</f>
        <v>-12736671</v>
      </c>
      <c r="EL47" s="1"/>
      <c r="EM47" s="1"/>
      <c r="EN47">
        <f>+D47+BF47+BP47+BY47+CJ47+CU47</f>
        <v>-12736671</v>
      </c>
      <c r="EQ47" s="1"/>
    </row>
    <row r="48" spans="1:147" ht="15.75">
      <c r="A48" s="1"/>
      <c r="B48" s="89" t="s">
        <v>3260</v>
      </c>
      <c r="C48" s="11"/>
      <c r="D48" s="1"/>
      <c r="E48" s="1"/>
      <c r="F48" s="1"/>
      <c r="G48" s="1"/>
      <c r="H48" s="1"/>
      <c r="I48" s="1136">
        <f>0</f>
        <v>0</v>
      </c>
      <c r="J48" s="1"/>
      <c r="K48" s="1"/>
      <c r="L48" s="1"/>
      <c r="M48" s="1"/>
      <c r="N48" s="1"/>
      <c r="O48" s="1"/>
      <c r="P48" s="1"/>
      <c r="Q48" s="1"/>
      <c r="R48" s="1"/>
      <c r="S48" s="1"/>
      <c r="T48" s="1"/>
      <c r="U48" s="1"/>
      <c r="V48" s="1"/>
      <c r="W48" s="1"/>
      <c r="X48" s="1"/>
      <c r="Y48" s="1136">
        <v>0</v>
      </c>
      <c r="Z48" s="1"/>
      <c r="AA48" s="1"/>
      <c r="AB48" s="1"/>
      <c r="AC48" s="1"/>
      <c r="AD48" s="1"/>
      <c r="AE48" s="1"/>
      <c r="AF48" s="1"/>
      <c r="AG48" s="1"/>
      <c r="AH48" s="1"/>
      <c r="AI48" s="1"/>
      <c r="AJ48" s="1"/>
      <c r="AK48" s="1"/>
      <c r="AL48" s="1"/>
      <c r="AM48" s="1"/>
      <c r="AN48" s="1"/>
      <c r="AO48" s="1"/>
      <c r="AP48" s="1"/>
      <c r="AQ48" s="1"/>
      <c r="AR48" s="1"/>
      <c r="AS48" s="1"/>
      <c r="AT48" s="1"/>
      <c r="AU48" s="1136">
        <v>157932</v>
      </c>
      <c r="AV48" s="1"/>
      <c r="AW48" s="1"/>
      <c r="AX48" s="1"/>
      <c r="AY48" s="1"/>
      <c r="AZ48" s="1"/>
      <c r="BA48" s="1"/>
      <c r="BB48" s="1"/>
      <c r="BC48" s="1"/>
      <c r="BD48" s="1"/>
      <c r="BE48" s="1"/>
      <c r="BF48" s="1">
        <f>SUM(E48:BE48)</f>
        <v>157932</v>
      </c>
      <c r="BG48" s="1">
        <f>+BF48-X48-P48-BB48-BC48</f>
        <v>157932</v>
      </c>
      <c r="BH48" s="1"/>
      <c r="BI48" s="1"/>
      <c r="BJ48" s="1"/>
      <c r="BK48" s="1"/>
      <c r="BL48" s="1"/>
      <c r="BM48" s="1"/>
      <c r="BN48" s="1"/>
      <c r="BO48" s="1"/>
      <c r="BP48" s="1">
        <f t="shared" ref="BP48:BP49" si="62">SUM(BH48:BN48)</f>
        <v>0</v>
      </c>
      <c r="BQ48" s="1">
        <f t="shared" ref="BQ48:BQ49" si="63">+BP48-BN48-BM48</f>
        <v>0</v>
      </c>
      <c r="BR48" s="1"/>
      <c r="BS48" s="1"/>
      <c r="BT48" s="1"/>
      <c r="BU48" s="1"/>
      <c r="BV48" s="1"/>
      <c r="BW48" s="1"/>
      <c r="BX48" s="3"/>
      <c r="BY48" s="1">
        <f t="shared" ref="BY48:BY49" si="64">SUM(BR48:BX48)</f>
        <v>0</v>
      </c>
      <c r="BZ48" s="1">
        <f t="shared" ref="BZ48:BZ49" si="65">+BY48-BR48</f>
        <v>0</v>
      </c>
      <c r="CA48" s="1">
        <f t="shared" ref="CA48:CA49" si="66">+BG48+BQ48+BZ48+EF48</f>
        <v>157932</v>
      </c>
      <c r="CB48" s="1"/>
      <c r="CC48" s="1"/>
      <c r="CD48" s="1"/>
      <c r="CE48" s="1"/>
      <c r="CF48" s="1"/>
      <c r="CG48" s="1"/>
      <c r="CH48" s="1"/>
      <c r="CI48" s="1"/>
      <c r="CJ48" s="1">
        <f t="shared" si="58"/>
        <v>0</v>
      </c>
      <c r="CK48" s="1"/>
      <c r="CL48" s="1"/>
      <c r="CM48" s="1"/>
      <c r="CN48" s="1"/>
      <c r="CO48" s="1"/>
      <c r="CP48" s="1"/>
      <c r="CQ48" s="1"/>
      <c r="CR48" s="1"/>
      <c r="CS48" s="1"/>
      <c r="CT48" s="5"/>
      <c r="CU48" s="1">
        <f t="shared" si="59"/>
        <v>0</v>
      </c>
      <c r="CW48" s="1"/>
      <c r="CX48" s="1"/>
      <c r="CY48" s="1"/>
      <c r="CZ48" s="1"/>
      <c r="DA48" s="1"/>
      <c r="DB48" s="1"/>
      <c r="DC48" s="1"/>
      <c r="DD48" s="1"/>
      <c r="DE48" s="1"/>
      <c r="DF48" s="1"/>
      <c r="DG48" s="1"/>
      <c r="DH48" s="1"/>
      <c r="DI48" s="1"/>
      <c r="DJ48" s="1"/>
      <c r="DK48" s="1"/>
      <c r="DL48" s="1"/>
      <c r="DM48" s="1"/>
      <c r="DN48" s="1"/>
      <c r="DO48" s="1"/>
      <c r="DP48" s="1"/>
      <c r="DQ48" s="1"/>
      <c r="DR48" s="1"/>
      <c r="DS48" s="1"/>
      <c r="DT48" s="1"/>
      <c r="DW48" s="1"/>
      <c r="DX48" s="1"/>
      <c r="DY48" s="1"/>
      <c r="DZ48" s="1"/>
      <c r="EB48" s="250"/>
      <c r="EC48" s="253"/>
      <c r="ED48" s="1"/>
      <c r="EE48" s="1"/>
      <c r="EF48" s="1"/>
      <c r="EG48" s="1"/>
      <c r="EL48" s="1"/>
      <c r="EM48" s="1"/>
      <c r="EQ48" s="1"/>
    </row>
    <row r="49" spans="1:147" ht="15.75">
      <c r="A49" s="1"/>
      <c r="B49" s="89" t="s">
        <v>3534</v>
      </c>
      <c r="C49" s="11"/>
      <c r="D49" s="1136">
        <f>123084+92495+61328+186828+78576</f>
        <v>542311</v>
      </c>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f>SUM(E49:BE49)</f>
        <v>0</v>
      </c>
      <c r="BG49" s="1">
        <f>+BF49-X49-P49-BB49-BC49</f>
        <v>0</v>
      </c>
      <c r="BH49" s="1"/>
      <c r="BI49" s="1"/>
      <c r="BJ49" s="1"/>
      <c r="BK49" s="1"/>
      <c r="BL49" s="1"/>
      <c r="BM49" s="1"/>
      <c r="BN49" s="1"/>
      <c r="BO49" s="1"/>
      <c r="BP49" s="1">
        <f t="shared" si="62"/>
        <v>0</v>
      </c>
      <c r="BQ49" s="1">
        <f t="shared" si="63"/>
        <v>0</v>
      </c>
      <c r="BR49" s="1"/>
      <c r="BS49" s="1"/>
      <c r="BT49" s="1"/>
      <c r="BU49" s="1"/>
      <c r="BV49" s="1"/>
      <c r="BW49" s="1"/>
      <c r="BX49" s="3"/>
      <c r="BY49" s="1">
        <f t="shared" si="64"/>
        <v>0</v>
      </c>
      <c r="BZ49" s="1">
        <f t="shared" si="65"/>
        <v>0</v>
      </c>
      <c r="CA49" s="1">
        <f t="shared" si="66"/>
        <v>0</v>
      </c>
      <c r="CB49" s="1"/>
      <c r="CC49" s="1"/>
      <c r="CD49" s="1"/>
      <c r="CE49" s="1"/>
      <c r="CF49" s="1"/>
      <c r="CG49" s="1"/>
      <c r="CH49" s="1"/>
      <c r="CI49" s="1"/>
      <c r="CJ49" s="1">
        <f t="shared" si="58"/>
        <v>0</v>
      </c>
      <c r="CK49" s="1"/>
      <c r="CL49" s="1"/>
      <c r="CM49" s="1"/>
      <c r="CN49" s="1"/>
      <c r="CO49" s="1"/>
      <c r="CP49" s="1"/>
      <c r="CQ49" s="1"/>
      <c r="CR49" s="1"/>
      <c r="CS49" s="1"/>
      <c r="CT49" s="5"/>
      <c r="CU49" s="1">
        <f t="shared" si="59"/>
        <v>0</v>
      </c>
      <c r="CW49" s="1"/>
      <c r="CX49" s="1"/>
      <c r="CY49" s="1"/>
      <c r="CZ49" s="1"/>
      <c r="DA49" s="1"/>
      <c r="DB49" s="1"/>
      <c r="DC49" s="1"/>
      <c r="DD49" s="1"/>
      <c r="DE49" s="1"/>
      <c r="DF49" s="1"/>
      <c r="DG49" s="1"/>
      <c r="DH49" s="1"/>
      <c r="DI49" s="1"/>
      <c r="DJ49" s="1"/>
      <c r="DK49" s="1"/>
      <c r="DL49" s="1"/>
      <c r="DM49" s="1"/>
      <c r="DN49" s="1"/>
      <c r="DO49" s="1"/>
      <c r="DP49" s="1"/>
      <c r="DQ49" s="1"/>
      <c r="DR49" s="1"/>
      <c r="DS49" s="1"/>
      <c r="DT49" s="1"/>
      <c r="DW49" s="1"/>
      <c r="DX49" s="1"/>
      <c r="DY49" s="1"/>
      <c r="DZ49" s="1"/>
      <c r="EB49" s="250"/>
      <c r="EC49" s="253"/>
      <c r="ED49" s="1"/>
      <c r="EE49" s="1"/>
      <c r="EF49" s="1"/>
      <c r="EG49" s="1"/>
      <c r="EL49" s="1"/>
      <c r="EM49" s="1"/>
      <c r="EQ49" s="1"/>
    </row>
    <row r="50" spans="1:147" ht="15.75">
      <c r="A50" s="1"/>
      <c r="B50" s="89" t="s">
        <v>3179</v>
      </c>
      <c r="C50" s="11"/>
      <c r="D50" s="141">
        <f>+'Sys INPUT'!D48-0</f>
        <v>0</v>
      </c>
      <c r="E50" s="1">
        <f>+'Sys INPUT'!E48</f>
        <v>0</v>
      </c>
      <c r="F50" s="1">
        <f>+'Sys INPUT'!F48</f>
        <v>0</v>
      </c>
      <c r="G50" s="1"/>
      <c r="H50" s="1"/>
      <c r="I50" s="1"/>
      <c r="J50" s="1">
        <f>+'Sys INPUT'!J48</f>
        <v>0</v>
      </c>
      <c r="K50" s="1"/>
      <c r="L50" s="1"/>
      <c r="M50" s="1"/>
      <c r="N50" s="1"/>
      <c r="O50" s="1"/>
      <c r="P50" s="1"/>
      <c r="Q50" s="1"/>
      <c r="R50" s="1">
        <f>+'Sys INPUT'!R48</f>
        <v>0</v>
      </c>
      <c r="S50" s="1"/>
      <c r="T50" s="1"/>
      <c r="U50" s="1">
        <f>+'Sys INPUT'!U48</f>
        <v>0</v>
      </c>
      <c r="V50" s="1"/>
      <c r="W50" s="1"/>
      <c r="X50" s="1">
        <f>+'Sys INPUT'!X48</f>
        <v>0</v>
      </c>
      <c r="Y50" s="1">
        <f>+'Sys INPUT'!Y48</f>
        <v>0</v>
      </c>
      <c r="Z50" s="1"/>
      <c r="AA50" s="1">
        <f>+'Sys INPUT'!AA48</f>
        <v>0</v>
      </c>
      <c r="AB50" s="1">
        <f>+'Sys INPUT'!AB48</f>
        <v>0</v>
      </c>
      <c r="AC50" s="1">
        <f>+'Sys INPUT'!AC48</f>
        <v>0</v>
      </c>
      <c r="AD50" s="1">
        <f>+'Sys INPUT'!AD48</f>
        <v>0</v>
      </c>
      <c r="AE50" s="1">
        <f>+'Sys INPUT'!AE48</f>
        <v>0</v>
      </c>
      <c r="AF50" s="1"/>
      <c r="AG50" s="1"/>
      <c r="AH50" s="1"/>
      <c r="AI50" s="1">
        <f>+'Sys INPUT'!AI48</f>
        <v>0</v>
      </c>
      <c r="AJ50" s="1">
        <f>+'Sys INPUT'!AJ48</f>
        <v>0</v>
      </c>
      <c r="AK50" s="1">
        <f>+'Sys INPUT'!AK48</f>
        <v>0</v>
      </c>
      <c r="AL50" s="1">
        <f>+'Sys INPUT'!AL48</f>
        <v>0</v>
      </c>
      <c r="AM50" s="1">
        <f>+'Sys INPUT'!AM48</f>
        <v>0</v>
      </c>
      <c r="AN50" s="1">
        <f>+'Sys INPUT'!AN48</f>
        <v>0</v>
      </c>
      <c r="AO50" s="1">
        <f>+'Sys INPUT'!AO48</f>
        <v>0</v>
      </c>
      <c r="AP50" s="1">
        <f>+'Sys INPUT'!AP48-AP231</f>
        <v>3214883</v>
      </c>
      <c r="AQ50" s="1">
        <f>+'Sys INPUT'!AQ48-AQ231</f>
        <v>0</v>
      </c>
      <c r="AR50" s="1">
        <f>+'Sys INPUT'!AR48</f>
        <v>0</v>
      </c>
      <c r="AS50" s="1">
        <f>+'Sys INPUT'!AS48</f>
        <v>0</v>
      </c>
      <c r="AT50" s="1">
        <f>+'Sys INPUT'!AT48</f>
        <v>0</v>
      </c>
      <c r="AU50" s="1">
        <f>+'Sys INPUT'!AU48</f>
        <v>0</v>
      </c>
      <c r="AV50" s="1">
        <f>+'Sys INPUT'!AV48</f>
        <v>0</v>
      </c>
      <c r="AW50" s="1"/>
      <c r="AX50" s="1">
        <f>+'Sys INPUT'!AX48</f>
        <v>0</v>
      </c>
      <c r="AY50" s="1">
        <f>+'Sys INPUT'!AY48</f>
        <v>0</v>
      </c>
      <c r="AZ50" s="1">
        <f>+'Sys INPUT'!AZ48</f>
        <v>0</v>
      </c>
      <c r="BA50" s="1">
        <f>+'Sys INPUT'!BA48</f>
        <v>0</v>
      </c>
      <c r="BB50" s="1">
        <f>+'Sys INPUT'!BB48</f>
        <v>0</v>
      </c>
      <c r="BC50" s="1">
        <f>+'Sys INPUT'!BC48</f>
        <v>0</v>
      </c>
      <c r="BD50" s="1">
        <f>+'Sys INPUT'!BD48</f>
        <v>0</v>
      </c>
      <c r="BE50" s="1"/>
      <c r="BF50" s="1">
        <f t="shared" si="54"/>
        <v>3214883</v>
      </c>
      <c r="BG50" s="1">
        <f t="shared" ref="BG50:BG57" si="67">+BF50-X50-P50-BB50-BC50</f>
        <v>3214883</v>
      </c>
      <c r="BH50" s="1">
        <f>+'Sys INPUT'!BH48</f>
        <v>0</v>
      </c>
      <c r="BI50" s="1">
        <f>+'Sys INPUT'!BI48</f>
        <v>0</v>
      </c>
      <c r="BJ50" s="1">
        <f>+'Sys INPUT'!BJ48</f>
        <v>0</v>
      </c>
      <c r="BK50" s="1">
        <f>+'Sys INPUT'!BK48</f>
        <v>7975</v>
      </c>
      <c r="BL50" s="1">
        <f>+'Sys INPUT'!BL48</f>
        <v>0</v>
      </c>
      <c r="BM50" s="1">
        <f>+'Sys INPUT'!BM48</f>
        <v>0</v>
      </c>
      <c r="BN50" s="1">
        <f>+'Sys INPUT'!BN48</f>
        <v>0</v>
      </c>
      <c r="BO50" s="1"/>
      <c r="BP50" s="1">
        <f t="shared" si="61"/>
        <v>7975</v>
      </c>
      <c r="BQ50" s="1">
        <f t="shared" si="55"/>
        <v>7975</v>
      </c>
      <c r="BR50" s="1">
        <f>+'Sys INPUT'!BR48+0</f>
        <v>0</v>
      </c>
      <c r="BS50" s="1">
        <f>+'Sys INPUT'!BS48</f>
        <v>0</v>
      </c>
      <c r="BT50" s="1">
        <f>+'Sys INPUT'!BT48</f>
        <v>151522</v>
      </c>
      <c r="BU50" s="1">
        <f>+'Sys INPUT'!BU48</f>
        <v>0</v>
      </c>
      <c r="BV50" s="1">
        <f>+'Sys INPUT'!BV48-BV51</f>
        <v>0</v>
      </c>
      <c r="BW50" s="1">
        <f>+'Sys INPUT'!BW48</f>
        <v>0</v>
      </c>
      <c r="BX50" s="3"/>
      <c r="BY50" s="1">
        <f t="shared" si="56"/>
        <v>151522</v>
      </c>
      <c r="BZ50" s="1">
        <f t="shared" si="57"/>
        <v>151522</v>
      </c>
      <c r="CA50" s="1">
        <f>+BG50+BQ50+BZ50+EF50</f>
        <v>3374380</v>
      </c>
      <c r="CB50" s="1"/>
      <c r="CC50" s="1">
        <f>+'Sys INPUT'!CC48-0</f>
        <v>0</v>
      </c>
      <c r="CD50" s="1">
        <f>+'Sys INPUT'!CD48-0</f>
        <v>0</v>
      </c>
      <c r="CE50" s="1">
        <f>+'Sys INPUT'!CE48</f>
        <v>0</v>
      </c>
      <c r="CF50" s="1">
        <f>+'Sys INPUT'!CF48</f>
        <v>0</v>
      </c>
      <c r="CG50" s="1">
        <f>+'Sys INPUT'!CG48-0</f>
        <v>0</v>
      </c>
      <c r="CH50" s="1">
        <f>+'Sys INPUT'!CH48</f>
        <v>0</v>
      </c>
      <c r="CI50" s="1"/>
      <c r="CJ50" s="1">
        <f t="shared" si="58"/>
        <v>0</v>
      </c>
      <c r="CK50" s="1"/>
      <c r="CL50" s="1">
        <f>+'Sys INPUT'!CL48</f>
        <v>0</v>
      </c>
      <c r="CM50" s="1">
        <f>+'Sys INPUT'!CM48</f>
        <v>0</v>
      </c>
      <c r="CN50" s="1">
        <f>+'Sys INPUT'!CN48</f>
        <v>0</v>
      </c>
      <c r="CO50" s="1">
        <f>+'Sys INPUT'!CO48</f>
        <v>0</v>
      </c>
      <c r="CP50" s="1">
        <f>+'Sys INPUT'!CP48</f>
        <v>0</v>
      </c>
      <c r="CQ50" s="1">
        <f>+'Sys INPUT'!CQ48</f>
        <v>0</v>
      </c>
      <c r="CR50" s="1">
        <f>+'Sys INPUT'!CR48</f>
        <v>0</v>
      </c>
      <c r="CS50" s="1"/>
      <c r="CT50" s="5"/>
      <c r="CU50" s="1">
        <f t="shared" si="59"/>
        <v>0</v>
      </c>
      <c r="CW50" s="1"/>
      <c r="CX50" s="1"/>
      <c r="CY50" s="1"/>
      <c r="CZ50" s="1"/>
      <c r="DA50" s="1"/>
      <c r="DB50" s="1"/>
      <c r="DC50" s="1"/>
      <c r="DD50" s="1"/>
      <c r="DE50" s="1"/>
      <c r="DF50" s="1"/>
      <c r="DG50" s="1"/>
      <c r="DH50" s="1"/>
      <c r="DI50" s="1"/>
      <c r="DJ50" s="1"/>
      <c r="DK50" s="1"/>
      <c r="DL50" s="1"/>
      <c r="DM50" s="1"/>
      <c r="DN50" s="1"/>
      <c r="DO50" s="1"/>
      <c r="DP50" s="1"/>
      <c r="DQ50" s="1"/>
      <c r="DR50" s="1"/>
      <c r="DS50" s="1"/>
      <c r="DT50" s="1"/>
      <c r="DW50" s="1">
        <f t="shared" si="60"/>
        <v>0</v>
      </c>
      <c r="DX50" s="1"/>
      <c r="DY50" s="1"/>
      <c r="DZ50" s="1"/>
      <c r="EB50" s="1">
        <f>+'Sys INPUT'!EC48</f>
        <v>0</v>
      </c>
      <c r="EC50" s="1"/>
      <c r="ED50" s="1"/>
      <c r="EE50" s="1"/>
      <c r="EF50" s="1">
        <f>+'Sys INPUT'!EG48</f>
        <v>0</v>
      </c>
      <c r="EG50" s="1"/>
      <c r="EI50">
        <f>+D50+BF50+BP50+BY50+ED50</f>
        <v>3374380</v>
      </c>
      <c r="EJ50">
        <f>197252+423896</f>
        <v>621148</v>
      </c>
      <c r="EL50" s="1"/>
      <c r="EM50" s="1"/>
      <c r="EN50">
        <f>SUM(DE50:EM50)</f>
        <v>3995528</v>
      </c>
      <c r="EQ50" s="1"/>
    </row>
    <row r="51" spans="1:147" ht="15.75">
      <c r="A51" s="1"/>
      <c r="B51" s="1" t="s">
        <v>3172</v>
      </c>
      <c r="C51" s="1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f t="shared" si="67"/>
        <v>0</v>
      </c>
      <c r="BH51" s="1"/>
      <c r="BI51" s="1">
        <f>+'Sys INPUT'!BI49</f>
        <v>0</v>
      </c>
      <c r="BJ51" s="1"/>
      <c r="BK51" s="1"/>
      <c r="BL51" s="1"/>
      <c r="BM51" s="1"/>
      <c r="BN51" s="1"/>
      <c r="BO51" s="1"/>
      <c r="BP51" s="1">
        <f t="shared" ref="BP51:BP53" si="68">SUM(BH51:BN51)</f>
        <v>0</v>
      </c>
      <c r="BQ51" s="1">
        <f t="shared" ref="BQ51:BQ53" si="69">+BP51-BN51-BM51</f>
        <v>0</v>
      </c>
      <c r="BR51" s="1"/>
      <c r="BS51" s="1"/>
      <c r="BT51" s="1"/>
      <c r="BU51" s="1"/>
      <c r="BV51" s="1"/>
      <c r="BW51" s="1"/>
      <c r="BX51" s="3"/>
      <c r="BY51" s="1">
        <f t="shared" si="56"/>
        <v>0</v>
      </c>
      <c r="BZ51" s="1">
        <f t="shared" si="57"/>
        <v>0</v>
      </c>
      <c r="CA51" s="1"/>
      <c r="CB51" s="1"/>
      <c r="CC51" s="1"/>
      <c r="CD51" s="1"/>
      <c r="CE51" s="1"/>
      <c r="CF51" s="1"/>
      <c r="CG51" s="1"/>
      <c r="CH51" s="1"/>
      <c r="CI51" s="1"/>
      <c r="CJ51" s="1"/>
      <c r="CK51" s="1"/>
      <c r="CL51" s="1"/>
      <c r="CM51" s="1"/>
      <c r="CN51" s="1"/>
      <c r="CO51" s="1"/>
      <c r="CP51" s="1"/>
      <c r="CQ51" s="1"/>
      <c r="CR51" s="1"/>
      <c r="CS51" s="1"/>
      <c r="CT51" s="5"/>
      <c r="CU51" s="1"/>
      <c r="CW51" s="1"/>
      <c r="CX51" s="1"/>
      <c r="CY51" s="1"/>
      <c r="CZ51" s="1"/>
      <c r="DA51" s="1"/>
      <c r="DB51" s="1"/>
      <c r="DC51" s="1"/>
      <c r="DD51" s="1"/>
      <c r="DE51" s="1"/>
      <c r="DF51" s="1"/>
      <c r="DG51" s="1"/>
      <c r="DH51" s="1"/>
      <c r="DI51" s="1"/>
      <c r="DJ51" s="1"/>
      <c r="DK51" s="1"/>
      <c r="DL51" s="1"/>
      <c r="DM51" s="1"/>
      <c r="DN51" s="1"/>
      <c r="DO51" s="1"/>
      <c r="DP51" s="1"/>
      <c r="DQ51" s="1"/>
      <c r="DR51" s="1"/>
      <c r="DS51" s="1"/>
      <c r="DT51" s="1"/>
      <c r="DW51" s="1">
        <f t="shared" si="60"/>
        <v>0</v>
      </c>
      <c r="DX51" s="1"/>
      <c r="DY51" s="1"/>
      <c r="DZ51" s="1"/>
      <c r="EB51" s="1"/>
      <c r="EC51" s="1"/>
      <c r="ED51" s="1"/>
      <c r="EE51" s="1"/>
      <c r="EF51" s="1"/>
      <c r="EG51" s="1"/>
      <c r="EL51" s="1"/>
      <c r="EM51" s="1"/>
      <c r="EQ51" s="1"/>
    </row>
    <row r="52" spans="1:147" ht="15.75">
      <c r="A52" s="1"/>
      <c r="B52" s="1" t="s">
        <v>3176</v>
      </c>
      <c r="C52" s="1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f>+'Sys INPUT'!BI50</f>
        <v>0</v>
      </c>
      <c r="BJ52" s="1"/>
      <c r="BK52" s="1"/>
      <c r="BL52" s="1"/>
      <c r="BM52" s="1"/>
      <c r="BN52" s="1"/>
      <c r="BO52" s="1"/>
      <c r="BP52" s="1">
        <f t="shared" si="68"/>
        <v>0</v>
      </c>
      <c r="BQ52" s="1">
        <f t="shared" si="69"/>
        <v>0</v>
      </c>
      <c r="BR52" s="1"/>
      <c r="BS52" s="1"/>
      <c r="BT52" s="1"/>
      <c r="BU52" s="1"/>
      <c r="BV52" s="1"/>
      <c r="BW52" s="1"/>
      <c r="BX52" s="3"/>
      <c r="BY52" s="1"/>
      <c r="BZ52" s="1">
        <f t="shared" si="57"/>
        <v>0</v>
      </c>
      <c r="CA52" s="1"/>
      <c r="CB52" s="1"/>
      <c r="CC52" s="1"/>
      <c r="CD52" s="1"/>
      <c r="CE52" s="1"/>
      <c r="CF52" s="1"/>
      <c r="CG52" s="1"/>
      <c r="CH52" s="1"/>
      <c r="CI52" s="1"/>
      <c r="CJ52" s="1"/>
      <c r="CK52" s="1"/>
      <c r="CL52" s="1"/>
      <c r="CM52" s="1"/>
      <c r="CN52" s="1"/>
      <c r="CO52" s="1"/>
      <c r="CP52" s="1"/>
      <c r="CQ52" s="1"/>
      <c r="CR52" s="1"/>
      <c r="CS52" s="1"/>
      <c r="CT52" s="5"/>
      <c r="CU52" s="1"/>
      <c r="CW52" s="1"/>
      <c r="CX52" s="1"/>
      <c r="CY52" s="1"/>
      <c r="CZ52" s="1"/>
      <c r="DA52" s="1"/>
      <c r="DB52" s="1"/>
      <c r="DC52" s="1"/>
      <c r="DD52" s="1"/>
      <c r="DE52" s="1"/>
      <c r="DF52" s="1"/>
      <c r="DG52" s="1"/>
      <c r="DH52" s="1"/>
      <c r="DI52" s="1"/>
      <c r="DJ52" s="1"/>
      <c r="DK52" s="1"/>
      <c r="DL52" s="1"/>
      <c r="DM52" s="1"/>
      <c r="DN52" s="1"/>
      <c r="DO52" s="1"/>
      <c r="DP52" s="1"/>
      <c r="DQ52" s="1"/>
      <c r="DR52" s="1"/>
      <c r="DS52" s="1"/>
      <c r="DT52" s="1"/>
      <c r="DW52" s="1"/>
      <c r="DX52" s="1"/>
      <c r="DY52" s="1"/>
      <c r="DZ52" s="1"/>
      <c r="EB52" s="1"/>
      <c r="EC52" s="1"/>
      <c r="ED52" s="1"/>
      <c r="EE52" s="1"/>
      <c r="EF52" s="1"/>
      <c r="EG52" s="1"/>
      <c r="EL52" s="1"/>
      <c r="EM52" s="1"/>
      <c r="EQ52" s="1"/>
    </row>
    <row r="53" spans="1:147" ht="15.75">
      <c r="A53" s="1"/>
      <c r="B53" s="1" t="s">
        <v>3175</v>
      </c>
      <c r="C53" s="1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f>+'Sys INPUT'!BI51</f>
        <v>0</v>
      </c>
      <c r="BJ53" s="1"/>
      <c r="BK53" s="1"/>
      <c r="BL53" s="1"/>
      <c r="BM53" s="1"/>
      <c r="BN53" s="1"/>
      <c r="BO53" s="1"/>
      <c r="BP53" s="1">
        <f t="shared" si="68"/>
        <v>0</v>
      </c>
      <c r="BQ53" s="1">
        <f t="shared" si="69"/>
        <v>0</v>
      </c>
      <c r="BR53" s="1"/>
      <c r="BS53" s="1"/>
      <c r="BT53" s="1"/>
      <c r="BU53" s="1"/>
      <c r="BV53" s="1"/>
      <c r="BW53" s="1"/>
      <c r="BX53" s="3"/>
      <c r="BY53" s="1"/>
      <c r="BZ53" s="1">
        <f t="shared" si="57"/>
        <v>0</v>
      </c>
      <c r="CA53" s="1"/>
      <c r="CB53" s="1"/>
      <c r="CC53" s="1"/>
      <c r="CD53" s="1"/>
      <c r="CE53" s="1"/>
      <c r="CF53" s="1"/>
      <c r="CG53" s="1"/>
      <c r="CH53" s="1"/>
      <c r="CI53" s="1"/>
      <c r="CJ53" s="1"/>
      <c r="CK53" s="1"/>
      <c r="CL53" s="1"/>
      <c r="CM53" s="1"/>
      <c r="CN53" s="1"/>
      <c r="CO53" s="1"/>
      <c r="CP53" s="1"/>
      <c r="CQ53" s="1"/>
      <c r="CR53" s="1"/>
      <c r="CS53" s="1"/>
      <c r="CT53" s="5"/>
      <c r="CU53" s="1"/>
      <c r="CW53" s="1"/>
      <c r="CX53" s="1"/>
      <c r="CY53" s="1"/>
      <c r="CZ53" s="1"/>
      <c r="DA53" s="1"/>
      <c r="DB53" s="1"/>
      <c r="DC53" s="1"/>
      <c r="DD53" s="1"/>
      <c r="DE53" s="1"/>
      <c r="DF53" s="1"/>
      <c r="DG53" s="1"/>
      <c r="DH53" s="1"/>
      <c r="DI53" s="1"/>
      <c r="DJ53" s="1"/>
      <c r="DK53" s="1"/>
      <c r="DL53" s="1"/>
      <c r="DM53" s="1"/>
      <c r="DN53" s="1"/>
      <c r="DO53" s="1"/>
      <c r="DP53" s="1"/>
      <c r="DQ53" s="1"/>
      <c r="DR53" s="1"/>
      <c r="DS53" s="1"/>
      <c r="DT53" s="1"/>
      <c r="DW53" s="1"/>
      <c r="DX53" s="1"/>
      <c r="DY53" s="1"/>
      <c r="DZ53" s="1"/>
      <c r="EB53" s="1"/>
      <c r="EC53" s="1"/>
      <c r="ED53" s="1"/>
      <c r="EE53" s="1"/>
      <c r="EF53" s="1"/>
      <c r="EG53" s="1"/>
      <c r="EL53" s="1"/>
      <c r="EM53" s="1"/>
      <c r="EQ53" s="1"/>
    </row>
    <row r="54" spans="1:147" ht="15.75">
      <c r="A54" s="1"/>
      <c r="B54" s="89" t="s">
        <v>2319</v>
      </c>
      <c r="C54" s="11"/>
      <c r="D54" s="1">
        <f>+'Sys INPUT'!D49</f>
        <v>0</v>
      </c>
      <c r="E54" s="1">
        <f>+'Sys INPUT'!E49</f>
        <v>0</v>
      </c>
      <c r="F54" s="1">
        <f>+'Sys INPUT'!F49</f>
        <v>0</v>
      </c>
      <c r="G54" s="1"/>
      <c r="H54" s="1"/>
      <c r="I54" s="1"/>
      <c r="J54" s="1">
        <f>+'Sys INPUT'!J49-0</f>
        <v>0</v>
      </c>
      <c r="K54" s="1"/>
      <c r="L54" s="1"/>
      <c r="M54" s="1"/>
      <c r="N54" s="1"/>
      <c r="O54" s="1"/>
      <c r="P54" s="1"/>
      <c r="Q54" s="1"/>
      <c r="R54" s="1">
        <f>+'Sys INPUT'!R49</f>
        <v>0</v>
      </c>
      <c r="S54" s="1"/>
      <c r="T54" s="1"/>
      <c r="U54" s="1">
        <f>+'Sys INPUT'!U49</f>
        <v>0</v>
      </c>
      <c r="V54" s="1"/>
      <c r="W54" s="1"/>
      <c r="X54" s="141">
        <f>+'Sys INPUT'!X52-0</f>
        <v>0</v>
      </c>
      <c r="Y54" s="1">
        <f>+'Sys INPUT'!Y49</f>
        <v>0</v>
      </c>
      <c r="Z54" s="1"/>
      <c r="AA54" s="1"/>
      <c r="AB54" s="1"/>
      <c r="AC54" s="1">
        <f>+'Sys INPUT'!AC49</f>
        <v>0</v>
      </c>
      <c r="AD54" s="1">
        <f>+'Sys INPUT'!AD49</f>
        <v>0</v>
      </c>
      <c r="AE54" s="1">
        <f>+'Sys INPUT'!AE49</f>
        <v>0</v>
      </c>
      <c r="AF54" s="1"/>
      <c r="AG54" s="1"/>
      <c r="AH54" s="1"/>
      <c r="AI54" s="1">
        <f>+'Sys INPUT'!AI49</f>
        <v>0</v>
      </c>
      <c r="AJ54" s="1">
        <f>+'Sys INPUT'!AJ49</f>
        <v>0</v>
      </c>
      <c r="AK54" s="1">
        <f>+'Sys INPUT'!AK49</f>
        <v>0</v>
      </c>
      <c r="AL54" s="1">
        <f>+'Sys INPUT'!AL49</f>
        <v>0</v>
      </c>
      <c r="AM54" s="1">
        <f>+'Sys INPUT'!AM49</f>
        <v>0</v>
      </c>
      <c r="AN54" s="1">
        <f>+'Sys INPUT'!AN49</f>
        <v>0</v>
      </c>
      <c r="AO54" s="1">
        <f>+'Sys INPUT'!AO49</f>
        <v>0</v>
      </c>
      <c r="AP54" s="1">
        <f>+'Sys INPUT'!AP49</f>
        <v>0</v>
      </c>
      <c r="AQ54" s="1">
        <f>+'Sys INPUT'!AQ49</f>
        <v>0</v>
      </c>
      <c r="AR54" s="1">
        <f>+'Sys INPUT'!AR49</f>
        <v>0</v>
      </c>
      <c r="AS54" s="1">
        <f>+'Sys INPUT'!AS49</f>
        <v>0</v>
      </c>
      <c r="AT54" s="1">
        <f>+'Sys INPUT'!AT49</f>
        <v>0</v>
      </c>
      <c r="AU54" s="1">
        <f>+'Sys INPUT'!AU49</f>
        <v>0</v>
      </c>
      <c r="AV54" s="1">
        <f>+'Sys INPUT'!AV49</f>
        <v>0</v>
      </c>
      <c r="AW54" s="1"/>
      <c r="AX54" s="1">
        <f>+'Sys INPUT'!AX49</f>
        <v>0</v>
      </c>
      <c r="AY54" s="1">
        <f>+'Sys INPUT'!AY49</f>
        <v>0</v>
      </c>
      <c r="AZ54" s="1">
        <f>+'Sys INPUT'!AZ49</f>
        <v>0</v>
      </c>
      <c r="BA54" s="1">
        <f>+'Sys INPUT'!BA49</f>
        <v>0</v>
      </c>
      <c r="BB54" s="1">
        <f>+'Sys INPUT'!BB49</f>
        <v>0</v>
      </c>
      <c r="BC54" s="1">
        <f>+'Sys INPUT'!BC49</f>
        <v>0</v>
      </c>
      <c r="BD54" s="1">
        <f>+'Sys INPUT'!BD49</f>
        <v>0</v>
      </c>
      <c r="BE54" s="1"/>
      <c r="BF54" s="1">
        <f t="shared" si="54"/>
        <v>0</v>
      </c>
      <c r="BG54" s="1">
        <f t="shared" si="67"/>
        <v>0</v>
      </c>
      <c r="BH54" s="1"/>
      <c r="BI54" s="1"/>
      <c r="BJ54" s="1"/>
      <c r="BK54" s="1"/>
      <c r="BL54" s="1"/>
      <c r="BM54" s="1"/>
      <c r="BN54" s="1"/>
      <c r="BO54" s="1"/>
      <c r="BP54" s="1">
        <f t="shared" si="61"/>
        <v>0</v>
      </c>
      <c r="BQ54" s="1">
        <f t="shared" si="55"/>
        <v>0</v>
      </c>
      <c r="BR54" s="141">
        <f>+'Sys INPUT'!BR52-BR231+BR291-0</f>
        <v>0</v>
      </c>
      <c r="BS54" s="1">
        <f>+'Sys INPUT'!BS52</f>
        <v>0</v>
      </c>
      <c r="BT54" s="1">
        <f>+'Sys INPUT'!BT52</f>
        <v>0</v>
      </c>
      <c r="BU54" s="1">
        <f>+'Sys INPUT'!BU52</f>
        <v>0</v>
      </c>
      <c r="BV54" s="1">
        <f>+'Sys INPUT'!BV52</f>
        <v>0</v>
      </c>
      <c r="BW54" s="1">
        <f>+'Sys INPUT'!BW52</f>
        <v>0</v>
      </c>
      <c r="BX54" s="3"/>
      <c r="BY54" s="1">
        <f t="shared" si="56"/>
        <v>0</v>
      </c>
      <c r="BZ54" s="1">
        <f t="shared" si="57"/>
        <v>0</v>
      </c>
      <c r="CA54" s="1">
        <f>+BG54+BQ54+BZ54+EF54</f>
        <v>0</v>
      </c>
      <c r="CB54" s="1"/>
      <c r="CC54" s="1">
        <f>+'Sys INPUT'!CC49-0</f>
        <v>0</v>
      </c>
      <c r="CD54" s="1">
        <f>+'Sys INPUT'!CD49+0-0</f>
        <v>0</v>
      </c>
      <c r="CE54" s="1">
        <f>+'Sys INPUT'!CE49</f>
        <v>0</v>
      </c>
      <c r="CF54" s="1">
        <f>+'Sys INPUT'!CF49</f>
        <v>0</v>
      </c>
      <c r="CG54" s="1">
        <f>'Sys INPUT'!CG49+CG291-CG231-0</f>
        <v>0</v>
      </c>
      <c r="CH54" s="1">
        <f>+'Sys INPUT'!CH49</f>
        <v>0</v>
      </c>
      <c r="CI54" s="1"/>
      <c r="CJ54" s="1">
        <f t="shared" si="58"/>
        <v>0</v>
      </c>
      <c r="CK54" s="1"/>
      <c r="CL54" s="1">
        <f>+'Sys INPUT'!CL49-0</f>
        <v>0</v>
      </c>
      <c r="CM54" s="1">
        <f>+'Sys INPUT'!CM49-0</f>
        <v>0</v>
      </c>
      <c r="CN54" s="1">
        <f>+'Sys INPUT'!CN49-0</f>
        <v>0</v>
      </c>
      <c r="CO54" s="1">
        <f>+'Sys INPUT'!CO49</f>
        <v>0</v>
      </c>
      <c r="CP54" s="1">
        <f>+'Sys INPUT'!CP49+0</f>
        <v>0</v>
      </c>
      <c r="CQ54" s="1">
        <f>+'Sys INPUT'!CQ49</f>
        <v>0</v>
      </c>
      <c r="CR54" s="1">
        <f>+'Sys INPUT'!CR49</f>
        <v>0</v>
      </c>
      <c r="CS54" s="1"/>
      <c r="CT54" s="5"/>
      <c r="CU54" s="1">
        <f t="shared" si="59"/>
        <v>0</v>
      </c>
      <c r="CW54" s="1"/>
      <c r="CX54" s="1"/>
      <c r="CY54" s="1"/>
      <c r="CZ54" s="1"/>
      <c r="DA54" s="1"/>
      <c r="DB54" s="1"/>
      <c r="DC54" s="1"/>
      <c r="DD54" s="1"/>
      <c r="DE54" s="1"/>
      <c r="DF54" s="1"/>
      <c r="DG54" s="1"/>
      <c r="DH54" s="1"/>
      <c r="DI54" s="1"/>
      <c r="DJ54" s="1"/>
      <c r="DK54" s="1"/>
      <c r="DL54" s="1"/>
      <c r="DM54" s="1"/>
      <c r="DN54" s="1"/>
      <c r="DO54" s="1"/>
      <c r="DP54" s="1"/>
      <c r="DQ54" s="1"/>
      <c r="DR54" s="1"/>
      <c r="DS54" s="1"/>
      <c r="DT54" s="1"/>
      <c r="DW54" s="1">
        <f t="shared" si="60"/>
        <v>0</v>
      </c>
      <c r="DX54" s="1"/>
      <c r="DY54" s="1"/>
      <c r="DZ54" s="1"/>
      <c r="EB54" s="1">
        <f>+'Sys INPUT'!EC49</f>
        <v>0</v>
      </c>
      <c r="EC54" s="1"/>
      <c r="ED54" s="1"/>
      <c r="EE54" s="1"/>
      <c r="EF54" s="1">
        <f>+'Sys INPUT'!EG49</f>
        <v>0</v>
      </c>
      <c r="EG54" s="1"/>
      <c r="EL54" s="1"/>
      <c r="EM54" s="1"/>
      <c r="EN54">
        <f t="shared" ref="EN54:EN76" si="70">SUM(DE54:EM54)</f>
        <v>0</v>
      </c>
      <c r="EQ54" s="1"/>
    </row>
    <row r="55" spans="1:147" ht="15.75">
      <c r="A55" s="1"/>
      <c r="B55" s="1" t="s">
        <v>1156</v>
      </c>
      <c r="C55" s="11"/>
      <c r="D55" s="1">
        <f>+'Sys INPUT'!D52</f>
        <v>0</v>
      </c>
      <c r="E55" s="1">
        <f>+'Sys INPUT'!E52</f>
        <v>0</v>
      </c>
      <c r="F55" s="1"/>
      <c r="G55" s="1"/>
      <c r="H55" s="1"/>
      <c r="I55" s="1"/>
      <c r="J55" s="1">
        <f>+'Sys INPUT'!J52</f>
        <v>0</v>
      </c>
      <c r="K55" s="1"/>
      <c r="L55" s="1"/>
      <c r="M55" s="1"/>
      <c r="N55" s="1"/>
      <c r="O55" s="1"/>
      <c r="P55" s="1"/>
      <c r="Q55" s="1"/>
      <c r="R55" s="1"/>
      <c r="S55" s="1"/>
      <c r="T55" s="1"/>
      <c r="U55" s="1"/>
      <c r="V55" s="1"/>
      <c r="W55" s="1"/>
      <c r="X55" s="1"/>
      <c r="Y55" s="1">
        <f>+'Sys INPUT'!Y52</f>
        <v>0</v>
      </c>
      <c r="Z55" s="1"/>
      <c r="AA55" s="1"/>
      <c r="AB55" s="1"/>
      <c r="AC55" s="1"/>
      <c r="AD55" s="1">
        <f>+'Sys INPUT'!AD52</f>
        <v>0</v>
      </c>
      <c r="AE55" s="1">
        <f>+'Sys INPUT'!AE52</f>
        <v>0</v>
      </c>
      <c r="AF55" s="1"/>
      <c r="AG55" s="1"/>
      <c r="AH55" s="1"/>
      <c r="AI55" s="1">
        <f>+'Sys INPUT'!AI52</f>
        <v>0</v>
      </c>
      <c r="AJ55" s="1">
        <f>+'Sys INPUT'!AJ52</f>
        <v>0</v>
      </c>
      <c r="AK55" s="1">
        <f>+'Sys INPUT'!AK52</f>
        <v>0</v>
      </c>
      <c r="AL55" s="1">
        <f>+'Sys INPUT'!AL52</f>
        <v>0</v>
      </c>
      <c r="AM55" s="1">
        <f>+'Sys INPUT'!AM52</f>
        <v>0</v>
      </c>
      <c r="AN55" s="1">
        <f>+'Sys INPUT'!AN52</f>
        <v>0</v>
      </c>
      <c r="AO55" s="1">
        <f>+'Sys INPUT'!AO52</f>
        <v>0</v>
      </c>
      <c r="AP55" s="1">
        <f>+'Sys INPUT'!AP52</f>
        <v>0</v>
      </c>
      <c r="AQ55" s="1">
        <f>+'Sys INPUT'!AQ52</f>
        <v>0</v>
      </c>
      <c r="AR55" s="1">
        <f>+'Sys INPUT'!AR52</f>
        <v>0</v>
      </c>
      <c r="AS55" s="1">
        <f>+'Sys INPUT'!AS52</f>
        <v>0</v>
      </c>
      <c r="AT55" s="1">
        <f>+'Sys INPUT'!AT52</f>
        <v>0</v>
      </c>
      <c r="AU55" s="1">
        <f>+'Sys INPUT'!AU52</f>
        <v>0</v>
      </c>
      <c r="AV55" s="1">
        <f>+'Sys INPUT'!AV52</f>
        <v>0</v>
      </c>
      <c r="AW55" s="1"/>
      <c r="AX55" s="1">
        <f>+'Sys INPUT'!AX52</f>
        <v>0</v>
      </c>
      <c r="AY55" s="1">
        <f>+'Sys INPUT'!AY52</f>
        <v>0</v>
      </c>
      <c r="AZ55" s="1">
        <f>+'Sys INPUT'!AZ52</f>
        <v>0</v>
      </c>
      <c r="BA55" s="1">
        <f>+'Sys INPUT'!BA52</f>
        <v>0</v>
      </c>
      <c r="BB55" s="1">
        <f>+'Sys INPUT'!BB52</f>
        <v>0</v>
      </c>
      <c r="BC55" s="1">
        <f>+'Sys INPUT'!BC52</f>
        <v>0</v>
      </c>
      <c r="BD55" s="1">
        <f>+'Sys INPUT'!BD52</f>
        <v>0</v>
      </c>
      <c r="BE55" s="1"/>
      <c r="BF55" s="1">
        <f t="shared" si="54"/>
        <v>0</v>
      </c>
      <c r="BG55" s="1">
        <f t="shared" si="67"/>
        <v>0</v>
      </c>
      <c r="BH55" s="1"/>
      <c r="BI55" s="1"/>
      <c r="BJ55" s="1"/>
      <c r="BK55" s="1"/>
      <c r="BL55" s="1"/>
      <c r="BM55" s="1"/>
      <c r="BN55" s="1"/>
      <c r="BO55" s="1"/>
      <c r="BP55" s="1">
        <f t="shared" si="61"/>
        <v>0</v>
      </c>
      <c r="BQ55" s="1">
        <f t="shared" si="55"/>
        <v>0</v>
      </c>
      <c r="BR55" s="1"/>
      <c r="BS55" s="1"/>
      <c r="BT55" s="1"/>
      <c r="BU55" s="1"/>
      <c r="BV55" s="1"/>
      <c r="BW55" s="1"/>
      <c r="BX55" s="3"/>
      <c r="BY55" s="1">
        <f t="shared" si="56"/>
        <v>0</v>
      </c>
      <c r="BZ55" s="1">
        <f t="shared" si="57"/>
        <v>0</v>
      </c>
      <c r="CA55" s="1">
        <f>+BG55+BQ55+BZ55+EF55</f>
        <v>0</v>
      </c>
      <c r="CB55" s="1"/>
      <c r="CC55" s="1">
        <f>+'Sys INPUT'!CC52</f>
        <v>0</v>
      </c>
      <c r="CD55" s="1">
        <f>+'Sys INPUT'!CD52</f>
        <v>0</v>
      </c>
      <c r="CE55" s="1">
        <f>+'Sys INPUT'!CE52</f>
        <v>0</v>
      </c>
      <c r="CF55" s="1">
        <f>+'Sys INPUT'!CF52</f>
        <v>0</v>
      </c>
      <c r="CG55" s="1">
        <v>0</v>
      </c>
      <c r="CH55" s="1">
        <f>+'Sys INPUT'!CH52</f>
        <v>0</v>
      </c>
      <c r="CI55" s="1"/>
      <c r="CJ55" s="1">
        <f t="shared" si="58"/>
        <v>0</v>
      </c>
      <c r="CK55" s="1"/>
      <c r="CL55" s="1">
        <f>+'Sys INPUT'!CL52</f>
        <v>0</v>
      </c>
      <c r="CM55" s="1"/>
      <c r="CN55" s="1"/>
      <c r="CO55" s="1"/>
      <c r="CP55" s="1"/>
      <c r="CQ55" s="1"/>
      <c r="CR55" s="1"/>
      <c r="CS55" s="1"/>
      <c r="CT55" s="5"/>
      <c r="CU55" s="1">
        <f t="shared" si="59"/>
        <v>0</v>
      </c>
      <c r="CW55" s="1"/>
      <c r="CX55" s="1"/>
      <c r="CY55" s="1"/>
      <c r="CZ55" s="1"/>
      <c r="DA55" s="1"/>
      <c r="DB55" s="1"/>
      <c r="DC55" s="1"/>
      <c r="DD55" s="1"/>
      <c r="DE55" s="1"/>
      <c r="DF55" s="1"/>
      <c r="DG55" s="1"/>
      <c r="DH55" s="1"/>
      <c r="DI55" s="1"/>
      <c r="DJ55" s="1"/>
      <c r="DK55" s="1"/>
      <c r="DL55" s="1"/>
      <c r="DM55" s="1"/>
      <c r="DN55" s="1"/>
      <c r="DO55" s="1"/>
      <c r="DP55" s="1"/>
      <c r="DQ55" s="1"/>
      <c r="DR55" s="1"/>
      <c r="DS55" s="1"/>
      <c r="DT55" s="1"/>
      <c r="DW55" s="1">
        <f t="shared" si="60"/>
        <v>0</v>
      </c>
      <c r="DX55" s="1"/>
      <c r="DY55" s="1"/>
      <c r="DZ55" s="1"/>
      <c r="EB55" s="1">
        <f>+'Sys INPUT'!EC52</f>
        <v>0</v>
      </c>
      <c r="EC55" s="1"/>
      <c r="ED55" s="1"/>
      <c r="EE55" s="1"/>
      <c r="EF55" s="1">
        <f>+'Sys INPUT'!EG52</f>
        <v>0</v>
      </c>
      <c r="EG55" s="1"/>
      <c r="EL55" s="1"/>
      <c r="EM55" s="1"/>
      <c r="EN55">
        <f t="shared" si="70"/>
        <v>0</v>
      </c>
      <c r="EQ55" s="1"/>
    </row>
    <row r="56" spans="1:147" ht="15.75">
      <c r="A56" s="1"/>
      <c r="B56" s="89" t="s">
        <v>2753</v>
      </c>
      <c r="C56" s="11"/>
      <c r="D56" s="1">
        <f>+'Sys INPUT'!D53</f>
        <v>0</v>
      </c>
      <c r="E56" s="1">
        <f>+'Sys INPUT'!E53</f>
        <v>0</v>
      </c>
      <c r="F56" s="1"/>
      <c r="G56" s="1"/>
      <c r="H56" s="1"/>
      <c r="I56" s="1"/>
      <c r="J56" s="1">
        <f>+'Sys INPUT'!J53</f>
        <v>0</v>
      </c>
      <c r="K56" s="1"/>
      <c r="L56" s="1"/>
      <c r="M56" s="1"/>
      <c r="N56" s="1"/>
      <c r="O56" s="1"/>
      <c r="P56" s="1"/>
      <c r="Q56" s="1"/>
      <c r="R56" s="1"/>
      <c r="S56" s="1"/>
      <c r="T56" s="1"/>
      <c r="U56" s="1"/>
      <c r="V56" s="1"/>
      <c r="W56" s="1"/>
      <c r="X56" s="1">
        <f>+'Sys INPUT'!X53</f>
        <v>0</v>
      </c>
      <c r="Y56" s="1">
        <f>+'Sys INPUT'!Y53</f>
        <v>0</v>
      </c>
      <c r="Z56" s="1"/>
      <c r="AA56" s="1"/>
      <c r="AB56" s="1"/>
      <c r="AC56" s="1"/>
      <c r="AD56" s="1">
        <f>+'Sys INPUT'!AD53</f>
        <v>0</v>
      </c>
      <c r="AE56" s="1">
        <f>+'Sys INPUT'!AE53</f>
        <v>0</v>
      </c>
      <c r="AF56" s="1"/>
      <c r="AG56" s="1"/>
      <c r="AH56" s="1"/>
      <c r="AI56" s="1">
        <f>+'Sys INPUT'!AI53</f>
        <v>0</v>
      </c>
      <c r="AJ56" s="1">
        <f>+'Sys INPUT'!AJ53</f>
        <v>0</v>
      </c>
      <c r="AK56" s="1">
        <f>+'Sys INPUT'!AK53</f>
        <v>0</v>
      </c>
      <c r="AL56" s="1">
        <f>+'Sys INPUT'!AL53</f>
        <v>0</v>
      </c>
      <c r="AM56" s="1">
        <f>+'Sys INPUT'!AM53</f>
        <v>0</v>
      </c>
      <c r="AN56" s="1">
        <f>+'Sys INPUT'!AN53</f>
        <v>0</v>
      </c>
      <c r="AO56" s="1">
        <f>+'Sys INPUT'!AO53</f>
        <v>0</v>
      </c>
      <c r="AP56" s="1">
        <f>+'Sys INPUT'!AP53</f>
        <v>0</v>
      </c>
      <c r="AQ56" s="1">
        <f>+'Sys INPUT'!AQ53</f>
        <v>0</v>
      </c>
      <c r="AR56" s="1">
        <f>+'Sys INPUT'!AR53</f>
        <v>0</v>
      </c>
      <c r="AS56" s="1">
        <f>+'Sys INPUT'!AS53</f>
        <v>0</v>
      </c>
      <c r="AT56" s="1">
        <f>+'Sys INPUT'!AT53</f>
        <v>0</v>
      </c>
      <c r="AU56" s="1">
        <f>+'Sys INPUT'!AU53</f>
        <v>0</v>
      </c>
      <c r="AV56" s="1">
        <f>+'Sys INPUT'!AV53</f>
        <v>0</v>
      </c>
      <c r="AW56" s="1"/>
      <c r="AX56" s="1">
        <f>+'Sys INPUT'!AX53</f>
        <v>0</v>
      </c>
      <c r="AY56" s="1">
        <f>+'Sys INPUT'!AY53</f>
        <v>0</v>
      </c>
      <c r="AZ56" s="1">
        <f>+'Sys INPUT'!AZ53</f>
        <v>0</v>
      </c>
      <c r="BA56" s="1">
        <f>+'Sys INPUT'!BA53</f>
        <v>0</v>
      </c>
      <c r="BB56" s="141">
        <v>0</v>
      </c>
      <c r="BC56" s="1">
        <f>+'Sys INPUT'!BC53</f>
        <v>0</v>
      </c>
      <c r="BD56" s="1">
        <f>+'Sys INPUT'!BD53</f>
        <v>0</v>
      </c>
      <c r="BE56" s="1"/>
      <c r="BF56" s="1">
        <f t="shared" si="54"/>
        <v>0</v>
      </c>
      <c r="BG56" s="1">
        <f t="shared" si="67"/>
        <v>0</v>
      </c>
      <c r="BH56" s="1"/>
      <c r="BI56" s="1"/>
      <c r="BJ56" s="1"/>
      <c r="BK56" s="1"/>
      <c r="BL56" s="1"/>
      <c r="BM56" s="1"/>
      <c r="BN56" s="1"/>
      <c r="BO56" s="1"/>
      <c r="BP56" s="1">
        <f t="shared" si="61"/>
        <v>0</v>
      </c>
      <c r="BQ56" s="1">
        <f t="shared" si="55"/>
        <v>0</v>
      </c>
      <c r="BR56" s="1"/>
      <c r="BS56" s="1"/>
      <c r="BT56" s="1"/>
      <c r="BU56" s="1"/>
      <c r="BV56" s="1"/>
      <c r="BW56" s="1"/>
      <c r="BX56" s="3"/>
      <c r="BY56" s="1">
        <f t="shared" si="56"/>
        <v>0</v>
      </c>
      <c r="BZ56" s="1">
        <f t="shared" si="57"/>
        <v>0</v>
      </c>
      <c r="CA56" s="1">
        <f>+BG56+BQ56+BZ56+EF56</f>
        <v>0</v>
      </c>
      <c r="CB56" s="1"/>
      <c r="CC56" s="1">
        <f>0</f>
        <v>0</v>
      </c>
      <c r="CD56" s="1">
        <f>+'Sys INPUT'!CD53</f>
        <v>0</v>
      </c>
      <c r="CE56" s="1">
        <f>+'Sys INPUT'!CE53</f>
        <v>0</v>
      </c>
      <c r="CF56" s="1">
        <f>+'Sys INPUT'!CF53</f>
        <v>0</v>
      </c>
      <c r="CG56" s="1"/>
      <c r="CH56" s="1">
        <f>+'Sys INPUT'!CH53</f>
        <v>0</v>
      </c>
      <c r="CI56" s="1"/>
      <c r="CJ56" s="1">
        <f t="shared" si="58"/>
        <v>0</v>
      </c>
      <c r="CK56" s="1"/>
      <c r="CL56" s="1">
        <f>+'Sys INPUT'!CL53</f>
        <v>0</v>
      </c>
      <c r="CM56" s="1">
        <v>0</v>
      </c>
      <c r="CN56" s="1"/>
      <c r="CO56" s="1"/>
      <c r="CP56" s="1"/>
      <c r="CQ56" s="1"/>
      <c r="CR56" s="1"/>
      <c r="CS56" s="1"/>
      <c r="CT56" s="5"/>
      <c r="CU56" s="1">
        <f t="shared" si="59"/>
        <v>0</v>
      </c>
      <c r="CW56" s="1"/>
      <c r="CX56" s="1"/>
      <c r="CY56" s="1"/>
      <c r="CZ56" s="1"/>
      <c r="DA56" s="1"/>
      <c r="DB56" s="1"/>
      <c r="DC56" s="1"/>
      <c r="DD56" s="1"/>
      <c r="DE56" s="1"/>
      <c r="DF56" s="1"/>
      <c r="DG56" s="1"/>
      <c r="DH56" s="1"/>
      <c r="DI56" s="1"/>
      <c r="DJ56" s="1"/>
      <c r="DK56" s="1"/>
      <c r="DL56" s="1"/>
      <c r="DM56" s="1"/>
      <c r="DN56" s="1"/>
      <c r="DO56" s="1"/>
      <c r="DP56" s="1"/>
      <c r="DQ56" s="1"/>
      <c r="DR56" s="1"/>
      <c r="DS56" s="1"/>
      <c r="DT56" s="1"/>
      <c r="DW56" s="1">
        <f t="shared" si="60"/>
        <v>0</v>
      </c>
      <c r="DX56" s="1"/>
      <c r="DY56" s="1"/>
      <c r="DZ56" s="1"/>
      <c r="EB56" s="1">
        <f>+'Sys INPUT'!EC53</f>
        <v>0</v>
      </c>
      <c r="EC56" s="1"/>
      <c r="ED56" s="1"/>
      <c r="EE56" s="1"/>
      <c r="EF56" s="1">
        <f>+'Sys INPUT'!EG53</f>
        <v>0</v>
      </c>
      <c r="EG56" s="1"/>
      <c r="EL56" s="1"/>
      <c r="EM56" s="1"/>
      <c r="EN56">
        <f t="shared" si="70"/>
        <v>0</v>
      </c>
      <c r="EQ56" s="1"/>
    </row>
    <row r="57" spans="1:147" ht="15.75">
      <c r="A57" s="1"/>
      <c r="B57" s="1" t="s">
        <v>678</v>
      </c>
      <c r="C57" s="11"/>
      <c r="D57" s="1">
        <f>+'Sys INPUT'!D55</f>
        <v>0</v>
      </c>
      <c r="E57" s="1">
        <f>+'Sys INPUT'!E55</f>
        <v>0</v>
      </c>
      <c r="F57" s="1"/>
      <c r="G57" s="1"/>
      <c r="H57" s="1"/>
      <c r="I57" s="1"/>
      <c r="J57" s="1">
        <f>+'Sys INPUT'!J55</f>
        <v>0</v>
      </c>
      <c r="K57" s="1"/>
      <c r="L57" s="1"/>
      <c r="M57" s="1"/>
      <c r="N57" s="1"/>
      <c r="O57" s="1"/>
      <c r="P57" s="1"/>
      <c r="Q57" s="1"/>
      <c r="R57" s="1"/>
      <c r="S57" s="1"/>
      <c r="T57" s="1"/>
      <c r="U57" s="1"/>
      <c r="V57" s="1"/>
      <c r="W57" s="1"/>
      <c r="X57" s="1">
        <f>+'Sys INPUT'!X55</f>
        <v>0</v>
      </c>
      <c r="Y57" s="1">
        <f>+'Sys INPUT'!Y55</f>
        <v>0</v>
      </c>
      <c r="Z57" s="1"/>
      <c r="AA57" s="1"/>
      <c r="AB57" s="1"/>
      <c r="AC57" s="1"/>
      <c r="AD57" s="1">
        <f>+'Sys INPUT'!AD55</f>
        <v>0</v>
      </c>
      <c r="AE57" s="1">
        <f>+'Sys INPUT'!AE55</f>
        <v>0</v>
      </c>
      <c r="AF57" s="1"/>
      <c r="AG57" s="1"/>
      <c r="AH57" s="1"/>
      <c r="AI57" s="1">
        <f>+'Sys INPUT'!AI55</f>
        <v>0</v>
      </c>
      <c r="AJ57" s="1">
        <f>+'Sys INPUT'!AJ55</f>
        <v>0</v>
      </c>
      <c r="AK57" s="1">
        <f>+'Sys INPUT'!AK55</f>
        <v>0</v>
      </c>
      <c r="AL57" s="1">
        <f>+'Sys INPUT'!AL55</f>
        <v>0</v>
      </c>
      <c r="AM57" s="1">
        <f>+'Sys INPUT'!AM55</f>
        <v>0</v>
      </c>
      <c r="AN57" s="1">
        <f>+'Sys INPUT'!AN55</f>
        <v>0</v>
      </c>
      <c r="AO57" s="1">
        <f>+'Sys INPUT'!AO55</f>
        <v>0</v>
      </c>
      <c r="AP57" s="1">
        <f>+'Sys INPUT'!AP55</f>
        <v>0</v>
      </c>
      <c r="AQ57" s="1">
        <f>+'Sys INPUT'!AQ55</f>
        <v>0</v>
      </c>
      <c r="AR57" s="1">
        <f>+'Sys INPUT'!AR55</f>
        <v>0</v>
      </c>
      <c r="AS57" s="1">
        <f>+'Sys INPUT'!AS55</f>
        <v>0</v>
      </c>
      <c r="AT57" s="1">
        <f>+'Sys INPUT'!AT55</f>
        <v>0</v>
      </c>
      <c r="AU57" s="1">
        <f>+'Sys INPUT'!AU55</f>
        <v>0</v>
      </c>
      <c r="AV57" s="1">
        <f>+'Sys INPUT'!AV55</f>
        <v>0</v>
      </c>
      <c r="AW57" s="1"/>
      <c r="AX57" s="1">
        <f>+'Sys INPUT'!AX55</f>
        <v>0</v>
      </c>
      <c r="AY57" s="1">
        <f>+'Sys INPUT'!AY55</f>
        <v>0</v>
      </c>
      <c r="AZ57" s="1">
        <f>+'Sys INPUT'!AZ55</f>
        <v>0</v>
      </c>
      <c r="BA57" s="1">
        <f>+'Sys INPUT'!BA55</f>
        <v>0</v>
      </c>
      <c r="BB57" s="1">
        <v>0</v>
      </c>
      <c r="BC57" s="1">
        <f>+'Sys INPUT'!BC55</f>
        <v>0</v>
      </c>
      <c r="BD57" s="1">
        <f>+'Sys INPUT'!BD55</f>
        <v>0</v>
      </c>
      <c r="BE57" s="1"/>
      <c r="BF57" s="1">
        <f t="shared" si="54"/>
        <v>0</v>
      </c>
      <c r="BG57" s="1">
        <f t="shared" si="67"/>
        <v>0</v>
      </c>
      <c r="BH57" s="1"/>
      <c r="BI57" s="1"/>
      <c r="BJ57" s="1"/>
      <c r="BK57" s="1"/>
      <c r="BL57" s="1"/>
      <c r="BM57" s="1"/>
      <c r="BN57" s="1"/>
      <c r="BO57" s="1"/>
      <c r="BP57" s="1">
        <f t="shared" si="61"/>
        <v>0</v>
      </c>
      <c r="BQ57" s="1">
        <f t="shared" si="55"/>
        <v>0</v>
      </c>
      <c r="BR57" s="1"/>
      <c r="BS57" s="1"/>
      <c r="BT57" s="1"/>
      <c r="BU57" s="1"/>
      <c r="BV57" s="1"/>
      <c r="BW57" s="1"/>
      <c r="BX57" s="3"/>
      <c r="BY57" s="1">
        <f t="shared" si="56"/>
        <v>0</v>
      </c>
      <c r="BZ57" s="1">
        <f t="shared" si="57"/>
        <v>0</v>
      </c>
      <c r="CA57" s="1">
        <f>+BG57+BQ57+BZ57+EF57</f>
        <v>0</v>
      </c>
      <c r="CB57" s="1"/>
      <c r="CC57" s="1"/>
      <c r="CD57" s="1"/>
      <c r="CE57" s="1"/>
      <c r="CF57" s="1"/>
      <c r="CG57" s="1"/>
      <c r="CH57" s="1"/>
      <c r="CI57" s="1"/>
      <c r="CJ57" s="1">
        <f t="shared" si="58"/>
        <v>0</v>
      </c>
      <c r="CK57" s="1"/>
      <c r="CL57" s="1">
        <f>+'Sys INPUT'!CL55</f>
        <v>0</v>
      </c>
      <c r="CM57" s="1"/>
      <c r="CN57" s="1"/>
      <c r="CO57" s="1"/>
      <c r="CP57" s="1"/>
      <c r="CQ57" s="1"/>
      <c r="CR57" s="1"/>
      <c r="CS57" s="1"/>
      <c r="CT57" s="5"/>
      <c r="CU57" s="1">
        <f t="shared" si="59"/>
        <v>0</v>
      </c>
      <c r="CW57" s="1"/>
      <c r="CX57" s="1"/>
      <c r="CY57" s="1"/>
      <c r="CZ57" s="1"/>
      <c r="DA57" s="1"/>
      <c r="DB57" s="1"/>
      <c r="DC57" s="1"/>
      <c r="DD57" s="1"/>
      <c r="DE57" s="1"/>
      <c r="DF57" s="1"/>
      <c r="DG57" s="1"/>
      <c r="DH57" s="1"/>
      <c r="DI57" s="1"/>
      <c r="DJ57" s="1"/>
      <c r="DK57" s="1"/>
      <c r="DL57" s="1"/>
      <c r="DM57" s="1"/>
      <c r="DN57" s="1"/>
      <c r="DO57" s="1"/>
      <c r="DP57" s="1"/>
      <c r="DQ57" s="1"/>
      <c r="DR57" s="1"/>
      <c r="DS57" s="1"/>
      <c r="DT57" s="1"/>
      <c r="DW57" s="1">
        <f t="shared" si="60"/>
        <v>0</v>
      </c>
      <c r="DX57" s="1"/>
      <c r="DY57" s="1"/>
      <c r="DZ57" s="1"/>
      <c r="EB57" s="1">
        <f>+'Sys INPUT'!EC55</f>
        <v>0</v>
      </c>
      <c r="EC57" s="1"/>
      <c r="ED57" s="1"/>
      <c r="EE57" s="1"/>
      <c r="EF57" s="1">
        <f>+'Sys INPUT'!EG55</f>
        <v>0</v>
      </c>
      <c r="EG57" s="1"/>
      <c r="EL57" s="1"/>
      <c r="EM57" s="1"/>
      <c r="EN57">
        <f t="shared" si="70"/>
        <v>0</v>
      </c>
      <c r="EQ57" s="1"/>
    </row>
    <row r="58" spans="1:147" ht="15.75">
      <c r="A58" s="1"/>
      <c r="B58" s="89" t="s">
        <v>2350</v>
      </c>
      <c r="C58" s="11"/>
      <c r="D58" s="1">
        <f t="shared" ref="D58:P58" si="71">SUM(D46:D57)</f>
        <v>726323</v>
      </c>
      <c r="E58" s="1">
        <f t="shared" si="71"/>
        <v>667014</v>
      </c>
      <c r="F58" s="1">
        <f t="shared" si="71"/>
        <v>0</v>
      </c>
      <c r="G58" s="1">
        <f t="shared" si="71"/>
        <v>0</v>
      </c>
      <c r="H58" s="1">
        <f t="shared" si="71"/>
        <v>6421</v>
      </c>
      <c r="I58" s="1">
        <f t="shared" si="71"/>
        <v>5640</v>
      </c>
      <c r="J58" s="1">
        <f t="shared" si="71"/>
        <v>-1742594</v>
      </c>
      <c r="K58" s="1">
        <f t="shared" si="71"/>
        <v>0</v>
      </c>
      <c r="L58" s="1">
        <f>SUM(L46:L57)</f>
        <v>0</v>
      </c>
      <c r="M58" s="1">
        <f t="shared" si="71"/>
        <v>77358</v>
      </c>
      <c r="N58" s="1">
        <f>SUM(N46:N57)</f>
        <v>-75000</v>
      </c>
      <c r="O58" s="1">
        <f t="shared" si="71"/>
        <v>37000</v>
      </c>
      <c r="P58" s="1">
        <f t="shared" si="71"/>
        <v>0</v>
      </c>
      <c r="Q58" s="1">
        <f t="shared" ref="Q58:Y58" si="72">SUM(Q46:Q57)</f>
        <v>-1589670</v>
      </c>
      <c r="R58" s="1">
        <f t="shared" si="72"/>
        <v>-137780</v>
      </c>
      <c r="S58" s="1">
        <f t="shared" si="72"/>
        <v>28096</v>
      </c>
      <c r="T58" s="1">
        <f t="shared" si="72"/>
        <v>0</v>
      </c>
      <c r="U58" s="1">
        <f t="shared" si="72"/>
        <v>82773</v>
      </c>
      <c r="V58" s="1">
        <f t="shared" si="72"/>
        <v>-3000</v>
      </c>
      <c r="W58" s="1">
        <f t="shared" si="72"/>
        <v>-6360</v>
      </c>
      <c r="X58" s="1">
        <f t="shared" si="72"/>
        <v>-165165</v>
      </c>
      <c r="Y58" s="1">
        <f t="shared" si="72"/>
        <v>342640</v>
      </c>
      <c r="Z58" s="1">
        <f t="shared" ref="Z58:AS58" si="73">SUM(Z46:Z57)</f>
        <v>50000</v>
      </c>
      <c r="AA58" s="1">
        <f t="shared" si="73"/>
        <v>-25360</v>
      </c>
      <c r="AB58" s="1">
        <f>SUM(AB46:AB57)</f>
        <v>-121132</v>
      </c>
      <c r="AC58" s="1">
        <f t="shared" si="73"/>
        <v>0</v>
      </c>
      <c r="AD58" s="1">
        <f t="shared" si="73"/>
        <v>0</v>
      </c>
      <c r="AE58" s="1">
        <f t="shared" si="73"/>
        <v>-360</v>
      </c>
      <c r="AF58" s="1">
        <f t="shared" si="73"/>
        <v>0</v>
      </c>
      <c r="AG58" s="1">
        <f t="shared" si="73"/>
        <v>0</v>
      </c>
      <c r="AH58" s="1">
        <f t="shared" si="73"/>
        <v>0</v>
      </c>
      <c r="AI58" s="1">
        <f t="shared" si="73"/>
        <v>0</v>
      </c>
      <c r="AJ58" s="1">
        <f t="shared" si="73"/>
        <v>0</v>
      </c>
      <c r="AK58" s="1">
        <f t="shared" si="73"/>
        <v>0</v>
      </c>
      <c r="AL58" s="1">
        <f t="shared" ref="AL58:AQ58" si="74">SUM(AL46:AL57)</f>
        <v>0</v>
      </c>
      <c r="AM58" s="1">
        <f t="shared" si="74"/>
        <v>0</v>
      </c>
      <c r="AN58" s="1">
        <f t="shared" si="74"/>
        <v>0</v>
      </c>
      <c r="AO58" s="1">
        <f t="shared" si="74"/>
        <v>0</v>
      </c>
      <c r="AP58" s="1">
        <f t="shared" si="74"/>
        <v>3214883</v>
      </c>
      <c r="AQ58" s="1">
        <f t="shared" si="74"/>
        <v>0</v>
      </c>
      <c r="AR58" s="1">
        <f t="shared" si="73"/>
        <v>0</v>
      </c>
      <c r="AS58" s="1">
        <f t="shared" si="73"/>
        <v>-56000</v>
      </c>
      <c r="AT58" s="1">
        <f>SUM(AT46:AT57)</f>
        <v>12743</v>
      </c>
      <c r="AU58" s="1">
        <f t="shared" ref="AU58:BA58" si="75">SUM(AU46:AU57)</f>
        <v>163572</v>
      </c>
      <c r="AV58" s="1">
        <f t="shared" si="75"/>
        <v>0</v>
      </c>
      <c r="AW58" s="1"/>
      <c r="AX58" s="1">
        <f t="shared" si="75"/>
        <v>0</v>
      </c>
      <c r="AY58" s="1">
        <f t="shared" si="75"/>
        <v>0</v>
      </c>
      <c r="AZ58" s="1">
        <f t="shared" si="75"/>
        <v>0</v>
      </c>
      <c r="BA58" s="1">
        <f t="shared" si="75"/>
        <v>0</v>
      </c>
      <c r="BB58" s="1">
        <f>SUM(BB46:BB57)</f>
        <v>-4211818</v>
      </c>
      <c r="BC58" s="1">
        <f>SUM(BC46:BC57)</f>
        <v>-265391</v>
      </c>
      <c r="BD58" s="1">
        <f>SUM(BD46:BD57)</f>
        <v>0</v>
      </c>
      <c r="BE58" s="1"/>
      <c r="BF58" s="1">
        <f>SUM(BF46:BF57)</f>
        <v>-3711490</v>
      </c>
      <c r="BG58" s="1">
        <f>SUM(BG46:BG57)</f>
        <v>930884</v>
      </c>
      <c r="BH58" s="1">
        <f>+'Sys INPUT'!BH56</f>
        <v>0</v>
      </c>
      <c r="BI58" s="1">
        <f>+'Sys INPUT'!BI56</f>
        <v>0</v>
      </c>
      <c r="BJ58" s="1">
        <f>+'Sys INPUT'!BJ56</f>
        <v>0</v>
      </c>
      <c r="BK58" s="1">
        <f>+'Sys INPUT'!BK56</f>
        <v>7975</v>
      </c>
      <c r="BL58" s="1">
        <f>+'Sys INPUT'!BL56</f>
        <v>0</v>
      </c>
      <c r="BM58" s="1">
        <f>+'Sys INPUT'!BM56</f>
        <v>0</v>
      </c>
      <c r="BN58" s="1">
        <f>+'Sys INPUT'!BN56</f>
        <v>-8109</v>
      </c>
      <c r="BO58" s="1"/>
      <c r="BP58" s="1">
        <f t="shared" ref="BP58:BW58" si="76">SUM(BP46:BP57)</f>
        <v>-134</v>
      </c>
      <c r="BQ58" s="1">
        <f t="shared" si="76"/>
        <v>7975</v>
      </c>
      <c r="BR58" s="1">
        <f t="shared" si="76"/>
        <v>3736171</v>
      </c>
      <c r="BS58" s="1">
        <f t="shared" si="76"/>
        <v>0</v>
      </c>
      <c r="BT58" s="1">
        <f t="shared" si="76"/>
        <v>464862</v>
      </c>
      <c r="BU58" s="1">
        <f t="shared" si="76"/>
        <v>0</v>
      </c>
      <c r="BV58" s="1">
        <f>SUM(BV46:BV57)</f>
        <v>-44065</v>
      </c>
      <c r="BW58" s="1">
        <f t="shared" si="76"/>
        <v>1264681</v>
      </c>
      <c r="BX58" s="3"/>
      <c r="BY58" s="1">
        <f t="shared" ref="BY58:CH58" si="77">SUM(BY46:BY57)</f>
        <v>5421649</v>
      </c>
      <c r="BZ58" s="1">
        <f t="shared" si="57"/>
        <v>1685478</v>
      </c>
      <c r="CA58" s="1"/>
      <c r="CB58" s="1"/>
      <c r="CC58" s="1">
        <f>SUM(CC46:CC57)</f>
        <v>50000</v>
      </c>
      <c r="CD58" s="1">
        <f t="shared" si="77"/>
        <v>-82</v>
      </c>
      <c r="CE58" s="1">
        <f t="shared" si="77"/>
        <v>0</v>
      </c>
      <c r="CF58" s="1">
        <f t="shared" si="77"/>
        <v>0</v>
      </c>
      <c r="CG58" s="1">
        <f>SUM(CG46:CG57)</f>
        <v>-2463</v>
      </c>
      <c r="CH58" s="1">
        <f t="shared" si="77"/>
        <v>0</v>
      </c>
      <c r="CI58" s="1"/>
      <c r="CJ58" s="1">
        <f t="shared" ref="CJ58:CR58" si="78">SUM(CJ46:CJ57)</f>
        <v>47455</v>
      </c>
      <c r="CK58" s="1"/>
      <c r="CL58" s="1">
        <f t="shared" si="78"/>
        <v>555742</v>
      </c>
      <c r="CM58" s="1">
        <f t="shared" si="78"/>
        <v>-297020</v>
      </c>
      <c r="CN58" s="1">
        <f t="shared" si="78"/>
        <v>-269037</v>
      </c>
      <c r="CO58" s="1">
        <f t="shared" si="78"/>
        <v>0</v>
      </c>
      <c r="CP58" s="1">
        <f t="shared" si="78"/>
        <v>1135</v>
      </c>
      <c r="CQ58" s="1">
        <f t="shared" si="78"/>
        <v>100000</v>
      </c>
      <c r="CR58" s="1">
        <f t="shared" si="78"/>
        <v>1500000</v>
      </c>
      <c r="CS58" s="1"/>
      <c r="CT58" s="5"/>
      <c r="CU58" s="1">
        <f>SUM(CU46:CU57)</f>
        <v>1590820</v>
      </c>
      <c r="CW58" s="1">
        <f>SUM(CW46:CW57)</f>
        <v>0</v>
      </c>
      <c r="CX58" s="1">
        <f t="shared" ref="CX58:DT58" si="79">SUM(CX46:CX57)</f>
        <v>0</v>
      </c>
      <c r="CY58" s="1">
        <f t="shared" si="79"/>
        <v>0</v>
      </c>
      <c r="CZ58" s="1">
        <f t="shared" si="79"/>
        <v>0</v>
      </c>
      <c r="DA58" s="1">
        <f t="shared" si="79"/>
        <v>0</v>
      </c>
      <c r="DB58" s="1">
        <f t="shared" si="79"/>
        <v>0</v>
      </c>
      <c r="DC58" s="1">
        <f t="shared" si="79"/>
        <v>0</v>
      </c>
      <c r="DD58" s="1">
        <f t="shared" si="79"/>
        <v>0</v>
      </c>
      <c r="DE58" s="1">
        <f t="shared" si="79"/>
        <v>0</v>
      </c>
      <c r="DF58" s="1">
        <f t="shared" si="79"/>
        <v>0</v>
      </c>
      <c r="DG58" s="1">
        <f t="shared" si="79"/>
        <v>0</v>
      </c>
      <c r="DH58" s="1">
        <f t="shared" si="79"/>
        <v>0</v>
      </c>
      <c r="DI58" s="1">
        <f t="shared" si="79"/>
        <v>0</v>
      </c>
      <c r="DJ58" s="1">
        <f t="shared" si="79"/>
        <v>0</v>
      </c>
      <c r="DK58" s="1">
        <f t="shared" si="79"/>
        <v>0</v>
      </c>
      <c r="DL58" s="1">
        <f t="shared" si="79"/>
        <v>0</v>
      </c>
      <c r="DM58" s="1">
        <f t="shared" si="79"/>
        <v>0</v>
      </c>
      <c r="DN58" s="1">
        <f t="shared" si="79"/>
        <v>0</v>
      </c>
      <c r="DO58" s="1">
        <f t="shared" si="79"/>
        <v>0</v>
      </c>
      <c r="DP58" s="1">
        <f t="shared" si="79"/>
        <v>0</v>
      </c>
      <c r="DQ58" s="1">
        <f t="shared" si="79"/>
        <v>0</v>
      </c>
      <c r="DR58" s="1">
        <f t="shared" si="79"/>
        <v>0</v>
      </c>
      <c r="DS58" s="1">
        <f t="shared" si="79"/>
        <v>0</v>
      </c>
      <c r="DT58" s="1">
        <f t="shared" si="79"/>
        <v>0</v>
      </c>
      <c r="DW58" s="1">
        <f>SUM(DW46:DW57)</f>
        <v>0</v>
      </c>
      <c r="DX58" s="1"/>
      <c r="DY58" s="1">
        <f>SUM(DY46:DY57)</f>
        <v>0</v>
      </c>
      <c r="DZ58" s="1"/>
      <c r="EB58" s="1">
        <f>SUM(EB46:EB57)</f>
        <v>0</v>
      </c>
      <c r="EC58" s="1"/>
      <c r="ED58" s="1"/>
      <c r="EE58" s="1"/>
      <c r="EF58" s="1">
        <f>SUM(EF46:EF57)</f>
        <v>0</v>
      </c>
      <c r="EG58" s="1"/>
      <c r="EL58" s="1">
        <f>SUM(EL46:EL57)</f>
        <v>0</v>
      </c>
      <c r="EM58" s="1">
        <f>SUM(EM46:EM57)</f>
        <v>0</v>
      </c>
      <c r="EN58">
        <f t="shared" si="70"/>
        <v>0</v>
      </c>
      <c r="EQ58" s="1">
        <f>SUM(EQ46:EQ57)</f>
        <v>0</v>
      </c>
    </row>
    <row r="59" spans="1:147" ht="15.75">
      <c r="A59" s="1"/>
      <c r="B59" s="1"/>
      <c r="C59" s="1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3"/>
      <c r="BY59" s="1"/>
      <c r="BZ59" s="1">
        <f t="shared" si="57"/>
        <v>0</v>
      </c>
      <c r="CA59" s="1"/>
      <c r="CB59" s="1"/>
      <c r="CC59" s="1"/>
      <c r="CD59" s="1"/>
      <c r="CE59" s="1"/>
      <c r="CF59" s="1"/>
      <c r="CG59" s="1"/>
      <c r="CH59" s="1"/>
      <c r="CI59" s="1"/>
      <c r="CJ59" s="1"/>
      <c r="CK59" s="1"/>
      <c r="CL59" s="1"/>
      <c r="CM59" s="1"/>
      <c r="CN59" s="1"/>
      <c r="CO59" s="1"/>
      <c r="CP59" s="1"/>
      <c r="CQ59" s="1"/>
      <c r="CR59" s="1"/>
      <c r="CS59" s="1"/>
      <c r="CT59" s="5"/>
      <c r="CU59" s="1"/>
      <c r="CW59" s="1"/>
      <c r="CX59" s="1"/>
      <c r="CY59" s="1"/>
      <c r="CZ59" s="1"/>
      <c r="DA59" s="1"/>
      <c r="DB59" s="1"/>
      <c r="DC59" s="1"/>
      <c r="DD59" s="1"/>
      <c r="DE59" s="1"/>
      <c r="DF59" s="1"/>
      <c r="DG59" s="1"/>
      <c r="DH59" s="1"/>
      <c r="DI59" s="1"/>
      <c r="DJ59" s="1"/>
      <c r="DK59" s="1"/>
      <c r="DL59" s="1"/>
      <c r="DM59" s="1"/>
      <c r="DN59" s="1"/>
      <c r="DO59" s="1"/>
      <c r="DP59" s="1"/>
      <c r="DQ59" s="1"/>
      <c r="DR59" s="1"/>
      <c r="DS59" s="1"/>
      <c r="DT59" s="1"/>
      <c r="DW59" s="1"/>
      <c r="DX59" s="1"/>
      <c r="DY59" s="1"/>
      <c r="DZ59" s="1"/>
      <c r="EB59" s="1"/>
      <c r="EC59" s="1"/>
      <c r="ED59" s="1"/>
      <c r="EE59" s="1"/>
      <c r="EF59" s="1"/>
      <c r="EG59" s="1"/>
      <c r="EL59" s="1"/>
      <c r="EM59" s="1"/>
      <c r="EN59">
        <f t="shared" si="70"/>
        <v>0</v>
      </c>
      <c r="EQ59" s="1"/>
    </row>
    <row r="60" spans="1:147" ht="15.75">
      <c r="A60" s="1"/>
      <c r="B60" s="1"/>
      <c r="C60" s="1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3"/>
      <c r="BY60" s="1"/>
      <c r="BZ60" s="1">
        <f t="shared" si="57"/>
        <v>0</v>
      </c>
      <c r="CA60" s="1"/>
      <c r="CB60" s="1"/>
      <c r="CC60" s="1"/>
      <c r="CD60" s="1"/>
      <c r="CE60" s="1"/>
      <c r="CF60" s="1"/>
      <c r="CG60" s="1"/>
      <c r="CH60" s="1"/>
      <c r="CI60" s="1"/>
      <c r="CJ60" s="1"/>
      <c r="CK60" s="1"/>
      <c r="CL60" s="1"/>
      <c r="CM60" s="1"/>
      <c r="CN60" s="1"/>
      <c r="CO60" s="1"/>
      <c r="CP60" s="1"/>
      <c r="CQ60" s="1"/>
      <c r="CR60" s="1"/>
      <c r="CS60" s="1"/>
      <c r="CT60" s="5"/>
      <c r="CU60" s="1"/>
      <c r="CW60" s="1"/>
      <c r="CX60" s="1"/>
      <c r="CY60" s="1"/>
      <c r="CZ60" s="1"/>
      <c r="DA60" s="1"/>
      <c r="DB60" s="1"/>
      <c r="DC60" s="1"/>
      <c r="DD60" s="1"/>
      <c r="DE60" s="1"/>
      <c r="DF60" s="1"/>
      <c r="DG60" s="1"/>
      <c r="DH60" s="1"/>
      <c r="DI60" s="1"/>
      <c r="DJ60" s="1"/>
      <c r="DK60" s="1"/>
      <c r="DL60" s="1"/>
      <c r="DM60" s="1"/>
      <c r="DN60" s="1"/>
      <c r="DO60" s="1"/>
      <c r="DP60" s="1"/>
      <c r="DQ60" s="1"/>
      <c r="DR60" s="1"/>
      <c r="DS60" s="1"/>
      <c r="DT60" s="1"/>
      <c r="DW60" s="1"/>
      <c r="DX60" s="1"/>
      <c r="DY60" s="1"/>
      <c r="DZ60" s="1"/>
      <c r="EB60" s="1"/>
      <c r="EC60" s="1"/>
      <c r="ED60" s="1"/>
      <c r="EE60" s="1"/>
      <c r="EF60" s="1"/>
      <c r="EG60" s="1"/>
      <c r="EL60" s="1"/>
      <c r="EM60" s="1"/>
      <c r="EN60">
        <f t="shared" si="70"/>
        <v>0</v>
      </c>
      <c r="EQ60" s="1"/>
    </row>
    <row r="61" spans="1:147" ht="15.75">
      <c r="A61" s="1"/>
      <c r="B61" s="1" t="s">
        <v>1215</v>
      </c>
      <c r="C61" s="11"/>
      <c r="D61" s="1">
        <f>SUM(D43+D58)</f>
        <v>2772716</v>
      </c>
      <c r="E61" s="1">
        <f t="shared" ref="E61:O61" si="80">SUM(E43+E58)</f>
        <v>-432241</v>
      </c>
      <c r="F61" s="1">
        <f t="shared" si="80"/>
        <v>-1939</v>
      </c>
      <c r="G61" s="1">
        <f t="shared" si="80"/>
        <v>87043</v>
      </c>
      <c r="H61" s="1">
        <f t="shared" si="80"/>
        <v>52237</v>
      </c>
      <c r="I61" s="1">
        <f t="shared" si="80"/>
        <v>0</v>
      </c>
      <c r="J61" s="1">
        <f t="shared" si="80"/>
        <v>126891</v>
      </c>
      <c r="K61" s="1">
        <f t="shared" si="80"/>
        <v>1229</v>
      </c>
      <c r="L61" s="1">
        <f>SUM(L43+L58)</f>
        <v>13155</v>
      </c>
      <c r="M61" s="1">
        <f t="shared" si="80"/>
        <v>131329</v>
      </c>
      <c r="N61" s="1">
        <f>SUM(N43+N58)</f>
        <v>-1725</v>
      </c>
      <c r="O61" s="1">
        <f t="shared" si="80"/>
        <v>11579</v>
      </c>
      <c r="P61" s="1">
        <f>SUM(P43+P58)</f>
        <v>0</v>
      </c>
      <c r="Q61" s="1">
        <f t="shared" ref="Q61:X61" si="81">SUM(Q43+Q58)</f>
        <v>-12462</v>
      </c>
      <c r="R61" s="1">
        <f t="shared" si="81"/>
        <v>32949</v>
      </c>
      <c r="S61" s="1">
        <f t="shared" si="81"/>
        <v>-134738</v>
      </c>
      <c r="T61" s="1">
        <f t="shared" si="81"/>
        <v>19</v>
      </c>
      <c r="U61" s="1">
        <f t="shared" si="81"/>
        <v>-13303</v>
      </c>
      <c r="V61" s="1">
        <f t="shared" si="81"/>
        <v>2375</v>
      </c>
      <c r="W61" s="1">
        <f t="shared" si="81"/>
        <v>1254</v>
      </c>
      <c r="X61" s="1">
        <f t="shared" si="81"/>
        <v>1018942</v>
      </c>
      <c r="Y61" s="1">
        <f>SUM(Y43+Y58)</f>
        <v>40333</v>
      </c>
      <c r="Z61" s="1">
        <f t="shared" ref="Z61:AS61" si="82">SUM(Z43+Z58)</f>
        <v>52966</v>
      </c>
      <c r="AA61" s="1">
        <f t="shared" si="82"/>
        <v>-38635</v>
      </c>
      <c r="AB61" s="1">
        <f>SUM(AB43+AB58)</f>
        <v>313670</v>
      </c>
      <c r="AC61" s="1">
        <f t="shared" si="82"/>
        <v>43710</v>
      </c>
      <c r="AD61" s="1">
        <f t="shared" si="82"/>
        <v>8341</v>
      </c>
      <c r="AE61" s="1">
        <f t="shared" si="82"/>
        <v>5242</v>
      </c>
      <c r="AF61" s="1">
        <f t="shared" si="82"/>
        <v>94</v>
      </c>
      <c r="AG61" s="1">
        <f t="shared" si="82"/>
        <v>-54351</v>
      </c>
      <c r="AH61" s="1">
        <f t="shared" si="82"/>
        <v>-93882</v>
      </c>
      <c r="AI61" s="1">
        <f t="shared" si="82"/>
        <v>-24023</v>
      </c>
      <c r="AJ61" s="1">
        <f t="shared" si="82"/>
        <v>2070</v>
      </c>
      <c r="AK61" s="1">
        <f t="shared" si="82"/>
        <v>5743</v>
      </c>
      <c r="AL61" s="1">
        <f t="shared" ref="AL61:AQ61" si="83">SUM(AL43+AL58)</f>
        <v>-17255</v>
      </c>
      <c r="AM61" s="1">
        <f t="shared" si="83"/>
        <v>-18494</v>
      </c>
      <c r="AN61" s="1">
        <f t="shared" si="83"/>
        <v>-25399</v>
      </c>
      <c r="AO61" s="1">
        <f t="shared" si="83"/>
        <v>0</v>
      </c>
      <c r="AP61" s="1">
        <f t="shared" si="83"/>
        <v>1261174</v>
      </c>
      <c r="AQ61" s="1">
        <f t="shared" si="83"/>
        <v>175320</v>
      </c>
      <c r="AR61" s="1">
        <f t="shared" si="82"/>
        <v>57137</v>
      </c>
      <c r="AS61" s="1">
        <f t="shared" si="82"/>
        <v>29176</v>
      </c>
      <c r="AT61" s="1">
        <f>SUM(AT43+AT58)</f>
        <v>-312640</v>
      </c>
      <c r="AU61" s="1">
        <f t="shared" ref="AU61:AZ61" si="84">SUM(AU43+AU58)</f>
        <v>5782</v>
      </c>
      <c r="AV61" s="1">
        <f t="shared" si="84"/>
        <v>-22045</v>
      </c>
      <c r="AW61" s="1"/>
      <c r="AX61" s="1">
        <f>SUM(AX43+AX58)</f>
        <v>50756</v>
      </c>
      <c r="AY61" s="1">
        <f t="shared" si="84"/>
        <v>0</v>
      </c>
      <c r="AZ61" s="1">
        <f t="shared" si="84"/>
        <v>-16741</v>
      </c>
      <c r="BA61" s="1">
        <f>SUM(BA43+BA58)</f>
        <v>17217</v>
      </c>
      <c r="BB61" s="1">
        <f>SUM(BB43+BB58)</f>
        <v>-4092900</v>
      </c>
      <c r="BC61" s="1">
        <f>SUM(BC43+BC58)</f>
        <v>770124</v>
      </c>
      <c r="BD61" s="1">
        <f>SUM(BD43+BD58)</f>
        <v>7882</v>
      </c>
      <c r="BE61" s="1"/>
      <c r="BF61" s="1">
        <f>SUM(BF43+BF58)</f>
        <v>-987034</v>
      </c>
      <c r="BG61" s="1">
        <f>SUM(BG43+BG58)</f>
        <v>1435718</v>
      </c>
      <c r="BH61" s="1">
        <f t="shared" ref="BH61:BN61" si="85">SUM(BH43+BH58)</f>
        <v>0</v>
      </c>
      <c r="BI61" s="1">
        <f>SUM(BI43+BI58)</f>
        <v>-5661</v>
      </c>
      <c r="BJ61" s="1">
        <f t="shared" si="85"/>
        <v>0</v>
      </c>
      <c r="BK61" s="1">
        <f t="shared" si="85"/>
        <v>20628</v>
      </c>
      <c r="BL61" s="1">
        <f>SUM(BL43+BL58)</f>
        <v>-3588</v>
      </c>
      <c r="BM61" s="1">
        <f>SUM(BM43+BM58)</f>
        <v>14613</v>
      </c>
      <c r="BN61" s="1">
        <f t="shared" si="85"/>
        <v>26319</v>
      </c>
      <c r="BO61" s="1"/>
      <c r="BP61" s="1">
        <f t="shared" ref="BP61:BU61" si="86">SUM(BP43+BP58)</f>
        <v>52311</v>
      </c>
      <c r="BQ61" s="1">
        <f t="shared" si="86"/>
        <v>25992</v>
      </c>
      <c r="BR61" s="1">
        <f t="shared" si="86"/>
        <v>2380887</v>
      </c>
      <c r="BS61" s="1">
        <f t="shared" si="86"/>
        <v>0</v>
      </c>
      <c r="BT61" s="1">
        <f t="shared" si="86"/>
        <v>-9067</v>
      </c>
      <c r="BU61" s="1">
        <f t="shared" si="86"/>
        <v>0</v>
      </c>
      <c r="BV61" s="1">
        <f>SUM(BV43+BV58)</f>
        <v>-46164</v>
      </c>
      <c r="BW61" s="1">
        <f>SUM(BW43+BW58)</f>
        <v>780349</v>
      </c>
      <c r="BX61" s="3"/>
      <c r="BY61" s="1">
        <f t="shared" ref="BY61:CH61" si="87">SUM(BY43+BY58)</f>
        <v>3106005</v>
      </c>
      <c r="BZ61" s="1">
        <f t="shared" si="57"/>
        <v>725118</v>
      </c>
      <c r="CA61" s="1"/>
      <c r="CB61" s="1"/>
      <c r="CC61" s="1">
        <f>SUM(CC43+CC58)</f>
        <v>-129881</v>
      </c>
      <c r="CD61" s="1">
        <f t="shared" si="87"/>
        <v>22143</v>
      </c>
      <c r="CE61" s="1">
        <f t="shared" si="87"/>
        <v>-39088</v>
      </c>
      <c r="CF61" s="1">
        <f t="shared" si="87"/>
        <v>-5152</v>
      </c>
      <c r="CG61" s="1">
        <f>SUM(CG43+CG58)</f>
        <v>280395</v>
      </c>
      <c r="CH61" s="1">
        <f t="shared" si="87"/>
        <v>14397</v>
      </c>
      <c r="CI61" s="1"/>
      <c r="CJ61" s="1">
        <f>SUM(CJ43+CJ58)</f>
        <v>142814</v>
      </c>
      <c r="CK61" s="1"/>
      <c r="CL61" s="1">
        <f t="shared" ref="CL61:CR61" si="88">SUM(CL43+CL58)</f>
        <v>574501</v>
      </c>
      <c r="CM61" s="1">
        <f t="shared" si="88"/>
        <v>28107</v>
      </c>
      <c r="CN61" s="1">
        <f t="shared" si="88"/>
        <v>-177654</v>
      </c>
      <c r="CO61" s="1">
        <f t="shared" si="88"/>
        <v>9228</v>
      </c>
      <c r="CP61" s="1">
        <f t="shared" si="88"/>
        <v>460259</v>
      </c>
      <c r="CQ61" s="1">
        <f t="shared" si="88"/>
        <v>-228338</v>
      </c>
      <c r="CR61" s="1">
        <f t="shared" si="88"/>
        <v>-667133</v>
      </c>
      <c r="CS61" s="1"/>
      <c r="CT61" s="5"/>
      <c r="CU61" s="1">
        <f>SUM(CU43+CU58)</f>
        <v>-1030</v>
      </c>
      <c r="CW61" s="1">
        <f>SUM(CW43+CW58)</f>
        <v>455150</v>
      </c>
      <c r="CX61" s="1">
        <f t="shared" ref="CX61:DT61" si="89">SUM(CX43+CX58)</f>
        <v>0</v>
      </c>
      <c r="CY61" s="1">
        <f t="shared" si="89"/>
        <v>-12896</v>
      </c>
      <c r="CZ61" s="1">
        <f t="shared" si="89"/>
        <v>0</v>
      </c>
      <c r="DA61" s="1">
        <f t="shared" si="89"/>
        <v>0</v>
      </c>
      <c r="DB61" s="1">
        <f t="shared" si="89"/>
        <v>-6900</v>
      </c>
      <c r="DC61" s="1">
        <f t="shared" si="89"/>
        <v>-15735</v>
      </c>
      <c r="DD61" s="1">
        <f t="shared" si="89"/>
        <v>0</v>
      </c>
      <c r="DE61" s="1">
        <f t="shared" si="89"/>
        <v>2117</v>
      </c>
      <c r="DF61" s="1">
        <f t="shared" si="89"/>
        <v>0</v>
      </c>
      <c r="DG61" s="1">
        <f t="shared" si="89"/>
        <v>151548</v>
      </c>
      <c r="DH61" s="1">
        <f t="shared" si="89"/>
        <v>0</v>
      </c>
      <c r="DI61" s="1">
        <f t="shared" si="89"/>
        <v>0</v>
      </c>
      <c r="DJ61" s="1">
        <f t="shared" si="89"/>
        <v>0</v>
      </c>
      <c r="DK61" s="1">
        <f t="shared" si="89"/>
        <v>0</v>
      </c>
      <c r="DL61" s="1">
        <f t="shared" si="89"/>
        <v>424995</v>
      </c>
      <c r="DM61" s="1">
        <f t="shared" si="89"/>
        <v>0</v>
      </c>
      <c r="DN61" s="1">
        <f t="shared" si="89"/>
        <v>-24181</v>
      </c>
      <c r="DO61" s="1">
        <f t="shared" si="89"/>
        <v>0</v>
      </c>
      <c r="DP61" s="1">
        <f t="shared" si="89"/>
        <v>23554</v>
      </c>
      <c r="DQ61" s="1">
        <f t="shared" si="89"/>
        <v>809210</v>
      </c>
      <c r="DR61" s="1">
        <f t="shared" si="89"/>
        <v>4886120</v>
      </c>
      <c r="DS61" s="1">
        <f t="shared" si="89"/>
        <v>-72554</v>
      </c>
      <c r="DT61" s="1">
        <f t="shared" si="89"/>
        <v>195982</v>
      </c>
      <c r="DW61" s="1">
        <f>SUM(DW43+DW58)</f>
        <v>6641308</v>
      </c>
      <c r="DX61" s="1"/>
      <c r="DY61" s="1">
        <f>SUM(DY43+DY58)</f>
        <v>44007</v>
      </c>
      <c r="DZ61" s="1"/>
      <c r="EB61" s="1">
        <f>SUM(EB43+EB58)</f>
        <v>0</v>
      </c>
      <c r="EC61" s="1"/>
      <c r="ED61" s="1"/>
      <c r="EE61" s="1"/>
      <c r="EF61" s="1">
        <f>SUM(EF43+EF58)</f>
        <v>8406</v>
      </c>
      <c r="EG61" s="1"/>
      <c r="EL61" s="1">
        <f>SUM(EL43+EL58)</f>
        <v>0</v>
      </c>
      <c r="EM61" s="1">
        <f>SUM(EM43+EM58)</f>
        <v>0</v>
      </c>
      <c r="EN61">
        <f t="shared" si="70"/>
        <v>13090512</v>
      </c>
      <c r="EQ61" s="1">
        <f>SUM(EQ43+EQ58)</f>
        <v>94</v>
      </c>
    </row>
    <row r="62" spans="1:147" ht="16.5" thickBot="1">
      <c r="A62" s="1"/>
      <c r="B62" s="1"/>
      <c r="C62" s="1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3"/>
      <c r="BY62" s="1"/>
      <c r="BZ62" s="1">
        <f t="shared" si="57"/>
        <v>0</v>
      </c>
      <c r="CA62" s="1"/>
      <c r="CB62" s="1"/>
      <c r="CC62" s="622"/>
      <c r="CD62" s="252"/>
      <c r="CE62" s="1"/>
      <c r="CF62" s="1"/>
      <c r="CG62" s="622"/>
      <c r="CH62" s="252"/>
      <c r="CI62" s="1"/>
      <c r="CJ62" s="1"/>
      <c r="CK62" s="1"/>
      <c r="CL62" s="1"/>
      <c r="CM62" s="1"/>
      <c r="CN62" s="1"/>
      <c r="CO62" s="1"/>
      <c r="CP62" s="1"/>
      <c r="CQ62" s="1"/>
      <c r="CR62" s="1"/>
      <c r="CS62" s="1"/>
      <c r="CT62" s="5"/>
      <c r="CU62" s="1"/>
      <c r="CW62" s="1"/>
      <c r="CX62" s="1"/>
      <c r="CY62" s="1"/>
      <c r="CZ62" s="1"/>
      <c r="DA62" s="1"/>
      <c r="DB62" s="1"/>
      <c r="DC62" s="1"/>
      <c r="DD62" s="1"/>
      <c r="DE62" s="1"/>
      <c r="DF62" s="1"/>
      <c r="DG62" s="1"/>
      <c r="DH62" s="1"/>
      <c r="DI62" s="1"/>
      <c r="DJ62" s="1"/>
      <c r="DK62" s="1"/>
      <c r="DL62" s="1"/>
      <c r="DM62" s="1"/>
      <c r="DN62" s="1"/>
      <c r="DO62" s="1"/>
      <c r="DP62" s="1"/>
      <c r="DQ62" s="1"/>
      <c r="DR62" s="1065" t="s">
        <v>3042</v>
      </c>
      <c r="DS62" s="1"/>
      <c r="DT62" s="1"/>
      <c r="DW62" s="1"/>
      <c r="DX62" s="1"/>
      <c r="DY62" s="1"/>
      <c r="DZ62" s="1"/>
      <c r="EB62" s="1"/>
      <c r="EC62" s="1"/>
      <c r="ED62" s="1"/>
      <c r="EE62" s="1"/>
      <c r="EF62" s="1"/>
      <c r="EG62" s="1"/>
      <c r="EL62" s="1"/>
      <c r="EM62" s="1"/>
      <c r="EN62">
        <f t="shared" si="70"/>
        <v>0</v>
      </c>
      <c r="EQ62" s="1"/>
    </row>
    <row r="63" spans="1:147" ht="16.5" thickTop="1">
      <c r="A63" s="1"/>
      <c r="B63" s="1" t="s">
        <v>1200</v>
      </c>
      <c r="C63" s="11"/>
      <c r="D63" s="1">
        <f>+'Sys INPUT'!D61+D271+D249</f>
        <v>7452016</v>
      </c>
      <c r="E63" s="1">
        <f>+'Sys INPUT'!E61+E271+E249</f>
        <v>330187</v>
      </c>
      <c r="F63" s="1">
        <f>+'Sys INPUT'!F61+F271+F249</f>
        <v>5631</v>
      </c>
      <c r="G63" s="1">
        <f>+'Sys INPUT'!G61+G271+G249</f>
        <v>-13234</v>
      </c>
      <c r="H63" s="1">
        <f>+'Sys INPUT'!H61+H271+H249</f>
        <v>305110</v>
      </c>
      <c r="I63" s="1">
        <f>+'Sys INPUT'!I61+I271+I249</f>
        <v>4500</v>
      </c>
      <c r="J63" s="1">
        <f>+'Sys INPUT'!J61+J271+J249</f>
        <v>1970166</v>
      </c>
      <c r="K63" s="1">
        <f>+'Sys INPUT'!K61+K271+K249</f>
        <v>74</v>
      </c>
      <c r="L63" s="1">
        <f>+'Sys INPUT'!L61+L271+L249</f>
        <v>8485</v>
      </c>
      <c r="M63" s="1">
        <f>+'Sys INPUT'!M61+M271+M249</f>
        <v>529000</v>
      </c>
      <c r="N63" s="1">
        <f>+'Sys INPUT'!N61+N271+N249</f>
        <v>86030</v>
      </c>
      <c r="O63" s="1">
        <f>+'Sys INPUT'!O61+O271+O249</f>
        <v>48826</v>
      </c>
      <c r="P63" s="1">
        <f>+'Sys INPUT'!P61+P271+P249</f>
        <v>0</v>
      </c>
      <c r="Q63" s="1">
        <f>+'Sys INPUT'!Q61+Q271+Q249</f>
        <v>198091</v>
      </c>
      <c r="R63" s="1">
        <f>+'Sys INPUT'!R61+R271+R249</f>
        <v>347266</v>
      </c>
      <c r="S63" s="1">
        <f>+'Sys INPUT'!S61+S271+S249</f>
        <v>1157672</v>
      </c>
      <c r="T63" s="1">
        <f>+'Sys INPUT'!T61+T271+T249</f>
        <v>289</v>
      </c>
      <c r="U63" s="1">
        <f>+'Sys INPUT'!U61+U271+U249</f>
        <v>666764</v>
      </c>
      <c r="V63" s="1">
        <f>+'Sys INPUT'!V61+V271+V249</f>
        <v>142</v>
      </c>
      <c r="W63" s="1">
        <f>+'Sys INPUT'!W61+W271+W249</f>
        <v>253822</v>
      </c>
      <c r="X63" s="1">
        <f>+'Sys INPUT'!X61+X271</f>
        <v>3347149</v>
      </c>
      <c r="Y63" s="1">
        <f>+'Sys INPUT'!Y61+Y271+Y249</f>
        <v>-4554</v>
      </c>
      <c r="Z63" s="1">
        <f>+'Sys INPUT'!Z61+Z271+Z249</f>
        <v>54037</v>
      </c>
      <c r="AA63" s="1">
        <f>+'Sys INPUT'!AA61+AA271+AA249</f>
        <v>138674</v>
      </c>
      <c r="AB63" s="1">
        <f>+'Sys INPUT'!AB61+AB271+AB249</f>
        <v>1317706</v>
      </c>
      <c r="AC63" s="1">
        <f>+'Sys INPUT'!AC61+AC271+AC249</f>
        <v>195203</v>
      </c>
      <c r="AD63" s="1">
        <f>+'Sys INPUT'!AD61+AD271+AD249</f>
        <v>19792</v>
      </c>
      <c r="AE63" s="1">
        <f>+'Sys INPUT'!AE61+AE271+AE249</f>
        <v>77193</v>
      </c>
      <c r="AF63" s="1">
        <f>+'Sys INPUT'!AF61+AF271+AF249</f>
        <v>21108</v>
      </c>
      <c r="AG63" s="1">
        <f>+'Sys INPUT'!AG61+AG271+AG249</f>
        <v>476992</v>
      </c>
      <c r="AH63" s="1">
        <f>+'Sys INPUT'!AH61+AH271+AH249</f>
        <v>347620</v>
      </c>
      <c r="AI63" s="1">
        <f>+'Sys INPUT'!AI61+AI271+AI249</f>
        <v>45849</v>
      </c>
      <c r="AJ63" s="1">
        <f>+'Sys INPUT'!AJ61+AJ271+AJ249</f>
        <v>60394</v>
      </c>
      <c r="AK63" s="1">
        <f>+'Sys INPUT'!AK61+AK271+AK249</f>
        <v>25</v>
      </c>
      <c r="AL63" s="1">
        <f>+'Sys INPUT'!AL61+AL271+AL249</f>
        <v>52789</v>
      </c>
      <c r="AM63" s="1">
        <f>+'Sys INPUT'!AM61+AM271+AM249</f>
        <v>58393</v>
      </c>
      <c r="AN63" s="1">
        <f>+'Sys INPUT'!AN61+AN271+AN249</f>
        <v>193845</v>
      </c>
      <c r="AO63" s="1">
        <f>+'Sys INPUT'!AO61+AO271+AO249</f>
        <v>0</v>
      </c>
      <c r="AP63" s="1">
        <f>+'Sys INPUT'!AP61+AP271+AP249</f>
        <v>414553</v>
      </c>
      <c r="AQ63" s="1">
        <f>+'Sys INPUT'!AQ61+AQ271+AQ249</f>
        <v>696878</v>
      </c>
      <c r="AR63" s="1">
        <f>+'Sys INPUT'!AR61+AR271+AR249</f>
        <v>47367</v>
      </c>
      <c r="AS63" s="1">
        <f>+'Sys INPUT'!AS61+AS271+AS249</f>
        <v>67703</v>
      </c>
      <c r="AT63" s="1">
        <f>+'Sys INPUT'!AT61+AT271+AT249</f>
        <v>560220</v>
      </c>
      <c r="AU63" s="1">
        <f>+'Sys INPUT'!AU61+AU271+AU249</f>
        <v>-7069</v>
      </c>
      <c r="AV63" s="1">
        <f>+'Sys INPUT'!AV61+AV271+AV249</f>
        <v>0</v>
      </c>
      <c r="AW63" s="1"/>
      <c r="AX63" s="1">
        <f>+'Sys INPUT'!AX61+AX271+AX249</f>
        <v>-62728</v>
      </c>
      <c r="AY63" s="1">
        <f>+'Sys INPUT'!AY61+AY271+AY249</f>
        <v>0</v>
      </c>
      <c r="AZ63" s="1">
        <f>+'Sys INPUT'!AZ61+AZ271+AZ249</f>
        <v>34313</v>
      </c>
      <c r="BA63" s="1">
        <f>+'Sys INPUT'!BA61+BA271+BA249</f>
        <v>-25945</v>
      </c>
      <c r="BB63" s="1">
        <f>+'Sys INPUT'!BB61+BB271+BB249</f>
        <v>10529537</v>
      </c>
      <c r="BC63" s="1">
        <f>+'Sys INPUT'!BC61+BC271+BC249</f>
        <v>6043255</v>
      </c>
      <c r="BD63" s="1">
        <f>+'Sys INPUT'!BD61+BD271+BD249</f>
        <v>363764</v>
      </c>
      <c r="BE63" s="1"/>
      <c r="BF63" s="1">
        <f>SUM(E63:BE63)</f>
        <v>30962884</v>
      </c>
      <c r="BG63" s="1">
        <f t="shared" ref="BG63" si="90">+BF63-X63-P63-BB63-BC63</f>
        <v>11042943</v>
      </c>
      <c r="BH63" s="1">
        <f>+'Sys INPUT'!BH61+BH271+BH249</f>
        <v>0</v>
      </c>
      <c r="BI63" s="1">
        <f>+'Sys INPUT'!BI61+BI271+BI249</f>
        <v>46955</v>
      </c>
      <c r="BJ63" s="1">
        <f>+'Sys INPUT'!BJ61+BJ271+BJ249</f>
        <v>0</v>
      </c>
      <c r="BK63" s="1">
        <f>+'Sys INPUT'!BK61+BK271+BK249</f>
        <v>366520</v>
      </c>
      <c r="BL63" s="1">
        <f>+'Sys INPUT'!BL61+BL271+BL249</f>
        <v>59194</v>
      </c>
      <c r="BM63" s="1">
        <f>+'Sys INPUT'!BM61+BM271+BM249</f>
        <v>4817</v>
      </c>
      <c r="BN63" s="1">
        <f>+'Sys INPUT'!BN61+BN271+BN249-0</f>
        <v>94782</v>
      </c>
      <c r="BO63" s="1"/>
      <c r="BP63" s="1">
        <f>SUM(BH63:BN63)</f>
        <v>572268</v>
      </c>
      <c r="BQ63" s="1"/>
      <c r="BR63" s="1">
        <f>+'Sys INPUT'!BR61+BR271+BR249-0</f>
        <v>15525227</v>
      </c>
      <c r="BS63" s="1">
        <f>+'Sys INPUT'!BS61+BS271+BS249</f>
        <v>0</v>
      </c>
      <c r="BT63" s="1">
        <f>+'Sys INPUT'!BT61+BT271+BT249</f>
        <v>-15316</v>
      </c>
      <c r="BU63" s="1">
        <f>+'Sys INPUT'!BU61+BU271+BU249</f>
        <v>0</v>
      </c>
      <c r="BV63" s="1">
        <f>+'Sys INPUT'!BV61+BV271+BV249</f>
        <v>46164</v>
      </c>
      <c r="BW63" s="1">
        <f>+'Sys INPUT'!BW61+BW271+BW249</f>
        <v>1562109</v>
      </c>
      <c r="BX63" s="3"/>
      <c r="BY63" s="1">
        <f>SUM(BR63:BX63)</f>
        <v>17118184</v>
      </c>
      <c r="BZ63" s="1">
        <f t="shared" si="57"/>
        <v>1592957</v>
      </c>
      <c r="CA63" s="1"/>
      <c r="CB63" s="1"/>
      <c r="CC63" s="767">
        <f>+'Sys INPUT'!CC61+CC271</f>
        <v>7911118</v>
      </c>
      <c r="CD63" s="1">
        <f>+'Sys INPUT'!CD61+CD271</f>
        <v>27237</v>
      </c>
      <c r="CE63" s="1">
        <f>+'Sys INPUT'!CE61+CE271</f>
        <v>219141</v>
      </c>
      <c r="CF63" s="42">
        <f>+'Sys INPUT'!CF61+CF271</f>
        <v>1274390</v>
      </c>
      <c r="CG63" s="767">
        <f>+'Sys INPUT'!CG61+CG271</f>
        <v>6919318</v>
      </c>
      <c r="CH63" s="1">
        <f>+'Sys INPUT'!CH61+CH271</f>
        <v>106766</v>
      </c>
      <c r="CI63" s="1"/>
      <c r="CJ63" s="1">
        <f>SUM(CB63:CI63)</f>
        <v>16457970</v>
      </c>
      <c r="CK63" s="1">
        <f>+CJ63-CB63-CC63-CG63</f>
        <v>1627534</v>
      </c>
      <c r="CL63" s="1">
        <f>+'Sys INPUT'!CL61+CL271</f>
        <v>1690256</v>
      </c>
      <c r="CM63" s="1">
        <f>+'Sys INPUT'!CM61+CM271</f>
        <v>967631</v>
      </c>
      <c r="CN63" s="1">
        <f>+'Sys INPUT'!CN61+CN271</f>
        <v>487067</v>
      </c>
      <c r="CO63" s="1">
        <f>+'Sys INPUT'!CO61+CO271</f>
        <v>110597</v>
      </c>
      <c r="CP63" s="1">
        <f>+'Sys INPUT'!CP61+CP271</f>
        <v>977590</v>
      </c>
      <c r="CQ63" s="1">
        <f>+'Sys INPUT'!CQ61+CQ271</f>
        <v>1029952</v>
      </c>
      <c r="CR63" s="1">
        <f>+'Sys INPUT'!CR61+CR271</f>
        <v>537797</v>
      </c>
      <c r="CS63" s="1"/>
      <c r="CT63" s="5"/>
      <c r="CU63" s="1">
        <f>SUM(CL63:CT63)</f>
        <v>5800890</v>
      </c>
      <c r="CW63" s="1">
        <f>+'Sys INPUT'!CW61+CW271+CW249+0</f>
        <v>3525155</v>
      </c>
      <c r="CX63" s="1">
        <f>+'Sys INPUT'!CX61+CX271+CX249+0</f>
        <v>0</v>
      </c>
      <c r="CY63" s="1">
        <f>+'Sys INPUT'!CY61+CY271+CY249+0</f>
        <v>45744</v>
      </c>
      <c r="CZ63" s="1">
        <f>+'Sys INPUT'!CZ61+CZ271+CZ249+0</f>
        <v>0</v>
      </c>
      <c r="DA63" s="1">
        <f>+'Sys INPUT'!DA61+DA271+DA249+0</f>
        <v>0</v>
      </c>
      <c r="DB63" s="1">
        <f>+'Sys INPUT'!DB61+DB271+DB249+0</f>
        <v>51062</v>
      </c>
      <c r="DC63" s="1">
        <f>+'Sys INPUT'!DC61+DC271+DC249+0</f>
        <v>24147</v>
      </c>
      <c r="DD63" s="1">
        <f>+'Sys INPUT'!DD61+DD271+DD249+0</f>
        <v>0</v>
      </c>
      <c r="DE63" s="1">
        <f>+'Sys INPUT'!DE61+DE271+DE249+0</f>
        <v>6491</v>
      </c>
      <c r="DF63" s="1">
        <f>+'Sys INPUT'!DF61+DF271+DF249+0</f>
        <v>0</v>
      </c>
      <c r="DG63" s="1">
        <f>+'Sys INPUT'!DG61+DG271+DG249+0</f>
        <v>52918</v>
      </c>
      <c r="DH63" s="1">
        <f>+'Sys INPUT'!DH61+DH271+DH249+0</f>
        <v>0</v>
      </c>
      <c r="DI63" s="1">
        <f>+'Sys INPUT'!DI61+DI271+DI249+0</f>
        <v>0</v>
      </c>
      <c r="DJ63" s="1">
        <f>+'Sys INPUT'!DJ61+DJ271+DJ249+0</f>
        <v>296099</v>
      </c>
      <c r="DK63" s="1">
        <f>+'Sys INPUT'!DK61+DK271+DK249+0</f>
        <v>0</v>
      </c>
      <c r="DL63" s="1">
        <f>+'Sys INPUT'!DL61+DL271+DL249+0</f>
        <v>900616</v>
      </c>
      <c r="DM63" s="1">
        <f>+'Sys INPUT'!DM61+DM271+DM249+0</f>
        <v>0</v>
      </c>
      <c r="DN63" s="1">
        <f>+'Sys INPUT'!DN61+DN271+DN249+0</f>
        <v>114684</v>
      </c>
      <c r="DO63" s="1">
        <f>+'Sys INPUT'!DO61+DO271+DO249+0</f>
        <v>0</v>
      </c>
      <c r="DP63" s="1">
        <f>+'Sys INPUT'!DP61+DP271+DP249+0</f>
        <v>10797</v>
      </c>
      <c r="DQ63" s="1">
        <f>+'Sys INPUT'!DQ61+DQ271+DQ249+0</f>
        <v>5959717</v>
      </c>
      <c r="DR63" s="1066">
        <f>+'Sys INPUT'!DR61+DR271+DR249-DU63</f>
        <v>45617380</v>
      </c>
      <c r="DS63" s="1">
        <f>+'Sys INPUT'!DS61+DS271+DS249+0</f>
        <v>1844575</v>
      </c>
      <c r="DT63" s="1">
        <f>+'Sys INPUT'!DT61+DT271+DT249+0</f>
        <v>1298552</v>
      </c>
      <c r="DU63" s="1066">
        <f>+'FIDCH FDS'!Q29</f>
        <v>3851843</v>
      </c>
      <c r="DW63" s="1">
        <f>+CW63+CY63+DB63+DC63+DD63+DE63+DJ63+DL63+DN63+DQ63+DR63+DS63+DT63</f>
        <v>59684222</v>
      </c>
      <c r="DX63" s="1"/>
      <c r="DY63" s="1">
        <v>96052</v>
      </c>
      <c r="DZ63" s="1"/>
      <c r="EB63" s="1">
        <f>+'Sys INPUT'!EC61+EB271-0+0</f>
        <v>0</v>
      </c>
      <c r="EC63" s="1"/>
      <c r="ED63" s="1"/>
      <c r="EE63" s="1"/>
      <c r="EF63" s="1">
        <f>+'Sys INPUT'!EG61+EF271+EF249</f>
        <v>357491</v>
      </c>
      <c r="EG63" s="1"/>
      <c r="EL63" s="1">
        <v>0</v>
      </c>
      <c r="EM63" s="1">
        <f>+'Sys INPUT'!HV61+EM271+EM249</f>
        <v>0</v>
      </c>
      <c r="EN63">
        <f t="shared" si="70"/>
        <v>120091437</v>
      </c>
      <c r="EQ63" s="32">
        <f>+'Sys INPUT'!AF61+'Sys INPUT'!ER61+EQ271+EQ249+0</f>
        <v>21108</v>
      </c>
    </row>
    <row r="64" spans="1:147" ht="15.75">
      <c r="A64" s="1"/>
      <c r="B64" s="89" t="s">
        <v>1679</v>
      </c>
      <c r="C64" s="11"/>
      <c r="E64" s="1"/>
      <c r="F64" s="1"/>
      <c r="G64">
        <f>+G63-G276</f>
        <v>0</v>
      </c>
      <c r="H64" s="1"/>
      <c r="I64" s="1"/>
      <c r="J64">
        <f>+J63-J276</f>
        <v>0</v>
      </c>
      <c r="K64" s="1"/>
      <c r="L64" s="1"/>
      <c r="M64" s="1"/>
      <c r="N64" s="1"/>
      <c r="O64" s="1"/>
      <c r="P64" s="1"/>
      <c r="Q64" s="1"/>
      <c r="R64" s="1"/>
      <c r="S64" s="1"/>
      <c r="T64" s="1"/>
      <c r="U64" s="1"/>
      <c r="V64" s="1"/>
      <c r="W64" s="1"/>
      <c r="X64">
        <f>+X63-X276</f>
        <v>0</v>
      </c>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f>+BN63-BN276</f>
        <v>0</v>
      </c>
      <c r="BO64" s="1"/>
      <c r="BP64" s="1">
        <f>SUM(BH64:BN64)</f>
        <v>0</v>
      </c>
      <c r="BQ64" s="1"/>
      <c r="BR64" s="1"/>
      <c r="BS64" s="1"/>
      <c r="BT64" s="1"/>
      <c r="BU64" s="1"/>
      <c r="BV64" s="1"/>
      <c r="BW64" s="1"/>
      <c r="BX64" s="3"/>
      <c r="BY64" s="1"/>
      <c r="BZ64" s="1">
        <f t="shared" si="57"/>
        <v>0</v>
      </c>
      <c r="CA64" s="1"/>
      <c r="CC64" s="42"/>
      <c r="CG64" s="42"/>
      <c r="CI64" s="1"/>
      <c r="CJ64" s="1"/>
      <c r="CK64" s="1"/>
      <c r="CS64" s="1"/>
      <c r="CT64" s="5"/>
      <c r="CU64" s="1"/>
      <c r="CW64" s="1"/>
      <c r="CX64" s="1"/>
      <c r="CY64" s="1"/>
      <c r="CZ64" s="1"/>
      <c r="DA64" s="1"/>
      <c r="DB64" s="1"/>
      <c r="DC64" s="1"/>
      <c r="DD64" s="1"/>
      <c r="DE64" s="1"/>
      <c r="DF64" s="1"/>
      <c r="DG64" s="1"/>
      <c r="DH64" s="1"/>
      <c r="DI64" s="1"/>
      <c r="DJ64" s="1"/>
      <c r="DK64" s="1"/>
      <c r="DL64" s="1"/>
      <c r="DM64" s="1"/>
      <c r="DN64" s="1"/>
      <c r="DO64" s="1"/>
      <c r="DP64" s="1"/>
      <c r="DQ64" s="1"/>
      <c r="DR64" s="1"/>
      <c r="DS64" s="1"/>
      <c r="DT64" s="1"/>
      <c r="DW64" s="1"/>
      <c r="DX64" s="1"/>
      <c r="DY64" s="1"/>
      <c r="DZ64" s="1"/>
      <c r="EB64" s="1"/>
      <c r="EC64" s="1"/>
      <c r="ED64" s="1"/>
      <c r="EE64" s="1"/>
      <c r="EF64" s="1"/>
      <c r="EG64" s="1"/>
      <c r="EL64" s="1"/>
      <c r="EM64" s="1"/>
      <c r="EN64">
        <f t="shared" si="70"/>
        <v>0</v>
      </c>
      <c r="EQ64" s="1"/>
    </row>
    <row r="65" spans="1:147" ht="15.75">
      <c r="A65" s="1"/>
      <c r="B65" s="1" t="s">
        <v>384</v>
      </c>
      <c r="C65" s="1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f>SUM(E65:BE65)</f>
        <v>0</v>
      </c>
      <c r="BG65" s="1"/>
      <c r="BH65" s="1"/>
      <c r="BI65" s="1"/>
      <c r="BJ65" s="1"/>
      <c r="BK65" s="1"/>
      <c r="BL65" s="1"/>
      <c r="BM65" s="1"/>
      <c r="BN65" s="1"/>
      <c r="BO65" s="1"/>
      <c r="BP65" s="1">
        <f>SUM(BH65:BN65)</f>
        <v>0</v>
      </c>
      <c r="BQ65" s="1"/>
      <c r="BR65" s="1"/>
      <c r="BS65" s="1"/>
      <c r="BT65" s="1"/>
      <c r="BU65" s="1"/>
      <c r="BV65" s="1"/>
      <c r="BW65" s="1"/>
      <c r="BX65" s="3"/>
      <c r="BY65" s="1">
        <f>SUM(BR65:BX65)</f>
        <v>0</v>
      </c>
      <c r="BZ65" s="1">
        <f t="shared" si="57"/>
        <v>0</v>
      </c>
      <c r="CA65" s="1"/>
      <c r="CB65" s="1"/>
      <c r="CC65" s="1"/>
      <c r="CD65" s="1"/>
      <c r="CE65" s="1"/>
      <c r="CF65" s="1"/>
      <c r="CG65" s="1"/>
      <c r="CH65" s="1"/>
      <c r="CI65" s="1"/>
      <c r="CJ65" s="1">
        <f>SUM(CB65:CI65)</f>
        <v>0</v>
      </c>
      <c r="CK65" s="1"/>
      <c r="CL65" s="1"/>
      <c r="CM65" s="1"/>
      <c r="CN65" s="1"/>
      <c r="CO65" s="1"/>
      <c r="CP65" s="1"/>
      <c r="CQ65" s="1"/>
      <c r="CR65" s="1"/>
      <c r="CS65" s="1"/>
      <c r="CT65" s="5"/>
      <c r="CU65" s="1">
        <f>SUM(CL65:CT65)</f>
        <v>0</v>
      </c>
      <c r="CW65" s="1"/>
      <c r="CX65" s="1"/>
      <c r="CY65" s="1"/>
      <c r="CZ65" s="1"/>
      <c r="DA65" s="1"/>
      <c r="DB65" s="1"/>
      <c r="DC65" s="1"/>
      <c r="DD65" s="1"/>
      <c r="DE65" s="1"/>
      <c r="DF65" s="1"/>
      <c r="DG65" s="1"/>
      <c r="DH65" s="1"/>
      <c r="DI65" s="1"/>
      <c r="DJ65" s="1"/>
      <c r="DK65" s="1"/>
      <c r="DL65" s="1"/>
      <c r="DM65" s="1"/>
      <c r="DN65" s="1"/>
      <c r="DO65" s="1"/>
      <c r="DP65" s="1"/>
      <c r="DQ65" s="1"/>
      <c r="DR65" s="134"/>
      <c r="DS65" s="134"/>
      <c r="DT65" s="134"/>
      <c r="DW65" s="1">
        <f>+CW65+CY65+DB65+DC65+DD65+DE65+DJ65+DL65+DN65+DQ65+DR65+DS65+DT65</f>
        <v>0</v>
      </c>
      <c r="DX65" s="1"/>
      <c r="DY65" s="1"/>
      <c r="DZ65" s="1"/>
      <c r="EB65" s="1"/>
      <c r="EC65" s="1"/>
      <c r="ED65" s="1"/>
      <c r="EE65" s="1"/>
      <c r="EF65" s="1"/>
      <c r="EG65" s="1"/>
      <c r="EL65" s="1"/>
      <c r="EM65" s="1"/>
      <c r="EN65">
        <f t="shared" si="70"/>
        <v>0</v>
      </c>
      <c r="EQ65" s="1"/>
    </row>
    <row r="66" spans="1:147" ht="15.75">
      <c r="A66" s="1"/>
      <c r="B66" s="1" t="s">
        <v>385</v>
      </c>
      <c r="C66" s="11"/>
      <c r="D66" s="1">
        <f>+'Sys INPUT'!D64</f>
        <v>0</v>
      </c>
      <c r="E66" s="1">
        <f>+'Sys INPUT'!E64</f>
        <v>0</v>
      </c>
      <c r="F66" s="1">
        <f>+'Sys INPUT'!F64</f>
        <v>0</v>
      </c>
      <c r="G66" s="1">
        <f>+'Sys INPUT'!G64</f>
        <v>0</v>
      </c>
      <c r="H66" s="1">
        <f>+'Sys INPUT'!H64</f>
        <v>0</v>
      </c>
      <c r="I66" s="1">
        <f>+'Sys INPUT'!I64</f>
        <v>0</v>
      </c>
      <c r="J66" s="1">
        <f>+'Sys INPUT'!J64</f>
        <v>0</v>
      </c>
      <c r="K66" s="1">
        <f>+'Sys INPUT'!K64</f>
        <v>0</v>
      </c>
      <c r="L66" s="1">
        <f>+'Sys INPUT'!L64</f>
        <v>0</v>
      </c>
      <c r="M66" s="1">
        <f>+'Sys INPUT'!M64-0</f>
        <v>0</v>
      </c>
      <c r="N66" s="1">
        <f>+'Sys INPUT'!N64</f>
        <v>0</v>
      </c>
      <c r="O66" s="1">
        <f>+'Sys INPUT'!O64</f>
        <v>0</v>
      </c>
      <c r="P66" s="1">
        <f>+'Sys INPUT'!P64</f>
        <v>0</v>
      </c>
      <c r="Q66" s="1">
        <f>+'Sys INPUT'!Q64</f>
        <v>0</v>
      </c>
      <c r="R66" s="1">
        <f>+'Sys INPUT'!R64</f>
        <v>0</v>
      </c>
      <c r="S66" s="1">
        <f>+'Sys INPUT'!S64-0</f>
        <v>0</v>
      </c>
      <c r="T66" s="1">
        <f>+'Sys INPUT'!T64</f>
        <v>0</v>
      </c>
      <c r="U66" s="1">
        <f>+'Sys INPUT'!U64-0</f>
        <v>0</v>
      </c>
      <c r="V66" s="1">
        <f>+'Sys INPUT'!V64</f>
        <v>0</v>
      </c>
      <c r="W66" s="1">
        <f>+'Sys INPUT'!W64</f>
        <v>0</v>
      </c>
      <c r="X66" s="1">
        <f>+'Sys INPUT'!X64-0</f>
        <v>0</v>
      </c>
      <c r="Y66" s="1">
        <f>+'Sys INPUT'!Y64-0</f>
        <v>0</v>
      </c>
      <c r="Z66" s="1">
        <f>+'Sys INPUT'!Z64</f>
        <v>0</v>
      </c>
      <c r="AA66" s="1">
        <f>+'Sys INPUT'!AA64</f>
        <v>0</v>
      </c>
      <c r="AB66" s="1">
        <f>+'Sys INPUT'!AB64</f>
        <v>0</v>
      </c>
      <c r="AC66" s="1">
        <f>+'Sys INPUT'!AC64</f>
        <v>0</v>
      </c>
      <c r="AD66" s="1">
        <f>+'Sys INPUT'!AD64</f>
        <v>0</v>
      </c>
      <c r="AE66" s="1">
        <f>+'Sys INPUT'!AE64</f>
        <v>0</v>
      </c>
      <c r="AF66" s="1">
        <f>+'Sys INPUT'!AF64</f>
        <v>0</v>
      </c>
      <c r="AG66" s="1">
        <f>+'Sys INPUT'!AG64</f>
        <v>0</v>
      </c>
      <c r="AH66" s="1">
        <f>+'Sys INPUT'!AH64</f>
        <v>0</v>
      </c>
      <c r="AI66" s="1">
        <f>+'Sys INPUT'!AI64</f>
        <v>0</v>
      </c>
      <c r="AJ66" s="1">
        <f>+'Sys INPUT'!AJ64</f>
        <v>0</v>
      </c>
      <c r="AK66" s="1"/>
      <c r="AL66" s="1"/>
      <c r="AM66" s="1"/>
      <c r="AN66" s="1"/>
      <c r="AO66" s="1"/>
      <c r="AP66" s="1"/>
      <c r="AQ66" s="1"/>
      <c r="AR66" s="1">
        <f>+'Sys INPUT'!AR64</f>
        <v>0</v>
      </c>
      <c r="AS66" s="1">
        <f>+'Sys INPUT'!AS64</f>
        <v>0</v>
      </c>
      <c r="AT66" s="1">
        <f>+'Sys INPUT'!AT64</f>
        <v>0</v>
      </c>
      <c r="AU66" s="1">
        <f>+'Sys INPUT'!AU64</f>
        <v>0</v>
      </c>
      <c r="AV66" s="1">
        <f>+'Sys INPUT'!AV64</f>
        <v>0</v>
      </c>
      <c r="AW66" s="1"/>
      <c r="AX66" s="1">
        <f>+'Sys INPUT'!AX64</f>
        <v>0</v>
      </c>
      <c r="AY66" s="1">
        <f>+'Sys INPUT'!AY64</f>
        <v>0</v>
      </c>
      <c r="AZ66" s="1">
        <f>+'Sys INPUT'!AZ64</f>
        <v>0</v>
      </c>
      <c r="BA66" s="1">
        <f>+'Sys INPUT'!BA64</f>
        <v>0</v>
      </c>
      <c r="BB66" s="1">
        <f>+'Sys INPUT'!BB64</f>
        <v>-6724351</v>
      </c>
      <c r="BC66" s="1">
        <f>+'Sys INPUT'!BC64</f>
        <v>0</v>
      </c>
      <c r="BD66" s="1"/>
      <c r="BE66" s="1"/>
      <c r="BF66" s="1">
        <f>SUM(E66:BE66)</f>
        <v>-6724351</v>
      </c>
      <c r="BG66" s="1"/>
      <c r="BH66" s="1">
        <f>+'Sys INPUT'!BH64</f>
        <v>0</v>
      </c>
      <c r="BI66" s="1">
        <f>+'Sys INPUT'!BI64</f>
        <v>0</v>
      </c>
      <c r="BJ66" s="1">
        <f>+'Sys INPUT'!BJ64</f>
        <v>0</v>
      </c>
      <c r="BK66" s="1">
        <f>+'Sys INPUT'!BK64</f>
        <v>0</v>
      </c>
      <c r="BL66" s="1">
        <f>+'Sys INPUT'!BL64</f>
        <v>0</v>
      </c>
      <c r="BM66" s="1">
        <f>+'Sys INPUT'!BM64</f>
        <v>0</v>
      </c>
      <c r="BN66" s="1">
        <f>+'Sys INPUT'!BN64</f>
        <v>0</v>
      </c>
      <c r="BO66" s="1"/>
      <c r="BP66" s="1">
        <f>SUM(BH66:BN66)</f>
        <v>0</v>
      </c>
      <c r="BQ66" s="1"/>
      <c r="BR66" s="1">
        <f>+'Sys INPUT'!BR64</f>
        <v>0</v>
      </c>
      <c r="BS66" s="1">
        <f>+'Sys INPUT'!BS64</f>
        <v>0</v>
      </c>
      <c r="BT66" s="1">
        <f>+'Sys INPUT'!BT64</f>
        <v>0</v>
      </c>
      <c r="BU66" s="1">
        <f>+'Sys INPUT'!BU64</f>
        <v>0</v>
      </c>
      <c r="BV66" s="1">
        <f>+'Sys INPUT'!BV64</f>
        <v>0</v>
      </c>
      <c r="BW66" s="1">
        <f>+'Sys INPUT'!BW64</f>
        <v>0</v>
      </c>
      <c r="BX66" s="3"/>
      <c r="BY66" s="1">
        <f>SUM(BR66:BX66)</f>
        <v>0</v>
      </c>
      <c r="BZ66" s="1">
        <f t="shared" si="57"/>
        <v>0</v>
      </c>
      <c r="CA66" s="1"/>
      <c r="CB66" s="1"/>
      <c r="CC66" s="655">
        <f>0+0</f>
        <v>0</v>
      </c>
      <c r="CD66" s="1"/>
      <c r="CE66" s="1"/>
      <c r="CF66" s="1"/>
      <c r="CG66" s="655">
        <f>0+0</f>
        <v>0</v>
      </c>
      <c r="CH66" s="1"/>
      <c r="CI66" s="1"/>
      <c r="CJ66" s="1">
        <f>SUM(CB66:CI66)</f>
        <v>0</v>
      </c>
      <c r="CK66" s="1"/>
      <c r="CL66" s="1"/>
      <c r="CM66" s="1"/>
      <c r="CN66" s="1"/>
      <c r="CO66" s="1"/>
      <c r="CP66" s="1">
        <v>0</v>
      </c>
      <c r="CQ66" s="1"/>
      <c r="CR66" s="1"/>
      <c r="CS66" s="1"/>
      <c r="CT66" s="5"/>
      <c r="CU66" s="1">
        <f>SUM(CL66:CT66)</f>
        <v>0</v>
      </c>
      <c r="CW66" s="1">
        <f>+'Sys INPUT'!CW64</f>
        <v>0</v>
      </c>
      <c r="CX66" s="1">
        <f>+'Sys INPUT'!CX64</f>
        <v>0</v>
      </c>
      <c r="CY66" s="1">
        <f>+'Sys INPUT'!CY64</f>
        <v>0</v>
      </c>
      <c r="CZ66" s="1">
        <f>+'Sys INPUT'!CZ64</f>
        <v>0</v>
      </c>
      <c r="DA66" s="1">
        <f>+'Sys INPUT'!DA64</f>
        <v>0</v>
      </c>
      <c r="DB66" s="1">
        <f>+'Sys INPUT'!DB64</f>
        <v>0</v>
      </c>
      <c r="DC66" s="1">
        <f>+'Sys INPUT'!DC64</f>
        <v>0</v>
      </c>
      <c r="DD66" s="1">
        <f>+'Sys INPUT'!DD64</f>
        <v>0</v>
      </c>
      <c r="DE66" s="1">
        <f>+'Sys INPUT'!DE64</f>
        <v>0</v>
      </c>
      <c r="DF66" s="1">
        <f>+'Sys INPUT'!DF64</f>
        <v>0</v>
      </c>
      <c r="DG66" s="1">
        <f>+'Sys INPUT'!DG64</f>
        <v>0</v>
      </c>
      <c r="DH66" s="1">
        <f>+'Sys INPUT'!DH64</f>
        <v>0</v>
      </c>
      <c r="DI66" s="1">
        <f>+'Sys INPUT'!DI64</f>
        <v>0</v>
      </c>
      <c r="DJ66" s="1">
        <f>+'Sys INPUT'!DJ64</f>
        <v>0</v>
      </c>
      <c r="DK66" s="1">
        <f>+'Sys INPUT'!DK64</f>
        <v>0</v>
      </c>
      <c r="DL66" s="1">
        <f>+'Sys INPUT'!DL64</f>
        <v>0</v>
      </c>
      <c r="DM66" s="1">
        <f>+'Sys INPUT'!DM64</f>
        <v>0</v>
      </c>
      <c r="DN66" s="1">
        <f>+'Sys INPUT'!DN64</f>
        <v>0</v>
      </c>
      <c r="DO66" s="1">
        <f>+'Sys INPUT'!DO64</f>
        <v>0</v>
      </c>
      <c r="DP66" s="1">
        <f>+'Sys INPUT'!DP64</f>
        <v>0</v>
      </c>
      <c r="DQ66" s="623">
        <v>0</v>
      </c>
      <c r="DR66" s="623">
        <v>0</v>
      </c>
      <c r="DS66" s="1">
        <f>+'Sys INPUT'!DS64</f>
        <v>0</v>
      </c>
      <c r="DT66" s="1">
        <f>+'Sys INPUT'!DT64</f>
        <v>0</v>
      </c>
      <c r="DU66" s="987">
        <v>0</v>
      </c>
      <c r="DW66" s="1">
        <f>+CW66+CY66+DB66+DC66+DD66+DE66+DJ66+DL66+DN66+DQ66+DR66+DS66+DT66</f>
        <v>0</v>
      </c>
      <c r="DX66" s="1"/>
      <c r="DY66" s="1">
        <f>+'Sys INPUT'!DZ64</f>
        <v>0</v>
      </c>
      <c r="DZ66" s="1"/>
      <c r="EB66" s="1"/>
      <c r="EC66" s="1"/>
      <c r="ED66" s="1"/>
      <c r="EE66" s="1"/>
      <c r="EF66" s="1"/>
      <c r="EG66" s="1"/>
      <c r="EL66" s="1">
        <f>+'Sys INPUT'!HT64+'Sys INPUT'!HU64</f>
        <v>0</v>
      </c>
      <c r="EM66" s="42"/>
      <c r="EN66">
        <f t="shared" si="70"/>
        <v>0</v>
      </c>
      <c r="EQ66" s="1">
        <f>+'Sys INPUT'!AF64+'Sys INPUT'!ER64</f>
        <v>0</v>
      </c>
    </row>
    <row r="67" spans="1:147" ht="15.75">
      <c r="A67" s="1"/>
      <c r="B67" s="1" t="s">
        <v>926</v>
      </c>
      <c r="C67" s="1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f>SUM(BH67:BN67)</f>
        <v>0</v>
      </c>
      <c r="BQ67" s="1"/>
      <c r="BR67" s="1"/>
      <c r="BS67" s="1"/>
      <c r="BT67" s="1"/>
      <c r="BU67" s="1"/>
      <c r="BV67" s="1"/>
      <c r="BW67" s="1"/>
      <c r="BX67" s="3"/>
      <c r="BY67" s="1"/>
      <c r="BZ67" s="1">
        <f t="shared" si="57"/>
        <v>0</v>
      </c>
      <c r="CA67" s="1"/>
      <c r="CB67" s="1"/>
      <c r="CC67" s="1"/>
      <c r="CD67" s="1"/>
      <c r="CE67" s="1"/>
      <c r="CF67" s="1"/>
      <c r="CG67" s="1"/>
      <c r="CH67" s="1"/>
      <c r="CI67" s="1"/>
      <c r="CJ67" s="1">
        <f>SUM(CB67:CI67)</f>
        <v>0</v>
      </c>
      <c r="CK67" s="1"/>
      <c r="CL67" s="1"/>
      <c r="CM67" s="1"/>
      <c r="CN67" s="1"/>
      <c r="CO67" s="1"/>
      <c r="CP67" s="1"/>
      <c r="CQ67" s="1"/>
      <c r="CR67" s="1"/>
      <c r="CS67" s="1"/>
      <c r="CT67" s="5"/>
      <c r="CU67" s="1"/>
      <c r="CW67" s="1"/>
      <c r="CX67" s="1"/>
      <c r="CY67" s="1"/>
      <c r="CZ67" s="1"/>
      <c r="DA67" s="1"/>
      <c r="DB67" s="1"/>
      <c r="DC67" s="1"/>
      <c r="DD67" s="1"/>
      <c r="DE67" s="1"/>
      <c r="DF67" s="1"/>
      <c r="DG67" s="1"/>
      <c r="DH67" s="1"/>
      <c r="DI67" s="1"/>
      <c r="DJ67" s="1"/>
      <c r="DK67" s="1"/>
      <c r="DL67" s="1"/>
      <c r="DM67" s="1"/>
      <c r="DN67" s="1"/>
      <c r="DO67" s="1"/>
      <c r="DP67" s="1"/>
      <c r="DQ67" s="1"/>
      <c r="DR67" s="1"/>
      <c r="DS67" s="1"/>
      <c r="DT67" s="1"/>
      <c r="DW67" s="1"/>
      <c r="DX67" s="1"/>
      <c r="DY67" s="1"/>
      <c r="DZ67" s="1"/>
      <c r="EB67" s="1"/>
      <c r="EC67" s="1"/>
      <c r="ED67" s="1"/>
      <c r="EE67" s="1"/>
      <c r="EF67" s="1"/>
      <c r="EG67" s="1"/>
      <c r="EL67" s="1"/>
      <c r="EM67" s="1"/>
      <c r="EN67">
        <f t="shared" si="70"/>
        <v>0</v>
      </c>
      <c r="EQ67" s="1"/>
    </row>
    <row r="68" spans="1:147" ht="15.75">
      <c r="A68" s="1"/>
      <c r="B68" s="1"/>
      <c r="C68" s="1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3"/>
      <c r="BY68" s="1"/>
      <c r="BZ68" s="1">
        <f t="shared" si="57"/>
        <v>0</v>
      </c>
      <c r="CA68" s="1"/>
      <c r="CB68" s="1"/>
      <c r="CC68" s="1"/>
      <c r="CD68" s="1"/>
      <c r="CE68" s="1"/>
      <c r="CF68" s="1"/>
      <c r="CG68" s="1"/>
      <c r="CH68" s="1"/>
      <c r="CI68" s="1"/>
      <c r="CJ68" s="1"/>
      <c r="CK68" s="1"/>
      <c r="CL68" s="1"/>
      <c r="CM68" s="1"/>
      <c r="CN68" s="1"/>
      <c r="CO68" s="1"/>
      <c r="CP68" s="1"/>
      <c r="CQ68" s="1"/>
      <c r="CR68" s="1"/>
      <c r="CS68" s="1"/>
      <c r="CT68" s="5"/>
      <c r="CU68" s="1"/>
      <c r="CW68" s="1"/>
      <c r="CX68" s="1"/>
      <c r="CY68" s="1"/>
      <c r="CZ68" s="1"/>
      <c r="DA68" s="1"/>
      <c r="DB68" s="1"/>
      <c r="DC68" s="1"/>
      <c r="DD68" s="1"/>
      <c r="DE68" s="1"/>
      <c r="DF68" s="1"/>
      <c r="DG68" s="1"/>
      <c r="DH68" s="1"/>
      <c r="DI68" s="1"/>
      <c r="DJ68" s="1"/>
      <c r="DK68" s="1"/>
      <c r="DL68" s="1"/>
      <c r="DM68" s="1"/>
      <c r="DN68" s="1"/>
      <c r="DO68" s="1"/>
      <c r="DP68" s="1"/>
      <c r="DQ68" s="1"/>
      <c r="DR68" s="1"/>
      <c r="DS68" s="1"/>
      <c r="DT68" s="1"/>
      <c r="DW68" s="1"/>
      <c r="DX68" s="1"/>
      <c r="DY68" s="1"/>
      <c r="DZ68" s="1"/>
      <c r="EB68" s="1"/>
      <c r="EC68" s="1"/>
      <c r="ED68" s="1"/>
      <c r="EE68" s="1"/>
      <c r="EF68" s="1"/>
      <c r="EG68" s="1"/>
      <c r="EL68" s="1"/>
      <c r="EM68" s="1"/>
      <c r="EN68">
        <f t="shared" si="70"/>
        <v>0</v>
      </c>
      <c r="EQ68" s="1"/>
    </row>
    <row r="69" spans="1:147" ht="15.75">
      <c r="A69" s="1"/>
      <c r="B69" s="89" t="s">
        <v>1681</v>
      </c>
      <c r="C69" s="11"/>
      <c r="D69" s="1">
        <f t="shared" ref="D69:J69" si="91">SUM(D63+D65+D66)</f>
        <v>7452016</v>
      </c>
      <c r="E69" s="1">
        <f t="shared" si="91"/>
        <v>330187</v>
      </c>
      <c r="F69" s="1">
        <f t="shared" si="91"/>
        <v>5631</v>
      </c>
      <c r="G69" s="1">
        <f t="shared" si="91"/>
        <v>-13234</v>
      </c>
      <c r="H69" s="1">
        <f t="shared" si="91"/>
        <v>305110</v>
      </c>
      <c r="I69" s="1">
        <f t="shared" si="91"/>
        <v>4500</v>
      </c>
      <c r="J69" s="1">
        <f t="shared" si="91"/>
        <v>1970166</v>
      </c>
      <c r="K69" s="1">
        <f t="shared" ref="K69:P69" si="92">SUM(K63+K65+K66)</f>
        <v>74</v>
      </c>
      <c r="L69" s="1">
        <f t="shared" si="92"/>
        <v>8485</v>
      </c>
      <c r="M69" s="1">
        <f t="shared" si="92"/>
        <v>529000</v>
      </c>
      <c r="N69" s="1">
        <f t="shared" si="92"/>
        <v>86030</v>
      </c>
      <c r="O69" s="1">
        <f t="shared" si="92"/>
        <v>48826</v>
      </c>
      <c r="P69" s="1">
        <f t="shared" si="92"/>
        <v>0</v>
      </c>
      <c r="Q69" s="1">
        <f t="shared" ref="Q69:X69" si="93">SUM(Q63+Q65+Q66)</f>
        <v>198091</v>
      </c>
      <c r="R69" s="1">
        <f t="shared" si="93"/>
        <v>347266</v>
      </c>
      <c r="S69" s="1">
        <f t="shared" si="93"/>
        <v>1157672</v>
      </c>
      <c r="T69" s="1">
        <f t="shared" si="93"/>
        <v>289</v>
      </c>
      <c r="U69" s="1">
        <f t="shared" si="93"/>
        <v>666764</v>
      </c>
      <c r="V69" s="1">
        <f t="shared" si="93"/>
        <v>142</v>
      </c>
      <c r="W69" s="1">
        <f t="shared" si="93"/>
        <v>253822</v>
      </c>
      <c r="X69" s="1">
        <f t="shared" si="93"/>
        <v>3347149</v>
      </c>
      <c r="Y69" s="1">
        <f>SUM(Y63+Y65+Y66)</f>
        <v>-4554</v>
      </c>
      <c r="Z69" s="1">
        <f t="shared" ref="Z69:AS69" si="94">SUM(Z63+Z65+Z66)</f>
        <v>54037</v>
      </c>
      <c r="AA69" s="1">
        <f t="shared" si="94"/>
        <v>138674</v>
      </c>
      <c r="AB69" s="1">
        <f>SUM(AB63+AB65+AB66)</f>
        <v>1317706</v>
      </c>
      <c r="AC69" s="1">
        <f t="shared" si="94"/>
        <v>195203</v>
      </c>
      <c r="AD69" s="1">
        <f t="shared" si="94"/>
        <v>19792</v>
      </c>
      <c r="AE69" s="1">
        <f t="shared" si="94"/>
        <v>77193</v>
      </c>
      <c r="AF69" s="1">
        <f t="shared" si="94"/>
        <v>21108</v>
      </c>
      <c r="AG69" s="1">
        <f t="shared" si="94"/>
        <v>476992</v>
      </c>
      <c r="AH69" s="1">
        <f t="shared" si="94"/>
        <v>347620</v>
      </c>
      <c r="AI69" s="1">
        <f t="shared" si="94"/>
        <v>45849</v>
      </c>
      <c r="AJ69" s="1">
        <f t="shared" si="94"/>
        <v>60394</v>
      </c>
      <c r="AK69" s="1">
        <f t="shared" si="94"/>
        <v>25</v>
      </c>
      <c r="AL69" s="1">
        <f t="shared" ref="AL69:AQ69" si="95">SUM(AL63+AL65+AL66)</f>
        <v>52789</v>
      </c>
      <c r="AM69" s="1">
        <f t="shared" si="95"/>
        <v>58393</v>
      </c>
      <c r="AN69" s="1">
        <f t="shared" si="95"/>
        <v>193845</v>
      </c>
      <c r="AO69" s="1">
        <f t="shared" si="95"/>
        <v>0</v>
      </c>
      <c r="AP69" s="1">
        <f t="shared" si="95"/>
        <v>414553</v>
      </c>
      <c r="AQ69" s="1">
        <f t="shared" si="95"/>
        <v>696878</v>
      </c>
      <c r="AR69" s="1">
        <f t="shared" si="94"/>
        <v>47367</v>
      </c>
      <c r="AS69" s="1">
        <f t="shared" si="94"/>
        <v>67703</v>
      </c>
      <c r="AT69" s="1">
        <f>SUM(AT63+AT65+AT66)</f>
        <v>560220</v>
      </c>
      <c r="AU69" s="1">
        <f t="shared" ref="AU69:AZ69" si="96">SUM(AU63+AU65+AU66)</f>
        <v>-7069</v>
      </c>
      <c r="AV69" s="1">
        <f t="shared" si="96"/>
        <v>0</v>
      </c>
      <c r="AW69" s="1"/>
      <c r="AX69" s="1">
        <f>SUM(AX63+AX65+AX66)</f>
        <v>-62728</v>
      </c>
      <c r="AY69" s="1">
        <f t="shared" si="96"/>
        <v>0</v>
      </c>
      <c r="AZ69" s="1">
        <f t="shared" si="96"/>
        <v>34313</v>
      </c>
      <c r="BA69" s="1">
        <f>SUM(BA63+BA65+BA66)</f>
        <v>-25945</v>
      </c>
      <c r="BB69" s="1">
        <f>SUM(BB63+BB65+BB66)</f>
        <v>3805186</v>
      </c>
      <c r="BC69" s="1">
        <f>SUM(BC63+BC65+BC66)</f>
        <v>6043255</v>
      </c>
      <c r="BD69" s="1">
        <f>SUM(BD63+BD65+BD66)</f>
        <v>363764</v>
      </c>
      <c r="BE69" s="1"/>
      <c r="BF69" s="1">
        <f t="shared" ref="BF69:BN69" si="97">SUM(BF63+BF65+BF66)</f>
        <v>24238533</v>
      </c>
      <c r="BG69" s="1"/>
      <c r="BH69" s="1">
        <f t="shared" si="97"/>
        <v>0</v>
      </c>
      <c r="BI69" s="1">
        <f>SUM(BI63+BI65+BI66)</f>
        <v>46955</v>
      </c>
      <c r="BJ69" s="1">
        <f t="shared" si="97"/>
        <v>0</v>
      </c>
      <c r="BK69" s="1">
        <f t="shared" si="97"/>
        <v>366520</v>
      </c>
      <c r="BL69" s="1">
        <f>SUM(BL63+BL65+BL66)</f>
        <v>59194</v>
      </c>
      <c r="BM69" s="1">
        <f>SUM(BM63+BM65+BM66)</f>
        <v>4817</v>
      </c>
      <c r="BN69" s="1">
        <f t="shared" si="97"/>
        <v>94782</v>
      </c>
      <c r="BO69" s="1"/>
      <c r="BP69" s="1">
        <f t="shared" ref="BP69:BU69" si="98">SUM(BP63+BP65+BP66)</f>
        <v>572268</v>
      </c>
      <c r="BQ69" s="1"/>
      <c r="BR69" s="1">
        <f t="shared" si="98"/>
        <v>15525227</v>
      </c>
      <c r="BS69" s="1">
        <f t="shared" si="98"/>
        <v>0</v>
      </c>
      <c r="BT69" s="1">
        <f t="shared" si="98"/>
        <v>-15316</v>
      </c>
      <c r="BU69" s="1">
        <f t="shared" si="98"/>
        <v>0</v>
      </c>
      <c r="BV69" s="1">
        <f>SUM(BV63+BV65+BV66)</f>
        <v>46164</v>
      </c>
      <c r="BW69" s="1">
        <f>SUM(BW63+BW65+BW66)</f>
        <v>1562109</v>
      </c>
      <c r="BX69" s="3"/>
      <c r="BY69" s="1">
        <f>SUM(BY63+BY65+BY66)</f>
        <v>17118184</v>
      </c>
      <c r="BZ69" s="1">
        <f t="shared" si="57"/>
        <v>1592957</v>
      </c>
      <c r="CA69" s="1"/>
      <c r="CB69" s="1"/>
      <c r="CC69" s="1">
        <f>SUM(CC63+CC65+CC66)</f>
        <v>7911118</v>
      </c>
      <c r="CD69" s="1">
        <f t="shared" ref="CD69:CH69" si="99">SUM(CD63+CD65+CD66)</f>
        <v>27237</v>
      </c>
      <c r="CE69" s="1">
        <f t="shared" si="99"/>
        <v>219141</v>
      </c>
      <c r="CF69" s="1">
        <f t="shared" si="99"/>
        <v>1274390</v>
      </c>
      <c r="CG69" s="1">
        <f t="shared" si="99"/>
        <v>6919318</v>
      </c>
      <c r="CH69" s="1">
        <f t="shared" si="99"/>
        <v>106766</v>
      </c>
      <c r="CI69" s="1"/>
      <c r="CJ69" s="1">
        <f>SUM(CJ63+CJ64+CJ65+CJ66)</f>
        <v>16457970</v>
      </c>
      <c r="CK69" s="1"/>
      <c r="CL69" s="1">
        <f t="shared" ref="CL69:CR69" si="100">SUM(CL63+CL65+CL66)</f>
        <v>1690256</v>
      </c>
      <c r="CM69" s="1">
        <f t="shared" si="100"/>
        <v>967631</v>
      </c>
      <c r="CN69" s="1">
        <f t="shared" si="100"/>
        <v>487067</v>
      </c>
      <c r="CO69" s="1">
        <f t="shared" si="100"/>
        <v>110597</v>
      </c>
      <c r="CP69" s="1">
        <f t="shared" si="100"/>
        <v>977590</v>
      </c>
      <c r="CQ69" s="1">
        <f t="shared" si="100"/>
        <v>1029952</v>
      </c>
      <c r="CR69" s="1">
        <f t="shared" si="100"/>
        <v>537797</v>
      </c>
      <c r="CS69" s="1"/>
      <c r="CT69" s="5"/>
      <c r="CU69" s="1">
        <f>SUM(CU63+CU65+CU66)</f>
        <v>5800890</v>
      </c>
      <c r="CW69" s="1">
        <f>SUM(CW63+CW65+CW66)</f>
        <v>3525155</v>
      </c>
      <c r="CX69" s="1">
        <f t="shared" ref="CX69:DT69" si="101">SUM(CX63+CX65+CX66)</f>
        <v>0</v>
      </c>
      <c r="CY69" s="1">
        <f t="shared" si="101"/>
        <v>45744</v>
      </c>
      <c r="CZ69" s="1">
        <f t="shared" si="101"/>
        <v>0</v>
      </c>
      <c r="DA69" s="1">
        <f t="shared" si="101"/>
        <v>0</v>
      </c>
      <c r="DB69" s="1">
        <f t="shared" si="101"/>
        <v>51062</v>
      </c>
      <c r="DC69" s="1">
        <f t="shared" si="101"/>
        <v>24147</v>
      </c>
      <c r="DD69" s="1">
        <f t="shared" si="101"/>
        <v>0</v>
      </c>
      <c r="DE69" s="1">
        <f t="shared" si="101"/>
        <v>6491</v>
      </c>
      <c r="DF69" s="1">
        <f t="shared" si="101"/>
        <v>0</v>
      </c>
      <c r="DG69" s="1">
        <f t="shared" si="101"/>
        <v>52918</v>
      </c>
      <c r="DH69" s="1">
        <f t="shared" si="101"/>
        <v>0</v>
      </c>
      <c r="DI69" s="1">
        <f t="shared" si="101"/>
        <v>0</v>
      </c>
      <c r="DJ69" s="1">
        <f t="shared" si="101"/>
        <v>296099</v>
      </c>
      <c r="DK69" s="1">
        <f t="shared" si="101"/>
        <v>0</v>
      </c>
      <c r="DL69" s="1">
        <f t="shared" si="101"/>
        <v>900616</v>
      </c>
      <c r="DM69" s="1">
        <f t="shared" si="101"/>
        <v>0</v>
      </c>
      <c r="DN69" s="1">
        <f t="shared" si="101"/>
        <v>114684</v>
      </c>
      <c r="DO69" s="1">
        <f t="shared" si="101"/>
        <v>0</v>
      </c>
      <c r="DP69" s="1">
        <f t="shared" si="101"/>
        <v>10797</v>
      </c>
      <c r="DQ69" s="1">
        <f t="shared" si="101"/>
        <v>5959717</v>
      </c>
      <c r="DR69" s="1">
        <f t="shared" si="101"/>
        <v>45617380</v>
      </c>
      <c r="DS69" s="1">
        <f t="shared" si="101"/>
        <v>1844575</v>
      </c>
      <c r="DT69" s="1">
        <f t="shared" si="101"/>
        <v>1298552</v>
      </c>
      <c r="DW69" s="1">
        <f t="shared" ref="DW69:EB69" si="102">SUM(DW63+DW65+DW66)</f>
        <v>59684222</v>
      </c>
      <c r="DX69" s="1"/>
      <c r="DY69" s="1">
        <f t="shared" si="102"/>
        <v>96052</v>
      </c>
      <c r="DZ69" s="1"/>
      <c r="EB69" s="1">
        <f t="shared" si="102"/>
        <v>0</v>
      </c>
      <c r="EC69" s="1"/>
      <c r="ED69" s="1"/>
      <c r="EE69" s="1"/>
      <c r="EF69" s="1">
        <f>SUM(EF63+EF65+EF66)</f>
        <v>357491</v>
      </c>
      <c r="EG69" s="1"/>
      <c r="EL69" s="1">
        <f>SUM(EL63+EL65+EL66)</f>
        <v>0</v>
      </c>
      <c r="EM69" s="1">
        <f>SUM(EM63+EM65+EM66)</f>
        <v>0</v>
      </c>
      <c r="EN69">
        <f t="shared" si="70"/>
        <v>116239594</v>
      </c>
      <c r="EQ69" s="1">
        <f>SUM(EQ63+EQ65+EQ66)</f>
        <v>21108</v>
      </c>
    </row>
    <row r="70" spans="1:147" ht="15.75">
      <c r="A70" s="1"/>
      <c r="B70" s="89" t="s">
        <v>1680</v>
      </c>
      <c r="C70" s="1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f>SUM(BH70:BN70)</f>
        <v>0</v>
      </c>
      <c r="BQ70" s="1"/>
      <c r="BR70" s="1"/>
      <c r="BS70" s="1"/>
      <c r="BT70" s="1"/>
      <c r="BU70" s="1"/>
      <c r="BV70" s="1"/>
      <c r="BW70" s="1"/>
      <c r="BX70" s="3"/>
      <c r="BY70" s="1"/>
      <c r="BZ70" s="1">
        <f t="shared" si="57"/>
        <v>0</v>
      </c>
      <c r="CA70" s="1"/>
      <c r="CB70" s="1"/>
      <c r="CC70" s="1"/>
      <c r="CD70" s="1"/>
      <c r="CE70" s="1"/>
      <c r="CF70" s="1"/>
      <c r="CG70" s="1"/>
      <c r="CH70" s="1"/>
      <c r="CI70" s="1"/>
      <c r="CJ70" s="1"/>
      <c r="CK70" s="1"/>
      <c r="CL70" s="1"/>
      <c r="CM70" s="1"/>
      <c r="CN70" s="1"/>
      <c r="CO70" s="1"/>
      <c r="CP70" s="1"/>
      <c r="CQ70" s="1"/>
      <c r="CR70" s="1"/>
      <c r="CS70" s="1"/>
      <c r="CT70" s="5"/>
      <c r="CU70" s="1"/>
      <c r="CW70" s="1"/>
      <c r="CX70" s="1"/>
      <c r="CY70" s="1"/>
      <c r="CZ70" s="1"/>
      <c r="DA70" s="1"/>
      <c r="DB70" s="1"/>
      <c r="DC70" s="1"/>
      <c r="DD70" s="1"/>
      <c r="DE70" s="1"/>
      <c r="DF70" s="1"/>
      <c r="DG70" s="1"/>
      <c r="DH70" s="1"/>
      <c r="DI70" s="1"/>
      <c r="DJ70" s="1"/>
      <c r="DK70" s="1"/>
      <c r="DL70" s="1"/>
      <c r="DM70" s="1"/>
      <c r="DN70" s="1"/>
      <c r="DO70" s="1"/>
      <c r="DP70" s="1"/>
      <c r="DQ70" s="1"/>
      <c r="DR70" s="1"/>
      <c r="DS70" s="1"/>
      <c r="DT70" s="1"/>
      <c r="DW70" s="1"/>
      <c r="DX70" s="1"/>
      <c r="DY70" s="1"/>
      <c r="DZ70" s="1"/>
      <c r="EB70" s="1"/>
      <c r="EC70" s="1"/>
      <c r="ED70" s="1"/>
      <c r="EE70" s="1"/>
      <c r="EF70" s="1"/>
      <c r="EG70" s="1"/>
      <c r="EL70" s="1"/>
      <c r="EM70" s="1"/>
      <c r="EN70">
        <f t="shared" si="70"/>
        <v>0</v>
      </c>
      <c r="EQ70" s="1"/>
    </row>
    <row r="71" spans="1:147" ht="15.75">
      <c r="A71" s="1"/>
      <c r="B71" s="1" t="s">
        <v>347</v>
      </c>
      <c r="C71" s="11"/>
      <c r="D71" s="1">
        <f>+'Sys INPUT'!D69</f>
        <v>0</v>
      </c>
      <c r="E71" s="1">
        <f>+'Sys INPUT'!E69</f>
        <v>0</v>
      </c>
      <c r="F71" s="1">
        <f>+'Sys INPUT'!F69</f>
        <v>0</v>
      </c>
      <c r="G71" s="1">
        <f>+'Sys INPUT'!G69</f>
        <v>0</v>
      </c>
      <c r="H71" s="1">
        <f>+'Sys INPUT'!H69</f>
        <v>0</v>
      </c>
      <c r="I71" s="1">
        <f>+'Sys INPUT'!I69</f>
        <v>0</v>
      </c>
      <c r="J71" s="1">
        <f>+'Sys INPUT'!J69</f>
        <v>0</v>
      </c>
      <c r="K71" s="1">
        <f>+'Sys INPUT'!K69</f>
        <v>0</v>
      </c>
      <c r="L71" s="1">
        <f>+'Sys INPUT'!L69</f>
        <v>0</v>
      </c>
      <c r="M71" s="1">
        <f>+'Sys INPUT'!M69</f>
        <v>0</v>
      </c>
      <c r="N71" s="1">
        <f>+'Sys INPUT'!N69</f>
        <v>0</v>
      </c>
      <c r="O71" s="1">
        <f>+'Sys INPUT'!O69</f>
        <v>0</v>
      </c>
      <c r="P71" s="1">
        <f>+'Sys INPUT'!P69</f>
        <v>0</v>
      </c>
      <c r="Q71" s="1">
        <f>+'Sys INPUT'!Q69</f>
        <v>0</v>
      </c>
      <c r="R71" s="1">
        <f>+'Sys INPUT'!R69</f>
        <v>0</v>
      </c>
      <c r="S71" s="1">
        <f>+'Sys INPUT'!S69</f>
        <v>0</v>
      </c>
      <c r="T71" s="1">
        <f>+'Sys INPUT'!T69</f>
        <v>0</v>
      </c>
      <c r="U71" s="1">
        <f>+'Sys INPUT'!U69</f>
        <v>0</v>
      </c>
      <c r="V71" s="1">
        <f>+'Sys INPUT'!V69</f>
        <v>0</v>
      </c>
      <c r="W71" s="1">
        <f>+'Sys INPUT'!W69</f>
        <v>0</v>
      </c>
      <c r="X71" s="1">
        <f>+'Sys INPUT'!X69</f>
        <v>0</v>
      </c>
      <c r="Y71" s="1">
        <f>+'Sys INPUT'!Y69</f>
        <v>0</v>
      </c>
      <c r="Z71" s="1">
        <f>+'Sys INPUT'!Z69</f>
        <v>0</v>
      </c>
      <c r="AA71" s="1">
        <f>+'Sys INPUT'!AA69</f>
        <v>0</v>
      </c>
      <c r="AB71" s="1">
        <f>+'Sys INPUT'!AB69</f>
        <v>0</v>
      </c>
      <c r="AC71" s="1">
        <f>+'Sys INPUT'!AC69</f>
        <v>0</v>
      </c>
      <c r="AD71" s="1">
        <f>+'Sys INPUT'!AD69</f>
        <v>0</v>
      </c>
      <c r="AE71" s="1">
        <f>+'Sys INPUT'!AE69</f>
        <v>0</v>
      </c>
      <c r="AF71" s="1">
        <f>+'Sys INPUT'!AF69</f>
        <v>0</v>
      </c>
      <c r="AG71" s="1">
        <f>+'Sys INPUT'!AG69</f>
        <v>0</v>
      </c>
      <c r="AH71" s="1">
        <f>+'Sys INPUT'!AH69</f>
        <v>0</v>
      </c>
      <c r="AI71" s="1">
        <f>+'Sys INPUT'!AI69</f>
        <v>0</v>
      </c>
      <c r="AJ71" s="1">
        <f>+'Sys INPUT'!AJ69</f>
        <v>0</v>
      </c>
      <c r="AK71" s="1"/>
      <c r="AL71" s="1"/>
      <c r="AM71" s="1"/>
      <c r="AN71" s="1"/>
      <c r="AO71" s="1"/>
      <c r="AP71" s="1"/>
      <c r="AQ71" s="1"/>
      <c r="AR71" s="1">
        <f>+'Sys INPUT'!AR69</f>
        <v>0</v>
      </c>
      <c r="AS71" s="1">
        <f>+'Sys INPUT'!AS69</f>
        <v>0</v>
      </c>
      <c r="AT71" s="1">
        <f>+'Sys INPUT'!AT69</f>
        <v>0</v>
      </c>
      <c r="AU71" s="1">
        <f>+'Sys INPUT'!AU69</f>
        <v>0</v>
      </c>
      <c r="AV71" s="1">
        <f>+'Sys INPUT'!AV69</f>
        <v>0</v>
      </c>
      <c r="AW71" s="1"/>
      <c r="AX71" s="1">
        <f>+'Sys INPUT'!AX69</f>
        <v>0</v>
      </c>
      <c r="AY71" s="1">
        <f>+'Sys INPUT'!AY69</f>
        <v>0</v>
      </c>
      <c r="AZ71" s="1">
        <f>+'Sys INPUT'!AZ69</f>
        <v>0</v>
      </c>
      <c r="BA71" s="1">
        <f>+'Sys INPUT'!BA69</f>
        <v>0</v>
      </c>
      <c r="BB71" s="1">
        <f>+'Sys INPUT'!BB69</f>
        <v>0</v>
      </c>
      <c r="BC71" s="1">
        <f>+'Sys INPUT'!BC69</f>
        <v>0</v>
      </c>
      <c r="BD71" s="1"/>
      <c r="BE71" s="1"/>
      <c r="BF71" s="1">
        <f>SUM(E71:BE71)</f>
        <v>0</v>
      </c>
      <c r="BG71" s="1"/>
      <c r="BH71" s="1">
        <f>+'Sys INPUT'!BH69</f>
        <v>0</v>
      </c>
      <c r="BI71" s="1">
        <f>+'Sys INPUT'!BI69</f>
        <v>0</v>
      </c>
      <c r="BJ71" s="1">
        <f>+'Sys INPUT'!BJ69</f>
        <v>0</v>
      </c>
      <c r="BK71" s="1">
        <f>+'Sys INPUT'!BK69</f>
        <v>0</v>
      </c>
      <c r="BL71" s="1">
        <f>+'Sys INPUT'!BL69</f>
        <v>0</v>
      </c>
      <c r="BM71" s="1">
        <f>+'Sys INPUT'!BM69</f>
        <v>0</v>
      </c>
      <c r="BN71" s="1">
        <f>+'Sys INPUT'!BN69</f>
        <v>0</v>
      </c>
      <c r="BO71" s="1"/>
      <c r="BP71" s="1">
        <f>SUM(BH71:BN71)</f>
        <v>0</v>
      </c>
      <c r="BQ71" s="1"/>
      <c r="BR71" s="1">
        <f>+'Sys INPUT'!BR69</f>
        <v>0</v>
      </c>
      <c r="BS71" s="1">
        <f>+'Sys INPUT'!BS69</f>
        <v>0</v>
      </c>
      <c r="BT71" s="1">
        <f>+'Sys INPUT'!BT69</f>
        <v>0</v>
      </c>
      <c r="BU71" s="1">
        <f>+'Sys INPUT'!BU69</f>
        <v>0</v>
      </c>
      <c r="BV71" s="1">
        <f>+'Sys INPUT'!BV69</f>
        <v>0</v>
      </c>
      <c r="BW71" s="1">
        <f>+'Sys INPUT'!BW69</f>
        <v>0</v>
      </c>
      <c r="BX71" s="3"/>
      <c r="BY71" s="1">
        <f>SUM(BR71:BX71)</f>
        <v>0</v>
      </c>
      <c r="BZ71" s="1">
        <f t="shared" si="57"/>
        <v>0</v>
      </c>
      <c r="CA71" s="1"/>
      <c r="CB71" s="1"/>
      <c r="CC71" s="1"/>
      <c r="CD71" s="1"/>
      <c r="CE71" s="1"/>
      <c r="CF71" s="1"/>
      <c r="CG71" s="1"/>
      <c r="CH71" s="1"/>
      <c r="CI71" s="1"/>
      <c r="CJ71" s="1">
        <f>SUM(CB71:CI71)</f>
        <v>0</v>
      </c>
      <c r="CK71" s="1"/>
      <c r="CL71" s="1">
        <f>+'Sys INPUT'!FL69</f>
        <v>0</v>
      </c>
      <c r="CM71" s="1">
        <f>+'Sys INPUT'!CN69</f>
        <v>0</v>
      </c>
      <c r="CN71" s="1">
        <f>+'Sys INPUT'!CN69</f>
        <v>0</v>
      </c>
      <c r="CO71" s="1">
        <f>+'Sys INPUT'!BJ69</f>
        <v>0</v>
      </c>
      <c r="CP71" s="1">
        <f>+'Sys INPUT'!FU69</f>
        <v>0</v>
      </c>
      <c r="CQ71" s="1">
        <f>+'Sys INPUT'!FV69</f>
        <v>0</v>
      </c>
      <c r="CR71" s="1">
        <f>+'Sys INPUT'!FW69</f>
        <v>0</v>
      </c>
      <c r="CS71" s="1"/>
      <c r="CT71" s="5"/>
      <c r="CU71" s="1">
        <f>SUM(CL71:CT71)</f>
        <v>0</v>
      </c>
      <c r="CW71" s="1">
        <f>+'Sys INPUT'!CW69</f>
        <v>0</v>
      </c>
      <c r="CX71" s="1">
        <f>+'Sys INPUT'!CX69</f>
        <v>0</v>
      </c>
      <c r="CY71" s="1">
        <f>+'Sys INPUT'!CY69</f>
        <v>0</v>
      </c>
      <c r="CZ71" s="1">
        <f>+'Sys INPUT'!CZ69</f>
        <v>0</v>
      </c>
      <c r="DA71" s="1">
        <f>+'Sys INPUT'!DA69</f>
        <v>0</v>
      </c>
      <c r="DB71" s="1">
        <f>+'Sys INPUT'!DB69</f>
        <v>0</v>
      </c>
      <c r="DC71" s="1">
        <f>+'Sys INPUT'!DC69</f>
        <v>0</v>
      </c>
      <c r="DD71" s="1">
        <f>+'Sys INPUT'!DD69</f>
        <v>0</v>
      </c>
      <c r="DE71" s="1">
        <f>+'Sys INPUT'!DE69</f>
        <v>0</v>
      </c>
      <c r="DF71" s="1">
        <f>+'Sys INPUT'!DF69</f>
        <v>0</v>
      </c>
      <c r="DG71" s="1">
        <f>+'Sys INPUT'!DG69</f>
        <v>0</v>
      </c>
      <c r="DH71" s="1">
        <f>+'Sys INPUT'!DH69</f>
        <v>0</v>
      </c>
      <c r="DI71" s="1">
        <f>+'Sys INPUT'!DI69</f>
        <v>0</v>
      </c>
      <c r="DJ71" s="1">
        <f>+'Sys INPUT'!DJ69</f>
        <v>0</v>
      </c>
      <c r="DK71" s="1">
        <f>+'Sys INPUT'!DK69</f>
        <v>0</v>
      </c>
      <c r="DL71" s="1">
        <f>+'Sys INPUT'!DL69</f>
        <v>0</v>
      </c>
      <c r="DM71" s="1">
        <f>+'Sys INPUT'!DM69</f>
        <v>0</v>
      </c>
      <c r="DN71" s="1">
        <f>+'Sys INPUT'!DN69</f>
        <v>0</v>
      </c>
      <c r="DO71" s="1">
        <f>+'Sys INPUT'!DO69</f>
        <v>0</v>
      </c>
      <c r="DP71" s="1">
        <f>+'Sys INPUT'!DP69</f>
        <v>0</v>
      </c>
      <c r="DQ71" s="1">
        <f>+'Sys INPUT'!DQ69</f>
        <v>0</v>
      </c>
      <c r="DR71" s="1">
        <f>+'Sys INPUT'!DR69</f>
        <v>0</v>
      </c>
      <c r="DS71" s="1">
        <f>+'Sys INPUT'!DS69</f>
        <v>0</v>
      </c>
      <c r="DT71" s="1">
        <f>+'Sys INPUT'!DT69</f>
        <v>0</v>
      </c>
      <c r="DW71" s="1">
        <f>+CW71+CY71+DB71+DC71+DD71+DE71+DJ71+DL71+DN71+DQ71+DR71+DS71+DT71</f>
        <v>0</v>
      </c>
      <c r="DX71" s="1"/>
      <c r="DY71" s="1"/>
      <c r="DZ71" s="1"/>
      <c r="EB71" s="1">
        <f>+'Sys INPUT'!HK69</f>
        <v>0</v>
      </c>
      <c r="EC71" s="1"/>
      <c r="ED71" s="1"/>
      <c r="EE71" s="1"/>
      <c r="EF71" s="1">
        <f>+'Sys INPUT'!EG69</f>
        <v>0</v>
      </c>
      <c r="EG71" s="1"/>
      <c r="EI71">
        <f>+D71+BF71+BP71+BY71+CJ71+CU71+ED71</f>
        <v>0</v>
      </c>
      <c r="EL71" s="1">
        <f>+'Sys INPUT'!HT69+'Sys INPUT'!HU69</f>
        <v>0</v>
      </c>
      <c r="EM71" s="1">
        <f>+'Sys INPUT'!HV69</f>
        <v>0</v>
      </c>
      <c r="EN71">
        <f t="shared" si="70"/>
        <v>0</v>
      </c>
      <c r="EQ71" s="1">
        <f>+'Sys INPUT'!AF69+'Sys INPUT'!ER69</f>
        <v>0</v>
      </c>
    </row>
    <row r="72" spans="1:147" ht="15.75">
      <c r="A72" s="1"/>
      <c r="B72" s="1"/>
      <c r="C72" s="1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3"/>
      <c r="BY72" s="1"/>
      <c r="BZ72" s="1">
        <f t="shared" si="57"/>
        <v>0</v>
      </c>
      <c r="CA72" s="1"/>
      <c r="CB72" s="1"/>
      <c r="CC72" s="1"/>
      <c r="CD72" s="1"/>
      <c r="CE72" s="1"/>
      <c r="CF72" s="1"/>
      <c r="CG72" s="1"/>
      <c r="CH72" s="1"/>
      <c r="CI72" s="1"/>
      <c r="CJ72" s="1"/>
      <c r="CK72" s="1"/>
      <c r="CL72" s="1"/>
      <c r="CM72" s="1"/>
      <c r="CN72" s="1"/>
      <c r="CO72" s="1"/>
      <c r="CP72" s="1"/>
      <c r="CQ72" s="1"/>
      <c r="CR72" s="1"/>
      <c r="CS72" s="1"/>
      <c r="CT72" s="5"/>
      <c r="CU72" s="1"/>
      <c r="CW72" s="1"/>
      <c r="CX72" s="1"/>
      <c r="CY72" s="1"/>
      <c r="CZ72" s="1"/>
      <c r="DA72" s="1"/>
      <c r="DB72" s="1"/>
      <c r="DC72" s="1"/>
      <c r="DD72" s="1"/>
      <c r="DE72" s="1"/>
      <c r="DF72" s="1"/>
      <c r="DG72" s="1"/>
      <c r="DH72" s="1"/>
      <c r="DI72" s="1"/>
      <c r="DJ72" s="1"/>
      <c r="DK72" s="1"/>
      <c r="DL72" s="1"/>
      <c r="DM72" s="1"/>
      <c r="DN72" s="1"/>
      <c r="DO72" s="1"/>
      <c r="DP72" s="1"/>
      <c r="DQ72" s="1"/>
      <c r="DR72" s="1"/>
      <c r="DS72" s="1"/>
      <c r="DT72" s="1"/>
      <c r="DW72" s="1"/>
      <c r="DX72" s="1"/>
      <c r="DY72" s="1"/>
      <c r="DZ72" s="1"/>
      <c r="EB72" s="1"/>
      <c r="EC72" s="1"/>
      <c r="ED72" s="1"/>
      <c r="EE72" s="1"/>
      <c r="EF72" s="1"/>
      <c r="EG72" s="1"/>
      <c r="EL72" s="1"/>
      <c r="EM72" s="1"/>
      <c r="EN72">
        <f t="shared" si="70"/>
        <v>0</v>
      </c>
      <c r="EQ72" s="1"/>
    </row>
    <row r="73" spans="1:147" ht="15.75">
      <c r="A73" s="1"/>
      <c r="B73" s="1" t="s">
        <v>1381</v>
      </c>
      <c r="C73" s="11"/>
      <c r="D73" s="1">
        <f>SUM(D61+D69+D71)</f>
        <v>10224732</v>
      </c>
      <c r="E73" s="1">
        <f>SUM(E61+E69+E71)</f>
        <v>-102054</v>
      </c>
      <c r="F73" s="1">
        <f t="shared" ref="F73:O73" si="103">SUM(F61+F69+F71)</f>
        <v>3692</v>
      </c>
      <c r="G73" s="1">
        <f t="shared" si="103"/>
        <v>73809</v>
      </c>
      <c r="H73" s="1">
        <f t="shared" si="103"/>
        <v>357347</v>
      </c>
      <c r="I73" s="1">
        <f t="shared" si="103"/>
        <v>4500</v>
      </c>
      <c r="J73" s="1">
        <f>SUM(J61+J69+J71)</f>
        <v>2097057</v>
      </c>
      <c r="K73" s="1">
        <f t="shared" si="103"/>
        <v>1303</v>
      </c>
      <c r="L73" s="1">
        <f>SUM(L61+L69+L71)</f>
        <v>21640</v>
      </c>
      <c r="M73" s="1">
        <f t="shared" si="103"/>
        <v>660329</v>
      </c>
      <c r="N73" s="1">
        <f>SUM(N61+N69+N71)</f>
        <v>84305</v>
      </c>
      <c r="O73" s="1">
        <f t="shared" si="103"/>
        <v>60405</v>
      </c>
      <c r="P73" s="1">
        <f>SUM(P61+P69+P71)</f>
        <v>0</v>
      </c>
      <c r="Q73" s="1">
        <f t="shared" ref="Q73:X73" si="104">SUM(Q61+Q69+Q71)</f>
        <v>185629</v>
      </c>
      <c r="R73" s="1">
        <f t="shared" si="104"/>
        <v>380215</v>
      </c>
      <c r="S73" s="1">
        <f t="shared" si="104"/>
        <v>1022934</v>
      </c>
      <c r="T73" s="1">
        <f t="shared" si="104"/>
        <v>308</v>
      </c>
      <c r="U73" s="1">
        <f t="shared" si="104"/>
        <v>653461</v>
      </c>
      <c r="V73" s="1">
        <f t="shared" si="104"/>
        <v>2517</v>
      </c>
      <c r="W73" s="1">
        <f t="shared" si="104"/>
        <v>255076</v>
      </c>
      <c r="X73" s="1">
        <f t="shared" si="104"/>
        <v>4366091</v>
      </c>
      <c r="Y73" s="1">
        <f>SUM(Y61+Y69+Y71)</f>
        <v>35779</v>
      </c>
      <c r="Z73" s="1">
        <f t="shared" ref="Z73:AS73" si="105">SUM(Z61+Z69+Z71)</f>
        <v>107003</v>
      </c>
      <c r="AA73" s="1">
        <f t="shared" si="105"/>
        <v>100039</v>
      </c>
      <c r="AB73" s="1">
        <f>SUM(AB61+AB69+AB71)</f>
        <v>1631376</v>
      </c>
      <c r="AC73" s="1">
        <f t="shared" si="105"/>
        <v>238913</v>
      </c>
      <c r="AD73" s="1">
        <f t="shared" si="105"/>
        <v>28133</v>
      </c>
      <c r="AE73" s="1">
        <f t="shared" si="105"/>
        <v>82435</v>
      </c>
      <c r="AF73" s="1">
        <f t="shared" si="105"/>
        <v>21202</v>
      </c>
      <c r="AG73" s="1">
        <f t="shared" si="105"/>
        <v>422641</v>
      </c>
      <c r="AH73" s="1">
        <f t="shared" si="105"/>
        <v>253738</v>
      </c>
      <c r="AI73" s="1">
        <f t="shared" si="105"/>
        <v>21826</v>
      </c>
      <c r="AJ73" s="1">
        <f t="shared" si="105"/>
        <v>62464</v>
      </c>
      <c r="AK73" s="1">
        <f t="shared" si="105"/>
        <v>5768</v>
      </c>
      <c r="AL73" s="1">
        <f t="shared" ref="AL73:AQ73" si="106">SUM(AL61+AL69+AL71)</f>
        <v>35534</v>
      </c>
      <c r="AM73" s="1">
        <f t="shared" si="106"/>
        <v>39899</v>
      </c>
      <c r="AN73" s="1">
        <f t="shared" si="106"/>
        <v>168446</v>
      </c>
      <c r="AO73" s="1">
        <f t="shared" si="106"/>
        <v>0</v>
      </c>
      <c r="AP73" s="1">
        <f t="shared" si="106"/>
        <v>1675727</v>
      </c>
      <c r="AQ73" s="1">
        <f t="shared" si="106"/>
        <v>872198</v>
      </c>
      <c r="AR73" s="1">
        <f t="shared" si="105"/>
        <v>104504</v>
      </c>
      <c r="AS73" s="1">
        <f t="shared" si="105"/>
        <v>96879</v>
      </c>
      <c r="AT73" s="1">
        <f>SUM(AT61+AT69+AT71)</f>
        <v>247580</v>
      </c>
      <c r="AU73" s="1">
        <f t="shared" ref="AU73:AZ73" si="107">SUM(AU61+AU69+AU71)</f>
        <v>-1287</v>
      </c>
      <c r="AV73" s="1">
        <f t="shared" si="107"/>
        <v>-22045</v>
      </c>
      <c r="AW73" s="1"/>
      <c r="AX73" s="1">
        <f>SUM(AX61+AX69+AX71)</f>
        <v>-11972</v>
      </c>
      <c r="AY73" s="1">
        <f t="shared" si="107"/>
        <v>0</v>
      </c>
      <c r="AZ73" s="1">
        <f t="shared" si="107"/>
        <v>17572</v>
      </c>
      <c r="BA73" s="1">
        <f>SUM(BA61+BA69+BA71)</f>
        <v>-8728</v>
      </c>
      <c r="BB73" s="1">
        <f>SUM(BB61+BB69+BB71)</f>
        <v>-287714</v>
      </c>
      <c r="BC73" s="1">
        <f>SUM(BC61+BC69+BC71)</f>
        <v>6813379</v>
      </c>
      <c r="BD73" s="1">
        <f>SUM(BD61+BD69+BD71)</f>
        <v>371646</v>
      </c>
      <c r="BE73" s="1"/>
      <c r="BF73" s="1">
        <f t="shared" ref="BF73:BN73" si="108">SUM(BF61+BF69+BF71)</f>
        <v>23251499</v>
      </c>
      <c r="BG73" s="1"/>
      <c r="BH73" s="1">
        <f t="shared" si="108"/>
        <v>0</v>
      </c>
      <c r="BI73" s="1">
        <f>SUM(BI61+BI69+BI71)</f>
        <v>41294</v>
      </c>
      <c r="BJ73" s="1">
        <f t="shared" si="108"/>
        <v>0</v>
      </c>
      <c r="BK73" s="1">
        <f t="shared" si="108"/>
        <v>387148</v>
      </c>
      <c r="BL73" s="1">
        <f>SUM(BL61+BL69+BL71)</f>
        <v>55606</v>
      </c>
      <c r="BM73" s="1">
        <f>SUM(BM61+BM69+BM71)</f>
        <v>19430</v>
      </c>
      <c r="BN73" s="1">
        <f t="shared" si="108"/>
        <v>121101</v>
      </c>
      <c r="BO73" s="1"/>
      <c r="BP73" s="1">
        <f>SUM(BP61+BP69+BP71)</f>
        <v>624579</v>
      </c>
      <c r="BQ73" s="1"/>
      <c r="BR73" s="1">
        <f>SUM(BR61+BR69+BR71)</f>
        <v>17906114</v>
      </c>
      <c r="BS73" s="1">
        <f t="shared" ref="BS73:CH73" si="109">SUM(BS61+BS69+BS71)</f>
        <v>0</v>
      </c>
      <c r="BT73" s="1">
        <f>SUM(BT61+BT69+BT71)</f>
        <v>-24383</v>
      </c>
      <c r="BU73" s="1">
        <f>SUM(BU61+BU69+BU71)</f>
        <v>0</v>
      </c>
      <c r="BV73" s="1">
        <f>SUM(BV61+BV69+BV71)</f>
        <v>0</v>
      </c>
      <c r="BW73" s="1">
        <f>SUM(BW61+BW69+BW71)</f>
        <v>2342458</v>
      </c>
      <c r="BX73" s="3"/>
      <c r="BY73" s="1">
        <f t="shared" si="109"/>
        <v>20224189</v>
      </c>
      <c r="BZ73" s="1">
        <f t="shared" si="57"/>
        <v>2318075</v>
      </c>
      <c r="CA73" s="1"/>
      <c r="CB73" s="1"/>
      <c r="CC73" s="1">
        <f>SUM(CC61+CC69+CC71)</f>
        <v>7781237</v>
      </c>
      <c r="CD73" s="1">
        <f t="shared" si="109"/>
        <v>49380</v>
      </c>
      <c r="CE73" s="1">
        <f t="shared" si="109"/>
        <v>180053</v>
      </c>
      <c r="CF73" s="1">
        <f t="shared" si="109"/>
        <v>1269238</v>
      </c>
      <c r="CG73" s="1">
        <f t="shared" si="109"/>
        <v>7199713</v>
      </c>
      <c r="CH73" s="1">
        <f t="shared" si="109"/>
        <v>121163</v>
      </c>
      <c r="CI73" s="1"/>
      <c r="CJ73" s="1">
        <f t="shared" ref="CJ73:CR73" si="110">SUM(CJ61+CJ69+CJ71)</f>
        <v>16600784</v>
      </c>
      <c r="CK73" s="1"/>
      <c r="CL73" s="1">
        <f t="shared" si="110"/>
        <v>2264757</v>
      </c>
      <c r="CM73" s="1">
        <f t="shared" si="110"/>
        <v>995738</v>
      </c>
      <c r="CN73" s="1">
        <f t="shared" si="110"/>
        <v>309413</v>
      </c>
      <c r="CO73" s="1">
        <f t="shared" si="110"/>
        <v>119825</v>
      </c>
      <c r="CP73" s="1">
        <f t="shared" si="110"/>
        <v>1437849</v>
      </c>
      <c r="CQ73" s="1">
        <f t="shared" si="110"/>
        <v>801614</v>
      </c>
      <c r="CR73" s="1">
        <f t="shared" si="110"/>
        <v>-129336</v>
      </c>
      <c r="CS73" s="1"/>
      <c r="CT73" s="5"/>
      <c r="CU73" s="1">
        <f>SUM(CU61+CU69+CU71)</f>
        <v>5799860</v>
      </c>
      <c r="CW73" s="1">
        <f>SUM(CW61+CW69+CW71)</f>
        <v>3980305</v>
      </c>
      <c r="CX73" s="1">
        <f t="shared" ref="CX73:DT73" si="111">SUM(CX61+CX69+CX71)</f>
        <v>0</v>
      </c>
      <c r="CY73" s="1">
        <f t="shared" si="111"/>
        <v>32848</v>
      </c>
      <c r="CZ73" s="1">
        <f t="shared" si="111"/>
        <v>0</v>
      </c>
      <c r="DA73" s="1">
        <f t="shared" si="111"/>
        <v>0</v>
      </c>
      <c r="DB73" s="1">
        <f t="shared" si="111"/>
        <v>44162</v>
      </c>
      <c r="DC73" s="1">
        <f t="shared" si="111"/>
        <v>8412</v>
      </c>
      <c r="DD73" s="1">
        <f t="shared" si="111"/>
        <v>0</v>
      </c>
      <c r="DE73" s="1">
        <f t="shared" si="111"/>
        <v>8608</v>
      </c>
      <c r="DF73" s="1">
        <f t="shared" si="111"/>
        <v>0</v>
      </c>
      <c r="DG73" s="1">
        <f t="shared" si="111"/>
        <v>204466</v>
      </c>
      <c r="DH73" s="1">
        <f t="shared" si="111"/>
        <v>0</v>
      </c>
      <c r="DI73" s="1">
        <f t="shared" si="111"/>
        <v>0</v>
      </c>
      <c r="DJ73" s="1">
        <f t="shared" si="111"/>
        <v>296099</v>
      </c>
      <c r="DK73" s="1">
        <f t="shared" si="111"/>
        <v>0</v>
      </c>
      <c r="DL73" s="1">
        <f t="shared" si="111"/>
        <v>1325611</v>
      </c>
      <c r="DM73" s="1">
        <f t="shared" si="111"/>
        <v>0</v>
      </c>
      <c r="DN73" s="1">
        <f t="shared" si="111"/>
        <v>90503</v>
      </c>
      <c r="DO73" s="1">
        <f t="shared" si="111"/>
        <v>0</v>
      </c>
      <c r="DP73" s="1">
        <f t="shared" si="111"/>
        <v>34351</v>
      </c>
      <c r="DQ73" s="1">
        <f t="shared" si="111"/>
        <v>6768927</v>
      </c>
      <c r="DR73" s="1">
        <f t="shared" si="111"/>
        <v>50503500</v>
      </c>
      <c r="DS73" s="1">
        <f t="shared" si="111"/>
        <v>1772021</v>
      </c>
      <c r="DT73" s="1">
        <f t="shared" si="111"/>
        <v>1494534</v>
      </c>
      <c r="DW73" s="1">
        <f>SUM(DW61+DW69+DW71)</f>
        <v>66325530</v>
      </c>
      <c r="DX73" s="1"/>
      <c r="DY73" s="1">
        <f>SUM(DY61+DY69+DY71)</f>
        <v>140059</v>
      </c>
      <c r="DZ73" s="1"/>
      <c r="EB73" s="1">
        <f>SUM(EB61+EB69+EB71)</f>
        <v>0</v>
      </c>
      <c r="EC73" s="1"/>
      <c r="ED73" s="1"/>
      <c r="EE73" s="1"/>
      <c r="EF73" s="1">
        <f>SUM(EF61+EF69+EF71)</f>
        <v>365897</v>
      </c>
      <c r="EG73" s="1"/>
      <c r="EL73" s="1">
        <f>SUM(EL61+EL69+EL71)</f>
        <v>0</v>
      </c>
      <c r="EM73" s="1">
        <f>SUM(EM61+EM69+EM71)</f>
        <v>0</v>
      </c>
      <c r="EN73">
        <f t="shared" si="70"/>
        <v>129330106</v>
      </c>
      <c r="EQ73" s="1">
        <f>SUM(EQ61+EQ69+EQ71)</f>
        <v>21202</v>
      </c>
    </row>
    <row r="74" spans="1:147" ht="15.75">
      <c r="A74" s="1"/>
      <c r="B74" s="89" t="s">
        <v>1680</v>
      </c>
      <c r="C74" s="1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f>SUM(BH74:BN74)</f>
        <v>0</v>
      </c>
      <c r="BQ74" s="1"/>
      <c r="BR74" s="1"/>
      <c r="BS74" s="1"/>
      <c r="BT74" s="1"/>
      <c r="BU74" s="1"/>
      <c r="BV74" s="1"/>
      <c r="BW74" s="1"/>
      <c r="BX74" s="3"/>
      <c r="BY74" s="1"/>
      <c r="BZ74" s="1"/>
      <c r="CA74" s="1"/>
      <c r="CB74" s="1"/>
      <c r="CC74" s="1"/>
      <c r="CD74" s="1"/>
      <c r="CE74" s="1"/>
      <c r="CF74" s="1"/>
      <c r="CG74" s="1"/>
      <c r="CH74" s="1"/>
      <c r="CI74" s="1"/>
      <c r="CJ74" s="1"/>
      <c r="CK74" s="1"/>
      <c r="CL74" s="1"/>
      <c r="CM74" s="1"/>
      <c r="CN74" s="1"/>
      <c r="CO74" s="1"/>
      <c r="CP74" s="1"/>
      <c r="CQ74" s="1"/>
      <c r="CR74" s="1"/>
      <c r="CS74" s="1"/>
      <c r="CT74" s="5"/>
      <c r="CU74" s="1"/>
      <c r="CW74" s="1"/>
      <c r="CX74" s="1"/>
      <c r="CY74" s="1"/>
      <c r="CZ74" s="1"/>
      <c r="DA74" s="1"/>
      <c r="DB74" s="1"/>
      <c r="DC74" s="1"/>
      <c r="DD74" s="1"/>
      <c r="DE74" s="1"/>
      <c r="DF74" s="1"/>
      <c r="DG74" s="1"/>
      <c r="DH74" s="1"/>
      <c r="DI74" s="1"/>
      <c r="DJ74" s="1"/>
      <c r="DK74" s="1"/>
      <c r="DL74" s="1"/>
      <c r="DM74" s="1"/>
      <c r="DN74" s="1"/>
      <c r="DO74" s="1"/>
      <c r="DP74" s="1"/>
      <c r="DQ74" s="1"/>
      <c r="DR74" s="1"/>
      <c r="DS74" s="1"/>
      <c r="DT74" s="1"/>
      <c r="DW74" s="1"/>
      <c r="DX74" s="1"/>
      <c r="DY74" s="1"/>
      <c r="DZ74" s="1"/>
      <c r="EB74" s="1"/>
      <c r="EC74" s="1"/>
      <c r="ED74" s="1"/>
      <c r="EE74" s="1"/>
      <c r="EF74" s="1"/>
      <c r="EG74" s="1"/>
      <c r="EL74" s="1"/>
      <c r="EM74" s="1"/>
      <c r="EN74">
        <f t="shared" si="70"/>
        <v>0</v>
      </c>
      <c r="EQ74" s="1"/>
    </row>
    <row r="75" spans="1:147" ht="15.75">
      <c r="A75" s="1"/>
      <c r="B75" s="1" t="s">
        <v>363</v>
      </c>
      <c r="C75" s="11"/>
      <c r="D75" s="1">
        <f>D207</f>
        <v>10224732</v>
      </c>
      <c r="E75" s="1">
        <f>E207</f>
        <v>-102054</v>
      </c>
      <c r="F75" s="1">
        <f t="shared" ref="F75:O75" si="112">F207</f>
        <v>3692</v>
      </c>
      <c r="G75" s="1">
        <f t="shared" si="112"/>
        <v>73809</v>
      </c>
      <c r="H75" s="1">
        <f t="shared" si="112"/>
        <v>357347</v>
      </c>
      <c r="I75" s="1">
        <f t="shared" si="112"/>
        <v>4500</v>
      </c>
      <c r="J75" s="1">
        <f t="shared" si="112"/>
        <v>2097057</v>
      </c>
      <c r="K75" s="1">
        <f t="shared" si="112"/>
        <v>1303</v>
      </c>
      <c r="L75" s="1">
        <f>L207</f>
        <v>21640</v>
      </c>
      <c r="M75" s="1">
        <f t="shared" si="112"/>
        <v>660329</v>
      </c>
      <c r="N75" s="1">
        <f>N207</f>
        <v>84305</v>
      </c>
      <c r="O75" s="1">
        <f t="shared" si="112"/>
        <v>60405</v>
      </c>
      <c r="P75" s="1">
        <f>P207</f>
        <v>0</v>
      </c>
      <c r="Q75" s="1">
        <f t="shared" ref="Q75:X75" si="113">Q207</f>
        <v>185629</v>
      </c>
      <c r="R75" s="1">
        <f t="shared" si="113"/>
        <v>380215</v>
      </c>
      <c r="S75" s="1">
        <f t="shared" si="113"/>
        <v>1022934</v>
      </c>
      <c r="T75" s="1">
        <f t="shared" si="113"/>
        <v>308</v>
      </c>
      <c r="U75" s="1">
        <f t="shared" si="113"/>
        <v>653461</v>
      </c>
      <c r="V75" s="1">
        <f t="shared" si="113"/>
        <v>2517</v>
      </c>
      <c r="W75" s="1">
        <f t="shared" si="113"/>
        <v>255076</v>
      </c>
      <c r="X75" s="1">
        <f t="shared" si="113"/>
        <v>4366091</v>
      </c>
      <c r="Y75" s="1">
        <f>Y207</f>
        <v>35779</v>
      </c>
      <c r="Z75" s="1">
        <f t="shared" ref="Z75:AS75" si="114">Z207</f>
        <v>107003</v>
      </c>
      <c r="AA75" s="1">
        <f t="shared" si="114"/>
        <v>100039</v>
      </c>
      <c r="AB75" s="1">
        <f>AB207</f>
        <v>1631376</v>
      </c>
      <c r="AC75" s="1">
        <f t="shared" si="114"/>
        <v>238913</v>
      </c>
      <c r="AD75" s="1">
        <f t="shared" si="114"/>
        <v>28133</v>
      </c>
      <c r="AE75" s="1">
        <f t="shared" si="114"/>
        <v>82435</v>
      </c>
      <c r="AF75" s="1">
        <f t="shared" si="114"/>
        <v>21202</v>
      </c>
      <c r="AG75" s="1">
        <f t="shared" si="114"/>
        <v>422641</v>
      </c>
      <c r="AH75" s="1">
        <f t="shared" si="114"/>
        <v>253738</v>
      </c>
      <c r="AI75" s="1">
        <f t="shared" si="114"/>
        <v>21826</v>
      </c>
      <c r="AJ75" s="1">
        <f t="shared" si="114"/>
        <v>62464</v>
      </c>
      <c r="AK75" s="1">
        <f t="shared" si="114"/>
        <v>5768</v>
      </c>
      <c r="AL75" s="1">
        <f t="shared" ref="AL75:AQ75" si="115">AL207</f>
        <v>35534</v>
      </c>
      <c r="AM75" s="1">
        <f t="shared" si="115"/>
        <v>39899</v>
      </c>
      <c r="AN75" s="1">
        <f t="shared" si="115"/>
        <v>168446</v>
      </c>
      <c r="AO75" s="1">
        <f t="shared" si="115"/>
        <v>0</v>
      </c>
      <c r="AP75" s="1">
        <f t="shared" si="115"/>
        <v>1675727</v>
      </c>
      <c r="AQ75" s="1">
        <f t="shared" si="115"/>
        <v>872198</v>
      </c>
      <c r="AR75" s="1">
        <f t="shared" si="114"/>
        <v>104504</v>
      </c>
      <c r="AS75" s="1">
        <f t="shared" si="114"/>
        <v>96879</v>
      </c>
      <c r="AT75" s="1">
        <f>AT207</f>
        <v>247580</v>
      </c>
      <c r="AU75" s="1">
        <f>AU207</f>
        <v>-1287</v>
      </c>
      <c r="AV75" s="1">
        <f>AV207</f>
        <v>-22045</v>
      </c>
      <c r="AW75" s="1"/>
      <c r="AX75" s="1">
        <f t="shared" ref="AX75:BD75" si="116">AX207</f>
        <v>-11972</v>
      </c>
      <c r="AY75" s="1">
        <f t="shared" si="116"/>
        <v>0</v>
      </c>
      <c r="AZ75" s="1">
        <f t="shared" si="116"/>
        <v>17572</v>
      </c>
      <c r="BA75" s="1">
        <f t="shared" si="116"/>
        <v>-8728</v>
      </c>
      <c r="BB75" s="1">
        <f t="shared" si="116"/>
        <v>-287714</v>
      </c>
      <c r="BC75" s="1">
        <f t="shared" si="116"/>
        <v>6813379</v>
      </c>
      <c r="BD75" s="1">
        <f t="shared" si="116"/>
        <v>371646</v>
      </c>
      <c r="BE75" s="1"/>
      <c r="BF75" s="1">
        <f>BF207</f>
        <v>23251499</v>
      </c>
      <c r="BG75" s="1">
        <f t="shared" ref="BG75" si="117">+BF75-X75-P75-BB75-BC75</f>
        <v>12359743</v>
      </c>
      <c r="BH75" s="1">
        <f t="shared" ref="BH75:BN75" si="118">BH207</f>
        <v>0</v>
      </c>
      <c r="BI75" s="1">
        <f>BI207</f>
        <v>41294</v>
      </c>
      <c r="BJ75" s="1">
        <f t="shared" si="118"/>
        <v>0</v>
      </c>
      <c r="BK75" s="1">
        <f t="shared" si="118"/>
        <v>387148</v>
      </c>
      <c r="BL75" s="1">
        <f>BL207</f>
        <v>55606</v>
      </c>
      <c r="BM75" s="1">
        <f>BM207</f>
        <v>19430</v>
      </c>
      <c r="BN75" s="1">
        <f t="shared" si="118"/>
        <v>121101</v>
      </c>
      <c r="BO75" s="1"/>
      <c r="BP75" s="1">
        <f t="shared" ref="BP75:BU75" si="119">BP207</f>
        <v>624579</v>
      </c>
      <c r="BQ75" s="1"/>
      <c r="BR75" s="1">
        <f t="shared" si="119"/>
        <v>17906114</v>
      </c>
      <c r="BS75" s="1">
        <f t="shared" si="119"/>
        <v>0</v>
      </c>
      <c r="BT75" s="1">
        <f t="shared" si="119"/>
        <v>-24383</v>
      </c>
      <c r="BU75" s="1">
        <f t="shared" si="119"/>
        <v>0</v>
      </c>
      <c r="BV75" s="1">
        <f>BV207</f>
        <v>0</v>
      </c>
      <c r="BW75" s="1">
        <f>BW207</f>
        <v>2342458</v>
      </c>
      <c r="BX75" s="3"/>
      <c r="BY75" s="1">
        <f>BY207</f>
        <v>20224189</v>
      </c>
      <c r="BZ75" s="1">
        <f>+BY75-BR75</f>
        <v>2318075</v>
      </c>
      <c r="CA75" s="1">
        <f>+BG75+BQ75+BZ75+EF75</f>
        <v>15043715</v>
      </c>
      <c r="CB75" s="1"/>
      <c r="CC75" s="1">
        <f t="shared" ref="CC75:CH75" si="120">CC207</f>
        <v>7781237</v>
      </c>
      <c r="CD75" s="1">
        <f t="shared" si="120"/>
        <v>49380</v>
      </c>
      <c r="CE75" s="1">
        <f t="shared" si="120"/>
        <v>180053</v>
      </c>
      <c r="CF75" s="1">
        <f t="shared" si="120"/>
        <v>1269238</v>
      </c>
      <c r="CG75" s="1">
        <f t="shared" si="120"/>
        <v>7199713</v>
      </c>
      <c r="CH75" s="1">
        <f t="shared" si="120"/>
        <v>121163</v>
      </c>
      <c r="CI75" s="1"/>
      <c r="CJ75" s="1">
        <f>SUM(CB75:CI75)</f>
        <v>16600784</v>
      </c>
      <c r="CK75" s="1"/>
      <c r="CL75" s="1">
        <f>CL207</f>
        <v>2264757</v>
      </c>
      <c r="CM75" s="1">
        <f>CM207</f>
        <v>995738</v>
      </c>
      <c r="CN75" s="1">
        <f>CN207-CN178</f>
        <v>309413</v>
      </c>
      <c r="CO75" s="1">
        <f>CO207</f>
        <v>119825</v>
      </c>
      <c r="CP75" s="1">
        <f>CP207-CP178</f>
        <v>1437849</v>
      </c>
      <c r="CQ75" s="1">
        <f>CQ207</f>
        <v>801614</v>
      </c>
      <c r="CR75" s="1">
        <f>CR207</f>
        <v>-129336</v>
      </c>
      <c r="CS75" s="1"/>
      <c r="CT75" s="5"/>
      <c r="CU75" s="1">
        <f>CU207-CU178</f>
        <v>5799860</v>
      </c>
      <c r="CW75" s="1">
        <f>CW207</f>
        <v>3980305</v>
      </c>
      <c r="CX75" s="1">
        <f t="shared" ref="CX75:DT75" si="121">CX207</f>
        <v>0</v>
      </c>
      <c r="CY75" s="1">
        <f t="shared" si="121"/>
        <v>32848</v>
      </c>
      <c r="CZ75" s="1">
        <f t="shared" si="121"/>
        <v>0</v>
      </c>
      <c r="DA75" s="1">
        <f t="shared" si="121"/>
        <v>0</v>
      </c>
      <c r="DB75" s="1">
        <f t="shared" si="121"/>
        <v>44162</v>
      </c>
      <c r="DC75" s="1">
        <f t="shared" si="121"/>
        <v>8412</v>
      </c>
      <c r="DD75" s="1">
        <f t="shared" si="121"/>
        <v>0</v>
      </c>
      <c r="DE75" s="1">
        <f t="shared" si="121"/>
        <v>8608</v>
      </c>
      <c r="DF75" s="1">
        <f t="shared" si="121"/>
        <v>0</v>
      </c>
      <c r="DG75" s="1">
        <f t="shared" si="121"/>
        <v>204466</v>
      </c>
      <c r="DH75" s="1">
        <f t="shared" si="121"/>
        <v>0</v>
      </c>
      <c r="DI75" s="1">
        <f t="shared" si="121"/>
        <v>0</v>
      </c>
      <c r="DJ75" s="1">
        <f t="shared" si="121"/>
        <v>296099</v>
      </c>
      <c r="DK75" s="1">
        <f t="shared" si="121"/>
        <v>0</v>
      </c>
      <c r="DL75" s="1">
        <f t="shared" si="121"/>
        <v>1325611</v>
      </c>
      <c r="DM75" s="1">
        <f t="shared" si="121"/>
        <v>0</v>
      </c>
      <c r="DN75" s="1">
        <f t="shared" si="121"/>
        <v>90503</v>
      </c>
      <c r="DO75" s="1">
        <f t="shared" si="121"/>
        <v>0</v>
      </c>
      <c r="DP75" s="1">
        <f t="shared" si="121"/>
        <v>34351</v>
      </c>
      <c r="DQ75" s="1">
        <f t="shared" si="121"/>
        <v>6768927</v>
      </c>
      <c r="DR75" s="1">
        <f t="shared" si="121"/>
        <v>50503500</v>
      </c>
      <c r="DS75" s="1">
        <f t="shared" si="121"/>
        <v>1772021</v>
      </c>
      <c r="DT75" s="1">
        <f t="shared" si="121"/>
        <v>1494534</v>
      </c>
      <c r="DW75" s="1">
        <f>DW207</f>
        <v>66325530</v>
      </c>
      <c r="DX75" s="1"/>
      <c r="DY75" s="1">
        <f>+DY207</f>
        <v>155027</v>
      </c>
      <c r="DZ75" s="1"/>
      <c r="EB75" s="1">
        <f>EB207</f>
        <v>0</v>
      </c>
      <c r="EC75" s="1"/>
      <c r="ED75" s="1"/>
      <c r="EE75" s="1"/>
      <c r="EF75" s="1">
        <f>EF207</f>
        <v>365897</v>
      </c>
      <c r="EG75" s="1"/>
      <c r="EL75" s="1">
        <f>EL207</f>
        <v>0</v>
      </c>
      <c r="EM75" s="1">
        <f>EM200</f>
        <v>0</v>
      </c>
      <c r="EN75">
        <f t="shared" si="70"/>
        <v>129345074</v>
      </c>
      <c r="EQ75" s="1">
        <f>EQ207</f>
        <v>0</v>
      </c>
    </row>
    <row r="76" spans="1:147" ht="15.75">
      <c r="A76" s="1"/>
      <c r="B76" s="1"/>
      <c r="C76" s="1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f>+BF75-1406765</f>
        <v>21844734</v>
      </c>
      <c r="BG76" s="1"/>
      <c r="BH76" s="1"/>
      <c r="BI76" s="1"/>
      <c r="BJ76" s="1"/>
      <c r="BK76" s="1"/>
      <c r="BL76" s="1"/>
      <c r="BM76" s="1"/>
      <c r="BN76" s="1"/>
      <c r="BO76" s="1"/>
      <c r="BP76" s="1"/>
      <c r="BQ76" s="1"/>
      <c r="BR76" s="1"/>
      <c r="BS76" s="1"/>
      <c r="BT76" s="1"/>
      <c r="BU76" s="1"/>
      <c r="BV76" s="1"/>
      <c r="BW76" s="1"/>
      <c r="BX76" s="3"/>
      <c r="BY76" s="1"/>
      <c r="BZ76" s="1"/>
      <c r="CA76" s="1"/>
      <c r="CB76" s="1"/>
      <c r="CC76" s="1"/>
      <c r="CD76" s="1"/>
      <c r="CE76" s="1"/>
      <c r="CF76" s="1"/>
      <c r="CG76" s="1"/>
      <c r="CH76" s="1"/>
      <c r="CI76" s="1"/>
      <c r="CJ76" s="1"/>
      <c r="CK76" s="1"/>
      <c r="CL76" s="1"/>
      <c r="CM76" s="1"/>
      <c r="CN76" s="1"/>
      <c r="CO76" s="1"/>
      <c r="CP76" s="1"/>
      <c r="CQ76" s="1"/>
      <c r="CR76" s="1"/>
      <c r="CS76" s="1"/>
      <c r="CT76" s="5"/>
      <c r="CU76" s="1"/>
      <c r="CW76" s="1"/>
      <c r="CX76" s="1"/>
      <c r="CY76" s="1"/>
      <c r="CZ76" s="1"/>
      <c r="DA76" s="1"/>
      <c r="DB76" s="1"/>
      <c r="DC76" s="1"/>
      <c r="DD76" s="1"/>
      <c r="DE76" s="1"/>
      <c r="DF76" s="1"/>
      <c r="DG76" s="1"/>
      <c r="DH76" s="1"/>
      <c r="DI76" s="1"/>
      <c r="DJ76" s="1"/>
      <c r="DK76" s="1"/>
      <c r="DL76" s="1"/>
      <c r="DM76" s="1"/>
      <c r="DN76" s="1"/>
      <c r="DO76" s="1"/>
      <c r="DP76" s="1"/>
      <c r="DQ76" s="1"/>
      <c r="DR76" s="1"/>
      <c r="DS76" s="1"/>
      <c r="DT76" s="1"/>
      <c r="DW76" s="1"/>
      <c r="DX76" s="1"/>
      <c r="DY76" s="1"/>
      <c r="DZ76" s="1"/>
      <c r="EB76" s="1"/>
      <c r="EC76" s="1"/>
      <c r="ED76" s="1"/>
      <c r="EE76" s="1"/>
      <c r="EF76" s="1"/>
      <c r="EG76" s="1"/>
      <c r="EL76" s="1"/>
      <c r="EM76" s="1"/>
      <c r="EN76">
        <f t="shared" si="70"/>
        <v>0</v>
      </c>
      <c r="EQ76" s="1"/>
    </row>
    <row r="77" spans="1:147" ht="15.75">
      <c r="A77" s="1"/>
      <c r="B77" s="1" t="s">
        <v>364</v>
      </c>
      <c r="C77" s="11"/>
      <c r="D77" s="1">
        <f>SUM(D73-D75)</f>
        <v>0</v>
      </c>
      <c r="E77" s="1">
        <f>SUM(E73-E75)</f>
        <v>0</v>
      </c>
      <c r="F77" s="1">
        <f t="shared" ref="F77:O77" si="122">SUM(F73-F75)</f>
        <v>0</v>
      </c>
      <c r="G77" s="1">
        <f t="shared" si="122"/>
        <v>0</v>
      </c>
      <c r="H77" s="1">
        <f t="shared" si="122"/>
        <v>0</v>
      </c>
      <c r="I77" s="1">
        <f t="shared" si="122"/>
        <v>0</v>
      </c>
      <c r="J77" s="1">
        <f t="shared" si="122"/>
        <v>0</v>
      </c>
      <c r="K77" s="1">
        <f t="shared" si="122"/>
        <v>0</v>
      </c>
      <c r="L77" s="1">
        <f>SUM(L73-L75)</f>
        <v>0</v>
      </c>
      <c r="M77" s="1">
        <f t="shared" si="122"/>
        <v>0</v>
      </c>
      <c r="N77" s="1">
        <f>SUM(N73-N75)</f>
        <v>0</v>
      </c>
      <c r="O77" s="1">
        <f t="shared" si="122"/>
        <v>0</v>
      </c>
      <c r="P77" s="1">
        <f>SUM(P73-P75)</f>
        <v>0</v>
      </c>
      <c r="Q77" s="1">
        <f t="shared" ref="Q77:X77" si="123">SUM(Q73-Q75)</f>
        <v>0</v>
      </c>
      <c r="R77" s="1">
        <f t="shared" si="123"/>
        <v>0</v>
      </c>
      <c r="S77" s="1">
        <f t="shared" si="123"/>
        <v>0</v>
      </c>
      <c r="T77" s="1">
        <f t="shared" si="123"/>
        <v>0</v>
      </c>
      <c r="U77" s="1">
        <f t="shared" si="123"/>
        <v>0</v>
      </c>
      <c r="V77" s="1">
        <f t="shared" si="123"/>
        <v>0</v>
      </c>
      <c r="W77" s="1">
        <f t="shared" si="123"/>
        <v>0</v>
      </c>
      <c r="X77" s="1">
        <f t="shared" si="123"/>
        <v>0</v>
      </c>
      <c r="Y77" s="1">
        <f>SUM(Y73-Y75)</f>
        <v>0</v>
      </c>
      <c r="Z77" s="1">
        <f t="shared" ref="Z77:AS77" si="124">SUM(Z73-Z75)</f>
        <v>0</v>
      </c>
      <c r="AA77" s="1">
        <f t="shared" si="124"/>
        <v>0</v>
      </c>
      <c r="AB77" s="1">
        <f>SUM(AB73-AB75)</f>
        <v>0</v>
      </c>
      <c r="AC77" s="1">
        <f t="shared" si="124"/>
        <v>0</v>
      </c>
      <c r="AD77" s="1">
        <f t="shared" si="124"/>
        <v>0</v>
      </c>
      <c r="AE77" s="1">
        <f t="shared" si="124"/>
        <v>0</v>
      </c>
      <c r="AF77" s="1">
        <f t="shared" si="124"/>
        <v>0</v>
      </c>
      <c r="AG77" s="1">
        <f t="shared" si="124"/>
        <v>0</v>
      </c>
      <c r="AH77" s="1">
        <f t="shared" si="124"/>
        <v>0</v>
      </c>
      <c r="AI77" s="1">
        <f t="shared" si="124"/>
        <v>0</v>
      </c>
      <c r="AJ77" s="1">
        <f t="shared" si="124"/>
        <v>0</v>
      </c>
      <c r="AK77" s="1">
        <f t="shared" si="124"/>
        <v>0</v>
      </c>
      <c r="AL77" s="1">
        <f t="shared" ref="AL77:AQ77" si="125">SUM(AL73-AL75)</f>
        <v>0</v>
      </c>
      <c r="AM77" s="1">
        <f t="shared" si="125"/>
        <v>0</v>
      </c>
      <c r="AN77" s="1">
        <f t="shared" si="125"/>
        <v>0</v>
      </c>
      <c r="AO77" s="1">
        <f t="shared" si="125"/>
        <v>0</v>
      </c>
      <c r="AP77" s="1">
        <f t="shared" si="125"/>
        <v>0</v>
      </c>
      <c r="AQ77" s="1">
        <f t="shared" si="125"/>
        <v>0</v>
      </c>
      <c r="AR77" s="1">
        <f t="shared" si="124"/>
        <v>0</v>
      </c>
      <c r="AS77" s="1">
        <f t="shared" si="124"/>
        <v>0</v>
      </c>
      <c r="AT77" s="1">
        <f>SUM(AT73-AT75)</f>
        <v>0</v>
      </c>
      <c r="AU77" s="1">
        <f>SUM(AU73-AU75)</f>
        <v>0</v>
      </c>
      <c r="AV77" s="1">
        <f>SUM(AV73-AV75)</f>
        <v>0</v>
      </c>
      <c r="AW77" s="1"/>
      <c r="AX77" s="1">
        <f t="shared" ref="AX77:BD77" si="126">SUM(AX73-AX75)</f>
        <v>0</v>
      </c>
      <c r="AY77" s="1">
        <f t="shared" si="126"/>
        <v>0</v>
      </c>
      <c r="AZ77" s="1">
        <f t="shared" si="126"/>
        <v>0</v>
      </c>
      <c r="BA77" s="1">
        <f t="shared" si="126"/>
        <v>0</v>
      </c>
      <c r="BB77" s="1">
        <f t="shared" si="126"/>
        <v>0</v>
      </c>
      <c r="BC77" s="1">
        <f t="shared" si="126"/>
        <v>0</v>
      </c>
      <c r="BD77" s="1">
        <f t="shared" si="126"/>
        <v>0</v>
      </c>
      <c r="BE77" s="1"/>
      <c r="BF77" s="1">
        <f t="shared" ref="BF77:BN77" si="127">SUM(BF73-BF75)</f>
        <v>0</v>
      </c>
      <c r="BG77" s="1">
        <f>+BF77-X77-P77-BC77</f>
        <v>0</v>
      </c>
      <c r="BH77" s="1">
        <f t="shared" si="127"/>
        <v>0</v>
      </c>
      <c r="BI77" s="1">
        <f>SUM(BI73-BI75)</f>
        <v>0</v>
      </c>
      <c r="BJ77" s="1">
        <f t="shared" si="127"/>
        <v>0</v>
      </c>
      <c r="BK77" s="1">
        <f t="shared" si="127"/>
        <v>0</v>
      </c>
      <c r="BL77" s="1">
        <f>SUM(BL73-BL75)</f>
        <v>0</v>
      </c>
      <c r="BM77" s="1">
        <f>SUM(BM73-BM75)</f>
        <v>0</v>
      </c>
      <c r="BN77" s="1">
        <f t="shared" si="127"/>
        <v>0</v>
      </c>
      <c r="BO77" s="1"/>
      <c r="BP77" s="1">
        <f>SUM(BP73-BP75)</f>
        <v>0</v>
      </c>
      <c r="BQ77" s="1"/>
      <c r="BR77" s="1">
        <f t="shared" ref="BR77:BW77" si="128">SUM(BR73-BR75)</f>
        <v>0</v>
      </c>
      <c r="BS77" s="1">
        <f t="shared" si="128"/>
        <v>0</v>
      </c>
      <c r="BT77" s="1">
        <f t="shared" si="128"/>
        <v>0</v>
      </c>
      <c r="BU77" s="1">
        <f t="shared" si="128"/>
        <v>0</v>
      </c>
      <c r="BV77" s="1">
        <f t="shared" si="128"/>
        <v>0</v>
      </c>
      <c r="BW77" s="1">
        <f t="shared" si="128"/>
        <v>0</v>
      </c>
      <c r="BX77" s="3"/>
      <c r="BY77" s="1">
        <f>SUM(BY73-BY75)</f>
        <v>0</v>
      </c>
      <c r="BZ77" s="1"/>
      <c r="CA77" s="1"/>
      <c r="CB77" s="1"/>
      <c r="CC77" s="1">
        <f t="shared" ref="CC77:CH77" si="129">SUM(CC73-CC75)</f>
        <v>0</v>
      </c>
      <c r="CD77" s="1">
        <f t="shared" si="129"/>
        <v>0</v>
      </c>
      <c r="CE77" s="1">
        <f t="shared" si="129"/>
        <v>0</v>
      </c>
      <c r="CF77" s="1">
        <f t="shared" si="129"/>
        <v>0</v>
      </c>
      <c r="CG77" s="1">
        <f>SUM(CG73-CG75)</f>
        <v>0</v>
      </c>
      <c r="CH77" s="1">
        <f t="shared" si="129"/>
        <v>0</v>
      </c>
      <c r="CI77" s="1"/>
      <c r="CJ77" s="1">
        <f t="shared" ref="CJ77:CR77" si="130">SUM(CJ73-CJ75)</f>
        <v>0</v>
      </c>
      <c r="CK77" s="1"/>
      <c r="CL77" s="1">
        <f t="shared" si="130"/>
        <v>0</v>
      </c>
      <c r="CM77" s="1">
        <f t="shared" si="130"/>
        <v>0</v>
      </c>
      <c r="CN77" s="1">
        <f t="shared" si="130"/>
        <v>0</v>
      </c>
      <c r="CO77" s="1">
        <f t="shared" si="130"/>
        <v>0</v>
      </c>
      <c r="CP77" s="1">
        <f t="shared" si="130"/>
        <v>0</v>
      </c>
      <c r="CQ77" s="1">
        <f t="shared" si="130"/>
        <v>0</v>
      </c>
      <c r="CR77" s="1">
        <f t="shared" si="130"/>
        <v>0</v>
      </c>
      <c r="CS77" s="1"/>
      <c r="CT77" s="5"/>
      <c r="CU77" s="1">
        <f>SUM(CU73-CU75)</f>
        <v>0</v>
      </c>
      <c r="CW77" s="1">
        <f>SUM(CW73-CW75)</f>
        <v>0</v>
      </c>
      <c r="CX77" s="1">
        <f t="shared" ref="CX77:DT77" si="131">SUM(CX73-CX75)</f>
        <v>0</v>
      </c>
      <c r="CY77" s="1">
        <f t="shared" si="131"/>
        <v>0</v>
      </c>
      <c r="CZ77" s="1">
        <f t="shared" si="131"/>
        <v>0</v>
      </c>
      <c r="DA77" s="1">
        <f t="shared" si="131"/>
        <v>0</v>
      </c>
      <c r="DB77" s="1">
        <f t="shared" si="131"/>
        <v>0</v>
      </c>
      <c r="DC77" s="1">
        <f t="shared" si="131"/>
        <v>0</v>
      </c>
      <c r="DD77" s="1">
        <f t="shared" si="131"/>
        <v>0</v>
      </c>
      <c r="DE77" s="1">
        <f t="shared" si="131"/>
        <v>0</v>
      </c>
      <c r="DF77" s="1">
        <f t="shared" si="131"/>
        <v>0</v>
      </c>
      <c r="DG77" s="1">
        <f t="shared" si="131"/>
        <v>0</v>
      </c>
      <c r="DH77" s="1">
        <f t="shared" si="131"/>
        <v>0</v>
      </c>
      <c r="DI77" s="1">
        <f t="shared" si="131"/>
        <v>0</v>
      </c>
      <c r="DJ77" s="1">
        <f t="shared" si="131"/>
        <v>0</v>
      </c>
      <c r="DK77" s="1">
        <f t="shared" si="131"/>
        <v>0</v>
      </c>
      <c r="DL77" s="1">
        <f t="shared" si="131"/>
        <v>0</v>
      </c>
      <c r="DM77" s="1">
        <f t="shared" si="131"/>
        <v>0</v>
      </c>
      <c r="DN77" s="1">
        <f t="shared" si="131"/>
        <v>0</v>
      </c>
      <c r="DO77" s="1">
        <f t="shared" si="131"/>
        <v>0</v>
      </c>
      <c r="DP77" s="1">
        <f t="shared" si="131"/>
        <v>0</v>
      </c>
      <c r="DQ77" s="1">
        <f t="shared" si="131"/>
        <v>0</v>
      </c>
      <c r="DR77" s="1">
        <f>SUM(DR73-DR75)</f>
        <v>0</v>
      </c>
      <c r="DS77" s="1">
        <f t="shared" si="131"/>
        <v>0</v>
      </c>
      <c r="DT77" s="1">
        <f t="shared" si="131"/>
        <v>0</v>
      </c>
      <c r="DW77" s="1">
        <f t="shared" ref="DW77:EB77" si="132">SUM(DW73-DW75)</f>
        <v>0</v>
      </c>
      <c r="DX77" s="1"/>
      <c r="DY77" s="1">
        <f t="shared" si="132"/>
        <v>-14968</v>
      </c>
      <c r="DZ77" s="1"/>
      <c r="EB77" s="1">
        <f t="shared" si="132"/>
        <v>0</v>
      </c>
      <c r="EC77" s="1"/>
      <c r="ED77" s="1"/>
      <c r="EE77" s="1"/>
      <c r="EF77" s="1">
        <f>SUM(EF73-EF75)</f>
        <v>0</v>
      </c>
      <c r="EG77" s="1"/>
      <c r="EL77" s="1">
        <f>SUM(EL73-EL75)</f>
        <v>0</v>
      </c>
      <c r="EM77" s="1">
        <f>SUM(EM73-EM75)</f>
        <v>0</v>
      </c>
      <c r="EN77">
        <f>+D77+BF77+BP77+BY77+CJ77+CU77+DW77+ED77</f>
        <v>0</v>
      </c>
      <c r="EQ77" s="1">
        <f>SUM(EQ73-EQ75)</f>
        <v>21202</v>
      </c>
    </row>
    <row r="78" spans="1:147" ht="15.75">
      <c r="A78" s="1"/>
      <c r="B78" s="1"/>
      <c r="C78" s="1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3"/>
      <c r="BY78" s="1"/>
      <c r="BZ78" s="1"/>
      <c r="CA78" s="1"/>
      <c r="CB78" s="1"/>
      <c r="CC78" s="1"/>
      <c r="CD78" s="1"/>
      <c r="CE78" s="1"/>
      <c r="CF78" s="1"/>
      <c r="CG78" s="1"/>
      <c r="CH78" s="1"/>
      <c r="CI78" s="1"/>
      <c r="CJ78" s="1"/>
      <c r="CK78" s="1"/>
      <c r="CL78" s="1"/>
      <c r="CM78" s="1"/>
      <c r="CN78" s="1"/>
      <c r="CO78" s="1"/>
      <c r="CP78" s="1"/>
      <c r="CQ78" s="1"/>
      <c r="CR78" s="1"/>
      <c r="CS78" s="1"/>
      <c r="CT78" s="5"/>
      <c r="CU78" s="1"/>
      <c r="CW78" s="1"/>
      <c r="CX78" s="1"/>
      <c r="CY78" s="1"/>
      <c r="CZ78" s="1"/>
      <c r="DA78" s="1"/>
      <c r="DB78" s="1"/>
      <c r="DC78" s="1"/>
      <c r="DD78" s="1"/>
      <c r="DE78" s="1"/>
      <c r="DF78" s="1"/>
      <c r="DG78" s="1"/>
      <c r="DH78" s="1"/>
      <c r="DI78" s="1"/>
      <c r="DJ78" s="1"/>
      <c r="DK78" s="1"/>
      <c r="DL78" s="1"/>
      <c r="DM78" s="1"/>
      <c r="DN78" s="1"/>
      <c r="DO78" s="1"/>
      <c r="DP78" s="1"/>
      <c r="DQ78" s="120"/>
      <c r="DR78" s="1"/>
      <c r="DS78" s="1"/>
      <c r="DT78" s="1"/>
      <c r="DW78" s="1"/>
      <c r="DX78" s="1"/>
      <c r="DY78" s="1"/>
      <c r="DZ78" s="1"/>
      <c r="EB78" s="1"/>
      <c r="EC78" s="1"/>
      <c r="ED78" s="1"/>
      <c r="EE78" s="1"/>
      <c r="EF78" s="1"/>
      <c r="EG78" s="1"/>
      <c r="EL78" s="1"/>
      <c r="EM78" s="1"/>
      <c r="EN78">
        <f t="shared" ref="EN78:EN87" si="133">SUM(DE78:EM78)</f>
        <v>0</v>
      </c>
      <c r="EQ78" s="1"/>
    </row>
    <row r="79" spans="1:147" ht="15.75">
      <c r="A79" s="1"/>
      <c r="B79" s="1"/>
      <c r="C79" s="1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3"/>
      <c r="BY79" s="1"/>
      <c r="BZ79" s="1"/>
      <c r="CA79" s="1"/>
      <c r="CB79" s="1"/>
      <c r="CC79" s="1"/>
      <c r="CD79" s="1"/>
      <c r="CE79" s="1"/>
      <c r="CF79" s="1"/>
      <c r="CG79" s="1"/>
      <c r="CH79" s="1"/>
      <c r="CI79" s="1"/>
      <c r="CJ79" s="1"/>
      <c r="CK79" s="1"/>
      <c r="CL79" s="1"/>
      <c r="CM79" s="1"/>
      <c r="CN79" s="1"/>
      <c r="CO79" s="1"/>
      <c r="CP79" s="1"/>
      <c r="CQ79" s="1"/>
      <c r="CR79" s="1"/>
      <c r="CS79" s="1"/>
      <c r="CT79" s="5"/>
      <c r="CU79" s="1"/>
      <c r="CW79" s="1"/>
      <c r="CX79" s="1"/>
      <c r="CY79" s="1"/>
      <c r="CZ79" s="1"/>
      <c r="DA79" s="1"/>
      <c r="DB79" s="1"/>
      <c r="DC79" s="1"/>
      <c r="DD79" s="1"/>
      <c r="DE79" s="1"/>
      <c r="DF79" s="1"/>
      <c r="DG79" s="1"/>
      <c r="DH79" s="1"/>
      <c r="DI79" s="1"/>
      <c r="DJ79" s="1"/>
      <c r="DK79" s="1"/>
      <c r="DL79" s="1"/>
      <c r="DM79" s="1"/>
      <c r="DN79" s="1"/>
      <c r="DO79" s="1"/>
      <c r="DP79" s="1"/>
      <c r="DQ79" s="1"/>
      <c r="DR79" s="1"/>
      <c r="DS79" s="1"/>
      <c r="DT79" s="1"/>
      <c r="DW79" s="1"/>
      <c r="DX79" s="1"/>
      <c r="DY79" s="1"/>
      <c r="DZ79" s="1"/>
      <c r="EB79" s="1"/>
      <c r="EC79" s="1"/>
      <c r="ED79" s="1"/>
      <c r="EE79" s="1"/>
      <c r="EF79" s="1"/>
      <c r="EG79" s="1"/>
      <c r="EL79" s="1"/>
      <c r="EM79" s="1"/>
      <c r="EN79">
        <f t="shared" si="133"/>
        <v>0</v>
      </c>
      <c r="EQ79" s="1"/>
    </row>
    <row r="80" spans="1:147" ht="15.75">
      <c r="A80" s="1"/>
      <c r="B80" s="3" t="s">
        <v>928</v>
      </c>
      <c r="C80" s="3"/>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Z80" s="1"/>
      <c r="BA80" s="1"/>
      <c r="BB80" s="1"/>
      <c r="BC80" s="1"/>
      <c r="BD80" s="1"/>
      <c r="BE80" s="1"/>
      <c r="BF80" s="1"/>
      <c r="BG80" s="1"/>
      <c r="BH80" s="1"/>
      <c r="BI80" s="1"/>
      <c r="BJ80" s="1"/>
      <c r="BK80" s="1"/>
      <c r="BL80" s="1"/>
      <c r="BM80" s="1"/>
      <c r="BN80" s="1"/>
      <c r="BO80" s="1"/>
      <c r="BP80" s="1"/>
      <c r="BQ80" s="1"/>
      <c r="BR80" s="1"/>
      <c r="BS80" s="1"/>
      <c r="BT80" s="1"/>
      <c r="BU80" s="1"/>
      <c r="BV80" s="1"/>
      <c r="BW80" s="1"/>
      <c r="BX80" s="3"/>
      <c r="BY80" s="1"/>
      <c r="BZ80" s="1"/>
      <c r="CA80" s="1"/>
      <c r="CB80" s="1"/>
      <c r="CC80" s="1"/>
      <c r="CD80" s="1"/>
      <c r="CE80" s="1"/>
      <c r="CF80" s="1"/>
      <c r="CG80" s="54"/>
      <c r="CH80" s="1"/>
      <c r="CI80" s="1"/>
      <c r="CJ80" s="1"/>
      <c r="CK80" s="1"/>
      <c r="CL80" s="1"/>
      <c r="CM80" s="1"/>
      <c r="CN80" s="1"/>
      <c r="CO80" s="1"/>
      <c r="CP80" s="1"/>
      <c r="CQ80" s="1"/>
      <c r="CR80" s="1"/>
      <c r="CS80" s="1"/>
      <c r="CT80" s="5"/>
      <c r="CU80" s="1"/>
      <c r="CW80" s="1"/>
      <c r="CX80" s="1"/>
      <c r="CY80" s="1"/>
      <c r="CZ80" s="1"/>
      <c r="DA80" s="1"/>
      <c r="DB80" s="1"/>
      <c r="DC80" s="1"/>
      <c r="DD80" s="1"/>
      <c r="DE80" s="1"/>
      <c r="DF80" s="1"/>
      <c r="DG80" s="1"/>
      <c r="DH80" s="1"/>
      <c r="DI80" s="1"/>
      <c r="DJ80" s="1"/>
      <c r="DK80" s="1"/>
      <c r="DL80" s="1"/>
      <c r="DM80" s="1"/>
      <c r="DN80" s="1"/>
      <c r="DO80" s="1"/>
      <c r="DP80" s="1"/>
      <c r="DQ80" s="1"/>
      <c r="DR80" s="1"/>
      <c r="DS80" s="1"/>
      <c r="DT80" s="1"/>
      <c r="DW80" s="1"/>
      <c r="DX80" s="1"/>
      <c r="DY80" s="1"/>
      <c r="DZ80" s="1"/>
      <c r="EB80" s="1"/>
      <c r="EC80" s="1"/>
      <c r="ED80" s="1"/>
      <c r="EE80" s="1"/>
      <c r="EF80" s="1"/>
      <c r="EG80" s="1"/>
      <c r="EL80" s="1"/>
      <c r="EM80" s="1"/>
      <c r="EN80">
        <f t="shared" si="133"/>
        <v>0</v>
      </c>
      <c r="EQ80" s="1"/>
    </row>
    <row r="81" spans="1:147" ht="15.75">
      <c r="A81" s="1"/>
      <c r="B81" s="2"/>
      <c r="C81" s="3" t="s">
        <v>2628</v>
      </c>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Z81" s="1"/>
      <c r="BA81" s="1"/>
      <c r="BB81" s="1"/>
      <c r="BC81" s="1"/>
      <c r="BD81" s="1"/>
      <c r="BE81" s="1"/>
      <c r="BF81" s="1"/>
      <c r="BG81" s="1"/>
      <c r="BH81" s="1"/>
      <c r="BI81" s="1"/>
      <c r="BJ81" s="1"/>
      <c r="BK81" s="1"/>
      <c r="BL81" s="1"/>
      <c r="BM81" s="1"/>
      <c r="BN81" s="1"/>
      <c r="BO81" s="1"/>
      <c r="BP81" s="1"/>
      <c r="BQ81" s="1"/>
      <c r="BR81" s="1"/>
      <c r="BS81" s="1"/>
      <c r="BT81" s="1"/>
      <c r="BU81" s="1"/>
      <c r="BV81" s="1"/>
      <c r="BW81" s="1"/>
      <c r="BX81" s="3"/>
      <c r="BY81" s="1"/>
      <c r="BZ81" s="1"/>
      <c r="CA81" s="1"/>
      <c r="CB81" s="1"/>
      <c r="CC81" s="1"/>
      <c r="CD81" s="1"/>
      <c r="CE81" s="1"/>
      <c r="CF81" s="1"/>
      <c r="CG81" s="54"/>
      <c r="CH81" s="1"/>
      <c r="CI81" s="1"/>
      <c r="CJ81" s="1"/>
      <c r="CK81" s="1"/>
      <c r="CL81" s="1"/>
      <c r="CM81" s="1"/>
      <c r="CN81" s="1"/>
      <c r="CO81" s="1"/>
      <c r="CP81" s="1"/>
      <c r="CQ81" s="1"/>
      <c r="CR81" s="1"/>
      <c r="CS81" s="1"/>
      <c r="CT81" s="5"/>
      <c r="CU81" s="1"/>
      <c r="CW81" s="1"/>
      <c r="CX81" s="1"/>
      <c r="CY81" s="1"/>
      <c r="CZ81" s="1"/>
      <c r="DA81" s="1"/>
      <c r="DB81" s="1"/>
      <c r="DC81" s="1"/>
      <c r="DD81" s="1"/>
      <c r="DE81" s="1"/>
      <c r="DF81" s="1"/>
      <c r="DG81" s="1"/>
      <c r="DH81" s="1"/>
      <c r="DI81" s="1"/>
      <c r="DJ81" s="1"/>
      <c r="DK81" s="1"/>
      <c r="DL81" s="1"/>
      <c r="DM81" s="1"/>
      <c r="DN81" s="1"/>
      <c r="DO81" s="1"/>
      <c r="DP81" s="1"/>
      <c r="DQ81" s="1"/>
      <c r="DR81" s="1"/>
      <c r="DS81" s="1"/>
      <c r="DT81" s="1"/>
      <c r="DW81" s="1">
        <f>+DW84-DT84-DS84-DQ84</f>
        <v>57519426</v>
      </c>
      <c r="DX81" s="1"/>
      <c r="DY81" s="1"/>
      <c r="DZ81" s="1"/>
      <c r="EB81" s="1"/>
      <c r="EC81" s="1"/>
      <c r="ED81" s="1"/>
      <c r="EE81" s="1"/>
      <c r="EF81" s="1"/>
      <c r="EG81" s="1"/>
      <c r="EL81" s="1"/>
      <c r="EM81" s="1"/>
      <c r="EN81">
        <f t="shared" si="133"/>
        <v>57519426</v>
      </c>
      <c r="EQ81" s="1"/>
    </row>
    <row r="82" spans="1:147" ht="15.75">
      <c r="A82" s="1"/>
      <c r="B82" s="1" t="s">
        <v>929</v>
      </c>
      <c r="C82" s="766" t="s">
        <v>2636</v>
      </c>
      <c r="D82" s="595"/>
      <c r="E82" s="134"/>
      <c r="F82" s="134"/>
      <c r="G82" s="134"/>
      <c r="H82" s="134"/>
      <c r="I82" s="32"/>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Z82" s="1"/>
      <c r="BA82" s="1"/>
      <c r="BB82" s="1"/>
      <c r="BC82" s="1"/>
      <c r="BD82" s="1"/>
      <c r="BE82" s="1"/>
      <c r="BF82" s="1"/>
      <c r="BG82" s="1"/>
      <c r="BH82" s="1"/>
      <c r="BI82" s="1"/>
      <c r="BJ82" s="1"/>
      <c r="BK82" s="1"/>
      <c r="BL82" s="1"/>
      <c r="BM82" s="1"/>
      <c r="BN82" s="1"/>
      <c r="BO82" s="1"/>
      <c r="BP82" s="1"/>
      <c r="BQ82" s="1"/>
      <c r="BR82" s="1"/>
      <c r="BS82" s="1"/>
      <c r="BT82" s="1"/>
      <c r="BU82" s="1"/>
      <c r="BV82" s="1"/>
      <c r="BW82" s="1"/>
      <c r="BX82" s="3"/>
      <c r="BY82" s="1"/>
      <c r="BZ82" s="1"/>
      <c r="CA82" s="1"/>
      <c r="CB82" s="1"/>
      <c r="CC82" s="1"/>
      <c r="CD82" s="1"/>
      <c r="CE82" s="1"/>
      <c r="CF82" s="1"/>
      <c r="CG82" s="54"/>
      <c r="CH82" s="1"/>
      <c r="CI82" s="1"/>
      <c r="CJ82" s="1">
        <f>+CJ85+CJ86+CJ98+CJ99</f>
        <v>6304627</v>
      </c>
      <c r="CK82" s="1"/>
      <c r="CL82" s="1"/>
      <c r="CM82" s="1"/>
      <c r="CN82" s="1"/>
      <c r="CO82" s="1"/>
      <c r="CP82" s="1"/>
      <c r="CQ82" s="1"/>
      <c r="CR82" s="1"/>
      <c r="CS82" s="1"/>
      <c r="CT82" s="5"/>
      <c r="CW82" s="1"/>
      <c r="CX82" s="1"/>
      <c r="CY82" s="1"/>
      <c r="CZ82" s="1"/>
      <c r="DA82" s="1"/>
      <c r="DB82" s="1"/>
      <c r="DC82" s="1"/>
      <c r="DD82" s="1"/>
      <c r="DE82" s="1"/>
      <c r="DF82" s="1"/>
      <c r="DG82" s="1"/>
      <c r="DH82" s="1"/>
      <c r="DI82" s="1"/>
      <c r="DJ82" s="1"/>
      <c r="DK82" s="1"/>
      <c r="DL82" s="1"/>
      <c r="DM82" s="1"/>
      <c r="DN82" s="1"/>
      <c r="DO82" s="1"/>
      <c r="DP82" s="1"/>
      <c r="DQ82" s="169">
        <v>89</v>
      </c>
      <c r="DR82" s="1"/>
      <c r="DS82" s="1"/>
      <c r="DT82" s="1"/>
      <c r="DW82" s="1">
        <f>+DW85-DT85-DS85-DU85</f>
        <v>49191784</v>
      </c>
      <c r="DX82" s="1"/>
      <c r="DY82" s="1"/>
      <c r="DZ82" s="1"/>
      <c r="EB82" s="1"/>
      <c r="EC82" s="1"/>
      <c r="ED82" s="1"/>
      <c r="EE82" s="1"/>
      <c r="EF82" s="1"/>
      <c r="EG82" s="1"/>
      <c r="EL82" s="1"/>
      <c r="EM82" s="1"/>
      <c r="EN82">
        <f t="shared" si="133"/>
        <v>49191873</v>
      </c>
      <c r="EQ82" s="1"/>
    </row>
    <row r="83" spans="1:147" ht="15.75">
      <c r="A83" s="1"/>
      <c r="B83" s="7" t="s">
        <v>937</v>
      </c>
      <c r="C83" s="753" t="s">
        <v>3372</v>
      </c>
      <c r="D83" s="595"/>
      <c r="E83" s="134"/>
      <c r="F83" s="134"/>
      <c r="G83" s="134"/>
      <c r="H83" s="134"/>
      <c r="I83" s="32"/>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Z83" s="1"/>
      <c r="BA83" s="1"/>
      <c r="BB83" s="1"/>
      <c r="BC83" s="1"/>
      <c r="BD83" s="1"/>
      <c r="BE83" s="1"/>
      <c r="BF83" s="1">
        <f>SUM(BF98:BF99)+BF84</f>
        <v>33381467</v>
      </c>
      <c r="BG83" s="1"/>
      <c r="BH83" s="1"/>
      <c r="BI83" s="1"/>
      <c r="BJ83" s="1"/>
      <c r="BK83" s="1"/>
      <c r="BL83" s="1"/>
      <c r="BM83" s="1"/>
      <c r="BN83" s="1"/>
      <c r="BO83" s="1"/>
      <c r="BP83" s="1"/>
      <c r="BQ83" s="1"/>
      <c r="BR83" s="1"/>
      <c r="BS83" s="1"/>
      <c r="BT83" s="1"/>
      <c r="BU83" s="1"/>
      <c r="BV83" s="1"/>
      <c r="BW83" s="1"/>
      <c r="BX83" s="3"/>
      <c r="BY83" s="1"/>
      <c r="BZ83" s="1"/>
      <c r="CA83" s="1"/>
      <c r="CB83" s="1"/>
      <c r="CC83" s="1"/>
      <c r="CD83" s="1"/>
      <c r="CE83" s="1"/>
      <c r="CF83" s="1"/>
      <c r="CG83" s="54"/>
      <c r="CH83" s="1"/>
      <c r="CI83" s="1"/>
      <c r="CJ83" s="1">
        <f>+CJ86+CJ99</f>
        <v>1011080</v>
      </c>
      <c r="CK83" s="1"/>
      <c r="CL83" s="1"/>
      <c r="CM83" s="1"/>
      <c r="CN83" s="1"/>
      <c r="CO83" s="1"/>
      <c r="CP83" s="1"/>
      <c r="CQ83" s="1"/>
      <c r="CR83" s="1"/>
      <c r="CS83" s="1"/>
      <c r="CT83" s="5"/>
      <c r="CU83" s="1"/>
      <c r="CW83" s="1"/>
      <c r="CX83" s="1"/>
      <c r="CY83" s="1"/>
      <c r="CZ83" s="1"/>
      <c r="DA83" s="1"/>
      <c r="DB83" s="1"/>
      <c r="DC83" s="1"/>
      <c r="DD83" s="1"/>
      <c r="DE83" s="1"/>
      <c r="DF83" s="1"/>
      <c r="DG83" s="1"/>
      <c r="DH83" s="1"/>
      <c r="DI83" s="1"/>
      <c r="DJ83" s="1"/>
      <c r="DK83" s="1"/>
      <c r="DL83" s="1"/>
      <c r="DM83" s="1"/>
      <c r="DN83" s="1"/>
      <c r="DO83" s="1"/>
      <c r="DP83" s="1"/>
      <c r="DQ83" s="1"/>
      <c r="DR83" s="1"/>
      <c r="DS83" s="1"/>
      <c r="DT83" s="1"/>
      <c r="DU83" s="89"/>
      <c r="DW83" s="1">
        <f>+DW86-DT86-DS86-DU86</f>
        <v>10294305</v>
      </c>
      <c r="DX83" s="1"/>
      <c r="DY83" s="1"/>
      <c r="DZ83" s="1"/>
      <c r="EB83" s="1"/>
      <c r="EC83" s="1"/>
      <c r="ED83" s="1"/>
      <c r="EE83" s="1"/>
      <c r="EF83" s="1"/>
      <c r="EG83" s="1"/>
      <c r="EL83" s="1"/>
      <c r="EM83" s="1"/>
      <c r="EN83">
        <f t="shared" si="133"/>
        <v>10294305</v>
      </c>
      <c r="EQ83" s="1"/>
    </row>
    <row r="84" spans="1:147" ht="15">
      <c r="A84" s="1"/>
      <c r="B84" s="1" t="s">
        <v>155</v>
      </c>
      <c r="C84" s="761">
        <v>3.4264000000000003E-2</v>
      </c>
      <c r="D84" s="1">
        <f>SUM(D85:D86)+D98</f>
        <v>11684906</v>
      </c>
      <c r="E84" s="1">
        <f t="shared" ref="E84:AK84" si="134">SUM(E85:E86)</f>
        <v>201359</v>
      </c>
      <c r="F84" s="1">
        <f t="shared" si="134"/>
        <v>3692</v>
      </c>
      <c r="G84" s="1">
        <f t="shared" si="134"/>
        <v>73809</v>
      </c>
      <c r="H84" s="1">
        <f t="shared" si="134"/>
        <v>357347</v>
      </c>
      <c r="I84" s="1">
        <f t="shared" si="134"/>
        <v>62548</v>
      </c>
      <c r="J84" s="1">
        <f t="shared" si="134"/>
        <v>1721516</v>
      </c>
      <c r="K84" s="1">
        <f t="shared" si="134"/>
        <v>1303</v>
      </c>
      <c r="L84" s="1">
        <f>SUM(L85:L86)</f>
        <v>21640</v>
      </c>
      <c r="M84" s="1">
        <f t="shared" si="134"/>
        <v>672067</v>
      </c>
      <c r="N84" s="1">
        <f>SUM(N85:N86)</f>
        <v>84305</v>
      </c>
      <c r="O84" s="1">
        <f t="shared" si="134"/>
        <v>60405</v>
      </c>
      <c r="P84" s="1">
        <f t="shared" si="134"/>
        <v>0</v>
      </c>
      <c r="Q84" s="1">
        <f t="shared" si="134"/>
        <v>185629</v>
      </c>
      <c r="R84" s="1">
        <f t="shared" si="134"/>
        <v>380215</v>
      </c>
      <c r="S84" s="1">
        <f t="shared" si="134"/>
        <v>1058146</v>
      </c>
      <c r="T84" s="1">
        <f t="shared" si="134"/>
        <v>308</v>
      </c>
      <c r="U84" s="1">
        <f t="shared" si="134"/>
        <v>611023</v>
      </c>
      <c r="V84" s="1">
        <f t="shared" si="134"/>
        <v>2517</v>
      </c>
      <c r="W84" s="1">
        <f t="shared" si="134"/>
        <v>255076</v>
      </c>
      <c r="X84" s="1">
        <f t="shared" si="134"/>
        <v>4417825</v>
      </c>
      <c r="Y84" s="1">
        <f t="shared" si="134"/>
        <v>35779</v>
      </c>
      <c r="Z84" s="1">
        <f t="shared" si="134"/>
        <v>107003</v>
      </c>
      <c r="AA84" s="1">
        <f t="shared" si="134"/>
        <v>100039</v>
      </c>
      <c r="AB84" s="1">
        <f>SUM(AB85:AB86)</f>
        <v>1667779</v>
      </c>
      <c r="AC84" s="1">
        <f t="shared" si="134"/>
        <v>238913</v>
      </c>
      <c r="AD84" s="1">
        <f t="shared" si="134"/>
        <v>28133</v>
      </c>
      <c r="AE84" s="1">
        <f t="shared" si="134"/>
        <v>82435</v>
      </c>
      <c r="AF84" s="1">
        <f t="shared" si="134"/>
        <v>21202</v>
      </c>
      <c r="AG84" s="1">
        <f t="shared" si="134"/>
        <v>422641</v>
      </c>
      <c r="AH84" s="1">
        <f t="shared" si="134"/>
        <v>253738</v>
      </c>
      <c r="AI84" s="1">
        <f t="shared" si="134"/>
        <v>21826</v>
      </c>
      <c r="AJ84" s="1">
        <f t="shared" si="134"/>
        <v>62464</v>
      </c>
      <c r="AK84" s="1">
        <f t="shared" si="134"/>
        <v>5768</v>
      </c>
      <c r="AL84" s="1">
        <f t="shared" ref="AL84:BD84" si="135">SUM(AL85:AL86)</f>
        <v>35534</v>
      </c>
      <c r="AM84" s="1">
        <f t="shared" si="135"/>
        <v>39899</v>
      </c>
      <c r="AN84" s="1">
        <f t="shared" si="135"/>
        <v>168446</v>
      </c>
      <c r="AO84" s="1">
        <f t="shared" si="135"/>
        <v>0</v>
      </c>
      <c r="AP84" s="1">
        <f t="shared" si="135"/>
        <v>1675727</v>
      </c>
      <c r="AQ84" s="1">
        <f t="shared" si="135"/>
        <v>872198</v>
      </c>
      <c r="AR84" s="1">
        <f t="shared" si="135"/>
        <v>0</v>
      </c>
      <c r="AS84" s="1">
        <f t="shared" si="135"/>
        <v>96879</v>
      </c>
      <c r="AT84" s="1">
        <f t="shared" si="135"/>
        <v>656704</v>
      </c>
      <c r="AU84" s="1">
        <f t="shared" si="135"/>
        <v>0</v>
      </c>
      <c r="AV84" s="1">
        <f t="shared" si="135"/>
        <v>0</v>
      </c>
      <c r="AW84" s="1"/>
      <c r="AX84" s="1">
        <f t="shared" si="135"/>
        <v>0</v>
      </c>
      <c r="AY84" s="1">
        <f t="shared" si="135"/>
        <v>0</v>
      </c>
      <c r="AZ84" s="1">
        <f t="shared" si="135"/>
        <v>17572</v>
      </c>
      <c r="BA84" s="1">
        <f t="shared" si="135"/>
        <v>0</v>
      </c>
      <c r="BB84" s="1">
        <f t="shared" si="135"/>
        <v>9404638</v>
      </c>
      <c r="BC84" s="1">
        <f t="shared" si="135"/>
        <v>6823774</v>
      </c>
      <c r="BD84" s="1">
        <f t="shared" si="135"/>
        <v>0</v>
      </c>
      <c r="BE84" s="1"/>
      <c r="BF84" s="1">
        <f>SUM(BF85:BF86)</f>
        <v>33009821</v>
      </c>
      <c r="BG84" s="1"/>
      <c r="BH84" s="1">
        <f t="shared" ref="BH84:BN84" si="136">SUM(BH85:BH86)</f>
        <v>0</v>
      </c>
      <c r="BI84" s="1">
        <f t="shared" si="136"/>
        <v>41294</v>
      </c>
      <c r="BJ84" s="1">
        <f t="shared" si="136"/>
        <v>0</v>
      </c>
      <c r="BK84" s="1">
        <f t="shared" si="136"/>
        <v>387148</v>
      </c>
      <c r="BL84" s="1">
        <f t="shared" si="136"/>
        <v>55606</v>
      </c>
      <c r="BM84" s="1">
        <f t="shared" si="136"/>
        <v>19430</v>
      </c>
      <c r="BN84" s="1">
        <f t="shared" si="136"/>
        <v>121101</v>
      </c>
      <c r="BO84" s="1"/>
      <c r="BP84" s="1">
        <f>SUM(BP85:BP86)</f>
        <v>624579</v>
      </c>
      <c r="BQ84" s="1"/>
      <c r="BR84" s="1">
        <f t="shared" ref="BR84:BX84" si="137">+BR85+BR86</f>
        <v>16834365</v>
      </c>
      <c r="BS84" s="1">
        <f t="shared" si="137"/>
        <v>0</v>
      </c>
      <c r="BT84" s="1">
        <f t="shared" si="137"/>
        <v>0</v>
      </c>
      <c r="BU84" s="1">
        <f t="shared" si="137"/>
        <v>0</v>
      </c>
      <c r="BV84" s="1">
        <f>+BV85+BV86</f>
        <v>0</v>
      </c>
      <c r="BW84" s="1">
        <f t="shared" si="137"/>
        <v>2453628</v>
      </c>
      <c r="BX84" s="1">
        <f t="shared" si="137"/>
        <v>0</v>
      </c>
      <c r="BY84" s="1">
        <f>+BY85+BY86</f>
        <v>19287993</v>
      </c>
      <c r="BZ84" s="1"/>
      <c r="CA84" s="1"/>
      <c r="CB84" s="1"/>
      <c r="CC84" s="1">
        <f t="shared" ref="CC84:CI84" si="138">SUM(CC85:CC86)+CC98+CC99</f>
        <v>759582</v>
      </c>
      <c r="CD84" s="1">
        <f t="shared" si="138"/>
        <v>35385</v>
      </c>
      <c r="CE84" s="1">
        <f t="shared" si="138"/>
        <v>24556</v>
      </c>
      <c r="CF84" s="1">
        <f t="shared" si="138"/>
        <v>1167929</v>
      </c>
      <c r="CG84" s="1">
        <f t="shared" si="138"/>
        <v>4202162</v>
      </c>
      <c r="CH84" s="1">
        <f t="shared" si="138"/>
        <v>115013</v>
      </c>
      <c r="CI84" s="1">
        <f t="shared" si="138"/>
        <v>0</v>
      </c>
      <c r="CJ84" s="1">
        <f>SUM(CJ85)+CJ98</f>
        <v>5293547</v>
      </c>
      <c r="CK84" s="1"/>
      <c r="CL84" s="1">
        <f t="shared" ref="CL84:CR84" si="139">SUM(CL85:CL86)+CL98+CL99</f>
        <v>2302854</v>
      </c>
      <c r="CM84" s="1">
        <f t="shared" si="139"/>
        <v>383211</v>
      </c>
      <c r="CN84" s="1">
        <f t="shared" si="139"/>
        <v>359841</v>
      </c>
      <c r="CO84" s="1">
        <f t="shared" si="139"/>
        <v>94233</v>
      </c>
      <c r="CP84" s="1">
        <f t="shared" si="139"/>
        <v>1402938</v>
      </c>
      <c r="CQ84" s="1">
        <f t="shared" si="139"/>
        <v>801614</v>
      </c>
      <c r="CR84" s="1">
        <f t="shared" si="139"/>
        <v>97424</v>
      </c>
      <c r="CS84" s="1"/>
      <c r="CT84" s="1">
        <f>SUM(CT85:CT86)+CT98+CT99</f>
        <v>0</v>
      </c>
      <c r="CU84" s="1">
        <f>SUM(CU85:CU86)+CU98+CU99</f>
        <v>5442115</v>
      </c>
      <c r="CW84" s="1">
        <f>+CW85+CW86</f>
        <v>3891655</v>
      </c>
      <c r="CX84" s="1">
        <f t="shared" ref="CX84:DT84" si="140">+CX85+CX86</f>
        <v>0</v>
      </c>
      <c r="CY84" s="1">
        <f t="shared" si="140"/>
        <v>32848</v>
      </c>
      <c r="CZ84" s="1">
        <f t="shared" si="140"/>
        <v>41606</v>
      </c>
      <c r="DA84" s="1">
        <f t="shared" si="140"/>
        <v>0</v>
      </c>
      <c r="DB84" s="1">
        <f t="shared" si="140"/>
        <v>44162</v>
      </c>
      <c r="DC84" s="1">
        <f t="shared" si="140"/>
        <v>8412</v>
      </c>
      <c r="DD84" s="1">
        <f t="shared" si="140"/>
        <v>0</v>
      </c>
      <c r="DE84" s="1">
        <f t="shared" si="140"/>
        <v>8608</v>
      </c>
      <c r="DF84" s="1">
        <f t="shared" si="140"/>
        <v>0</v>
      </c>
      <c r="DG84" s="1">
        <f t="shared" si="140"/>
        <v>204466</v>
      </c>
      <c r="DH84" s="1">
        <f t="shared" si="140"/>
        <v>1082</v>
      </c>
      <c r="DI84" s="1">
        <f t="shared" si="140"/>
        <v>476989</v>
      </c>
      <c r="DJ84" s="1">
        <f t="shared" si="140"/>
        <v>296099</v>
      </c>
      <c r="DK84" s="1">
        <f t="shared" si="140"/>
        <v>4921</v>
      </c>
      <c r="DL84" s="1">
        <f t="shared" si="140"/>
        <v>1325611</v>
      </c>
      <c r="DM84" s="1">
        <f t="shared" si="140"/>
        <v>0</v>
      </c>
      <c r="DN84" s="1">
        <f t="shared" si="140"/>
        <v>90503</v>
      </c>
      <c r="DO84" s="1">
        <f>+DO85+DO86</f>
        <v>59182</v>
      </c>
      <c r="DP84" s="1">
        <f>+DP85+DP86</f>
        <v>34351</v>
      </c>
      <c r="DQ84" s="1">
        <f>+DQ85+DQ86</f>
        <v>6671184</v>
      </c>
      <c r="DR84" s="1">
        <f>+DR85+DR86</f>
        <v>51787177</v>
      </c>
      <c r="DS84" s="1">
        <f>+DS85+DS86</f>
        <v>880292</v>
      </c>
      <c r="DT84" s="1">
        <f t="shared" si="140"/>
        <v>1311078</v>
      </c>
      <c r="DU84" s="1">
        <f>+DU85+DU86</f>
        <v>4704521</v>
      </c>
      <c r="DW84" s="1">
        <f>+DW85+DW86</f>
        <v>66381980</v>
      </c>
      <c r="DX84" s="1">
        <f>+DX85+DX86</f>
        <v>7923619</v>
      </c>
      <c r="DY84" s="1">
        <f>+DY85+DY86</f>
        <v>155027</v>
      </c>
      <c r="DZ84" s="1"/>
      <c r="EB84" s="1">
        <f>+EB85+EB86</f>
        <v>0</v>
      </c>
      <c r="EC84" s="1"/>
      <c r="ED84" s="1"/>
      <c r="EE84" s="1"/>
      <c r="EF84" s="1"/>
      <c r="EG84" s="1"/>
      <c r="EL84" s="1"/>
      <c r="EM84" s="1"/>
      <c r="EN84">
        <f t="shared" si="133"/>
        <v>142316690</v>
      </c>
      <c r="EQ84" s="1">
        <f>+CW84</f>
        <v>3891655</v>
      </c>
    </row>
    <row r="85" spans="1:147" ht="15.75">
      <c r="A85" s="1"/>
      <c r="B85" s="1" t="s">
        <v>773</v>
      </c>
      <c r="C85" s="761">
        <v>0.12610689999999999</v>
      </c>
      <c r="D85" s="1">
        <f>+'Sys INPUT'!D83-D86+0</f>
        <v>9810987</v>
      </c>
      <c r="E85" s="1">
        <f>+'Sys INPUT'!E83-E86+0</f>
        <v>169067</v>
      </c>
      <c r="F85" s="1">
        <f>+'Sys INPUT'!F83-F86</f>
        <v>3100</v>
      </c>
      <c r="G85" s="1">
        <f>+'Sys INPUT'!G83-G86</f>
        <v>61972</v>
      </c>
      <c r="H85" s="1">
        <f>+'Sys INPUT'!H83-H86</f>
        <v>300039</v>
      </c>
      <c r="I85" s="1">
        <f>+'Sys INPUT'!I83-I86</f>
        <v>52517</v>
      </c>
      <c r="J85" s="1">
        <f>+'Sys INPUT'!J83-J86</f>
        <v>1445435</v>
      </c>
      <c r="K85" s="1">
        <f>+'Sys INPUT'!K83-K86+0</f>
        <v>1094</v>
      </c>
      <c r="L85" s="1">
        <f>+'Sys INPUT'!L83-L86</f>
        <v>18170</v>
      </c>
      <c r="M85" s="1">
        <f>+'Sys INPUT'!M83-M86</f>
        <v>564287</v>
      </c>
      <c r="N85" s="1">
        <f>+'Sys INPUT'!N83-N86+0</f>
        <v>70785</v>
      </c>
      <c r="O85" s="1">
        <f>+'Sys INPUT'!O83-O86+0</f>
        <v>50718</v>
      </c>
      <c r="P85" s="1">
        <f>+'Sys INPUT'!P83-P86</f>
        <v>0</v>
      </c>
      <c r="Q85" s="1">
        <f>+'Sys INPUT'!Q83-Q86+0</f>
        <v>155860</v>
      </c>
      <c r="R85" s="1">
        <f>+'Sys INPUT'!R83-R86</f>
        <v>319240</v>
      </c>
      <c r="S85" s="1">
        <f>+'Sys INPUT'!S83-S86</f>
        <v>888450</v>
      </c>
      <c r="T85" s="1">
        <f>+'Sys INPUT'!T83-T86+0</f>
        <v>259</v>
      </c>
      <c r="U85" s="1">
        <f>+'Sys INPUT'!U83-U86</f>
        <v>513033</v>
      </c>
      <c r="V85" s="1">
        <f>+'Sys INPUT'!V83-V86+0</f>
        <v>2113</v>
      </c>
      <c r="W85" s="1">
        <f>+'Sys INPUT'!W83-W86</f>
        <v>214169</v>
      </c>
      <c r="X85" s="1">
        <f>+'Sys INPUT'!X83-X86</f>
        <v>3709334</v>
      </c>
      <c r="Y85" s="1">
        <f>+'Sys INPUT'!Y83-Y86+0</f>
        <v>30041</v>
      </c>
      <c r="Z85" s="1">
        <f>+'Sys INPUT'!Z83-Z86</f>
        <v>89843</v>
      </c>
      <c r="AA85" s="1">
        <f>+'Sys INPUT'!AA83-AA86+0</f>
        <v>83996</v>
      </c>
      <c r="AB85" s="1">
        <f>+'Sys INPUT'!AB83-AB86+0</f>
        <v>1400316</v>
      </c>
      <c r="AC85" s="1">
        <f>+'Sys INPUT'!AC83-AC86</f>
        <v>200598</v>
      </c>
      <c r="AD85" s="1">
        <f>+'Sys INPUT'!AD83-AD86</f>
        <v>23621</v>
      </c>
      <c r="AE85" s="1">
        <f>+'Sys INPUT'!AE83-AE86</f>
        <v>69215</v>
      </c>
      <c r="AF85" s="1">
        <f>+'Sys INPUT'!AF83-AF86</f>
        <v>17802</v>
      </c>
      <c r="AG85" s="1">
        <f>+'Sys INPUT'!AG83-AG86</f>
        <v>354862</v>
      </c>
      <c r="AH85" s="1">
        <f>+'Sys INPUT'!AH83-AH86</f>
        <v>213046</v>
      </c>
      <c r="AI85" s="1">
        <f>+'Sys INPUT'!AI83-AI86</f>
        <v>18326</v>
      </c>
      <c r="AJ85" s="1">
        <f>+'Sys INPUT'!AJ83-AJ86</f>
        <v>52447</v>
      </c>
      <c r="AK85" s="1">
        <f>+'Sys INPUT'!AK83-AK86</f>
        <v>4843</v>
      </c>
      <c r="AL85" s="1">
        <f>+'Sys INPUT'!AL83-AL86</f>
        <v>29835</v>
      </c>
      <c r="AM85" s="1">
        <f>+'Sys INPUT'!AM83-AM86</f>
        <v>33500</v>
      </c>
      <c r="AN85" s="1">
        <f>+'Sys INPUT'!AN83-AN86</f>
        <v>141432</v>
      </c>
      <c r="AO85" s="1">
        <f>+'Sys INPUT'!AO83-AO86</f>
        <v>0</v>
      </c>
      <c r="AP85" s="1">
        <f>+'Sys INPUT'!AP83-AP86</f>
        <v>1406989</v>
      </c>
      <c r="AQ85" s="1">
        <f>+'Sys INPUT'!AQ83-AQ86</f>
        <v>732323</v>
      </c>
      <c r="AR85" s="1">
        <f>+'Sys INPUT'!AR83-AR86</f>
        <v>0</v>
      </c>
      <c r="AS85" s="1">
        <f>+'Sys INPUT'!AS83-AS86</f>
        <v>81342</v>
      </c>
      <c r="AT85" s="1">
        <f>+'Sys INPUT'!AT83-AT86</f>
        <v>551388</v>
      </c>
      <c r="AU85" s="1">
        <f>+'Sys INPUT'!AU83-AU86</f>
        <v>0</v>
      </c>
      <c r="AV85" s="1">
        <f>+'Sys INPUT'!AV83-AV86</f>
        <v>0</v>
      </c>
      <c r="AW85" s="1"/>
      <c r="AX85" s="1">
        <f>+'Sys INPUT'!AX83-AX86+0</f>
        <v>0</v>
      </c>
      <c r="AY85" s="1">
        <f>+'Sys INPUT'!AY83-AY86</f>
        <v>0</v>
      </c>
      <c r="AZ85" s="1">
        <f>+'Sys INPUT'!AZ83-AZ86+0</f>
        <v>14754</v>
      </c>
      <c r="BA85" s="1">
        <f>+'Sys INPUT'!BA83-BA86+0</f>
        <v>0</v>
      </c>
      <c r="BB85" s="1">
        <f>+'Sys INPUT'!BB83-BB86+0</f>
        <v>7896408</v>
      </c>
      <c r="BC85" s="1">
        <f>+'Sys INPUT'!BC83-BC86</f>
        <v>5729439</v>
      </c>
      <c r="BD85" s="1">
        <f>+'Sys INPUT'!BD83</f>
        <v>0</v>
      </c>
      <c r="BE85" s="1"/>
      <c r="BF85" s="1">
        <f>SUM(E85:BE85)</f>
        <v>27716008</v>
      </c>
      <c r="BG85" s="1">
        <f t="shared" ref="BG85:BG113" si="141">+BF85-X85-P85-BB85-BC85</f>
        <v>10380827</v>
      </c>
      <c r="BH85" s="1">
        <f>+'Sys INPUT'!BH83-BH86</f>
        <v>0</v>
      </c>
      <c r="BI85" s="1">
        <f>+'Sys INPUT'!BI83-BI86</f>
        <v>34672</v>
      </c>
      <c r="BJ85" s="1">
        <f>+'Sys INPUT'!BJ83-BJ86+0</f>
        <v>0</v>
      </c>
      <c r="BK85" s="1">
        <f>+'Sys INPUT'!BK83-BK86</f>
        <v>325061</v>
      </c>
      <c r="BL85" s="1">
        <f>+'Sys INPUT'!BL83-BL86</f>
        <v>46688</v>
      </c>
      <c r="BM85" s="1">
        <f>+'Sys INPUT'!BM83-BM86</f>
        <v>16314</v>
      </c>
      <c r="BN85" s="1">
        <f>+'Sys INPUT'!BN83-BN86</f>
        <v>101680</v>
      </c>
      <c r="BO85" s="1"/>
      <c r="BP85" s="1">
        <f>SUM(BH85:BN85)</f>
        <v>524415</v>
      </c>
      <c r="BQ85" s="1">
        <f>+BP85-BN85</f>
        <v>422735</v>
      </c>
      <c r="BR85" s="1">
        <f>+'Sys INPUT'!BR83-BR86</f>
        <v>14134623</v>
      </c>
      <c r="BS85" s="1">
        <f>+'Sys INPUT'!BS83-BS86</f>
        <v>0</v>
      </c>
      <c r="BT85" s="1">
        <f>+'Sys INPUT'!BT83-BT86+0</f>
        <v>0</v>
      </c>
      <c r="BU85" s="1">
        <f>+'Sys INPUT'!BU83-BU86+0</f>
        <v>0</v>
      </c>
      <c r="BV85" s="1">
        <f>+'Sys INPUT'!BV83-BV86+0</f>
        <v>0</v>
      </c>
      <c r="BW85" s="1">
        <f>+'Sys INPUT'!BW83-BW86+0</f>
        <v>2060137</v>
      </c>
      <c r="BX85" s="3"/>
      <c r="BY85" s="1">
        <f t="shared" ref="BY85:BY95" si="142">SUM(BR85:BX85)</f>
        <v>16194760</v>
      </c>
      <c r="BZ85" s="1">
        <f>+BY85-BR85</f>
        <v>2060137</v>
      </c>
      <c r="CA85" s="1">
        <f t="shared" ref="CA85:CA124" si="143">+BG85+BQ85+BZ85+EF85</f>
        <v>12863699</v>
      </c>
      <c r="CB85" s="1"/>
      <c r="CC85" s="1">
        <f>+'Sys INPUT'!CC83-CC86+0</f>
        <v>637767</v>
      </c>
      <c r="CD85" s="1">
        <f>+'Sys INPUT'!CD83-CD86</f>
        <v>29710</v>
      </c>
      <c r="CE85" s="1">
        <f>+'Sys INPUT'!CE83-CE86</f>
        <v>20618</v>
      </c>
      <c r="CF85" s="1">
        <f>+'Sys INPUT'!CF83-CF86</f>
        <v>980627</v>
      </c>
      <c r="CG85" s="1">
        <f>+'Sys INPUT'!CG83-CG86</f>
        <v>3528257</v>
      </c>
      <c r="CH85" s="1">
        <f>+'Sys INPUT'!CH83-CH86+0</f>
        <v>96568</v>
      </c>
      <c r="CI85" s="1"/>
      <c r="CJ85" s="1">
        <f>SUM(CB85:CI85)</f>
        <v>5293547</v>
      </c>
      <c r="CK85" s="1"/>
      <c r="CL85" s="1">
        <f>+'Sys INPUT'!CL83-CL86</f>
        <v>1933543</v>
      </c>
      <c r="CM85" s="1137">
        <f>+'Sys INPUT'!CM83-CM86-0+0</f>
        <v>321755</v>
      </c>
      <c r="CN85" s="1">
        <f>+'Sys INPUT'!CN83-CN86</f>
        <v>302133</v>
      </c>
      <c r="CO85" s="1">
        <f>+'Sys INPUT'!CO83-CO86+0</f>
        <v>79121</v>
      </c>
      <c r="CP85" s="1">
        <f>+'Sys INPUT'!CP83-CP86</f>
        <v>1177948</v>
      </c>
      <c r="CQ85" s="1">
        <f>+'Sys INPUT'!CQ83-CQ86</f>
        <v>673058</v>
      </c>
      <c r="CR85" s="1">
        <f>+'Sys INPUT'!CR83-CR86</f>
        <v>81800</v>
      </c>
      <c r="CS85" s="1"/>
      <c r="CT85" s="5"/>
      <c r="CU85" s="1">
        <f>SUM(CL85:CT85)</f>
        <v>4569358</v>
      </c>
      <c r="CW85" s="1">
        <f>+'Sys INPUT'!CW83-CW86+0+0+0+0</f>
        <v>3267547</v>
      </c>
      <c r="CX85" s="1">
        <f>+'Sys INPUT'!CX83-CX86</f>
        <v>0</v>
      </c>
      <c r="CY85" s="1">
        <f>+'Sys INPUT'!CY83-CY86</f>
        <v>27580</v>
      </c>
      <c r="CZ85" s="1">
        <f>+'Sys INPUT'!CZ83-CZ86-0</f>
        <v>34934</v>
      </c>
      <c r="DA85" s="1">
        <f>+'Sys INPUT'!DA83-DA86</f>
        <v>0</v>
      </c>
      <c r="DB85" s="1">
        <f>+'Sys INPUT'!DB83-DB86</f>
        <v>37080</v>
      </c>
      <c r="DC85" s="1">
        <f>+'Sys INPUT'!DC83-DC86</f>
        <v>7063</v>
      </c>
      <c r="DD85" s="1">
        <f>+'Sys INPUT'!DD83-DD86</f>
        <v>0</v>
      </c>
      <c r="DE85" s="1">
        <f>+'Sys INPUT'!DE83-DE86</f>
        <v>7228</v>
      </c>
      <c r="DF85" s="1">
        <f>+'Sys INPUT'!DF83-DF86</f>
        <v>0</v>
      </c>
      <c r="DG85" s="1">
        <f>+'Sys INPUT'!DG83-DG86</f>
        <v>171676</v>
      </c>
      <c r="DH85" s="1">
        <f>+'Sys INPUT'!DH83-DH86</f>
        <v>908</v>
      </c>
      <c r="DI85" s="1">
        <f>+'Sys INPUT'!DI83-DI86</f>
        <v>400494</v>
      </c>
      <c r="DJ85" s="1">
        <f>+'Sys INPUT'!DJ83-DJ86</f>
        <v>248613</v>
      </c>
      <c r="DK85" s="1">
        <f>+'Sys INPUT'!DK83-DK86</f>
        <v>4132</v>
      </c>
      <c r="DL85" s="1">
        <f>+'Sys INPUT'!DL83-DL86-0</f>
        <v>1113022</v>
      </c>
      <c r="DM85" s="1">
        <f>+'Sys INPUT'!DM83-DM86</f>
        <v>0</v>
      </c>
      <c r="DN85" s="1">
        <f>+'Sys INPUT'!DN83-DN86</f>
        <v>75989</v>
      </c>
      <c r="DO85" s="1">
        <f>+'Sys INPUT'!DO83-DO86+0</f>
        <v>49691</v>
      </c>
      <c r="DP85" s="1">
        <f>+'Sys INPUT'!DP83-DP86</f>
        <v>28842</v>
      </c>
      <c r="DQ85" s="1">
        <f>+'Sys INPUT'!DQ83-DQ86</f>
        <v>5601320</v>
      </c>
      <c r="DR85" s="1">
        <f>+'Sys INPUT'!DR83-DR86-DU84</f>
        <v>43482021</v>
      </c>
      <c r="DS85" s="1">
        <f>+'Sys INPUT'!DS83-DS86+0</f>
        <v>739119</v>
      </c>
      <c r="DT85" s="1">
        <f>+'Sys INPUT'!DT83-DT86</f>
        <v>1100819</v>
      </c>
      <c r="DU85" s="1">
        <f>+'FID FDS'!N11</f>
        <v>4704521</v>
      </c>
      <c r="DW85" s="1">
        <f>+CW85+CY85+DB85+DC85+DD85+DE85+DJ85+DL85+DN85+DP85+DQ85+DR85+DS85+DT85</f>
        <v>55736243</v>
      </c>
      <c r="DX85" s="1">
        <f>+DW85-DQ85-DR85</f>
        <v>6652902</v>
      </c>
      <c r="DY85" s="1">
        <f>+'Sys INPUT'!DZ83</f>
        <v>155027</v>
      </c>
      <c r="DZ85" s="1"/>
      <c r="EB85" s="1">
        <f>'Sys INPUT'!EC83-EB86</f>
        <v>0</v>
      </c>
      <c r="EC85" s="1"/>
      <c r="ED85" s="1"/>
      <c r="EE85" s="1"/>
      <c r="EF85" s="1">
        <f>+'Sys INPUT'!EG83-EF86</f>
        <v>0</v>
      </c>
      <c r="EG85" s="1"/>
      <c r="EL85" s="42">
        <f>+'Sys INPUT'!HT83+'Sys INPUT'!HU83-EL86+0</f>
        <v>0</v>
      </c>
      <c r="EM85" s="1">
        <f>+'Sys INPUT'!HV83-EM86</f>
        <v>0</v>
      </c>
      <c r="EN85">
        <f t="shared" si="133"/>
        <v>120272567</v>
      </c>
      <c r="EQ85" s="1">
        <f>+CW85</f>
        <v>3267547</v>
      </c>
    </row>
    <row r="86" spans="1:147" ht="16.5" thickBot="1">
      <c r="A86" s="1"/>
      <c r="B86" s="1" t="s">
        <v>27</v>
      </c>
      <c r="C86" s="1084">
        <f>SUM(C84:C85)</f>
        <v>0.16037089999999998</v>
      </c>
      <c r="D86" s="42">
        <f>ROUND('Sys INPUT'!D83*+$C$86,0)+0</f>
        <v>1873919</v>
      </c>
      <c r="E86" s="1">
        <f>ROUND('Sys INPUT'!E83*$C$86,0)+0</f>
        <v>32292</v>
      </c>
      <c r="F86" s="1">
        <f>ROUND('Sys INPUT'!F83*$C$86,0)-0</f>
        <v>592</v>
      </c>
      <c r="G86" s="1">
        <f>ROUND('Sys INPUT'!G83*$C$86,0)-0</f>
        <v>11837</v>
      </c>
      <c r="H86" s="1">
        <f>ROUND('Sys INPUT'!H83*$C$86,0)-0</f>
        <v>57308</v>
      </c>
      <c r="I86" s="1">
        <f>ROUND('Sys INPUT'!I83*$C$86,0)-0</f>
        <v>10031</v>
      </c>
      <c r="J86" s="1">
        <f>ROUND('Sys INPUT'!J83*$C$86,0)-0</f>
        <v>276081</v>
      </c>
      <c r="K86" s="1">
        <f>ROUND('Sys INPUT'!K83*$C$86,0)+0</f>
        <v>209</v>
      </c>
      <c r="L86" s="1">
        <f>ROUND('Sys INPUT'!L83*$C$86,0)-0</f>
        <v>3470</v>
      </c>
      <c r="M86" s="1">
        <f>ROUND('Sys INPUT'!M83*$C$86,0)-0</f>
        <v>107780</v>
      </c>
      <c r="N86" s="1">
        <f>ROUND('Sys INPUT'!N83*$C$86,0)-0</f>
        <v>13520</v>
      </c>
      <c r="O86" s="1">
        <f>ROUND('Sys INPUT'!O83*$C$86,0)-0</f>
        <v>9687</v>
      </c>
      <c r="P86" s="1">
        <f>ROUND('Sys INPUT'!P83*$C$86,0)-0</f>
        <v>0</v>
      </c>
      <c r="Q86" s="1">
        <f>ROUND('Sys INPUT'!Q83*$C$86,0)-0</f>
        <v>29769</v>
      </c>
      <c r="R86" s="1">
        <f>ROUND('Sys INPUT'!R83*$C$86,0)-0</f>
        <v>60975</v>
      </c>
      <c r="S86" s="1">
        <f>ROUND('Sys INPUT'!S83*$C$86,0)</f>
        <v>169696</v>
      </c>
      <c r="T86" s="1">
        <f>ROUND('Sys INPUT'!T83*$C$86,0)-0</f>
        <v>49</v>
      </c>
      <c r="U86" s="1">
        <f>ROUND('Sys INPUT'!U83*$C$86,0)-0</f>
        <v>97990</v>
      </c>
      <c r="V86" s="1">
        <f>ROUND('Sys INPUT'!V83*$C$86,0)-0</f>
        <v>404</v>
      </c>
      <c r="W86" s="1">
        <f>ROUND('Sys INPUT'!W83*$C$86,0)-0</f>
        <v>40907</v>
      </c>
      <c r="X86" s="1">
        <f>ROUND('Sys INPUT'!X83*$C$86,0)-0</f>
        <v>708491</v>
      </c>
      <c r="Y86" s="1">
        <f>ROUND('Sys INPUT'!Y83*$C$86,0)-0</f>
        <v>5738</v>
      </c>
      <c r="Z86" s="1">
        <f>ROUND('Sys INPUT'!Z83*$C$86,0)</f>
        <v>17160</v>
      </c>
      <c r="AA86" s="1">
        <f>ROUND('Sys INPUT'!AA83*$C$86,0)-0</f>
        <v>16043</v>
      </c>
      <c r="AB86" s="1">
        <f>ROUND('Sys INPUT'!AB83*$C$86,0)-0</f>
        <v>267463</v>
      </c>
      <c r="AC86" s="1">
        <f>ROUND('Sys INPUT'!AC83*$C$86,0)-0</f>
        <v>38315</v>
      </c>
      <c r="AD86" s="1">
        <f>ROUND('Sys INPUT'!AD83*$C$86,0)-0</f>
        <v>4512</v>
      </c>
      <c r="AE86" s="1">
        <f>ROUND('Sys INPUT'!AE83*$C$86,0)-0</f>
        <v>13220</v>
      </c>
      <c r="AF86" s="1">
        <f>ROUND('Sys INPUT'!AF83*$C$86,0)-0</f>
        <v>3400</v>
      </c>
      <c r="AG86" s="1">
        <f>ROUND('Sys INPUT'!AG83*$C$86,0)-0</f>
        <v>67779</v>
      </c>
      <c r="AH86" s="1">
        <f>ROUND('Sys INPUT'!AH83*$C$86,0)-0</f>
        <v>40692</v>
      </c>
      <c r="AI86" s="1">
        <f>ROUND('Sys INPUT'!AI83*$C$86,0)-0</f>
        <v>3500</v>
      </c>
      <c r="AJ86" s="1">
        <f>ROUND('Sys INPUT'!AJ83*$C$86,0)-0</f>
        <v>10017</v>
      </c>
      <c r="AK86" s="1">
        <f>ROUND('Sys INPUT'!AK83*$C$86,0)-0</f>
        <v>925</v>
      </c>
      <c r="AL86" s="1">
        <f>ROUND('Sys INPUT'!AL83*$C$86,0)-0</f>
        <v>5699</v>
      </c>
      <c r="AM86" s="1">
        <f>ROUND('Sys INPUT'!AM83*$C$86,0)-0</f>
        <v>6399</v>
      </c>
      <c r="AN86" s="1">
        <f>ROUND('Sys INPUT'!AN83*$C$86,0)-0</f>
        <v>27014</v>
      </c>
      <c r="AO86" s="1">
        <f>ROUND('Sys INPUT'!AO83*$C$86,0)-0</f>
        <v>0</v>
      </c>
      <c r="AP86" s="1">
        <f>ROUND('Sys INPUT'!AP83*$C$86,0)-0</f>
        <v>268738</v>
      </c>
      <c r="AQ86" s="1">
        <f>ROUND('Sys INPUT'!AQ83*$C$86,0)-0</f>
        <v>139875</v>
      </c>
      <c r="AR86" s="1">
        <f>ROUND('Sys INPUT'!AR83*$C$86,0)-0</f>
        <v>0</v>
      </c>
      <c r="AS86" s="1">
        <f>ROUND('Sys INPUT'!AS83*$C$86,0)-0</f>
        <v>15537</v>
      </c>
      <c r="AT86" s="1">
        <f>ROUND('Sys INPUT'!AT83*$C$86,0)-0</f>
        <v>105316</v>
      </c>
      <c r="AU86" s="1">
        <f>ROUND('Sys INPUT'!AU83*$C$86,0)-0</f>
        <v>0</v>
      </c>
      <c r="AV86" s="1">
        <f>ROUND('Sys INPUT'!AV83*$C$86,0)-0</f>
        <v>0</v>
      </c>
      <c r="AW86" s="1"/>
      <c r="AX86" s="1">
        <f>ROUND('Sys INPUT'!AX83*$C$86,0)+0</f>
        <v>0</v>
      </c>
      <c r="AY86" s="1">
        <f>ROUND('Sys INPUT'!AY83*$C$86,0)-0</f>
        <v>0</v>
      </c>
      <c r="AZ86" s="1">
        <f>ROUND('Sys INPUT'!AZ83*$C$86,0)+0</f>
        <v>2818</v>
      </c>
      <c r="BA86" s="1">
        <f>ROUND('Sys INPUT'!BA83*$C$86,0)-0</f>
        <v>0</v>
      </c>
      <c r="BB86" s="1">
        <f>ROUND('Sys INPUT'!BB83*$C$86,0)+0</f>
        <v>1508230</v>
      </c>
      <c r="BC86" s="1">
        <f>ROUND('Sys INPUT'!BC83*$C$86,0)+0</f>
        <v>1094335</v>
      </c>
      <c r="BD86" s="1"/>
      <c r="BE86" s="1"/>
      <c r="BF86" s="1">
        <f>SUM(E86:BE86)</f>
        <v>5293813</v>
      </c>
      <c r="BG86" s="1">
        <f t="shared" si="141"/>
        <v>1982757</v>
      </c>
      <c r="BH86" s="1">
        <f>ROUND('Sys INPUT'!BH83*$C$86,0)-0</f>
        <v>0</v>
      </c>
      <c r="BI86" s="1">
        <f>ROUND('Sys INPUT'!BI83*$C$86,0)-0</f>
        <v>6622</v>
      </c>
      <c r="BJ86" s="1">
        <f>ROUND('Sys INPUT'!BJ83*$C$86,0)+0</f>
        <v>0</v>
      </c>
      <c r="BK86" s="1">
        <f>ROUND('Sys INPUT'!BK83*$C$86,0)</f>
        <v>62087</v>
      </c>
      <c r="BL86" s="1">
        <f>ROUND('Sys INPUT'!BL83*$C$86,0)-0</f>
        <v>8918</v>
      </c>
      <c r="BM86" s="1">
        <f>ROUND('Sys INPUT'!BM83*$C$86,0)-0</f>
        <v>3116</v>
      </c>
      <c r="BN86" s="1">
        <f>ROUND('Sys INPUT'!BN83*$C$86,0)-0</f>
        <v>19421</v>
      </c>
      <c r="BO86" s="1"/>
      <c r="BP86" s="1">
        <f>SUM(BH86:BN86)</f>
        <v>100164</v>
      </c>
      <c r="BQ86" s="1">
        <f>+BP86-BN86</f>
        <v>80743</v>
      </c>
      <c r="BR86" s="1">
        <f>ROUND('Sys INPUT'!BR83*$C$86,0)-0</f>
        <v>2699742</v>
      </c>
      <c r="BS86" s="1">
        <f>ROUND('Sys INPUT'!BS83*$C$86,0)-0</f>
        <v>0</v>
      </c>
      <c r="BT86" s="1">
        <f>ROUND('Sys INPUT'!BT83*$C$86,0)+0</f>
        <v>0</v>
      </c>
      <c r="BU86" s="1">
        <f>ROUND('Sys INPUT'!BU83*$C$86,0)+0</f>
        <v>0</v>
      </c>
      <c r="BV86" s="1">
        <f>ROUND('Sys INPUT'!BV83*$C$86,0)+0</f>
        <v>0</v>
      </c>
      <c r="BW86" s="1">
        <f>ROUND('Sys INPUT'!BW83*$C$86,0)-0</f>
        <v>393491</v>
      </c>
      <c r="BX86" s="3"/>
      <c r="BY86" s="1">
        <f t="shared" si="142"/>
        <v>3093233</v>
      </c>
      <c r="BZ86" s="1">
        <f t="shared" ref="BZ86:BZ154" si="144">+BY86-BR86</f>
        <v>393491</v>
      </c>
      <c r="CA86" s="1">
        <f t="shared" si="143"/>
        <v>2456991</v>
      </c>
      <c r="CB86" s="1"/>
      <c r="CC86" s="1">
        <f>ROUND('Sys INPUT'!CC83*$C$86,0)-0</f>
        <v>121815</v>
      </c>
      <c r="CD86" s="1">
        <f>ROUND('Sys INPUT'!CD83*$C$86,0)-0</f>
        <v>5675</v>
      </c>
      <c r="CE86" s="1">
        <f>ROUND('Sys INPUT'!CE83*$C$86,0)-0</f>
        <v>3938</v>
      </c>
      <c r="CF86" s="1">
        <f>ROUND('Sys INPUT'!CF83*$C$86,0)-0</f>
        <v>187302</v>
      </c>
      <c r="CG86" s="1">
        <f>ROUND('Sys INPUT'!CG83*$C$86,0)-0</f>
        <v>673905</v>
      </c>
      <c r="CH86" s="1">
        <f>ROUND('Sys INPUT'!CH83*$C$86,0)-0</f>
        <v>18445</v>
      </c>
      <c r="CI86" s="1"/>
      <c r="CJ86" s="1">
        <f>SUM(CB86:CI86)</f>
        <v>1011080</v>
      </c>
      <c r="CK86" s="1"/>
      <c r="CL86" s="1">
        <f>ROUND('Sys INPUT'!CL83*$C$86,0)-0</f>
        <v>369311</v>
      </c>
      <c r="CM86" s="1">
        <f>ROUND('Sys INPUT'!CM83*$C$86,0)-0</f>
        <v>61456</v>
      </c>
      <c r="CN86" s="1">
        <f>ROUND('Sys INPUT'!CN83*$C$86,0)</f>
        <v>57708</v>
      </c>
      <c r="CO86" s="1">
        <f>ROUND('Sys INPUT'!CO83*$C$86,0)-0</f>
        <v>15112</v>
      </c>
      <c r="CP86" s="1">
        <f>ROUND('Sys INPUT'!CP83*$C$86,0)-0</f>
        <v>224990</v>
      </c>
      <c r="CQ86" s="1">
        <f>ROUND('Sys INPUT'!CQ83*$C$86,0)-0</f>
        <v>128556</v>
      </c>
      <c r="CR86" s="1">
        <f>ROUND('Sys INPUT'!CR83*$C$86,0)-0</f>
        <v>15624</v>
      </c>
      <c r="CS86" s="1"/>
      <c r="CT86" s="5"/>
      <c r="CU86" s="1">
        <f>SUM(CL86:CT86)</f>
        <v>872757</v>
      </c>
      <c r="CW86" s="1">
        <f>ROUND('Sys INPUT'!CW83*$C$86,0)-0</f>
        <v>624108</v>
      </c>
      <c r="CX86" s="1">
        <f>ROUND('Sys INPUT'!CX83*$C$86,0)-0</f>
        <v>0</v>
      </c>
      <c r="CY86" s="1">
        <f>ROUND('Sys INPUT'!CY83*$C$86,0)-0</f>
        <v>5268</v>
      </c>
      <c r="CZ86" s="1">
        <f>ROUND('Sys INPUT'!CZ83*$C$86,0)-0</f>
        <v>6672</v>
      </c>
      <c r="DA86" s="1">
        <f>ROUND('Sys INPUT'!DA83*$C$86,0)-0</f>
        <v>0</v>
      </c>
      <c r="DB86" s="1">
        <f>ROUND('Sys INPUT'!DB83*$C$86,0)-0</f>
        <v>7082</v>
      </c>
      <c r="DC86" s="1">
        <f>ROUND('Sys INPUT'!DC83*$C$86,0)-0</f>
        <v>1349</v>
      </c>
      <c r="DD86" s="1">
        <f>ROUND('Sys INPUT'!DD83*$C$86,0)-0</f>
        <v>0</v>
      </c>
      <c r="DE86" s="1">
        <f>ROUND('Sys INPUT'!DE83*$C$86,0)-0</f>
        <v>1380</v>
      </c>
      <c r="DF86" s="1">
        <f>ROUND('Sys INPUT'!DF83*$C$86,0)-0</f>
        <v>0</v>
      </c>
      <c r="DG86" s="1">
        <f>ROUND('Sys INPUT'!DG83*$C$86,0)-0</f>
        <v>32790</v>
      </c>
      <c r="DH86" s="1">
        <f>ROUND('Sys INPUT'!DH83*$C$86,0)-0</f>
        <v>174</v>
      </c>
      <c r="DI86" s="1">
        <f>ROUND('Sys INPUT'!DI83*$C$86,0)-0</f>
        <v>76495</v>
      </c>
      <c r="DJ86" s="1">
        <f>ROUND('Sys INPUT'!DJ83*$C$86,0)-0</f>
        <v>47486</v>
      </c>
      <c r="DK86" s="1">
        <f>ROUND('Sys INPUT'!DK83*$C$86,0)-0</f>
        <v>789</v>
      </c>
      <c r="DL86" s="1">
        <f>ROUND('Sys INPUT'!DL83*$C$86,0)-0</f>
        <v>212589</v>
      </c>
      <c r="DM86" s="1">
        <f>ROUND('Sys INPUT'!DM83*$C$86,0)-0</f>
        <v>0</v>
      </c>
      <c r="DN86" s="1">
        <f>ROUND('Sys INPUT'!DN83*$C$86,0)-0</f>
        <v>14514</v>
      </c>
      <c r="DO86" s="1">
        <f>ROUND('Sys INPUT'!DO83*$C$86,0)-0</f>
        <v>9491</v>
      </c>
      <c r="DP86" s="1">
        <f>ROUND('Sys INPUT'!DP83*$C$86,0)-0</f>
        <v>5509</v>
      </c>
      <c r="DQ86" s="1127">
        <f>ROUND('Sys INPUT'!DQ83*$C$86,0)</f>
        <v>1069864</v>
      </c>
      <c r="DR86" s="1">
        <f>ROUND(('Sys INPUT'!DR83-DU85)*$C$86,0)-DU86</f>
        <v>8305156</v>
      </c>
      <c r="DS86" s="1">
        <f>ROUND('Sys INPUT'!DS83*$C$86,0)-0</f>
        <v>141173</v>
      </c>
      <c r="DT86" s="1">
        <f>ROUND('Sys INPUT'!DT83*$C$86,0)-0</f>
        <v>210259</v>
      </c>
      <c r="DU86" s="1">
        <v>0</v>
      </c>
      <c r="DW86" s="1">
        <f>+CW86+CY86+DB86+DC86+DD86+DE86+DJ86+DL86+DN86+DP86+DQ86+DR86+DS86+DT86</f>
        <v>10645737</v>
      </c>
      <c r="DX86" s="1">
        <f>+DW86-DQ86-DR86</f>
        <v>1270717</v>
      </c>
      <c r="DY86" s="1"/>
      <c r="DZ86" s="1"/>
      <c r="EB86" s="1">
        <f>ROUND('Sys INPUT'!EC83*$C$86,0)</f>
        <v>0</v>
      </c>
      <c r="EC86" s="1"/>
      <c r="ED86" s="1"/>
      <c r="EE86" s="1"/>
      <c r="EF86" s="1"/>
      <c r="EG86" s="1"/>
      <c r="EK86" s="32">
        <f>ROUND('Sys INPUT'!EL83*0.2205917,0)</f>
        <v>0</v>
      </c>
      <c r="EL86" s="32">
        <f>ROUND('Sys INPUT'!EM83*0.2205917,0)</f>
        <v>0</v>
      </c>
      <c r="EM86" s="32">
        <f>ROUND('Sys INPUT'!EN83*0.2205917,0)</f>
        <v>0</v>
      </c>
      <c r="EN86">
        <f t="shared" si="133"/>
        <v>22044123</v>
      </c>
      <c r="EQ86" s="1">
        <f>+CW86</f>
        <v>624108</v>
      </c>
    </row>
    <row r="87" spans="1:147" ht="16.5" thickTop="1">
      <c r="A87" s="1"/>
      <c r="B87" s="89" t="s">
        <v>3257</v>
      </c>
      <c r="C87" s="1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f t="shared" si="141"/>
        <v>0</v>
      </c>
      <c r="BH87" s="1"/>
      <c r="BI87" s="1"/>
      <c r="BJ87" s="1"/>
      <c r="BK87" s="1"/>
      <c r="BL87" s="1"/>
      <c r="BM87" s="1"/>
      <c r="BN87" s="1"/>
      <c r="BO87" s="1"/>
      <c r="BP87" s="1"/>
      <c r="BQ87" s="1"/>
      <c r="BR87" s="9"/>
      <c r="BS87" s="9"/>
      <c r="BT87" s="9"/>
      <c r="BU87" s="9"/>
      <c r="BV87" s="9"/>
      <c r="BW87" s="9"/>
      <c r="BX87" s="3"/>
      <c r="BY87" s="1">
        <f t="shared" si="142"/>
        <v>0</v>
      </c>
      <c r="BZ87" s="1">
        <f t="shared" si="144"/>
        <v>0</v>
      </c>
      <c r="CA87" s="1">
        <f t="shared" si="143"/>
        <v>0</v>
      </c>
      <c r="CB87" s="1"/>
      <c r="CC87" s="1"/>
      <c r="CD87" s="1"/>
      <c r="CE87" s="1"/>
      <c r="CF87" s="1"/>
      <c r="CG87" s="1"/>
      <c r="CH87" s="1"/>
      <c r="CI87" s="1"/>
      <c r="CJ87" s="1"/>
      <c r="CK87" s="1"/>
      <c r="CL87" s="9"/>
      <c r="CM87" s="46"/>
      <c r="CN87" s="9"/>
      <c r="CO87" s="9"/>
      <c r="CP87" s="9"/>
      <c r="CQ87" s="9"/>
      <c r="CR87" s="9"/>
      <c r="CS87" s="1"/>
      <c r="CT87" s="5"/>
      <c r="CU87" s="1"/>
      <c r="CW87" s="1"/>
      <c r="CX87" s="9"/>
      <c r="CY87" s="9"/>
      <c r="CZ87" s="9"/>
      <c r="DA87" s="9"/>
      <c r="DB87" s="9"/>
      <c r="DC87" s="9"/>
      <c r="DD87" s="9"/>
      <c r="DE87" s="9"/>
      <c r="DF87" s="9"/>
      <c r="DG87" s="9"/>
      <c r="DH87" s="9"/>
      <c r="DI87" s="9"/>
      <c r="DJ87" s="9"/>
      <c r="DK87" s="9"/>
      <c r="DL87" s="9"/>
      <c r="DM87" s="9"/>
      <c r="DN87" s="9"/>
      <c r="DO87" s="9"/>
      <c r="DP87" s="9"/>
      <c r="DQ87" s="9"/>
      <c r="DR87" s="9"/>
      <c r="DS87" s="9"/>
      <c r="DT87" s="9"/>
      <c r="DW87" s="1"/>
      <c r="DX87" s="1"/>
      <c r="DY87" s="1"/>
      <c r="DZ87" s="1"/>
      <c r="EB87" s="1"/>
      <c r="EC87" s="1"/>
      <c r="ED87" s="1"/>
      <c r="EE87" s="1"/>
      <c r="EF87" s="1"/>
      <c r="EG87" s="1"/>
      <c r="EL87" s="1"/>
      <c r="EM87" s="9"/>
      <c r="EN87">
        <f t="shared" si="133"/>
        <v>0</v>
      </c>
      <c r="EQ87" s="1"/>
    </row>
    <row r="88" spans="1:147" ht="15.75">
      <c r="A88" s="1"/>
      <c r="B88" s="89" t="s">
        <v>934</v>
      </c>
      <c r="C88" s="11"/>
      <c r="D88" s="42">
        <f>+'Sys INPUT'!D86-D334+0</f>
        <v>217898</v>
      </c>
      <c r="E88" s="1">
        <f>+'Sys INPUT'!E86-E334</f>
        <v>0</v>
      </c>
      <c r="F88" s="1">
        <f>+'Sys INPUT'!F86-F334</f>
        <v>277</v>
      </c>
      <c r="G88" s="1">
        <f>+'Sys INPUT'!G86-G334</f>
        <v>7744</v>
      </c>
      <c r="H88" s="1">
        <f>+'Sys INPUT'!H86-H334</f>
        <v>30251</v>
      </c>
      <c r="I88" s="1">
        <f>+'Sys INPUT'!I86-I334</f>
        <v>2881</v>
      </c>
      <c r="J88" s="1">
        <f>+'Sys INPUT'!J86-J334</f>
        <v>68875</v>
      </c>
      <c r="K88" s="1">
        <f>+'Sys INPUT'!K86-K334</f>
        <v>67</v>
      </c>
      <c r="L88" s="1">
        <f>+'Sys INPUT'!L86-L334</f>
        <v>3879</v>
      </c>
      <c r="M88" s="42">
        <f>+'Sys INPUT'!M86-M334+31546</f>
        <v>45701</v>
      </c>
      <c r="N88" s="1">
        <f>+'Sys INPUT'!N86-N334</f>
        <v>3894</v>
      </c>
      <c r="O88" s="1">
        <f>+'Sys INPUT'!O86-O334</f>
        <v>405</v>
      </c>
      <c r="P88" s="1">
        <f>+'Sys INPUT'!P86-P334</f>
        <v>0</v>
      </c>
      <c r="Q88" s="1">
        <f>+'Sys INPUT'!Q86-Q334</f>
        <v>38716</v>
      </c>
      <c r="R88" s="1">
        <f>+'Sys INPUT'!R86-R334</f>
        <v>9535</v>
      </c>
      <c r="S88" s="42">
        <f>+'Sys INPUT'!S86-S334+0</f>
        <v>6179</v>
      </c>
      <c r="T88" s="1">
        <f>+'Sys INPUT'!T86-T334</f>
        <v>53</v>
      </c>
      <c r="U88" s="1">
        <f>+'Sys INPUT'!U86-U334</f>
        <v>31675</v>
      </c>
      <c r="V88" s="1">
        <f>+'Sys INPUT'!V86-V334</f>
        <v>4460</v>
      </c>
      <c r="W88" s="1">
        <f>+'Sys INPUT'!W86-W334</f>
        <v>5558</v>
      </c>
      <c r="X88" s="42">
        <f>+'Sys INPUT'!X86-X334+0</f>
        <v>258529</v>
      </c>
      <c r="Y88" s="1">
        <f>+'Sys INPUT'!Y86-Y334</f>
        <v>0</v>
      </c>
      <c r="Z88" s="1">
        <f>+'Sys INPUT'!Z86-Z334</f>
        <v>0</v>
      </c>
      <c r="AA88" s="1">
        <f>+'Sys INPUT'!AA86-AA334</f>
        <v>0</v>
      </c>
      <c r="AB88" s="1">
        <f>+'Sys INPUT'!AB86-AB334</f>
        <v>101110</v>
      </c>
      <c r="AC88" s="1">
        <f>+'Sys INPUT'!AC86-AC334</f>
        <v>0</v>
      </c>
      <c r="AD88" s="1">
        <f>+'Sys INPUT'!AD86-AD334</f>
        <v>0</v>
      </c>
      <c r="AE88" s="1">
        <f>+'Sys INPUT'!AE86-AE334</f>
        <v>0</v>
      </c>
      <c r="AF88" s="1">
        <f>+'Sys INPUT'!AF86-AF334</f>
        <v>0</v>
      </c>
      <c r="AG88" s="1">
        <f>+'Sys INPUT'!AG86-AG334</f>
        <v>0</v>
      </c>
      <c r="AH88" s="1">
        <f>+'Sys INPUT'!AH86-AH334</f>
        <v>0</v>
      </c>
      <c r="AI88" s="1">
        <f>+'Sys INPUT'!AI86-AI334</f>
        <v>0</v>
      </c>
      <c r="AJ88" s="1">
        <f>+'Sys INPUT'!AJ86-AJ334</f>
        <v>0</v>
      </c>
      <c r="AK88" s="1">
        <f>+'Sys INPUT'!AK86-AK334</f>
        <v>0</v>
      </c>
      <c r="AL88" s="1">
        <f>+'Sys INPUT'!AL86-AL334</f>
        <v>0</v>
      </c>
      <c r="AM88" s="1">
        <f>+'Sys INPUT'!AM86-AM334</f>
        <v>0</v>
      </c>
      <c r="AN88" s="1">
        <f>+'Sys INPUT'!AN86-AN334</f>
        <v>0</v>
      </c>
      <c r="AO88" s="1">
        <f>+'Sys INPUT'!AO86-AO334</f>
        <v>0</v>
      </c>
      <c r="AP88" s="1">
        <f>+'Sys INPUT'!AP86-AP334</f>
        <v>0</v>
      </c>
      <c r="AQ88" s="1">
        <f>+'Sys INPUT'!AQ86-AQ334</f>
        <v>0</v>
      </c>
      <c r="AR88" s="1">
        <f>+'Sys INPUT'!AR86-AR334</f>
        <v>0</v>
      </c>
      <c r="AS88" s="1">
        <f>+'Sys INPUT'!AS86-AS334</f>
        <v>0</v>
      </c>
      <c r="AT88" s="1">
        <f>+'Sys INPUT'!AT86-AT334</f>
        <v>0</v>
      </c>
      <c r="AU88" s="1">
        <f>+'Sys INPUT'!AU86-AU334</f>
        <v>0</v>
      </c>
      <c r="AV88" s="1">
        <f>+'Sys INPUT'!AV86-AV334</f>
        <v>0</v>
      </c>
      <c r="AW88" s="1"/>
      <c r="AX88" s="1">
        <f>+'Sys INPUT'!AX86-AX334</f>
        <v>0</v>
      </c>
      <c r="AY88" s="1">
        <f>+'Sys INPUT'!AY86-AY334</f>
        <v>0</v>
      </c>
      <c r="AZ88" s="1">
        <f>+'Sys INPUT'!AZ86-AZ334</f>
        <v>0</v>
      </c>
      <c r="BA88" s="1">
        <f>+'Sys INPUT'!BA86-BA334</f>
        <v>0</v>
      </c>
      <c r="BB88" s="1">
        <f>+'Sys INPUT'!BB86-BB334</f>
        <v>0</v>
      </c>
      <c r="BC88" s="1">
        <f>+'Sys INPUT'!BC86-BC334</f>
        <v>51569</v>
      </c>
      <c r="BD88" s="1">
        <f>+'Sys INPUT'!BD86-BD334</f>
        <v>0</v>
      </c>
      <c r="BE88" s="1"/>
      <c r="BF88" s="1">
        <f t="shared" ref="BF88:BF95" si="145">SUM(E88:BE88)</f>
        <v>671358</v>
      </c>
      <c r="BG88" s="1">
        <f t="shared" si="141"/>
        <v>361260</v>
      </c>
      <c r="BH88" s="1">
        <f>+'Sys INPUT'!BH86-BH334</f>
        <v>0</v>
      </c>
      <c r="BI88" s="1">
        <f>+'Sys INPUT'!BI86-BI334</f>
        <v>22255</v>
      </c>
      <c r="BJ88" s="1">
        <f>+'Sys INPUT'!BJ86-BJ334</f>
        <v>0</v>
      </c>
      <c r="BK88" s="1">
        <f>+'Sys INPUT'!BK86-BK334</f>
        <v>0</v>
      </c>
      <c r="BL88" s="1">
        <f>+'Sys INPUT'!BL86-BL334</f>
        <v>2228</v>
      </c>
      <c r="BM88" s="1">
        <f>+'Sys INPUT'!BM86-BM334</f>
        <v>15159</v>
      </c>
      <c r="BN88" s="1">
        <f>+'Sys INPUT'!BN86-BN334</f>
        <v>500937</v>
      </c>
      <c r="BO88" s="1"/>
      <c r="BP88" s="1">
        <f t="shared" ref="BP88:BP95" si="146">SUM(BH88:BN88)</f>
        <v>540579</v>
      </c>
      <c r="BQ88" s="1">
        <f>+BP88-BN88</f>
        <v>39642</v>
      </c>
      <c r="BR88" s="1">
        <f>+'Sys INPUT'!BR86-BR334</f>
        <v>0</v>
      </c>
      <c r="BS88" s="1">
        <f>+'Sys INPUT'!BS86-BS334</f>
        <v>0</v>
      </c>
      <c r="BT88" s="1">
        <f>+'Sys INPUT'!BT86-BT334</f>
        <v>0</v>
      </c>
      <c r="BU88" s="1">
        <f>+'Sys INPUT'!BU86-BU334</f>
        <v>0</v>
      </c>
      <c r="BV88" s="1">
        <f>+'Sys INPUT'!BV86-BV334</f>
        <v>0</v>
      </c>
      <c r="BW88" s="1">
        <f>+'Sys INPUT'!BW86-BW334</f>
        <v>0</v>
      </c>
      <c r="BX88" s="3"/>
      <c r="BY88" s="1">
        <f t="shared" si="142"/>
        <v>0</v>
      </c>
      <c r="BZ88" s="1">
        <f t="shared" si="144"/>
        <v>0</v>
      </c>
      <c r="CA88" s="1">
        <f t="shared" si="143"/>
        <v>400902</v>
      </c>
      <c r="CB88" s="1"/>
      <c r="CC88" s="1">
        <f>+'Sys INPUT'!CC86-CC334</f>
        <v>14685</v>
      </c>
      <c r="CD88" s="1"/>
      <c r="CE88" s="1"/>
      <c r="CF88" s="1"/>
      <c r="CG88" s="1"/>
      <c r="CH88" s="1"/>
      <c r="CI88" s="1"/>
      <c r="CJ88" s="1">
        <f t="shared" ref="CJ88:CJ95" si="147">SUM(CB88:CI88)</f>
        <v>14685</v>
      </c>
      <c r="CK88" s="1"/>
      <c r="CL88" s="1"/>
      <c r="CM88" s="46"/>
      <c r="CN88" s="1"/>
      <c r="CO88" s="1"/>
      <c r="CP88" s="1"/>
      <c r="CQ88" s="1"/>
      <c r="CR88" s="1"/>
      <c r="CS88" s="1"/>
      <c r="CT88" s="5"/>
      <c r="CU88" s="1">
        <f t="shared" ref="CU88:CU95" si="148">SUM(CL88:CT88)</f>
        <v>0</v>
      </c>
      <c r="CW88" s="1">
        <f>'Sys INPUT'!CW86-CW334</f>
        <v>88650</v>
      </c>
      <c r="CX88" s="1"/>
      <c r="CY88" s="1"/>
      <c r="CZ88" s="1"/>
      <c r="DA88" s="1"/>
      <c r="DB88" s="1"/>
      <c r="DC88" s="1"/>
      <c r="DD88" s="1"/>
      <c r="DE88" s="1"/>
      <c r="DF88" s="1">
        <f>'Sys INPUT'!DF86-DF334</f>
        <v>72836</v>
      </c>
      <c r="DG88" s="1">
        <f>'Sys INPUT'!DG86-DG334</f>
        <v>0</v>
      </c>
      <c r="DH88" s="1"/>
      <c r="DI88" s="1"/>
      <c r="DJ88" s="1"/>
      <c r="DK88" s="1"/>
      <c r="DL88" s="1"/>
      <c r="DM88" s="1"/>
      <c r="DN88" s="1"/>
      <c r="DO88" s="1"/>
      <c r="DP88" s="1"/>
      <c r="DQ88" s="1">
        <f>'Sys INPUT'!DQ86-DQ334</f>
        <v>97743</v>
      </c>
      <c r="DR88" s="1">
        <f>'Sys INPUT'!DR86-DR334</f>
        <v>1270594</v>
      </c>
      <c r="DS88" s="1">
        <f>'Sys INPUT'!DS86-DS334</f>
        <v>891729</v>
      </c>
      <c r="DT88" s="1">
        <f>'Sys INPUT'!DT86-DT334+0</f>
        <v>422764</v>
      </c>
      <c r="DW88" s="1">
        <f>+CW88+CY88+DB88+DC88+DD88+DE88+DJ88+DL88+DN88+DP88+DQ88+DR88+DS88+DT88</f>
        <v>2771480</v>
      </c>
      <c r="DX88" s="1"/>
      <c r="DY88" s="1"/>
      <c r="DZ88" s="1"/>
      <c r="EB88" s="1"/>
      <c r="EC88" s="1"/>
      <c r="ED88" s="1"/>
      <c r="EE88" s="1"/>
      <c r="EF88" s="1"/>
      <c r="EG88" s="1"/>
      <c r="EL88" s="1">
        <f>+'Sys INPUT'!HT86+'Sys INPUT'!HU86</f>
        <v>0</v>
      </c>
      <c r="EM88" s="1"/>
      <c r="EN88">
        <f t="shared" ref="EN88:EN94" si="149">+D88+BF88+BP88+BY88+CJ88+CU88+DW88+ED88</f>
        <v>4216000</v>
      </c>
      <c r="EO88">
        <f>+EN88-EN157</f>
        <v>3175370</v>
      </c>
      <c r="EQ88" s="1">
        <f>+'Sys INPUT'!AF86+'Sys INPUT'!ER86-EQ334</f>
        <v>102888</v>
      </c>
    </row>
    <row r="89" spans="1:147" ht="15.75">
      <c r="A89" s="1"/>
      <c r="B89" s="89" t="s">
        <v>1080</v>
      </c>
      <c r="C89" s="11"/>
      <c r="D89" s="1">
        <f>+'Sys INPUT'!D88+D284+D286+D289+D290+D291-D101</f>
        <v>123805</v>
      </c>
      <c r="E89" s="1">
        <f>E286+E289+E290-E310+0</f>
        <v>0</v>
      </c>
      <c r="F89" s="1">
        <f t="shared" ref="F89:O89" si="150">F286+F289+F290+0</f>
        <v>0</v>
      </c>
      <c r="G89" s="1">
        <f t="shared" si="150"/>
        <v>0</v>
      </c>
      <c r="H89" s="1">
        <f>H286+H289+H290+H291+0</f>
        <v>0</v>
      </c>
      <c r="I89" s="1">
        <f>+'Sys INPUT'!I88+I286+I289+I290+I291</f>
        <v>4500</v>
      </c>
      <c r="J89" s="1">
        <f>J286+J289+J290+J291+0</f>
        <v>0</v>
      </c>
      <c r="K89" s="1">
        <f t="shared" si="150"/>
        <v>0</v>
      </c>
      <c r="L89" s="1">
        <f>L286+L289+L290+0</f>
        <v>0</v>
      </c>
      <c r="M89" s="1">
        <f t="shared" si="150"/>
        <v>0</v>
      </c>
      <c r="N89" s="1">
        <f>N286+N289+N290+0</f>
        <v>0</v>
      </c>
      <c r="O89" s="1">
        <f t="shared" si="150"/>
        <v>0</v>
      </c>
      <c r="P89" s="1">
        <f>P286+P289+P290+0</f>
        <v>0</v>
      </c>
      <c r="Q89" s="1">
        <f t="shared" ref="Q89:W89" si="151">Q286+Q289+Q290+0</f>
        <v>0</v>
      </c>
      <c r="R89" s="1">
        <f>R286+R289+R290+0</f>
        <v>0</v>
      </c>
      <c r="S89" s="1">
        <f t="shared" si="151"/>
        <v>0</v>
      </c>
      <c r="T89" s="1">
        <f t="shared" si="151"/>
        <v>0</v>
      </c>
      <c r="U89" s="1">
        <f>U286+U289+U290+0</f>
        <v>0</v>
      </c>
      <c r="V89" s="1">
        <f t="shared" si="151"/>
        <v>0</v>
      </c>
      <c r="W89" s="1">
        <f t="shared" si="151"/>
        <v>0</v>
      </c>
      <c r="X89" s="1">
        <f>+'Sys INPUT'!X88+X286+X289+X290+X291+0</f>
        <v>79518</v>
      </c>
      <c r="Y89" s="1">
        <f>Y286+Y289+Y290+0</f>
        <v>0</v>
      </c>
      <c r="Z89" s="1">
        <f>Z286+Z289+Z290+Z291</f>
        <v>0</v>
      </c>
      <c r="AA89" s="1">
        <f>AA286+AA289+AA290+0</f>
        <v>0</v>
      </c>
      <c r="AB89" s="1">
        <f>AB286+AB289+AB290+0</f>
        <v>0</v>
      </c>
      <c r="AC89" s="1">
        <f>AC286+AC289+AC290+0</f>
        <v>0</v>
      </c>
      <c r="AD89" s="1">
        <f>AD286+AD289+AD290+AD291</f>
        <v>0</v>
      </c>
      <c r="AE89" s="1">
        <f t="shared" ref="AE89:AJ89" si="152">AE286+AE289+AE290+0</f>
        <v>0</v>
      </c>
      <c r="AF89" s="1">
        <f t="shared" si="152"/>
        <v>0</v>
      </c>
      <c r="AG89" s="1">
        <f t="shared" si="152"/>
        <v>0</v>
      </c>
      <c r="AH89" s="1">
        <f t="shared" si="152"/>
        <v>0</v>
      </c>
      <c r="AI89" s="1">
        <f t="shared" si="152"/>
        <v>0</v>
      </c>
      <c r="AJ89" s="1">
        <f t="shared" si="152"/>
        <v>0</v>
      </c>
      <c r="AK89" s="1">
        <f t="shared" ref="AK89:AQ89" si="153">AK286+AK289+AK290+0</f>
        <v>0</v>
      </c>
      <c r="AL89" s="1">
        <f t="shared" si="153"/>
        <v>0</v>
      </c>
      <c r="AM89" s="1">
        <f t="shared" si="153"/>
        <v>0</v>
      </c>
      <c r="AN89" s="1">
        <f t="shared" si="153"/>
        <v>0</v>
      </c>
      <c r="AO89" s="1">
        <f t="shared" si="153"/>
        <v>0</v>
      </c>
      <c r="AP89" s="1">
        <f t="shared" si="153"/>
        <v>0</v>
      </c>
      <c r="AQ89" s="1">
        <f t="shared" si="153"/>
        <v>0</v>
      </c>
      <c r="AR89" s="1">
        <f t="shared" ref="AR89:BC89" si="154">AR286+AR289+AR290+0</f>
        <v>0</v>
      </c>
      <c r="AS89" s="1">
        <f t="shared" si="154"/>
        <v>0</v>
      </c>
      <c r="AT89" s="1">
        <f t="shared" si="154"/>
        <v>0</v>
      </c>
      <c r="AU89" s="1">
        <f t="shared" si="154"/>
        <v>0</v>
      </c>
      <c r="AV89" s="1">
        <f t="shared" si="154"/>
        <v>0</v>
      </c>
      <c r="AW89" s="1"/>
      <c r="AX89" s="1">
        <f t="shared" si="154"/>
        <v>0</v>
      </c>
      <c r="AY89" s="1">
        <f t="shared" si="154"/>
        <v>0</v>
      </c>
      <c r="AZ89" s="1">
        <f t="shared" si="154"/>
        <v>0</v>
      </c>
      <c r="BA89" s="1">
        <f t="shared" si="154"/>
        <v>0</v>
      </c>
      <c r="BB89" s="1">
        <f t="shared" si="154"/>
        <v>0</v>
      </c>
      <c r="BC89" s="1">
        <f t="shared" si="154"/>
        <v>0</v>
      </c>
      <c r="BD89" s="1">
        <f>BD286+BD289+BD290+0</f>
        <v>0</v>
      </c>
      <c r="BE89" s="1"/>
      <c r="BF89" s="1">
        <f t="shared" si="145"/>
        <v>84018</v>
      </c>
      <c r="BG89" s="1">
        <f t="shared" si="141"/>
        <v>4500</v>
      </c>
      <c r="BH89" s="1">
        <f t="shared" ref="BH89:BN89" si="155">BH286+BH289+BH290+0</f>
        <v>0</v>
      </c>
      <c r="BI89" s="1">
        <f t="shared" si="155"/>
        <v>0</v>
      </c>
      <c r="BJ89" s="1">
        <f t="shared" si="155"/>
        <v>0</v>
      </c>
      <c r="BK89" s="1">
        <f t="shared" si="155"/>
        <v>0</v>
      </c>
      <c r="BL89" s="1">
        <f t="shared" si="155"/>
        <v>0</v>
      </c>
      <c r="BM89" s="1">
        <f>BM286+BM289+BM290+0</f>
        <v>0</v>
      </c>
      <c r="BN89" s="1">
        <f t="shared" si="155"/>
        <v>0</v>
      </c>
      <c r="BO89" s="1"/>
      <c r="BP89" s="1">
        <f t="shared" si="146"/>
        <v>0</v>
      </c>
      <c r="BQ89" s="1"/>
      <c r="BR89" s="1">
        <f>BR286+BR289+BR290+BR291</f>
        <v>0</v>
      </c>
      <c r="BS89" s="1">
        <f>BS286+BS289+BS290+0</f>
        <v>0</v>
      </c>
      <c r="BT89" s="1">
        <f>BT286+BT289+BT290+BT291</f>
        <v>0</v>
      </c>
      <c r="BU89" s="1">
        <f>BU286+BU289+BU290+0</f>
        <v>0</v>
      </c>
      <c r="BV89" s="1">
        <f>BV286+BV289+BV290+0</f>
        <v>0</v>
      </c>
      <c r="BW89" s="1">
        <f>BW286+BW289+BW290+0</f>
        <v>0</v>
      </c>
      <c r="BX89" s="3"/>
      <c r="BY89" s="1">
        <f t="shared" si="142"/>
        <v>0</v>
      </c>
      <c r="BZ89" s="1">
        <f t="shared" si="144"/>
        <v>0</v>
      </c>
      <c r="CA89" s="1">
        <f t="shared" si="143"/>
        <v>4500</v>
      </c>
      <c r="CB89" s="1"/>
      <c r="CC89" s="1">
        <f>+'Sys INPUT'!CC88+CC290+CC286+CC291</f>
        <v>0</v>
      </c>
      <c r="CD89" s="1">
        <f>+'Sys INPUT'!CD88+CD290-CD334</f>
        <v>5935</v>
      </c>
      <c r="CE89" s="1">
        <f>+'Sys INPUT'!CE88+CE290-CE334</f>
        <v>21954</v>
      </c>
      <c r="CF89" s="1">
        <f>+'Sys INPUT'!CF88+CF286+CF290-CF334</f>
        <v>170772</v>
      </c>
      <c r="CG89" s="1">
        <f>+'Sys INPUT'!CG88+CG286+CG290-CG334+CG291+0</f>
        <v>105636</v>
      </c>
      <c r="CH89" s="1">
        <f>+'Sys INPUT'!CH88+CH286+CH290-CH334</f>
        <v>3572</v>
      </c>
      <c r="CI89" s="1"/>
      <c r="CJ89" s="1">
        <f t="shared" si="147"/>
        <v>307869</v>
      </c>
      <c r="CK89" s="1">
        <f>+CJ89-CG89-CB89-CC89</f>
        <v>202233</v>
      </c>
      <c r="CL89" s="1">
        <f>+'Sys INPUT'!CL88+CL286+CL290</f>
        <v>0</v>
      </c>
      <c r="CM89" s="1">
        <f>+'Sys INPUT'!CM88+CM286+CM290</f>
        <v>0</v>
      </c>
      <c r="CN89" s="216">
        <f>+'Sys INPUT'!CN88+CN286+CN290+0</f>
        <v>0</v>
      </c>
      <c r="CO89" s="1">
        <f>+'Sys INPUT'!CO88+CO286+CO290</f>
        <v>0</v>
      </c>
      <c r="CP89" s="1">
        <f>+'Sys INPUT'!CP88+CP286+CP290</f>
        <v>0</v>
      </c>
      <c r="CQ89" s="1">
        <f>+'Sys INPUT'!CQ88+CQ286+CQ290+CQ291-CQ92</f>
        <v>0</v>
      </c>
      <c r="CR89" s="1">
        <f>+'Sys INPUT'!CR88+CR286+CR290</f>
        <v>262150</v>
      </c>
      <c r="CS89" s="1"/>
      <c r="CT89" s="5"/>
      <c r="CU89" s="1">
        <f t="shared" si="148"/>
        <v>262150</v>
      </c>
      <c r="CW89" s="1"/>
      <c r="CX89" s="1"/>
      <c r="CY89" s="1"/>
      <c r="CZ89" s="1"/>
      <c r="DA89" s="1"/>
      <c r="DB89" s="1"/>
      <c r="DC89" s="1"/>
      <c r="DD89" s="1"/>
      <c r="DE89" s="1"/>
      <c r="DF89" s="1"/>
      <c r="DG89" s="1"/>
      <c r="DH89" s="1"/>
      <c r="DI89" s="1"/>
      <c r="DJ89" s="1"/>
      <c r="DK89" s="1"/>
      <c r="DL89" s="1"/>
      <c r="DM89" s="1"/>
      <c r="DN89" s="1"/>
      <c r="DO89" s="1"/>
      <c r="DP89" s="1"/>
      <c r="DQ89" s="1"/>
      <c r="DR89" s="1"/>
      <c r="DS89" s="1"/>
      <c r="DT89" s="1"/>
      <c r="DW89" s="1">
        <f t="shared" ref="DW89:DW113" si="156">+CW89+CY89+DB89+DC89+DD89+DE89+DJ89+DL89+DN89+DQ89+DR89+DS89+DT89</f>
        <v>0</v>
      </c>
      <c r="DX89" s="1"/>
      <c r="DY89" s="1"/>
      <c r="DZ89" s="1"/>
      <c r="EB89" s="89">
        <f>+'Sys INPUT'!EC88+EB286-EB310-0</f>
        <v>0</v>
      </c>
      <c r="EC89" s="1"/>
      <c r="ED89" s="1"/>
      <c r="EE89" s="1"/>
      <c r="EF89" s="1">
        <f>+EF286</f>
        <v>0</v>
      </c>
      <c r="EG89" s="1"/>
      <c r="EL89" s="1"/>
      <c r="EM89" s="1"/>
      <c r="EN89">
        <f t="shared" si="149"/>
        <v>777842</v>
      </c>
      <c r="EO89">
        <f>+EN88+EN89</f>
        <v>4993842</v>
      </c>
      <c r="EP89">
        <f>+EO89-17612397</f>
        <v>-12618555</v>
      </c>
      <c r="EQ89" s="32">
        <f>0+EQ286</f>
        <v>0</v>
      </c>
    </row>
    <row r="90" spans="1:147" ht="15.75">
      <c r="A90" s="1"/>
      <c r="B90" s="89" t="s">
        <v>1630</v>
      </c>
      <c r="C90" s="1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f t="shared" si="145"/>
        <v>0</v>
      </c>
      <c r="BG90" s="1">
        <f t="shared" si="141"/>
        <v>0</v>
      </c>
      <c r="BH90" s="1"/>
      <c r="BI90" s="1"/>
      <c r="BJ90" s="1"/>
      <c r="BK90" s="1"/>
      <c r="BL90" s="1"/>
      <c r="BM90" s="1"/>
      <c r="BN90" s="1"/>
      <c r="BO90" s="1"/>
      <c r="BP90" s="1">
        <f>SUM(BH90:BN90)</f>
        <v>0</v>
      </c>
      <c r="BQ90" s="1"/>
      <c r="BR90" s="1"/>
      <c r="BS90" s="1"/>
      <c r="BT90" s="1"/>
      <c r="BU90" s="1"/>
      <c r="BV90" s="1"/>
      <c r="BW90" s="1"/>
      <c r="BX90" s="3"/>
      <c r="BY90" s="1">
        <f t="shared" si="142"/>
        <v>0</v>
      </c>
      <c r="BZ90" s="1">
        <f t="shared" si="144"/>
        <v>0</v>
      </c>
      <c r="CA90" s="1">
        <f t="shared" si="143"/>
        <v>0</v>
      </c>
      <c r="CB90" s="1"/>
      <c r="CC90" s="1"/>
      <c r="CD90" s="1"/>
      <c r="CE90" s="1"/>
      <c r="CF90" s="1"/>
      <c r="CG90" s="1"/>
      <c r="CH90" s="1"/>
      <c r="CI90" s="1"/>
      <c r="CJ90" s="1">
        <f>SUM(CB90:CI90)</f>
        <v>0</v>
      </c>
      <c r="CK90" s="1"/>
      <c r="CL90" s="1"/>
      <c r="CM90" s="46"/>
      <c r="CN90" s="1"/>
      <c r="CO90" s="1"/>
      <c r="CP90" s="1"/>
      <c r="CQ90" s="1"/>
      <c r="CR90" s="1"/>
      <c r="CS90" s="1"/>
      <c r="CT90" s="5"/>
      <c r="CU90" s="1">
        <f>SUM(CL90:CT90)</f>
        <v>0</v>
      </c>
      <c r="CW90" s="1"/>
      <c r="CX90" s="1"/>
      <c r="CY90" s="1"/>
      <c r="CZ90" s="1"/>
      <c r="DA90" s="1"/>
      <c r="DB90" s="1"/>
      <c r="DC90" s="1"/>
      <c r="DD90" s="1"/>
      <c r="DE90" s="1"/>
      <c r="DF90" s="1"/>
      <c r="DG90" s="1"/>
      <c r="DH90" s="1"/>
      <c r="DI90" s="1"/>
      <c r="DJ90" s="1"/>
      <c r="DK90" s="1"/>
      <c r="DL90" s="1"/>
      <c r="DM90" s="1"/>
      <c r="DN90" s="1"/>
      <c r="DO90" s="1"/>
      <c r="DP90" s="1"/>
      <c r="DQ90" s="1"/>
      <c r="DR90" s="1"/>
      <c r="DS90" s="1"/>
      <c r="DT90" s="1"/>
      <c r="DW90" s="1">
        <f t="shared" si="156"/>
        <v>0</v>
      </c>
      <c r="DX90" s="1"/>
      <c r="DY90" s="1"/>
      <c r="DZ90" s="1"/>
      <c r="EB90" s="89"/>
      <c r="EC90" s="1"/>
      <c r="ED90" s="1"/>
      <c r="EE90" s="1"/>
      <c r="EF90" s="1"/>
      <c r="EG90" s="1"/>
      <c r="EL90" s="1"/>
      <c r="EM90" s="1"/>
      <c r="EN90">
        <f t="shared" si="149"/>
        <v>0</v>
      </c>
      <c r="EQ90" s="1"/>
    </row>
    <row r="91" spans="1:147" ht="15.75">
      <c r="A91" s="1"/>
      <c r="B91" s="89" t="s">
        <v>3256</v>
      </c>
      <c r="C91" s="1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f t="shared" ref="BF91" si="157">SUM(E91:BE91)</f>
        <v>0</v>
      </c>
      <c r="BG91" s="1">
        <f t="shared" ref="BG91" si="158">+BF91-X91-P91-BB91-BC91</f>
        <v>0</v>
      </c>
      <c r="BH91" s="1"/>
      <c r="BI91" s="1"/>
      <c r="BJ91" s="1"/>
      <c r="BK91" s="1"/>
      <c r="BL91" s="1"/>
      <c r="BM91" s="1"/>
      <c r="BN91" s="1"/>
      <c r="BO91" s="1"/>
      <c r="BP91" s="1">
        <f>SUM(BH91:BN91)</f>
        <v>0</v>
      </c>
      <c r="BQ91" s="1"/>
      <c r="BR91" s="1"/>
      <c r="BS91" s="1"/>
      <c r="BT91" s="1"/>
      <c r="BU91" s="1"/>
      <c r="BV91" s="1"/>
      <c r="BW91" s="1"/>
      <c r="BX91" s="3"/>
      <c r="BY91" s="1">
        <f t="shared" ref="BY91" si="159">SUM(BR91:BX91)</f>
        <v>0</v>
      </c>
      <c r="BZ91" s="1">
        <f t="shared" ref="BZ91" si="160">+BY91-BR91</f>
        <v>0</v>
      </c>
      <c r="CA91" s="1">
        <f t="shared" ref="CA91" si="161">+BG91+BQ91+BZ91+EF91</f>
        <v>0</v>
      </c>
      <c r="CB91" s="1"/>
      <c r="CC91" s="1"/>
      <c r="CD91" s="1"/>
      <c r="CE91" s="1"/>
      <c r="CF91" s="1"/>
      <c r="CG91" s="1"/>
      <c r="CH91" s="1"/>
      <c r="CI91" s="1"/>
      <c r="CJ91" s="1">
        <f>SUM(CB91:CI91)</f>
        <v>0</v>
      </c>
      <c r="CK91" s="1"/>
      <c r="CL91" s="1"/>
      <c r="CM91" s="1137">
        <f>+'Sys INPUT'!CM90-248106</f>
        <v>422140</v>
      </c>
      <c r="CN91" s="1"/>
      <c r="CO91" s="1"/>
      <c r="CP91" s="1"/>
      <c r="CQ91" s="1"/>
      <c r="CR91" s="1"/>
      <c r="CS91" s="1"/>
      <c r="CT91" s="5"/>
      <c r="CU91" s="1">
        <f>SUM(CL91:CT91)</f>
        <v>422140</v>
      </c>
      <c r="CW91" s="1"/>
      <c r="CX91" s="1"/>
      <c r="CY91" s="1"/>
      <c r="CZ91" s="1"/>
      <c r="DA91" s="1"/>
      <c r="DB91" s="1"/>
      <c r="DC91" s="1"/>
      <c r="DD91" s="1"/>
      <c r="DE91" s="1"/>
      <c r="DF91" s="1"/>
      <c r="DG91" s="1"/>
      <c r="DH91" s="1"/>
      <c r="DI91" s="1"/>
      <c r="DJ91" s="1"/>
      <c r="DK91" s="1"/>
      <c r="DL91" s="1"/>
      <c r="DM91" s="1"/>
      <c r="DN91" s="1"/>
      <c r="DO91" s="1"/>
      <c r="DP91" s="1"/>
      <c r="DQ91" s="1"/>
      <c r="DR91" s="1"/>
      <c r="DS91" s="1"/>
      <c r="DT91" s="1"/>
      <c r="DW91" s="1">
        <f t="shared" ref="DW91" si="162">+CW91+CY91+DB91+DC91+DD91+DE91+DJ91+DL91+DN91+DQ91+DR91+DS91+DT91</f>
        <v>0</v>
      </c>
      <c r="DX91" s="1"/>
      <c r="DY91" s="1"/>
      <c r="DZ91" s="1"/>
      <c r="EB91" s="89"/>
      <c r="EC91" s="1"/>
      <c r="ED91" s="1"/>
      <c r="EE91" s="1"/>
      <c r="EF91" s="1"/>
      <c r="EG91" s="1"/>
      <c r="EL91" s="1"/>
      <c r="EM91" s="1"/>
      <c r="EN91">
        <f t="shared" ref="EN91" si="163">+D91+BF91+BP91+BY91+CJ91+CU91+DW91+ED91</f>
        <v>422140</v>
      </c>
      <c r="EQ91" s="1"/>
    </row>
    <row r="92" spans="1:147" ht="15.75">
      <c r="A92" s="1"/>
      <c r="B92" s="1" t="s">
        <v>1081</v>
      </c>
      <c r="C92" s="11"/>
      <c r="D92" s="1">
        <f>+'Sys INPUT'!D92</f>
        <v>701024</v>
      </c>
      <c r="E92" s="1">
        <f>+'Sys INPUT'!E92</f>
        <v>0</v>
      </c>
      <c r="F92" s="1">
        <f>+'Sys INPUT'!F92</f>
        <v>0</v>
      </c>
      <c r="G92" s="1">
        <f>+'Sys INPUT'!G92</f>
        <v>0</v>
      </c>
      <c r="H92" s="1">
        <f>+'Sys INPUT'!H92</f>
        <v>0</v>
      </c>
      <c r="I92" s="1">
        <f>+'Sys INPUT'!I92</f>
        <v>0</v>
      </c>
      <c r="J92" s="1">
        <f>+'Sys INPUT'!J92</f>
        <v>0</v>
      </c>
      <c r="K92" s="1">
        <f>+'Sys INPUT'!K92</f>
        <v>0</v>
      </c>
      <c r="L92" s="1">
        <f>+'Sys INPUT'!L92</f>
        <v>0</v>
      </c>
      <c r="M92" s="1">
        <f>+'Sys INPUT'!M92</f>
        <v>0</v>
      </c>
      <c r="N92" s="1">
        <f>+'Sys INPUT'!N92</f>
        <v>0</v>
      </c>
      <c r="O92" s="1">
        <f>+'Sys INPUT'!O92</f>
        <v>0</v>
      </c>
      <c r="P92" s="1">
        <f>+'Sys INPUT'!P92</f>
        <v>0</v>
      </c>
      <c r="Q92" s="1">
        <f>+'Sys INPUT'!Q92</f>
        <v>0</v>
      </c>
      <c r="R92" s="1">
        <f>+'Sys INPUT'!R92</f>
        <v>0</v>
      </c>
      <c r="S92" s="1">
        <f>+'Sys INPUT'!S92</f>
        <v>0</v>
      </c>
      <c r="T92" s="1">
        <f>+'Sys INPUT'!T92</f>
        <v>0</v>
      </c>
      <c r="U92" s="1">
        <f>+'Sys INPUT'!U92</f>
        <v>0</v>
      </c>
      <c r="V92" s="1">
        <f>+'Sys INPUT'!V92</f>
        <v>0</v>
      </c>
      <c r="W92" s="1">
        <f>+'Sys INPUT'!W92</f>
        <v>0</v>
      </c>
      <c r="X92" s="1">
        <f>+'Sys INPUT'!X92</f>
        <v>0</v>
      </c>
      <c r="Y92" s="1">
        <f>+'Sys INPUT'!Y92</f>
        <v>0</v>
      </c>
      <c r="Z92" s="1">
        <f>+'Sys INPUT'!Z92</f>
        <v>0</v>
      </c>
      <c r="AA92" s="1">
        <f>+'Sys INPUT'!AA92</f>
        <v>0</v>
      </c>
      <c r="AB92" s="1">
        <f>+'Sys INPUT'!AB92</f>
        <v>0</v>
      </c>
      <c r="AC92" s="1">
        <f>+'Sys INPUT'!AC92</f>
        <v>0</v>
      </c>
      <c r="AD92" s="1">
        <f>+'Sys INPUT'!AD92</f>
        <v>0</v>
      </c>
      <c r="AE92" s="1">
        <f>+'Sys INPUT'!AE92</f>
        <v>0</v>
      </c>
      <c r="AF92" s="1">
        <f>+'Sys INPUT'!AF92</f>
        <v>0</v>
      </c>
      <c r="AG92" s="1">
        <f>+'Sys INPUT'!AG92</f>
        <v>0</v>
      </c>
      <c r="AH92" s="1">
        <f>+'Sys INPUT'!AH92</f>
        <v>0</v>
      </c>
      <c r="AI92" s="1">
        <f>+'Sys INPUT'!AI92</f>
        <v>0</v>
      </c>
      <c r="AJ92" s="1">
        <f>+'Sys INPUT'!AJ92</f>
        <v>0</v>
      </c>
      <c r="AK92" s="1">
        <f>+'Sys INPUT'!AK92</f>
        <v>0</v>
      </c>
      <c r="AL92" s="1">
        <f>+'Sys INPUT'!AL92</f>
        <v>0</v>
      </c>
      <c r="AM92" s="1">
        <f>+'Sys INPUT'!AM92</f>
        <v>0</v>
      </c>
      <c r="AN92" s="1">
        <f>+'Sys INPUT'!AN92</f>
        <v>0</v>
      </c>
      <c r="AO92" s="1">
        <f>+'Sys INPUT'!AO92</f>
        <v>0</v>
      </c>
      <c r="AP92" s="1">
        <f>+'Sys INPUT'!AP92</f>
        <v>0</v>
      </c>
      <c r="AQ92" s="1">
        <f>+'Sys INPUT'!AQ92</f>
        <v>0</v>
      </c>
      <c r="AR92" s="1">
        <f>+'Sys INPUT'!AR92</f>
        <v>0</v>
      </c>
      <c r="AS92" s="1">
        <f>+'Sys INPUT'!AS92</f>
        <v>0</v>
      </c>
      <c r="AT92" s="1">
        <f>+'Sys INPUT'!AT92</f>
        <v>0</v>
      </c>
      <c r="AU92" s="1">
        <f>+'Sys INPUT'!AU92</f>
        <v>0</v>
      </c>
      <c r="AV92" s="1">
        <f>+'Sys INPUT'!AV92</f>
        <v>0</v>
      </c>
      <c r="AW92" s="1"/>
      <c r="AX92" s="1">
        <f>+'Sys INPUT'!AX92</f>
        <v>0</v>
      </c>
      <c r="AY92" s="1">
        <f>+'Sys INPUT'!AY92</f>
        <v>0</v>
      </c>
      <c r="AZ92" s="1">
        <f>+'Sys INPUT'!AZ92</f>
        <v>0</v>
      </c>
      <c r="BA92" s="1">
        <f>+'Sys INPUT'!BA92</f>
        <v>0</v>
      </c>
      <c r="BB92" s="1">
        <f>+'Sys INPUT'!BB92</f>
        <v>110000</v>
      </c>
      <c r="BC92" s="1">
        <f>+'Sys INPUT'!BC92</f>
        <v>0</v>
      </c>
      <c r="BD92" s="1">
        <f>+'Sys INPUT'!BD92</f>
        <v>0</v>
      </c>
      <c r="BE92" s="1"/>
      <c r="BF92" s="1">
        <f t="shared" si="145"/>
        <v>110000</v>
      </c>
      <c r="BG92" s="1">
        <f t="shared" si="141"/>
        <v>0</v>
      </c>
      <c r="BH92" s="1">
        <f>+'Sys INPUT'!BH92</f>
        <v>0</v>
      </c>
      <c r="BI92" s="1">
        <f>+'Sys INPUT'!BI92</f>
        <v>0</v>
      </c>
      <c r="BJ92" s="1">
        <f>+'Sys INPUT'!BJ92</f>
        <v>0</v>
      </c>
      <c r="BK92" s="1">
        <f>+'Sys INPUT'!BK92</f>
        <v>0</v>
      </c>
      <c r="BL92" s="1">
        <f>+'Sys INPUT'!BL92</f>
        <v>0</v>
      </c>
      <c r="BM92" s="1">
        <f>+'Sys INPUT'!BM92</f>
        <v>0</v>
      </c>
      <c r="BN92" s="1">
        <f>+'Sys INPUT'!BN92</f>
        <v>0</v>
      </c>
      <c r="BO92" s="1"/>
      <c r="BP92" s="1">
        <f t="shared" si="146"/>
        <v>0</v>
      </c>
      <c r="BQ92" s="1"/>
      <c r="BR92" s="1">
        <f>+'Sys INPUT'!BR92</f>
        <v>0</v>
      </c>
      <c r="BS92" s="1">
        <f>+'Sys INPUT'!BS92</f>
        <v>0</v>
      </c>
      <c r="BT92" s="1">
        <f>+'Sys INPUT'!BT92</f>
        <v>0</v>
      </c>
      <c r="BU92" s="1">
        <f>+'Sys INPUT'!BU92</f>
        <v>0</v>
      </c>
      <c r="BV92" s="1">
        <f>+'Sys INPUT'!BV92</f>
        <v>0</v>
      </c>
      <c r="BW92" s="1">
        <f>+'Sys INPUT'!BW92</f>
        <v>0</v>
      </c>
      <c r="BX92" s="3"/>
      <c r="BY92" s="1">
        <f t="shared" si="142"/>
        <v>0</v>
      </c>
      <c r="BZ92" s="1">
        <f t="shared" si="144"/>
        <v>0</v>
      </c>
      <c r="CA92" s="1">
        <f t="shared" si="143"/>
        <v>0</v>
      </c>
      <c r="CB92" s="1"/>
      <c r="CC92" s="1"/>
      <c r="CD92" s="1"/>
      <c r="CE92" s="1"/>
      <c r="CF92" s="1"/>
      <c r="CG92" s="1"/>
      <c r="CH92" s="1"/>
      <c r="CI92" s="1"/>
      <c r="CJ92" s="1">
        <f t="shared" si="147"/>
        <v>0</v>
      </c>
      <c r="CK92" s="1"/>
      <c r="CL92" s="1"/>
      <c r="CM92" s="46"/>
      <c r="CN92" s="1"/>
      <c r="CO92" s="1"/>
      <c r="CP92" s="1"/>
      <c r="CQ92" s="216">
        <v>0</v>
      </c>
      <c r="CR92" s="1"/>
      <c r="CS92" s="1"/>
      <c r="CT92" s="5"/>
      <c r="CU92" s="1">
        <f t="shared" si="148"/>
        <v>0</v>
      </c>
      <c r="CW92" s="1"/>
      <c r="CX92" s="1"/>
      <c r="CY92" s="1"/>
      <c r="CZ92" s="1"/>
      <c r="DA92" s="1"/>
      <c r="DB92" s="1"/>
      <c r="DC92" s="1"/>
      <c r="DD92" s="1"/>
      <c r="DE92" s="1"/>
      <c r="DF92" s="1"/>
      <c r="DG92" s="1"/>
      <c r="DH92" s="1"/>
      <c r="DI92" s="1"/>
      <c r="DJ92" s="1"/>
      <c r="DK92" s="1"/>
      <c r="DL92" s="1"/>
      <c r="DM92" s="1"/>
      <c r="DN92" s="1"/>
      <c r="DO92" s="1"/>
      <c r="DP92" s="1"/>
      <c r="DQ92" s="1"/>
      <c r="DR92" s="1"/>
      <c r="DS92" s="1"/>
      <c r="DT92" s="1"/>
      <c r="DW92" s="1">
        <f t="shared" si="156"/>
        <v>0</v>
      </c>
      <c r="DX92" s="1"/>
      <c r="DY92" s="1"/>
      <c r="DZ92" s="1"/>
      <c r="EB92" s="21"/>
      <c r="EC92" s="1"/>
      <c r="ED92" s="1"/>
      <c r="EE92" s="1"/>
      <c r="EF92" s="1"/>
      <c r="EG92" s="1"/>
      <c r="EL92" s="1"/>
      <c r="EM92" s="1"/>
      <c r="EN92">
        <f t="shared" si="149"/>
        <v>811024</v>
      </c>
      <c r="EO92">
        <f>+EN92-EN135</f>
        <v>-6602</v>
      </c>
      <c r="EQ92" s="1"/>
    </row>
    <row r="93" spans="1:147" ht="15.75">
      <c r="A93" s="1"/>
      <c r="B93" s="1" t="s">
        <v>159</v>
      </c>
      <c r="C93" s="11"/>
      <c r="D93" s="1">
        <f t="shared" ref="D93:J93" si="164">D285</f>
        <v>0</v>
      </c>
      <c r="E93" s="1">
        <f>E285</f>
        <v>172353</v>
      </c>
      <c r="F93" s="1">
        <f t="shared" si="164"/>
        <v>0</v>
      </c>
      <c r="G93" s="1">
        <f t="shared" si="164"/>
        <v>0</v>
      </c>
      <c r="H93" s="1">
        <f t="shared" si="164"/>
        <v>0</v>
      </c>
      <c r="I93" s="1">
        <f t="shared" si="164"/>
        <v>124313</v>
      </c>
      <c r="J93" s="1">
        <f t="shared" si="164"/>
        <v>0</v>
      </c>
      <c r="K93" s="1">
        <f t="shared" ref="K93:P93" si="165">K285</f>
        <v>0</v>
      </c>
      <c r="L93" s="1">
        <f t="shared" si="165"/>
        <v>0</v>
      </c>
      <c r="M93" s="1">
        <f t="shared" si="165"/>
        <v>0</v>
      </c>
      <c r="N93" s="1">
        <f t="shared" si="165"/>
        <v>0</v>
      </c>
      <c r="O93" s="1">
        <f t="shared" si="165"/>
        <v>0</v>
      </c>
      <c r="P93" s="1">
        <f t="shared" si="165"/>
        <v>0</v>
      </c>
      <c r="Q93" s="1">
        <f t="shared" ref="Q93:X93" si="166">Q285</f>
        <v>0</v>
      </c>
      <c r="R93" s="1">
        <f t="shared" si="166"/>
        <v>0</v>
      </c>
      <c r="S93" s="1">
        <f t="shared" si="166"/>
        <v>0</v>
      </c>
      <c r="T93" s="1">
        <f t="shared" si="166"/>
        <v>0</v>
      </c>
      <c r="U93" s="1">
        <f t="shared" si="166"/>
        <v>28910</v>
      </c>
      <c r="V93" s="1">
        <f t="shared" si="166"/>
        <v>0</v>
      </c>
      <c r="W93" s="1">
        <f t="shared" si="166"/>
        <v>0</v>
      </c>
      <c r="X93" s="1">
        <f t="shared" si="166"/>
        <v>87014</v>
      </c>
      <c r="Y93" s="1">
        <f>Y285</f>
        <v>0</v>
      </c>
      <c r="Z93" s="1">
        <f>Z285</f>
        <v>0</v>
      </c>
      <c r="AA93" s="1">
        <f t="shared" ref="AA93:AK93" si="167">AA285</f>
        <v>0</v>
      </c>
      <c r="AB93" s="1">
        <f>AB285</f>
        <v>0</v>
      </c>
      <c r="AC93" s="1">
        <f t="shared" si="167"/>
        <v>0</v>
      </c>
      <c r="AD93" s="1">
        <f t="shared" si="167"/>
        <v>0</v>
      </c>
      <c r="AE93" s="1">
        <f t="shared" si="167"/>
        <v>0</v>
      </c>
      <c r="AF93" s="1">
        <f t="shared" si="167"/>
        <v>0</v>
      </c>
      <c r="AG93" s="1">
        <f t="shared" si="167"/>
        <v>0</v>
      </c>
      <c r="AH93" s="1">
        <f t="shared" si="167"/>
        <v>0</v>
      </c>
      <c r="AI93" s="1">
        <f t="shared" si="167"/>
        <v>0</v>
      </c>
      <c r="AJ93" s="1">
        <f t="shared" si="167"/>
        <v>0</v>
      </c>
      <c r="AK93" s="1">
        <f t="shared" si="167"/>
        <v>0</v>
      </c>
      <c r="AL93" s="1">
        <f t="shared" ref="AL93:AQ93" si="168">AL285</f>
        <v>0</v>
      </c>
      <c r="AM93" s="1">
        <f t="shared" si="168"/>
        <v>0</v>
      </c>
      <c r="AN93" s="1">
        <f t="shared" si="168"/>
        <v>0</v>
      </c>
      <c r="AO93" s="1">
        <f t="shared" si="168"/>
        <v>0</v>
      </c>
      <c r="AP93" s="1">
        <f t="shared" si="168"/>
        <v>0</v>
      </c>
      <c r="AQ93" s="1">
        <f t="shared" si="168"/>
        <v>0</v>
      </c>
      <c r="AR93" s="1">
        <f t="shared" ref="AR93:BC93" si="169">AR285</f>
        <v>104504</v>
      </c>
      <c r="AS93" s="1">
        <f t="shared" si="169"/>
        <v>0</v>
      </c>
      <c r="AT93" s="1">
        <f>AT285</f>
        <v>0</v>
      </c>
      <c r="AU93" s="1">
        <f t="shared" si="169"/>
        <v>61190</v>
      </c>
      <c r="AV93" s="1">
        <f t="shared" si="169"/>
        <v>0</v>
      </c>
      <c r="AW93" s="1"/>
      <c r="AX93" s="1">
        <f t="shared" si="169"/>
        <v>0</v>
      </c>
      <c r="AY93" s="1">
        <f t="shared" si="169"/>
        <v>0</v>
      </c>
      <c r="AZ93" s="1">
        <f t="shared" si="169"/>
        <v>0</v>
      </c>
      <c r="BA93" s="1">
        <f t="shared" si="169"/>
        <v>0</v>
      </c>
      <c r="BB93" s="1">
        <f t="shared" si="169"/>
        <v>0</v>
      </c>
      <c r="BC93" s="1">
        <f t="shared" si="169"/>
        <v>0</v>
      </c>
      <c r="BD93" s="1">
        <f>BD285</f>
        <v>0</v>
      </c>
      <c r="BE93" s="1"/>
      <c r="BF93" s="1">
        <f t="shared" si="145"/>
        <v>578284</v>
      </c>
      <c r="BG93" s="1">
        <f t="shared" si="141"/>
        <v>491270</v>
      </c>
      <c r="BH93" s="1">
        <f t="shared" ref="BH93:BN93" si="170">BH285</f>
        <v>0</v>
      </c>
      <c r="BI93" s="1">
        <f t="shared" si="170"/>
        <v>0</v>
      </c>
      <c r="BJ93" s="1">
        <f t="shared" si="170"/>
        <v>0</v>
      </c>
      <c r="BK93" s="1">
        <f t="shared" si="170"/>
        <v>0</v>
      </c>
      <c r="BL93" s="1">
        <f t="shared" si="170"/>
        <v>0</v>
      </c>
      <c r="BM93" s="1">
        <f>BM285</f>
        <v>0</v>
      </c>
      <c r="BN93" s="1">
        <f t="shared" si="170"/>
        <v>0</v>
      </c>
      <c r="BO93" s="1"/>
      <c r="BP93" s="1">
        <f t="shared" si="146"/>
        <v>0</v>
      </c>
      <c r="BQ93" s="1"/>
      <c r="BR93" s="1">
        <f t="shared" ref="BR93:BW93" si="171">BR285</f>
        <v>0</v>
      </c>
      <c r="BS93" s="1">
        <f t="shared" si="171"/>
        <v>0</v>
      </c>
      <c r="BT93" s="1">
        <f t="shared" si="171"/>
        <v>0</v>
      </c>
      <c r="BU93" s="1">
        <f t="shared" si="171"/>
        <v>0</v>
      </c>
      <c r="BV93" s="1">
        <f t="shared" si="171"/>
        <v>0</v>
      </c>
      <c r="BW93" s="1">
        <f t="shared" si="171"/>
        <v>0</v>
      </c>
      <c r="BX93" s="3"/>
      <c r="BY93" s="1">
        <f t="shared" si="142"/>
        <v>0</v>
      </c>
      <c r="BZ93" s="1">
        <f t="shared" si="144"/>
        <v>0</v>
      </c>
      <c r="CA93" s="1">
        <f t="shared" si="143"/>
        <v>491270</v>
      </c>
      <c r="CB93" s="1"/>
      <c r="CC93" s="1">
        <f>+'Sys INPUT'!CC93+CC285</f>
        <v>0</v>
      </c>
      <c r="CD93" s="1"/>
      <c r="CE93" s="1"/>
      <c r="CF93" s="1"/>
      <c r="CG93" s="1"/>
      <c r="CH93" s="1"/>
      <c r="CI93" s="1"/>
      <c r="CJ93" s="1">
        <f t="shared" si="147"/>
        <v>0</v>
      </c>
      <c r="CK93" s="1"/>
      <c r="CL93" s="1"/>
      <c r="CM93" s="46"/>
      <c r="CN93" s="1"/>
      <c r="CO93" s="1"/>
      <c r="CP93" s="1"/>
      <c r="CQ93" s="1"/>
      <c r="CR93" s="1"/>
      <c r="CS93" s="1"/>
      <c r="CT93" s="5"/>
      <c r="CU93" s="1">
        <f t="shared" si="148"/>
        <v>0</v>
      </c>
      <c r="CW93" s="1"/>
      <c r="CX93" s="1"/>
      <c r="CY93" s="1"/>
      <c r="CZ93" s="1"/>
      <c r="DA93" s="1"/>
      <c r="DB93" s="1"/>
      <c r="DC93" s="1"/>
      <c r="DD93" s="1"/>
      <c r="DE93" s="1"/>
      <c r="DF93" s="1"/>
      <c r="DG93" s="1"/>
      <c r="DH93" s="1"/>
      <c r="DI93" s="1"/>
      <c r="DJ93" s="1"/>
      <c r="DK93" s="1"/>
      <c r="DL93" s="1"/>
      <c r="DM93" s="1"/>
      <c r="DN93" s="1"/>
      <c r="DO93" s="1"/>
      <c r="DP93" s="1"/>
      <c r="DQ93" s="1"/>
      <c r="DR93" s="1"/>
      <c r="DS93" s="1"/>
      <c r="DT93" s="1"/>
      <c r="DW93" s="1">
        <f t="shared" si="156"/>
        <v>0</v>
      </c>
      <c r="DX93" s="1"/>
      <c r="DY93" s="1"/>
      <c r="DZ93" s="1"/>
      <c r="EB93" s="89">
        <f>+'Sys INPUT'!EC93+EB285+0</f>
        <v>0</v>
      </c>
      <c r="EC93" s="1"/>
      <c r="ED93" s="1"/>
      <c r="EE93" s="1"/>
      <c r="EF93" s="1"/>
      <c r="EG93" s="1"/>
      <c r="EL93" s="1">
        <f>+'Sys INPUT'!HT93+'Sys INPUT'!HU93</f>
        <v>0</v>
      </c>
      <c r="EM93" s="1"/>
      <c r="EN93">
        <f t="shared" si="149"/>
        <v>578284</v>
      </c>
      <c r="EO93" s="161" t="s">
        <v>3200</v>
      </c>
      <c r="EQ93" s="1"/>
    </row>
    <row r="94" spans="1:147" ht="15.75">
      <c r="A94" s="1"/>
      <c r="B94" s="1" t="s">
        <v>160</v>
      </c>
      <c r="C94" s="11"/>
      <c r="D94" s="1">
        <f>D316</f>
        <v>112403</v>
      </c>
      <c r="E94" s="1">
        <f>E317</f>
        <v>0</v>
      </c>
      <c r="F94" s="1">
        <f>F316</f>
        <v>0</v>
      </c>
      <c r="G94" s="1">
        <f>G316</f>
        <v>0</v>
      </c>
      <c r="H94" s="1">
        <f>H316</f>
        <v>0</v>
      </c>
      <c r="I94" s="1">
        <f>I316</f>
        <v>0</v>
      </c>
      <c r="J94" s="1">
        <f>J316</f>
        <v>397710</v>
      </c>
      <c r="K94" s="1">
        <f t="shared" ref="K94:T94" si="172">K316</f>
        <v>0</v>
      </c>
      <c r="L94" s="1">
        <f>L316</f>
        <v>0</v>
      </c>
      <c r="M94" s="1">
        <f t="shared" si="172"/>
        <v>0</v>
      </c>
      <c r="N94" s="1">
        <f>N316</f>
        <v>0</v>
      </c>
      <c r="O94" s="1">
        <f t="shared" si="172"/>
        <v>0</v>
      </c>
      <c r="P94" s="1">
        <f t="shared" si="172"/>
        <v>0</v>
      </c>
      <c r="Q94" s="1">
        <f t="shared" si="172"/>
        <v>0</v>
      </c>
      <c r="R94" s="1">
        <f t="shared" si="172"/>
        <v>0</v>
      </c>
      <c r="S94" s="1">
        <f t="shared" si="172"/>
        <v>0</v>
      </c>
      <c r="T94" s="1">
        <f t="shared" si="172"/>
        <v>0</v>
      </c>
      <c r="U94" s="1">
        <f>U317</f>
        <v>76413</v>
      </c>
      <c r="V94" s="1">
        <f t="shared" ref="V94:AK94" si="173">V316</f>
        <v>0</v>
      </c>
      <c r="W94" s="1">
        <f t="shared" si="173"/>
        <v>0</v>
      </c>
      <c r="X94" s="1">
        <f t="shared" si="173"/>
        <v>0</v>
      </c>
      <c r="Y94" s="1">
        <f t="shared" si="173"/>
        <v>0</v>
      </c>
      <c r="Z94" s="1">
        <f t="shared" si="173"/>
        <v>0</v>
      </c>
      <c r="AA94" s="1">
        <f t="shared" si="173"/>
        <v>0</v>
      </c>
      <c r="AB94" s="1">
        <f t="shared" si="173"/>
        <v>0</v>
      </c>
      <c r="AC94" s="1">
        <f t="shared" si="173"/>
        <v>0</v>
      </c>
      <c r="AD94" s="1">
        <f t="shared" si="173"/>
        <v>0</v>
      </c>
      <c r="AE94" s="1">
        <f t="shared" si="173"/>
        <v>0</v>
      </c>
      <c r="AF94" s="1">
        <f t="shared" si="173"/>
        <v>0</v>
      </c>
      <c r="AG94" s="1">
        <f t="shared" si="173"/>
        <v>0</v>
      </c>
      <c r="AH94" s="1">
        <f t="shared" si="173"/>
        <v>0</v>
      </c>
      <c r="AI94" s="1">
        <f t="shared" si="173"/>
        <v>0</v>
      </c>
      <c r="AJ94" s="1">
        <f t="shared" si="173"/>
        <v>0</v>
      </c>
      <c r="AK94" s="1">
        <f t="shared" si="173"/>
        <v>0</v>
      </c>
      <c r="AL94" s="1">
        <f t="shared" ref="AL94:AQ94" si="174">AL316</f>
        <v>0</v>
      </c>
      <c r="AM94" s="1">
        <f t="shared" si="174"/>
        <v>0</v>
      </c>
      <c r="AN94" s="1">
        <f t="shared" si="174"/>
        <v>0</v>
      </c>
      <c r="AO94" s="1">
        <f t="shared" si="174"/>
        <v>0</v>
      </c>
      <c r="AP94" s="1">
        <f t="shared" si="174"/>
        <v>0</v>
      </c>
      <c r="AQ94" s="1">
        <f t="shared" si="174"/>
        <v>0</v>
      </c>
      <c r="AR94" s="1">
        <f t="shared" ref="AR94:BC94" si="175">AR316</f>
        <v>0</v>
      </c>
      <c r="AS94" s="1">
        <f t="shared" si="175"/>
        <v>0</v>
      </c>
      <c r="AT94" s="1">
        <f>AT316</f>
        <v>0</v>
      </c>
      <c r="AU94" s="1">
        <f t="shared" si="175"/>
        <v>0</v>
      </c>
      <c r="AV94" s="1">
        <f t="shared" si="175"/>
        <v>0</v>
      </c>
      <c r="AW94" s="1"/>
      <c r="AX94" s="1">
        <f t="shared" si="175"/>
        <v>0</v>
      </c>
      <c r="AY94" s="1">
        <f t="shared" si="175"/>
        <v>0</v>
      </c>
      <c r="AZ94" s="1">
        <f t="shared" si="175"/>
        <v>0</v>
      </c>
      <c r="BA94" s="1">
        <f t="shared" si="175"/>
        <v>0</v>
      </c>
      <c r="BB94" s="1">
        <f t="shared" si="175"/>
        <v>0</v>
      </c>
      <c r="BC94" s="1">
        <f t="shared" si="175"/>
        <v>0</v>
      </c>
      <c r="BD94" s="1">
        <f>BD316</f>
        <v>0</v>
      </c>
      <c r="BE94" s="1"/>
      <c r="BF94" s="1">
        <f t="shared" si="145"/>
        <v>474123</v>
      </c>
      <c r="BG94" s="1">
        <f t="shared" si="141"/>
        <v>474123</v>
      </c>
      <c r="BH94" s="1">
        <f t="shared" ref="BH94:BN94" si="176">BH316</f>
        <v>0</v>
      </c>
      <c r="BI94" s="1">
        <f t="shared" si="176"/>
        <v>0</v>
      </c>
      <c r="BJ94" s="1">
        <f t="shared" si="176"/>
        <v>0</v>
      </c>
      <c r="BK94" s="1">
        <f t="shared" si="176"/>
        <v>0</v>
      </c>
      <c r="BL94" s="1">
        <f t="shared" si="176"/>
        <v>0</v>
      </c>
      <c r="BM94" s="1">
        <f>BM316</f>
        <v>0</v>
      </c>
      <c r="BN94" s="1">
        <f t="shared" si="176"/>
        <v>0</v>
      </c>
      <c r="BO94" s="1"/>
      <c r="BP94" s="1">
        <f t="shared" si="146"/>
        <v>0</v>
      </c>
      <c r="BQ94" s="1"/>
      <c r="BR94" s="1">
        <f t="shared" ref="BR94:BW94" si="177">BR316</f>
        <v>0</v>
      </c>
      <c r="BS94" s="1">
        <f t="shared" si="177"/>
        <v>0</v>
      </c>
      <c r="BT94" s="1">
        <f t="shared" si="177"/>
        <v>0</v>
      </c>
      <c r="BU94" s="1">
        <f t="shared" si="177"/>
        <v>0</v>
      </c>
      <c r="BV94" s="1">
        <f t="shared" si="177"/>
        <v>0</v>
      </c>
      <c r="BW94" s="1">
        <f t="shared" si="177"/>
        <v>0</v>
      </c>
      <c r="BX94" s="3"/>
      <c r="BY94" s="1">
        <f t="shared" si="142"/>
        <v>0</v>
      </c>
      <c r="BZ94" s="1">
        <f t="shared" si="144"/>
        <v>0</v>
      </c>
      <c r="CA94" s="1">
        <f t="shared" si="143"/>
        <v>474123</v>
      </c>
      <c r="CB94" s="1"/>
      <c r="CC94" s="1"/>
      <c r="CD94" s="1"/>
      <c r="CE94" s="1"/>
      <c r="CF94" s="1"/>
      <c r="CG94" s="1">
        <f>+'Sys INPUT'!CG94+CG318-0</f>
        <v>12261</v>
      </c>
      <c r="CH94" s="1"/>
      <c r="CI94" s="1"/>
      <c r="CJ94" s="1">
        <f t="shared" si="147"/>
        <v>12261</v>
      </c>
      <c r="CK94" s="1"/>
      <c r="CL94" s="1"/>
      <c r="CM94" s="46"/>
      <c r="CN94" s="1">
        <f>+CN318</f>
        <v>10200</v>
      </c>
      <c r="CO94" s="1">
        <f>+CO318</f>
        <v>25592</v>
      </c>
      <c r="CP94" s="1"/>
      <c r="CQ94" s="1"/>
      <c r="CR94" s="1"/>
      <c r="CS94" s="1"/>
      <c r="CT94" s="5"/>
      <c r="CU94" s="1">
        <f t="shared" si="148"/>
        <v>35792</v>
      </c>
      <c r="CW94" s="1"/>
      <c r="CX94" s="1"/>
      <c r="CY94" s="1"/>
      <c r="CZ94" s="1"/>
      <c r="DA94" s="1"/>
      <c r="DB94" s="1"/>
      <c r="DC94" s="1"/>
      <c r="DD94" s="1"/>
      <c r="DE94" s="1"/>
      <c r="DF94" s="1"/>
      <c r="DG94" s="1"/>
      <c r="DH94" s="1"/>
      <c r="DI94" s="1"/>
      <c r="DJ94" s="1"/>
      <c r="DK94" s="1"/>
      <c r="DL94" s="1"/>
      <c r="DM94" s="1"/>
      <c r="DN94" s="1"/>
      <c r="DO94" s="1"/>
      <c r="DP94" s="1"/>
      <c r="DQ94" s="1"/>
      <c r="DR94" s="1"/>
      <c r="DS94" s="1"/>
      <c r="DT94" s="1"/>
      <c r="DW94" s="1">
        <f>+CW94+CY94+DB94+DC94+DD94+DE94+DJ94+DL94+DN94+DQ94+DR94+DS94+DT94</f>
        <v>0</v>
      </c>
      <c r="DX94" s="1"/>
      <c r="DY94" s="1"/>
      <c r="DZ94" s="1"/>
      <c r="EB94" s="1">
        <f>+EB317</f>
        <v>0</v>
      </c>
      <c r="EC94" s="1"/>
      <c r="ED94" s="1"/>
      <c r="EE94" s="1"/>
      <c r="EF94" s="1">
        <f>+EF317</f>
        <v>0</v>
      </c>
      <c r="EG94" s="1"/>
      <c r="EL94" s="1"/>
      <c r="EM94" s="1">
        <v>0</v>
      </c>
      <c r="EN94">
        <f t="shared" si="149"/>
        <v>634579</v>
      </c>
      <c r="EQ94" s="1"/>
    </row>
    <row r="95" spans="1:147" ht="15.75">
      <c r="A95" s="1"/>
      <c r="B95" s="1" t="s">
        <v>973</v>
      </c>
      <c r="C95" s="1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f t="shared" si="145"/>
        <v>0</v>
      </c>
      <c r="BG95" s="1">
        <f t="shared" si="141"/>
        <v>0</v>
      </c>
      <c r="BH95" s="1"/>
      <c r="BI95" s="1"/>
      <c r="BJ95" s="1"/>
      <c r="BK95" s="1"/>
      <c r="BL95" s="1"/>
      <c r="BM95" s="1"/>
      <c r="BN95" s="1"/>
      <c r="BO95" s="1"/>
      <c r="BP95" s="1">
        <f t="shared" si="146"/>
        <v>0</v>
      </c>
      <c r="BQ95" s="1"/>
      <c r="BR95" s="1"/>
      <c r="BS95" s="1"/>
      <c r="BT95" s="1"/>
      <c r="BU95" s="1"/>
      <c r="BV95" s="1"/>
      <c r="BW95" s="1"/>
      <c r="BX95" s="3"/>
      <c r="BY95" s="1">
        <f t="shared" si="142"/>
        <v>0</v>
      </c>
      <c r="BZ95" s="1">
        <f t="shared" si="144"/>
        <v>0</v>
      </c>
      <c r="CA95" s="1">
        <f t="shared" si="143"/>
        <v>0</v>
      </c>
      <c r="CB95" s="1"/>
      <c r="CC95" s="1"/>
      <c r="CD95" s="1"/>
      <c r="CE95" s="1"/>
      <c r="CF95" s="1"/>
      <c r="CG95" s="1"/>
      <c r="CH95" s="1"/>
      <c r="CI95" s="1"/>
      <c r="CJ95" s="1">
        <f t="shared" si="147"/>
        <v>0</v>
      </c>
      <c r="CK95" s="1"/>
      <c r="CL95" s="1"/>
      <c r="CM95" s="46"/>
      <c r="CN95" s="1"/>
      <c r="CO95" s="1"/>
      <c r="CP95" s="1"/>
      <c r="CQ95" s="1"/>
      <c r="CR95" s="1"/>
      <c r="CS95" s="1"/>
      <c r="CT95" s="5"/>
      <c r="CU95" s="1">
        <f t="shared" si="148"/>
        <v>0</v>
      </c>
      <c r="CW95" s="1"/>
      <c r="CX95" s="1"/>
      <c r="CY95" s="1"/>
      <c r="CZ95" s="1"/>
      <c r="DA95" s="1"/>
      <c r="DB95" s="1"/>
      <c r="DC95" s="1"/>
      <c r="DD95" s="1"/>
      <c r="DE95" s="1"/>
      <c r="DF95" s="1"/>
      <c r="DG95" s="1"/>
      <c r="DH95" s="1"/>
      <c r="DI95" s="1"/>
      <c r="DJ95" s="1"/>
      <c r="DK95" s="1"/>
      <c r="DL95" s="1"/>
      <c r="DM95" s="1"/>
      <c r="DN95" s="1"/>
      <c r="DO95" s="1"/>
      <c r="DP95" s="1"/>
      <c r="DQ95" s="1"/>
      <c r="DR95" s="1"/>
      <c r="DS95" s="1"/>
      <c r="DT95" s="1"/>
      <c r="DW95" s="1">
        <f t="shared" si="156"/>
        <v>0</v>
      </c>
      <c r="DX95" s="1"/>
      <c r="DY95" s="1"/>
      <c r="DZ95" s="1"/>
      <c r="EB95" s="1"/>
      <c r="EC95" s="1"/>
      <c r="ED95" s="1"/>
      <c r="EE95" s="1"/>
      <c r="EF95" s="1"/>
      <c r="EG95" s="1"/>
      <c r="EL95" s="1"/>
      <c r="EM95" s="1"/>
      <c r="EQ95" s="1"/>
    </row>
    <row r="96" spans="1:147" ht="15.75">
      <c r="A96" s="1"/>
      <c r="B96" s="1" t="s">
        <v>342</v>
      </c>
      <c r="C96" s="1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f t="shared" si="141"/>
        <v>0</v>
      </c>
      <c r="BH96" s="1"/>
      <c r="BI96" s="1"/>
      <c r="BJ96" s="1"/>
      <c r="BK96" s="1"/>
      <c r="BL96" s="1"/>
      <c r="BM96" s="1"/>
      <c r="BN96" s="1"/>
      <c r="BO96" s="1"/>
      <c r="BP96" s="1"/>
      <c r="BQ96" s="1"/>
      <c r="BR96" s="1"/>
      <c r="BS96" s="1"/>
      <c r="BT96" s="1"/>
      <c r="BU96" s="1"/>
      <c r="BV96" s="1"/>
      <c r="BW96" s="1"/>
      <c r="BX96" s="3"/>
      <c r="BY96" s="1"/>
      <c r="BZ96" s="1">
        <f t="shared" si="144"/>
        <v>0</v>
      </c>
      <c r="CA96" s="1">
        <f t="shared" si="143"/>
        <v>0</v>
      </c>
      <c r="CB96" s="1"/>
      <c r="CC96" s="1"/>
      <c r="CD96" s="1"/>
      <c r="CE96" s="1"/>
      <c r="CF96" s="1"/>
      <c r="CG96" s="1"/>
      <c r="CH96" s="1"/>
      <c r="CI96" s="1"/>
      <c r="CJ96" s="1"/>
      <c r="CK96" s="1"/>
      <c r="CL96" s="1"/>
      <c r="CM96" s="46"/>
      <c r="CN96" s="1"/>
      <c r="CO96" s="1"/>
      <c r="CP96" s="1"/>
      <c r="CQ96" s="1"/>
      <c r="CR96" s="1"/>
      <c r="CS96" s="1"/>
      <c r="CT96" s="5"/>
      <c r="CU96" s="1"/>
      <c r="CW96" s="1"/>
      <c r="CX96" s="1"/>
      <c r="CY96" s="1"/>
      <c r="CZ96" s="1"/>
      <c r="DA96" s="1"/>
      <c r="DB96" s="1"/>
      <c r="DC96" s="1"/>
      <c r="DD96" s="1"/>
      <c r="DE96" s="1"/>
      <c r="DF96" s="1"/>
      <c r="DG96" s="1"/>
      <c r="DH96" s="1"/>
      <c r="DI96" s="1"/>
      <c r="DJ96" s="1"/>
      <c r="DK96" s="1"/>
      <c r="DL96" s="1"/>
      <c r="DM96" s="1"/>
      <c r="DN96" s="1"/>
      <c r="DO96" s="1"/>
      <c r="DP96" s="1"/>
      <c r="DQ96" s="1"/>
      <c r="DR96" s="1"/>
      <c r="DS96" s="1"/>
      <c r="DT96" s="1"/>
      <c r="DW96" s="1">
        <f t="shared" si="156"/>
        <v>0</v>
      </c>
      <c r="DX96" s="1"/>
      <c r="DY96" s="1"/>
      <c r="DZ96" s="1"/>
      <c r="EB96" s="1"/>
      <c r="EC96" s="1"/>
      <c r="ED96" s="1"/>
      <c r="EE96" s="1"/>
      <c r="EF96" s="1"/>
      <c r="EG96" s="1"/>
      <c r="EL96" s="1"/>
      <c r="EM96" s="1"/>
      <c r="EN96">
        <f>+D96+BF96+BP96+BY96+CJ96+CU96+DW96+ED96</f>
        <v>0</v>
      </c>
      <c r="EQ96" s="1"/>
    </row>
    <row r="97" spans="1:147" ht="15.75">
      <c r="A97" s="1"/>
      <c r="B97" s="1" t="s">
        <v>639</v>
      </c>
      <c r="C97" s="1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f t="shared" si="141"/>
        <v>0</v>
      </c>
      <c r="BH97" s="1"/>
      <c r="BI97" s="1"/>
      <c r="BJ97" s="1"/>
      <c r="BK97" s="1"/>
      <c r="BL97" s="1"/>
      <c r="BM97" s="1"/>
      <c r="BN97" s="1"/>
      <c r="BO97" s="1"/>
      <c r="BP97" s="1"/>
      <c r="BQ97" s="1"/>
      <c r="BR97" s="1"/>
      <c r="BS97" s="1"/>
      <c r="BT97" s="1"/>
      <c r="BU97" s="1"/>
      <c r="BV97" s="1"/>
      <c r="BW97" s="1"/>
      <c r="BX97" s="3"/>
      <c r="BY97" s="1"/>
      <c r="BZ97" s="1">
        <f t="shared" si="144"/>
        <v>0</v>
      </c>
      <c r="CA97" s="1">
        <f t="shared" si="143"/>
        <v>0</v>
      </c>
      <c r="CB97" s="1"/>
      <c r="CC97" s="1"/>
      <c r="CD97" s="1"/>
      <c r="CE97" s="1"/>
      <c r="CF97" s="1"/>
      <c r="CG97" s="1"/>
      <c r="CH97" s="1"/>
      <c r="CI97" s="1"/>
      <c r="CJ97" s="1">
        <f t="shared" ref="CJ97:CJ104" si="178">SUM(CB97:CI97)</f>
        <v>0</v>
      </c>
      <c r="CK97" s="1"/>
      <c r="CL97" s="1"/>
      <c r="CM97" s="46"/>
      <c r="CN97" s="1"/>
      <c r="CO97" s="1"/>
      <c r="CP97" s="1"/>
      <c r="CQ97" s="1"/>
      <c r="CR97" s="1"/>
      <c r="CS97" s="1"/>
      <c r="CT97" s="5"/>
      <c r="CU97" s="1">
        <f t="shared" ref="CU97:CU103" si="179">SUM(CL97:CT97)</f>
        <v>0</v>
      </c>
      <c r="CW97" s="1"/>
      <c r="CX97" s="1"/>
      <c r="CY97" s="1"/>
      <c r="CZ97" s="1"/>
      <c r="DA97" s="1"/>
      <c r="DB97" s="1"/>
      <c r="DC97" s="1"/>
      <c r="DD97" s="1"/>
      <c r="DE97" s="1"/>
      <c r="DF97" s="1"/>
      <c r="DG97" s="1"/>
      <c r="DH97" s="1"/>
      <c r="DI97" s="1"/>
      <c r="DJ97" s="1"/>
      <c r="DK97" s="1"/>
      <c r="DL97" s="1"/>
      <c r="DM97" s="1"/>
      <c r="DN97" s="1"/>
      <c r="DO97" s="1"/>
      <c r="DP97" s="1"/>
      <c r="DQ97" s="1"/>
      <c r="DR97" s="1"/>
      <c r="DS97" s="1"/>
      <c r="DT97" s="1"/>
      <c r="DW97" s="1">
        <f t="shared" si="156"/>
        <v>0</v>
      </c>
      <c r="DX97" s="1"/>
      <c r="DY97" s="1"/>
      <c r="DZ97" s="1"/>
      <c r="EB97" s="1"/>
      <c r="EC97" s="1"/>
      <c r="ED97" s="1"/>
      <c r="EE97" s="1"/>
      <c r="EF97" s="1"/>
      <c r="EG97" s="1"/>
      <c r="EL97" s="1"/>
      <c r="EM97" s="1"/>
      <c r="EN97">
        <f>+D97+BF97+BP97+BY97+CJ97+CU97+DW97+ED97</f>
        <v>0</v>
      </c>
      <c r="EQ97" s="1"/>
    </row>
    <row r="98" spans="1:147" ht="15.75">
      <c r="A98" s="1"/>
      <c r="B98" s="1" t="s">
        <v>273</v>
      </c>
      <c r="C98" s="11"/>
      <c r="D98" s="1">
        <f>+'Sys INPUT'!D98</f>
        <v>0</v>
      </c>
      <c r="E98" s="1"/>
      <c r="F98" s="1"/>
      <c r="G98" s="1"/>
      <c r="H98" s="1"/>
      <c r="I98" s="1"/>
      <c r="J98" s="1"/>
      <c r="K98" s="1"/>
      <c r="L98" s="1"/>
      <c r="M98" s="1"/>
      <c r="N98" s="1"/>
      <c r="O98" s="1"/>
      <c r="P98" s="1"/>
      <c r="Q98" s="1">
        <f>+'Sys INPUT'!Q98</f>
        <v>0</v>
      </c>
      <c r="R98" s="1"/>
      <c r="S98" s="1"/>
      <c r="T98" s="1"/>
      <c r="U98" s="1"/>
      <c r="V98" s="1"/>
      <c r="W98" s="1"/>
      <c r="X98" s="1"/>
      <c r="Y98" s="1"/>
      <c r="Z98" s="1">
        <f>+'Sys INPUT'!Z98</f>
        <v>0</v>
      </c>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f>+'Sys INPUT'!BD98</f>
        <v>20819</v>
      </c>
      <c r="BE98" s="1"/>
      <c r="BF98" s="1">
        <f t="shared" ref="BF98:BF113" si="180">SUM(E98:BE98)</f>
        <v>20819</v>
      </c>
      <c r="BG98" s="1">
        <f t="shared" si="141"/>
        <v>20819</v>
      </c>
      <c r="BH98" s="1"/>
      <c r="BI98" s="1"/>
      <c r="BJ98" s="1"/>
      <c r="BK98" s="1"/>
      <c r="BL98" s="1"/>
      <c r="BM98" s="1"/>
      <c r="BN98" s="1"/>
      <c r="BO98" s="1"/>
      <c r="BP98" s="1">
        <f t="shared" ref="BP98:BP103" si="181">SUM(BH98:BN98)</f>
        <v>0</v>
      </c>
      <c r="BQ98" s="1"/>
      <c r="BR98" s="1"/>
      <c r="BS98" s="1"/>
      <c r="BT98" s="1"/>
      <c r="BU98" s="1"/>
      <c r="BV98" s="1"/>
      <c r="BW98" s="1"/>
      <c r="BX98" s="3"/>
      <c r="BY98" s="1">
        <f t="shared" ref="BY98:BY103" si="182">SUM(BR98:BX98)</f>
        <v>0</v>
      </c>
      <c r="BZ98" s="1">
        <f t="shared" si="144"/>
        <v>0</v>
      </c>
      <c r="CA98" s="1">
        <f t="shared" si="143"/>
        <v>41629</v>
      </c>
      <c r="CB98" s="1"/>
      <c r="CC98" s="1">
        <f>+'Sys INPUT'!CC98-CC99</f>
        <v>0</v>
      </c>
      <c r="CD98" s="1"/>
      <c r="CE98" s="1"/>
      <c r="CF98" s="1"/>
      <c r="CG98" s="1">
        <f>+'Sys INPUT'!CG98-INPUT!CG99</f>
        <v>0</v>
      </c>
      <c r="CH98" s="1"/>
      <c r="CI98" s="1"/>
      <c r="CJ98" s="1">
        <f t="shared" si="178"/>
        <v>0</v>
      </c>
      <c r="CK98" s="1"/>
      <c r="CL98" s="1"/>
      <c r="CM98" s="1">
        <f>+'Sys INPUT'!CM98-CM99-0</f>
        <v>0</v>
      </c>
      <c r="CN98" s="1"/>
      <c r="CO98" s="1"/>
      <c r="CP98" s="1"/>
      <c r="CQ98" s="1"/>
      <c r="CR98" s="1"/>
      <c r="CS98" s="1"/>
      <c r="CT98" s="5"/>
      <c r="CU98" s="1">
        <f t="shared" si="179"/>
        <v>0</v>
      </c>
      <c r="CW98" s="1"/>
      <c r="CX98" s="1"/>
      <c r="CY98" s="1"/>
      <c r="CZ98" s="1"/>
      <c r="DA98" s="1"/>
      <c r="DB98" s="1"/>
      <c r="DC98" s="1"/>
      <c r="DD98" s="1"/>
      <c r="DE98" s="1"/>
      <c r="DF98" s="1"/>
      <c r="DG98" s="1"/>
      <c r="DH98" s="1"/>
      <c r="DI98" s="1"/>
      <c r="DJ98" s="1"/>
      <c r="DK98" s="1"/>
      <c r="DL98" s="1"/>
      <c r="DM98" s="1"/>
      <c r="DN98" s="1"/>
      <c r="DO98" s="1"/>
      <c r="DP98" s="1"/>
      <c r="DQ98" s="1"/>
      <c r="DR98" s="1"/>
      <c r="DS98" s="1"/>
      <c r="DT98" s="1"/>
      <c r="DW98" s="1">
        <f t="shared" si="156"/>
        <v>0</v>
      </c>
      <c r="DX98" s="1"/>
      <c r="DY98" s="1"/>
      <c r="DZ98" s="1"/>
      <c r="EB98" s="1"/>
      <c r="EC98" s="1"/>
      <c r="ED98" s="1"/>
      <c r="EE98" s="1"/>
      <c r="EF98" s="1">
        <f>+'Sys INPUT'!EG98</f>
        <v>20810</v>
      </c>
      <c r="EG98" s="1">
        <f>+BD98</f>
        <v>20819</v>
      </c>
      <c r="EH98">
        <f>+EG98+EF98</f>
        <v>41629</v>
      </c>
      <c r="EL98" s="1"/>
      <c r="EM98" s="1"/>
      <c r="EN98">
        <f>+D98+BF98+BP98+BY98+CJ98+CU98+DW98+ED98</f>
        <v>20819</v>
      </c>
      <c r="EQ98" s="1"/>
    </row>
    <row r="99" spans="1:147" ht="15.75">
      <c r="A99" s="1"/>
      <c r="B99" s="1" t="s">
        <v>232</v>
      </c>
      <c r="C99" s="1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f>+'Sys INPUT'!BD99</f>
        <v>350827</v>
      </c>
      <c r="BE99" s="1"/>
      <c r="BF99" s="1">
        <f t="shared" si="180"/>
        <v>350827</v>
      </c>
      <c r="BG99" s="1">
        <f t="shared" si="141"/>
        <v>350827</v>
      </c>
      <c r="BH99" s="1"/>
      <c r="BI99" s="1"/>
      <c r="BJ99" s="1"/>
      <c r="BK99" s="1"/>
      <c r="BL99" s="1"/>
      <c r="BM99" s="1"/>
      <c r="BN99" s="1"/>
      <c r="BO99" s="1"/>
      <c r="BP99" s="1">
        <f t="shared" si="181"/>
        <v>0</v>
      </c>
      <c r="BQ99" s="1"/>
      <c r="BR99" s="1"/>
      <c r="BS99" s="1"/>
      <c r="BT99" s="1"/>
      <c r="BU99" s="1"/>
      <c r="BV99" s="1"/>
      <c r="BW99" s="1"/>
      <c r="BX99" s="3"/>
      <c r="BY99" s="1">
        <f t="shared" si="182"/>
        <v>0</v>
      </c>
      <c r="BZ99" s="1">
        <f t="shared" si="144"/>
        <v>0</v>
      </c>
      <c r="CA99" s="1">
        <f t="shared" si="143"/>
        <v>695914</v>
      </c>
      <c r="CB99" s="1"/>
      <c r="CC99" s="1">
        <f>ROUND('Sys INPUT'!CC98*$C$86,0)+0</f>
        <v>0</v>
      </c>
      <c r="CD99" s="1"/>
      <c r="CE99" s="1"/>
      <c r="CF99" s="1"/>
      <c r="CG99" s="1">
        <f>ROUND('Sys INPUT'!CG98*$C$86,0)-0</f>
        <v>0</v>
      </c>
      <c r="CH99" s="1"/>
      <c r="CI99" s="1"/>
      <c r="CJ99" s="1">
        <f t="shared" si="178"/>
        <v>0</v>
      </c>
      <c r="CK99" s="1"/>
      <c r="CL99" s="1"/>
      <c r="CM99" s="1">
        <v>0</v>
      </c>
      <c r="CN99" s="1"/>
      <c r="CO99" s="1"/>
      <c r="CP99" s="1"/>
      <c r="CQ99" s="1"/>
      <c r="CR99" s="1"/>
      <c r="CS99" s="1"/>
      <c r="CT99" s="5"/>
      <c r="CU99" s="1">
        <f t="shared" si="179"/>
        <v>0</v>
      </c>
      <c r="CW99" s="1"/>
      <c r="CX99" s="1"/>
      <c r="CY99" s="1"/>
      <c r="CZ99" s="1"/>
      <c r="DA99" s="1"/>
      <c r="DB99" s="1"/>
      <c r="DC99" s="1"/>
      <c r="DD99" s="1"/>
      <c r="DE99" s="1"/>
      <c r="DF99" s="1"/>
      <c r="DG99" s="1"/>
      <c r="DH99" s="1"/>
      <c r="DI99" s="1"/>
      <c r="DJ99" s="1"/>
      <c r="DK99" s="1"/>
      <c r="DL99" s="1"/>
      <c r="DM99" s="1"/>
      <c r="DN99" s="1"/>
      <c r="DO99" s="1"/>
      <c r="DP99" s="1"/>
      <c r="DQ99" s="1"/>
      <c r="DR99" s="1"/>
      <c r="DS99" s="1"/>
      <c r="DT99" s="1"/>
      <c r="DW99" s="1">
        <f t="shared" si="156"/>
        <v>0</v>
      </c>
      <c r="DX99" s="1"/>
      <c r="DY99" s="1"/>
      <c r="DZ99" s="1"/>
      <c r="EB99" s="1"/>
      <c r="EC99" s="1"/>
      <c r="ED99" s="1"/>
      <c r="EE99" s="1"/>
      <c r="EF99" s="1">
        <f>+'Sys INPUT'!EG99</f>
        <v>345087</v>
      </c>
      <c r="EG99" s="1">
        <f>+BD99</f>
        <v>350827</v>
      </c>
      <c r="EH99">
        <f>+EG99+EF99</f>
        <v>695914</v>
      </c>
      <c r="EL99" s="1"/>
      <c r="EM99" s="1"/>
      <c r="EN99">
        <f>+D99+BF99+BP99+BY99+CJ99+CU99+DW99+ED99</f>
        <v>350827</v>
      </c>
      <c r="EQ99" s="1"/>
    </row>
    <row r="100" spans="1:147" ht="15.75">
      <c r="A100" s="1"/>
      <c r="B100" s="1" t="s">
        <v>15</v>
      </c>
      <c r="C100" s="11"/>
      <c r="D100" s="1">
        <f t="shared" ref="D100:J100" si="183">D287</f>
        <v>0</v>
      </c>
      <c r="E100" s="1">
        <f t="shared" si="183"/>
        <v>0</v>
      </c>
      <c r="F100" s="1">
        <f t="shared" si="183"/>
        <v>0</v>
      </c>
      <c r="G100" s="1">
        <f t="shared" si="183"/>
        <v>0</v>
      </c>
      <c r="H100" s="1">
        <f t="shared" si="183"/>
        <v>0</v>
      </c>
      <c r="I100" s="1">
        <f t="shared" si="183"/>
        <v>0</v>
      </c>
      <c r="J100" s="1">
        <f t="shared" si="183"/>
        <v>0</v>
      </c>
      <c r="K100" s="1">
        <f t="shared" ref="K100:P100" si="184">K287</f>
        <v>0</v>
      </c>
      <c r="L100" s="1">
        <f t="shared" si="184"/>
        <v>0</v>
      </c>
      <c r="M100" s="1">
        <f t="shared" si="184"/>
        <v>0</v>
      </c>
      <c r="N100" s="1">
        <f t="shared" si="184"/>
        <v>0</v>
      </c>
      <c r="O100" s="1">
        <f t="shared" si="184"/>
        <v>0</v>
      </c>
      <c r="P100" s="1">
        <f t="shared" si="184"/>
        <v>0</v>
      </c>
      <c r="Q100" s="1">
        <f t="shared" ref="Q100:X100" si="185">Q287</f>
        <v>0</v>
      </c>
      <c r="R100" s="1">
        <f t="shared" si="185"/>
        <v>0</v>
      </c>
      <c r="S100" s="1">
        <f t="shared" si="185"/>
        <v>0</v>
      </c>
      <c r="T100" s="1">
        <f t="shared" si="185"/>
        <v>0</v>
      </c>
      <c r="U100" s="1">
        <f t="shared" si="185"/>
        <v>0</v>
      </c>
      <c r="V100" s="1">
        <f t="shared" si="185"/>
        <v>0</v>
      </c>
      <c r="W100" s="1">
        <f t="shared" si="185"/>
        <v>0</v>
      </c>
      <c r="X100" s="1">
        <f t="shared" si="185"/>
        <v>0</v>
      </c>
      <c r="Y100" s="1">
        <f>Y287</f>
        <v>0</v>
      </c>
      <c r="Z100" s="1">
        <f t="shared" ref="Z100:AK100" si="186">Z287</f>
        <v>0</v>
      </c>
      <c r="AA100" s="1">
        <f t="shared" si="186"/>
        <v>0</v>
      </c>
      <c r="AB100" s="1">
        <f>AB287</f>
        <v>0</v>
      </c>
      <c r="AC100" s="1">
        <f t="shared" si="186"/>
        <v>0</v>
      </c>
      <c r="AD100" s="1">
        <f t="shared" si="186"/>
        <v>0</v>
      </c>
      <c r="AE100" s="1">
        <f t="shared" si="186"/>
        <v>0</v>
      </c>
      <c r="AF100" s="1">
        <f t="shared" si="186"/>
        <v>0</v>
      </c>
      <c r="AG100" s="1">
        <f t="shared" si="186"/>
        <v>0</v>
      </c>
      <c r="AH100" s="1">
        <f t="shared" si="186"/>
        <v>0</v>
      </c>
      <c r="AI100" s="1">
        <f t="shared" si="186"/>
        <v>0</v>
      </c>
      <c r="AJ100" s="1">
        <f t="shared" si="186"/>
        <v>0</v>
      </c>
      <c r="AK100" s="1">
        <f t="shared" si="186"/>
        <v>0</v>
      </c>
      <c r="AL100" s="1">
        <f t="shared" ref="AL100:AQ100" si="187">AL287</f>
        <v>0</v>
      </c>
      <c r="AM100" s="1">
        <f t="shared" si="187"/>
        <v>0</v>
      </c>
      <c r="AN100" s="1">
        <f t="shared" si="187"/>
        <v>0</v>
      </c>
      <c r="AO100" s="1">
        <f t="shared" si="187"/>
        <v>0</v>
      </c>
      <c r="AP100" s="1">
        <f t="shared" si="187"/>
        <v>0</v>
      </c>
      <c r="AQ100" s="1">
        <f t="shared" si="187"/>
        <v>0</v>
      </c>
      <c r="AR100" s="1">
        <f t="shared" ref="AR100:BC100" si="188">AR287</f>
        <v>0</v>
      </c>
      <c r="AS100" s="1">
        <f t="shared" si="188"/>
        <v>0</v>
      </c>
      <c r="AT100" s="1">
        <f>AT287</f>
        <v>0</v>
      </c>
      <c r="AU100" s="1">
        <f t="shared" si="188"/>
        <v>0</v>
      </c>
      <c r="AV100" s="1">
        <f t="shared" si="188"/>
        <v>0</v>
      </c>
      <c r="AW100" s="1"/>
      <c r="AX100" s="1">
        <f t="shared" si="188"/>
        <v>0</v>
      </c>
      <c r="AY100" s="1">
        <f t="shared" si="188"/>
        <v>0</v>
      </c>
      <c r="AZ100" s="1">
        <f t="shared" si="188"/>
        <v>0</v>
      </c>
      <c r="BA100" s="1">
        <f t="shared" si="188"/>
        <v>0</v>
      </c>
      <c r="BB100" s="1">
        <f t="shared" si="188"/>
        <v>0</v>
      </c>
      <c r="BC100" s="1">
        <f t="shared" si="188"/>
        <v>0</v>
      </c>
      <c r="BD100" s="1">
        <f>BD287</f>
        <v>0</v>
      </c>
      <c r="BE100" s="1"/>
      <c r="BF100" s="1">
        <f t="shared" si="180"/>
        <v>0</v>
      </c>
      <c r="BG100" s="1">
        <f t="shared" si="141"/>
        <v>0</v>
      </c>
      <c r="BH100" s="1">
        <f t="shared" ref="BH100:BN100" si="189">BH287</f>
        <v>0</v>
      </c>
      <c r="BI100" s="1">
        <f t="shared" si="189"/>
        <v>0</v>
      </c>
      <c r="BJ100" s="1">
        <f t="shared" si="189"/>
        <v>0</v>
      </c>
      <c r="BK100" s="1">
        <f t="shared" si="189"/>
        <v>0</v>
      </c>
      <c r="BL100" s="1">
        <f t="shared" si="189"/>
        <v>0</v>
      </c>
      <c r="BM100" s="1">
        <f>BM287</f>
        <v>0</v>
      </c>
      <c r="BN100" s="1">
        <f t="shared" si="189"/>
        <v>0</v>
      </c>
      <c r="BO100" s="1"/>
      <c r="BP100" s="1">
        <f t="shared" si="181"/>
        <v>0</v>
      </c>
      <c r="BQ100" s="1"/>
      <c r="BR100" s="1">
        <f t="shared" ref="BR100:BW100" si="190">BR287</f>
        <v>0</v>
      </c>
      <c r="BS100" s="1">
        <f t="shared" si="190"/>
        <v>0</v>
      </c>
      <c r="BT100" s="1">
        <f t="shared" si="190"/>
        <v>0</v>
      </c>
      <c r="BU100" s="1">
        <f t="shared" si="190"/>
        <v>0</v>
      </c>
      <c r="BV100" s="1">
        <f t="shared" si="190"/>
        <v>0</v>
      </c>
      <c r="BW100" s="1">
        <f t="shared" si="190"/>
        <v>0</v>
      </c>
      <c r="BX100" s="3"/>
      <c r="BY100" s="1">
        <f t="shared" si="182"/>
        <v>0</v>
      </c>
      <c r="BZ100" s="1">
        <f t="shared" si="144"/>
        <v>0</v>
      </c>
      <c r="CA100" s="1">
        <f t="shared" si="143"/>
        <v>0</v>
      </c>
      <c r="CB100" s="1"/>
      <c r="CC100" s="1">
        <f t="shared" ref="CC100:CH100" si="191">+CC287</f>
        <v>0</v>
      </c>
      <c r="CD100" s="1">
        <f t="shared" si="191"/>
        <v>0</v>
      </c>
      <c r="CE100" s="1">
        <f t="shared" si="191"/>
        <v>0</v>
      </c>
      <c r="CF100" s="1">
        <f t="shared" si="191"/>
        <v>0</v>
      </c>
      <c r="CG100" s="1">
        <f t="shared" si="191"/>
        <v>0</v>
      </c>
      <c r="CH100" s="1">
        <f t="shared" si="191"/>
        <v>0</v>
      </c>
      <c r="CI100" s="1"/>
      <c r="CJ100" s="1">
        <f t="shared" si="178"/>
        <v>0</v>
      </c>
      <c r="CK100" s="1"/>
      <c r="CL100" s="1">
        <f>+CL287</f>
        <v>0</v>
      </c>
      <c r="CM100" s="46"/>
      <c r="CN100" s="1"/>
      <c r="CO100" s="1"/>
      <c r="CP100" s="1">
        <f>+CP287</f>
        <v>0</v>
      </c>
      <c r="CQ100" s="1">
        <f>+CQ287</f>
        <v>0</v>
      </c>
      <c r="CR100" s="1">
        <f>+CR287</f>
        <v>0</v>
      </c>
      <c r="CS100" s="1"/>
      <c r="CT100" s="5"/>
      <c r="CU100" s="1">
        <f t="shared" si="179"/>
        <v>0</v>
      </c>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W100" s="1">
        <f t="shared" si="156"/>
        <v>0</v>
      </c>
      <c r="DX100" s="1"/>
      <c r="DY100" s="1"/>
      <c r="DZ100" s="1"/>
      <c r="EB100" s="1">
        <f>EB287</f>
        <v>0</v>
      </c>
      <c r="EC100" s="1"/>
      <c r="ED100" s="1"/>
      <c r="EE100" s="1"/>
      <c r="EF100" s="1">
        <f>EF287</f>
        <v>0</v>
      </c>
      <c r="EG100" s="1"/>
      <c r="EH100">
        <f>+EG100+EF100</f>
        <v>0</v>
      </c>
      <c r="EI100">
        <f>+EH99+EH100</f>
        <v>695914</v>
      </c>
      <c r="EL100" s="1">
        <f>EL287</f>
        <v>0</v>
      </c>
      <c r="EM100" s="1">
        <f>EM287</f>
        <v>0</v>
      </c>
      <c r="EN100">
        <f>+D100+BF100+BP100+BY100+CJ100+CU100+DW100+ED100</f>
        <v>0</v>
      </c>
      <c r="EQ100" s="1">
        <f>EQ287</f>
        <v>0</v>
      </c>
    </row>
    <row r="101" spans="1:147" ht="15.75">
      <c r="A101" s="1"/>
      <c r="B101" s="89" t="s">
        <v>1653</v>
      </c>
      <c r="C101" s="11"/>
      <c r="D101" s="42">
        <v>0</v>
      </c>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f t="shared" si="180"/>
        <v>0</v>
      </c>
      <c r="BG101" s="1">
        <f t="shared" si="141"/>
        <v>0</v>
      </c>
      <c r="BH101" s="1"/>
      <c r="BI101" s="1"/>
      <c r="BJ101" s="1"/>
      <c r="BK101" s="1"/>
      <c r="BL101" s="1"/>
      <c r="BM101" s="1"/>
      <c r="BN101" s="1"/>
      <c r="BO101" s="1"/>
      <c r="BP101" s="1">
        <f t="shared" si="181"/>
        <v>0</v>
      </c>
      <c r="BQ101" s="1"/>
      <c r="BR101" s="1"/>
      <c r="BS101" s="1"/>
      <c r="BT101" s="1"/>
      <c r="BU101" s="1"/>
      <c r="BV101" s="1"/>
      <c r="BW101" s="1"/>
      <c r="BX101" s="3"/>
      <c r="BY101" s="1">
        <f t="shared" si="182"/>
        <v>0</v>
      </c>
      <c r="BZ101" s="1">
        <f t="shared" si="144"/>
        <v>0</v>
      </c>
      <c r="CA101" s="1">
        <f t="shared" si="143"/>
        <v>0</v>
      </c>
      <c r="CB101" s="1"/>
      <c r="CC101" s="1"/>
      <c r="CD101" s="1"/>
      <c r="CE101" s="1"/>
      <c r="CF101" s="1"/>
      <c r="CG101" s="1"/>
      <c r="CH101" s="1"/>
      <c r="CI101" s="1"/>
      <c r="CJ101" s="1">
        <f t="shared" si="178"/>
        <v>0</v>
      </c>
      <c r="CK101" s="1"/>
      <c r="CL101" s="1"/>
      <c r="CM101" s="46"/>
      <c r="CN101" s="1"/>
      <c r="CO101" s="1"/>
      <c r="CP101" s="1"/>
      <c r="CQ101" s="1"/>
      <c r="CR101" s="1"/>
      <c r="CS101" s="1"/>
      <c r="CT101" s="5"/>
      <c r="CU101" s="1">
        <f t="shared" si="179"/>
        <v>0</v>
      </c>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W101" s="1">
        <f t="shared" si="156"/>
        <v>0</v>
      </c>
      <c r="DX101" s="1"/>
      <c r="DY101" s="1"/>
      <c r="DZ101" s="1"/>
      <c r="EB101" s="1"/>
      <c r="EC101" s="1"/>
      <c r="ED101" s="1"/>
      <c r="EE101" s="1"/>
      <c r="EF101" s="1"/>
      <c r="EG101" s="1"/>
      <c r="EL101" s="1"/>
      <c r="EM101" s="1"/>
      <c r="EQ101" s="1"/>
    </row>
    <row r="102" spans="1:147" ht="15.75">
      <c r="A102" s="1"/>
      <c r="B102" s="89" t="s">
        <v>1652</v>
      </c>
      <c r="C102" s="1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f t="shared" si="180"/>
        <v>0</v>
      </c>
      <c r="BG102" s="1">
        <f t="shared" si="141"/>
        <v>0</v>
      </c>
      <c r="BH102" s="1"/>
      <c r="BI102" s="1"/>
      <c r="BJ102" s="1"/>
      <c r="BK102" s="1"/>
      <c r="BL102" s="1"/>
      <c r="BM102" s="1"/>
      <c r="BN102" s="1"/>
      <c r="BO102" s="1"/>
      <c r="BP102" s="1">
        <f t="shared" si="181"/>
        <v>0</v>
      </c>
      <c r="BQ102" s="1"/>
      <c r="BR102" s="1"/>
      <c r="BS102" s="1"/>
      <c r="BT102" s="1"/>
      <c r="BU102" s="1"/>
      <c r="BV102" s="1"/>
      <c r="BW102" s="1"/>
      <c r="BX102" s="3"/>
      <c r="BY102" s="1">
        <f t="shared" si="182"/>
        <v>0</v>
      </c>
      <c r="BZ102" s="1">
        <f t="shared" si="144"/>
        <v>0</v>
      </c>
      <c r="CA102" s="1">
        <f t="shared" si="143"/>
        <v>0</v>
      </c>
      <c r="CB102" s="1"/>
      <c r="CC102" s="1"/>
      <c r="CD102" s="1"/>
      <c r="CE102" s="1"/>
      <c r="CF102" s="1"/>
      <c r="CG102" s="1"/>
      <c r="CH102" s="1"/>
      <c r="CI102" s="1"/>
      <c r="CJ102" s="1">
        <f t="shared" si="178"/>
        <v>0</v>
      </c>
      <c r="CK102" s="1"/>
      <c r="CL102" s="1"/>
      <c r="CM102" s="46"/>
      <c r="CN102" s="1"/>
      <c r="CO102" s="1"/>
      <c r="CP102" s="1"/>
      <c r="CQ102" s="1"/>
      <c r="CR102" s="1"/>
      <c r="CS102" s="1"/>
      <c r="CT102" s="5"/>
      <c r="CU102" s="1">
        <f t="shared" si="179"/>
        <v>0</v>
      </c>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W102" s="1">
        <f t="shared" si="156"/>
        <v>0</v>
      </c>
      <c r="DX102" s="1"/>
      <c r="DY102" s="1"/>
      <c r="DZ102" s="1"/>
      <c r="EB102" s="1"/>
      <c r="EC102" s="1"/>
      <c r="ED102" s="1"/>
      <c r="EE102" s="1"/>
      <c r="EF102" s="1"/>
      <c r="EG102" s="1"/>
      <c r="EL102" s="1"/>
      <c r="EM102" s="1"/>
      <c r="EO102" s="161" t="s">
        <v>3200</v>
      </c>
      <c r="EQ102" s="1"/>
    </row>
    <row r="103" spans="1:147" ht="15.75">
      <c r="A103" s="1"/>
      <c r="B103" s="89" t="s">
        <v>616</v>
      </c>
      <c r="C103" s="11"/>
      <c r="D103" s="1">
        <f>+'Sys INPUT'!D101</f>
        <v>0</v>
      </c>
      <c r="E103" s="1"/>
      <c r="F103" s="1"/>
      <c r="G103" s="1"/>
      <c r="H103" s="1"/>
      <c r="I103" s="1"/>
      <c r="J103" s="1"/>
      <c r="K103" s="1"/>
      <c r="L103" s="1"/>
      <c r="M103" s="1"/>
      <c r="N103" s="1"/>
      <c r="O103" s="1"/>
      <c r="P103" s="1"/>
      <c r="Q103" s="1"/>
      <c r="R103" s="1"/>
      <c r="S103" s="1"/>
      <c r="T103" s="1"/>
      <c r="U103" s="1">
        <f>+'Sys INPUT'!U101</f>
        <v>0</v>
      </c>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f>+'Sys INPUT'!BC101</f>
        <v>6602</v>
      </c>
      <c r="BD103" s="1"/>
      <c r="BE103" s="1"/>
      <c r="BF103" s="1">
        <f t="shared" si="180"/>
        <v>6602</v>
      </c>
      <c r="BG103" s="1">
        <f t="shared" si="141"/>
        <v>0</v>
      </c>
      <c r="BH103" s="1"/>
      <c r="BI103" s="1"/>
      <c r="BJ103" s="1"/>
      <c r="BK103" s="1">
        <f>+'Sys INPUT'!BK101</f>
        <v>0</v>
      </c>
      <c r="BL103" s="1">
        <f>+'Sys INPUT'!BL101</f>
        <v>0</v>
      </c>
      <c r="BM103" s="1">
        <f>+'Sys INPUT'!BM101</f>
        <v>0</v>
      </c>
      <c r="BN103" s="1"/>
      <c r="BO103" s="1"/>
      <c r="BP103" s="1">
        <f t="shared" si="181"/>
        <v>0</v>
      </c>
      <c r="BQ103" s="1"/>
      <c r="BR103" s="1">
        <f>+'Sys INPUT'!BR101-BR118</f>
        <v>1123725</v>
      </c>
      <c r="BS103" s="1"/>
      <c r="BT103" s="1"/>
      <c r="BU103" s="1"/>
      <c r="BV103" s="1"/>
      <c r="BW103" s="1"/>
      <c r="BX103" s="3"/>
      <c r="BY103" s="1">
        <f t="shared" si="182"/>
        <v>1123725</v>
      </c>
      <c r="BZ103" s="1">
        <f t="shared" si="144"/>
        <v>0</v>
      </c>
      <c r="CA103" s="1">
        <f t="shared" si="143"/>
        <v>0</v>
      </c>
      <c r="CB103" s="1"/>
      <c r="CC103" s="1"/>
      <c r="CD103" s="1"/>
      <c r="CE103" s="1"/>
      <c r="CF103" s="1"/>
      <c r="CG103" s="1"/>
      <c r="CH103" s="1"/>
      <c r="CI103" s="1"/>
      <c r="CJ103" s="1">
        <f t="shared" si="178"/>
        <v>0</v>
      </c>
      <c r="CK103" s="1"/>
      <c r="CL103" s="1"/>
      <c r="CM103" s="1"/>
      <c r="CN103" s="1"/>
      <c r="CO103" s="1"/>
      <c r="CP103" s="1"/>
      <c r="CQ103" s="1"/>
      <c r="CR103" s="1"/>
      <c r="CS103" s="1"/>
      <c r="CT103" s="5"/>
      <c r="CU103" s="1">
        <f t="shared" si="179"/>
        <v>0</v>
      </c>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W103" s="1">
        <f t="shared" si="156"/>
        <v>0</v>
      </c>
      <c r="DX103" s="1"/>
      <c r="DY103" s="1"/>
      <c r="DZ103" s="1"/>
      <c r="EB103" s="1"/>
      <c r="EC103" s="1"/>
      <c r="ED103" s="1"/>
      <c r="EE103" s="1"/>
      <c r="EF103" s="1"/>
      <c r="EG103" s="1"/>
      <c r="EH103">
        <f>SUM(EH98:EH100)</f>
        <v>737543</v>
      </c>
      <c r="EL103" s="1"/>
      <c r="EM103" s="1"/>
      <c r="EN103">
        <f>+D103+BF103+BP103+BY103+CJ103+CU103+DW103+ED103</f>
        <v>1130327</v>
      </c>
      <c r="EO103">
        <f>+EN103-EN141</f>
        <v>6602</v>
      </c>
      <c r="EQ103" s="1"/>
    </row>
    <row r="104" spans="1:147" ht="15.75">
      <c r="A104" s="1"/>
      <c r="B104" s="1" t="s">
        <v>343</v>
      </c>
      <c r="C104" s="1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f t="shared" si="180"/>
        <v>0</v>
      </c>
      <c r="BG104" s="1">
        <f t="shared" si="141"/>
        <v>0</v>
      </c>
      <c r="BH104" s="1"/>
      <c r="BI104" s="1"/>
      <c r="BJ104" s="1"/>
      <c r="BK104" s="1"/>
      <c r="BL104" s="1"/>
      <c r="BM104" s="1"/>
      <c r="BN104" s="1"/>
      <c r="BO104" s="1"/>
      <c r="BP104" s="1">
        <f t="shared" ref="BP104:BP111" si="192">SUM(BH104:BN104)</f>
        <v>0</v>
      </c>
      <c r="BQ104" s="1"/>
      <c r="BR104" s="1"/>
      <c r="BS104" s="1"/>
      <c r="BT104" s="1"/>
      <c r="BU104" s="1"/>
      <c r="BV104" s="1"/>
      <c r="BW104" s="1"/>
      <c r="BX104" s="3"/>
      <c r="BY104" s="1">
        <f>SUM(BR104:BX104)</f>
        <v>0</v>
      </c>
      <c r="BZ104" s="1">
        <f t="shared" si="144"/>
        <v>0</v>
      </c>
      <c r="CA104" s="1">
        <f t="shared" si="143"/>
        <v>0</v>
      </c>
      <c r="CB104" s="1"/>
      <c r="CC104" s="1"/>
      <c r="CD104" s="1"/>
      <c r="CE104" s="1"/>
      <c r="CF104" s="1"/>
      <c r="CG104" s="1"/>
      <c r="CH104" s="1"/>
      <c r="CI104" s="1"/>
      <c r="CJ104" s="1">
        <f t="shared" si="178"/>
        <v>0</v>
      </c>
      <c r="CK104" s="1"/>
      <c r="CL104" s="1"/>
      <c r="CM104" s="1"/>
      <c r="CN104" s="1"/>
      <c r="CO104" s="1"/>
      <c r="CP104" s="1"/>
      <c r="CQ104" s="1"/>
      <c r="CR104" s="1"/>
      <c r="CS104" s="1"/>
      <c r="CT104" s="5"/>
      <c r="CU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W104" s="1">
        <f t="shared" si="156"/>
        <v>0</v>
      </c>
      <c r="DX104" s="1"/>
      <c r="DY104" s="1"/>
      <c r="DZ104" s="1"/>
      <c r="EB104" s="1"/>
      <c r="EC104" s="1"/>
      <c r="ED104" s="1"/>
      <c r="EE104" s="1"/>
      <c r="EF104" s="1"/>
      <c r="EG104" s="1"/>
      <c r="EL104" s="1"/>
      <c r="EM104" s="1"/>
      <c r="EN104">
        <f>+D104+BF104+BP104+BY104+CJ104+CU104+DW104+ED104</f>
        <v>0</v>
      </c>
      <c r="EQ104" s="1"/>
    </row>
    <row r="105" spans="1:147" ht="15.75">
      <c r="A105" s="1"/>
      <c r="B105" s="1" t="s">
        <v>1352</v>
      </c>
      <c r="C105" s="1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f t="shared" si="180"/>
        <v>0</v>
      </c>
      <c r="BG105" s="1">
        <f t="shared" si="141"/>
        <v>0</v>
      </c>
      <c r="BH105" s="1"/>
      <c r="BI105" s="1"/>
      <c r="BJ105" s="1"/>
      <c r="BK105" s="1"/>
      <c r="BL105" s="1"/>
      <c r="BM105" s="1"/>
      <c r="BN105" s="1"/>
      <c r="BO105" s="1"/>
      <c r="BP105" s="1">
        <f t="shared" si="192"/>
        <v>0</v>
      </c>
      <c r="BQ105" s="1"/>
      <c r="BR105" s="1"/>
      <c r="BS105" s="1"/>
      <c r="BT105" s="1"/>
      <c r="BU105" s="1"/>
      <c r="BV105" s="1"/>
      <c r="BW105" s="1"/>
      <c r="BX105" s="3"/>
      <c r="BY105" s="1">
        <f>SUM(BR105:BX105)</f>
        <v>0</v>
      </c>
      <c r="BZ105" s="1">
        <f t="shared" si="144"/>
        <v>0</v>
      </c>
      <c r="CA105" s="1">
        <f t="shared" si="143"/>
        <v>0</v>
      </c>
      <c r="CB105" s="1"/>
      <c r="CC105" s="1"/>
      <c r="CD105" s="1"/>
      <c r="CE105" s="1"/>
      <c r="CF105" s="1"/>
      <c r="CG105" s="1"/>
      <c r="CH105" s="1"/>
      <c r="CI105" s="1"/>
      <c r="CJ105" s="1">
        <f>SUM(CB105:CI105)</f>
        <v>0</v>
      </c>
      <c r="CK105" s="1"/>
      <c r="CL105" s="1"/>
      <c r="CM105" s="1"/>
      <c r="CN105" s="1"/>
      <c r="CO105" s="1"/>
      <c r="CP105" s="1"/>
      <c r="CQ105" s="1"/>
      <c r="CR105" s="1"/>
      <c r="CS105" s="1"/>
      <c r="CT105" s="5"/>
      <c r="CU105" s="1">
        <f>SUM(CL105:CT105)</f>
        <v>0</v>
      </c>
      <c r="CW105" s="1"/>
      <c r="CX105" s="1"/>
      <c r="CY105" s="1"/>
      <c r="CZ105" s="1"/>
      <c r="DA105" s="1"/>
      <c r="DB105" s="1"/>
      <c r="DC105" s="1"/>
      <c r="DD105" s="1">
        <f>+'Sys INPUT'!DD104</f>
        <v>15629</v>
      </c>
      <c r="DE105" s="1"/>
      <c r="DF105" s="1"/>
      <c r="DG105" s="1"/>
      <c r="DH105" s="1"/>
      <c r="DI105" s="1"/>
      <c r="DJ105" s="1"/>
      <c r="DK105" s="1"/>
      <c r="DL105" s="1"/>
      <c r="DM105" s="1"/>
      <c r="DN105" s="1"/>
      <c r="DO105" s="1"/>
      <c r="DP105" s="1"/>
      <c r="DQ105" s="1"/>
      <c r="DR105" s="1"/>
      <c r="DS105" s="1"/>
      <c r="DT105" s="1"/>
      <c r="DW105" s="1">
        <f t="shared" si="156"/>
        <v>15629</v>
      </c>
      <c r="DX105" s="1"/>
      <c r="DY105" s="1"/>
      <c r="DZ105" s="1"/>
      <c r="EB105" s="1"/>
      <c r="EC105" s="1"/>
      <c r="ED105" s="1"/>
      <c r="EE105" s="1"/>
      <c r="EF105" s="1"/>
      <c r="EG105" s="1"/>
      <c r="EL105" s="1"/>
      <c r="EM105" s="1"/>
      <c r="EN105">
        <f>+D105+BF105+BP105+BY105+CJ105+CU105+DW105+ED105</f>
        <v>15629</v>
      </c>
      <c r="EQ105" s="1"/>
    </row>
    <row r="106" spans="1:147" ht="15.75" customHeight="1">
      <c r="A106" s="1"/>
      <c r="B106" s="1"/>
      <c r="C106" s="1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f t="shared" si="180"/>
        <v>0</v>
      </c>
      <c r="BG106" s="1">
        <f t="shared" si="141"/>
        <v>0</v>
      </c>
      <c r="BH106" s="1"/>
      <c r="BI106" s="1"/>
      <c r="BJ106" s="1"/>
      <c r="BK106" s="1"/>
      <c r="BL106" s="1"/>
      <c r="BM106" s="1"/>
      <c r="BN106" s="1"/>
      <c r="BO106" s="1"/>
      <c r="BP106" s="1">
        <f t="shared" si="192"/>
        <v>0</v>
      </c>
      <c r="BQ106" s="1"/>
      <c r="BR106" s="1"/>
      <c r="BS106" s="1"/>
      <c r="BT106" s="1"/>
      <c r="BU106" s="1"/>
      <c r="BV106" s="1"/>
      <c r="BW106" s="1"/>
      <c r="BX106" s="3"/>
      <c r="BY106" s="1"/>
      <c r="BZ106" s="1">
        <f t="shared" si="144"/>
        <v>0</v>
      </c>
      <c r="CA106" s="1">
        <f t="shared" si="143"/>
        <v>0</v>
      </c>
      <c r="CB106" s="1"/>
      <c r="CC106" s="1"/>
      <c r="CD106" s="1"/>
      <c r="CE106" s="1"/>
      <c r="CF106" s="1"/>
      <c r="CG106" s="89"/>
      <c r="CH106" s="1"/>
      <c r="CI106" s="1"/>
      <c r="CJ106" s="1"/>
      <c r="CK106" s="1">
        <f>SUM(CK107:CK108)</f>
        <v>5331414</v>
      </c>
      <c r="CL106" s="1"/>
      <c r="CM106" s="1"/>
      <c r="CN106" s="1"/>
      <c r="CO106" s="1"/>
      <c r="CP106" s="1"/>
      <c r="CQ106" s="1"/>
      <c r="CR106" s="1"/>
      <c r="CS106" s="1"/>
      <c r="CT106" s="5"/>
      <c r="CU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W106" s="1">
        <f t="shared" si="156"/>
        <v>0</v>
      </c>
      <c r="DX106" s="1"/>
      <c r="DY106" s="1"/>
      <c r="DZ106" s="1"/>
      <c r="EB106" s="1"/>
      <c r="EC106" s="1"/>
      <c r="ED106" s="1"/>
      <c r="EE106" s="1"/>
      <c r="EF106" s="1"/>
      <c r="EG106" s="1"/>
      <c r="EL106" s="1"/>
      <c r="EM106" s="1"/>
      <c r="EQ106" s="1"/>
    </row>
    <row r="107" spans="1:147" ht="15.75">
      <c r="A107" s="1"/>
      <c r="B107" s="89" t="s">
        <v>1284</v>
      </c>
      <c r="C107" s="1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f t="shared" si="180"/>
        <v>0</v>
      </c>
      <c r="BG107" s="1">
        <f t="shared" si="141"/>
        <v>0</v>
      </c>
      <c r="BH107" s="1"/>
      <c r="BI107" s="1"/>
      <c r="BJ107" s="1"/>
      <c r="BK107" s="1"/>
      <c r="BL107" s="1"/>
      <c r="BM107" s="1"/>
      <c r="BN107" s="1"/>
      <c r="BO107" s="1"/>
      <c r="BP107" s="1">
        <f t="shared" si="192"/>
        <v>0</v>
      </c>
      <c r="BQ107" s="1"/>
      <c r="BR107" s="1"/>
      <c r="BS107" s="1"/>
      <c r="BT107" s="1"/>
      <c r="BU107" s="1"/>
      <c r="BV107" s="1"/>
      <c r="BW107" s="1"/>
      <c r="BX107" s="3"/>
      <c r="BY107" s="1">
        <f t="shared" ref="BY107:BY113" si="193">SUM(BR107:BX107)</f>
        <v>0</v>
      </c>
      <c r="BZ107" s="1">
        <f t="shared" si="144"/>
        <v>0</v>
      </c>
      <c r="CA107" s="1">
        <f t="shared" si="143"/>
        <v>0</v>
      </c>
      <c r="CB107" s="1"/>
      <c r="CC107" s="1">
        <f>+'Sys INPUT'!CC106-CC313-CC108-1</f>
        <v>0</v>
      </c>
      <c r="CD107" s="1">
        <f>+'Sys INPUT'!CD106-CD313-CD108-2</f>
        <v>5396</v>
      </c>
      <c r="CE107" s="42">
        <f>+'Sys INPUT'!CE106-CE313-CE108+73850-1</f>
        <v>0</v>
      </c>
      <c r="CF107" s="1">
        <f>+'Sys INPUT'!CF106-CF313-CF108-0</f>
        <v>54611</v>
      </c>
      <c r="CG107" s="42">
        <f>+'Sys INPUT'!CG106-CG313-CG108+0-0-0+3</f>
        <v>180054</v>
      </c>
      <c r="CH107" s="1">
        <f>+'Sys INPUT'!CH106-CH313-CH108+0</f>
        <v>3587</v>
      </c>
      <c r="CI107" s="1"/>
      <c r="CJ107" s="1">
        <f>SUM(CB107:CI107)</f>
        <v>243648</v>
      </c>
      <c r="CK107" s="1">
        <f>SUM(CD107:CH107)</f>
        <v>243648</v>
      </c>
      <c r="CL107" s="1">
        <f>+'Sys INPUT'!CL106-CL313-CL108-0</f>
        <v>0</v>
      </c>
      <c r="CM107" s="1">
        <f>+'Sys INPUT'!CM106-CM313-CM108</f>
        <v>212844</v>
      </c>
      <c r="CN107" s="1">
        <f>+'Sys INPUT'!CN106-CN313-CN108+3</f>
        <v>0</v>
      </c>
      <c r="CO107" s="1">
        <f>+'Sys INPUT'!CO106-CO313-CO108</f>
        <v>0</v>
      </c>
      <c r="CP107" s="1">
        <f>+'Sys INPUT'!CP106-CP313-CP108+293585-2</f>
        <v>0</v>
      </c>
      <c r="CQ107" s="1">
        <f>+'Sys INPUT'!CQ106-CQ313+0</f>
        <v>0</v>
      </c>
      <c r="CR107" s="1">
        <f>+'Sys INPUT'!CR106-CR313+0</f>
        <v>0</v>
      </c>
      <c r="CS107" s="1"/>
      <c r="CT107" s="5"/>
      <c r="CU107" s="1">
        <f>SUM(CL107:CT107)</f>
        <v>212844</v>
      </c>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W107" s="1">
        <f t="shared" si="156"/>
        <v>0</v>
      </c>
      <c r="DX107" s="1"/>
      <c r="DY107" s="1"/>
      <c r="DZ107" s="1"/>
      <c r="EB107" s="1">
        <f>+'Sys INPUT'!EC106-0+0</f>
        <v>0</v>
      </c>
      <c r="EC107" s="1"/>
      <c r="ED107" s="1"/>
      <c r="EE107" s="1"/>
      <c r="EF107" s="1">
        <f>+'Sys INPUT'!EG106</f>
        <v>0</v>
      </c>
      <c r="EG107" s="1"/>
      <c r="EL107" s="32">
        <f>+'Sys INPUT'!HT106+'Sys INPUT'!HU106+0-0</f>
        <v>0</v>
      </c>
      <c r="EM107" s="1">
        <f>+'Sys INPUT'!HV106</f>
        <v>0</v>
      </c>
      <c r="EN107">
        <f>+D107+BF107+BP107+BY107+CJ107+CU107+DW107+ED107</f>
        <v>456492</v>
      </c>
      <c r="EQ107" s="1">
        <f>+'Sys INPUT'!AF106+'Sys INPUT'!ER106+0</f>
        <v>0</v>
      </c>
    </row>
    <row r="108" spans="1:147" ht="15.75">
      <c r="A108" s="1"/>
      <c r="B108" s="89" t="s">
        <v>2552</v>
      </c>
      <c r="C108" s="1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f t="shared" si="180"/>
        <v>0</v>
      </c>
      <c r="BG108" s="1">
        <f t="shared" si="141"/>
        <v>0</v>
      </c>
      <c r="BH108" s="1"/>
      <c r="BI108" s="1"/>
      <c r="BJ108" s="1"/>
      <c r="BK108" s="1"/>
      <c r="BL108" s="1"/>
      <c r="BM108" s="1"/>
      <c r="BN108" s="1"/>
      <c r="BO108" s="1"/>
      <c r="BP108" s="1">
        <f t="shared" si="192"/>
        <v>0</v>
      </c>
      <c r="BQ108" s="1"/>
      <c r="BR108" s="1"/>
      <c r="BS108" s="1"/>
      <c r="BT108" s="1"/>
      <c r="BU108" s="1"/>
      <c r="BV108" s="1"/>
      <c r="BW108" s="1"/>
      <c r="BX108" s="3"/>
      <c r="BY108" s="1">
        <f t="shared" si="193"/>
        <v>0</v>
      </c>
      <c r="BZ108" s="1">
        <f t="shared" si="144"/>
        <v>0</v>
      </c>
      <c r="CA108" s="1">
        <f t="shared" si="143"/>
        <v>0</v>
      </c>
      <c r="CB108" s="1"/>
      <c r="CC108" s="1143">
        <v>7108832</v>
      </c>
      <c r="CD108" s="42">
        <f>2374+838</f>
        <v>3212</v>
      </c>
      <c r="CE108" s="42">
        <v>136658</v>
      </c>
      <c r="CF108" s="1">
        <f>54611-54611</f>
        <v>0</v>
      </c>
      <c r="CG108" s="42">
        <v>4947896</v>
      </c>
      <c r="CH108" s="1">
        <f>3587-3587</f>
        <v>0</v>
      </c>
      <c r="CI108" s="1"/>
      <c r="CJ108" s="1">
        <f>SUM(CB108:CI108)</f>
        <v>12196598</v>
      </c>
      <c r="CK108" s="1">
        <f>SUM(CD108:CH108)</f>
        <v>5087766</v>
      </c>
      <c r="CL108" s="42">
        <v>29874</v>
      </c>
      <c r="CM108" s="42">
        <v>382552</v>
      </c>
      <c r="CN108" s="42">
        <v>5807</v>
      </c>
      <c r="CO108" s="42">
        <v>0</v>
      </c>
      <c r="CP108" s="42">
        <v>6609</v>
      </c>
      <c r="CQ108" s="1">
        <v>0</v>
      </c>
      <c r="CR108" s="1">
        <v>0</v>
      </c>
      <c r="CS108" s="1"/>
      <c r="CT108" s="5"/>
      <c r="CU108" s="1">
        <f>SUM(CL108:CT108)</f>
        <v>424842</v>
      </c>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W108" s="1">
        <f t="shared" si="156"/>
        <v>0</v>
      </c>
      <c r="DX108" s="1"/>
      <c r="DY108" s="1"/>
      <c r="DZ108" s="1"/>
      <c r="EB108" s="1"/>
      <c r="EC108" s="1"/>
      <c r="ED108" s="1"/>
      <c r="EE108" s="1"/>
      <c r="EF108" s="1"/>
      <c r="EG108" s="1"/>
      <c r="EL108" s="1"/>
      <c r="EM108" s="1"/>
      <c r="EN108">
        <f t="shared" ref="EN108:EN115" si="194">SUM(DE108:EM108)</f>
        <v>0</v>
      </c>
      <c r="EQ108" s="1"/>
    </row>
    <row r="109" spans="1:147" ht="15.75">
      <c r="A109" s="1"/>
      <c r="B109" s="89" t="s">
        <v>3537</v>
      </c>
      <c r="C109" s="1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f t="shared" ref="BF109" si="195">SUM(E109:BE109)</f>
        <v>0</v>
      </c>
      <c r="BG109" s="1">
        <f t="shared" ref="BG109" si="196">+BF109-X109-P109-BB109-BC109</f>
        <v>0</v>
      </c>
      <c r="BH109" s="1"/>
      <c r="BI109" s="1"/>
      <c r="BJ109" s="1"/>
      <c r="BK109" s="1"/>
      <c r="BL109" s="1"/>
      <c r="BM109" s="1"/>
      <c r="BN109" s="1"/>
      <c r="BO109" s="1"/>
      <c r="BP109" s="1">
        <f t="shared" si="192"/>
        <v>0</v>
      </c>
      <c r="BQ109" s="1"/>
      <c r="BR109" s="1"/>
      <c r="BS109" s="1"/>
      <c r="BT109" s="1"/>
      <c r="BU109" s="1"/>
      <c r="BV109" s="1"/>
      <c r="BW109" s="1"/>
      <c r="BX109" s="3"/>
      <c r="BY109" s="1">
        <f t="shared" ref="BY109" si="197">SUM(BR109:BX109)</f>
        <v>0</v>
      </c>
      <c r="BZ109" s="1">
        <f t="shared" ref="BZ109" si="198">+BY109-BR109</f>
        <v>0</v>
      </c>
      <c r="CA109" s="1">
        <f t="shared" ref="CA109" si="199">+BG109+BQ109+BZ109+EF109</f>
        <v>0</v>
      </c>
      <c r="CB109" s="1"/>
      <c r="CC109" s="1"/>
      <c r="CD109" s="1"/>
      <c r="CE109" s="1"/>
      <c r="CF109" s="1"/>
      <c r="CG109" s="1"/>
      <c r="CH109" s="1"/>
      <c r="CI109" s="1"/>
      <c r="CJ109" s="1"/>
      <c r="CK109" s="1"/>
      <c r="CL109" s="1"/>
      <c r="CM109" s="1"/>
      <c r="CN109" s="1"/>
      <c r="CO109" s="1"/>
      <c r="CP109" s="1137">
        <f>547482+266330-134877+134877-293585</f>
        <v>520227</v>
      </c>
      <c r="CQ109" s="1"/>
      <c r="CR109" s="1"/>
      <c r="CS109" s="1"/>
      <c r="CT109" s="5"/>
      <c r="CU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W109" s="1"/>
      <c r="DX109" s="1"/>
      <c r="DY109" s="1"/>
      <c r="DZ109" s="1"/>
      <c r="EB109" s="1"/>
      <c r="EC109" s="1"/>
      <c r="ED109" s="1"/>
      <c r="EE109" s="1"/>
      <c r="EF109" s="1"/>
      <c r="EG109" s="1"/>
      <c r="EL109" s="1"/>
      <c r="EM109" s="1"/>
      <c r="EQ109" s="1"/>
    </row>
    <row r="110" spans="1:147" ht="15.75">
      <c r="A110" s="1"/>
      <c r="B110" s="1" t="s">
        <v>386</v>
      </c>
      <c r="C110" s="1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f t="shared" si="180"/>
        <v>0</v>
      </c>
      <c r="BG110" s="1">
        <f t="shared" si="141"/>
        <v>0</v>
      </c>
      <c r="BH110" s="1"/>
      <c r="BI110" s="1"/>
      <c r="BJ110" s="1"/>
      <c r="BK110" s="1"/>
      <c r="BL110" s="1"/>
      <c r="BM110" s="1"/>
      <c r="BN110" s="1"/>
      <c r="BO110" s="1"/>
      <c r="BP110" s="1">
        <f t="shared" si="192"/>
        <v>0</v>
      </c>
      <c r="BQ110" s="1"/>
      <c r="BR110" s="1"/>
      <c r="BS110" s="1"/>
      <c r="BT110" s="1"/>
      <c r="BU110" s="1"/>
      <c r="BV110" s="1"/>
      <c r="BW110" s="1"/>
      <c r="BX110" s="3"/>
      <c r="BY110" s="1">
        <f t="shared" si="193"/>
        <v>0</v>
      </c>
      <c r="BZ110" s="1">
        <f t="shared" si="144"/>
        <v>0</v>
      </c>
      <c r="CA110" s="1">
        <f t="shared" si="143"/>
        <v>0</v>
      </c>
      <c r="CB110" s="1"/>
      <c r="CC110" s="1"/>
      <c r="CD110" s="1"/>
      <c r="CE110" s="1"/>
      <c r="CF110" s="1"/>
      <c r="CG110" s="1"/>
      <c r="CH110" s="1"/>
      <c r="CI110" s="1"/>
      <c r="CJ110" s="1">
        <f>SUM(CB110:CI110)</f>
        <v>0</v>
      </c>
      <c r="CK110" s="1"/>
      <c r="CL110" s="1"/>
      <c r="CM110" s="1"/>
      <c r="CN110" s="1"/>
      <c r="CO110" s="1"/>
      <c r="CP110" s="1"/>
      <c r="CQ110" s="1"/>
      <c r="CR110" s="1"/>
      <c r="CS110" s="1"/>
      <c r="CT110" s="5"/>
      <c r="CU110" s="1">
        <f>SUM(CL110:CT110)</f>
        <v>0</v>
      </c>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W110" s="1">
        <f t="shared" si="156"/>
        <v>0</v>
      </c>
      <c r="DX110" s="1"/>
      <c r="DY110" s="1"/>
      <c r="DZ110" s="1"/>
      <c r="EB110" s="1"/>
      <c r="EC110" s="1"/>
      <c r="ED110" s="1"/>
      <c r="EE110" s="1"/>
      <c r="EF110" s="1"/>
      <c r="EG110" s="1"/>
      <c r="EL110" s="1"/>
      <c r="EM110" s="1"/>
      <c r="EN110">
        <f t="shared" si="194"/>
        <v>0</v>
      </c>
      <c r="EQ110" s="1"/>
    </row>
    <row r="111" spans="1:147" ht="15.75">
      <c r="A111" s="1"/>
      <c r="B111" s="1" t="s">
        <v>387</v>
      </c>
      <c r="C111" s="1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f t="shared" si="180"/>
        <v>0</v>
      </c>
      <c r="BG111" s="1">
        <f t="shared" si="141"/>
        <v>0</v>
      </c>
      <c r="BH111" s="1"/>
      <c r="BI111" s="1"/>
      <c r="BJ111" s="1"/>
      <c r="BK111" s="1"/>
      <c r="BL111" s="1"/>
      <c r="BM111" s="1"/>
      <c r="BN111" s="1"/>
      <c r="BO111" s="1"/>
      <c r="BP111" s="1">
        <f t="shared" si="192"/>
        <v>0</v>
      </c>
      <c r="BQ111" s="1"/>
      <c r="BR111" s="1"/>
      <c r="BS111" s="1"/>
      <c r="BT111" s="1"/>
      <c r="BU111" s="1"/>
      <c r="BV111" s="1"/>
      <c r="BW111" s="1"/>
      <c r="BX111" s="3"/>
      <c r="BY111" s="1">
        <f t="shared" si="193"/>
        <v>0</v>
      </c>
      <c r="BZ111" s="1">
        <f t="shared" si="144"/>
        <v>0</v>
      </c>
      <c r="CA111" s="1">
        <f t="shared" si="143"/>
        <v>0</v>
      </c>
      <c r="CB111" s="1"/>
      <c r="CC111" s="1"/>
      <c r="CD111" s="1"/>
      <c r="CE111" s="1"/>
      <c r="CF111" s="1"/>
      <c r="CG111" s="1"/>
      <c r="CH111" s="1"/>
      <c r="CI111" s="1"/>
      <c r="CJ111" s="1"/>
      <c r="CK111" s="1"/>
      <c r="CL111" s="1"/>
      <c r="CM111" s="1"/>
      <c r="CN111" s="1"/>
      <c r="CO111" s="1"/>
      <c r="CP111" s="1"/>
      <c r="CQ111" s="1"/>
      <c r="CR111" s="1"/>
      <c r="CS111" s="1"/>
      <c r="CT111" s="5"/>
      <c r="CU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W111" s="1">
        <f t="shared" si="156"/>
        <v>0</v>
      </c>
      <c r="DX111" s="1"/>
      <c r="DY111" s="1"/>
      <c r="DZ111" s="1"/>
      <c r="EB111" s="1"/>
      <c r="EC111" s="1"/>
      <c r="ED111" s="1"/>
      <c r="EE111" s="1"/>
      <c r="EF111" s="1"/>
      <c r="EG111" s="1"/>
      <c r="EL111" s="1">
        <f>EL149</f>
        <v>0</v>
      </c>
      <c r="EM111" s="1">
        <f>EM149</f>
        <v>0</v>
      </c>
      <c r="EN111">
        <f t="shared" si="194"/>
        <v>0</v>
      </c>
      <c r="EQ111" s="1"/>
    </row>
    <row r="112" spans="1:147" ht="15.75">
      <c r="A112" s="1"/>
      <c r="B112" s="1" t="s">
        <v>329</v>
      </c>
      <c r="C112" s="1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f t="shared" si="180"/>
        <v>0</v>
      </c>
      <c r="BG112" s="1">
        <f t="shared" si="141"/>
        <v>0</v>
      </c>
      <c r="BH112" s="1"/>
      <c r="BI112" s="1"/>
      <c r="BJ112" s="1"/>
      <c r="BK112" s="1"/>
      <c r="BL112" s="1"/>
      <c r="BM112" s="1"/>
      <c r="BN112" s="1"/>
      <c r="BO112" s="1"/>
      <c r="BP112" s="1">
        <f>SUM(BH112:BN112)</f>
        <v>0</v>
      </c>
      <c r="BQ112" s="1"/>
      <c r="BR112" s="1"/>
      <c r="BS112" s="1"/>
      <c r="BT112" s="1"/>
      <c r="BU112" s="1"/>
      <c r="BV112" s="1"/>
      <c r="BW112" s="1"/>
      <c r="BX112" s="3"/>
      <c r="BY112" s="1">
        <f t="shared" si="193"/>
        <v>0</v>
      </c>
      <c r="BZ112" s="1">
        <f t="shared" si="144"/>
        <v>0</v>
      </c>
      <c r="CA112" s="1">
        <f t="shared" si="143"/>
        <v>0</v>
      </c>
      <c r="CB112" s="1"/>
      <c r="CC112" s="1"/>
      <c r="CD112" s="1"/>
      <c r="CE112" s="1"/>
      <c r="CF112" s="1"/>
      <c r="CG112" s="1"/>
      <c r="CH112" s="1"/>
      <c r="CI112" s="1"/>
      <c r="CJ112" s="1">
        <f>SUM(CB112:CI112)</f>
        <v>0</v>
      </c>
      <c r="CK112" s="1"/>
      <c r="CL112" s="1"/>
      <c r="CM112" s="1"/>
      <c r="CN112" s="1"/>
      <c r="CO112" s="1"/>
      <c r="CP112" s="1"/>
      <c r="CQ112" s="1"/>
      <c r="CR112" s="1"/>
      <c r="CS112" s="1"/>
      <c r="CT112" s="5"/>
      <c r="CU112" s="1">
        <f>SUM(CL112:CT112)</f>
        <v>0</v>
      </c>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W112" s="1">
        <f t="shared" si="156"/>
        <v>0</v>
      </c>
      <c r="DX112" s="1"/>
      <c r="DY112" s="1"/>
      <c r="DZ112" s="1"/>
      <c r="EB112" s="1"/>
      <c r="EC112" s="1"/>
      <c r="ED112" s="1"/>
      <c r="EE112" s="1"/>
      <c r="EF112" s="1"/>
      <c r="EG112" s="1"/>
      <c r="EL112" s="1"/>
      <c r="EM112" s="1"/>
      <c r="EN112">
        <f t="shared" si="194"/>
        <v>0</v>
      </c>
      <c r="EQ112" s="1"/>
    </row>
    <row r="113" spans="1:147" ht="15.75">
      <c r="A113" s="1"/>
      <c r="B113" s="1" t="s">
        <v>330</v>
      </c>
      <c r="C113" s="1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f t="shared" si="180"/>
        <v>0</v>
      </c>
      <c r="BG113" s="1">
        <f t="shared" si="141"/>
        <v>0</v>
      </c>
      <c r="BH113" s="1"/>
      <c r="BI113" s="1"/>
      <c r="BJ113" s="1"/>
      <c r="BK113" s="1"/>
      <c r="BL113" s="1"/>
      <c r="BM113" s="1"/>
      <c r="BN113" s="1"/>
      <c r="BO113" s="1"/>
      <c r="BP113" s="1">
        <f>SUM(BH113:BN113)</f>
        <v>0</v>
      </c>
      <c r="BQ113" s="1"/>
      <c r="BR113" s="1"/>
      <c r="BS113" s="1"/>
      <c r="BT113" s="1"/>
      <c r="BU113" s="1"/>
      <c r="BV113" s="1"/>
      <c r="BW113" s="1"/>
      <c r="BX113" s="3"/>
      <c r="BY113" s="1">
        <f t="shared" si="193"/>
        <v>0</v>
      </c>
      <c r="BZ113" s="1">
        <f t="shared" si="144"/>
        <v>0</v>
      </c>
      <c r="CA113" s="1">
        <f t="shared" si="143"/>
        <v>0</v>
      </c>
      <c r="CB113" s="1"/>
      <c r="CC113" s="1"/>
      <c r="CD113" s="1"/>
      <c r="CE113" s="1"/>
      <c r="CF113" s="1"/>
      <c r="CG113" s="1"/>
      <c r="CH113" s="1"/>
      <c r="CI113" s="1"/>
      <c r="CJ113" s="1">
        <f>SUM(CB113:CI113)</f>
        <v>0</v>
      </c>
      <c r="CK113" s="1"/>
      <c r="CL113" s="1"/>
      <c r="CM113" s="1"/>
      <c r="CN113" s="1"/>
      <c r="CO113" s="1"/>
      <c r="CP113" s="1"/>
      <c r="CQ113" s="1"/>
      <c r="CR113" s="1"/>
      <c r="CS113" s="1"/>
      <c r="CT113" s="5"/>
      <c r="CU113" s="1">
        <f>SUM(CL113:CT113)</f>
        <v>0</v>
      </c>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W113" s="1">
        <f t="shared" si="156"/>
        <v>0</v>
      </c>
      <c r="DX113" s="1"/>
      <c r="DY113" s="1"/>
      <c r="DZ113" s="1"/>
      <c r="EB113" s="1"/>
      <c r="EC113" s="1"/>
      <c r="ED113" s="1"/>
      <c r="EE113" s="1"/>
      <c r="EF113" s="1"/>
      <c r="EG113" s="1"/>
      <c r="EL113" s="1">
        <f>+'Sys INPUT'!HT111+'Sys INPUT'!HU111</f>
        <v>0</v>
      </c>
      <c r="EM113" s="1"/>
      <c r="EN113">
        <f t="shared" si="194"/>
        <v>0</v>
      </c>
      <c r="EQ113" s="1">
        <f>+'Sys INPUT'!AF111+'Sys INPUT'!ER111</f>
        <v>0</v>
      </c>
    </row>
    <row r="114" spans="1:147" ht="15.75">
      <c r="A114" s="1"/>
      <c r="B114" s="89" t="s">
        <v>1194</v>
      </c>
      <c r="C114" s="11"/>
      <c r="D114" s="1">
        <f t="shared" ref="D114:AV114" si="200">SUM(D85:D113)</f>
        <v>12840036</v>
      </c>
      <c r="E114" s="1">
        <f t="shared" si="200"/>
        <v>373712</v>
      </c>
      <c r="F114" s="1">
        <f t="shared" si="200"/>
        <v>3969</v>
      </c>
      <c r="G114" s="1">
        <f t="shared" si="200"/>
        <v>81553</v>
      </c>
      <c r="H114" s="1">
        <f t="shared" si="200"/>
        <v>387598</v>
      </c>
      <c r="I114" s="1">
        <f t="shared" si="200"/>
        <v>194242</v>
      </c>
      <c r="J114" s="1">
        <f t="shared" si="200"/>
        <v>2188101</v>
      </c>
      <c r="K114" s="1">
        <f t="shared" si="200"/>
        <v>1370</v>
      </c>
      <c r="L114" s="1">
        <f t="shared" si="200"/>
        <v>25519</v>
      </c>
      <c r="M114" s="1">
        <f t="shared" si="200"/>
        <v>717768</v>
      </c>
      <c r="N114" s="1">
        <f t="shared" si="200"/>
        <v>88199</v>
      </c>
      <c r="O114" s="1">
        <f t="shared" si="200"/>
        <v>60810</v>
      </c>
      <c r="P114" s="1">
        <f t="shared" si="200"/>
        <v>0</v>
      </c>
      <c r="Q114" s="1">
        <f t="shared" si="200"/>
        <v>224345</v>
      </c>
      <c r="R114" s="1">
        <f t="shared" si="200"/>
        <v>389750</v>
      </c>
      <c r="S114" s="1">
        <f t="shared" si="200"/>
        <v>1064325</v>
      </c>
      <c r="T114" s="1">
        <f t="shared" si="200"/>
        <v>361</v>
      </c>
      <c r="U114" s="1">
        <f t="shared" si="200"/>
        <v>748021</v>
      </c>
      <c r="V114" s="1">
        <f t="shared" si="200"/>
        <v>6977</v>
      </c>
      <c r="W114" s="1">
        <f t="shared" si="200"/>
        <v>260634</v>
      </c>
      <c r="X114" s="1">
        <f t="shared" si="200"/>
        <v>4842886</v>
      </c>
      <c r="Y114" s="1">
        <f t="shared" si="200"/>
        <v>35779</v>
      </c>
      <c r="Z114" s="1">
        <f t="shared" si="200"/>
        <v>107003</v>
      </c>
      <c r="AA114" s="1">
        <f t="shared" si="200"/>
        <v>100039</v>
      </c>
      <c r="AB114" s="1">
        <f t="shared" si="200"/>
        <v>1768889</v>
      </c>
      <c r="AC114" s="1">
        <f t="shared" si="200"/>
        <v>238913</v>
      </c>
      <c r="AD114" s="1">
        <f t="shared" si="200"/>
        <v>28133</v>
      </c>
      <c r="AE114" s="1">
        <f t="shared" si="200"/>
        <v>82435</v>
      </c>
      <c r="AF114" s="1">
        <f t="shared" si="200"/>
        <v>21202</v>
      </c>
      <c r="AG114" s="1">
        <f t="shared" si="200"/>
        <v>422641</v>
      </c>
      <c r="AH114" s="1">
        <f t="shared" si="200"/>
        <v>253738</v>
      </c>
      <c r="AI114" s="1">
        <f t="shared" si="200"/>
        <v>21826</v>
      </c>
      <c r="AJ114" s="1">
        <f t="shared" si="200"/>
        <v>62464</v>
      </c>
      <c r="AK114" s="1">
        <f t="shared" si="200"/>
        <v>5768</v>
      </c>
      <c r="AL114" s="1">
        <f t="shared" si="200"/>
        <v>35534</v>
      </c>
      <c r="AM114" s="1">
        <f t="shared" si="200"/>
        <v>39899</v>
      </c>
      <c r="AN114" s="1">
        <f t="shared" si="200"/>
        <v>168446</v>
      </c>
      <c r="AO114" s="1">
        <f t="shared" si="200"/>
        <v>0</v>
      </c>
      <c r="AP114" s="1">
        <f t="shared" si="200"/>
        <v>1675727</v>
      </c>
      <c r="AQ114" s="1">
        <f t="shared" si="200"/>
        <v>872198</v>
      </c>
      <c r="AR114" s="1">
        <f t="shared" si="200"/>
        <v>104504</v>
      </c>
      <c r="AS114" s="1">
        <f t="shared" si="200"/>
        <v>96879</v>
      </c>
      <c r="AT114" s="1">
        <f t="shared" si="200"/>
        <v>656704</v>
      </c>
      <c r="AU114" s="1">
        <f t="shared" si="200"/>
        <v>61190</v>
      </c>
      <c r="AV114" s="1">
        <f t="shared" si="200"/>
        <v>0</v>
      </c>
      <c r="AW114" s="1"/>
      <c r="AX114" s="1">
        <f t="shared" ref="AX114:BD114" si="201">SUM(AX85:AX113)</f>
        <v>0</v>
      </c>
      <c r="AY114" s="1">
        <f t="shared" si="201"/>
        <v>0</v>
      </c>
      <c r="AZ114" s="1">
        <f t="shared" si="201"/>
        <v>17572</v>
      </c>
      <c r="BA114" s="1">
        <f t="shared" si="201"/>
        <v>0</v>
      </c>
      <c r="BB114" s="1">
        <f t="shared" si="201"/>
        <v>9514638</v>
      </c>
      <c r="BC114" s="1">
        <f t="shared" si="201"/>
        <v>6881945</v>
      </c>
      <c r="BD114" s="1">
        <f t="shared" si="201"/>
        <v>371646</v>
      </c>
      <c r="BE114" s="1"/>
      <c r="BF114" s="1">
        <f>SUM(BF85:BF113)</f>
        <v>35305852</v>
      </c>
      <c r="BG114" s="1">
        <f t="shared" ref="BG114" si="202">+BF114-X114-P114-BC114</f>
        <v>23581021</v>
      </c>
      <c r="BH114" s="1">
        <f t="shared" ref="BH114:BN114" si="203">SUM(BH85:BH113)</f>
        <v>0</v>
      </c>
      <c r="BI114" s="1">
        <f t="shared" si="203"/>
        <v>63549</v>
      </c>
      <c r="BJ114" s="1">
        <f t="shared" si="203"/>
        <v>0</v>
      </c>
      <c r="BK114" s="1">
        <f t="shared" si="203"/>
        <v>387148</v>
      </c>
      <c r="BL114" s="1">
        <f t="shared" si="203"/>
        <v>57834</v>
      </c>
      <c r="BM114" s="1">
        <f t="shared" si="203"/>
        <v>34589</v>
      </c>
      <c r="BN114" s="1">
        <f t="shared" si="203"/>
        <v>622038</v>
      </c>
      <c r="BO114" s="1"/>
      <c r="BP114" s="1">
        <f>SUM(BP85:BP113)</f>
        <v>1165158</v>
      </c>
      <c r="BQ114" s="1"/>
      <c r="BR114" s="1">
        <f t="shared" ref="BR114:BW114" si="204">SUM(BR85:BR113)</f>
        <v>17958090</v>
      </c>
      <c r="BS114" s="1">
        <f t="shared" si="204"/>
        <v>0</v>
      </c>
      <c r="BT114" s="1">
        <f t="shared" si="204"/>
        <v>0</v>
      </c>
      <c r="BU114" s="1">
        <f t="shared" si="204"/>
        <v>0</v>
      </c>
      <c r="BV114" s="1">
        <f t="shared" si="204"/>
        <v>0</v>
      </c>
      <c r="BW114" s="1">
        <f t="shared" si="204"/>
        <v>2453628</v>
      </c>
      <c r="BX114" s="3"/>
      <c r="BY114" s="1">
        <f>SUM(BY85:BY113)</f>
        <v>20411718</v>
      </c>
      <c r="BZ114" s="1">
        <f t="shared" si="144"/>
        <v>2453628</v>
      </c>
      <c r="CA114" s="1">
        <f t="shared" si="143"/>
        <v>26400546</v>
      </c>
      <c r="CB114" s="1"/>
      <c r="CC114" s="1">
        <f t="shared" ref="CC114:CH114" si="205">SUM(CC85:CC113)</f>
        <v>7883099</v>
      </c>
      <c r="CD114" s="1">
        <f t="shared" si="205"/>
        <v>49928</v>
      </c>
      <c r="CE114" s="1">
        <f t="shared" si="205"/>
        <v>183168</v>
      </c>
      <c r="CF114" s="1">
        <f t="shared" si="205"/>
        <v>1393312</v>
      </c>
      <c r="CG114" s="1">
        <f t="shared" si="205"/>
        <v>9448009</v>
      </c>
      <c r="CH114" s="1">
        <f t="shared" si="205"/>
        <v>122172</v>
      </c>
      <c r="CI114" s="1"/>
      <c r="CJ114" s="1">
        <f>SUM(CJ85:CJ113)</f>
        <v>19079688</v>
      </c>
      <c r="CK114" s="1">
        <f>+CJ114-CB114-CC114-CG114</f>
        <v>1748580</v>
      </c>
      <c r="CL114" s="1">
        <f t="shared" ref="CL114:CR114" si="206">SUM(CL85:CL113)</f>
        <v>2332728</v>
      </c>
      <c r="CM114" s="1">
        <f t="shared" si="206"/>
        <v>1400747</v>
      </c>
      <c r="CN114" s="1">
        <f t="shared" si="206"/>
        <v>375848</v>
      </c>
      <c r="CO114" s="1">
        <f t="shared" si="206"/>
        <v>119825</v>
      </c>
      <c r="CP114" s="1">
        <f t="shared" si="206"/>
        <v>1929774</v>
      </c>
      <c r="CQ114" s="1">
        <f t="shared" si="206"/>
        <v>801614</v>
      </c>
      <c r="CR114" s="1">
        <f t="shared" si="206"/>
        <v>359574</v>
      </c>
      <c r="CS114" s="1"/>
      <c r="CT114" s="5"/>
      <c r="CU114" s="1">
        <f>SUM(CU85:CU113)</f>
        <v>6799883</v>
      </c>
      <c r="CW114" s="1">
        <f t="shared" ref="CW114:DU114" si="207">SUM(CW85:CW113)</f>
        <v>3980305</v>
      </c>
      <c r="CX114" s="1">
        <f t="shared" si="207"/>
        <v>0</v>
      </c>
      <c r="CY114" s="1">
        <f t="shared" si="207"/>
        <v>32848</v>
      </c>
      <c r="CZ114" s="1">
        <f t="shared" si="207"/>
        <v>41606</v>
      </c>
      <c r="DA114" s="1">
        <f t="shared" si="207"/>
        <v>0</v>
      </c>
      <c r="DB114" s="1">
        <f t="shared" si="207"/>
        <v>44162</v>
      </c>
      <c r="DC114" s="1">
        <f t="shared" si="207"/>
        <v>8412</v>
      </c>
      <c r="DD114" s="1">
        <f t="shared" si="207"/>
        <v>15629</v>
      </c>
      <c r="DE114" s="1">
        <f t="shared" si="207"/>
        <v>8608</v>
      </c>
      <c r="DF114" s="1">
        <f t="shared" si="207"/>
        <v>72836</v>
      </c>
      <c r="DG114" s="1">
        <f t="shared" si="207"/>
        <v>204466</v>
      </c>
      <c r="DH114" s="1">
        <f t="shared" si="207"/>
        <v>1082</v>
      </c>
      <c r="DI114" s="1">
        <f t="shared" si="207"/>
        <v>476989</v>
      </c>
      <c r="DJ114" s="1">
        <f t="shared" si="207"/>
        <v>296099</v>
      </c>
      <c r="DK114" s="1">
        <f t="shared" si="207"/>
        <v>4921</v>
      </c>
      <c r="DL114" s="1">
        <f t="shared" si="207"/>
        <v>1325611</v>
      </c>
      <c r="DM114" s="1">
        <f t="shared" si="207"/>
        <v>0</v>
      </c>
      <c r="DN114" s="1">
        <f t="shared" si="207"/>
        <v>90503</v>
      </c>
      <c r="DO114" s="1">
        <f t="shared" si="207"/>
        <v>59182</v>
      </c>
      <c r="DP114" s="1">
        <f t="shared" si="207"/>
        <v>34351</v>
      </c>
      <c r="DQ114" s="1">
        <f t="shared" si="207"/>
        <v>6768927</v>
      </c>
      <c r="DR114" s="1">
        <f t="shared" si="207"/>
        <v>53057771</v>
      </c>
      <c r="DS114" s="1">
        <f t="shared" si="207"/>
        <v>1772021</v>
      </c>
      <c r="DT114" s="1">
        <f t="shared" si="207"/>
        <v>1733842</v>
      </c>
      <c r="DU114" s="1">
        <f t="shared" si="207"/>
        <v>4704521</v>
      </c>
      <c r="DW114" s="1">
        <f>SUM(DW85:DW113)</f>
        <v>69169089</v>
      </c>
      <c r="DX114" s="1"/>
      <c r="DY114" s="1">
        <f>SUM(DY85:DY113)</f>
        <v>155027</v>
      </c>
      <c r="DZ114" s="1"/>
      <c r="EB114" s="1">
        <f>SUM(EB85:EB113)</f>
        <v>0</v>
      </c>
      <c r="EC114" s="1"/>
      <c r="ED114" s="1"/>
      <c r="EE114" s="1"/>
      <c r="EF114" s="1">
        <f>SUM(EF85:EF113)</f>
        <v>365897</v>
      </c>
      <c r="EG114" s="1"/>
      <c r="EL114" s="1">
        <f>SUM(EL85:EL113)</f>
        <v>0</v>
      </c>
      <c r="EM114" s="1">
        <f>SUM(EM85:EM113)</f>
        <v>0</v>
      </c>
      <c r="EN114">
        <f t="shared" si="194"/>
        <v>140301743</v>
      </c>
      <c r="EQ114" s="1">
        <f>SUM(EQ85:EQ113)</f>
        <v>3994543</v>
      </c>
    </row>
    <row r="115" spans="1:147" ht="15.75">
      <c r="A115" s="1"/>
      <c r="B115" s="1"/>
      <c r="C115" s="1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3"/>
      <c r="BY115" s="1"/>
      <c r="BZ115" s="1">
        <f t="shared" si="144"/>
        <v>0</v>
      </c>
      <c r="CA115" s="1">
        <f t="shared" si="143"/>
        <v>0</v>
      </c>
      <c r="CB115" s="1"/>
      <c r="CC115" s="1"/>
      <c r="CD115" s="1"/>
      <c r="CE115" s="1"/>
      <c r="CF115" s="1"/>
      <c r="CG115" s="1"/>
      <c r="CH115" s="1"/>
      <c r="CI115" s="1"/>
      <c r="CJ115" s="1"/>
      <c r="CK115" s="1"/>
      <c r="CL115" s="1"/>
      <c r="CM115" s="1"/>
      <c r="CN115" s="1"/>
      <c r="CO115" s="1"/>
      <c r="CP115" s="1"/>
      <c r="CQ115" s="1"/>
      <c r="CR115" s="1"/>
      <c r="CS115" s="1"/>
      <c r="CT115" s="5"/>
      <c r="CU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W115" s="1"/>
      <c r="DX115" s="1"/>
      <c r="DY115" s="1"/>
      <c r="DZ115" s="1"/>
      <c r="EB115" s="1"/>
      <c r="EC115" s="1"/>
      <c r="ED115" s="1"/>
      <c r="EE115" s="1"/>
      <c r="EF115" s="1"/>
      <c r="EG115" s="1"/>
      <c r="EL115" s="1"/>
      <c r="EM115" s="1"/>
      <c r="EN115">
        <f t="shared" si="194"/>
        <v>0</v>
      </c>
      <c r="EQ115" s="1"/>
    </row>
    <row r="116" spans="1:147" ht="15.75">
      <c r="A116" s="1"/>
      <c r="B116" s="2" t="s">
        <v>1817</v>
      </c>
      <c r="C116" s="1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3"/>
      <c r="BY116" s="1"/>
      <c r="BZ116" s="1">
        <f t="shared" si="144"/>
        <v>0</v>
      </c>
      <c r="CA116" s="1">
        <f t="shared" si="143"/>
        <v>0</v>
      </c>
      <c r="CB116" s="1"/>
      <c r="CC116" s="1"/>
      <c r="CD116" s="1"/>
      <c r="CE116" s="1"/>
      <c r="CF116" s="1"/>
      <c r="CG116" s="1"/>
      <c r="CH116" s="1"/>
      <c r="CI116" s="1"/>
      <c r="CJ116" s="1"/>
      <c r="CK116" s="1"/>
      <c r="CL116" s="1"/>
      <c r="CM116" s="1"/>
      <c r="CN116" s="1"/>
      <c r="CO116" s="1"/>
      <c r="CP116" s="1"/>
      <c r="CQ116" s="1"/>
      <c r="CR116" s="1"/>
      <c r="CS116" s="1"/>
      <c r="CT116" s="5"/>
      <c r="CU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W116" s="1"/>
      <c r="DX116" s="1"/>
      <c r="DY116" s="1"/>
      <c r="DZ116" s="1"/>
      <c r="EB116" s="1"/>
      <c r="EC116" s="1"/>
      <c r="ED116" s="1"/>
      <c r="EE116" s="1"/>
      <c r="EF116" s="1"/>
      <c r="EG116" s="1"/>
      <c r="EL116" s="1"/>
      <c r="EM116" s="1"/>
      <c r="EQ116" s="1"/>
    </row>
    <row r="117" spans="1:147" ht="15.75">
      <c r="A117" s="1"/>
      <c r="B117" s="89" t="s">
        <v>2354</v>
      </c>
      <c r="C117" s="11"/>
      <c r="D117" s="1"/>
      <c r="E117" s="1"/>
      <c r="F117" s="1"/>
      <c r="G117" s="1"/>
      <c r="H117" s="1"/>
      <c r="I117" s="1216">
        <f>+'Sys INPUT'!I95</f>
        <v>4635</v>
      </c>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f t="shared" ref="BF117:BF127" si="208">SUM(E117:BE117)</f>
        <v>4635</v>
      </c>
      <c r="BG117" s="1">
        <f t="shared" ref="BG117:BG128" si="209">+BF117-X117-P117-BB117-BC117</f>
        <v>4635</v>
      </c>
      <c r="BH117" s="1"/>
      <c r="BI117" s="1"/>
      <c r="BJ117" s="1"/>
      <c r="BK117" s="1"/>
      <c r="BL117" s="1"/>
      <c r="BM117" s="1"/>
      <c r="BN117" s="1"/>
      <c r="BO117" s="1"/>
      <c r="BP117" s="1">
        <f t="shared" ref="BP117:BP128" si="210">SUM(BH117:BN117)</f>
        <v>0</v>
      </c>
      <c r="BQ117" s="1"/>
      <c r="BR117" s="1"/>
      <c r="BS117" s="1"/>
      <c r="BT117" s="1"/>
      <c r="BU117" s="1"/>
      <c r="BV117" s="1"/>
      <c r="BW117" s="1"/>
      <c r="BX117" s="3"/>
      <c r="BY117" s="1">
        <f t="shared" ref="BY117:BY128" si="211">SUM(BR117:BX117)</f>
        <v>0</v>
      </c>
      <c r="BZ117" s="1">
        <f t="shared" si="144"/>
        <v>0</v>
      </c>
      <c r="CA117" s="1">
        <f t="shared" si="143"/>
        <v>4635</v>
      </c>
      <c r="CB117" s="1"/>
      <c r="CC117" s="1"/>
      <c r="CD117" s="1"/>
      <c r="CE117" s="1"/>
      <c r="CF117" s="1"/>
      <c r="CG117" s="1"/>
      <c r="CH117" s="1"/>
      <c r="CI117" s="1"/>
      <c r="CJ117" s="1">
        <f t="shared" ref="CJ117:CJ126" si="212">SUM(CB117:CI117)</f>
        <v>0</v>
      </c>
      <c r="CK117" s="1"/>
      <c r="CL117" s="1"/>
      <c r="CM117" s="1"/>
      <c r="CN117" s="1"/>
      <c r="CO117" s="1"/>
      <c r="CP117" s="1"/>
      <c r="CQ117" s="1"/>
      <c r="CR117" s="1"/>
      <c r="CS117" s="1"/>
      <c r="CT117" s="5"/>
      <c r="CU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W117" s="1"/>
      <c r="DX117" s="1"/>
      <c r="DY117" s="1"/>
      <c r="DZ117" s="1"/>
      <c r="EB117" s="1">
        <f>+'Sys INPUT'!EC110</f>
        <v>0</v>
      </c>
      <c r="EC117" s="1"/>
      <c r="ED117" s="1"/>
      <c r="EE117" s="1"/>
      <c r="EF117" s="1"/>
      <c r="EG117" s="1"/>
      <c r="EL117" s="1"/>
      <c r="EM117" s="1"/>
      <c r="EQ117" s="1"/>
    </row>
    <row r="118" spans="1:147" ht="15.75">
      <c r="A118" s="1"/>
      <c r="B118" s="89" t="s">
        <v>564</v>
      </c>
      <c r="C118" s="1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f t="shared" si="208"/>
        <v>0</v>
      </c>
      <c r="BG118" s="1">
        <f t="shared" si="209"/>
        <v>0</v>
      </c>
      <c r="BH118" s="1"/>
      <c r="BI118" s="1"/>
      <c r="BJ118" s="1"/>
      <c r="BK118" s="1"/>
      <c r="BL118" s="1"/>
      <c r="BM118" s="1"/>
      <c r="BN118" s="1"/>
      <c r="BO118" s="1"/>
      <c r="BP118" s="1">
        <f t="shared" si="210"/>
        <v>0</v>
      </c>
      <c r="BQ118" s="1"/>
      <c r="BR118" s="1"/>
      <c r="BS118" s="1"/>
      <c r="BT118" s="1"/>
      <c r="BU118" s="1"/>
      <c r="BV118" s="1"/>
      <c r="BW118" s="1"/>
      <c r="BX118" s="3"/>
      <c r="BY118" s="1">
        <f t="shared" si="211"/>
        <v>0</v>
      </c>
      <c r="BZ118" s="1">
        <f t="shared" si="144"/>
        <v>0</v>
      </c>
      <c r="CA118" s="1">
        <f t="shared" si="143"/>
        <v>0</v>
      </c>
      <c r="CB118" s="1"/>
      <c r="CC118" s="1"/>
      <c r="CD118" s="1"/>
      <c r="CE118" s="1"/>
      <c r="CF118" s="1"/>
      <c r="CG118" s="1"/>
      <c r="CH118" s="1"/>
      <c r="CI118" s="1"/>
      <c r="CJ118" s="1">
        <f t="shared" si="212"/>
        <v>0</v>
      </c>
      <c r="CK118" s="1"/>
      <c r="CL118" s="1"/>
      <c r="CM118" s="46"/>
      <c r="CN118" s="1"/>
      <c r="CO118" s="1"/>
      <c r="CP118" s="1"/>
      <c r="CQ118" s="1"/>
      <c r="CR118" s="1"/>
      <c r="CS118" s="1"/>
      <c r="CT118" s="5"/>
      <c r="CU118" s="1">
        <f>SUM(CL118:CT118)</f>
        <v>0</v>
      </c>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W118" s="1">
        <f>+CW118+CY118+DB118+DC118+DD118+DE118+DJ118+DL118+DN118+DQ118+DR118+DS118+DT118</f>
        <v>0</v>
      </c>
      <c r="DX118" s="1"/>
      <c r="DY118" s="1"/>
      <c r="DZ118" s="1"/>
      <c r="EB118" s="1"/>
      <c r="EC118" s="1"/>
      <c r="ED118" s="1"/>
      <c r="EE118" s="1"/>
      <c r="EF118" s="1"/>
      <c r="EG118" s="1"/>
      <c r="EL118" s="1"/>
      <c r="EM118" s="1"/>
      <c r="EN118">
        <f>+D118+BF118+BP118+BY118+CJ118+CU118+DW118+ED118</f>
        <v>0</v>
      </c>
      <c r="EQ118" s="1"/>
    </row>
    <row r="119" spans="1:147" ht="15.75">
      <c r="A119" s="1"/>
      <c r="B119" s="89"/>
      <c r="C119" s="1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f t="shared" si="208"/>
        <v>0</v>
      </c>
      <c r="BG119" s="1">
        <f t="shared" si="209"/>
        <v>0</v>
      </c>
      <c r="BH119" s="1"/>
      <c r="BI119" s="1"/>
      <c r="BJ119" s="1"/>
      <c r="BK119" s="1"/>
      <c r="BL119" s="1"/>
      <c r="BM119" s="1"/>
      <c r="BN119" s="1"/>
      <c r="BO119" s="1"/>
      <c r="BP119" s="1">
        <f t="shared" si="210"/>
        <v>0</v>
      </c>
      <c r="BQ119" s="1"/>
      <c r="BR119" s="1"/>
      <c r="BS119" s="1"/>
      <c r="BT119" s="1"/>
      <c r="BU119" s="1"/>
      <c r="BV119" s="1"/>
      <c r="BW119" s="1"/>
      <c r="BX119" s="3"/>
      <c r="BY119" s="1">
        <f t="shared" si="211"/>
        <v>0</v>
      </c>
      <c r="BZ119" s="1">
        <f t="shared" si="144"/>
        <v>0</v>
      </c>
      <c r="CA119" s="1">
        <f t="shared" si="143"/>
        <v>0</v>
      </c>
      <c r="CB119" s="1"/>
      <c r="CC119" s="1"/>
      <c r="CD119" s="1"/>
      <c r="CE119" s="1"/>
      <c r="CF119" s="1"/>
      <c r="CG119" s="1"/>
      <c r="CH119" s="1"/>
      <c r="CI119" s="1"/>
      <c r="CJ119" s="1">
        <f t="shared" si="212"/>
        <v>0</v>
      </c>
      <c r="CK119" s="1"/>
      <c r="CL119" s="1"/>
      <c r="CM119" s="46"/>
      <c r="CN119" s="1"/>
      <c r="CO119" s="1"/>
      <c r="CP119" s="1"/>
      <c r="CQ119" s="1"/>
      <c r="CR119" s="1"/>
      <c r="CS119" s="1"/>
      <c r="CT119" s="5"/>
      <c r="CU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W119" s="1"/>
      <c r="DX119" s="1"/>
      <c r="DY119" s="1"/>
      <c r="DZ119" s="1"/>
      <c r="EB119" s="1"/>
      <c r="EC119" s="1"/>
      <c r="ED119" s="1"/>
      <c r="EE119" s="1"/>
      <c r="EF119" s="1"/>
      <c r="EG119" s="1"/>
      <c r="EL119" s="1"/>
      <c r="EM119" s="1"/>
      <c r="EQ119" s="1"/>
    </row>
    <row r="120" spans="1:147" ht="15.75">
      <c r="A120" s="1"/>
      <c r="B120" s="89" t="s">
        <v>2646</v>
      </c>
      <c r="C120" s="1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f t="shared" si="208"/>
        <v>0</v>
      </c>
      <c r="BG120" s="1">
        <f t="shared" si="209"/>
        <v>0</v>
      </c>
      <c r="BH120" s="1"/>
      <c r="BI120" s="1"/>
      <c r="BJ120" s="1"/>
      <c r="BK120" s="1"/>
      <c r="BL120" s="1"/>
      <c r="BM120" s="1"/>
      <c r="BN120" s="1"/>
      <c r="BO120" s="1"/>
      <c r="BP120" s="1">
        <f t="shared" si="210"/>
        <v>0</v>
      </c>
      <c r="BQ120" s="1"/>
      <c r="BR120" s="1"/>
      <c r="BS120" s="1"/>
      <c r="BT120" s="1"/>
      <c r="BU120" s="1"/>
      <c r="BV120" s="1"/>
      <c r="BW120" s="1"/>
      <c r="BX120" s="3"/>
      <c r="BY120" s="1">
        <f t="shared" si="211"/>
        <v>0</v>
      </c>
      <c r="BZ120" s="1">
        <f t="shared" si="144"/>
        <v>0</v>
      </c>
      <c r="CA120" s="1">
        <f t="shared" si="143"/>
        <v>0</v>
      </c>
      <c r="CB120" s="1"/>
      <c r="CC120" s="213">
        <f>+CC322</f>
        <v>0</v>
      </c>
      <c r="CD120" s="1"/>
      <c r="CE120" s="1"/>
      <c r="CF120" s="1"/>
      <c r="CG120" s="213">
        <f>+CG322</f>
        <v>0</v>
      </c>
      <c r="CH120" s="1"/>
      <c r="CI120" s="1"/>
      <c r="CJ120" s="1">
        <f t="shared" si="212"/>
        <v>0</v>
      </c>
      <c r="CK120" s="1"/>
      <c r="CL120" s="1"/>
      <c r="CM120" s="46"/>
      <c r="CN120" s="1"/>
      <c r="CO120" s="1"/>
      <c r="CP120" s="1"/>
      <c r="CQ120" s="1"/>
      <c r="CR120" s="1"/>
      <c r="CS120" s="1"/>
      <c r="CT120" s="5"/>
      <c r="CU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W120" s="1">
        <f>+CW120+CY120+DB120+DC120+DD120+DE120+DJ120+DL120+DN120+DQ120+DR120+DS120+DT120</f>
        <v>0</v>
      </c>
      <c r="DX120" s="1"/>
      <c r="DY120" s="1"/>
      <c r="DZ120" s="1"/>
      <c r="EB120" s="1"/>
      <c r="EC120" s="1"/>
      <c r="ED120" s="1"/>
      <c r="EE120" s="1"/>
      <c r="EF120" s="1"/>
      <c r="EG120" s="1"/>
      <c r="EL120" s="1"/>
      <c r="EM120" s="1"/>
      <c r="EQ120" s="1"/>
    </row>
    <row r="121" spans="1:147" ht="15.75">
      <c r="A121" s="1"/>
      <c r="B121" s="147"/>
      <c r="C121" s="1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f t="shared" si="208"/>
        <v>0</v>
      </c>
      <c r="BG121" s="1">
        <f t="shared" si="209"/>
        <v>0</v>
      </c>
      <c r="BH121" s="1"/>
      <c r="BI121" s="1"/>
      <c r="BJ121" s="1"/>
      <c r="BK121" s="1"/>
      <c r="BL121" s="1"/>
      <c r="BM121" s="1"/>
      <c r="BN121" s="1"/>
      <c r="BO121" s="1"/>
      <c r="BP121" s="1">
        <f t="shared" si="210"/>
        <v>0</v>
      </c>
      <c r="BQ121" s="1"/>
      <c r="BR121" s="1"/>
      <c r="BS121" s="1"/>
      <c r="BT121" s="1"/>
      <c r="BU121" s="1"/>
      <c r="BV121" s="1"/>
      <c r="BW121" s="1"/>
      <c r="BX121" s="3"/>
      <c r="BY121" s="1">
        <f t="shared" si="211"/>
        <v>0</v>
      </c>
      <c r="BZ121" s="1">
        <f t="shared" si="144"/>
        <v>0</v>
      </c>
      <c r="CA121" s="1">
        <f t="shared" si="143"/>
        <v>0</v>
      </c>
      <c r="CB121" s="1"/>
      <c r="CC121" s="213"/>
      <c r="CD121" s="1"/>
      <c r="CE121" s="1"/>
      <c r="CF121" s="1"/>
      <c r="CG121" s="213"/>
      <c r="CH121" s="1"/>
      <c r="CI121" s="1"/>
      <c r="CJ121" s="1">
        <f t="shared" si="212"/>
        <v>0</v>
      </c>
      <c r="CK121" s="1"/>
      <c r="CL121" s="1"/>
      <c r="CM121" s="46"/>
      <c r="CN121" s="1"/>
      <c r="CO121" s="1"/>
      <c r="CP121" s="1"/>
      <c r="CQ121" s="1"/>
      <c r="CR121" s="1"/>
      <c r="CS121" s="1"/>
      <c r="CT121" s="5"/>
      <c r="CU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W121" s="1"/>
      <c r="DX121" s="1"/>
      <c r="DY121" s="1"/>
      <c r="DZ121" s="1"/>
      <c r="EB121" s="1"/>
      <c r="EC121" s="1"/>
      <c r="ED121" s="1"/>
      <c r="EE121" s="1"/>
      <c r="EF121" s="1"/>
      <c r="EG121" s="1"/>
      <c r="EL121" s="1"/>
      <c r="EM121" s="1"/>
      <c r="EQ121" s="1"/>
    </row>
    <row r="122" spans="1:147" ht="15.75">
      <c r="A122" s="1"/>
      <c r="B122" s="89" t="s">
        <v>2802</v>
      </c>
      <c r="C122" s="1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f t="shared" si="208"/>
        <v>0</v>
      </c>
      <c r="BG122" s="1">
        <f t="shared" si="209"/>
        <v>0</v>
      </c>
      <c r="BH122" s="1"/>
      <c r="BI122" s="1"/>
      <c r="BJ122" s="1"/>
      <c r="BK122" s="1"/>
      <c r="BL122" s="1"/>
      <c r="BM122" s="1"/>
      <c r="BN122" s="1"/>
      <c r="BO122" s="1"/>
      <c r="BP122" s="1">
        <f t="shared" si="210"/>
        <v>0</v>
      </c>
      <c r="BQ122" s="1"/>
      <c r="BR122" s="1"/>
      <c r="BS122" s="1"/>
      <c r="BT122" s="1"/>
      <c r="BU122" s="1"/>
      <c r="BV122" s="1"/>
      <c r="BW122" s="1"/>
      <c r="BX122" s="3"/>
      <c r="BY122" s="1">
        <f t="shared" si="211"/>
        <v>0</v>
      </c>
      <c r="BZ122" s="1">
        <f t="shared" si="144"/>
        <v>0</v>
      </c>
      <c r="CA122" s="1">
        <f t="shared" si="143"/>
        <v>0</v>
      </c>
      <c r="CB122" s="1"/>
      <c r="CC122" s="213"/>
      <c r="CD122" s="1"/>
      <c r="CE122" s="1"/>
      <c r="CF122" s="1"/>
      <c r="CG122" s="213"/>
      <c r="CH122" s="1"/>
      <c r="CI122" s="1"/>
      <c r="CJ122" s="1">
        <f t="shared" si="212"/>
        <v>0</v>
      </c>
      <c r="CK122" s="1"/>
      <c r="CL122" s="1"/>
      <c r="CM122" s="46"/>
      <c r="CN122" s="1"/>
      <c r="CO122" s="1"/>
      <c r="CP122" s="1"/>
      <c r="CQ122" s="1"/>
      <c r="CR122" s="1"/>
      <c r="CS122" s="1"/>
      <c r="CT122" s="5"/>
      <c r="CU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W122" s="1"/>
      <c r="DX122" s="1"/>
      <c r="DY122" s="1"/>
      <c r="DZ122" s="1"/>
      <c r="EB122" s="1"/>
      <c r="EC122" s="1"/>
      <c r="ED122" s="1"/>
      <c r="EE122" s="1"/>
      <c r="EF122" s="1"/>
      <c r="EG122" s="1"/>
      <c r="EL122" s="1"/>
      <c r="EM122" s="1"/>
      <c r="EQ122" s="1"/>
    </row>
    <row r="123" spans="1:147" ht="15.75">
      <c r="A123" s="1"/>
      <c r="B123" s="89" t="s">
        <v>3423</v>
      </c>
      <c r="C123" s="1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f t="shared" si="208"/>
        <v>0</v>
      </c>
      <c r="BG123" s="1">
        <f t="shared" si="209"/>
        <v>0</v>
      </c>
      <c r="BH123" s="1"/>
      <c r="BI123" s="1"/>
      <c r="BJ123" s="1"/>
      <c r="BK123" s="1"/>
      <c r="BL123" s="1"/>
      <c r="BM123" s="1"/>
      <c r="BN123" s="1"/>
      <c r="BO123" s="1"/>
      <c r="BP123" s="1">
        <f t="shared" si="210"/>
        <v>0</v>
      </c>
      <c r="BQ123" s="1"/>
      <c r="BR123" s="1"/>
      <c r="BS123" s="1"/>
      <c r="BT123" s="1"/>
      <c r="BU123" s="1"/>
      <c r="BV123" s="1"/>
      <c r="BW123" s="1"/>
      <c r="BX123" s="3"/>
      <c r="BY123" s="1">
        <f t="shared" si="211"/>
        <v>0</v>
      </c>
      <c r="BZ123" s="1">
        <f t="shared" si="144"/>
        <v>0</v>
      </c>
      <c r="CA123" s="1">
        <f t="shared" si="143"/>
        <v>0</v>
      </c>
      <c r="CB123" s="1"/>
      <c r="CC123" s="213">
        <f>+CC326</f>
        <v>0</v>
      </c>
      <c r="CD123" s="1"/>
      <c r="CE123" s="1"/>
      <c r="CF123" s="1"/>
      <c r="CG123" s="213">
        <f>+CG326</f>
        <v>0</v>
      </c>
      <c r="CH123" s="1"/>
      <c r="CI123" s="1"/>
      <c r="CJ123" s="1">
        <f t="shared" si="212"/>
        <v>0</v>
      </c>
      <c r="CK123" s="1"/>
      <c r="CL123" s="1"/>
      <c r="CM123" s="46"/>
      <c r="CN123" s="1"/>
      <c r="CO123" s="1"/>
      <c r="CP123" s="1"/>
      <c r="CQ123" s="1"/>
      <c r="CR123" s="1"/>
      <c r="CS123" s="1"/>
      <c r="CT123" s="5"/>
      <c r="CU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W123" s="1">
        <f>+CW123+CY123+DB123+DC123+DD123+DE123+DJ123+DL123+DN123+DQ123+DR123+DS123+DT123</f>
        <v>0</v>
      </c>
      <c r="DX123" s="1"/>
      <c r="DY123" s="1"/>
      <c r="DZ123" s="1"/>
      <c r="EB123" s="1"/>
      <c r="EC123" s="1"/>
      <c r="ED123" s="1"/>
      <c r="EE123" s="1"/>
      <c r="EF123" s="1"/>
      <c r="EG123" s="1"/>
      <c r="EL123" s="1"/>
      <c r="EM123" s="1"/>
      <c r="EQ123" s="1"/>
    </row>
    <row r="124" spans="1:147" ht="15.75">
      <c r="A124" s="1"/>
      <c r="B124" s="147"/>
      <c r="C124" s="1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f t="shared" si="208"/>
        <v>0</v>
      </c>
      <c r="BG124" s="1">
        <f t="shared" si="209"/>
        <v>0</v>
      </c>
      <c r="BH124" s="1"/>
      <c r="BI124" s="1"/>
      <c r="BJ124" s="1"/>
      <c r="BK124" s="1"/>
      <c r="BL124" s="1"/>
      <c r="BM124" s="1"/>
      <c r="BN124" s="1"/>
      <c r="BO124" s="1"/>
      <c r="BP124" s="1">
        <f t="shared" si="210"/>
        <v>0</v>
      </c>
      <c r="BQ124" s="1"/>
      <c r="BR124" s="1"/>
      <c r="BS124" s="1"/>
      <c r="BT124" s="1"/>
      <c r="BU124" s="1"/>
      <c r="BV124" s="1"/>
      <c r="BW124" s="1"/>
      <c r="BX124" s="3"/>
      <c r="BY124" s="1">
        <f t="shared" si="211"/>
        <v>0</v>
      </c>
      <c r="BZ124" s="1">
        <f t="shared" si="144"/>
        <v>0</v>
      </c>
      <c r="CA124" s="1">
        <f t="shared" si="143"/>
        <v>0</v>
      </c>
      <c r="CB124" s="1"/>
      <c r="CC124" s="213"/>
      <c r="CD124" s="1"/>
      <c r="CE124" s="1"/>
      <c r="CF124" s="1"/>
      <c r="CG124" s="213"/>
      <c r="CH124" s="1"/>
      <c r="CI124" s="1"/>
      <c r="CJ124" s="1">
        <f t="shared" si="212"/>
        <v>0</v>
      </c>
      <c r="CK124" s="1"/>
      <c r="CL124" s="1"/>
      <c r="CM124" s="46"/>
      <c r="CN124" s="1"/>
      <c r="CO124" s="1"/>
      <c r="CP124" s="1"/>
      <c r="CQ124" s="1"/>
      <c r="CR124" s="1"/>
      <c r="CS124" s="1"/>
      <c r="CT124" s="5"/>
      <c r="CU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W124" s="1"/>
      <c r="DX124" s="1"/>
      <c r="DY124" s="1"/>
      <c r="DZ124" s="1"/>
      <c r="EB124" s="1"/>
      <c r="EC124" s="1"/>
      <c r="ED124" s="1"/>
      <c r="EE124" s="1"/>
      <c r="EF124" s="1"/>
      <c r="EG124" s="1"/>
      <c r="EL124" s="1"/>
      <c r="EM124" s="1"/>
      <c r="EQ124" s="1"/>
    </row>
    <row r="125" spans="1:147" ht="15.75">
      <c r="A125" s="1"/>
      <c r="B125" s="147"/>
      <c r="C125" s="1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f t="shared" si="208"/>
        <v>0</v>
      </c>
      <c r="BG125" s="1">
        <f t="shared" si="209"/>
        <v>0</v>
      </c>
      <c r="BH125" s="1"/>
      <c r="BI125" s="1"/>
      <c r="BJ125" s="1"/>
      <c r="BK125" s="1"/>
      <c r="BL125" s="1"/>
      <c r="BM125" s="1"/>
      <c r="BN125" s="1"/>
      <c r="BO125" s="1"/>
      <c r="BP125" s="1"/>
      <c r="BQ125" s="1"/>
      <c r="BR125" s="1"/>
      <c r="BS125" s="1"/>
      <c r="BT125" s="1"/>
      <c r="BU125" s="1"/>
      <c r="BV125" s="1"/>
      <c r="BW125" s="1"/>
      <c r="BX125" s="3"/>
      <c r="BY125" s="1"/>
      <c r="BZ125" s="1">
        <f t="shared" si="144"/>
        <v>0</v>
      </c>
      <c r="CA125" s="1"/>
      <c r="CB125" s="1"/>
      <c r="CC125" s="213"/>
      <c r="CD125" s="1"/>
      <c r="CE125" s="1"/>
      <c r="CF125" s="1"/>
      <c r="CG125" s="213"/>
      <c r="CH125" s="1"/>
      <c r="CI125" s="1"/>
      <c r="CJ125" s="1">
        <f t="shared" si="212"/>
        <v>0</v>
      </c>
      <c r="CK125" s="1"/>
      <c r="CL125" s="1"/>
      <c r="CM125" s="46"/>
      <c r="CN125" s="1"/>
      <c r="CO125" s="1"/>
      <c r="CP125" s="1"/>
      <c r="CQ125" s="1"/>
      <c r="CR125" s="1"/>
      <c r="CS125" s="1"/>
      <c r="CT125" s="5"/>
      <c r="CU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W125" s="1"/>
      <c r="DX125" s="1"/>
      <c r="DY125" s="1"/>
      <c r="DZ125" s="1"/>
      <c r="EB125" s="1"/>
      <c r="EC125" s="1"/>
      <c r="ED125" s="1"/>
      <c r="EE125" s="1"/>
      <c r="EF125" s="1"/>
      <c r="EG125" s="1"/>
      <c r="EL125" s="1"/>
      <c r="EM125" s="1"/>
      <c r="EQ125" s="1"/>
    </row>
    <row r="126" spans="1:147" ht="15.75">
      <c r="A126" s="1"/>
      <c r="B126" s="147"/>
      <c r="C126" s="1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f t="shared" si="208"/>
        <v>0</v>
      </c>
      <c r="BG126" s="1">
        <f t="shared" si="209"/>
        <v>0</v>
      </c>
      <c r="BH126" s="1"/>
      <c r="BI126" s="1"/>
      <c r="BJ126" s="1"/>
      <c r="BK126" s="1"/>
      <c r="BL126" s="1"/>
      <c r="BM126" s="1"/>
      <c r="BN126" s="1"/>
      <c r="BO126" s="1"/>
      <c r="BP126" s="1"/>
      <c r="BQ126" s="1"/>
      <c r="BR126" s="1"/>
      <c r="BS126" s="1"/>
      <c r="BT126" s="1"/>
      <c r="BU126" s="1"/>
      <c r="BV126" s="1"/>
      <c r="BW126" s="1"/>
      <c r="BX126" s="3"/>
      <c r="BY126" s="1"/>
      <c r="BZ126" s="1">
        <f t="shared" si="144"/>
        <v>0</v>
      </c>
      <c r="CA126" s="1"/>
      <c r="CB126" s="1"/>
      <c r="CC126" s="213"/>
      <c r="CD126" s="1"/>
      <c r="CE126" s="1"/>
      <c r="CF126" s="1"/>
      <c r="CG126" s="213"/>
      <c r="CH126" s="1"/>
      <c r="CI126" s="1"/>
      <c r="CJ126" s="1">
        <f t="shared" si="212"/>
        <v>0</v>
      </c>
      <c r="CK126" s="1"/>
      <c r="CL126" s="1"/>
      <c r="CM126" s="46"/>
      <c r="CN126" s="1"/>
      <c r="CO126" s="1"/>
      <c r="CP126" s="1"/>
      <c r="CQ126" s="1"/>
      <c r="CR126" s="1"/>
      <c r="CS126" s="1"/>
      <c r="CT126" s="5"/>
      <c r="CU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W126" s="1"/>
      <c r="DX126" s="1"/>
      <c r="DY126" s="1"/>
      <c r="DZ126" s="1"/>
      <c r="EB126" s="1"/>
      <c r="EC126" s="1"/>
      <c r="ED126" s="1"/>
      <c r="EE126" s="1"/>
      <c r="EF126" s="1"/>
      <c r="EG126" s="1"/>
      <c r="EL126" s="1"/>
      <c r="EM126" s="1"/>
      <c r="EQ126" s="1"/>
    </row>
    <row r="127" spans="1:147" ht="15.75">
      <c r="A127" s="1"/>
      <c r="B127" s="147"/>
      <c r="C127" s="1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f t="shared" si="208"/>
        <v>0</v>
      </c>
      <c r="BG127" s="1">
        <f t="shared" si="209"/>
        <v>0</v>
      </c>
      <c r="BH127" s="1"/>
      <c r="BI127" s="1"/>
      <c r="BJ127" s="1"/>
      <c r="BK127" s="1"/>
      <c r="BL127" s="1"/>
      <c r="BM127" s="1"/>
      <c r="BN127" s="1"/>
      <c r="BO127" s="1"/>
      <c r="BP127" s="1">
        <f t="shared" si="210"/>
        <v>0</v>
      </c>
      <c r="BQ127" s="1"/>
      <c r="BR127" s="1"/>
      <c r="BS127" s="1"/>
      <c r="BT127" s="1"/>
      <c r="BU127" s="1"/>
      <c r="BV127" s="1"/>
      <c r="BW127" s="1"/>
      <c r="BX127" s="3"/>
      <c r="BY127" s="1">
        <f t="shared" si="211"/>
        <v>0</v>
      </c>
      <c r="BZ127" s="1">
        <f t="shared" si="144"/>
        <v>0</v>
      </c>
      <c r="CA127" s="1">
        <f>+BG127+BQ127+BZ127+EF127</f>
        <v>0</v>
      </c>
      <c r="CB127" s="1"/>
      <c r="CC127" s="213"/>
      <c r="CD127" s="1"/>
      <c r="CE127" s="1"/>
      <c r="CF127" s="1"/>
      <c r="CG127" s="213"/>
      <c r="CH127" s="1"/>
      <c r="CI127" s="1"/>
      <c r="CJ127" s="1">
        <f>SUM(CB127:CI127)</f>
        <v>0</v>
      </c>
      <c r="CK127" s="1"/>
      <c r="CL127" s="1"/>
      <c r="CM127" s="46"/>
      <c r="CN127" s="1"/>
      <c r="CO127" s="1"/>
      <c r="CP127" s="1"/>
      <c r="CQ127" s="1"/>
      <c r="CR127" s="1"/>
      <c r="CS127" s="1"/>
      <c r="CT127" s="5"/>
      <c r="CU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W127" s="1"/>
      <c r="DX127" s="1"/>
      <c r="DY127" s="1"/>
      <c r="DZ127" s="1"/>
      <c r="EB127" s="1"/>
      <c r="EC127" s="1"/>
      <c r="ED127" s="1"/>
      <c r="EE127" s="1"/>
      <c r="EF127" s="1"/>
      <c r="EG127" s="1"/>
      <c r="EL127" s="1"/>
      <c r="EM127" s="1"/>
      <c r="EQ127" s="1"/>
    </row>
    <row r="128" spans="1:147" ht="15.75">
      <c r="A128" s="1"/>
      <c r="B128" s="89" t="s">
        <v>2355</v>
      </c>
      <c r="C128" s="11"/>
      <c r="D128" s="1">
        <f>SUM(D117:D127)</f>
        <v>0</v>
      </c>
      <c r="E128" s="1">
        <f t="shared" ref="E128:BD128" si="213">SUM(E117:E127)</f>
        <v>0</v>
      </c>
      <c r="F128" s="1">
        <f t="shared" si="213"/>
        <v>0</v>
      </c>
      <c r="G128" s="1">
        <f t="shared" si="213"/>
        <v>0</v>
      </c>
      <c r="H128" s="1">
        <f t="shared" si="213"/>
        <v>0</v>
      </c>
      <c r="I128" s="1">
        <f t="shared" si="213"/>
        <v>4635</v>
      </c>
      <c r="J128" s="1">
        <f t="shared" si="213"/>
        <v>0</v>
      </c>
      <c r="K128" s="1">
        <f t="shared" si="213"/>
        <v>0</v>
      </c>
      <c r="L128" s="1">
        <f t="shared" si="213"/>
        <v>0</v>
      </c>
      <c r="M128" s="1">
        <f t="shared" si="213"/>
        <v>0</v>
      </c>
      <c r="N128" s="1">
        <f t="shared" si="213"/>
        <v>0</v>
      </c>
      <c r="O128" s="1">
        <f t="shared" si="213"/>
        <v>0</v>
      </c>
      <c r="P128" s="1">
        <f t="shared" si="213"/>
        <v>0</v>
      </c>
      <c r="Q128" s="1">
        <f t="shared" si="213"/>
        <v>0</v>
      </c>
      <c r="R128" s="1">
        <f t="shared" si="213"/>
        <v>0</v>
      </c>
      <c r="S128" s="1">
        <f t="shared" si="213"/>
        <v>0</v>
      </c>
      <c r="T128" s="1">
        <f t="shared" si="213"/>
        <v>0</v>
      </c>
      <c r="U128" s="1">
        <f t="shared" si="213"/>
        <v>0</v>
      </c>
      <c r="V128" s="1">
        <f t="shared" si="213"/>
        <v>0</v>
      </c>
      <c r="W128" s="1">
        <f t="shared" si="213"/>
        <v>0</v>
      </c>
      <c r="X128" s="1">
        <f t="shared" si="213"/>
        <v>0</v>
      </c>
      <c r="Y128" s="1">
        <f t="shared" si="213"/>
        <v>0</v>
      </c>
      <c r="Z128" s="1">
        <f t="shared" si="213"/>
        <v>0</v>
      </c>
      <c r="AA128" s="1">
        <f t="shared" si="213"/>
        <v>0</v>
      </c>
      <c r="AB128" s="1">
        <f>SUM(AB117:AB127)</f>
        <v>0</v>
      </c>
      <c r="AC128" s="1">
        <f t="shared" si="213"/>
        <v>0</v>
      </c>
      <c r="AD128" s="1">
        <f t="shared" si="213"/>
        <v>0</v>
      </c>
      <c r="AE128" s="1">
        <f t="shared" si="213"/>
        <v>0</v>
      </c>
      <c r="AF128" s="1">
        <f t="shared" si="213"/>
        <v>0</v>
      </c>
      <c r="AG128" s="1">
        <f t="shared" si="213"/>
        <v>0</v>
      </c>
      <c r="AH128" s="1">
        <f t="shared" si="213"/>
        <v>0</v>
      </c>
      <c r="AI128" s="1">
        <f t="shared" si="213"/>
        <v>0</v>
      </c>
      <c r="AJ128" s="1">
        <f t="shared" si="213"/>
        <v>0</v>
      </c>
      <c r="AK128" s="1">
        <f t="shared" si="213"/>
        <v>0</v>
      </c>
      <c r="AL128" s="1">
        <f t="shared" si="213"/>
        <v>0</v>
      </c>
      <c r="AM128" s="1">
        <f t="shared" si="213"/>
        <v>0</v>
      </c>
      <c r="AN128" s="1">
        <f t="shared" si="213"/>
        <v>0</v>
      </c>
      <c r="AO128" s="1">
        <f t="shared" si="213"/>
        <v>0</v>
      </c>
      <c r="AP128" s="1">
        <f t="shared" si="213"/>
        <v>0</v>
      </c>
      <c r="AQ128" s="1">
        <f t="shared" si="213"/>
        <v>0</v>
      </c>
      <c r="AR128" s="1">
        <f t="shared" si="213"/>
        <v>0</v>
      </c>
      <c r="AS128" s="1">
        <f t="shared" si="213"/>
        <v>0</v>
      </c>
      <c r="AT128" s="1">
        <f>SUM(AT117:AT127)</f>
        <v>0</v>
      </c>
      <c r="AU128" s="1">
        <f t="shared" si="213"/>
        <v>0</v>
      </c>
      <c r="AV128" s="1">
        <f t="shared" si="213"/>
        <v>0</v>
      </c>
      <c r="AW128" s="1">
        <f t="shared" si="213"/>
        <v>0</v>
      </c>
      <c r="AX128" s="1">
        <f t="shared" si="213"/>
        <v>0</v>
      </c>
      <c r="AY128" s="1">
        <f t="shared" si="213"/>
        <v>0</v>
      </c>
      <c r="AZ128" s="1">
        <f t="shared" si="213"/>
        <v>0</v>
      </c>
      <c r="BA128" s="1">
        <f t="shared" si="213"/>
        <v>0</v>
      </c>
      <c r="BB128" s="1">
        <f t="shared" si="213"/>
        <v>0</v>
      </c>
      <c r="BC128" s="1">
        <f t="shared" si="213"/>
        <v>0</v>
      </c>
      <c r="BD128" s="1">
        <f t="shared" si="213"/>
        <v>0</v>
      </c>
      <c r="BE128" s="1"/>
      <c r="BF128" s="1">
        <f>SUM(E128:BE128)</f>
        <v>4635</v>
      </c>
      <c r="BG128" s="1">
        <f t="shared" si="209"/>
        <v>4635</v>
      </c>
      <c r="BH128" s="1">
        <f t="shared" ref="BH128:BN128" si="214">SUM(BH117:BH127)</f>
        <v>0</v>
      </c>
      <c r="BI128" s="1">
        <f t="shared" si="214"/>
        <v>0</v>
      </c>
      <c r="BJ128" s="1">
        <f t="shared" si="214"/>
        <v>0</v>
      </c>
      <c r="BK128" s="1">
        <f t="shared" si="214"/>
        <v>0</v>
      </c>
      <c r="BL128" s="1">
        <f t="shared" si="214"/>
        <v>0</v>
      </c>
      <c r="BM128" s="1">
        <f>SUM(BM117:BM127)</f>
        <v>0</v>
      </c>
      <c r="BN128" s="1">
        <f t="shared" si="214"/>
        <v>0</v>
      </c>
      <c r="BO128" s="1"/>
      <c r="BP128" s="1">
        <f t="shared" si="210"/>
        <v>0</v>
      </c>
      <c r="BQ128" s="1"/>
      <c r="BR128" s="1">
        <f t="shared" ref="BR128:BW128" si="215">SUM(BR117:BR127)</f>
        <v>0</v>
      </c>
      <c r="BS128" s="1">
        <f t="shared" si="215"/>
        <v>0</v>
      </c>
      <c r="BT128" s="1">
        <f t="shared" si="215"/>
        <v>0</v>
      </c>
      <c r="BU128" s="1">
        <f t="shared" si="215"/>
        <v>0</v>
      </c>
      <c r="BV128" s="1">
        <f t="shared" si="215"/>
        <v>0</v>
      </c>
      <c r="BW128" s="1">
        <f t="shared" si="215"/>
        <v>0</v>
      </c>
      <c r="BX128" s="3"/>
      <c r="BY128" s="1">
        <f t="shared" si="211"/>
        <v>0</v>
      </c>
      <c r="BZ128" s="1">
        <f t="shared" si="144"/>
        <v>0</v>
      </c>
      <c r="CA128" s="1">
        <f>+BG128+BQ128+BZ128+EF128</f>
        <v>4635</v>
      </c>
      <c r="CB128" s="1"/>
      <c r="CC128" s="1">
        <f>SUM(CC117:CC127)</f>
        <v>0</v>
      </c>
      <c r="CD128" s="1">
        <f t="shared" ref="CD128:CH128" si="216">SUM(CD117:CD127)</f>
        <v>0</v>
      </c>
      <c r="CE128" s="1">
        <f t="shared" si="216"/>
        <v>0</v>
      </c>
      <c r="CF128" s="1">
        <f t="shared" si="216"/>
        <v>0</v>
      </c>
      <c r="CG128" s="1">
        <f>SUM(CG117:CG127)</f>
        <v>0</v>
      </c>
      <c r="CH128" s="1">
        <f t="shared" si="216"/>
        <v>0</v>
      </c>
      <c r="CI128" s="1"/>
      <c r="CJ128" s="1">
        <f>SUM(CJ117:CJ127)</f>
        <v>0</v>
      </c>
      <c r="CK128" s="1"/>
      <c r="CL128" s="1"/>
      <c r="CM128" s="1"/>
      <c r="CN128" s="1"/>
      <c r="CO128" s="1"/>
      <c r="CP128" s="1"/>
      <c r="CQ128" s="1"/>
      <c r="CR128" s="1">
        <f>SUM(CR117:CR127)</f>
        <v>0</v>
      </c>
      <c r="CS128" s="1"/>
      <c r="CT128" s="5"/>
      <c r="CU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W128" s="1"/>
      <c r="DX128" s="1"/>
      <c r="DY128" s="1"/>
      <c r="DZ128" s="1"/>
      <c r="EB128" s="1"/>
      <c r="EC128" s="1"/>
      <c r="ED128" s="1"/>
      <c r="EE128" s="1"/>
      <c r="EF128" s="1"/>
      <c r="EG128" s="1"/>
      <c r="EL128" s="1"/>
      <c r="EM128" s="1"/>
      <c r="EQ128" s="1"/>
    </row>
    <row r="129" spans="1:147" ht="15.75">
      <c r="A129" s="1"/>
      <c r="B129" s="7" t="s">
        <v>941</v>
      </c>
      <c r="C129" s="30"/>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3"/>
      <c r="BY129" s="1"/>
      <c r="BZ129" s="1">
        <f t="shared" si="144"/>
        <v>0</v>
      </c>
      <c r="CA129" s="1"/>
      <c r="CB129" s="1"/>
      <c r="CC129" s="1"/>
      <c r="CD129" s="1"/>
      <c r="CE129" s="1"/>
      <c r="CF129" s="1"/>
      <c r="CG129" s="1"/>
      <c r="CH129" s="1"/>
      <c r="CI129" s="1"/>
      <c r="CJ129" s="1"/>
      <c r="CK129" s="1"/>
      <c r="CL129" s="1"/>
      <c r="CM129" s="1"/>
      <c r="CN129" s="1"/>
      <c r="CO129" s="1"/>
      <c r="CP129" s="1"/>
      <c r="CQ129" s="1"/>
      <c r="CR129" s="1"/>
      <c r="CS129" s="1"/>
      <c r="CT129" s="5"/>
      <c r="CU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W129" s="1"/>
      <c r="DX129" s="1"/>
      <c r="DY129" s="1"/>
      <c r="DZ129" s="1"/>
      <c r="EB129" s="1"/>
      <c r="EC129" s="1"/>
      <c r="ED129" s="1"/>
      <c r="EE129" s="1"/>
      <c r="EF129" s="1"/>
      <c r="EG129" s="1"/>
      <c r="EL129" s="1"/>
      <c r="EM129" s="1"/>
      <c r="EN129">
        <f>SUM(DE129:EM129)</f>
        <v>0</v>
      </c>
      <c r="EQ129" s="1"/>
    </row>
    <row r="130" spans="1:147" ht="15.75">
      <c r="A130" s="1"/>
      <c r="B130" s="7" t="s">
        <v>941</v>
      </c>
      <c r="C130" s="30"/>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3"/>
      <c r="BY130" s="1"/>
      <c r="BZ130" s="1">
        <f t="shared" si="144"/>
        <v>0</v>
      </c>
      <c r="CA130" s="1"/>
      <c r="CB130" s="1"/>
      <c r="CC130" s="1"/>
      <c r="CD130" s="1"/>
      <c r="CE130" s="1"/>
      <c r="CF130" s="1"/>
      <c r="CG130" s="1">
        <f>+CG138+CG146</f>
        <v>0</v>
      </c>
      <c r="CH130" s="1"/>
      <c r="CI130" s="1"/>
      <c r="CJ130" s="1"/>
      <c r="CK130" s="1"/>
      <c r="CL130" s="1"/>
      <c r="CM130" s="1"/>
      <c r="CN130" s="1"/>
      <c r="CO130" s="1"/>
      <c r="CP130" s="1"/>
      <c r="CQ130" s="1"/>
      <c r="CR130" s="1"/>
      <c r="CS130" s="1"/>
      <c r="CT130" s="5"/>
      <c r="CU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W130" s="1"/>
      <c r="DX130" s="1"/>
      <c r="DY130" s="1"/>
      <c r="DZ130" s="1"/>
      <c r="EB130" s="1"/>
      <c r="EC130" s="1"/>
      <c r="ED130" s="1"/>
      <c r="EE130" s="1"/>
      <c r="EF130" s="1"/>
      <c r="EG130" s="1"/>
      <c r="EL130" s="1"/>
      <c r="EM130" s="1"/>
      <c r="EN130">
        <f>SUM(DE130:EM130)</f>
        <v>0</v>
      </c>
      <c r="EQ130" s="1"/>
    </row>
    <row r="131" spans="1:147" ht="15.75">
      <c r="A131" s="1"/>
      <c r="B131" s="1" t="s">
        <v>424</v>
      </c>
      <c r="C131" s="1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f t="shared" ref="BG131:BG151" si="217">+BF131-X131-P131-BB131-BC131</f>
        <v>0</v>
      </c>
      <c r="BH131" s="1"/>
      <c r="BI131" s="1"/>
      <c r="BJ131" s="1"/>
      <c r="BK131" s="1"/>
      <c r="BL131" s="1"/>
      <c r="BM131" s="1"/>
      <c r="BN131" s="1"/>
      <c r="BO131" s="1"/>
      <c r="BP131" s="1"/>
      <c r="BQ131" s="1"/>
      <c r="BR131" s="1"/>
      <c r="BS131" s="1"/>
      <c r="BT131" s="1"/>
      <c r="BU131" s="1"/>
      <c r="BV131" s="1"/>
      <c r="BW131" s="1"/>
      <c r="BX131" s="3"/>
      <c r="BY131" s="1"/>
      <c r="BZ131" s="1">
        <f t="shared" si="144"/>
        <v>0</v>
      </c>
      <c r="CA131" s="1"/>
      <c r="CB131" s="1"/>
      <c r="CC131" s="1"/>
      <c r="CD131" s="1"/>
      <c r="CE131" s="1"/>
      <c r="CF131" s="1"/>
      <c r="CG131" s="1"/>
      <c r="CH131" s="1"/>
      <c r="CI131" s="1"/>
      <c r="CJ131" s="1"/>
      <c r="CK131" s="1"/>
      <c r="CL131" s="1"/>
      <c r="CM131" s="1"/>
      <c r="CN131" s="1"/>
      <c r="CO131" s="1"/>
      <c r="CP131" s="1"/>
      <c r="CQ131" s="1"/>
      <c r="CR131" s="1"/>
      <c r="CS131" s="1"/>
      <c r="CT131" s="5"/>
      <c r="CU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W131" s="1"/>
      <c r="DX131" s="1"/>
      <c r="DY131" s="1"/>
      <c r="DZ131" s="1"/>
      <c r="EB131" s="1"/>
      <c r="EC131" s="1"/>
      <c r="ED131" s="1"/>
      <c r="EE131" s="1"/>
      <c r="EF131" s="1"/>
      <c r="EG131" s="1"/>
      <c r="EL131" s="1"/>
      <c r="EM131" s="1"/>
      <c r="EN131">
        <f>SUM(DE131:EM131)</f>
        <v>0</v>
      </c>
      <c r="EQ131" s="1"/>
    </row>
    <row r="132" spans="1:147" ht="15.75">
      <c r="A132" s="1"/>
      <c r="B132" s="1" t="s">
        <v>556</v>
      </c>
      <c r="C132" s="11"/>
      <c r="D132" s="1">
        <f>+'Sys INPUT'!D117+D314</f>
        <v>1112456</v>
      </c>
      <c r="E132" s="1">
        <f>+'Sys INPUT'!E117+E314-E310</f>
        <v>101475</v>
      </c>
      <c r="F132" s="1">
        <f>+'Sys INPUT'!F117+F314</f>
        <v>0</v>
      </c>
      <c r="G132" s="1">
        <f>+'Sys INPUT'!G117+G314</f>
        <v>0</v>
      </c>
      <c r="H132" s="1">
        <f>+'Sys INPUT'!H117+H314</f>
        <v>0</v>
      </c>
      <c r="I132" s="1">
        <f>+'Sys INPUT'!I117+I314</f>
        <v>191496</v>
      </c>
      <c r="J132" s="1">
        <f>+'Sys INPUT'!J117+J314</f>
        <v>57632</v>
      </c>
      <c r="K132" s="1">
        <f>+'Sys INPUT'!K117+K314</f>
        <v>0</v>
      </c>
      <c r="L132" s="1">
        <f>+'Sys INPUT'!L117+L314</f>
        <v>0</v>
      </c>
      <c r="M132" s="1">
        <f>+'Sys INPUT'!M117+M314</f>
        <v>43284</v>
      </c>
      <c r="N132" s="1">
        <f>+'Sys INPUT'!N117+N314</f>
        <v>0</v>
      </c>
      <c r="O132" s="1">
        <f>+'Sys INPUT'!O117+O314</f>
        <v>0</v>
      </c>
      <c r="P132" s="1">
        <f>+'Sys INPUT'!P117+P314</f>
        <v>0</v>
      </c>
      <c r="Q132" s="1">
        <f>+'Sys INPUT'!Q117+Q314</f>
        <v>0</v>
      </c>
      <c r="R132" s="1">
        <f>+'Sys INPUT'!R117+R314</f>
        <v>0</v>
      </c>
      <c r="S132" s="1">
        <f>+'Sys INPUT'!S117+S314</f>
        <v>35212</v>
      </c>
      <c r="T132" s="1">
        <f>+'Sys INPUT'!T117+T314</f>
        <v>0</v>
      </c>
      <c r="U132" s="1">
        <f>+'Sys INPUT'!U117+U314</f>
        <v>62885</v>
      </c>
      <c r="V132" s="1">
        <f>+'Sys INPUT'!V117+V314</f>
        <v>0</v>
      </c>
      <c r="W132" s="1">
        <f>+'Sys INPUT'!W117+W314</f>
        <v>0</v>
      </c>
      <c r="X132" s="1">
        <f>+'Sys INPUT'!X117+X314</f>
        <v>364235</v>
      </c>
      <c r="Y132" s="1">
        <f>+'Sys INPUT'!Y117+Y314</f>
        <v>0</v>
      </c>
      <c r="Z132" s="1">
        <f>+'Sys INPUT'!Z117+Z314</f>
        <v>0</v>
      </c>
      <c r="AA132" s="1">
        <f>+'Sys INPUT'!AA117+AA314</f>
        <v>0</v>
      </c>
      <c r="AB132" s="1">
        <f>+'Sys INPUT'!AB117+AB314</f>
        <v>106604</v>
      </c>
      <c r="AC132" s="1">
        <f>+'Sys INPUT'!AC117+AC314</f>
        <v>0</v>
      </c>
      <c r="AD132" s="1">
        <f>+'Sys INPUT'!AD117+AD314</f>
        <v>0</v>
      </c>
      <c r="AE132" s="1">
        <f>+'Sys INPUT'!AE117+AE314</f>
        <v>0</v>
      </c>
      <c r="AF132" s="1">
        <f>+'Sys INPUT'!AF117+AF314</f>
        <v>0</v>
      </c>
      <c r="AG132" s="1">
        <f>+'Sys INPUT'!AG117+AG314</f>
        <v>0</v>
      </c>
      <c r="AH132" s="1">
        <f>+'Sys INPUT'!AH117+AH314</f>
        <v>0</v>
      </c>
      <c r="AI132" s="1">
        <f>+'Sys INPUT'!AI117+AI314</f>
        <v>0</v>
      </c>
      <c r="AJ132" s="1">
        <f>+'Sys INPUT'!AJ117+AJ314</f>
        <v>0</v>
      </c>
      <c r="AK132" s="1">
        <f>+'Sys INPUT'!AK117+AK314</f>
        <v>0</v>
      </c>
      <c r="AL132" s="1">
        <f>+'Sys INPUT'!AL117+AL314</f>
        <v>0</v>
      </c>
      <c r="AM132" s="1">
        <f>+'Sys INPUT'!AM117+AM314</f>
        <v>0</v>
      </c>
      <c r="AN132" s="1">
        <f>+'Sys INPUT'!AN117+AN314</f>
        <v>0</v>
      </c>
      <c r="AO132" s="1">
        <f>+'Sys INPUT'!AO117+AO314</f>
        <v>0</v>
      </c>
      <c r="AP132" s="1">
        <f>+'Sys INPUT'!AP117+AP314</f>
        <v>0</v>
      </c>
      <c r="AQ132" s="1">
        <f>+'Sys INPUT'!AQ117+AQ314</f>
        <v>0</v>
      </c>
      <c r="AR132" s="1">
        <f>+'Sys INPUT'!AR117+AR314</f>
        <v>0</v>
      </c>
      <c r="AS132" s="1">
        <f>+'Sys INPUT'!AS117+AS314</f>
        <v>0</v>
      </c>
      <c r="AT132" s="1">
        <f>+'Sys INPUT'!AT117+AT314</f>
        <v>409124</v>
      </c>
      <c r="AU132" s="1">
        <f>+'Sys INPUT'!AU117+AU314</f>
        <v>0</v>
      </c>
      <c r="AV132" s="1">
        <f>+'Sys INPUT'!AV117+AV314</f>
        <v>0</v>
      </c>
      <c r="AW132" s="1"/>
      <c r="AX132" s="1">
        <f>+'Sys INPUT'!AX117+AX314+0</f>
        <v>0</v>
      </c>
      <c r="AY132" s="1">
        <f>+'Sys INPUT'!AY117+AY314</f>
        <v>0</v>
      </c>
      <c r="AZ132" s="1">
        <f>+'Sys INPUT'!AZ117+AZ314</f>
        <v>0</v>
      </c>
      <c r="BA132" s="1">
        <f>+'Sys INPUT'!BA117+BA314</f>
        <v>0</v>
      </c>
      <c r="BB132" s="1">
        <f>+'Sys INPUT'!BB117+BB314</f>
        <v>90586</v>
      </c>
      <c r="BC132" s="1">
        <f>+'Sys INPUT'!BC117+BC314</f>
        <v>36601</v>
      </c>
      <c r="BD132" s="1"/>
      <c r="BE132" s="1"/>
      <c r="BF132" s="1">
        <f t="shared" ref="BF132:BF149" si="218">SUM(E132:BE132)</f>
        <v>1499134</v>
      </c>
      <c r="BG132" s="1">
        <f t="shared" si="217"/>
        <v>1007712</v>
      </c>
      <c r="BH132" s="1">
        <f t="shared" ref="BH132:BN132" si="219">BH314</f>
        <v>0</v>
      </c>
      <c r="BI132" s="1">
        <f t="shared" si="219"/>
        <v>0</v>
      </c>
      <c r="BJ132" s="1">
        <f t="shared" si="219"/>
        <v>0</v>
      </c>
      <c r="BK132" s="1">
        <f t="shared" si="219"/>
        <v>0</v>
      </c>
      <c r="BL132" s="1">
        <f t="shared" si="219"/>
        <v>0</v>
      </c>
      <c r="BM132" s="1">
        <f>BM314</f>
        <v>0</v>
      </c>
      <c r="BN132" s="1">
        <f t="shared" si="219"/>
        <v>0</v>
      </c>
      <c r="BO132" s="1"/>
      <c r="BP132" s="1">
        <f t="shared" ref="BP132:BP143" si="220">SUM(BH132:BN132)</f>
        <v>0</v>
      </c>
      <c r="BQ132" s="1"/>
      <c r="BR132" s="1">
        <f>'Sys INPUT'!BR117+BR314</f>
        <v>51976</v>
      </c>
      <c r="BS132" s="1">
        <f>BS314</f>
        <v>0</v>
      </c>
      <c r="BT132" s="1">
        <f>BT314</f>
        <v>0</v>
      </c>
      <c r="BU132" s="1">
        <f>BU314</f>
        <v>0</v>
      </c>
      <c r="BV132" s="1">
        <f>BV314</f>
        <v>0</v>
      </c>
      <c r="BW132" s="1">
        <f>BW314+'Sys INPUT'!BW117</f>
        <v>111170</v>
      </c>
      <c r="BX132" s="3"/>
      <c r="BY132" s="1">
        <f>SUM(BR132:BX132)</f>
        <v>163146</v>
      </c>
      <c r="BZ132" s="1">
        <f t="shared" si="144"/>
        <v>111170</v>
      </c>
      <c r="CA132" s="1">
        <f t="shared" ref="CA132:CA157" si="221">+BG132+BQ132+BZ132+EF132</f>
        <v>1118882</v>
      </c>
      <c r="CB132" s="1"/>
      <c r="CC132" s="1">
        <f>+'Sys INPUT'!CC117+INPUT!CC314-CC313</f>
        <v>55661</v>
      </c>
      <c r="CD132" s="1">
        <f>+'Sys INPUT'!CD117+INPUT!CD314-CD313</f>
        <v>0</v>
      </c>
      <c r="CE132" s="1">
        <f>+'Sys INPUT'!CE117+INPUT!CE314-CE313</f>
        <v>0</v>
      </c>
      <c r="CF132" s="1">
        <f>+'Sys INPUT'!CF117+INPUT!CF314-CF313</f>
        <v>97299</v>
      </c>
      <c r="CG132" s="1">
        <f>+'Sys INPUT'!CG117+INPUT!CG314-CG313+0</f>
        <v>516</v>
      </c>
      <c r="CH132" s="1"/>
      <c r="CI132" s="1"/>
      <c r="CJ132" s="1">
        <f t="shared" ref="CJ132:CJ150" si="222">SUM(CB132:CI132)</f>
        <v>153476</v>
      </c>
      <c r="CK132" s="1"/>
      <c r="CL132" s="1">
        <f>+'Sys INPUT'!CL117+INPUT!CL314-CL313</f>
        <v>0</v>
      </c>
      <c r="CM132" s="1">
        <f>+'Sys INPUT'!CM117+INPUT!CM314-CM313</f>
        <v>0</v>
      </c>
      <c r="CN132" s="1">
        <f>+'Sys INPUT'!CN117+INPUT!CN314-CN313+0</f>
        <v>0</v>
      </c>
      <c r="CO132" s="1">
        <f>+'Sys INPUT'!CO117+INPUT!CO314-CO313</f>
        <v>0</v>
      </c>
      <c r="CP132" s="1137">
        <f>+'Sys INPUT'!CP117+INPUT!CP314-CP313</f>
        <v>48189</v>
      </c>
      <c r="CQ132" s="1">
        <f>+'Sys INPUT'!CQ117+INPUT!CQ314-CQ313</f>
        <v>0</v>
      </c>
      <c r="CR132" s="1">
        <f>+'Sys INPUT'!CR117+INPUT!CR305-CR313</f>
        <v>0</v>
      </c>
      <c r="CS132" s="1"/>
      <c r="CT132" s="5"/>
      <c r="CU132" s="1">
        <f t="shared" ref="CU132:CU143" si="223">SUM(CL132:CT132)-CT132</f>
        <v>48189</v>
      </c>
      <c r="CW132" s="1">
        <f>+'Sys INPUT'!CW117</f>
        <v>0</v>
      </c>
      <c r="CX132" s="1">
        <f>+'Sys INPUT'!CX117</f>
        <v>0</v>
      </c>
      <c r="CY132" s="1">
        <f>+'Sys INPUT'!CY117</f>
        <v>0</v>
      </c>
      <c r="CZ132" s="1">
        <f>+'Sys INPUT'!CZ117</f>
        <v>41606</v>
      </c>
      <c r="DA132" s="1">
        <f>+'Sys INPUT'!DA117</f>
        <v>0</v>
      </c>
      <c r="DB132" s="1">
        <f>+'Sys INPUT'!DB117</f>
        <v>0</v>
      </c>
      <c r="DC132" s="1">
        <f>+'Sys INPUT'!DC117</f>
        <v>0</v>
      </c>
      <c r="DD132" s="1">
        <f>+'Sys INPUT'!DD117</f>
        <v>15629</v>
      </c>
      <c r="DE132" s="1">
        <f>+'Sys INPUT'!DE117</f>
        <v>0</v>
      </c>
      <c r="DF132" s="1">
        <f>+'Sys INPUT'!DF117</f>
        <v>0</v>
      </c>
      <c r="DG132" s="1">
        <f>+'Sys INPUT'!DG117</f>
        <v>0</v>
      </c>
      <c r="DH132" s="1">
        <f>+'Sys INPUT'!DH117</f>
        <v>1082</v>
      </c>
      <c r="DI132" s="1">
        <f>+'Sys INPUT'!DI117</f>
        <v>476989</v>
      </c>
      <c r="DJ132" s="1">
        <f>+'Sys INPUT'!DJ117</f>
        <v>0</v>
      </c>
      <c r="DK132" s="1">
        <f>+'Sys INPUT'!DK117</f>
        <v>4921</v>
      </c>
      <c r="DL132" s="1">
        <f>+'Sys INPUT'!DL117</f>
        <v>0</v>
      </c>
      <c r="DM132" s="1">
        <f>+'Sys INPUT'!DM117</f>
        <v>0</v>
      </c>
      <c r="DN132" s="1">
        <f>+'Sys INPUT'!DN117</f>
        <v>0</v>
      </c>
      <c r="DO132" s="1">
        <f>+'Sys INPUT'!DO117</f>
        <v>59182</v>
      </c>
      <c r="DP132" s="1">
        <f>+'Sys INPUT'!DP117</f>
        <v>0</v>
      </c>
      <c r="DQ132" s="1">
        <f>+'Sys INPUT'!DQ117</f>
        <v>0</v>
      </c>
      <c r="DR132" s="1">
        <f>+'Sys INPUT'!DR117</f>
        <v>2554271</v>
      </c>
      <c r="DS132" s="1">
        <f>+'Sys INPUT'!DS117</f>
        <v>0</v>
      </c>
      <c r="DT132" s="1">
        <f>+'Sys INPUT'!DT117</f>
        <v>239308</v>
      </c>
      <c r="DW132" s="1">
        <f t="shared" ref="DW132:DW151" si="224">+CW132+CY132+DB132+DC132+DD132+DE132+DJ132+DL132+DN132+DQ132+DR132+DS132+DT132</f>
        <v>2809208</v>
      </c>
      <c r="DX132" s="1"/>
      <c r="DY132" s="1">
        <f>+'Sys INPUT'!DZ117</f>
        <v>0</v>
      </c>
      <c r="DZ132" s="1"/>
      <c r="EB132" s="1">
        <f>+'Sys INPUT'!EC117+EB299+EB309</f>
        <v>0</v>
      </c>
      <c r="EC132" s="1"/>
      <c r="ED132" s="1"/>
      <c r="EE132" s="1"/>
      <c r="EF132" s="1"/>
      <c r="EG132" s="1"/>
      <c r="EL132" s="1">
        <f>EL301</f>
        <v>0</v>
      </c>
      <c r="EM132" s="1">
        <f>EM314</f>
        <v>0</v>
      </c>
      <c r="EN132">
        <f t="shared" ref="EN132:EN149" si="225">+D132+BF132+BP132+BY132+CJ132+CU132+DW132+ED132</f>
        <v>5785609</v>
      </c>
    </row>
    <row r="133" spans="1:147" ht="15.75">
      <c r="A133" s="1"/>
      <c r="B133" s="1" t="s">
        <v>1146</v>
      </c>
      <c r="C133" s="1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f t="shared" si="218"/>
        <v>0</v>
      </c>
      <c r="BG133" s="1">
        <f t="shared" si="217"/>
        <v>0</v>
      </c>
      <c r="BH133" s="1"/>
      <c r="BI133" s="1"/>
      <c r="BJ133" s="1"/>
      <c r="BK133" s="1"/>
      <c r="BL133" s="1"/>
      <c r="BM133" s="1"/>
      <c r="BN133" s="1"/>
      <c r="BO133" s="1"/>
      <c r="BP133" s="1">
        <f t="shared" si="220"/>
        <v>0</v>
      </c>
      <c r="BQ133" s="1"/>
      <c r="BR133" s="1"/>
      <c r="BS133" s="1"/>
      <c r="BT133" s="1"/>
      <c r="BU133" s="1"/>
      <c r="BV133" s="1"/>
      <c r="BW133" s="1"/>
      <c r="BX133" s="3"/>
      <c r="BY133" s="1">
        <f>SUM(BR133:BX133)</f>
        <v>0</v>
      </c>
      <c r="BZ133" s="1">
        <f t="shared" si="144"/>
        <v>0</v>
      </c>
      <c r="CA133" s="1">
        <f t="shared" si="221"/>
        <v>0</v>
      </c>
      <c r="CB133" s="1"/>
      <c r="CC133" s="1">
        <v>0</v>
      </c>
      <c r="CD133" s="1">
        <v>0</v>
      </c>
      <c r="CE133" s="1"/>
      <c r="CF133" s="1"/>
      <c r="CG133" s="1"/>
      <c r="CH133" s="1"/>
      <c r="CI133" s="1"/>
      <c r="CJ133" s="1">
        <f t="shared" si="222"/>
        <v>0</v>
      </c>
      <c r="CK133" s="1"/>
      <c r="CL133" s="1">
        <v>0</v>
      </c>
      <c r="CM133" s="1"/>
      <c r="CN133" s="1"/>
      <c r="CO133" s="1"/>
      <c r="CP133" s="1"/>
      <c r="CQ133" s="1"/>
      <c r="CR133" s="1"/>
      <c r="CS133" s="1"/>
      <c r="CT133" s="5"/>
      <c r="CU133" s="1">
        <f t="shared" si="223"/>
        <v>0</v>
      </c>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W133" s="1">
        <f t="shared" si="224"/>
        <v>0</v>
      </c>
      <c r="DX133" s="1"/>
      <c r="DY133" s="1"/>
      <c r="DZ133" s="1"/>
      <c r="EB133" s="1"/>
      <c r="EC133" s="1"/>
      <c r="ED133" s="1"/>
      <c r="EE133" s="1"/>
      <c r="EF133" s="1"/>
      <c r="EG133" s="1"/>
      <c r="EL133" s="1"/>
      <c r="EM133" s="1"/>
      <c r="EN133">
        <f t="shared" si="225"/>
        <v>0</v>
      </c>
      <c r="EQ133" s="1"/>
    </row>
    <row r="134" spans="1:147" ht="15.75">
      <c r="A134" s="1"/>
      <c r="B134" s="1" t="s">
        <v>555</v>
      </c>
      <c r="C134" s="11"/>
      <c r="D134" s="1">
        <f>+'Sys INPUT'!D119</f>
        <v>388366</v>
      </c>
      <c r="E134" s="1"/>
      <c r="F134" s="1"/>
      <c r="G134" s="1"/>
      <c r="H134" s="1"/>
      <c r="I134" s="1"/>
      <c r="J134" s="1"/>
      <c r="K134" s="1"/>
      <c r="L134" s="1"/>
      <c r="M134" s="1"/>
      <c r="N134" s="1"/>
      <c r="O134" s="1"/>
      <c r="P134" s="1"/>
      <c r="Q134" s="1"/>
      <c r="R134" s="1"/>
      <c r="S134" s="1"/>
      <c r="T134" s="1"/>
      <c r="U134" s="1"/>
      <c r="V134" s="1"/>
      <c r="W134" s="1"/>
      <c r="X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f t="shared" si="218"/>
        <v>0</v>
      </c>
      <c r="BG134" s="1">
        <f t="shared" si="217"/>
        <v>0</v>
      </c>
      <c r="BH134" s="1"/>
      <c r="BI134" s="1"/>
      <c r="BJ134" s="1"/>
      <c r="BK134" s="1"/>
      <c r="BL134" s="1"/>
      <c r="BM134" s="1"/>
      <c r="BN134" s="1"/>
      <c r="BO134" s="1"/>
      <c r="BP134" s="1">
        <f t="shared" si="220"/>
        <v>0</v>
      </c>
      <c r="BQ134" s="1"/>
      <c r="BR134" s="1"/>
      <c r="BS134" s="1"/>
      <c r="BT134" s="1"/>
      <c r="BU134" s="1"/>
      <c r="BV134" s="1"/>
      <c r="BW134" s="1"/>
      <c r="BX134" s="3"/>
      <c r="BY134" s="1">
        <f>SUM(BR134:BX134)</f>
        <v>0</v>
      </c>
      <c r="BZ134" s="1">
        <f t="shared" si="144"/>
        <v>0</v>
      </c>
      <c r="CA134" s="1">
        <f t="shared" si="221"/>
        <v>0</v>
      </c>
      <c r="CB134" s="1"/>
      <c r="CC134" s="1"/>
      <c r="CD134" s="1"/>
      <c r="CE134" s="1"/>
      <c r="CF134" s="1"/>
      <c r="CG134" s="1"/>
      <c r="CH134" s="1"/>
      <c r="CI134" s="1"/>
      <c r="CJ134" s="1">
        <f t="shared" si="222"/>
        <v>0</v>
      </c>
      <c r="CK134" s="1"/>
      <c r="CL134" s="1"/>
      <c r="CM134" s="1"/>
      <c r="CN134" s="1"/>
      <c r="CO134" s="1"/>
      <c r="CP134" s="1"/>
      <c r="CQ134" s="1"/>
      <c r="CR134" s="1"/>
      <c r="CS134" s="1"/>
      <c r="CT134" s="5"/>
      <c r="CU134" s="1">
        <f t="shared" si="223"/>
        <v>0</v>
      </c>
      <c r="CW134" s="1">
        <f>+'Sys INPUT'!CW119</f>
        <v>0</v>
      </c>
      <c r="CX134" s="1">
        <f>+'Sys INPUT'!CX119</f>
        <v>0</v>
      </c>
      <c r="CY134" s="1">
        <f>+'Sys INPUT'!CY119</f>
        <v>0</v>
      </c>
      <c r="CZ134" s="1">
        <f>+'Sys INPUT'!CZ119</f>
        <v>0</v>
      </c>
      <c r="DA134" s="1">
        <f>+'Sys INPUT'!DA119</f>
        <v>0</v>
      </c>
      <c r="DB134" s="1">
        <f>+'Sys INPUT'!DB119</f>
        <v>0</v>
      </c>
      <c r="DC134" s="1">
        <f>+'Sys INPUT'!DC119</f>
        <v>0</v>
      </c>
      <c r="DD134" s="1">
        <f>+'Sys INPUT'!DD119</f>
        <v>0</v>
      </c>
      <c r="DE134" s="1">
        <f>+'Sys INPUT'!DE119</f>
        <v>0</v>
      </c>
      <c r="DF134" s="1">
        <f>+'Sys INPUT'!DF119</f>
        <v>0</v>
      </c>
      <c r="DG134" s="1">
        <f>+'Sys INPUT'!DG119</f>
        <v>0</v>
      </c>
      <c r="DH134" s="1">
        <f>+'Sys INPUT'!DH119</f>
        <v>0</v>
      </c>
      <c r="DI134" s="1">
        <f>+'Sys INPUT'!DI119</f>
        <v>0</v>
      </c>
      <c r="DJ134" s="1">
        <f>+'Sys INPUT'!DJ119</f>
        <v>0</v>
      </c>
      <c r="DK134" s="1">
        <f>+'Sys INPUT'!DK119</f>
        <v>0</v>
      </c>
      <c r="DL134" s="1">
        <f>+'Sys INPUT'!DL119</f>
        <v>0</v>
      </c>
      <c r="DM134" s="1">
        <f>+'Sys INPUT'!DM119</f>
        <v>0</v>
      </c>
      <c r="DN134" s="1">
        <f>+'Sys INPUT'!DN119</f>
        <v>0</v>
      </c>
      <c r="DO134" s="1">
        <f>+'Sys INPUT'!DO119</f>
        <v>0</v>
      </c>
      <c r="DP134" s="1">
        <f>+'Sys INPUT'!DP119</f>
        <v>0</v>
      </c>
      <c r="DQ134" s="1">
        <f>+'Sys INPUT'!DQ119</f>
        <v>0</v>
      </c>
      <c r="DR134" s="1">
        <f>+'Sys INPUT'!DR119</f>
        <v>0</v>
      </c>
      <c r="DS134" s="1">
        <f>+'Sys INPUT'!DS119</f>
        <v>0</v>
      </c>
      <c r="DT134" s="1">
        <f>+'Sys INPUT'!DT119</f>
        <v>0</v>
      </c>
      <c r="DW134" s="1">
        <f t="shared" si="224"/>
        <v>0</v>
      </c>
      <c r="DX134" s="1"/>
      <c r="DY134" s="1"/>
      <c r="DZ134" s="1"/>
      <c r="EB134" s="1"/>
      <c r="EC134" s="1"/>
      <c r="ED134" s="1"/>
      <c r="EE134" s="1"/>
      <c r="EF134" s="1"/>
      <c r="EG134" s="1"/>
      <c r="EL134" s="1"/>
      <c r="EM134" s="1"/>
      <c r="EN134">
        <f t="shared" si="225"/>
        <v>388366</v>
      </c>
      <c r="EQ134" s="1"/>
    </row>
    <row r="135" spans="1:147" ht="15.75">
      <c r="A135" s="1"/>
      <c r="B135" s="1" t="s">
        <v>1125</v>
      </c>
      <c r="C135" s="11"/>
      <c r="D135" s="1">
        <f>+'Sys INPUT'!D120</f>
        <v>110000</v>
      </c>
      <c r="E135" s="1">
        <f>+'Sys INPUT'!E120+0</f>
        <v>374291</v>
      </c>
      <c r="F135" s="1">
        <f>+'Sys INPUT'!F120</f>
        <v>0</v>
      </c>
      <c r="G135" s="1">
        <f>+'Sys INPUT'!G120</f>
        <v>0</v>
      </c>
      <c r="H135" s="1">
        <f>+'Sys INPUT'!H120</f>
        <v>0</v>
      </c>
      <c r="I135" s="1">
        <f>+'Sys INPUT'!I120</f>
        <v>0</v>
      </c>
      <c r="J135" s="1">
        <f>+'Sys INPUT'!J120</f>
        <v>0</v>
      </c>
      <c r="K135" s="1">
        <f>+'Sys INPUT'!K120</f>
        <v>0</v>
      </c>
      <c r="L135" s="1">
        <f>+'Sys INPUT'!L120</f>
        <v>0</v>
      </c>
      <c r="M135" s="1">
        <f>+'Sys INPUT'!M120</f>
        <v>0</v>
      </c>
      <c r="N135" s="1">
        <f>+'Sys INPUT'!N120</f>
        <v>0</v>
      </c>
      <c r="O135" s="1">
        <f>+'Sys INPUT'!O120</f>
        <v>0</v>
      </c>
      <c r="P135" s="1">
        <f>+'Sys INPUT'!P120</f>
        <v>0</v>
      </c>
      <c r="Q135" s="1">
        <f>+'Sys INPUT'!Q120</f>
        <v>0</v>
      </c>
      <c r="R135" s="1">
        <f>+'Sys INPUT'!R120</f>
        <v>0</v>
      </c>
      <c r="S135" s="1">
        <f>+'Sys INPUT'!S120</f>
        <v>0</v>
      </c>
      <c r="T135" s="1">
        <f>+'Sys INPUT'!T120</f>
        <v>0</v>
      </c>
      <c r="U135" s="1">
        <f>+'Sys INPUT'!U120</f>
        <v>0</v>
      </c>
      <c r="V135" s="1">
        <f>+'Sys INPUT'!V120</f>
        <v>0</v>
      </c>
      <c r="W135" s="1">
        <f>+'Sys INPUT'!W120</f>
        <v>0</v>
      </c>
      <c r="X135" s="1">
        <f>+'Sys INPUT'!X120</f>
        <v>0</v>
      </c>
      <c r="Y135" s="1">
        <f>+'Sys INPUT'!Y120</f>
        <v>0</v>
      </c>
      <c r="Z135" s="1">
        <f>+'Sys INPUT'!Z120</f>
        <v>0</v>
      </c>
      <c r="AA135" s="1">
        <f>+'Sys INPUT'!AA120</f>
        <v>0</v>
      </c>
      <c r="AB135" s="1">
        <f>+'Sys INPUT'!AB120</f>
        <v>0</v>
      </c>
      <c r="AC135" s="1">
        <f>+'Sys INPUT'!AC120</f>
        <v>0</v>
      </c>
      <c r="AD135" s="1">
        <f>+'Sys INPUT'!AD120</f>
        <v>0</v>
      </c>
      <c r="AE135" s="1">
        <f>+'Sys INPUT'!AE120</f>
        <v>0</v>
      </c>
      <c r="AF135" s="1">
        <f>+'Sys INPUT'!AF120</f>
        <v>0</v>
      </c>
      <c r="AG135" s="1">
        <f>+'Sys INPUT'!AG120</f>
        <v>0</v>
      </c>
      <c r="AH135" s="1">
        <f>+'Sys INPUT'!AH120</f>
        <v>0</v>
      </c>
      <c r="AI135" s="1">
        <f>+'Sys INPUT'!AI120</f>
        <v>0</v>
      </c>
      <c r="AJ135" s="1">
        <f>+'Sys INPUT'!AJ120</f>
        <v>0</v>
      </c>
      <c r="AK135" s="1">
        <f>+'Sys INPUT'!AK120</f>
        <v>0</v>
      </c>
      <c r="AL135" s="1">
        <f>+'Sys INPUT'!AL120</f>
        <v>0</v>
      </c>
      <c r="AM135" s="1">
        <f>+'Sys INPUT'!AM120</f>
        <v>0</v>
      </c>
      <c r="AN135" s="1">
        <f>+'Sys INPUT'!AN120</f>
        <v>0</v>
      </c>
      <c r="AO135" s="1">
        <f>+'Sys INPUT'!AO120</f>
        <v>0</v>
      </c>
      <c r="AP135" s="1">
        <f>+'Sys INPUT'!AP120</f>
        <v>0</v>
      </c>
      <c r="AQ135" s="1">
        <f>+'Sys INPUT'!AQ120</f>
        <v>0</v>
      </c>
      <c r="AR135" s="1">
        <f>+'Sys INPUT'!AR120</f>
        <v>0</v>
      </c>
      <c r="AS135" s="1">
        <f>+'Sys INPUT'!AS120</f>
        <v>0</v>
      </c>
      <c r="AT135" s="1">
        <f>+'Sys INPUT'!AT120</f>
        <v>0</v>
      </c>
      <c r="AU135" s="1">
        <f>+'Sys INPUT'!AU120</f>
        <v>62477</v>
      </c>
      <c r="AV135" s="1">
        <f>+'Sys INPUT'!AV120</f>
        <v>22045</v>
      </c>
      <c r="AW135" s="1"/>
      <c r="AX135" s="1">
        <f>+'Sys INPUT'!AX120</f>
        <v>11972</v>
      </c>
      <c r="AY135" s="1">
        <f>+'Sys INPUT'!AY120</f>
        <v>0</v>
      </c>
      <c r="AZ135" s="1">
        <f>+'Sys INPUT'!AZ120</f>
        <v>0</v>
      </c>
      <c r="BA135" s="1">
        <f>+'Sys INPUT'!BA120</f>
        <v>8728</v>
      </c>
      <c r="BB135" s="1">
        <f>+'Sys INPUT'!BB120</f>
        <v>197128</v>
      </c>
      <c r="BC135" s="1">
        <f>+'Sys INPUT'!BC120</f>
        <v>6602</v>
      </c>
      <c r="BD135" s="1"/>
      <c r="BE135" s="1"/>
      <c r="BF135" s="1">
        <f t="shared" si="218"/>
        <v>683243</v>
      </c>
      <c r="BG135" s="1">
        <f t="shared" si="217"/>
        <v>479513</v>
      </c>
      <c r="BH135" s="1">
        <f>+'Sys INPUT'!BH120</f>
        <v>0</v>
      </c>
      <c r="BI135" s="1">
        <f>+'Sys INPUT'!BI120</f>
        <v>0</v>
      </c>
      <c r="BJ135" s="1">
        <f>+'Sys INPUT'!BJ120</f>
        <v>0</v>
      </c>
      <c r="BK135" s="1">
        <f>+'Sys INPUT'!BK120</f>
        <v>0</v>
      </c>
      <c r="BL135" s="1">
        <f>+'Sys INPUT'!BL120</f>
        <v>0</v>
      </c>
      <c r="BM135" s="1">
        <f>+'Sys INPUT'!BM120</f>
        <v>0</v>
      </c>
      <c r="BN135" s="1">
        <f>+'Sys INPUT'!BN120</f>
        <v>0</v>
      </c>
      <c r="BO135" s="1"/>
      <c r="BP135" s="1">
        <f t="shared" si="220"/>
        <v>0</v>
      </c>
      <c r="BQ135" s="1"/>
      <c r="BR135" s="1"/>
      <c r="BS135" s="1"/>
      <c r="BT135" s="1">
        <f>+'Sys INPUT'!BT120</f>
        <v>24383</v>
      </c>
      <c r="BU135" s="1">
        <f>+'Sys INPUT'!BU120</f>
        <v>0</v>
      </c>
      <c r="BV135" s="1">
        <f>+'Sys INPUT'!BV120</f>
        <v>0</v>
      </c>
      <c r="BW135" s="1"/>
      <c r="BX135" s="3"/>
      <c r="BY135" s="1">
        <f>SUM(BR135:BX135)</f>
        <v>24383</v>
      </c>
      <c r="BZ135" s="1">
        <f t="shared" si="144"/>
        <v>24383</v>
      </c>
      <c r="CA135" s="1">
        <f t="shared" si="221"/>
        <v>503896</v>
      </c>
      <c r="CB135" s="1"/>
      <c r="CC135" s="1">
        <v>0</v>
      </c>
      <c r="CD135" s="1"/>
      <c r="CE135" s="1"/>
      <c r="CF135" s="1"/>
      <c r="CG135" s="134">
        <f>+'Sys INPUT'!CG120-CG141</f>
        <v>0</v>
      </c>
      <c r="CH135" s="1"/>
      <c r="CI135" s="1"/>
      <c r="CJ135" s="1">
        <f t="shared" si="222"/>
        <v>0</v>
      </c>
      <c r="CK135" s="1"/>
      <c r="CL135" s="1"/>
      <c r="CM135" s="1"/>
      <c r="CN135" s="1"/>
      <c r="CO135" s="1"/>
      <c r="CP135" s="1"/>
      <c r="CQ135" s="1"/>
      <c r="CR135" s="1">
        <f>+'Sys INPUT'!CR120</f>
        <v>0</v>
      </c>
      <c r="CS135" s="1"/>
      <c r="CT135" s="5"/>
      <c r="CU135" s="1">
        <f t="shared" si="223"/>
        <v>0</v>
      </c>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W135" s="1">
        <f t="shared" si="224"/>
        <v>0</v>
      </c>
      <c r="DX135" s="1"/>
      <c r="DY135" s="1"/>
      <c r="DZ135" s="1"/>
      <c r="EB135" s="1"/>
      <c r="EC135" s="1"/>
      <c r="ED135" s="1"/>
      <c r="EE135" s="1"/>
      <c r="EF135" s="1"/>
      <c r="EG135" s="1"/>
      <c r="EL135" s="1"/>
      <c r="EM135" s="1"/>
      <c r="EN135">
        <f t="shared" si="225"/>
        <v>817626</v>
      </c>
      <c r="EQ135" s="1"/>
    </row>
    <row r="136" spans="1:147" ht="15.75">
      <c r="A136" s="1"/>
      <c r="B136" s="89" t="s">
        <v>3476</v>
      </c>
      <c r="C136" s="1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f t="shared" si="218"/>
        <v>0</v>
      </c>
      <c r="BG136" s="1">
        <f t="shared" si="217"/>
        <v>0</v>
      </c>
      <c r="BH136" s="1"/>
      <c r="BI136" s="1"/>
      <c r="BJ136" s="1"/>
      <c r="BK136" s="1"/>
      <c r="BL136" s="1"/>
      <c r="BM136" s="1"/>
      <c r="BN136" s="1"/>
      <c r="BO136" s="1"/>
      <c r="BP136" s="1">
        <f t="shared" si="220"/>
        <v>0</v>
      </c>
      <c r="BQ136" s="1"/>
      <c r="BR136" s="1"/>
      <c r="BS136" s="1"/>
      <c r="BT136" s="1"/>
      <c r="BU136" s="1"/>
      <c r="BV136" s="1"/>
      <c r="BW136" s="1"/>
      <c r="BX136" s="3"/>
      <c r="BY136" s="1">
        <f t="shared" ref="BY136:BY149" si="226">SUM(BR136:BX136)</f>
        <v>0</v>
      </c>
      <c r="BZ136" s="1">
        <f t="shared" si="144"/>
        <v>0</v>
      </c>
      <c r="CA136" s="1">
        <f t="shared" si="221"/>
        <v>0</v>
      </c>
      <c r="CB136" s="1"/>
      <c r="CC136" s="1"/>
      <c r="CD136" s="1"/>
      <c r="CE136" s="1"/>
      <c r="CF136" s="1"/>
      <c r="CG136" s="1"/>
      <c r="CH136" s="1"/>
      <c r="CI136" s="1"/>
      <c r="CJ136" s="1">
        <f t="shared" si="222"/>
        <v>0</v>
      </c>
      <c r="CK136" s="1"/>
      <c r="CL136" s="1"/>
      <c r="CM136" s="1"/>
      <c r="CN136" s="1"/>
      <c r="CO136" s="1"/>
      <c r="CP136" s="1"/>
      <c r="CQ136" s="1"/>
      <c r="CR136" s="1"/>
      <c r="CS136" s="1"/>
      <c r="CT136" s="5"/>
      <c r="CU136" s="1">
        <f t="shared" si="223"/>
        <v>0</v>
      </c>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W136" s="1">
        <f t="shared" si="224"/>
        <v>0</v>
      </c>
      <c r="DX136" s="1"/>
      <c r="DY136" s="1"/>
      <c r="DZ136" s="1"/>
      <c r="EB136" s="1"/>
      <c r="EC136" s="1"/>
      <c r="ED136" s="1"/>
      <c r="EE136" s="1"/>
      <c r="EF136" s="1"/>
      <c r="EG136" s="1"/>
      <c r="EL136" s="1"/>
      <c r="EM136" s="1"/>
      <c r="EN136">
        <f t="shared" si="225"/>
        <v>0</v>
      </c>
      <c r="EQ136" s="1"/>
    </row>
    <row r="137" spans="1:147" ht="15.75">
      <c r="A137" s="1"/>
      <c r="B137" s="89" t="s">
        <v>3477</v>
      </c>
      <c r="C137" s="1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3"/>
      <c r="BY137" s="1"/>
      <c r="BZ137" s="1"/>
      <c r="CA137" s="1"/>
      <c r="CB137" s="1"/>
      <c r="CC137" s="1"/>
      <c r="CD137" s="1"/>
      <c r="CE137" s="1"/>
      <c r="CF137" s="1"/>
      <c r="CG137" s="1"/>
      <c r="CH137" s="1"/>
      <c r="CI137" s="1"/>
      <c r="CJ137" s="1"/>
      <c r="CK137" s="1"/>
      <c r="CL137" s="1"/>
      <c r="CM137" s="1"/>
      <c r="CN137" s="1"/>
      <c r="CO137" s="1"/>
      <c r="CP137" s="1137">
        <v>234179</v>
      </c>
      <c r="CQ137" s="1"/>
      <c r="CR137" s="1"/>
      <c r="CS137" s="1"/>
      <c r="CT137" s="5"/>
      <c r="CU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W137" s="1"/>
      <c r="DX137" s="1"/>
      <c r="DY137" s="1"/>
      <c r="DZ137" s="1"/>
      <c r="EB137" s="1"/>
      <c r="EC137" s="1"/>
      <c r="ED137" s="1"/>
      <c r="EE137" s="1"/>
      <c r="EF137" s="1"/>
      <c r="EG137" s="1"/>
      <c r="EL137" s="1"/>
      <c r="EM137" s="1"/>
      <c r="EQ137" s="1"/>
    </row>
    <row r="138" spans="1:147" ht="15.75">
      <c r="A138" s="1"/>
      <c r="B138" s="1" t="s">
        <v>1220</v>
      </c>
      <c r="C138" s="1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f t="shared" si="218"/>
        <v>0</v>
      </c>
      <c r="BG138" s="1">
        <f t="shared" si="217"/>
        <v>0</v>
      </c>
      <c r="BH138" s="1"/>
      <c r="BI138" s="1"/>
      <c r="BJ138" s="1"/>
      <c r="BK138" s="1"/>
      <c r="BL138" s="1"/>
      <c r="BM138" s="1"/>
      <c r="BN138" s="1"/>
      <c r="BO138" s="1"/>
      <c r="BP138" s="1">
        <f t="shared" si="220"/>
        <v>0</v>
      </c>
      <c r="BQ138" s="1"/>
      <c r="BR138" s="1"/>
      <c r="BS138" s="1"/>
      <c r="BT138" s="1"/>
      <c r="BU138" s="1"/>
      <c r="BV138" s="1"/>
      <c r="BW138" s="1"/>
      <c r="BX138" s="3"/>
      <c r="BY138" s="1">
        <f t="shared" si="226"/>
        <v>0</v>
      </c>
      <c r="BZ138" s="1">
        <f t="shared" si="144"/>
        <v>0</v>
      </c>
      <c r="CA138" s="1">
        <f t="shared" si="221"/>
        <v>0</v>
      </c>
      <c r="CB138" s="1"/>
      <c r="CC138" s="1">
        <v>0</v>
      </c>
      <c r="CD138" s="1"/>
      <c r="CE138" s="1"/>
      <c r="CF138" s="1"/>
      <c r="CG138" s="1">
        <v>0</v>
      </c>
      <c r="CH138" s="1"/>
      <c r="CI138" s="1"/>
      <c r="CJ138" s="1">
        <f t="shared" si="222"/>
        <v>0</v>
      </c>
      <c r="CK138" s="1"/>
      <c r="CL138" s="1"/>
      <c r="CM138" s="1"/>
      <c r="CN138" s="1"/>
      <c r="CO138" s="1"/>
      <c r="CP138" s="1"/>
      <c r="CQ138" s="1"/>
      <c r="CR138" s="1"/>
      <c r="CS138" s="1"/>
      <c r="CT138" s="5"/>
      <c r="CU138" s="1">
        <f t="shared" si="223"/>
        <v>0</v>
      </c>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W138" s="1">
        <f t="shared" si="224"/>
        <v>0</v>
      </c>
      <c r="DX138" s="1"/>
      <c r="DY138" s="1"/>
      <c r="DZ138" s="1"/>
      <c r="EB138" s="1"/>
      <c r="EC138" s="1"/>
      <c r="ED138" s="1"/>
      <c r="EE138" s="1"/>
      <c r="EF138" s="1"/>
      <c r="EG138" s="1"/>
      <c r="EL138" s="1"/>
      <c r="EM138" s="1"/>
      <c r="EN138">
        <f t="shared" si="225"/>
        <v>0</v>
      </c>
      <c r="EQ138" s="1"/>
    </row>
    <row r="139" spans="1:147" ht="15.75">
      <c r="A139" s="1"/>
      <c r="B139" s="89" t="s">
        <v>471</v>
      </c>
      <c r="C139" s="1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f t="shared" si="218"/>
        <v>0</v>
      </c>
      <c r="BG139" s="1">
        <f t="shared" si="217"/>
        <v>0</v>
      </c>
      <c r="BH139" s="1"/>
      <c r="BI139" s="1"/>
      <c r="BJ139" s="1"/>
      <c r="BK139" s="1"/>
      <c r="BL139" s="1"/>
      <c r="BM139" s="1"/>
      <c r="BN139" s="1"/>
      <c r="BO139" s="1"/>
      <c r="BP139" s="1">
        <f t="shared" si="220"/>
        <v>0</v>
      </c>
      <c r="BQ139" s="1"/>
      <c r="BR139" s="1"/>
      <c r="BS139" s="1"/>
      <c r="BT139" s="1"/>
      <c r="BU139" s="1"/>
      <c r="BV139" s="1"/>
      <c r="BW139" s="1"/>
      <c r="BX139" s="3"/>
      <c r="BY139" s="1">
        <f t="shared" si="226"/>
        <v>0</v>
      </c>
      <c r="BZ139" s="1">
        <f t="shared" si="144"/>
        <v>0</v>
      </c>
      <c r="CA139" s="1">
        <f t="shared" si="221"/>
        <v>0</v>
      </c>
      <c r="CB139" s="1"/>
      <c r="CC139" s="1"/>
      <c r="CD139" s="1"/>
      <c r="CE139" s="1"/>
      <c r="CF139" s="42">
        <v>15300</v>
      </c>
      <c r="CG139" s="1"/>
      <c r="CH139" s="1"/>
      <c r="CI139" s="1"/>
      <c r="CJ139" s="1">
        <f t="shared" si="222"/>
        <v>15300</v>
      </c>
      <c r="CK139" s="1"/>
      <c r="CL139" s="1"/>
      <c r="CM139" s="1"/>
      <c r="CN139" s="1"/>
      <c r="CO139" s="1"/>
      <c r="CP139" s="1"/>
      <c r="CQ139" s="1"/>
      <c r="CR139" s="1"/>
      <c r="CS139" s="1"/>
      <c r="CT139" s="5"/>
      <c r="CU139" s="1">
        <f t="shared" si="223"/>
        <v>0</v>
      </c>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W139" s="1">
        <f t="shared" si="224"/>
        <v>0</v>
      </c>
      <c r="DX139" s="1"/>
      <c r="DY139" s="1"/>
      <c r="DZ139" s="1"/>
      <c r="EB139" s="1"/>
      <c r="EC139" s="1"/>
      <c r="ED139" s="1"/>
      <c r="EE139" s="1"/>
      <c r="EF139" s="1"/>
      <c r="EG139" s="1"/>
      <c r="EL139" s="1"/>
      <c r="EM139" s="1"/>
      <c r="EN139">
        <f t="shared" si="225"/>
        <v>15300</v>
      </c>
      <c r="EQ139" s="1"/>
    </row>
    <row r="140" spans="1:147" ht="15.75">
      <c r="A140" s="1"/>
      <c r="B140" s="1" t="s">
        <v>1015</v>
      </c>
      <c r="C140" s="1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f t="shared" si="218"/>
        <v>0</v>
      </c>
      <c r="BG140" s="1">
        <f t="shared" si="217"/>
        <v>0</v>
      </c>
      <c r="BH140" s="1"/>
      <c r="BI140" s="1"/>
      <c r="BJ140" s="1"/>
      <c r="BK140" s="1"/>
      <c r="BL140" s="1"/>
      <c r="BM140" s="1"/>
      <c r="BN140" s="1"/>
      <c r="BO140" s="1"/>
      <c r="BP140" s="1">
        <f t="shared" si="220"/>
        <v>0</v>
      </c>
      <c r="BQ140" s="1"/>
      <c r="BR140" s="1"/>
      <c r="BS140" s="1"/>
      <c r="BT140" s="1"/>
      <c r="BU140" s="1"/>
      <c r="BV140" s="1"/>
      <c r="BW140" s="1"/>
      <c r="BX140" s="3"/>
      <c r="BY140" s="1">
        <f t="shared" si="226"/>
        <v>0</v>
      </c>
      <c r="BZ140" s="1">
        <f t="shared" si="144"/>
        <v>0</v>
      </c>
      <c r="CA140" s="1">
        <f t="shared" si="221"/>
        <v>0</v>
      </c>
      <c r="CB140" s="1"/>
      <c r="CC140" s="1"/>
      <c r="CD140" s="1"/>
      <c r="CE140" s="1"/>
      <c r="CF140" s="1"/>
      <c r="CG140" s="1"/>
      <c r="CH140" s="1"/>
      <c r="CI140" s="1"/>
      <c r="CJ140" s="1">
        <f t="shared" si="222"/>
        <v>0</v>
      </c>
      <c r="CK140" s="1"/>
      <c r="CL140" s="1"/>
      <c r="CM140" s="1"/>
      <c r="CN140" s="1"/>
      <c r="CO140" s="1"/>
      <c r="CP140" s="1"/>
      <c r="CQ140" s="1"/>
      <c r="CR140" s="1">
        <f>+CR307</f>
        <v>482991</v>
      </c>
      <c r="CS140" s="1"/>
      <c r="CT140" s="5"/>
      <c r="CU140" s="1">
        <f t="shared" si="223"/>
        <v>482991</v>
      </c>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W140" s="1">
        <f t="shared" si="224"/>
        <v>0</v>
      </c>
      <c r="DX140" s="1"/>
      <c r="DY140" s="1"/>
      <c r="DZ140" s="1"/>
      <c r="EB140" s="1"/>
      <c r="EC140" s="1"/>
      <c r="ED140" s="1"/>
      <c r="EE140" s="1"/>
      <c r="EF140" s="1"/>
      <c r="EG140" s="1"/>
      <c r="EL140" s="1"/>
      <c r="EM140" s="1"/>
      <c r="EN140">
        <f t="shared" si="225"/>
        <v>482991</v>
      </c>
      <c r="EQ140" s="1"/>
    </row>
    <row r="141" spans="1:147" ht="15.75">
      <c r="A141" s="1"/>
      <c r="B141" s="1" t="s">
        <v>1016</v>
      </c>
      <c r="C141" s="11"/>
      <c r="D141" s="1"/>
      <c r="E141" s="1"/>
      <c r="F141" s="1"/>
      <c r="G141" s="1"/>
      <c r="H141" s="1">
        <f>+'Sys INPUT'!H126-H289</f>
        <v>0</v>
      </c>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f>+'Sys INPUT'!BC126</f>
        <v>0</v>
      </c>
      <c r="BD141" s="1"/>
      <c r="BE141" s="1"/>
      <c r="BF141" s="1">
        <f t="shared" si="218"/>
        <v>0</v>
      </c>
      <c r="BG141" s="1">
        <f t="shared" si="217"/>
        <v>0</v>
      </c>
      <c r="BH141" s="1"/>
      <c r="BI141" s="1"/>
      <c r="BJ141" s="1"/>
      <c r="BK141" s="1"/>
      <c r="BL141" s="1"/>
      <c r="BM141" s="1"/>
      <c r="BN141" s="1">
        <f>+'Sys INPUT'!BN126</f>
        <v>0</v>
      </c>
      <c r="BO141" s="1"/>
      <c r="BP141" s="1">
        <f t="shared" si="220"/>
        <v>0</v>
      </c>
      <c r="BQ141" s="1"/>
      <c r="BR141" s="1"/>
      <c r="BS141" s="1"/>
      <c r="BT141" s="1"/>
      <c r="BU141" s="1"/>
      <c r="BV141" s="1"/>
      <c r="BW141" s="1"/>
      <c r="BX141" s="3"/>
      <c r="BY141" s="1">
        <f t="shared" si="226"/>
        <v>0</v>
      </c>
      <c r="BZ141" s="1">
        <f t="shared" si="144"/>
        <v>0</v>
      </c>
      <c r="CA141" s="1">
        <f t="shared" si="221"/>
        <v>0</v>
      </c>
      <c r="CB141" s="1"/>
      <c r="CC141" s="1">
        <f>+'Sys INPUT'!CC126</f>
        <v>0</v>
      </c>
      <c r="CD141" s="1"/>
      <c r="CE141" s="1"/>
      <c r="CF141" s="1"/>
      <c r="CG141" s="216">
        <v>1123725</v>
      </c>
      <c r="CH141" s="1"/>
      <c r="CI141" s="1"/>
      <c r="CJ141" s="1">
        <f t="shared" si="222"/>
        <v>1123725</v>
      </c>
      <c r="CK141" s="1"/>
      <c r="CL141" s="1"/>
      <c r="CM141" s="1">
        <f>+'Sys INPUT'!CM126</f>
        <v>0</v>
      </c>
      <c r="CN141" s="1"/>
      <c r="CO141" s="1"/>
      <c r="CP141" s="1"/>
      <c r="CQ141" s="1"/>
      <c r="CR141" s="1"/>
      <c r="CS141" s="1"/>
      <c r="CT141" s="5"/>
      <c r="CU141" s="1">
        <f t="shared" si="223"/>
        <v>0</v>
      </c>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W141" s="1">
        <f t="shared" si="224"/>
        <v>0</v>
      </c>
      <c r="DX141" s="1"/>
      <c r="DY141" s="1"/>
      <c r="DZ141" s="1"/>
      <c r="EB141" s="1"/>
      <c r="EC141" s="1"/>
      <c r="ED141" s="1"/>
      <c r="EE141" s="1"/>
      <c r="EF141" s="1"/>
      <c r="EG141" s="1"/>
      <c r="EL141" s="1"/>
      <c r="EM141" s="1"/>
      <c r="EN141">
        <f t="shared" si="225"/>
        <v>1123725</v>
      </c>
      <c r="EQ141" s="1"/>
    </row>
    <row r="142" spans="1:147" ht="15.75">
      <c r="A142" s="1"/>
      <c r="B142" s="1" t="s">
        <v>485</v>
      </c>
      <c r="C142" s="1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f t="shared" si="218"/>
        <v>0</v>
      </c>
      <c r="BG142" s="1">
        <f t="shared" si="217"/>
        <v>0</v>
      </c>
      <c r="BH142" s="1"/>
      <c r="BI142" s="1"/>
      <c r="BJ142" s="1"/>
      <c r="BK142" s="1"/>
      <c r="BL142" s="1"/>
      <c r="BM142" s="1"/>
      <c r="BN142" s="1"/>
      <c r="BO142" s="1"/>
      <c r="BP142" s="1">
        <f t="shared" si="220"/>
        <v>0</v>
      </c>
      <c r="BQ142" s="1"/>
      <c r="BR142" s="1"/>
      <c r="BS142" s="1"/>
      <c r="BT142" s="1"/>
      <c r="BU142" s="1"/>
      <c r="BV142" s="1"/>
      <c r="BW142" s="1"/>
      <c r="BX142" s="3"/>
      <c r="BY142" s="1">
        <f t="shared" si="226"/>
        <v>0</v>
      </c>
      <c r="BZ142" s="1">
        <f t="shared" si="144"/>
        <v>0</v>
      </c>
      <c r="CA142" s="1">
        <f t="shared" si="221"/>
        <v>0</v>
      </c>
      <c r="CB142" s="1"/>
      <c r="CC142" s="1"/>
      <c r="CD142" s="1"/>
      <c r="CE142" s="1"/>
      <c r="CF142" s="1"/>
      <c r="CG142" s="216" t="s">
        <v>3199</v>
      </c>
      <c r="CH142" s="1"/>
      <c r="CI142" s="1"/>
      <c r="CJ142" s="1">
        <f t="shared" si="222"/>
        <v>0</v>
      </c>
      <c r="CK142" s="1"/>
      <c r="CL142" s="1"/>
      <c r="CM142" s="1"/>
      <c r="CN142" s="1"/>
      <c r="CO142" s="1"/>
      <c r="CP142" s="1"/>
      <c r="CQ142" s="1"/>
      <c r="CR142" s="1"/>
      <c r="CS142" s="1"/>
      <c r="CT142" s="5"/>
      <c r="CU142" s="1">
        <f t="shared" si="223"/>
        <v>0</v>
      </c>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W142" s="1">
        <f t="shared" si="224"/>
        <v>0</v>
      </c>
      <c r="DX142" s="1"/>
      <c r="DY142" s="1"/>
      <c r="DZ142" s="1"/>
      <c r="EB142" s="1"/>
      <c r="EC142" s="1"/>
      <c r="ED142" s="1"/>
      <c r="EE142" s="1"/>
      <c r="EF142" s="1"/>
      <c r="EG142" s="1"/>
      <c r="EL142" s="1"/>
      <c r="EM142" s="1"/>
      <c r="EN142">
        <f t="shared" si="225"/>
        <v>0</v>
      </c>
      <c r="EQ142" s="1"/>
    </row>
    <row r="143" spans="1:147" ht="15.75">
      <c r="A143" s="1"/>
      <c r="B143" s="1" t="s">
        <v>486</v>
      </c>
      <c r="C143" s="1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f t="shared" si="218"/>
        <v>0</v>
      </c>
      <c r="BG143" s="1">
        <f t="shared" si="217"/>
        <v>0</v>
      </c>
      <c r="BH143" s="1"/>
      <c r="BI143" s="1"/>
      <c r="BJ143" s="1"/>
      <c r="BK143" s="1"/>
      <c r="BL143" s="1"/>
      <c r="BM143" s="1"/>
      <c r="BN143" s="1"/>
      <c r="BO143" s="1"/>
      <c r="BP143" s="1">
        <f t="shared" si="220"/>
        <v>0</v>
      </c>
      <c r="BQ143" s="1"/>
      <c r="BR143" s="1"/>
      <c r="BS143" s="1"/>
      <c r="BT143" s="1"/>
      <c r="BU143" s="1"/>
      <c r="BV143" s="1"/>
      <c r="BW143" s="1"/>
      <c r="BX143" s="3"/>
      <c r="BY143" s="1">
        <f t="shared" si="226"/>
        <v>0</v>
      </c>
      <c r="BZ143" s="1">
        <f t="shared" si="144"/>
        <v>0</v>
      </c>
      <c r="CA143" s="1">
        <f t="shared" si="221"/>
        <v>0</v>
      </c>
      <c r="CB143" s="1"/>
      <c r="CC143" s="1"/>
      <c r="CD143" s="1"/>
      <c r="CE143" s="1"/>
      <c r="CF143" s="1"/>
      <c r="CG143" s="1"/>
      <c r="CH143" s="1"/>
      <c r="CI143" s="1"/>
      <c r="CJ143" s="1">
        <f t="shared" si="222"/>
        <v>0</v>
      </c>
      <c r="CK143" s="1"/>
      <c r="CL143" s="1"/>
      <c r="CM143" s="1"/>
      <c r="CN143" s="1"/>
      <c r="CO143" s="1"/>
      <c r="CP143" s="1"/>
      <c r="CQ143" s="1"/>
      <c r="CS143" s="1"/>
      <c r="CT143" s="5"/>
      <c r="CU143" s="1">
        <f t="shared" si="223"/>
        <v>0</v>
      </c>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W143" s="1">
        <f t="shared" si="224"/>
        <v>0</v>
      </c>
      <c r="DX143" s="1"/>
      <c r="DY143" s="1"/>
      <c r="DZ143" s="1"/>
      <c r="EB143" s="1"/>
      <c r="EC143" s="1"/>
      <c r="ED143" s="1"/>
      <c r="EE143" s="1"/>
      <c r="EF143" s="1"/>
      <c r="EG143" s="1"/>
      <c r="EL143" s="1"/>
      <c r="EM143" s="1"/>
      <c r="EN143">
        <f t="shared" si="225"/>
        <v>0</v>
      </c>
      <c r="EQ143" s="1"/>
    </row>
    <row r="144" spans="1:147" ht="15.75">
      <c r="A144" s="1"/>
      <c r="B144" s="1" t="s">
        <v>423</v>
      </c>
      <c r="C144" s="1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f t="shared" si="218"/>
        <v>0</v>
      </c>
      <c r="BG144" s="1">
        <f t="shared" si="217"/>
        <v>0</v>
      </c>
      <c r="BH144" s="1"/>
      <c r="BI144" s="1"/>
      <c r="BJ144" s="1"/>
      <c r="BK144" s="1"/>
      <c r="BL144" s="1"/>
      <c r="BM144" s="1"/>
      <c r="BN144" s="1"/>
      <c r="BO144" s="1"/>
      <c r="BP144" s="1"/>
      <c r="BQ144" s="1"/>
      <c r="BR144" s="1"/>
      <c r="BS144" s="1"/>
      <c r="BT144" s="1"/>
      <c r="BU144" s="1"/>
      <c r="BV144" s="1"/>
      <c r="BW144" s="1"/>
      <c r="BX144" s="3"/>
      <c r="BY144" s="1">
        <f t="shared" si="226"/>
        <v>0</v>
      </c>
      <c r="BZ144" s="1">
        <f t="shared" si="144"/>
        <v>0</v>
      </c>
      <c r="CA144" s="1">
        <f t="shared" si="221"/>
        <v>0</v>
      </c>
      <c r="CB144" s="1"/>
      <c r="CC144" s="1"/>
      <c r="CD144" s="1"/>
      <c r="CE144" s="1"/>
      <c r="CF144" s="1"/>
      <c r="CG144" s="1"/>
      <c r="CH144" s="1"/>
      <c r="CI144" s="1"/>
      <c r="CJ144" s="1">
        <f t="shared" si="222"/>
        <v>0</v>
      </c>
      <c r="CK144" s="1"/>
      <c r="CL144" s="1"/>
      <c r="CM144" s="1"/>
      <c r="CN144" s="1"/>
      <c r="CO144" s="1"/>
      <c r="CP144" s="1"/>
      <c r="CQ144" s="1"/>
      <c r="CR144" s="1"/>
      <c r="CS144" s="1"/>
      <c r="CT144" s="5"/>
      <c r="CU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W144" s="1">
        <f t="shared" si="224"/>
        <v>0</v>
      </c>
      <c r="DX144" s="1"/>
      <c r="DY144" s="1"/>
      <c r="DZ144" s="1"/>
      <c r="EB144" s="1"/>
      <c r="EC144" s="1"/>
      <c r="ED144" s="1"/>
      <c r="EE144" s="1"/>
      <c r="EF144" s="1"/>
      <c r="EG144" s="1"/>
      <c r="EL144" s="1"/>
      <c r="EM144" s="1"/>
      <c r="EN144">
        <f t="shared" si="225"/>
        <v>0</v>
      </c>
      <c r="EQ144" s="1"/>
    </row>
    <row r="145" spans="1:147" ht="15.75">
      <c r="A145" s="1"/>
      <c r="B145" s="1" t="s">
        <v>1353</v>
      </c>
      <c r="C145" s="1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f t="shared" si="218"/>
        <v>0</v>
      </c>
      <c r="BG145" s="1">
        <f t="shared" si="217"/>
        <v>0</v>
      </c>
      <c r="BH145" s="1"/>
      <c r="BI145" s="1"/>
      <c r="BJ145" s="1"/>
      <c r="BK145" s="1"/>
      <c r="BL145" s="1"/>
      <c r="BM145" s="1"/>
      <c r="BN145" s="1"/>
      <c r="BO145" s="1"/>
      <c r="BP145" s="1">
        <f>SUM(BH145:BN145)</f>
        <v>0</v>
      </c>
      <c r="BQ145" s="1"/>
      <c r="BR145" s="1"/>
      <c r="BS145" s="1"/>
      <c r="BT145" s="1"/>
      <c r="BU145" s="1"/>
      <c r="BV145" s="1"/>
      <c r="BW145" s="1"/>
      <c r="BX145" s="3"/>
      <c r="BY145" s="1">
        <f t="shared" si="226"/>
        <v>0</v>
      </c>
      <c r="BZ145" s="1">
        <f t="shared" si="144"/>
        <v>0</v>
      </c>
      <c r="CA145" s="1">
        <f t="shared" si="221"/>
        <v>0</v>
      </c>
      <c r="CB145" s="1"/>
      <c r="CC145" s="1">
        <f>+'Sys INPUT'!CC130-CC133+0</f>
        <v>0</v>
      </c>
      <c r="CD145" s="1">
        <f>+'Sys INPUT'!CD130-CD133+0</f>
        <v>0</v>
      </c>
      <c r="CE145" s="1">
        <f>+'Sys INPUT'!CE130-INPUT!CE133-0</f>
        <v>0</v>
      </c>
      <c r="CF145" s="1"/>
      <c r="CG145" s="1"/>
      <c r="CH145" s="1"/>
      <c r="CI145" s="1"/>
      <c r="CJ145" s="1">
        <f t="shared" si="222"/>
        <v>0</v>
      </c>
      <c r="CK145" s="1"/>
      <c r="CL145" s="1">
        <f>+'Sys INPUT'!CL130-CL133</f>
        <v>0</v>
      </c>
      <c r="CM145" s="1">
        <f>+'Sys INPUT'!CM130-CM133</f>
        <v>0</v>
      </c>
      <c r="CN145" s="1">
        <f>+'Sys INPUT'!CN130-CN133</f>
        <v>0</v>
      </c>
      <c r="CO145" s="1">
        <f>+'Sys INPUT'!CO130-CO133</f>
        <v>0</v>
      </c>
      <c r="CP145" s="1">
        <f>+'Sys INPUT'!CP130-CP133</f>
        <v>0</v>
      </c>
      <c r="CQ145" s="1"/>
      <c r="CR145" s="1"/>
      <c r="CS145" s="1"/>
      <c r="CT145" s="5"/>
      <c r="CU145" s="1">
        <f t="shared" ref="CU145:CU153" si="227">SUM(CL145:CT145)-CT145</f>
        <v>0</v>
      </c>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W145" s="1">
        <f t="shared" si="224"/>
        <v>0</v>
      </c>
      <c r="DX145" s="1"/>
      <c r="DY145" s="1"/>
      <c r="DZ145" s="1"/>
      <c r="EB145" s="1"/>
      <c r="EC145" s="1"/>
      <c r="ED145" s="1"/>
      <c r="EE145" s="1"/>
      <c r="EF145" s="1"/>
      <c r="EG145" s="1"/>
      <c r="EL145" s="1">
        <f>+'Sys INPUT'!HT130+'Sys INPUT'!HU130</f>
        <v>0</v>
      </c>
      <c r="EM145" s="1"/>
      <c r="EN145">
        <f t="shared" si="225"/>
        <v>0</v>
      </c>
      <c r="EQ145" s="1">
        <f>+'Sys INPUT'!AF130+'Sys INPUT'!ER130</f>
        <v>0</v>
      </c>
    </row>
    <row r="146" spans="1:147" ht="15.75">
      <c r="A146" s="1"/>
      <c r="B146" s="1" t="s">
        <v>1220</v>
      </c>
      <c r="C146" s="1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f t="shared" si="218"/>
        <v>0</v>
      </c>
      <c r="BG146" s="1">
        <f t="shared" si="217"/>
        <v>0</v>
      </c>
      <c r="BH146" s="1"/>
      <c r="BI146" s="1"/>
      <c r="BJ146" s="1"/>
      <c r="BK146" s="1"/>
      <c r="BL146" s="1"/>
      <c r="BM146" s="1"/>
      <c r="BN146" s="1"/>
      <c r="BO146" s="1"/>
      <c r="BP146" s="1">
        <f>SUM(BH146:BN146)</f>
        <v>0</v>
      </c>
      <c r="BQ146" s="1"/>
      <c r="BR146" s="1"/>
      <c r="BS146" s="1"/>
      <c r="BT146" s="1"/>
      <c r="BU146" s="1"/>
      <c r="BV146" s="1"/>
      <c r="BW146" s="1"/>
      <c r="BX146" s="3"/>
      <c r="BY146" s="1">
        <f t="shared" si="226"/>
        <v>0</v>
      </c>
      <c r="BZ146" s="1">
        <f t="shared" si="144"/>
        <v>0</v>
      </c>
      <c r="CA146" s="1">
        <f t="shared" si="221"/>
        <v>0</v>
      </c>
      <c r="CB146" s="1"/>
      <c r="CC146" s="1">
        <f>+'Sys INPUT'!CC131-CC134-CC138</f>
        <v>0</v>
      </c>
      <c r="CD146" s="1"/>
      <c r="CE146" s="1"/>
      <c r="CF146" s="1"/>
      <c r="CG146" s="1">
        <f>+'Sys INPUT'!CG131-INPUT!CG138+0+0+0</f>
        <v>0</v>
      </c>
      <c r="CH146" s="1"/>
      <c r="CI146" s="1"/>
      <c r="CJ146" s="1">
        <f t="shared" si="222"/>
        <v>0</v>
      </c>
      <c r="CK146" s="1"/>
      <c r="CL146" s="1"/>
      <c r="CM146" s="1">
        <f>+'Sys INPUT'!CM131-INPUT!CM138-0</f>
        <v>0</v>
      </c>
      <c r="CN146" s="1"/>
      <c r="CO146" s="1"/>
      <c r="CP146" s="1"/>
      <c r="CQ146" s="1"/>
      <c r="CR146" s="1"/>
      <c r="CS146" s="1"/>
      <c r="CT146" s="5"/>
      <c r="CU146" s="1">
        <f t="shared" si="227"/>
        <v>0</v>
      </c>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W146" s="1">
        <f t="shared" si="224"/>
        <v>0</v>
      </c>
      <c r="DX146" s="1"/>
      <c r="DY146" s="1"/>
      <c r="DZ146" s="1"/>
      <c r="EB146" s="1"/>
      <c r="EC146" s="1"/>
      <c r="ED146" s="1"/>
      <c r="EE146" s="1"/>
      <c r="EF146" s="1"/>
      <c r="EG146" s="1"/>
      <c r="EL146" s="1"/>
      <c r="EM146" s="1"/>
      <c r="EN146">
        <f t="shared" si="225"/>
        <v>0</v>
      </c>
      <c r="EQ146" s="1"/>
    </row>
    <row r="147" spans="1:147" ht="15.75">
      <c r="A147" s="1"/>
      <c r="B147" s="1"/>
      <c r="C147" s="1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f t="shared" si="218"/>
        <v>0</v>
      </c>
      <c r="BG147" s="1">
        <f t="shared" si="217"/>
        <v>0</v>
      </c>
      <c r="BH147" s="1"/>
      <c r="BI147" s="1"/>
      <c r="BJ147" s="1"/>
      <c r="BK147" s="1"/>
      <c r="BL147" s="1"/>
      <c r="BM147" s="1"/>
      <c r="BN147" s="1"/>
      <c r="BO147" s="1"/>
      <c r="BP147" s="1">
        <f>SUM(BH147:BN147)</f>
        <v>0</v>
      </c>
      <c r="BQ147" s="1"/>
      <c r="BR147" s="1"/>
      <c r="BS147" s="1"/>
      <c r="BT147" s="1"/>
      <c r="BU147" s="1"/>
      <c r="BV147" s="1"/>
      <c r="BW147" s="1"/>
      <c r="BX147" s="3"/>
      <c r="BY147" s="1">
        <f t="shared" si="226"/>
        <v>0</v>
      </c>
      <c r="BZ147" s="1">
        <f t="shared" si="144"/>
        <v>0</v>
      </c>
      <c r="CA147" s="1">
        <f t="shared" si="221"/>
        <v>0</v>
      </c>
      <c r="CB147" s="1"/>
      <c r="CC147" s="1"/>
      <c r="CD147" s="1"/>
      <c r="CE147" s="1"/>
      <c r="CF147" s="1"/>
      <c r="CG147" s="1">
        <f>+'Sys INPUT'!CG132-CG136-0</f>
        <v>0</v>
      </c>
      <c r="CH147" s="1"/>
      <c r="CI147" s="1"/>
      <c r="CJ147" s="1">
        <f t="shared" si="222"/>
        <v>0</v>
      </c>
      <c r="CK147" s="1"/>
      <c r="CL147" s="1"/>
      <c r="CM147" s="1"/>
      <c r="CN147" s="1"/>
      <c r="CO147" s="1"/>
      <c r="CP147" s="1"/>
      <c r="CQ147" s="1"/>
      <c r="CR147" s="1"/>
      <c r="CS147" s="1"/>
      <c r="CT147" s="5"/>
      <c r="CU147" s="1">
        <f t="shared" si="227"/>
        <v>0</v>
      </c>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W147" s="1">
        <f t="shared" si="224"/>
        <v>0</v>
      </c>
      <c r="DX147" s="1"/>
      <c r="DY147" s="1"/>
      <c r="DZ147" s="1"/>
      <c r="EB147" s="1"/>
      <c r="EC147" s="1"/>
      <c r="ED147" s="1"/>
      <c r="EE147" s="1"/>
      <c r="EF147" s="1"/>
      <c r="EG147" s="1"/>
      <c r="EL147" s="1"/>
      <c r="EM147" s="1"/>
      <c r="EN147">
        <f t="shared" si="225"/>
        <v>0</v>
      </c>
      <c r="EQ147" s="1"/>
    </row>
    <row r="148" spans="1:147" ht="15.75">
      <c r="A148" s="1"/>
      <c r="B148" s="1" t="s">
        <v>83</v>
      </c>
      <c r="C148" s="1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f t="shared" si="218"/>
        <v>0</v>
      </c>
      <c r="BG148" s="1">
        <f t="shared" si="217"/>
        <v>0</v>
      </c>
      <c r="BH148" s="1"/>
      <c r="BI148" s="1"/>
      <c r="BJ148" s="1"/>
      <c r="BK148" s="1"/>
      <c r="BL148" s="1"/>
      <c r="BM148" s="1"/>
      <c r="BN148" s="1"/>
      <c r="BO148" s="1"/>
      <c r="BP148" s="1">
        <f>SUM(BH148:BN148)</f>
        <v>0</v>
      </c>
      <c r="BQ148" s="1"/>
      <c r="BR148" s="1"/>
      <c r="BS148" s="1"/>
      <c r="BT148" s="1"/>
      <c r="BU148" s="1"/>
      <c r="BV148" s="1"/>
      <c r="BW148" s="1"/>
      <c r="BX148" s="3"/>
      <c r="BY148" s="1">
        <f t="shared" si="226"/>
        <v>0</v>
      </c>
      <c r="BZ148" s="1">
        <f t="shared" si="144"/>
        <v>0</v>
      </c>
      <c r="CA148" s="1">
        <f t="shared" si="221"/>
        <v>0</v>
      </c>
      <c r="CB148" s="1"/>
      <c r="CC148" s="1"/>
      <c r="CD148" s="1"/>
      <c r="CE148" s="1"/>
      <c r="CF148" s="42">
        <f>+'Sys INPUT'!CF133-CF139-15300</f>
        <v>11475</v>
      </c>
      <c r="CG148" s="42">
        <f>+'Sys INPUT'!CG133+23309</f>
        <v>1098566</v>
      </c>
      <c r="CH148" s="1"/>
      <c r="CI148" s="1"/>
      <c r="CJ148" s="1">
        <f t="shared" si="222"/>
        <v>1110041</v>
      </c>
      <c r="CK148" s="1"/>
      <c r="CL148" s="1"/>
      <c r="CM148" s="1"/>
      <c r="CN148" s="1"/>
      <c r="CO148" s="1"/>
      <c r="CP148" s="1"/>
      <c r="CQ148" s="1"/>
      <c r="CR148" s="1"/>
      <c r="CS148" s="1"/>
      <c r="CT148" s="5"/>
      <c r="CU148" s="1">
        <f t="shared" si="227"/>
        <v>0</v>
      </c>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W148" s="1">
        <f t="shared" si="224"/>
        <v>0</v>
      </c>
      <c r="DX148" s="1"/>
      <c r="DY148" s="1"/>
      <c r="DZ148" s="1"/>
      <c r="EB148" s="1"/>
      <c r="EC148" s="1"/>
      <c r="ED148" s="1"/>
      <c r="EE148" s="1"/>
      <c r="EF148" s="1"/>
      <c r="EG148" s="1"/>
      <c r="EL148" s="1"/>
      <c r="EM148" s="1"/>
      <c r="EN148">
        <f t="shared" si="225"/>
        <v>1110041</v>
      </c>
      <c r="EQ148" s="1"/>
    </row>
    <row r="149" spans="1:147" ht="15.75">
      <c r="A149" s="1"/>
      <c r="B149" s="1" t="s">
        <v>84</v>
      </c>
      <c r="C149" s="1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f>'Sys INPUT'!AX134-0</f>
        <v>0</v>
      </c>
      <c r="AY149" s="1"/>
      <c r="AZ149" s="1"/>
      <c r="BA149" s="1"/>
      <c r="BB149" s="1"/>
      <c r="BC149" s="1"/>
      <c r="BD149" s="1"/>
      <c r="BE149" s="1"/>
      <c r="BF149" s="1">
        <f t="shared" si="218"/>
        <v>0</v>
      </c>
      <c r="BG149" s="1">
        <f t="shared" si="217"/>
        <v>0</v>
      </c>
      <c r="BH149" s="1"/>
      <c r="BI149" s="1"/>
      <c r="BJ149" s="1"/>
      <c r="BK149" s="1"/>
      <c r="BL149" s="1"/>
      <c r="BM149" s="1"/>
      <c r="BN149" s="1"/>
      <c r="BO149" s="1"/>
      <c r="BP149" s="1">
        <f>SUM(BH149:BN149)</f>
        <v>0</v>
      </c>
      <c r="BQ149" s="1"/>
      <c r="BR149" s="1"/>
      <c r="BS149" s="1"/>
      <c r="BT149" s="1"/>
      <c r="BU149" s="1"/>
      <c r="BV149" s="1"/>
      <c r="BW149" s="1"/>
      <c r="BX149" s="3"/>
      <c r="BY149" s="1">
        <f t="shared" si="226"/>
        <v>0</v>
      </c>
      <c r="BZ149" s="1">
        <f t="shared" si="144"/>
        <v>0</v>
      </c>
      <c r="CA149" s="1">
        <f t="shared" si="221"/>
        <v>0</v>
      </c>
      <c r="CB149" s="1"/>
      <c r="CC149" s="1">
        <f t="shared" ref="CC149:CH149" si="228">+CC329</f>
        <v>46201</v>
      </c>
      <c r="CD149" s="1">
        <f t="shared" si="228"/>
        <v>548</v>
      </c>
      <c r="CE149" s="1">
        <f t="shared" si="228"/>
        <v>3115</v>
      </c>
      <c r="CF149" s="1">
        <f t="shared" si="228"/>
        <v>0</v>
      </c>
      <c r="CG149" s="1">
        <f t="shared" si="228"/>
        <v>25489</v>
      </c>
      <c r="CH149" s="1">
        <f t="shared" si="228"/>
        <v>1009</v>
      </c>
      <c r="CI149" s="1"/>
      <c r="CJ149" s="1">
        <f t="shared" si="222"/>
        <v>76362</v>
      </c>
      <c r="CK149" s="1"/>
      <c r="CL149" s="1">
        <f t="shared" ref="CL149:CR149" si="229">+CL329</f>
        <v>67971</v>
      </c>
      <c r="CM149" s="1">
        <f t="shared" si="229"/>
        <v>0</v>
      </c>
      <c r="CN149" s="1">
        <f t="shared" si="229"/>
        <v>66435</v>
      </c>
      <c r="CO149" s="1">
        <f t="shared" si="229"/>
        <v>0</v>
      </c>
      <c r="CP149" s="1">
        <f t="shared" si="229"/>
        <v>134973</v>
      </c>
      <c r="CQ149" s="1">
        <f t="shared" si="229"/>
        <v>0</v>
      </c>
      <c r="CR149" s="1">
        <f t="shared" si="229"/>
        <v>5919</v>
      </c>
      <c r="CS149" s="1"/>
      <c r="CT149" s="5"/>
      <c r="CU149" s="1">
        <f t="shared" si="227"/>
        <v>275298</v>
      </c>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W149" s="1">
        <f t="shared" si="224"/>
        <v>0</v>
      </c>
      <c r="DX149" s="1"/>
      <c r="DY149" s="1"/>
      <c r="DZ149" s="1"/>
      <c r="EB149" s="1"/>
      <c r="EC149" s="1"/>
      <c r="ED149" s="1"/>
      <c r="EE149" s="1"/>
      <c r="EF149" s="1"/>
      <c r="EG149" s="1"/>
      <c r="EL149" s="32">
        <v>0</v>
      </c>
      <c r="EM149" s="32">
        <v>0</v>
      </c>
      <c r="EN149">
        <f t="shared" si="225"/>
        <v>351660</v>
      </c>
      <c r="EQ149" s="32">
        <f>+EQ329</f>
        <v>0</v>
      </c>
    </row>
    <row r="150" spans="1:147" ht="15.75">
      <c r="A150" s="1"/>
      <c r="B150" s="147" t="s">
        <v>2026</v>
      </c>
      <c r="C150" s="1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f t="shared" si="217"/>
        <v>0</v>
      </c>
      <c r="BH150" s="1"/>
      <c r="BI150" s="1"/>
      <c r="BJ150" s="1"/>
      <c r="BK150" s="1"/>
      <c r="BL150" s="1"/>
      <c r="BM150" s="1"/>
      <c r="BN150" s="1"/>
      <c r="BO150" s="1"/>
      <c r="BP150" s="1"/>
      <c r="BQ150" s="1"/>
      <c r="BR150" s="1"/>
      <c r="BS150" s="1"/>
      <c r="BT150" s="1"/>
      <c r="BU150" s="1"/>
      <c r="BV150" s="1"/>
      <c r="BW150" s="1"/>
      <c r="BX150" s="3"/>
      <c r="BY150" s="1"/>
      <c r="BZ150" s="1">
        <f t="shared" si="144"/>
        <v>0</v>
      </c>
      <c r="CA150" s="1">
        <f t="shared" si="221"/>
        <v>0</v>
      </c>
      <c r="CB150" s="1"/>
      <c r="CC150" s="213">
        <f>+CC321</f>
        <v>0</v>
      </c>
      <c r="CD150" s="1"/>
      <c r="CE150" s="1"/>
      <c r="CF150" s="1"/>
      <c r="CG150" s="213">
        <f>+CG321</f>
        <v>0</v>
      </c>
      <c r="CH150" s="1"/>
      <c r="CI150" s="1"/>
      <c r="CJ150" s="1">
        <f t="shared" si="222"/>
        <v>0</v>
      </c>
      <c r="CK150" s="1"/>
      <c r="CL150" s="1"/>
      <c r="CM150" s="1"/>
      <c r="CN150" s="1"/>
      <c r="CO150" s="1"/>
      <c r="CP150" s="1"/>
      <c r="CQ150" s="1"/>
      <c r="CR150" s="1"/>
      <c r="CS150" s="1"/>
      <c r="CT150" s="5"/>
      <c r="CU150" s="1">
        <f t="shared" si="227"/>
        <v>0</v>
      </c>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W150" s="1">
        <f t="shared" si="224"/>
        <v>0</v>
      </c>
      <c r="DX150" s="1"/>
      <c r="DY150" s="1"/>
      <c r="DZ150" s="1"/>
      <c r="EB150" s="1"/>
      <c r="EC150" s="1"/>
      <c r="ED150" s="1"/>
      <c r="EE150" s="1"/>
      <c r="EF150" s="1"/>
      <c r="EG150" s="1"/>
      <c r="EL150" s="32"/>
      <c r="EM150" s="32"/>
      <c r="EQ150" s="32"/>
    </row>
    <row r="151" spans="1:147" ht="15.75">
      <c r="A151" s="1"/>
      <c r="B151" s="1" t="s">
        <v>566</v>
      </c>
      <c r="C151" s="1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f t="shared" si="217"/>
        <v>0</v>
      </c>
      <c r="BH151" s="1"/>
      <c r="BI151" s="1"/>
      <c r="BJ151" s="1"/>
      <c r="BK151" s="1"/>
      <c r="BL151" s="1"/>
      <c r="BM151" s="1"/>
      <c r="BN151" s="1"/>
      <c r="BO151" s="1"/>
      <c r="BP151" s="1"/>
      <c r="BQ151" s="1"/>
      <c r="BR151" s="1"/>
      <c r="BS151" s="1"/>
      <c r="BT151" s="1"/>
      <c r="BU151" s="1"/>
      <c r="BV151" s="1"/>
      <c r="BW151" s="1"/>
      <c r="BX151" s="3"/>
      <c r="BY151" s="1">
        <f>SUM(BR151:BX151)</f>
        <v>0</v>
      </c>
      <c r="BZ151" s="1">
        <f t="shared" si="144"/>
        <v>0</v>
      </c>
      <c r="CA151" s="1">
        <f t="shared" si="221"/>
        <v>0</v>
      </c>
      <c r="CB151" s="1"/>
      <c r="CC151" s="213">
        <f>+CC325</f>
        <v>0</v>
      </c>
      <c r="CD151" s="1">
        <f>+CD321</f>
        <v>0</v>
      </c>
      <c r="CE151" s="1">
        <f>+CE321</f>
        <v>0</v>
      </c>
      <c r="CF151" s="1">
        <f>+CF321</f>
        <v>0</v>
      </c>
      <c r="CG151" s="213">
        <f>+CG325</f>
        <v>0</v>
      </c>
      <c r="CH151" s="1"/>
      <c r="CI151" s="1"/>
      <c r="CJ151" s="1">
        <f>SUM(CB151:CI151)</f>
        <v>0</v>
      </c>
      <c r="CK151" s="1"/>
      <c r="CL151" s="1"/>
      <c r="CM151" s="1"/>
      <c r="CN151" s="1"/>
      <c r="CO151" s="1"/>
      <c r="CP151" s="1"/>
      <c r="CQ151" s="1"/>
      <c r="CR151" s="1"/>
      <c r="CS151" s="1"/>
      <c r="CT151" s="5"/>
      <c r="CU151" s="1">
        <f t="shared" si="227"/>
        <v>0</v>
      </c>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W151" s="1">
        <f t="shared" si="224"/>
        <v>0</v>
      </c>
      <c r="DX151" s="1"/>
      <c r="DY151" s="1"/>
      <c r="DZ151" s="1"/>
      <c r="EB151" s="1"/>
      <c r="EC151" s="1"/>
      <c r="ED151" s="1"/>
      <c r="EE151" s="1"/>
      <c r="EF151" s="1"/>
      <c r="EG151" s="1"/>
      <c r="EL151" s="1"/>
      <c r="EM151" s="1"/>
      <c r="EN151">
        <f>SUM(DE151:EM151)</f>
        <v>0</v>
      </c>
      <c r="EQ151" s="1"/>
    </row>
    <row r="152" spans="1:147" ht="15.75">
      <c r="A152" s="1"/>
      <c r="B152" s="89" t="s">
        <v>3348</v>
      </c>
      <c r="C152" s="1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3"/>
      <c r="BY152" s="1"/>
      <c r="BZ152" s="1"/>
      <c r="CA152" s="1"/>
      <c r="CB152" s="1"/>
      <c r="CC152" s="213"/>
      <c r="CD152" s="1"/>
      <c r="CE152" s="1"/>
      <c r="CF152" s="1"/>
      <c r="CG152" s="213"/>
      <c r="CH152" s="1"/>
      <c r="CI152" s="1"/>
      <c r="CJ152" s="1"/>
      <c r="CK152" s="1"/>
      <c r="CL152" s="1"/>
      <c r="CM152" s="1"/>
      <c r="CN152" s="1"/>
      <c r="CO152" s="1"/>
      <c r="CP152" s="1"/>
      <c r="CQ152" s="1"/>
      <c r="CR152" s="1"/>
      <c r="CS152" s="1"/>
      <c r="CT152" s="5"/>
      <c r="CU152" s="1">
        <f t="shared" si="227"/>
        <v>0</v>
      </c>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W152" s="1"/>
      <c r="DX152" s="1"/>
      <c r="DY152" s="1"/>
      <c r="DZ152" s="1"/>
      <c r="EB152" s="1"/>
      <c r="EC152" s="1"/>
      <c r="ED152" s="1"/>
      <c r="EE152" s="1"/>
      <c r="EF152" s="1"/>
      <c r="EG152" s="1"/>
      <c r="EL152" s="1"/>
      <c r="EM152" s="1"/>
      <c r="EQ152" s="1"/>
    </row>
    <row r="153" spans="1:147" ht="15.75">
      <c r="A153" s="1"/>
      <c r="B153" s="89" t="s">
        <v>3471</v>
      </c>
      <c r="C153" s="1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3"/>
      <c r="BY153" s="1"/>
      <c r="BZ153" s="1"/>
      <c r="CA153" s="1"/>
      <c r="CB153" s="1"/>
      <c r="CC153" s="213"/>
      <c r="CD153" s="1"/>
      <c r="CE153" s="1"/>
      <c r="CF153" s="1"/>
      <c r="CG153" s="213"/>
      <c r="CH153" s="1"/>
      <c r="CI153" s="1"/>
      <c r="CJ153" s="1"/>
      <c r="CK153" s="1"/>
      <c r="CL153" s="1"/>
      <c r="CM153" s="1"/>
      <c r="CN153" s="1"/>
      <c r="CO153" s="1"/>
      <c r="CP153" s="1137">
        <f>547482-238719-CP137</f>
        <v>74584</v>
      </c>
      <c r="CQ153" s="1"/>
      <c r="CR153" s="1"/>
      <c r="CS153" s="1"/>
      <c r="CT153" s="5"/>
      <c r="CU153" s="1">
        <f t="shared" si="227"/>
        <v>74584</v>
      </c>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W153" s="1"/>
      <c r="DX153" s="1"/>
      <c r="DY153" s="1"/>
      <c r="DZ153" s="1"/>
      <c r="EB153" s="1"/>
      <c r="EC153" s="1"/>
      <c r="ED153" s="1"/>
      <c r="EE153" s="1"/>
      <c r="EF153" s="1"/>
      <c r="EG153" s="1"/>
      <c r="EL153" s="1"/>
      <c r="EM153" s="1"/>
      <c r="EQ153" s="1"/>
    </row>
    <row r="154" spans="1:147" ht="15.75">
      <c r="A154" s="1"/>
      <c r="B154" s="89" t="s">
        <v>1195</v>
      </c>
      <c r="C154" s="11"/>
      <c r="D154" s="1">
        <f>SUM(D132:D151)</f>
        <v>1610822</v>
      </c>
      <c r="E154" s="1">
        <f t="shared" ref="E154:AJ154" si="230">SUM(E132:E151)</f>
        <v>475766</v>
      </c>
      <c r="F154" s="1">
        <f t="shared" si="230"/>
        <v>0</v>
      </c>
      <c r="G154" s="1">
        <f t="shared" si="230"/>
        <v>0</v>
      </c>
      <c r="H154" s="1">
        <f t="shared" si="230"/>
        <v>0</v>
      </c>
      <c r="I154" s="1">
        <f t="shared" si="230"/>
        <v>191496</v>
      </c>
      <c r="J154" s="1">
        <f t="shared" si="230"/>
        <v>57632</v>
      </c>
      <c r="K154" s="1">
        <f t="shared" si="230"/>
        <v>0</v>
      </c>
      <c r="L154" s="1">
        <f t="shared" si="230"/>
        <v>0</v>
      </c>
      <c r="M154" s="1">
        <f t="shared" si="230"/>
        <v>43284</v>
      </c>
      <c r="N154" s="1">
        <f t="shared" si="230"/>
        <v>0</v>
      </c>
      <c r="O154" s="1">
        <f t="shared" si="230"/>
        <v>0</v>
      </c>
      <c r="P154" s="1">
        <f t="shared" si="230"/>
        <v>0</v>
      </c>
      <c r="Q154" s="1">
        <f t="shared" si="230"/>
        <v>0</v>
      </c>
      <c r="R154" s="1">
        <f t="shared" si="230"/>
        <v>0</v>
      </c>
      <c r="S154" s="1">
        <f t="shared" si="230"/>
        <v>35212</v>
      </c>
      <c r="T154" s="1">
        <f t="shared" si="230"/>
        <v>0</v>
      </c>
      <c r="U154" s="1">
        <f t="shared" si="230"/>
        <v>62885</v>
      </c>
      <c r="V154" s="1">
        <f t="shared" si="230"/>
        <v>0</v>
      </c>
      <c r="W154" s="1">
        <f t="shared" si="230"/>
        <v>0</v>
      </c>
      <c r="X154" s="1">
        <f t="shared" si="230"/>
        <v>364235</v>
      </c>
      <c r="Y154" s="1">
        <f t="shared" si="230"/>
        <v>0</v>
      </c>
      <c r="Z154" s="1">
        <f t="shared" si="230"/>
        <v>0</v>
      </c>
      <c r="AA154" s="1">
        <f t="shared" si="230"/>
        <v>0</v>
      </c>
      <c r="AB154" s="1">
        <f>SUM(AB132:AB151)</f>
        <v>106604</v>
      </c>
      <c r="AC154" s="1">
        <f t="shared" si="230"/>
        <v>0</v>
      </c>
      <c r="AD154" s="1">
        <f t="shared" si="230"/>
        <v>0</v>
      </c>
      <c r="AE154" s="1">
        <f t="shared" si="230"/>
        <v>0</v>
      </c>
      <c r="AF154" s="1">
        <f t="shared" si="230"/>
        <v>0</v>
      </c>
      <c r="AG154" s="1">
        <f t="shared" si="230"/>
        <v>0</v>
      </c>
      <c r="AH154" s="1">
        <f t="shared" si="230"/>
        <v>0</v>
      </c>
      <c r="AI154" s="1">
        <f t="shared" si="230"/>
        <v>0</v>
      </c>
      <c r="AJ154" s="1">
        <f t="shared" si="230"/>
        <v>0</v>
      </c>
      <c r="AK154" s="1">
        <f t="shared" ref="AK154:BE154" si="231">SUM(AK132:AK151)</f>
        <v>0</v>
      </c>
      <c r="AL154" s="1">
        <f t="shared" si="231"/>
        <v>0</v>
      </c>
      <c r="AM154" s="1">
        <f t="shared" si="231"/>
        <v>0</v>
      </c>
      <c r="AN154" s="1">
        <f t="shared" si="231"/>
        <v>0</v>
      </c>
      <c r="AO154" s="1">
        <f t="shared" si="231"/>
        <v>0</v>
      </c>
      <c r="AP154" s="1">
        <f t="shared" si="231"/>
        <v>0</v>
      </c>
      <c r="AQ154" s="1">
        <f t="shared" si="231"/>
        <v>0</v>
      </c>
      <c r="AR154" s="1">
        <f t="shared" si="231"/>
        <v>0</v>
      </c>
      <c r="AS154" s="1">
        <f t="shared" si="231"/>
        <v>0</v>
      </c>
      <c r="AT154" s="1">
        <f>SUM(AT132:AT151)</f>
        <v>409124</v>
      </c>
      <c r="AU154" s="1">
        <f t="shared" si="231"/>
        <v>62477</v>
      </c>
      <c r="AV154" s="1">
        <f t="shared" si="231"/>
        <v>22045</v>
      </c>
      <c r="AW154" s="1"/>
      <c r="AX154" s="1">
        <f t="shared" si="231"/>
        <v>11972</v>
      </c>
      <c r="AY154" s="1">
        <f t="shared" si="231"/>
        <v>0</v>
      </c>
      <c r="AZ154" s="1">
        <f t="shared" si="231"/>
        <v>0</v>
      </c>
      <c r="BA154" s="1">
        <f t="shared" si="231"/>
        <v>8728</v>
      </c>
      <c r="BB154" s="1">
        <f t="shared" si="231"/>
        <v>287714</v>
      </c>
      <c r="BC154" s="1">
        <f t="shared" si="231"/>
        <v>43203</v>
      </c>
      <c r="BD154" s="1">
        <f t="shared" si="231"/>
        <v>0</v>
      </c>
      <c r="BE154" s="1">
        <f t="shared" si="231"/>
        <v>0</v>
      </c>
      <c r="BF154" s="1">
        <f>SUM(BF132:BF151)</f>
        <v>2182377</v>
      </c>
      <c r="BG154" s="1">
        <f>+BF154-X154-P154+BB154-BC154</f>
        <v>2062653</v>
      </c>
      <c r="BH154" s="1">
        <f t="shared" ref="BH154:BP154" si="232">SUM(BH132:BH151)</f>
        <v>0</v>
      </c>
      <c r="BI154" s="1">
        <f t="shared" si="232"/>
        <v>0</v>
      </c>
      <c r="BJ154" s="1">
        <f t="shared" si="232"/>
        <v>0</v>
      </c>
      <c r="BK154" s="1">
        <f t="shared" si="232"/>
        <v>0</v>
      </c>
      <c r="BL154" s="1">
        <f t="shared" si="232"/>
        <v>0</v>
      </c>
      <c r="BM154" s="1">
        <f>SUM(BM132:BM151)</f>
        <v>0</v>
      </c>
      <c r="BN154" s="1">
        <f t="shared" si="232"/>
        <v>0</v>
      </c>
      <c r="BO154" s="1">
        <f t="shared" si="232"/>
        <v>0</v>
      </c>
      <c r="BP154" s="1">
        <f t="shared" si="232"/>
        <v>0</v>
      </c>
      <c r="BQ154" s="1"/>
      <c r="BR154" s="1">
        <f t="shared" ref="BR154:BW154" si="233">SUM(BR132:BR151)</f>
        <v>51976</v>
      </c>
      <c r="BS154" s="1">
        <f t="shared" si="233"/>
        <v>0</v>
      </c>
      <c r="BT154" s="1">
        <f t="shared" si="233"/>
        <v>24383</v>
      </c>
      <c r="BU154" s="1">
        <f t="shared" si="233"/>
        <v>0</v>
      </c>
      <c r="BV154" s="1">
        <f t="shared" si="233"/>
        <v>0</v>
      </c>
      <c r="BW154" s="1">
        <f t="shared" si="233"/>
        <v>111170</v>
      </c>
      <c r="BX154" s="3"/>
      <c r="BY154" s="1">
        <f>SUM(BY132:BY151)</f>
        <v>187529</v>
      </c>
      <c r="BZ154" s="1">
        <f t="shared" si="144"/>
        <v>135553</v>
      </c>
      <c r="CA154" s="1">
        <f t="shared" si="221"/>
        <v>2198206</v>
      </c>
      <c r="CB154" s="1"/>
      <c r="CC154" s="1">
        <f>SUM(CC132:CC151)</f>
        <v>101862</v>
      </c>
      <c r="CD154" s="1">
        <f t="shared" ref="CD154:CJ154" si="234">SUM(CD132:CD151)</f>
        <v>548</v>
      </c>
      <c r="CE154" s="1">
        <f t="shared" si="234"/>
        <v>3115</v>
      </c>
      <c r="CF154" s="1">
        <f t="shared" si="234"/>
        <v>124074</v>
      </c>
      <c r="CG154" s="1">
        <f t="shared" si="234"/>
        <v>2248296</v>
      </c>
      <c r="CH154" s="1">
        <f t="shared" si="234"/>
        <v>1009</v>
      </c>
      <c r="CI154" s="1">
        <f t="shared" si="234"/>
        <v>0</v>
      </c>
      <c r="CJ154" s="1">
        <f t="shared" si="234"/>
        <v>2478904</v>
      </c>
      <c r="CK154" s="1">
        <f>+CJ154-CB154-CC154-CG154</f>
        <v>128746</v>
      </c>
      <c r="CL154" s="1">
        <f t="shared" ref="CL154:CR154" si="235">SUM(CL132:CL151)</f>
        <v>67971</v>
      </c>
      <c r="CM154" s="1">
        <f t="shared" si="235"/>
        <v>0</v>
      </c>
      <c r="CN154" s="1">
        <f t="shared" si="235"/>
        <v>66435</v>
      </c>
      <c r="CO154" s="1">
        <f t="shared" si="235"/>
        <v>0</v>
      </c>
      <c r="CP154" s="1">
        <f>SUM(CP132:CP153)</f>
        <v>491925</v>
      </c>
      <c r="CQ154" s="1">
        <f t="shared" si="235"/>
        <v>0</v>
      </c>
      <c r="CR154" s="1">
        <f t="shared" si="235"/>
        <v>488910</v>
      </c>
      <c r="CS154" s="1"/>
      <c r="CT154" s="5"/>
      <c r="CU154" s="1">
        <f>SUM(CU132:CU153)</f>
        <v>881062</v>
      </c>
      <c r="CW154" s="1">
        <f>SUM(CW132:CW151)</f>
        <v>0</v>
      </c>
      <c r="CX154" s="1">
        <f t="shared" ref="CX154:DU154" si="236">SUM(CX132:CX151)</f>
        <v>0</v>
      </c>
      <c r="CY154" s="1">
        <f t="shared" si="236"/>
        <v>0</v>
      </c>
      <c r="CZ154" s="1">
        <f t="shared" si="236"/>
        <v>41606</v>
      </c>
      <c r="DA154" s="1">
        <f t="shared" si="236"/>
        <v>0</v>
      </c>
      <c r="DB154" s="1">
        <f t="shared" si="236"/>
        <v>0</v>
      </c>
      <c r="DC154" s="1">
        <f t="shared" si="236"/>
        <v>0</v>
      </c>
      <c r="DD154" s="1">
        <f t="shared" si="236"/>
        <v>15629</v>
      </c>
      <c r="DE154" s="1">
        <f t="shared" si="236"/>
        <v>0</v>
      </c>
      <c r="DF154" s="1">
        <f t="shared" si="236"/>
        <v>0</v>
      </c>
      <c r="DG154" s="1">
        <f t="shared" si="236"/>
        <v>0</v>
      </c>
      <c r="DH154" s="1">
        <f t="shared" si="236"/>
        <v>1082</v>
      </c>
      <c r="DI154" s="1">
        <f t="shared" si="236"/>
        <v>476989</v>
      </c>
      <c r="DJ154" s="1">
        <f t="shared" si="236"/>
        <v>0</v>
      </c>
      <c r="DK154" s="1">
        <f t="shared" si="236"/>
        <v>4921</v>
      </c>
      <c r="DL154" s="1">
        <f t="shared" si="236"/>
        <v>0</v>
      </c>
      <c r="DM154" s="1">
        <f t="shared" si="236"/>
        <v>0</v>
      </c>
      <c r="DN154" s="1">
        <f t="shared" si="236"/>
        <v>0</v>
      </c>
      <c r="DO154" s="1">
        <f t="shared" si="236"/>
        <v>59182</v>
      </c>
      <c r="DP154" s="1">
        <f t="shared" si="236"/>
        <v>0</v>
      </c>
      <c r="DQ154" s="1">
        <f t="shared" si="236"/>
        <v>0</v>
      </c>
      <c r="DR154" s="1">
        <f t="shared" si="236"/>
        <v>2554271</v>
      </c>
      <c r="DS154" s="1">
        <f t="shared" si="236"/>
        <v>0</v>
      </c>
      <c r="DT154" s="1">
        <f t="shared" si="236"/>
        <v>239308</v>
      </c>
      <c r="DU154" s="1">
        <f t="shared" si="236"/>
        <v>0</v>
      </c>
      <c r="DW154" s="1">
        <f>SUM(DW132:DW151)</f>
        <v>2809208</v>
      </c>
      <c r="DX154" s="1"/>
      <c r="DY154" s="1">
        <f>SUM(DY132:DY151)</f>
        <v>0</v>
      </c>
      <c r="DZ154" s="1"/>
      <c r="EB154" s="1">
        <f>SUM(EB132:EB151)</f>
        <v>0</v>
      </c>
      <c r="EC154" s="1"/>
      <c r="ED154" s="1"/>
      <c r="EE154" s="1">
        <f>SUM(EE132:EE151)</f>
        <v>0</v>
      </c>
      <c r="EF154" s="1">
        <f>SUM(EF132:EF151)</f>
        <v>0</v>
      </c>
      <c r="EG154" s="1"/>
      <c r="EL154" s="1">
        <f>SUM(EL132:EL151)</f>
        <v>0</v>
      </c>
      <c r="EM154" s="1">
        <f>SUM(EM132:EM151)</f>
        <v>0</v>
      </c>
      <c r="EN154">
        <f>SUM(DE154:EM154)</f>
        <v>6144961</v>
      </c>
      <c r="EQ154" s="1">
        <f>SUM(EQ132:EQ151)</f>
        <v>0</v>
      </c>
    </row>
    <row r="155" spans="1:147" ht="15.75">
      <c r="A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3"/>
      <c r="BY155" s="1"/>
      <c r="BZ155" s="1">
        <f t="shared" ref="BZ155:BZ166" si="237">+BY155-BR155</f>
        <v>0</v>
      </c>
      <c r="CA155" s="1">
        <f t="shared" si="221"/>
        <v>0</v>
      </c>
      <c r="CB155" s="1"/>
      <c r="CC155" s="1"/>
      <c r="CD155" s="1"/>
      <c r="CE155" s="1"/>
      <c r="CF155" s="1"/>
      <c r="CG155" s="1"/>
      <c r="CH155" s="1"/>
      <c r="CI155" s="1"/>
      <c r="CJ155" s="1"/>
      <c r="CK155" s="1"/>
      <c r="CL155" s="1"/>
      <c r="CM155" s="1"/>
      <c r="CN155" s="1"/>
      <c r="CO155" s="1"/>
      <c r="CP155" s="1"/>
      <c r="CQ155" s="1"/>
      <c r="CR155" s="1"/>
      <c r="CS155" s="1"/>
      <c r="CT155" s="5"/>
      <c r="CU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W155" s="1"/>
      <c r="DX155" s="1"/>
      <c r="DY155" s="1"/>
      <c r="DZ155" s="1"/>
      <c r="EB155" s="1"/>
      <c r="EC155" s="1"/>
      <c r="ED155" s="1"/>
      <c r="EE155" s="1"/>
      <c r="EF155" s="1"/>
      <c r="EG155" s="1"/>
      <c r="EL155" s="1"/>
      <c r="EM155" s="1"/>
      <c r="EN155">
        <f>SUM(DE155:EM155)</f>
        <v>0</v>
      </c>
      <c r="EQ155" s="1"/>
    </row>
    <row r="156" spans="1:147" ht="15.75">
      <c r="A156" s="1"/>
      <c r="B156" s="308" t="s">
        <v>1815</v>
      </c>
      <c r="C156" s="1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3"/>
      <c r="BY156" s="1"/>
      <c r="BZ156" s="1">
        <f t="shared" si="237"/>
        <v>0</v>
      </c>
      <c r="CA156" s="1">
        <f t="shared" si="221"/>
        <v>0</v>
      </c>
      <c r="CB156" s="1"/>
      <c r="CC156" s="1"/>
      <c r="CD156" s="1"/>
      <c r="CE156" s="1"/>
      <c r="CF156" s="1"/>
      <c r="CG156" s="1"/>
      <c r="CH156" s="1"/>
      <c r="CI156" s="1"/>
      <c r="CJ156" s="1"/>
      <c r="CK156" s="1"/>
      <c r="CL156" s="1"/>
      <c r="CM156" s="1"/>
      <c r="CN156" s="1"/>
      <c r="CO156" s="1"/>
      <c r="CP156" s="1"/>
      <c r="CQ156" s="1"/>
      <c r="CR156" s="1"/>
      <c r="CS156" s="1"/>
      <c r="CT156" s="5"/>
      <c r="CU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W156" s="1"/>
      <c r="DX156" s="1"/>
      <c r="DY156" s="1"/>
      <c r="DZ156" s="1"/>
      <c r="EB156" s="1"/>
      <c r="EC156" s="1"/>
      <c r="ED156" s="1"/>
      <c r="EE156" s="1"/>
      <c r="EF156" s="1"/>
      <c r="EG156" s="1"/>
      <c r="EL156" s="1"/>
      <c r="EM156" s="1"/>
      <c r="EQ156" s="1"/>
    </row>
    <row r="157" spans="1:147" ht="15.75">
      <c r="A157" s="1"/>
      <c r="B157" s="89" t="s">
        <v>1816</v>
      </c>
      <c r="C157" s="11"/>
      <c r="D157" s="134">
        <f>+'Sys INPUT'!D121-D159-D283-D334+0</f>
        <v>138078</v>
      </c>
      <c r="E157" s="1">
        <f>+'Sys INPUT'!E121-E283-E334</f>
        <v>0</v>
      </c>
      <c r="F157" s="1">
        <f>+'Sys INPUT'!F121-F283-F334</f>
        <v>277</v>
      </c>
      <c r="G157" s="1">
        <f>+'Sys INPUT'!G121-G283-G334</f>
        <v>7744</v>
      </c>
      <c r="H157" s="1">
        <f>+'Sys INPUT'!H121-H283-H334</f>
        <v>30251</v>
      </c>
      <c r="I157" s="1">
        <f>+'Sys INPUT'!I121-I283-I334</f>
        <v>2881</v>
      </c>
      <c r="J157" s="1">
        <f>+'Sys INPUT'!J121-J283-J334</f>
        <v>33412</v>
      </c>
      <c r="K157" s="1">
        <f>+'Sys INPUT'!K121-K283-K334</f>
        <v>67</v>
      </c>
      <c r="L157" s="1">
        <f>+'Sys INPUT'!L121-L283-L334</f>
        <v>3879</v>
      </c>
      <c r="M157" s="42">
        <f>+'Sys INPUT'!M121-M283-M334+31546</f>
        <v>14155</v>
      </c>
      <c r="N157" s="1">
        <f>+'Sys INPUT'!N121-N283-N334</f>
        <v>3894</v>
      </c>
      <c r="O157" s="1">
        <f>+'Sys INPUT'!O121-O283-O334</f>
        <v>405</v>
      </c>
      <c r="P157" s="1">
        <f>+'Sys INPUT'!P121-P283-P334</f>
        <v>0</v>
      </c>
      <c r="Q157" s="1">
        <f>+'Sys INPUT'!Q121-Q283-Q334</f>
        <v>38716</v>
      </c>
      <c r="R157" s="1">
        <f>+'Sys INPUT'!R121-R283-R334</f>
        <v>9535</v>
      </c>
      <c r="S157" s="42">
        <f>+'Sys INPUT'!S121-S283-S334+0</f>
        <v>6179</v>
      </c>
      <c r="T157" s="1">
        <f>+'Sys INPUT'!T121-T283-T334</f>
        <v>53</v>
      </c>
      <c r="U157" s="1">
        <f>+'Sys INPUT'!U121-U283-U334</f>
        <v>31675</v>
      </c>
      <c r="V157" s="1">
        <f>+'Sys INPUT'!V121-V283-V334</f>
        <v>4460</v>
      </c>
      <c r="W157" s="1">
        <f>+'Sys INPUT'!W121-W283-W334</f>
        <v>5558</v>
      </c>
      <c r="X157" s="42">
        <f>+'Sys INPUT'!X121-X283-X334+0</f>
        <v>112560</v>
      </c>
      <c r="Y157" s="1">
        <f>+'Sys INPUT'!Y121-Y283-Y334+0</f>
        <v>0</v>
      </c>
      <c r="Z157" s="1">
        <f>+'Sys INPUT'!Z121-Z283-Z334</f>
        <v>0</v>
      </c>
      <c r="AA157" s="1">
        <f>+'Sys INPUT'!AA121-AA283-AA334</f>
        <v>0</v>
      </c>
      <c r="AB157" s="1">
        <f>+'Sys INPUT'!AB121-AB283-AB334</f>
        <v>30909</v>
      </c>
      <c r="AC157" s="1">
        <f>+'Sys INPUT'!AC121-AC283-AC334</f>
        <v>0</v>
      </c>
      <c r="AD157" s="1">
        <f>+'Sys INPUT'!AD121-AD283-AD334</f>
        <v>0</v>
      </c>
      <c r="AE157" s="1">
        <f>+'Sys INPUT'!AE121-AE283-AE334</f>
        <v>0</v>
      </c>
      <c r="AF157" s="1">
        <f>+'Sys INPUT'!AF121-AF283-AF334</f>
        <v>0</v>
      </c>
      <c r="AG157" s="1">
        <f>+'Sys INPUT'!AG121-AG283-AG334</f>
        <v>0</v>
      </c>
      <c r="AH157" s="1">
        <f>+'Sys INPUT'!AH121-AH283-AH334</f>
        <v>0</v>
      </c>
      <c r="AI157" s="1">
        <f>+'Sys INPUT'!AI121-AI283-AI334</f>
        <v>0</v>
      </c>
      <c r="AJ157" s="1">
        <f>+'Sys INPUT'!AJ121-AJ283-AJ334</f>
        <v>0</v>
      </c>
      <c r="AK157" s="1">
        <f>+'Sys INPUT'!AK121-AK283-AK334</f>
        <v>0</v>
      </c>
      <c r="AL157" s="1">
        <f>+'Sys INPUT'!AL121-AL283-AL334</f>
        <v>0</v>
      </c>
      <c r="AM157" s="1">
        <f>+'Sys INPUT'!AM121-AM283-AM334</f>
        <v>0</v>
      </c>
      <c r="AN157" s="1">
        <f>+'Sys INPUT'!AN121-AN283-AN334</f>
        <v>0</v>
      </c>
      <c r="AO157" s="1">
        <f>+'Sys INPUT'!AO121-AO283-AO334</f>
        <v>0</v>
      </c>
      <c r="AP157" s="1">
        <f>+'Sys INPUT'!AP121-AP283-AP334</f>
        <v>0</v>
      </c>
      <c r="AQ157" s="1">
        <f>+'Sys INPUT'!AQ121-AQ283-AQ334</f>
        <v>0</v>
      </c>
      <c r="AR157" s="1">
        <f>+'Sys INPUT'!AR121-AR283-AR334</f>
        <v>0</v>
      </c>
      <c r="AS157" s="1">
        <f>+'Sys INPUT'!AS121-AS283-AS334</f>
        <v>0</v>
      </c>
      <c r="AT157" s="1">
        <f>+'Sys INPUT'!AT121-AT283-AT334</f>
        <v>0</v>
      </c>
      <c r="AU157" s="1">
        <f>+'Sys INPUT'!AU121-AU283-AU334</f>
        <v>0</v>
      </c>
      <c r="AV157" s="1">
        <f>+'Sys INPUT'!AV121-AV283-AV334</f>
        <v>0</v>
      </c>
      <c r="AW157" s="1"/>
      <c r="AX157" s="1">
        <f>+'Sys INPUT'!AX121-AX283-AX334</f>
        <v>0</v>
      </c>
      <c r="AY157" s="1">
        <f>+'Sys INPUT'!AY121-AY283-AY334</f>
        <v>0</v>
      </c>
      <c r="AZ157" s="1">
        <f>+'Sys INPUT'!AZ121-AZ283-AZ334</f>
        <v>0</v>
      </c>
      <c r="BA157" s="1">
        <f>+'Sys INPUT'!BA121-BA283-BA334</f>
        <v>0</v>
      </c>
      <c r="BB157" s="1">
        <f>+'Sys INPUT'!BB121-BB283-BB334-BB159</f>
        <v>0</v>
      </c>
      <c r="BC157" s="1">
        <f>+'Sys INPUT'!BC121-BC283-BC334</f>
        <v>25363</v>
      </c>
      <c r="BD157" s="1"/>
      <c r="BE157" s="1"/>
      <c r="BF157" s="1">
        <f>SUM(E157:BE157)</f>
        <v>361973</v>
      </c>
      <c r="BG157" s="1">
        <f t="shared" ref="BG157:BG168" si="238">+BF157-X157-P157-BB157-BC157</f>
        <v>224050</v>
      </c>
      <c r="BH157" s="1">
        <f>+'Sys INPUT'!BH121-BH283-BH334</f>
        <v>0</v>
      </c>
      <c r="BI157" s="1">
        <f>+'Sys INPUT'!BI121-BI283-BI334</f>
        <v>22255</v>
      </c>
      <c r="BJ157" s="1">
        <f>+'Sys INPUT'!BJ121-BJ283-BJ334</f>
        <v>0</v>
      </c>
      <c r="BK157" s="1">
        <f>+'Sys INPUT'!BK121-BK283-BK334</f>
        <v>0</v>
      </c>
      <c r="BL157" s="1">
        <f>+'Sys INPUT'!BL121-BL283-BL334</f>
        <v>2228</v>
      </c>
      <c r="BM157" s="1">
        <f>+'Sys INPUT'!BM121-BM283-BM334</f>
        <v>15159</v>
      </c>
      <c r="BN157" s="1">
        <f>+'Sys INPUT'!BN121-BN283-BN334</f>
        <v>500937</v>
      </c>
      <c r="BO157" s="1"/>
      <c r="BP157" s="1">
        <f>SUM(BH157:BN157)</f>
        <v>540579</v>
      </c>
      <c r="BQ157" s="97">
        <f>+BP157-BN157</f>
        <v>39642</v>
      </c>
      <c r="BR157" s="1">
        <f>+'Sys INPUT'!BR121-BR283-BR334</f>
        <v>0</v>
      </c>
      <c r="BS157" s="1">
        <f>+'Sys INPUT'!BS121-BS283-BS334</f>
        <v>0</v>
      </c>
      <c r="BT157" s="1">
        <f>+'Sys INPUT'!BT121-BT283-BT334</f>
        <v>0</v>
      </c>
      <c r="BU157" s="1">
        <f>+'Sys INPUT'!BU121-BU283-BU334</f>
        <v>0</v>
      </c>
      <c r="BV157" s="1">
        <f>+'Sys INPUT'!BV121-BV283-BV334</f>
        <v>0</v>
      </c>
      <c r="BW157" s="1">
        <f>+'Sys INPUT'!BW121-BW283-BW334</f>
        <v>0</v>
      </c>
      <c r="BX157" s="3"/>
      <c r="BY157" s="1">
        <f>SUM(BR157:BX157)</f>
        <v>0</v>
      </c>
      <c r="BZ157" s="1">
        <f t="shared" si="237"/>
        <v>0</v>
      </c>
      <c r="CA157" s="1">
        <f t="shared" si="221"/>
        <v>263692</v>
      </c>
      <c r="CB157" s="1"/>
      <c r="CC157" s="1">
        <f>+'Sys INPUT'!CC121-CC288-CC334</f>
        <v>0</v>
      </c>
      <c r="CD157" s="1">
        <f>+'Sys INPUT'!CD121-CD288-CD334</f>
        <v>0</v>
      </c>
      <c r="CE157" s="1">
        <f>+'Sys INPUT'!CE121-CE288-CE334</f>
        <v>0</v>
      </c>
      <c r="CF157" s="1">
        <f>+'Sys INPUT'!CF121-CF288-CF334</f>
        <v>0</v>
      </c>
      <c r="CG157" s="1">
        <f>+'Sys INPUT'!CG121-CG288-CG334</f>
        <v>0</v>
      </c>
      <c r="CH157" s="1">
        <f>+'Sys INPUT'!CH121-CH288-CH334</f>
        <v>0</v>
      </c>
      <c r="CI157" s="1"/>
      <c r="CJ157" s="1">
        <f>SUM(CB157:CI157)</f>
        <v>0</v>
      </c>
      <c r="CK157" s="1"/>
      <c r="CL157" s="1"/>
      <c r="CM157" s="1"/>
      <c r="CN157" s="1"/>
      <c r="CO157" s="1"/>
      <c r="CP157" s="1"/>
      <c r="CQ157" s="1"/>
      <c r="CR157" s="1"/>
      <c r="CS157" s="1"/>
      <c r="CT157" s="5"/>
      <c r="CU157" s="1">
        <f>SUM(CL157:CT157)-CT157</f>
        <v>0</v>
      </c>
      <c r="CW157" s="1">
        <f>+'Sys INPUT'!CW121-CW288-CW334</f>
        <v>0</v>
      </c>
      <c r="CX157" s="1">
        <f>+'Sys INPUT'!CX121-CX288-CX334</f>
        <v>0</v>
      </c>
      <c r="CY157" s="1">
        <f>+'Sys INPUT'!CY121-CY288-CY334</f>
        <v>0</v>
      </c>
      <c r="CZ157" s="1">
        <f>+'Sys INPUT'!CZ121-CZ288-CZ334</f>
        <v>0</v>
      </c>
      <c r="DA157" s="1">
        <f>+'Sys INPUT'!DA121-DA288-DA334</f>
        <v>0</v>
      </c>
      <c r="DB157" s="1">
        <f>+'Sys INPUT'!DB121-DB288-DB334</f>
        <v>0</v>
      </c>
      <c r="DC157" s="1">
        <f>+'Sys INPUT'!DC121-DC288-DC334</f>
        <v>0</v>
      </c>
      <c r="DD157" s="1">
        <f>+'Sys INPUT'!DD121-DD288-DD334</f>
        <v>0</v>
      </c>
      <c r="DE157" s="1">
        <f>+'Sys INPUT'!DE121-DE288-DE334</f>
        <v>0</v>
      </c>
      <c r="DF157" s="1">
        <f>+'Sys INPUT'!DF121-DF288-DF334</f>
        <v>72836</v>
      </c>
      <c r="DG157" s="1">
        <f>+'Sys INPUT'!DG121-DG288-DG334</f>
        <v>0</v>
      </c>
      <c r="DH157" s="1">
        <f>+'Sys INPUT'!DH121-DH288-DH334</f>
        <v>0</v>
      </c>
      <c r="DI157" s="1">
        <f>+'Sys INPUT'!DI121-DI288-DI334</f>
        <v>0</v>
      </c>
      <c r="DJ157" s="1">
        <f>+'Sys INPUT'!DJ121-DJ288-DJ334</f>
        <v>0</v>
      </c>
      <c r="DK157" s="1">
        <f>+'Sys INPUT'!DK121-DK288-DK334</f>
        <v>0</v>
      </c>
      <c r="DL157" s="1">
        <f>+'Sys INPUT'!DL121-DL288-DL334</f>
        <v>0</v>
      </c>
      <c r="DM157" s="1">
        <f>+'Sys INPUT'!DM121-DM288-DM334</f>
        <v>0</v>
      </c>
      <c r="DN157" s="1">
        <f>+'Sys INPUT'!DN121-DN288-DN334</f>
        <v>0</v>
      </c>
      <c r="DO157" s="1">
        <f>+'Sys INPUT'!DO121-DO288-DO334</f>
        <v>0</v>
      </c>
      <c r="DP157" s="1">
        <f>+'Sys INPUT'!DP121-DP288-DP334</f>
        <v>0</v>
      </c>
      <c r="DQ157" s="1">
        <f>+'Sys INPUT'!DQ121-DQ288-DQ334</f>
        <v>0</v>
      </c>
      <c r="DR157" s="1">
        <f>+'Sys INPUT'!DR121-DR288-DR334</f>
        <v>0</v>
      </c>
      <c r="DS157" s="1">
        <f>+'Sys INPUT'!DS121-DS288-DS334</f>
        <v>0</v>
      </c>
      <c r="DT157" s="1">
        <f>+'Sys INPUT'!DT121-DT288-DT334</f>
        <v>0</v>
      </c>
      <c r="DW157" s="1">
        <f t="shared" ref="DW157:DW158" si="239">+CW157+CY157+DB157+DC157+DD157+DE157+DJ157+DL157+DN157+DQ157+DR157+DS157+DT157</f>
        <v>0</v>
      </c>
      <c r="DX157" s="1"/>
      <c r="DY157" s="1"/>
      <c r="DZ157" s="1"/>
      <c r="EC157" s="1"/>
      <c r="ED157" s="1"/>
      <c r="EE157" s="1"/>
      <c r="EF157" s="1"/>
      <c r="EG157" s="1"/>
      <c r="EL157" s="1">
        <f>+'Sys INPUT'!HT121+'Sys INPUT'!HU121-EL283</f>
        <v>0</v>
      </c>
      <c r="EM157" s="1"/>
      <c r="EN157">
        <f>+D157+BF157+BP157+BY157+CJ157+CU157+DW157+ED157</f>
        <v>1040630</v>
      </c>
      <c r="EQ157" s="1">
        <f>+'Sys INPUT'!AF121+'Sys INPUT'!ER121-EQ283-EQ334</f>
        <v>-2100</v>
      </c>
    </row>
    <row r="158" spans="1:147" ht="15.75">
      <c r="A158" s="1"/>
      <c r="B158" s="89" t="s">
        <v>3259</v>
      </c>
      <c r="C158" s="1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f t="shared" ref="BF158:BF170" si="240">SUM(E158:BE158)</f>
        <v>0</v>
      </c>
      <c r="BG158" s="1">
        <f t="shared" si="238"/>
        <v>0</v>
      </c>
      <c r="BH158" s="1"/>
      <c r="BI158" s="1"/>
      <c r="BJ158" s="1"/>
      <c r="BK158" s="1"/>
      <c r="BL158" s="1"/>
      <c r="BM158" s="1"/>
      <c r="BN158" s="1"/>
      <c r="BO158" s="1"/>
      <c r="BP158" s="1"/>
      <c r="BQ158" s="97"/>
      <c r="BR158" s="1"/>
      <c r="BS158" s="1"/>
      <c r="BT158" s="1"/>
      <c r="BU158" s="1"/>
      <c r="BV158" s="1"/>
      <c r="BW158" s="1"/>
      <c r="BX158" s="3"/>
      <c r="BY158" s="1"/>
      <c r="BZ158" s="1">
        <f t="shared" si="237"/>
        <v>0</v>
      </c>
      <c r="CA158" s="1"/>
      <c r="CB158" s="1"/>
      <c r="CC158" s="1"/>
      <c r="CD158" s="1"/>
      <c r="CE158" s="1"/>
      <c r="CF158" s="1"/>
      <c r="CG158" s="1"/>
      <c r="CH158" s="1"/>
      <c r="CI158" s="1"/>
      <c r="CJ158" s="1"/>
      <c r="CK158" s="1"/>
      <c r="CL158" s="1"/>
      <c r="CM158" s="1004">
        <f>+'Sys INPUT'!CM140-255347</f>
        <v>405009</v>
      </c>
      <c r="CN158" s="1"/>
      <c r="CO158" s="1"/>
      <c r="CP158" s="1"/>
      <c r="CQ158" s="1"/>
      <c r="CR158" s="1"/>
      <c r="CS158" s="1"/>
      <c r="CT158" s="5"/>
      <c r="CU158" s="1">
        <f t="shared" ref="CU158:CU160" si="241">SUM(CL158:CT158)-CT158</f>
        <v>405009</v>
      </c>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W158" s="1">
        <f t="shared" si="239"/>
        <v>0</v>
      </c>
      <c r="DX158" s="1"/>
      <c r="DY158" s="1"/>
      <c r="DZ158" s="1"/>
      <c r="EB158" s="1">
        <f>-EB288-EB291</f>
        <v>0</v>
      </c>
      <c r="EC158" s="1"/>
      <c r="ED158" s="1"/>
      <c r="EE158" s="1"/>
      <c r="EF158" s="1"/>
      <c r="EG158" s="1"/>
      <c r="EL158" s="1"/>
      <c r="EM158" s="1"/>
      <c r="EQ158" s="1"/>
    </row>
    <row r="159" spans="1:147" ht="15.75">
      <c r="A159" s="1"/>
      <c r="B159" s="89" t="s">
        <v>3298</v>
      </c>
      <c r="C159" s="1292">
        <v>866404</v>
      </c>
      <c r="D159" s="1292">
        <v>866404</v>
      </c>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138">
        <f>+'Sys INPUT'!BB121</f>
        <v>9514638</v>
      </c>
      <c r="BC159" s="1"/>
      <c r="BD159" s="1"/>
      <c r="BE159" s="1"/>
      <c r="BF159" s="1">
        <f t="shared" si="240"/>
        <v>9514638</v>
      </c>
      <c r="BG159" s="1">
        <f t="shared" si="238"/>
        <v>0</v>
      </c>
      <c r="BH159" s="1"/>
      <c r="BI159" s="1"/>
      <c r="BJ159" s="1"/>
      <c r="BK159" s="1"/>
      <c r="BL159" s="1"/>
      <c r="BM159" s="1"/>
      <c r="BN159" s="1"/>
      <c r="BO159" s="1"/>
      <c r="BP159" s="1"/>
      <c r="BQ159" s="97"/>
      <c r="BR159" s="1"/>
      <c r="BS159" s="1"/>
      <c r="BT159" s="1"/>
      <c r="BU159" s="1"/>
      <c r="BV159" s="1"/>
      <c r="BW159" s="1"/>
      <c r="BX159" s="3"/>
      <c r="BY159" s="1"/>
      <c r="BZ159" s="1">
        <f t="shared" si="237"/>
        <v>0</v>
      </c>
      <c r="CA159" s="1"/>
      <c r="CB159" s="1"/>
      <c r="CC159" s="1"/>
      <c r="CD159" s="1"/>
      <c r="CE159" s="1"/>
      <c r="CF159" s="1"/>
      <c r="CG159" s="1"/>
      <c r="CH159" s="1"/>
      <c r="CI159" s="1"/>
      <c r="CJ159" s="1"/>
      <c r="CK159" s="1"/>
      <c r="CL159" s="1"/>
      <c r="CM159" s="1"/>
      <c r="CN159" s="1"/>
      <c r="CO159" s="1"/>
      <c r="CP159" s="1"/>
      <c r="CQ159" s="1"/>
      <c r="CR159" s="1"/>
      <c r="CS159" s="1"/>
      <c r="CT159" s="5"/>
      <c r="CU159" s="1">
        <f t="shared" si="241"/>
        <v>0</v>
      </c>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W159" s="1"/>
      <c r="DX159" s="1"/>
      <c r="DY159" s="1"/>
      <c r="DZ159" s="1"/>
      <c r="EB159" s="1"/>
      <c r="EC159" s="1"/>
      <c r="ED159" s="1"/>
      <c r="EE159" s="1"/>
      <c r="EF159" s="1"/>
      <c r="EG159" s="1"/>
      <c r="EL159" s="1"/>
      <c r="EM159" s="1"/>
      <c r="EQ159" s="1"/>
    </row>
    <row r="160" spans="1:147" ht="15.75">
      <c r="A160" s="1"/>
      <c r="B160" s="89" t="s">
        <v>2645</v>
      </c>
      <c r="C160" s="1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f t="shared" si="240"/>
        <v>0</v>
      </c>
      <c r="BG160" s="1">
        <f t="shared" si="238"/>
        <v>0</v>
      </c>
      <c r="BH160" s="1"/>
      <c r="BI160" s="1"/>
      <c r="BJ160" s="1"/>
      <c r="BK160" s="1"/>
      <c r="BL160" s="1"/>
      <c r="BM160" s="1"/>
      <c r="BN160" s="1"/>
      <c r="BO160" s="1"/>
      <c r="BP160" s="1">
        <f t="shared" ref="BP160:BP166" si="242">SUM(BH160:BN160)</f>
        <v>0</v>
      </c>
      <c r="BQ160" s="1"/>
      <c r="BR160" s="1"/>
      <c r="BS160" s="1"/>
      <c r="BT160" s="1"/>
      <c r="BU160" s="1"/>
      <c r="BV160" s="1"/>
      <c r="BW160" s="1"/>
      <c r="BX160" s="3"/>
      <c r="BY160" s="1">
        <f t="shared" ref="BY160:BY166" si="243">SUM(BR160:BX160)</f>
        <v>0</v>
      </c>
      <c r="BZ160" s="1">
        <f t="shared" si="237"/>
        <v>0</v>
      </c>
      <c r="CA160" s="1">
        <f t="shared" ref="CA160:CA166" si="244">+BG160+BQ160+BZ160+EF160</f>
        <v>0</v>
      </c>
      <c r="CB160" s="1"/>
      <c r="CC160" s="213">
        <f>+CC323</f>
        <v>0</v>
      </c>
      <c r="CD160" s="1"/>
      <c r="CE160" s="1"/>
      <c r="CF160" s="1"/>
      <c r="CG160" s="213">
        <f>+CG323</f>
        <v>0</v>
      </c>
      <c r="CH160" s="1"/>
      <c r="CI160" s="1"/>
      <c r="CJ160" s="1">
        <f t="shared" ref="CJ160:CJ168" si="245">SUM(CB160:CI160)</f>
        <v>0</v>
      </c>
      <c r="CK160" s="1"/>
      <c r="CL160" s="1"/>
      <c r="CM160" s="1"/>
      <c r="CN160" s="1"/>
      <c r="CO160" s="1"/>
      <c r="CP160" s="1"/>
      <c r="CQ160" s="1"/>
      <c r="CR160" s="1"/>
      <c r="CS160" s="1"/>
      <c r="CT160" s="5"/>
      <c r="CU160" s="1">
        <f t="shared" si="241"/>
        <v>0</v>
      </c>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W160" s="1">
        <f>+CW160+CY160+DB160+DC160+DD160+DE160+DJ160+DL160+DN160+DQ160+DR160+DS160+DT160</f>
        <v>0</v>
      </c>
      <c r="DX160" s="1"/>
      <c r="DY160" s="1"/>
      <c r="DZ160" s="1"/>
      <c r="EB160" s="1"/>
      <c r="EC160" s="1"/>
      <c r="ED160" s="1"/>
      <c r="EE160" s="1"/>
      <c r="EF160" s="1"/>
      <c r="EG160" s="1"/>
      <c r="EL160" s="1"/>
      <c r="EM160" s="1"/>
      <c r="EN160">
        <f>+D160+BF160+BP160+BY160+CJ160+CU160+DW160+ED160</f>
        <v>0</v>
      </c>
      <c r="EQ160" s="1"/>
    </row>
    <row r="161" spans="1:147" ht="15.75">
      <c r="A161" s="1"/>
      <c r="B161" s="147"/>
      <c r="C161" s="1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f t="shared" si="240"/>
        <v>0</v>
      </c>
      <c r="BG161" s="1">
        <f t="shared" si="238"/>
        <v>0</v>
      </c>
      <c r="BH161" s="1"/>
      <c r="BI161" s="1"/>
      <c r="BJ161" s="1"/>
      <c r="BK161" s="1"/>
      <c r="BL161" s="1"/>
      <c r="BM161" s="1"/>
      <c r="BN161" s="1"/>
      <c r="BO161" s="1"/>
      <c r="BP161" s="1"/>
      <c r="BQ161" s="1"/>
      <c r="BR161" s="1"/>
      <c r="BS161" s="1"/>
      <c r="BT161" s="1"/>
      <c r="BU161" s="1"/>
      <c r="BV161" s="1"/>
      <c r="BW161" s="1"/>
      <c r="BX161" s="3"/>
      <c r="BY161" s="1"/>
      <c r="BZ161" s="1">
        <f t="shared" si="237"/>
        <v>0</v>
      </c>
      <c r="CA161" s="1">
        <f t="shared" si="244"/>
        <v>0</v>
      </c>
      <c r="CB161" s="1"/>
      <c r="CC161" s="1"/>
      <c r="CD161" s="1"/>
      <c r="CE161" s="1"/>
      <c r="CF161" s="1"/>
      <c r="CG161" s="1"/>
      <c r="CH161" s="1"/>
      <c r="CI161" s="1"/>
      <c r="CJ161" s="1">
        <f t="shared" si="245"/>
        <v>0</v>
      </c>
      <c r="CK161" s="1"/>
      <c r="CL161" s="1"/>
      <c r="CM161" s="1"/>
      <c r="CN161" s="1"/>
      <c r="CO161" s="1"/>
      <c r="CP161" s="1"/>
      <c r="CQ161" s="1"/>
      <c r="CR161" s="1"/>
      <c r="CS161" s="1"/>
      <c r="CT161" s="5"/>
      <c r="CU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W161" s="1"/>
      <c r="DX161" s="1"/>
      <c r="DY161" s="1"/>
      <c r="DZ161" s="1"/>
      <c r="EB161" s="1"/>
      <c r="EC161" s="1"/>
      <c r="ED161" s="1"/>
      <c r="EE161" s="1"/>
      <c r="EF161" s="1"/>
      <c r="EG161" s="1"/>
      <c r="EL161" s="1"/>
      <c r="EM161" s="1"/>
      <c r="EQ161" s="1"/>
    </row>
    <row r="162" spans="1:147" ht="15.75">
      <c r="A162" s="1"/>
      <c r="B162" s="89" t="s">
        <v>2658</v>
      </c>
      <c r="C162" s="1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f t="shared" si="240"/>
        <v>0</v>
      </c>
      <c r="BG162" s="1">
        <f t="shared" si="238"/>
        <v>0</v>
      </c>
      <c r="BH162" s="1"/>
      <c r="BI162" s="1"/>
      <c r="BJ162" s="1"/>
      <c r="BK162" s="1"/>
      <c r="BL162" s="1"/>
      <c r="BM162" s="1"/>
      <c r="BN162" s="1"/>
      <c r="BO162" s="1"/>
      <c r="BP162" s="1"/>
      <c r="BQ162" s="1"/>
      <c r="BR162" s="1"/>
      <c r="BS162" s="1"/>
      <c r="BT162" s="1"/>
      <c r="BU162" s="1"/>
      <c r="BV162" s="1"/>
      <c r="BW162" s="1"/>
      <c r="BX162" s="3"/>
      <c r="BY162" s="1"/>
      <c r="BZ162" s="1"/>
      <c r="CA162" s="1"/>
      <c r="CB162" s="1"/>
      <c r="CC162" s="213"/>
      <c r="CD162" s="1"/>
      <c r="CE162" s="1"/>
      <c r="CF162" s="1"/>
      <c r="CG162" s="213"/>
      <c r="CH162" s="1"/>
      <c r="CI162" s="1"/>
      <c r="CJ162" s="1">
        <f>SUM(CB162:CI162)</f>
        <v>0</v>
      </c>
      <c r="CK162" s="1"/>
      <c r="CL162" s="1"/>
      <c r="CM162" s="1"/>
      <c r="CN162" s="1"/>
      <c r="CO162" s="1"/>
      <c r="CP162" s="1"/>
      <c r="CQ162" s="1"/>
      <c r="CR162" s="1"/>
      <c r="CS162" s="1"/>
      <c r="CT162" s="5"/>
      <c r="CU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W162" s="1"/>
      <c r="DX162" s="1"/>
      <c r="DY162" s="1"/>
      <c r="DZ162" s="1"/>
      <c r="EB162" s="1"/>
      <c r="EC162" s="1"/>
      <c r="ED162" s="1"/>
      <c r="EE162" s="1"/>
      <c r="EF162" s="1"/>
      <c r="EG162" s="1"/>
      <c r="EL162" s="1"/>
      <c r="EM162" s="1"/>
      <c r="EQ162" s="1"/>
    </row>
    <row r="163" spans="1:147" ht="15.75">
      <c r="A163" s="1"/>
      <c r="B163" s="89" t="s">
        <v>2659</v>
      </c>
      <c r="C163" s="1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f t="shared" si="240"/>
        <v>0</v>
      </c>
      <c r="BG163" s="1">
        <f t="shared" si="238"/>
        <v>0</v>
      </c>
      <c r="BH163" s="1"/>
      <c r="BI163" s="1"/>
      <c r="BJ163" s="1"/>
      <c r="BK163" s="1"/>
      <c r="BL163" s="1"/>
      <c r="BM163" s="1"/>
      <c r="BN163" s="1"/>
      <c r="BO163" s="1"/>
      <c r="BP163" s="1"/>
      <c r="BQ163" s="1"/>
      <c r="BR163" s="1"/>
      <c r="BS163" s="1"/>
      <c r="BT163" s="1"/>
      <c r="BU163" s="1"/>
      <c r="BV163" s="1"/>
      <c r="BW163" s="1"/>
      <c r="BX163" s="3"/>
      <c r="BY163" s="1"/>
      <c r="BZ163" s="1"/>
      <c r="CA163" s="1"/>
      <c r="CB163" s="1"/>
      <c r="CC163" s="213">
        <f>+CC327</f>
        <v>0</v>
      </c>
      <c r="CD163" s="1"/>
      <c r="CE163" s="1"/>
      <c r="CF163" s="1"/>
      <c r="CG163" s="213">
        <f>+CG327</f>
        <v>0</v>
      </c>
      <c r="CH163" s="1"/>
      <c r="CI163" s="1"/>
      <c r="CJ163" s="1">
        <f>SUM(CB163:CI163)</f>
        <v>0</v>
      </c>
      <c r="CK163" s="1"/>
      <c r="CL163" s="1"/>
      <c r="CM163" s="1"/>
      <c r="CN163" s="1"/>
      <c r="CO163" s="1"/>
      <c r="CP163" s="1"/>
      <c r="CQ163" s="1"/>
      <c r="CR163" s="1"/>
      <c r="CS163" s="1"/>
      <c r="CT163" s="5"/>
      <c r="CU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W163" s="1">
        <f>+CW163+CY163+DB163+DC163+DD163+DE163+DJ163+DL163+DN163+DQ163+DR163+DS163+DT163</f>
        <v>0</v>
      </c>
      <c r="DX163" s="1"/>
      <c r="DY163" s="1"/>
      <c r="DZ163" s="1"/>
      <c r="EB163" s="1"/>
      <c r="EC163" s="1"/>
      <c r="ED163" s="1"/>
      <c r="EE163" s="1"/>
      <c r="EF163" s="1"/>
      <c r="EG163" s="1"/>
      <c r="EL163" s="1"/>
      <c r="EM163" s="1"/>
      <c r="EQ163" s="1"/>
    </row>
    <row r="164" spans="1:147" ht="15.75">
      <c r="A164" s="1"/>
      <c r="B164" s="147"/>
      <c r="C164" s="1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f t="shared" si="240"/>
        <v>0</v>
      </c>
      <c r="BG164" s="1">
        <f t="shared" si="238"/>
        <v>0</v>
      </c>
      <c r="BH164" s="1"/>
      <c r="BI164" s="1"/>
      <c r="BJ164" s="1"/>
      <c r="BK164" s="1"/>
      <c r="BL164" s="1"/>
      <c r="BM164" s="1"/>
      <c r="BN164" s="1"/>
      <c r="BO164" s="1"/>
      <c r="BP164" s="1">
        <f t="shared" si="242"/>
        <v>0</v>
      </c>
      <c r="BQ164" s="1"/>
      <c r="BR164" s="1"/>
      <c r="BS164" s="1"/>
      <c r="BT164" s="1"/>
      <c r="BU164" s="1"/>
      <c r="BV164" s="1"/>
      <c r="BW164" s="1"/>
      <c r="BX164" s="3"/>
      <c r="BY164" s="1">
        <f t="shared" si="243"/>
        <v>0</v>
      </c>
      <c r="BZ164" s="1">
        <f t="shared" si="237"/>
        <v>0</v>
      </c>
      <c r="CA164" s="1">
        <f t="shared" si="244"/>
        <v>0</v>
      </c>
      <c r="CB164" s="1"/>
      <c r="CC164" s="213"/>
      <c r="CD164" s="1"/>
      <c r="CE164" s="1"/>
      <c r="CF164" s="1"/>
      <c r="CG164" s="213"/>
      <c r="CH164" s="1"/>
      <c r="CI164" s="1"/>
      <c r="CJ164" s="1">
        <f t="shared" si="245"/>
        <v>0</v>
      </c>
      <c r="CK164" s="1"/>
      <c r="CL164" s="1"/>
      <c r="CM164" s="1"/>
      <c r="CN164" s="1"/>
      <c r="CO164" s="1"/>
      <c r="CP164" s="1"/>
      <c r="CQ164" s="1"/>
      <c r="CR164" s="1"/>
      <c r="CS164" s="1"/>
      <c r="CT164" s="5"/>
      <c r="CU164" s="1">
        <f t="shared" ref="CU164:CU166" si="246">SUM(CL164:CT164)-CT164</f>
        <v>0</v>
      </c>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W164" s="1"/>
      <c r="DX164" s="1"/>
      <c r="DY164" s="1"/>
      <c r="DZ164" s="1"/>
      <c r="EB164" s="1"/>
      <c r="EC164" s="1"/>
      <c r="ED164" s="1"/>
      <c r="EE164" s="1"/>
      <c r="EF164" s="1"/>
      <c r="EG164" s="1"/>
      <c r="EL164" s="1"/>
      <c r="EM164" s="1"/>
      <c r="EN164">
        <f>+D164+BF164+BP164+BY164+CJ164+CU164+DW164+ED164</f>
        <v>0</v>
      </c>
      <c r="EQ164" s="1"/>
    </row>
    <row r="165" spans="1:147" ht="15.75">
      <c r="A165" s="1"/>
      <c r="B165" s="147"/>
      <c r="C165" s="1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f t="shared" si="240"/>
        <v>0</v>
      </c>
      <c r="BG165" s="1">
        <f t="shared" si="238"/>
        <v>0</v>
      </c>
      <c r="BH165" s="1"/>
      <c r="BI165" s="1"/>
      <c r="BJ165" s="1"/>
      <c r="BK165" s="1"/>
      <c r="BL165" s="1"/>
      <c r="BM165" s="1"/>
      <c r="BN165" s="1"/>
      <c r="BO165" s="1"/>
      <c r="BP165" s="1">
        <f t="shared" si="242"/>
        <v>0</v>
      </c>
      <c r="BQ165" s="1"/>
      <c r="BR165" s="1"/>
      <c r="BS165" s="1"/>
      <c r="BT165" s="1"/>
      <c r="BU165" s="1"/>
      <c r="BV165" s="1"/>
      <c r="BW165" s="1"/>
      <c r="BX165" s="3"/>
      <c r="BY165" s="1">
        <f t="shared" si="243"/>
        <v>0</v>
      </c>
      <c r="BZ165" s="1">
        <f t="shared" si="237"/>
        <v>0</v>
      </c>
      <c r="CA165" s="1">
        <f t="shared" si="244"/>
        <v>0</v>
      </c>
      <c r="CB165" s="1"/>
      <c r="CC165" s="213"/>
      <c r="CD165" s="1"/>
      <c r="CE165" s="1"/>
      <c r="CF165" s="1"/>
      <c r="CG165" s="213"/>
      <c r="CH165" s="1"/>
      <c r="CI165" s="1"/>
      <c r="CJ165" s="1">
        <f t="shared" si="245"/>
        <v>0</v>
      </c>
      <c r="CK165" s="1"/>
      <c r="CL165" s="1"/>
      <c r="CM165" s="1"/>
      <c r="CN165" s="1"/>
      <c r="CO165" s="1"/>
      <c r="CP165" s="1"/>
      <c r="CQ165" s="1"/>
      <c r="CR165" s="1"/>
      <c r="CS165" s="1"/>
      <c r="CT165" s="5"/>
      <c r="CU165" s="1">
        <f t="shared" si="246"/>
        <v>0</v>
      </c>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W165" s="1"/>
      <c r="DX165" s="1"/>
      <c r="DY165" s="1"/>
      <c r="DZ165" s="1"/>
      <c r="EB165" s="1"/>
      <c r="EC165" s="1"/>
      <c r="ED165" s="1"/>
      <c r="EE165" s="1"/>
      <c r="EF165" s="1"/>
      <c r="EG165" s="1"/>
      <c r="EL165" s="1"/>
      <c r="EM165" s="1"/>
      <c r="EN165">
        <f>+D165+BF165+BP165+BY165+CJ165+CU165+DW165+ED165</f>
        <v>0</v>
      </c>
      <c r="EQ165" s="1"/>
    </row>
    <row r="166" spans="1:147" ht="15.75">
      <c r="A166" s="1"/>
      <c r="B166" s="147"/>
      <c r="C166" s="1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f t="shared" si="240"/>
        <v>0</v>
      </c>
      <c r="BG166" s="1">
        <f t="shared" si="238"/>
        <v>0</v>
      </c>
      <c r="BH166" s="1"/>
      <c r="BI166" s="1"/>
      <c r="BJ166" s="1"/>
      <c r="BK166" s="1"/>
      <c r="BL166" s="1"/>
      <c r="BM166" s="1"/>
      <c r="BN166" s="1"/>
      <c r="BO166" s="1"/>
      <c r="BP166" s="1">
        <f t="shared" si="242"/>
        <v>0</v>
      </c>
      <c r="BQ166" s="1"/>
      <c r="BR166" s="1"/>
      <c r="BS166" s="1"/>
      <c r="BT166" s="1"/>
      <c r="BU166" s="1"/>
      <c r="BV166" s="1"/>
      <c r="BW166" s="1"/>
      <c r="BX166" s="3"/>
      <c r="BY166" s="1">
        <f t="shared" si="243"/>
        <v>0</v>
      </c>
      <c r="BZ166" s="1">
        <f t="shared" si="237"/>
        <v>0</v>
      </c>
      <c r="CA166" s="1">
        <f t="shared" si="244"/>
        <v>0</v>
      </c>
      <c r="CB166" s="1"/>
      <c r="CC166" s="213"/>
      <c r="CD166" s="1"/>
      <c r="CE166" s="1"/>
      <c r="CF166" s="1"/>
      <c r="CG166" s="213"/>
      <c r="CH166" s="1"/>
      <c r="CI166" s="1"/>
      <c r="CJ166" s="1">
        <f t="shared" si="245"/>
        <v>0</v>
      </c>
      <c r="CK166" s="1"/>
      <c r="CL166" s="1"/>
      <c r="CM166" s="1"/>
      <c r="CN166" s="1"/>
      <c r="CO166" s="1"/>
      <c r="CP166" s="1"/>
      <c r="CQ166" s="1"/>
      <c r="CR166" s="1"/>
      <c r="CS166" s="1"/>
      <c r="CT166" s="5"/>
      <c r="CU166" s="1">
        <f t="shared" si="246"/>
        <v>0</v>
      </c>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W166" s="1"/>
      <c r="DX166" s="1"/>
      <c r="DY166" s="1"/>
      <c r="DZ166" s="1"/>
      <c r="EB166" s="1"/>
      <c r="EC166" s="1"/>
      <c r="ED166" s="1"/>
      <c r="EE166" s="1"/>
      <c r="EF166" s="1"/>
      <c r="EG166" s="1"/>
      <c r="EL166" s="1"/>
      <c r="EM166" s="1"/>
      <c r="EN166">
        <f>+D166+BF166+BP166+BY166+CJ166+CU166+DW166+ED166</f>
        <v>0</v>
      </c>
      <c r="EQ166" s="1"/>
    </row>
    <row r="167" spans="1:147" ht="15.75">
      <c r="A167" s="1"/>
      <c r="B167" s="2"/>
      <c r="C167" s="1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f t="shared" si="240"/>
        <v>0</v>
      </c>
      <c r="BG167" s="1">
        <f t="shared" si="238"/>
        <v>0</v>
      </c>
      <c r="BH167" s="1"/>
      <c r="BI167" s="1"/>
      <c r="BJ167" s="1"/>
      <c r="BK167" s="1"/>
      <c r="BL167" s="1"/>
      <c r="BM167" s="1"/>
      <c r="BN167" s="1"/>
      <c r="BO167" s="1"/>
      <c r="BP167" s="1"/>
      <c r="BQ167" s="1"/>
      <c r="BR167" s="1"/>
      <c r="BS167" s="1"/>
      <c r="BT167" s="1"/>
      <c r="BU167" s="1"/>
      <c r="BV167" s="1"/>
      <c r="BW167" s="1"/>
      <c r="BX167" s="3"/>
      <c r="BY167" s="1"/>
      <c r="BZ167" s="1"/>
      <c r="CA167" s="1"/>
      <c r="CB167" s="1"/>
      <c r="CC167" s="213"/>
      <c r="CD167" s="1"/>
      <c r="CE167" s="1"/>
      <c r="CF167" s="1"/>
      <c r="CG167" s="213"/>
      <c r="CH167" s="1"/>
      <c r="CI167" s="1"/>
      <c r="CJ167" s="1">
        <f t="shared" si="245"/>
        <v>0</v>
      </c>
      <c r="CK167" s="1"/>
      <c r="CL167" s="1"/>
      <c r="CM167" s="1"/>
      <c r="CN167" s="1"/>
      <c r="CO167" s="1"/>
      <c r="CP167" s="1"/>
      <c r="CQ167" s="1"/>
      <c r="CR167" s="1"/>
      <c r="CS167" s="1"/>
      <c r="CT167" s="5"/>
      <c r="CU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W167" s="1"/>
      <c r="DX167" s="1"/>
      <c r="DY167" s="1"/>
      <c r="DZ167" s="1"/>
      <c r="EB167" s="1"/>
      <c r="EC167" s="1"/>
      <c r="ED167" s="1"/>
      <c r="EE167" s="1"/>
      <c r="EF167" s="1"/>
      <c r="EG167" s="1"/>
      <c r="EL167" s="1"/>
      <c r="EM167" s="1"/>
      <c r="EQ167" s="1"/>
    </row>
    <row r="168" spans="1:147" ht="15.75">
      <c r="A168" s="1"/>
      <c r="B168" s="147"/>
      <c r="C168" s="1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f t="shared" si="240"/>
        <v>0</v>
      </c>
      <c r="BG168" s="1">
        <f t="shared" si="238"/>
        <v>0</v>
      </c>
      <c r="BH168" s="1"/>
      <c r="BI168" s="1"/>
      <c r="BJ168" s="1"/>
      <c r="BK168" s="1"/>
      <c r="BL168" s="1"/>
      <c r="BM168" s="1"/>
      <c r="BN168" s="1"/>
      <c r="BO168" s="1"/>
      <c r="BP168" s="1"/>
      <c r="BQ168" s="1"/>
      <c r="BR168" s="1"/>
      <c r="BS168" s="1"/>
      <c r="BT168" s="1"/>
      <c r="BU168" s="1"/>
      <c r="BV168" s="1"/>
      <c r="BW168" s="1"/>
      <c r="BX168" s="3"/>
      <c r="BY168" s="1"/>
      <c r="BZ168" s="1"/>
      <c r="CA168" s="1"/>
      <c r="CB168" s="1"/>
      <c r="CC168" s="213"/>
      <c r="CD168" s="1"/>
      <c r="CE168" s="1"/>
      <c r="CF168" s="1"/>
      <c r="CG168" s="213"/>
      <c r="CH168" s="1"/>
      <c r="CI168" s="1"/>
      <c r="CJ168" s="1">
        <f t="shared" si="245"/>
        <v>0</v>
      </c>
      <c r="CK168" s="1"/>
      <c r="CL168" s="1"/>
      <c r="CM168" s="1"/>
      <c r="CN168" s="1"/>
      <c r="CO168" s="1"/>
      <c r="CP168" s="1"/>
      <c r="CQ168" s="1"/>
      <c r="CR168" s="1"/>
      <c r="CS168" s="1"/>
      <c r="CT168" s="5"/>
      <c r="CU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W168" s="1"/>
      <c r="DX168" s="1"/>
      <c r="DY168" s="1"/>
      <c r="DZ168" s="1"/>
      <c r="EB168" s="1"/>
      <c r="EC168" s="1"/>
      <c r="ED168" s="1"/>
      <c r="EE168" s="1"/>
      <c r="EF168" s="1"/>
      <c r="EG168" s="1"/>
      <c r="EL168" s="1"/>
      <c r="EM168" s="1"/>
      <c r="EQ168" s="1"/>
    </row>
    <row r="169" spans="1:147" ht="15">
      <c r="A169" s="1"/>
      <c r="BF169" s="1">
        <f t="shared" si="240"/>
        <v>0</v>
      </c>
      <c r="EQ169" s="1"/>
    </row>
    <row r="170" spans="1:147" ht="15">
      <c r="A170" s="1"/>
      <c r="BF170" s="1">
        <f t="shared" si="240"/>
        <v>0</v>
      </c>
      <c r="EQ170" s="1"/>
    </row>
    <row r="171" spans="1:147" ht="15.75">
      <c r="A171" s="1"/>
      <c r="B171" s="147"/>
      <c r="C171" s="1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3"/>
      <c r="BY171" s="1"/>
      <c r="BZ171" s="1"/>
      <c r="CA171" s="1"/>
      <c r="CB171" s="1"/>
      <c r="CC171" s="213"/>
      <c r="CD171" s="1"/>
      <c r="CE171" s="1"/>
      <c r="CF171" s="1"/>
      <c r="CG171" s="213"/>
      <c r="CH171" s="1"/>
      <c r="CI171" s="1"/>
      <c r="CJ171" s="1"/>
      <c r="CK171" s="1"/>
      <c r="CL171" s="1"/>
      <c r="CM171" s="1"/>
      <c r="CN171" s="1"/>
      <c r="CO171" s="1"/>
      <c r="CP171" s="1"/>
      <c r="CQ171" s="1"/>
      <c r="CR171" s="1"/>
      <c r="CS171" s="1"/>
      <c r="CT171" s="5"/>
      <c r="CU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W171" s="1"/>
      <c r="DX171" s="1"/>
      <c r="DY171" s="1"/>
      <c r="DZ171" s="1"/>
      <c r="EB171" s="1"/>
      <c r="EC171" s="1"/>
      <c r="ED171" s="1"/>
      <c r="EE171" s="1"/>
      <c r="EF171" s="1"/>
      <c r="EG171" s="1"/>
      <c r="EL171" s="1"/>
      <c r="EM171" s="1"/>
      <c r="EQ171" s="1"/>
    </row>
    <row r="172" spans="1:147" ht="15.75">
      <c r="A172" s="1"/>
      <c r="B172" s="89" t="s">
        <v>2281</v>
      </c>
      <c r="D172" s="1">
        <f>SUM(D157:D166)</f>
        <v>1004482</v>
      </c>
      <c r="E172" s="1">
        <f>SUM(E157:E170)</f>
        <v>0</v>
      </c>
      <c r="F172" s="1">
        <f>SUM(F157:F170)</f>
        <v>277</v>
      </c>
      <c r="G172" s="1">
        <f t="shared" ref="G172:BC172" si="247">SUM(G157:G170)</f>
        <v>7744</v>
      </c>
      <c r="H172" s="1">
        <f t="shared" si="247"/>
        <v>30251</v>
      </c>
      <c r="I172" s="1">
        <f t="shared" si="247"/>
        <v>2881</v>
      </c>
      <c r="J172" s="1">
        <f t="shared" si="247"/>
        <v>33412</v>
      </c>
      <c r="K172" s="1">
        <f t="shared" si="247"/>
        <v>67</v>
      </c>
      <c r="L172" s="1">
        <f t="shared" si="247"/>
        <v>3879</v>
      </c>
      <c r="M172" s="1">
        <f t="shared" si="247"/>
        <v>14155</v>
      </c>
      <c r="N172" s="1">
        <f t="shared" si="247"/>
        <v>3894</v>
      </c>
      <c r="O172" s="1">
        <f t="shared" si="247"/>
        <v>405</v>
      </c>
      <c r="P172" s="1">
        <f t="shared" si="247"/>
        <v>0</v>
      </c>
      <c r="Q172" s="1">
        <f t="shared" si="247"/>
        <v>38716</v>
      </c>
      <c r="R172" s="1">
        <f t="shared" si="247"/>
        <v>9535</v>
      </c>
      <c r="S172" s="1">
        <f t="shared" si="247"/>
        <v>6179</v>
      </c>
      <c r="T172" s="1">
        <f t="shared" si="247"/>
        <v>53</v>
      </c>
      <c r="U172" s="1">
        <f t="shared" si="247"/>
        <v>31675</v>
      </c>
      <c r="V172" s="1">
        <f t="shared" si="247"/>
        <v>4460</v>
      </c>
      <c r="W172" s="1">
        <f t="shared" si="247"/>
        <v>5558</v>
      </c>
      <c r="X172" s="1">
        <f t="shared" si="247"/>
        <v>112560</v>
      </c>
      <c r="Y172" s="1">
        <f t="shared" si="247"/>
        <v>0</v>
      </c>
      <c r="Z172" s="1">
        <f t="shared" si="247"/>
        <v>0</v>
      </c>
      <c r="AA172" s="1">
        <f t="shared" si="247"/>
        <v>0</v>
      </c>
      <c r="AB172" s="1">
        <f t="shared" si="247"/>
        <v>30909</v>
      </c>
      <c r="AC172" s="1">
        <f t="shared" si="247"/>
        <v>0</v>
      </c>
      <c r="AD172" s="1">
        <f t="shared" si="247"/>
        <v>0</v>
      </c>
      <c r="AE172" s="1">
        <f t="shared" si="247"/>
        <v>0</v>
      </c>
      <c r="AF172" s="1">
        <f t="shared" si="247"/>
        <v>0</v>
      </c>
      <c r="AG172" s="1">
        <f t="shared" si="247"/>
        <v>0</v>
      </c>
      <c r="AH172" s="1">
        <f t="shared" si="247"/>
        <v>0</v>
      </c>
      <c r="AI172" s="1">
        <f t="shared" si="247"/>
        <v>0</v>
      </c>
      <c r="AJ172" s="1">
        <f t="shared" si="247"/>
        <v>0</v>
      </c>
      <c r="AK172" s="1">
        <f t="shared" si="247"/>
        <v>0</v>
      </c>
      <c r="AL172" s="1">
        <f t="shared" si="247"/>
        <v>0</v>
      </c>
      <c r="AM172" s="1">
        <f t="shared" si="247"/>
        <v>0</v>
      </c>
      <c r="AN172" s="1">
        <f t="shared" si="247"/>
        <v>0</v>
      </c>
      <c r="AO172" s="1">
        <f t="shared" si="247"/>
        <v>0</v>
      </c>
      <c r="AP172" s="1">
        <f t="shared" si="247"/>
        <v>0</v>
      </c>
      <c r="AQ172" s="1">
        <f t="shared" si="247"/>
        <v>0</v>
      </c>
      <c r="AR172" s="1">
        <f t="shared" si="247"/>
        <v>0</v>
      </c>
      <c r="AS172" s="1">
        <f t="shared" si="247"/>
        <v>0</v>
      </c>
      <c r="AT172" s="1">
        <f t="shared" si="247"/>
        <v>0</v>
      </c>
      <c r="AU172" s="1">
        <f t="shared" si="247"/>
        <v>0</v>
      </c>
      <c r="AV172" s="1">
        <f t="shared" si="247"/>
        <v>0</v>
      </c>
      <c r="AW172" s="1"/>
      <c r="AX172" s="1">
        <f t="shared" si="247"/>
        <v>0</v>
      </c>
      <c r="AY172" s="1">
        <f t="shared" si="247"/>
        <v>0</v>
      </c>
      <c r="AZ172" s="1">
        <f t="shared" si="247"/>
        <v>0</v>
      </c>
      <c r="BA172" s="1">
        <f t="shared" si="247"/>
        <v>0</v>
      </c>
      <c r="BB172" s="1">
        <f t="shared" si="247"/>
        <v>9514638</v>
      </c>
      <c r="BC172" s="1">
        <f t="shared" si="247"/>
        <v>25363</v>
      </c>
      <c r="BD172" s="1">
        <f t="shared" ref="BD172" si="248">SUM(BD157:BD166)</f>
        <v>0</v>
      </c>
      <c r="BE172" s="1"/>
      <c r="BF172" s="266">
        <f>SUM(BF157:BF170)</f>
        <v>9876611</v>
      </c>
      <c r="BG172" s="266">
        <f t="shared" ref="BG172:BN172" si="249">SUM(BG157:BG166)</f>
        <v>224050</v>
      </c>
      <c r="BH172" s="1">
        <f t="shared" si="249"/>
        <v>0</v>
      </c>
      <c r="BI172" s="1">
        <f t="shared" si="249"/>
        <v>22255</v>
      </c>
      <c r="BJ172" s="1">
        <f t="shared" si="249"/>
        <v>0</v>
      </c>
      <c r="BK172" s="1">
        <f t="shared" si="249"/>
        <v>0</v>
      </c>
      <c r="BL172" s="1">
        <f t="shared" si="249"/>
        <v>2228</v>
      </c>
      <c r="BM172" s="1">
        <f>SUM(BM157:BM166)</f>
        <v>15159</v>
      </c>
      <c r="BN172" s="1">
        <f t="shared" si="249"/>
        <v>500937</v>
      </c>
      <c r="BO172" s="1"/>
      <c r="BP172" s="266">
        <f>SUM(BP157:BP166)</f>
        <v>540579</v>
      </c>
      <c r="BQ172" s="1"/>
      <c r="BR172" s="1">
        <f t="shared" ref="BR172:BW172" si="250">SUM(BR157:BR166)</f>
        <v>0</v>
      </c>
      <c r="BS172" s="1">
        <f t="shared" si="250"/>
        <v>0</v>
      </c>
      <c r="BT172" s="1">
        <f t="shared" si="250"/>
        <v>0</v>
      </c>
      <c r="BU172" s="1">
        <f t="shared" si="250"/>
        <v>0</v>
      </c>
      <c r="BV172" s="1">
        <f t="shared" si="250"/>
        <v>0</v>
      </c>
      <c r="BW172" s="1">
        <f t="shared" si="250"/>
        <v>0</v>
      </c>
      <c r="BX172" s="3"/>
      <c r="BY172" s="266">
        <f>SUM(BY157:BY166)</f>
        <v>0</v>
      </c>
      <c r="BZ172" s="1">
        <f>+BY172-BR172</f>
        <v>0</v>
      </c>
      <c r="CA172" s="1">
        <f t="shared" ref="CA172:CA207" si="251">+BG172+BQ172+BZ172+EF172</f>
        <v>224050</v>
      </c>
      <c r="CB172" s="1"/>
      <c r="CC172" s="1">
        <f t="shared" ref="CC172:CH172" si="252">SUM(CC157:CC171)</f>
        <v>0</v>
      </c>
      <c r="CD172" s="1">
        <f t="shared" si="252"/>
        <v>0</v>
      </c>
      <c r="CE172" s="1">
        <f t="shared" si="252"/>
        <v>0</v>
      </c>
      <c r="CF172" s="1">
        <f t="shared" si="252"/>
        <v>0</v>
      </c>
      <c r="CG172" s="1">
        <f t="shared" si="252"/>
        <v>0</v>
      </c>
      <c r="CH172" s="1">
        <f t="shared" si="252"/>
        <v>0</v>
      </c>
      <c r="CI172" s="1"/>
      <c r="CJ172" s="266">
        <f>SUM(CJ157:CJ171)</f>
        <v>0</v>
      </c>
      <c r="CK172" s="1"/>
      <c r="CL172" s="1">
        <f t="shared" ref="CL172:CR172" si="253">SUM(CL157:CL166)</f>
        <v>0</v>
      </c>
      <c r="CM172" s="1">
        <f t="shared" si="253"/>
        <v>405009</v>
      </c>
      <c r="CN172" s="1">
        <f t="shared" si="253"/>
        <v>0</v>
      </c>
      <c r="CO172" s="1">
        <f t="shared" si="253"/>
        <v>0</v>
      </c>
      <c r="CP172" s="1">
        <f t="shared" si="253"/>
        <v>0</v>
      </c>
      <c r="CQ172" s="1">
        <f t="shared" si="253"/>
        <v>0</v>
      </c>
      <c r="CR172" s="1">
        <f t="shared" si="253"/>
        <v>0</v>
      </c>
      <c r="CS172" s="1"/>
      <c r="CT172" s="5"/>
      <c r="CU172" s="266">
        <f>SUM(CU157:CU166)</f>
        <v>405009</v>
      </c>
      <c r="CW172" s="1">
        <f>SUM(CW156:CW171)</f>
        <v>0</v>
      </c>
      <c r="CX172" s="1">
        <f t="shared" ref="CX172:DU172" si="254">SUM(CX156:CX171)</f>
        <v>0</v>
      </c>
      <c r="CY172" s="1">
        <f t="shared" si="254"/>
        <v>0</v>
      </c>
      <c r="CZ172" s="1">
        <f t="shared" si="254"/>
        <v>0</v>
      </c>
      <c r="DA172" s="1">
        <f t="shared" si="254"/>
        <v>0</v>
      </c>
      <c r="DB172" s="1">
        <f t="shared" si="254"/>
        <v>0</v>
      </c>
      <c r="DC172" s="1">
        <f t="shared" si="254"/>
        <v>0</v>
      </c>
      <c r="DD172" s="1">
        <f t="shared" si="254"/>
        <v>0</v>
      </c>
      <c r="DE172" s="1">
        <f t="shared" si="254"/>
        <v>0</v>
      </c>
      <c r="DF172" s="1">
        <f t="shared" si="254"/>
        <v>72836</v>
      </c>
      <c r="DG172" s="1">
        <f t="shared" si="254"/>
        <v>0</v>
      </c>
      <c r="DH172" s="1">
        <f t="shared" si="254"/>
        <v>0</v>
      </c>
      <c r="DI172" s="1">
        <f t="shared" si="254"/>
        <v>0</v>
      </c>
      <c r="DJ172" s="1">
        <f t="shared" si="254"/>
        <v>0</v>
      </c>
      <c r="DK172" s="1">
        <f t="shared" si="254"/>
        <v>0</v>
      </c>
      <c r="DL172" s="1">
        <f t="shared" si="254"/>
        <v>0</v>
      </c>
      <c r="DM172" s="1">
        <f t="shared" si="254"/>
        <v>0</v>
      </c>
      <c r="DN172" s="1">
        <f t="shared" si="254"/>
        <v>0</v>
      </c>
      <c r="DO172" s="1">
        <f t="shared" si="254"/>
        <v>0</v>
      </c>
      <c r="DP172" s="1">
        <f t="shared" si="254"/>
        <v>0</v>
      </c>
      <c r="DQ172" s="1">
        <f t="shared" si="254"/>
        <v>0</v>
      </c>
      <c r="DR172" s="1">
        <f t="shared" si="254"/>
        <v>0</v>
      </c>
      <c r="DS172" s="1">
        <f t="shared" si="254"/>
        <v>0</v>
      </c>
      <c r="DT172" s="1">
        <f t="shared" si="254"/>
        <v>0</v>
      </c>
      <c r="DU172" s="1">
        <f t="shared" si="254"/>
        <v>0</v>
      </c>
      <c r="DW172" s="1"/>
      <c r="DX172" s="1"/>
      <c r="DY172" s="1"/>
      <c r="DZ172" s="1"/>
      <c r="EB172" s="1"/>
      <c r="EC172" s="1"/>
      <c r="ED172" s="1"/>
      <c r="EE172" s="1"/>
      <c r="EF172" s="1"/>
      <c r="EG172" s="1"/>
      <c r="EL172" s="1"/>
      <c r="EM172" s="1"/>
      <c r="EN172">
        <f>+D172+BF172+BP172+BY172+CJ172+CU172+DW172+ED172</f>
        <v>11826681</v>
      </c>
      <c r="EQ172" s="1"/>
    </row>
    <row r="173" spans="1:147" ht="15.75">
      <c r="A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f>SUM(E172:BE172)</f>
        <v>9876611</v>
      </c>
      <c r="BG173" s="1"/>
      <c r="BH173" s="1"/>
      <c r="BI173" s="1"/>
      <c r="BJ173" s="1"/>
      <c r="BK173" s="1"/>
      <c r="BL173" s="1"/>
      <c r="BM173" s="1"/>
      <c r="BN173" s="1"/>
      <c r="BO173" s="1"/>
      <c r="BP173" s="1">
        <f>SUM(BH172:BN172)</f>
        <v>540579</v>
      </c>
      <c r="BQ173" s="1"/>
      <c r="BR173" s="1"/>
      <c r="BS173" s="1"/>
      <c r="BT173" s="1"/>
      <c r="BU173" s="1"/>
      <c r="BV173" s="1"/>
      <c r="BW173" s="1"/>
      <c r="BX173" s="3"/>
      <c r="BY173" s="1">
        <f>SUM(BR172:BW172)</f>
        <v>0</v>
      </c>
      <c r="BZ173" s="1">
        <f t="shared" ref="BZ173:BZ206" si="255">+BY173-BR173</f>
        <v>0</v>
      </c>
      <c r="CA173" s="1">
        <f t="shared" si="251"/>
        <v>0</v>
      </c>
      <c r="CB173" s="1"/>
      <c r="CC173" s="1"/>
      <c r="CD173" s="1"/>
      <c r="CE173" s="1"/>
      <c r="CF173" s="1"/>
      <c r="CG173" s="1"/>
      <c r="CH173" s="1"/>
      <c r="CI173" s="1"/>
      <c r="CJ173" s="1">
        <f>SUM(CB172:CI172)</f>
        <v>0</v>
      </c>
      <c r="CK173" s="1"/>
      <c r="CL173" s="1"/>
      <c r="CM173" s="1"/>
      <c r="CN173" s="1"/>
      <c r="CO173" s="1"/>
      <c r="CP173" s="1"/>
      <c r="CQ173" s="1"/>
      <c r="CR173" s="1"/>
      <c r="CS173" s="1"/>
      <c r="CT173" s="5"/>
      <c r="CU173" s="1">
        <f>SUM(CL172:CT172)</f>
        <v>405009</v>
      </c>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W173" s="1"/>
      <c r="DX173" s="1"/>
      <c r="DY173" s="1"/>
      <c r="DZ173" s="1"/>
      <c r="EB173" s="1"/>
      <c r="EC173" s="1"/>
      <c r="ED173" s="1"/>
      <c r="EE173" s="1"/>
      <c r="EF173" s="1"/>
      <c r="EG173" s="1"/>
      <c r="EL173" s="1"/>
      <c r="EM173" s="1"/>
      <c r="EN173">
        <f>+D173+BF173+BP173+BY173+CJ173+CU173+DW173+ED173</f>
        <v>10822199</v>
      </c>
      <c r="EQ173" s="1"/>
    </row>
    <row r="174" spans="1:147" ht="15.75">
      <c r="A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3"/>
      <c r="BY174" s="1"/>
      <c r="BZ174" s="1">
        <f t="shared" si="255"/>
        <v>0</v>
      </c>
      <c r="CA174" s="1">
        <f t="shared" si="251"/>
        <v>0</v>
      </c>
      <c r="CB174" s="1"/>
      <c r="CC174" s="1"/>
      <c r="CD174" s="1"/>
      <c r="CE174" s="1"/>
      <c r="CF174" s="1"/>
      <c r="CG174" s="1"/>
      <c r="CH174" s="1"/>
      <c r="CI174" s="1"/>
      <c r="CJ174" s="1"/>
      <c r="CK174" s="1"/>
      <c r="CL174" s="1"/>
      <c r="CM174" s="1"/>
      <c r="CN174" s="1"/>
      <c r="CO174" s="1"/>
      <c r="CP174" s="1"/>
      <c r="CQ174" s="1"/>
      <c r="CR174" s="1"/>
      <c r="CS174" s="1"/>
      <c r="CT174" s="5"/>
      <c r="CU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W174" s="1"/>
      <c r="DX174" s="1"/>
      <c r="DY174" s="1"/>
      <c r="DZ174" s="1"/>
      <c r="EB174" s="1"/>
      <c r="EC174" s="1"/>
      <c r="ED174" s="1"/>
      <c r="EE174" s="1"/>
      <c r="EF174" s="1"/>
      <c r="EG174" s="1"/>
      <c r="EL174" s="1"/>
      <c r="EM174" s="1"/>
      <c r="EQ174" s="1"/>
    </row>
    <row r="175" spans="1:147" ht="15.75">
      <c r="A175" s="1"/>
      <c r="B175" s="2" t="s">
        <v>1673</v>
      </c>
      <c r="C175" s="3"/>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3"/>
      <c r="BY175" s="1"/>
      <c r="BZ175" s="1">
        <f t="shared" si="255"/>
        <v>0</v>
      </c>
      <c r="CA175" s="1">
        <f t="shared" si="251"/>
        <v>0</v>
      </c>
      <c r="CB175" s="1"/>
      <c r="CC175" s="1"/>
      <c r="CD175" s="1"/>
      <c r="CE175" s="1"/>
      <c r="CF175" s="1"/>
      <c r="CG175" s="1"/>
      <c r="CH175" s="1"/>
      <c r="CI175" s="1"/>
      <c r="CJ175" s="1"/>
      <c r="CK175" s="1"/>
      <c r="CL175" s="1"/>
      <c r="CM175" s="1"/>
      <c r="CN175" s="1"/>
      <c r="CO175" s="1"/>
      <c r="CP175" s="1"/>
      <c r="CQ175" s="1"/>
      <c r="CR175" s="1"/>
      <c r="CS175" s="1"/>
      <c r="CT175" s="5"/>
      <c r="CU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W175" s="1"/>
      <c r="DX175" s="1"/>
      <c r="DY175" s="1"/>
      <c r="DZ175" s="1"/>
      <c r="EB175" s="1"/>
      <c r="EC175" s="1"/>
      <c r="ED175" s="1"/>
      <c r="EE175" s="1"/>
      <c r="EF175" s="1"/>
      <c r="EG175" s="1"/>
      <c r="EL175" s="1"/>
      <c r="EM175" s="1"/>
      <c r="EN175">
        <f t="shared" ref="EN175:EN187" si="256">SUM(DE175:EM175)</f>
        <v>0</v>
      </c>
      <c r="EQ175" s="1"/>
    </row>
    <row r="176" spans="1:147" ht="15.75">
      <c r="A176" s="1"/>
      <c r="B176" s="89" t="s">
        <v>1674</v>
      </c>
      <c r="C176" s="1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f t="shared" ref="BF176:BF185" si="257">SUM(E176:BE176)</f>
        <v>0</v>
      </c>
      <c r="BG176" s="1">
        <f t="shared" ref="BG176:BG205" si="258">+BF176-X176-P176-BB176-BC176</f>
        <v>0</v>
      </c>
      <c r="BH176" s="1"/>
      <c r="BI176" s="1"/>
      <c r="BJ176" s="1"/>
      <c r="BK176" s="1"/>
      <c r="BL176" s="1"/>
      <c r="BM176" s="1"/>
      <c r="BN176" s="1"/>
      <c r="BO176" s="1"/>
      <c r="BP176" s="1"/>
      <c r="BQ176" s="1"/>
      <c r="BR176" s="1"/>
      <c r="BS176" s="1"/>
      <c r="BT176" s="1"/>
      <c r="BU176" s="1"/>
      <c r="BV176" s="1"/>
      <c r="BW176" s="1"/>
      <c r="BX176" s="3"/>
      <c r="BY176" s="1"/>
      <c r="BZ176" s="1">
        <f t="shared" si="255"/>
        <v>0</v>
      </c>
      <c r="CA176" s="1">
        <f t="shared" si="251"/>
        <v>0</v>
      </c>
      <c r="CB176" s="1"/>
      <c r="CC176" s="1">
        <f t="shared" ref="CC176:CH176" si="259">+CC107+CC108-CC138-CC146-CC133-CC145</f>
        <v>7108832</v>
      </c>
      <c r="CD176" s="1">
        <f t="shared" si="259"/>
        <v>8608</v>
      </c>
      <c r="CE176" s="1">
        <f t="shared" si="259"/>
        <v>136658</v>
      </c>
      <c r="CF176" s="1">
        <f t="shared" si="259"/>
        <v>54611</v>
      </c>
      <c r="CG176" s="1">
        <f t="shared" si="259"/>
        <v>5127950</v>
      </c>
      <c r="CH176" s="1">
        <f t="shared" si="259"/>
        <v>3587</v>
      </c>
      <c r="CI176" s="1"/>
      <c r="CJ176" s="1">
        <f>SUM(CB176:CI176)</f>
        <v>12440246</v>
      </c>
      <c r="CK176" s="1"/>
      <c r="CL176" s="1">
        <f>+CL107+CL108+CL109-CL138-CL146-CL133-CL145-CL153</f>
        <v>29874</v>
      </c>
      <c r="CM176" s="1">
        <f t="shared" ref="CM176:CR176" si="260">+CM107+CM108+CM109-CM138-CM146-CM133-CM145-CM153</f>
        <v>595396</v>
      </c>
      <c r="CN176" s="1">
        <f t="shared" si="260"/>
        <v>5807</v>
      </c>
      <c r="CO176" s="1">
        <f t="shared" si="260"/>
        <v>0</v>
      </c>
      <c r="CP176" s="1">
        <f t="shared" si="260"/>
        <v>452252</v>
      </c>
      <c r="CQ176" s="1">
        <f t="shared" si="260"/>
        <v>0</v>
      </c>
      <c r="CR176" s="1">
        <f t="shared" si="260"/>
        <v>0</v>
      </c>
      <c r="CS176" s="1"/>
      <c r="CT176" s="5"/>
      <c r="CU176" s="1">
        <f>SUM(CL176:CT176)</f>
        <v>1083329</v>
      </c>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W176" s="1"/>
      <c r="DX176" s="1"/>
      <c r="DY176" s="1"/>
      <c r="DZ176" s="1"/>
      <c r="EB176" s="1"/>
      <c r="EC176" s="1"/>
      <c r="ED176" s="1"/>
      <c r="EE176" s="1"/>
      <c r="EF176" s="1"/>
      <c r="EG176" s="1"/>
      <c r="EL176" s="1"/>
      <c r="EM176" s="1"/>
      <c r="EN176">
        <f t="shared" si="256"/>
        <v>0</v>
      </c>
      <c r="EQ176" s="1">
        <f>+EQ107</f>
        <v>0</v>
      </c>
    </row>
    <row r="177" spans="1:147" ht="15.75">
      <c r="A177" s="1"/>
      <c r="B177" s="1" t="s">
        <v>1041</v>
      </c>
      <c r="C177" s="1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f t="shared" si="257"/>
        <v>0</v>
      </c>
      <c r="BG177" s="1">
        <f t="shared" si="258"/>
        <v>0</v>
      </c>
      <c r="BH177" s="1"/>
      <c r="BI177" s="1"/>
      <c r="BJ177" s="1"/>
      <c r="BK177" s="1"/>
      <c r="BL177" s="1"/>
      <c r="BM177" s="1"/>
      <c r="BN177" s="1"/>
      <c r="BO177" s="1"/>
      <c r="BP177" s="1"/>
      <c r="BQ177" s="1"/>
      <c r="BR177" s="1"/>
      <c r="BS177" s="1"/>
      <c r="BT177" s="1"/>
      <c r="BU177" s="1"/>
      <c r="BV177" s="1"/>
      <c r="BW177" s="1"/>
      <c r="BX177" s="3"/>
      <c r="BY177" s="1"/>
      <c r="BZ177" s="1">
        <f t="shared" si="255"/>
        <v>0</v>
      </c>
      <c r="CA177" s="1">
        <f t="shared" si="251"/>
        <v>0</v>
      </c>
      <c r="CB177" s="1"/>
      <c r="CC177" s="1"/>
      <c r="CD177" s="1"/>
      <c r="CE177" s="1"/>
      <c r="CF177" s="1"/>
      <c r="CG177" s="1"/>
      <c r="CH177" s="1"/>
      <c r="CI177" s="1"/>
      <c r="CJ177" s="1">
        <f>SUM(CB177:CI177)</f>
        <v>0</v>
      </c>
      <c r="CK177" s="1"/>
      <c r="CL177" s="1"/>
      <c r="CM177" s="1"/>
      <c r="CN177" s="1"/>
      <c r="CO177" s="1"/>
      <c r="CP177" s="1"/>
      <c r="CQ177" s="1"/>
      <c r="CR177" s="1"/>
      <c r="CS177" s="1"/>
      <c r="CT177" s="5"/>
      <c r="CU177" s="1">
        <f>SUM(CL177:CT177)</f>
        <v>0</v>
      </c>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W177" s="1">
        <f t="shared" ref="DW177:DW205" si="261">+CW177+CY177+DB177+DC177+DD177+DE177+DJ177+DL177+DN177+DQ177+DR177+DS177+DT177</f>
        <v>0</v>
      </c>
      <c r="DX177" s="1"/>
      <c r="DY177" s="1"/>
      <c r="DZ177" s="1"/>
      <c r="EC177" s="1"/>
      <c r="ED177" s="1"/>
      <c r="EE177" s="1"/>
      <c r="EG177" s="1"/>
      <c r="EL177" s="1">
        <f>+EL107</f>
        <v>0</v>
      </c>
      <c r="EM177" s="1">
        <f>+'Sys INPUT'!HV146</f>
        <v>0</v>
      </c>
      <c r="EN177">
        <f t="shared" si="256"/>
        <v>0</v>
      </c>
      <c r="EQ177" s="1"/>
    </row>
    <row r="178" spans="1:147" ht="15.75">
      <c r="A178" s="1"/>
      <c r="B178" s="1" t="s">
        <v>1042</v>
      </c>
      <c r="C178" s="1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f t="shared" si="257"/>
        <v>0</v>
      </c>
      <c r="BG178" s="1">
        <f t="shared" si="258"/>
        <v>0</v>
      </c>
      <c r="BH178" s="1"/>
      <c r="BI178" s="1"/>
      <c r="BJ178" s="1"/>
      <c r="BK178" s="1"/>
      <c r="BL178" s="1"/>
      <c r="BM178" s="1"/>
      <c r="BN178" s="1"/>
      <c r="BO178" s="1"/>
      <c r="BP178" s="1"/>
      <c r="BQ178" s="1"/>
      <c r="BR178" s="1"/>
      <c r="BS178" s="1"/>
      <c r="BT178" s="1"/>
      <c r="BU178" s="1"/>
      <c r="BV178" s="1"/>
      <c r="BW178" s="1"/>
      <c r="BX178" s="3"/>
      <c r="BY178" s="1"/>
      <c r="BZ178" s="1">
        <f t="shared" si="255"/>
        <v>0</v>
      </c>
      <c r="CA178" s="1">
        <f t="shared" si="251"/>
        <v>0</v>
      </c>
      <c r="CB178" s="1"/>
      <c r="CC178" s="1"/>
      <c r="CD178" s="1"/>
      <c r="CE178" s="1"/>
      <c r="CF178" s="1"/>
      <c r="CG178" s="1"/>
      <c r="CH178" s="1"/>
      <c r="CI178" s="1"/>
      <c r="CJ178" s="1">
        <f>SUM(CB178:CI178)</f>
        <v>0</v>
      </c>
      <c r="CK178" s="1"/>
      <c r="CL178" s="1"/>
      <c r="CM178" s="1"/>
      <c r="CN178" s="1"/>
      <c r="CO178" s="1"/>
      <c r="CP178" s="1"/>
      <c r="CQ178" s="1"/>
      <c r="CR178" s="1"/>
      <c r="CS178" s="1"/>
      <c r="CT178" s="5"/>
      <c r="CU178" s="1">
        <f>SUM(CL178:CT178)</f>
        <v>0</v>
      </c>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W178" s="1">
        <f t="shared" si="261"/>
        <v>0</v>
      </c>
      <c r="DX178" s="1"/>
      <c r="DY178" s="1"/>
      <c r="DZ178" s="1"/>
      <c r="EB178" s="1"/>
      <c r="EC178" s="1"/>
      <c r="ED178" s="1"/>
      <c r="EE178" s="1"/>
      <c r="EF178" s="1"/>
      <c r="EG178" s="1"/>
      <c r="EL178" s="1"/>
      <c r="EM178" s="1"/>
      <c r="EN178">
        <f t="shared" si="256"/>
        <v>0</v>
      </c>
      <c r="EQ178" s="1"/>
    </row>
    <row r="179" spans="1:147" ht="15.75">
      <c r="A179" s="1"/>
      <c r="B179" s="1" t="s">
        <v>2</v>
      </c>
      <c r="C179" s="1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f t="shared" si="257"/>
        <v>0</v>
      </c>
      <c r="BG179" s="1">
        <f t="shared" si="258"/>
        <v>0</v>
      </c>
      <c r="BH179" s="1"/>
      <c r="BI179" s="1"/>
      <c r="BJ179" s="1"/>
      <c r="BK179" s="1"/>
      <c r="BL179" s="1"/>
      <c r="BM179" s="1"/>
      <c r="BN179" s="1"/>
      <c r="BO179" s="1"/>
      <c r="BP179" s="1"/>
      <c r="BQ179" s="1"/>
      <c r="BR179" s="1"/>
      <c r="BS179" s="1"/>
      <c r="BT179" s="1"/>
      <c r="BU179" s="1"/>
      <c r="BV179" s="1"/>
      <c r="BW179" s="1"/>
      <c r="BX179" s="3"/>
      <c r="BY179" s="1"/>
      <c r="BZ179" s="1">
        <f t="shared" si="255"/>
        <v>0</v>
      </c>
      <c r="CA179" s="1">
        <f t="shared" si="251"/>
        <v>0</v>
      </c>
      <c r="CB179" s="1"/>
      <c r="CC179" s="1"/>
      <c r="CD179" s="1"/>
      <c r="CE179" s="1"/>
      <c r="CF179" s="1"/>
      <c r="CG179" s="1"/>
      <c r="CH179" s="1"/>
      <c r="CI179" s="1"/>
      <c r="CJ179" s="1"/>
      <c r="CK179" s="1"/>
      <c r="CL179" s="1"/>
      <c r="CM179" s="1"/>
      <c r="CN179" s="1"/>
      <c r="CO179" s="1"/>
      <c r="CP179" s="1"/>
      <c r="CQ179" s="1"/>
      <c r="CR179" s="1"/>
      <c r="CS179" s="1"/>
      <c r="CT179" s="5"/>
      <c r="CU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W179" s="1">
        <f t="shared" si="261"/>
        <v>0</v>
      </c>
      <c r="DX179" s="1"/>
      <c r="DY179" s="1"/>
      <c r="DZ179" s="1"/>
      <c r="EB179" s="1"/>
      <c r="EC179" s="1"/>
      <c r="ED179" s="1"/>
      <c r="EE179" s="1"/>
      <c r="EF179" s="1"/>
      <c r="EG179" s="1"/>
      <c r="EL179" s="1"/>
      <c r="EM179" s="1"/>
      <c r="EN179">
        <f t="shared" si="256"/>
        <v>0</v>
      </c>
      <c r="EQ179" s="1"/>
    </row>
    <row r="180" spans="1:147" ht="15.75">
      <c r="A180" s="1"/>
      <c r="B180" s="1" t="s">
        <v>707</v>
      </c>
      <c r="C180" s="1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f t="shared" si="257"/>
        <v>0</v>
      </c>
      <c r="BG180" s="1">
        <f t="shared" si="258"/>
        <v>0</v>
      </c>
      <c r="BH180" s="1"/>
      <c r="BI180" s="1"/>
      <c r="BJ180" s="1"/>
      <c r="BK180" s="1"/>
      <c r="BL180" s="1"/>
      <c r="BM180" s="1"/>
      <c r="BN180" s="1"/>
      <c r="BO180" s="1"/>
      <c r="BP180" s="1"/>
      <c r="BQ180" s="1"/>
      <c r="BR180" s="1"/>
      <c r="BS180" s="1"/>
      <c r="BT180" s="1"/>
      <c r="BU180" s="1"/>
      <c r="BV180" s="1"/>
      <c r="BW180" s="1"/>
      <c r="BX180" s="3"/>
      <c r="BY180" s="1"/>
      <c r="BZ180" s="1">
        <f t="shared" si="255"/>
        <v>0</v>
      </c>
      <c r="CA180" s="1">
        <f t="shared" si="251"/>
        <v>0</v>
      </c>
      <c r="CB180" s="1"/>
      <c r="CC180" s="1"/>
      <c r="CD180" s="1"/>
      <c r="CE180" s="1"/>
      <c r="CF180" s="1"/>
      <c r="CG180" s="1"/>
      <c r="CH180" s="1"/>
      <c r="CI180" s="1"/>
      <c r="CJ180" s="1">
        <f t="shared" ref="CJ180:CJ185" si="262">SUM(CB180:CI180)</f>
        <v>0</v>
      </c>
      <c r="CK180" s="1"/>
      <c r="CL180" s="1"/>
      <c r="CM180" s="1"/>
      <c r="CN180" s="1"/>
      <c r="CO180" s="1"/>
      <c r="CP180" s="1"/>
      <c r="CQ180" s="1"/>
      <c r="CR180" s="1"/>
      <c r="CS180" s="1"/>
      <c r="CT180" s="5"/>
      <c r="CU180" s="1">
        <f t="shared" ref="CU180:CU185" si="263">SUM(CL180:CT180)</f>
        <v>0</v>
      </c>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W180" s="1">
        <f t="shared" si="261"/>
        <v>0</v>
      </c>
      <c r="DX180" s="1"/>
      <c r="DY180" s="1"/>
      <c r="DZ180" s="1"/>
      <c r="EB180" s="1"/>
      <c r="EC180" s="1"/>
      <c r="ED180" s="1"/>
      <c r="EE180" s="1"/>
      <c r="EF180" s="1"/>
      <c r="EG180" s="1"/>
      <c r="EL180" s="1"/>
      <c r="EM180" s="1"/>
      <c r="EN180">
        <f t="shared" si="256"/>
        <v>0</v>
      </c>
      <c r="EQ180" s="1"/>
    </row>
    <row r="181" spans="1:147" ht="15.75">
      <c r="A181" s="1"/>
      <c r="B181" s="1" t="s">
        <v>26</v>
      </c>
      <c r="C181" s="1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f t="shared" si="257"/>
        <v>0</v>
      </c>
      <c r="BG181" s="1">
        <f t="shared" si="258"/>
        <v>0</v>
      </c>
      <c r="BH181" s="1"/>
      <c r="BI181" s="1"/>
      <c r="BJ181" s="1"/>
      <c r="BK181" s="1"/>
      <c r="BL181" s="1"/>
      <c r="BM181" s="1"/>
      <c r="BN181" s="1"/>
      <c r="BO181" s="1"/>
      <c r="BP181" s="1"/>
      <c r="BQ181" s="1"/>
      <c r="BR181" s="1"/>
      <c r="BS181" s="1"/>
      <c r="BT181" s="1"/>
      <c r="BU181" s="1"/>
      <c r="BV181" s="1"/>
      <c r="BW181" s="1"/>
      <c r="BX181" s="3"/>
      <c r="BY181" s="1"/>
      <c r="BZ181" s="1">
        <f t="shared" si="255"/>
        <v>0</v>
      </c>
      <c r="CA181" s="1">
        <f t="shared" si="251"/>
        <v>0</v>
      </c>
      <c r="CB181" s="1"/>
      <c r="CC181" s="1"/>
      <c r="CD181" s="1"/>
      <c r="CE181" s="1"/>
      <c r="CF181" s="1"/>
      <c r="CG181" s="1">
        <v>0</v>
      </c>
      <c r="CH181" s="1"/>
      <c r="CI181" s="1"/>
      <c r="CJ181" s="1">
        <f t="shared" si="262"/>
        <v>0</v>
      </c>
      <c r="CK181" s="1"/>
      <c r="CL181" s="1"/>
      <c r="CM181" s="1"/>
      <c r="CN181" s="1"/>
      <c r="CO181" s="1"/>
      <c r="CP181" s="1"/>
      <c r="CQ181" s="1"/>
      <c r="CR181" s="1"/>
      <c r="CS181" s="1"/>
      <c r="CT181" s="5"/>
      <c r="CU181" s="1">
        <f t="shared" si="263"/>
        <v>0</v>
      </c>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W181" s="1">
        <f t="shared" si="261"/>
        <v>0</v>
      </c>
      <c r="DX181" s="1"/>
      <c r="DY181" s="1"/>
      <c r="DZ181" s="1"/>
      <c r="EB181" s="1"/>
      <c r="EC181" s="1"/>
      <c r="ED181" s="1"/>
      <c r="EE181" s="1"/>
      <c r="EF181" s="1"/>
      <c r="EG181" s="1"/>
      <c r="EL181" s="1"/>
      <c r="EM181" s="1"/>
      <c r="EN181">
        <f t="shared" si="256"/>
        <v>0</v>
      </c>
      <c r="EQ181" s="1"/>
    </row>
    <row r="182" spans="1:147" ht="15.75">
      <c r="A182" s="1"/>
      <c r="B182" s="1" t="s">
        <v>1368</v>
      </c>
      <c r="C182" s="1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f t="shared" si="257"/>
        <v>0</v>
      </c>
      <c r="BG182" s="1">
        <f t="shared" si="258"/>
        <v>0</v>
      </c>
      <c r="BH182" s="1"/>
      <c r="BI182" s="1"/>
      <c r="BJ182" s="1"/>
      <c r="BK182" s="1"/>
      <c r="BL182" s="1"/>
      <c r="BM182" s="1"/>
      <c r="BN182" s="1"/>
      <c r="BO182" s="1"/>
      <c r="BP182" s="1"/>
      <c r="BQ182" s="1"/>
      <c r="BR182" s="1"/>
      <c r="BS182" s="1"/>
      <c r="BT182" s="1"/>
      <c r="BU182" s="1"/>
      <c r="BV182" s="1"/>
      <c r="BW182" s="1"/>
      <c r="BX182" s="3"/>
      <c r="BY182" s="1"/>
      <c r="BZ182" s="1">
        <f t="shared" si="255"/>
        <v>0</v>
      </c>
      <c r="CA182" s="1">
        <f t="shared" si="251"/>
        <v>0</v>
      </c>
      <c r="CB182" s="1"/>
      <c r="CC182" s="1"/>
      <c r="CD182" s="1"/>
      <c r="CE182" s="1"/>
      <c r="CF182" s="1"/>
      <c r="CG182" s="1">
        <v>0</v>
      </c>
      <c r="CH182" s="1"/>
      <c r="CI182" s="1"/>
      <c r="CJ182" s="1">
        <f t="shared" si="262"/>
        <v>0</v>
      </c>
      <c r="CK182" s="1"/>
      <c r="CL182" s="1"/>
      <c r="CM182" s="1"/>
      <c r="CN182" s="1"/>
      <c r="CO182" s="1"/>
      <c r="CP182" s="1"/>
      <c r="CQ182" s="1"/>
      <c r="CR182" s="1"/>
      <c r="CS182" s="1"/>
      <c r="CT182" s="5"/>
      <c r="CU182" s="1">
        <f t="shared" si="263"/>
        <v>0</v>
      </c>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W182" s="1">
        <f t="shared" si="261"/>
        <v>0</v>
      </c>
      <c r="DX182" s="1"/>
      <c r="DY182" s="1"/>
      <c r="DZ182" s="1"/>
      <c r="EB182" s="1"/>
      <c r="EC182" s="1"/>
      <c r="ED182" s="1"/>
      <c r="EE182" s="1"/>
      <c r="EF182" s="1"/>
      <c r="EG182" s="1"/>
      <c r="EL182" s="1"/>
      <c r="EM182" s="1"/>
      <c r="EN182">
        <f t="shared" si="256"/>
        <v>0</v>
      </c>
      <c r="EQ182" s="1"/>
    </row>
    <row r="183" spans="1:147" ht="15.75">
      <c r="A183" s="1"/>
      <c r="B183" s="1" t="s">
        <v>126</v>
      </c>
      <c r="C183" s="1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f t="shared" si="257"/>
        <v>0</v>
      </c>
      <c r="BG183" s="1">
        <f t="shared" si="258"/>
        <v>0</v>
      </c>
      <c r="BH183" s="1"/>
      <c r="BI183" s="1"/>
      <c r="BJ183" s="1"/>
      <c r="BK183" s="1"/>
      <c r="BL183" s="1"/>
      <c r="BM183" s="1"/>
      <c r="BN183" s="1"/>
      <c r="BO183" s="1"/>
      <c r="BP183" s="1"/>
      <c r="BQ183" s="1"/>
      <c r="BR183" s="1"/>
      <c r="BS183" s="1"/>
      <c r="BT183" s="1"/>
      <c r="BU183" s="1"/>
      <c r="BV183" s="1"/>
      <c r="BW183" s="1"/>
      <c r="BX183" s="3"/>
      <c r="BY183" s="1"/>
      <c r="BZ183" s="1">
        <f t="shared" si="255"/>
        <v>0</v>
      </c>
      <c r="CA183" s="1">
        <f t="shared" si="251"/>
        <v>0</v>
      </c>
      <c r="CB183" s="1"/>
      <c r="CC183" s="1"/>
      <c r="CD183" s="1"/>
      <c r="CE183" s="1"/>
      <c r="CF183" s="1"/>
      <c r="CG183" s="1"/>
      <c r="CH183" s="1"/>
      <c r="CI183" s="1"/>
      <c r="CJ183" s="1">
        <f t="shared" si="262"/>
        <v>0</v>
      </c>
      <c r="CK183" s="1"/>
      <c r="CL183" s="1"/>
      <c r="CM183" s="1"/>
      <c r="CN183" s="1"/>
      <c r="CO183" s="1"/>
      <c r="CP183" s="1"/>
      <c r="CQ183" s="1"/>
      <c r="CR183" s="1"/>
      <c r="CS183" s="1"/>
      <c r="CT183" s="5"/>
      <c r="CU183" s="1">
        <f t="shared" si="263"/>
        <v>0</v>
      </c>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W183" s="1">
        <f t="shared" si="261"/>
        <v>0</v>
      </c>
      <c r="DX183" s="1"/>
      <c r="DY183" s="1"/>
      <c r="DZ183" s="1"/>
      <c r="EB183" s="1"/>
      <c r="EC183" s="1"/>
      <c r="ED183" s="1"/>
      <c r="EE183" s="1"/>
      <c r="EF183" s="1"/>
      <c r="EG183" s="1"/>
      <c r="EL183" s="1"/>
      <c r="EM183" s="1"/>
      <c r="EN183">
        <f t="shared" si="256"/>
        <v>0</v>
      </c>
      <c r="EQ183" s="1"/>
    </row>
    <row r="184" spans="1:147" ht="15.75">
      <c r="A184" s="1"/>
      <c r="B184" s="1" t="s">
        <v>967</v>
      </c>
      <c r="C184" s="1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f t="shared" si="257"/>
        <v>0</v>
      </c>
      <c r="BG184" s="1">
        <f t="shared" si="258"/>
        <v>0</v>
      </c>
      <c r="BH184" s="1"/>
      <c r="BI184" s="1"/>
      <c r="BJ184" s="1"/>
      <c r="BK184" s="1"/>
      <c r="BL184" s="1"/>
      <c r="BM184" s="1"/>
      <c r="BN184" s="1"/>
      <c r="BO184" s="1"/>
      <c r="BP184" s="1"/>
      <c r="BQ184" s="1"/>
      <c r="BR184" s="1"/>
      <c r="BS184" s="1"/>
      <c r="BT184" s="1"/>
      <c r="BU184" s="1"/>
      <c r="BV184" s="1"/>
      <c r="BW184" s="1"/>
      <c r="BX184" s="3"/>
      <c r="BY184" s="1"/>
      <c r="BZ184" s="1">
        <f t="shared" si="255"/>
        <v>0</v>
      </c>
      <c r="CA184" s="1">
        <f t="shared" si="251"/>
        <v>0</v>
      </c>
      <c r="CB184" s="1"/>
      <c r="CC184" s="1"/>
      <c r="CD184" s="1"/>
      <c r="CE184" s="1"/>
      <c r="CF184" s="1"/>
      <c r="CG184" s="1"/>
      <c r="CH184" s="1"/>
      <c r="CI184" s="1"/>
      <c r="CJ184" s="1">
        <f t="shared" si="262"/>
        <v>0</v>
      </c>
      <c r="CK184" s="1"/>
      <c r="CL184" s="1"/>
      <c r="CM184" s="1"/>
      <c r="CN184" s="1"/>
      <c r="CO184" s="1"/>
      <c r="CP184" s="1"/>
      <c r="CQ184" s="1"/>
      <c r="CR184" s="1"/>
      <c r="CS184" s="1"/>
      <c r="CT184" s="5"/>
      <c r="CU184" s="1">
        <f t="shared" si="263"/>
        <v>0</v>
      </c>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W184" s="1">
        <f t="shared" si="261"/>
        <v>0</v>
      </c>
      <c r="DX184" s="1"/>
      <c r="DY184" s="1"/>
      <c r="DZ184" s="1"/>
      <c r="EB184" s="1"/>
      <c r="EC184" s="1"/>
      <c r="ED184" s="1"/>
      <c r="EE184" s="1"/>
      <c r="EF184" s="1"/>
      <c r="EG184" s="1"/>
      <c r="EL184" s="1"/>
      <c r="EM184" s="1"/>
      <c r="EN184">
        <f t="shared" si="256"/>
        <v>0</v>
      </c>
      <c r="EQ184" s="1"/>
    </row>
    <row r="185" spans="1:147" ht="15.75">
      <c r="A185" s="1"/>
      <c r="B185" s="1" t="s">
        <v>235</v>
      </c>
      <c r="C185" s="1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f t="shared" si="257"/>
        <v>0</v>
      </c>
      <c r="BG185" s="1">
        <f t="shared" si="258"/>
        <v>0</v>
      </c>
      <c r="BH185" s="1"/>
      <c r="BI185" s="1"/>
      <c r="BJ185" s="1"/>
      <c r="BK185" s="1"/>
      <c r="BL185" s="1"/>
      <c r="BM185" s="1"/>
      <c r="BN185" s="1"/>
      <c r="BO185" s="1"/>
      <c r="BP185" s="1"/>
      <c r="BQ185" s="1"/>
      <c r="BR185" s="1"/>
      <c r="BS185" s="1"/>
      <c r="BT185" s="1"/>
      <c r="BU185" s="1"/>
      <c r="BV185" s="1"/>
      <c r="BW185" s="1"/>
      <c r="BX185" s="3"/>
      <c r="BY185" s="1"/>
      <c r="BZ185" s="1">
        <f t="shared" si="255"/>
        <v>0</v>
      </c>
      <c r="CA185" s="1">
        <f t="shared" si="251"/>
        <v>0</v>
      </c>
      <c r="CB185" s="1"/>
      <c r="CC185" s="213">
        <f>+'Sys INPUT'!CC154-SUM(CC176:CC184)+CC331-1</f>
        <v>672405</v>
      </c>
      <c r="CD185" s="1">
        <f>+'Sys INPUT'!CD154-CD176-CD183-CD181+CD331-2</f>
        <v>40772</v>
      </c>
      <c r="CE185" s="270">
        <f>+'Sys INPUT'!CE154-CE176-CE183-CE181+CE331+73850-1</f>
        <v>43395</v>
      </c>
      <c r="CF185" s="42">
        <f>+'Sys INPUT'!CF154-CF176-CF183-CF181+CF331+15300</f>
        <v>1214627</v>
      </c>
      <c r="CG185" s="270">
        <f>+'Sys INPUT'!CG154-SUM(CG176:CG184)+CG331-23309+3</f>
        <v>2071763</v>
      </c>
      <c r="CH185" s="1">
        <f>+'Sys INPUT'!CH154-CH176-CH183-CH181+CH331-CH184</f>
        <v>117576</v>
      </c>
      <c r="CI185" s="1"/>
      <c r="CJ185" s="1">
        <f t="shared" si="262"/>
        <v>4160538</v>
      </c>
      <c r="CK185" s="1"/>
      <c r="CL185" s="1">
        <f>+'Sys INPUT'!CL154-CL176-CL183-CL181+CL331-CL184-0</f>
        <v>2234883</v>
      </c>
      <c r="CM185" s="1004">
        <f>+'Sys INPUT'!CM154-CM176-CM183-CM181+CM331-248106+255347</f>
        <v>400342</v>
      </c>
      <c r="CN185" s="42">
        <f>+'Sys INPUT'!CN154-CN176-CN183-CN181+CN331+3</f>
        <v>303606</v>
      </c>
      <c r="CO185" s="1">
        <f>+'Sys INPUT'!CO154-CO176-CO183-CO181+CO331+0</f>
        <v>119825</v>
      </c>
      <c r="CP185" s="42">
        <f>+'Sys INPUT'!CP154-CP176-CP183-CP181-CP184+CP331+238719+266330-134877+134877-2</f>
        <v>985597</v>
      </c>
      <c r="CQ185" s="1">
        <f>+'Sys INPUT'!CQ154-CQ176-CQ183-CQ181+CQ331+0</f>
        <v>801614</v>
      </c>
      <c r="CR185" s="1">
        <f>+'Sys INPUT'!CR154-CR176-CR183-CR181+CR331+0</f>
        <v>-129336</v>
      </c>
      <c r="CS185" s="1"/>
      <c r="CT185" s="5"/>
      <c r="CU185" s="1">
        <f t="shared" si="263"/>
        <v>4716531</v>
      </c>
      <c r="CW185" s="1">
        <f>+'Sys INPUT'!CW154+CW331-CW176+0-0+0</f>
        <v>3980305</v>
      </c>
      <c r="CX185" s="1">
        <f>+'Sys INPUT'!CX154+CX331-CX176+0-0+0</f>
        <v>0</v>
      </c>
      <c r="CY185" s="1">
        <f>+'Sys INPUT'!CY154+CY331-CY176+0-0+0</f>
        <v>32848</v>
      </c>
      <c r="CZ185" s="1">
        <f>+'Sys INPUT'!CZ154+CZ331-CZ176+0-0+0</f>
        <v>0</v>
      </c>
      <c r="DA185" s="1">
        <f>+'Sys INPUT'!DA154+DA331-DA176+0-0+0</f>
        <v>0</v>
      </c>
      <c r="DB185" s="1">
        <f>+'Sys INPUT'!DB154+DB331-DB176+0-0+0</f>
        <v>44162</v>
      </c>
      <c r="DC185" s="1">
        <f>+'Sys INPUT'!DC154+DC331-DC176+0-0+0</f>
        <v>8412</v>
      </c>
      <c r="DD185" s="1">
        <f>+'Sys INPUT'!DD154+DD331-DD176+0-0+0</f>
        <v>0</v>
      </c>
      <c r="DE185" s="1">
        <f>+'Sys INPUT'!DE154+DE331-DE176+0-0+0</f>
        <v>8608</v>
      </c>
      <c r="DF185" s="1">
        <f>+'Sys INPUT'!DF154+DF331-DF176+0-0+0</f>
        <v>0</v>
      </c>
      <c r="DG185" s="1">
        <f>+'Sys INPUT'!DG154+DG331-DG176+0-0+0</f>
        <v>204466</v>
      </c>
      <c r="DH185" s="1">
        <f>+'Sys INPUT'!DH154+DH331-DH176+0-0+0</f>
        <v>0</v>
      </c>
      <c r="DI185" s="1">
        <f>+'Sys INPUT'!DI154+DI331-DI176+0-0+0</f>
        <v>0</v>
      </c>
      <c r="DJ185" s="1">
        <f>+'Sys INPUT'!DJ154+DJ331-DJ176+0-0+0</f>
        <v>296099</v>
      </c>
      <c r="DK185" s="1">
        <f>+'Sys INPUT'!DK154+DK331-DK176+0-0+0</f>
        <v>0</v>
      </c>
      <c r="DL185" s="1">
        <f>+'Sys INPUT'!DL154+DL331-DL176+0-0+0</f>
        <v>1325611</v>
      </c>
      <c r="DM185" s="1">
        <f>+'Sys INPUT'!DM154+DM331-DM176+0-0+0</f>
        <v>0</v>
      </c>
      <c r="DN185" s="1">
        <f>+'Sys INPUT'!DN154+DN331-DN176+0-0+0</f>
        <v>90503</v>
      </c>
      <c r="DO185" s="1">
        <f>+'Sys INPUT'!DO154+DO331-DO176+0-0+0</f>
        <v>0</v>
      </c>
      <c r="DP185" s="1">
        <f>+'Sys INPUT'!DP154+DP331-DP176+0-0+0</f>
        <v>34351</v>
      </c>
      <c r="DQ185" s="1">
        <f>+'Sys INPUT'!DQ154+DQ331-DQ176+0-0+0</f>
        <v>6768927</v>
      </c>
      <c r="DR185" s="1">
        <f>+'Sys INPUT'!DR154+DR331-DR176-DU185</f>
        <v>50503500</v>
      </c>
      <c r="DS185" s="1">
        <f>+'Sys INPUT'!DS154+DS331-DS176+0-0+0</f>
        <v>1772021</v>
      </c>
      <c r="DT185" s="1">
        <f>+'Sys INPUT'!DT154+DT331-DT176+0-0+0</f>
        <v>1494534</v>
      </c>
      <c r="DU185" s="1">
        <f>+DU114</f>
        <v>4704521</v>
      </c>
      <c r="DW185" s="1">
        <f t="shared" si="261"/>
        <v>66325530</v>
      </c>
      <c r="DX185" s="1"/>
      <c r="DY185" s="1">
        <f>+DY114</f>
        <v>155027</v>
      </c>
      <c r="DZ185" s="1"/>
      <c r="EB185" s="1"/>
      <c r="EC185" s="1"/>
      <c r="ED185" s="1"/>
      <c r="EE185" s="1"/>
      <c r="EG185" s="1"/>
      <c r="EL185" s="1"/>
      <c r="EM185" s="1"/>
      <c r="EN185">
        <f t="shared" si="256"/>
        <v>133683698</v>
      </c>
      <c r="EQ185" s="1">
        <f>+'Sys INPUT'!AF154+'Sys INPUT'!ER154+EQ331-EQ176+0-0+0</f>
        <v>0</v>
      </c>
    </row>
    <row r="186" spans="1:147" ht="15.75">
      <c r="A186" s="1"/>
      <c r="B186" s="2" t="s">
        <v>2589</v>
      </c>
      <c r="C186" s="1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f t="shared" si="258"/>
        <v>0</v>
      </c>
      <c r="BH186" s="1"/>
      <c r="BI186" s="1"/>
      <c r="BJ186" s="1"/>
      <c r="BK186" s="1"/>
      <c r="BL186" s="1"/>
      <c r="BM186" s="1"/>
      <c r="BN186" s="1"/>
      <c r="BO186" s="1"/>
      <c r="BP186" s="1"/>
      <c r="BQ186" s="1"/>
      <c r="BR186" s="1"/>
      <c r="BS186" s="1"/>
      <c r="BT186" s="1"/>
      <c r="BU186" s="1"/>
      <c r="BV186" s="1"/>
      <c r="BW186" s="1"/>
      <c r="BX186" s="3"/>
      <c r="BY186" s="1"/>
      <c r="BZ186" s="1">
        <f t="shared" si="255"/>
        <v>0</v>
      </c>
      <c r="CA186" s="1">
        <f t="shared" si="251"/>
        <v>0</v>
      </c>
      <c r="CB186" s="1"/>
      <c r="CC186" s="655"/>
      <c r="CD186" s="1"/>
      <c r="CE186" s="1"/>
      <c r="CF186" s="1"/>
      <c r="CG186" s="655"/>
      <c r="CH186" s="1"/>
      <c r="CI186" s="1"/>
      <c r="CJ186" s="1"/>
      <c r="CK186" s="1"/>
      <c r="CL186" s="1"/>
      <c r="CM186" s="1"/>
      <c r="CN186" s="1"/>
      <c r="CO186" s="1"/>
      <c r="CP186" s="1"/>
      <c r="CQ186" s="1"/>
      <c r="CR186" s="1"/>
      <c r="CS186" s="1"/>
      <c r="CT186" s="5"/>
      <c r="CU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W186" s="1"/>
      <c r="DX186" s="1"/>
      <c r="DY186" s="1"/>
      <c r="DZ186" s="1"/>
      <c r="EB186" s="1"/>
      <c r="EC186" s="1"/>
      <c r="ED186" s="1"/>
      <c r="EE186" s="1"/>
      <c r="EF186" s="1"/>
      <c r="EG186" s="1"/>
      <c r="EL186" s="1"/>
      <c r="EM186" s="1"/>
      <c r="EN186">
        <f t="shared" si="256"/>
        <v>0</v>
      </c>
      <c r="EQ186" s="1"/>
    </row>
    <row r="187" spans="1:147" ht="15.75">
      <c r="A187" s="1"/>
      <c r="B187" s="89" t="s">
        <v>1821</v>
      </c>
      <c r="C187" s="1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f t="shared" ref="BF187:BF205" si="264">SUM(E187:BE187)</f>
        <v>0</v>
      </c>
      <c r="BG187" s="1">
        <f t="shared" si="258"/>
        <v>0</v>
      </c>
      <c r="BH187" s="1"/>
      <c r="BI187" s="1"/>
      <c r="BJ187" s="1"/>
      <c r="BK187" s="1"/>
      <c r="BL187" s="1"/>
      <c r="BM187" s="1"/>
      <c r="BN187" s="1"/>
      <c r="BO187" s="1"/>
      <c r="BP187" s="1"/>
      <c r="BQ187" s="1"/>
      <c r="BR187" s="1"/>
      <c r="BS187" s="1"/>
      <c r="BT187" s="1"/>
      <c r="BU187" s="1"/>
      <c r="BV187" s="1"/>
      <c r="BW187" s="1"/>
      <c r="BX187" s="3"/>
      <c r="BY187" s="1"/>
      <c r="BZ187" s="1">
        <f t="shared" si="255"/>
        <v>0</v>
      </c>
      <c r="CA187" s="1">
        <f t="shared" si="251"/>
        <v>0</v>
      </c>
      <c r="CB187" s="1"/>
      <c r="CC187" s="1"/>
      <c r="CD187" s="1"/>
      <c r="CE187" s="1"/>
      <c r="CF187" s="1"/>
      <c r="CG187" s="1"/>
      <c r="CH187" s="1"/>
      <c r="CI187" s="1"/>
      <c r="CJ187" s="1">
        <f>SUM(CB187:CI187)</f>
        <v>0</v>
      </c>
      <c r="CK187" s="1"/>
      <c r="CL187" s="1"/>
      <c r="CM187" s="1"/>
      <c r="CN187" s="1"/>
      <c r="CO187" s="1"/>
      <c r="CP187" s="1"/>
      <c r="CQ187" s="1"/>
      <c r="CR187" s="1"/>
      <c r="CS187" s="1"/>
      <c r="CT187" s="5"/>
      <c r="CU187" s="1">
        <f>SUM(CL187:CT187)</f>
        <v>0</v>
      </c>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W187" s="1"/>
      <c r="DX187" s="1"/>
      <c r="DY187" s="1"/>
      <c r="DZ187" s="1"/>
      <c r="EB187" s="1"/>
      <c r="EC187" s="1"/>
      <c r="ED187" s="1"/>
      <c r="EE187" s="1"/>
      <c r="EF187" s="1"/>
      <c r="EG187" s="1"/>
      <c r="EL187" s="1"/>
      <c r="EM187" s="1"/>
      <c r="EN187">
        <f t="shared" si="256"/>
        <v>0</v>
      </c>
      <c r="EQ187" s="1"/>
    </row>
    <row r="188" spans="1:147" ht="15.75">
      <c r="A188" s="1"/>
      <c r="B188" s="89" t="s">
        <v>1611</v>
      </c>
      <c r="C188" s="11"/>
      <c r="D188" s="46">
        <f>+D346</f>
        <v>112403</v>
      </c>
      <c r="E188" s="46">
        <f t="shared" ref="E188:BD188" si="265">+E346</f>
        <v>0</v>
      </c>
      <c r="F188" s="46">
        <f t="shared" si="265"/>
        <v>0</v>
      </c>
      <c r="G188" s="46">
        <f t="shared" si="265"/>
        <v>0</v>
      </c>
      <c r="H188" s="46">
        <f t="shared" si="265"/>
        <v>0</v>
      </c>
      <c r="I188" s="46">
        <f t="shared" si="265"/>
        <v>0</v>
      </c>
      <c r="J188" s="46">
        <f t="shared" si="265"/>
        <v>397710</v>
      </c>
      <c r="K188" s="46">
        <f t="shared" si="265"/>
        <v>0</v>
      </c>
      <c r="L188" s="46">
        <f>+L346</f>
        <v>0</v>
      </c>
      <c r="M188" s="46">
        <f t="shared" si="265"/>
        <v>0</v>
      </c>
      <c r="N188" s="46">
        <f>+N346</f>
        <v>0</v>
      </c>
      <c r="O188" s="46">
        <f t="shared" si="265"/>
        <v>0</v>
      </c>
      <c r="P188" s="46">
        <f t="shared" si="265"/>
        <v>0</v>
      </c>
      <c r="Q188" s="46">
        <f t="shared" si="265"/>
        <v>0</v>
      </c>
      <c r="R188" s="46">
        <f t="shared" si="265"/>
        <v>0</v>
      </c>
      <c r="S188" s="46">
        <f t="shared" si="265"/>
        <v>0</v>
      </c>
      <c r="T188" s="46">
        <f t="shared" si="265"/>
        <v>0</v>
      </c>
      <c r="U188" s="46">
        <f t="shared" si="265"/>
        <v>76413</v>
      </c>
      <c r="V188" s="46">
        <f t="shared" si="265"/>
        <v>0</v>
      </c>
      <c r="W188" s="46">
        <f t="shared" si="265"/>
        <v>0</v>
      </c>
      <c r="X188" s="46">
        <f t="shared" si="265"/>
        <v>0</v>
      </c>
      <c r="Y188" s="46">
        <f t="shared" si="265"/>
        <v>0</v>
      </c>
      <c r="Z188" s="46">
        <f t="shared" si="265"/>
        <v>0</v>
      </c>
      <c r="AA188" s="46">
        <f t="shared" si="265"/>
        <v>0</v>
      </c>
      <c r="AB188" s="46">
        <f>+AB346</f>
        <v>0</v>
      </c>
      <c r="AC188" s="46">
        <f t="shared" si="265"/>
        <v>0</v>
      </c>
      <c r="AD188" s="46">
        <f t="shared" si="265"/>
        <v>0</v>
      </c>
      <c r="AE188" s="46">
        <f t="shared" si="265"/>
        <v>0</v>
      </c>
      <c r="AF188" s="46">
        <f t="shared" si="265"/>
        <v>0</v>
      </c>
      <c r="AG188" s="46">
        <f t="shared" si="265"/>
        <v>0</v>
      </c>
      <c r="AH188" s="46">
        <f t="shared" si="265"/>
        <v>0</v>
      </c>
      <c r="AI188" s="46">
        <f t="shared" si="265"/>
        <v>0</v>
      </c>
      <c r="AJ188" s="46">
        <f t="shared" si="265"/>
        <v>0</v>
      </c>
      <c r="AK188" s="46">
        <f t="shared" si="265"/>
        <v>0</v>
      </c>
      <c r="AL188" s="46">
        <f t="shared" ref="AL188:AQ188" si="266">+AL346</f>
        <v>0</v>
      </c>
      <c r="AM188" s="46">
        <f t="shared" si="266"/>
        <v>0</v>
      </c>
      <c r="AN188" s="46">
        <f t="shared" si="266"/>
        <v>0</v>
      </c>
      <c r="AO188" s="46">
        <f t="shared" si="266"/>
        <v>0</v>
      </c>
      <c r="AP188" s="46">
        <f t="shared" si="266"/>
        <v>0</v>
      </c>
      <c r="AQ188" s="46">
        <f t="shared" si="266"/>
        <v>0</v>
      </c>
      <c r="AR188" s="46">
        <f t="shared" ref="AR188:BC188" si="267">+AR346</f>
        <v>0</v>
      </c>
      <c r="AS188" s="46">
        <f t="shared" si="267"/>
        <v>0</v>
      </c>
      <c r="AT188" s="46">
        <f>+AT346</f>
        <v>0</v>
      </c>
      <c r="AU188" s="46">
        <f>+AU346</f>
        <v>0</v>
      </c>
      <c r="AV188" s="46">
        <f>+AV346</f>
        <v>0</v>
      </c>
      <c r="AW188" s="46"/>
      <c r="AX188" s="46">
        <f t="shared" si="267"/>
        <v>0</v>
      </c>
      <c r="AY188" s="46">
        <f t="shared" si="267"/>
        <v>0</v>
      </c>
      <c r="AZ188" s="46">
        <f t="shared" si="267"/>
        <v>0</v>
      </c>
      <c r="BA188" s="46">
        <f t="shared" si="267"/>
        <v>0</v>
      </c>
      <c r="BB188" s="46">
        <f t="shared" si="267"/>
        <v>0</v>
      </c>
      <c r="BC188" s="46">
        <f t="shared" si="267"/>
        <v>0</v>
      </c>
      <c r="BD188" s="46">
        <f t="shared" si="265"/>
        <v>371646</v>
      </c>
      <c r="BE188" s="46"/>
      <c r="BF188" s="46">
        <f t="shared" si="264"/>
        <v>845769</v>
      </c>
      <c r="BG188" s="1">
        <f t="shared" si="258"/>
        <v>845769</v>
      </c>
      <c r="BH188" s="46">
        <f t="shared" ref="BH188:BN188" si="268">+BH346</f>
        <v>0</v>
      </c>
      <c r="BI188" s="46">
        <f>+BI346</f>
        <v>0</v>
      </c>
      <c r="BJ188" s="46">
        <f t="shared" si="268"/>
        <v>0</v>
      </c>
      <c r="BK188" s="46">
        <f t="shared" si="268"/>
        <v>0</v>
      </c>
      <c r="BL188" s="46">
        <f>+BL346</f>
        <v>0</v>
      </c>
      <c r="BM188" s="46">
        <f>+BM346</f>
        <v>0</v>
      </c>
      <c r="BN188" s="46">
        <f t="shared" si="268"/>
        <v>0</v>
      </c>
      <c r="BO188" s="46"/>
      <c r="BP188" s="46">
        <f t="shared" ref="BP188:BP196" si="269">SUM(BH188:BN188)</f>
        <v>0</v>
      </c>
      <c r="BQ188" s="97">
        <f t="shared" ref="BQ188:BQ193" si="270">+BP188-BN188</f>
        <v>0</v>
      </c>
      <c r="BR188" s="46">
        <f t="shared" ref="BR188:BW188" si="271">+BR346</f>
        <v>0</v>
      </c>
      <c r="BS188" s="46">
        <f t="shared" si="271"/>
        <v>0</v>
      </c>
      <c r="BT188" s="46">
        <f t="shared" si="271"/>
        <v>0</v>
      </c>
      <c r="BU188" s="46">
        <f t="shared" si="271"/>
        <v>0</v>
      </c>
      <c r="BV188" s="46">
        <f t="shared" si="271"/>
        <v>0</v>
      </c>
      <c r="BW188" s="46">
        <f t="shared" si="271"/>
        <v>0</v>
      </c>
      <c r="BX188" s="46"/>
      <c r="BY188" s="46">
        <f>SUM(BR188:BX188)</f>
        <v>0</v>
      </c>
      <c r="BZ188" s="1">
        <f t="shared" si="255"/>
        <v>0</v>
      </c>
      <c r="CA188" s="1">
        <f t="shared" si="251"/>
        <v>1211666</v>
      </c>
      <c r="CB188" s="1"/>
      <c r="CC188" s="1"/>
      <c r="CD188" s="1"/>
      <c r="CE188" s="1"/>
      <c r="CF188" s="1"/>
      <c r="CG188" s="799"/>
      <c r="CH188" s="1"/>
      <c r="CI188" s="1"/>
      <c r="CJ188" s="1"/>
      <c r="CK188" s="1"/>
      <c r="CL188" s="1"/>
      <c r="CM188" s="1"/>
      <c r="CN188" s="1"/>
      <c r="CO188" s="1"/>
      <c r="CP188" s="1"/>
      <c r="CQ188" s="1"/>
      <c r="CR188" s="1"/>
      <c r="CS188" s="1"/>
      <c r="CT188" s="5"/>
      <c r="CU188" s="1"/>
      <c r="CW188" s="46"/>
      <c r="CX188" s="46"/>
      <c r="CY188" s="46"/>
      <c r="CZ188" s="46"/>
      <c r="DA188" s="46"/>
      <c r="DB188" s="46"/>
      <c r="DC188" s="46"/>
      <c r="DD188" s="46"/>
      <c r="DE188" s="46"/>
      <c r="DF188" s="46"/>
      <c r="DG188" s="46"/>
      <c r="DH188" s="46"/>
      <c r="DI188" s="46"/>
      <c r="DJ188" s="46"/>
      <c r="DK188" s="46"/>
      <c r="DL188" s="46"/>
      <c r="DM188" s="46"/>
      <c r="DN188" s="46"/>
      <c r="DO188" s="46"/>
      <c r="DP188" s="46"/>
      <c r="DQ188" s="46"/>
      <c r="DR188" s="46"/>
      <c r="DS188" s="46"/>
      <c r="DT188" s="46"/>
      <c r="DW188" s="1">
        <f t="shared" si="261"/>
        <v>0</v>
      </c>
      <c r="DX188" s="1"/>
      <c r="DY188" s="1"/>
      <c r="DZ188" s="1"/>
      <c r="EB188" s="46">
        <f>+EB346</f>
        <v>0</v>
      </c>
      <c r="EC188" s="46"/>
      <c r="ED188" s="1"/>
      <c r="EE188" s="46"/>
      <c r="EF188" s="46">
        <f>+EF346</f>
        <v>365897</v>
      </c>
      <c r="EG188" s="1"/>
      <c r="EL188" s="1"/>
      <c r="EM188" s="1"/>
      <c r="EQ188" s="1"/>
    </row>
    <row r="189" spans="1:147" ht="15.75">
      <c r="A189" s="1"/>
      <c r="B189" s="89" t="s">
        <v>1598</v>
      </c>
      <c r="C189" s="11"/>
      <c r="D189" s="46">
        <f>+D361</f>
        <v>110000</v>
      </c>
      <c r="E189" s="46">
        <f t="shared" ref="E189:BD189" si="272">+E361</f>
        <v>0</v>
      </c>
      <c r="F189" s="46">
        <f t="shared" si="272"/>
        <v>0</v>
      </c>
      <c r="G189" s="46">
        <f t="shared" si="272"/>
        <v>0</v>
      </c>
      <c r="H189" s="46">
        <f t="shared" si="272"/>
        <v>0</v>
      </c>
      <c r="I189" s="46">
        <f t="shared" si="272"/>
        <v>0</v>
      </c>
      <c r="J189" s="46">
        <f t="shared" si="272"/>
        <v>0</v>
      </c>
      <c r="K189" s="46">
        <f t="shared" si="272"/>
        <v>0</v>
      </c>
      <c r="L189" s="46">
        <f>+L361</f>
        <v>0</v>
      </c>
      <c r="M189" s="46">
        <f t="shared" si="272"/>
        <v>0</v>
      </c>
      <c r="N189" s="46">
        <f>+N361</f>
        <v>0</v>
      </c>
      <c r="O189" s="46">
        <f t="shared" si="272"/>
        <v>0</v>
      </c>
      <c r="P189" s="46">
        <f t="shared" si="272"/>
        <v>0</v>
      </c>
      <c r="Q189" s="46">
        <f t="shared" si="272"/>
        <v>0</v>
      </c>
      <c r="R189" s="46">
        <f t="shared" si="272"/>
        <v>0</v>
      </c>
      <c r="S189" s="46">
        <f t="shared" si="272"/>
        <v>0</v>
      </c>
      <c r="T189" s="46">
        <f t="shared" si="272"/>
        <v>0</v>
      </c>
      <c r="U189" s="46">
        <f t="shared" si="272"/>
        <v>0</v>
      </c>
      <c r="V189" s="46">
        <f t="shared" si="272"/>
        <v>0</v>
      </c>
      <c r="W189" s="46">
        <f t="shared" si="272"/>
        <v>0</v>
      </c>
      <c r="X189" s="46">
        <f t="shared" si="272"/>
        <v>0</v>
      </c>
      <c r="Y189" s="46">
        <f t="shared" si="272"/>
        <v>0</v>
      </c>
      <c r="Z189" s="46">
        <f t="shared" si="272"/>
        <v>0</v>
      </c>
      <c r="AA189" s="46">
        <f t="shared" si="272"/>
        <v>0</v>
      </c>
      <c r="AB189" s="46">
        <f>+AB361</f>
        <v>0</v>
      </c>
      <c r="AC189" s="46">
        <f t="shared" si="272"/>
        <v>0</v>
      </c>
      <c r="AD189" s="46">
        <f t="shared" si="272"/>
        <v>0</v>
      </c>
      <c r="AE189" s="46">
        <f t="shared" si="272"/>
        <v>82435</v>
      </c>
      <c r="AF189" s="46">
        <f t="shared" si="272"/>
        <v>0</v>
      </c>
      <c r="AG189" s="46">
        <f t="shared" si="272"/>
        <v>422641</v>
      </c>
      <c r="AH189" s="46">
        <f t="shared" si="272"/>
        <v>253738</v>
      </c>
      <c r="AI189" s="46">
        <f t="shared" si="272"/>
        <v>21826</v>
      </c>
      <c r="AJ189" s="46">
        <f t="shared" si="272"/>
        <v>62464</v>
      </c>
      <c r="AK189" s="46">
        <f t="shared" si="272"/>
        <v>0</v>
      </c>
      <c r="AL189" s="46">
        <f t="shared" ref="AL189:AQ189" si="273">+AL361</f>
        <v>0</v>
      </c>
      <c r="AM189" s="46">
        <f t="shared" si="273"/>
        <v>0</v>
      </c>
      <c r="AN189" s="46">
        <f t="shared" si="273"/>
        <v>0</v>
      </c>
      <c r="AO189" s="46">
        <f t="shared" si="273"/>
        <v>0</v>
      </c>
      <c r="AP189" s="46">
        <f t="shared" si="273"/>
        <v>1675727</v>
      </c>
      <c r="AQ189" s="46">
        <f t="shared" si="273"/>
        <v>872198</v>
      </c>
      <c r="AR189" s="46">
        <f t="shared" ref="AR189:BC189" si="274">+AR361</f>
        <v>104504</v>
      </c>
      <c r="AS189" s="46">
        <f t="shared" si="274"/>
        <v>96879</v>
      </c>
      <c r="AT189" s="46">
        <f>+AT361</f>
        <v>247580</v>
      </c>
      <c r="AU189" s="46">
        <f>+AU361</f>
        <v>0</v>
      </c>
      <c r="AV189" s="46">
        <f>+AV361</f>
        <v>0</v>
      </c>
      <c r="AW189" s="46"/>
      <c r="AX189" s="46">
        <f t="shared" si="274"/>
        <v>0</v>
      </c>
      <c r="AY189" s="46">
        <f t="shared" si="274"/>
        <v>0</v>
      </c>
      <c r="AZ189" s="46">
        <f t="shared" si="274"/>
        <v>17572</v>
      </c>
      <c r="BA189" s="46">
        <f t="shared" si="274"/>
        <v>0</v>
      </c>
      <c r="BB189" s="46">
        <f t="shared" si="274"/>
        <v>0</v>
      </c>
      <c r="BC189" s="46">
        <f t="shared" si="274"/>
        <v>0</v>
      </c>
      <c r="BD189" s="46">
        <f t="shared" si="272"/>
        <v>0</v>
      </c>
      <c r="BE189" s="46"/>
      <c r="BF189" s="46">
        <f t="shared" si="264"/>
        <v>3857564</v>
      </c>
      <c r="BG189" s="1">
        <f t="shared" si="258"/>
        <v>3857564</v>
      </c>
      <c r="BH189" s="46">
        <f t="shared" ref="BH189:BN189" si="275">+BH361</f>
        <v>0</v>
      </c>
      <c r="BI189" s="46">
        <f>+BI361</f>
        <v>41294</v>
      </c>
      <c r="BJ189" s="46">
        <f t="shared" si="275"/>
        <v>0</v>
      </c>
      <c r="BK189" s="46">
        <f t="shared" si="275"/>
        <v>387148</v>
      </c>
      <c r="BL189" s="46">
        <f>+BL361</f>
        <v>55606</v>
      </c>
      <c r="BM189" s="46">
        <f>+BM361</f>
        <v>19430</v>
      </c>
      <c r="BN189" s="46">
        <f t="shared" si="275"/>
        <v>121101</v>
      </c>
      <c r="BO189" s="46"/>
      <c r="BP189" s="46">
        <f t="shared" si="269"/>
        <v>624579</v>
      </c>
      <c r="BQ189" s="97">
        <f t="shared" si="270"/>
        <v>503478</v>
      </c>
      <c r="BR189" s="46">
        <f t="shared" ref="BR189:BW189" si="276">+BR361</f>
        <v>0</v>
      </c>
      <c r="BS189" s="46">
        <f t="shared" si="276"/>
        <v>0</v>
      </c>
      <c r="BT189" s="46">
        <f t="shared" si="276"/>
        <v>0</v>
      </c>
      <c r="BU189" s="46">
        <f t="shared" si="276"/>
        <v>0</v>
      </c>
      <c r="BV189" s="46">
        <f t="shared" si="276"/>
        <v>0</v>
      </c>
      <c r="BW189" s="46">
        <f t="shared" si="276"/>
        <v>-111170</v>
      </c>
      <c r="BX189" s="46"/>
      <c r="BY189" s="46">
        <f>SUM(BR189:BX189)</f>
        <v>-111170</v>
      </c>
      <c r="BZ189" s="1">
        <f t="shared" si="255"/>
        <v>-111170</v>
      </c>
      <c r="CA189" s="1">
        <f t="shared" si="251"/>
        <v>4249872</v>
      </c>
      <c r="CB189" s="1"/>
      <c r="CC189" s="1"/>
      <c r="CD189" s="1"/>
      <c r="CE189" s="1"/>
      <c r="CF189" s="1"/>
      <c r="CG189" s="1"/>
      <c r="CH189" s="1"/>
      <c r="CI189" s="1"/>
      <c r="CJ189" s="1"/>
      <c r="CK189" s="1"/>
      <c r="CL189" s="1"/>
      <c r="CM189" s="1"/>
      <c r="CN189" s="1"/>
      <c r="CO189" s="1"/>
      <c r="CP189" s="1"/>
      <c r="CQ189" s="1"/>
      <c r="CR189" s="1"/>
      <c r="CS189" s="1"/>
      <c r="CT189" s="5"/>
      <c r="CU189" s="1"/>
      <c r="CW189" s="46"/>
      <c r="CX189" s="46"/>
      <c r="CY189" s="46"/>
      <c r="CZ189" s="46"/>
      <c r="DA189" s="46"/>
      <c r="DB189" s="46"/>
      <c r="DC189" s="46"/>
      <c r="DD189" s="46"/>
      <c r="DE189" s="46"/>
      <c r="DF189" s="46"/>
      <c r="DG189" s="46"/>
      <c r="DH189" s="46"/>
      <c r="DI189" s="46"/>
      <c r="DJ189" s="46"/>
      <c r="DK189" s="46"/>
      <c r="DL189" s="46"/>
      <c r="DM189" s="46"/>
      <c r="DN189" s="46"/>
      <c r="DO189" s="46"/>
      <c r="DP189" s="46"/>
      <c r="DQ189" s="46"/>
      <c r="DR189" s="46"/>
      <c r="DS189" s="46"/>
      <c r="DT189" s="46"/>
      <c r="DW189" s="1">
        <f t="shared" si="261"/>
        <v>0</v>
      </c>
      <c r="DX189" s="1"/>
      <c r="DY189" s="1"/>
      <c r="DZ189" s="1"/>
      <c r="EB189" s="160">
        <f>+EB361</f>
        <v>0</v>
      </c>
      <c r="EC189" s="46"/>
      <c r="ED189" s="1"/>
      <c r="EE189" s="46"/>
      <c r="EF189" s="46"/>
      <c r="EG189" s="1"/>
      <c r="EL189" s="1"/>
      <c r="EM189" s="1"/>
      <c r="EQ189" s="1"/>
    </row>
    <row r="190" spans="1:147" ht="15.75">
      <c r="A190" s="1"/>
      <c r="B190" s="89" t="s">
        <v>2345</v>
      </c>
      <c r="C190" s="11"/>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f t="shared" si="264"/>
        <v>0</v>
      </c>
      <c r="BG190" s="1">
        <f t="shared" si="258"/>
        <v>0</v>
      </c>
      <c r="BH190" s="46"/>
      <c r="BI190" s="46"/>
      <c r="BJ190" s="46"/>
      <c r="BK190" s="46"/>
      <c r="BL190" s="46"/>
      <c r="BM190" s="46"/>
      <c r="BN190" s="46"/>
      <c r="BO190" s="46"/>
      <c r="BP190" s="46">
        <f t="shared" si="269"/>
        <v>0</v>
      </c>
      <c r="BQ190" s="97"/>
      <c r="BR190" s="46"/>
      <c r="BS190" s="46"/>
      <c r="BT190" s="46"/>
      <c r="BU190" s="46"/>
      <c r="BV190" s="46"/>
      <c r="BW190" s="46"/>
      <c r="BX190" s="46"/>
      <c r="BY190" s="46"/>
      <c r="BZ190" s="1">
        <f t="shared" si="255"/>
        <v>0</v>
      </c>
      <c r="CA190" s="1">
        <f t="shared" si="251"/>
        <v>0</v>
      </c>
      <c r="CB190" s="1"/>
      <c r="CC190" s="1"/>
      <c r="CD190" s="1"/>
      <c r="CE190" s="1"/>
      <c r="CF190" s="1"/>
      <c r="CG190" s="1"/>
      <c r="CH190" s="1"/>
      <c r="CI190" s="1"/>
      <c r="CJ190" s="1"/>
      <c r="CK190" s="1"/>
      <c r="CL190" s="1"/>
      <c r="CM190" s="1"/>
      <c r="CN190" s="1"/>
      <c r="CO190" s="1"/>
      <c r="CP190" s="1"/>
      <c r="CQ190" s="1"/>
      <c r="CR190" s="1"/>
      <c r="CS190" s="1"/>
      <c r="CT190" s="5"/>
      <c r="CU190" s="1"/>
      <c r="CW190" s="46"/>
      <c r="CX190" s="46"/>
      <c r="CY190" s="46"/>
      <c r="CZ190" s="46"/>
      <c r="DA190" s="46"/>
      <c r="DB190" s="46"/>
      <c r="DC190" s="46"/>
      <c r="DD190" s="46"/>
      <c r="DE190" s="46"/>
      <c r="DF190" s="46"/>
      <c r="DG190" s="46"/>
      <c r="DH190" s="46"/>
      <c r="DI190" s="46"/>
      <c r="DJ190" s="46"/>
      <c r="DK190" s="46"/>
      <c r="DL190" s="46"/>
      <c r="DM190" s="46"/>
      <c r="DN190" s="46"/>
      <c r="DO190" s="46"/>
      <c r="DP190" s="46"/>
      <c r="DQ190" s="46"/>
      <c r="DR190" s="46"/>
      <c r="DS190" s="46"/>
      <c r="DT190" s="46"/>
      <c r="DW190" s="1"/>
      <c r="DX190" s="1"/>
      <c r="DY190" s="1"/>
      <c r="DZ190" s="1"/>
      <c r="EB190" s="46"/>
      <c r="EC190" s="46"/>
      <c r="ED190" s="1"/>
      <c r="EE190" s="46"/>
      <c r="EF190" s="46"/>
      <c r="EG190" s="1"/>
      <c r="EL190" s="1"/>
      <c r="EM190" s="1"/>
      <c r="EQ190" s="1"/>
    </row>
    <row r="191" spans="1:147" ht="15.75">
      <c r="A191" s="1"/>
      <c r="B191" s="89" t="s">
        <v>2346</v>
      </c>
      <c r="C191" s="11"/>
      <c r="D191" s="46">
        <f>+D376</f>
        <v>0</v>
      </c>
      <c r="E191" s="46">
        <f t="shared" ref="E191:BD191" si="277">+E376</f>
        <v>0</v>
      </c>
      <c r="F191" s="46">
        <f t="shared" si="277"/>
        <v>3692</v>
      </c>
      <c r="G191" s="46">
        <f t="shared" si="277"/>
        <v>73809</v>
      </c>
      <c r="H191" s="46">
        <f t="shared" si="277"/>
        <v>357347</v>
      </c>
      <c r="I191" s="46">
        <f t="shared" si="277"/>
        <v>4500</v>
      </c>
      <c r="J191" s="46">
        <f t="shared" si="277"/>
        <v>1699347</v>
      </c>
      <c r="K191" s="46">
        <f t="shared" si="277"/>
        <v>1303</v>
      </c>
      <c r="L191" s="46">
        <f>+L376</f>
        <v>21640</v>
      </c>
      <c r="M191" s="46">
        <f t="shared" si="277"/>
        <v>660329</v>
      </c>
      <c r="N191" s="46">
        <f>+N376</f>
        <v>84305</v>
      </c>
      <c r="O191" s="46">
        <f t="shared" si="277"/>
        <v>60405</v>
      </c>
      <c r="P191" s="46">
        <f t="shared" si="277"/>
        <v>0</v>
      </c>
      <c r="Q191" s="46">
        <f t="shared" si="277"/>
        <v>185629</v>
      </c>
      <c r="R191" s="46">
        <f t="shared" si="277"/>
        <v>380215</v>
      </c>
      <c r="S191" s="46">
        <f t="shared" si="277"/>
        <v>1022934</v>
      </c>
      <c r="T191" s="46">
        <f t="shared" si="277"/>
        <v>308</v>
      </c>
      <c r="U191" s="46">
        <f t="shared" si="277"/>
        <v>577048</v>
      </c>
      <c r="V191" s="46">
        <f t="shared" si="277"/>
        <v>2517</v>
      </c>
      <c r="W191" s="46">
        <f t="shared" si="277"/>
        <v>255076</v>
      </c>
      <c r="X191" s="46">
        <f t="shared" si="277"/>
        <v>4366091</v>
      </c>
      <c r="Y191" s="46">
        <f t="shared" si="277"/>
        <v>0</v>
      </c>
      <c r="Z191" s="46">
        <f t="shared" si="277"/>
        <v>107003</v>
      </c>
      <c r="AA191" s="46">
        <f t="shared" si="277"/>
        <v>100039</v>
      </c>
      <c r="AB191" s="46">
        <f>+AB376</f>
        <v>1631376</v>
      </c>
      <c r="AC191" s="46">
        <f t="shared" si="277"/>
        <v>238913</v>
      </c>
      <c r="AD191" s="46">
        <f t="shared" si="277"/>
        <v>0</v>
      </c>
      <c r="AE191" s="46">
        <f t="shared" si="277"/>
        <v>0</v>
      </c>
      <c r="AF191" s="46">
        <f t="shared" si="277"/>
        <v>21202</v>
      </c>
      <c r="AG191" s="46">
        <f t="shared" si="277"/>
        <v>0</v>
      </c>
      <c r="AH191" s="46">
        <f t="shared" si="277"/>
        <v>0</v>
      </c>
      <c r="AI191" s="46">
        <f t="shared" si="277"/>
        <v>0</v>
      </c>
      <c r="AJ191" s="46">
        <f t="shared" si="277"/>
        <v>0</v>
      </c>
      <c r="AK191" s="46">
        <f t="shared" si="277"/>
        <v>5768</v>
      </c>
      <c r="AL191" s="46">
        <f t="shared" ref="AL191:AQ191" si="278">+AL376</f>
        <v>35534</v>
      </c>
      <c r="AM191" s="46">
        <f t="shared" si="278"/>
        <v>39899</v>
      </c>
      <c r="AN191" s="46">
        <f t="shared" si="278"/>
        <v>168446</v>
      </c>
      <c r="AO191" s="46">
        <f t="shared" si="278"/>
        <v>0</v>
      </c>
      <c r="AP191" s="46">
        <f t="shared" si="278"/>
        <v>0</v>
      </c>
      <c r="AQ191" s="46">
        <f t="shared" si="278"/>
        <v>0</v>
      </c>
      <c r="AR191" s="46">
        <f t="shared" ref="AR191:BB191" si="279">+AR376</f>
        <v>0</v>
      </c>
      <c r="AS191" s="46">
        <f t="shared" si="279"/>
        <v>0</v>
      </c>
      <c r="AT191" s="46">
        <f>+AT376</f>
        <v>0</v>
      </c>
      <c r="AU191" s="46">
        <f>+AU376</f>
        <v>0</v>
      </c>
      <c r="AV191" s="46">
        <f>+AV376</f>
        <v>0</v>
      </c>
      <c r="AW191" s="46"/>
      <c r="AX191" s="46">
        <f t="shared" si="279"/>
        <v>0</v>
      </c>
      <c r="AY191" s="46">
        <f t="shared" si="279"/>
        <v>0</v>
      </c>
      <c r="AZ191" s="46">
        <f t="shared" si="279"/>
        <v>0</v>
      </c>
      <c r="BA191" s="46">
        <f t="shared" si="279"/>
        <v>0</v>
      </c>
      <c r="BB191" s="46">
        <f t="shared" si="279"/>
        <v>0</v>
      </c>
      <c r="BC191" s="46">
        <f>+BC376</f>
        <v>6813379</v>
      </c>
      <c r="BD191" s="46">
        <f t="shared" si="277"/>
        <v>0</v>
      </c>
      <c r="BE191" s="46"/>
      <c r="BF191" s="46">
        <f t="shared" si="264"/>
        <v>18918054</v>
      </c>
      <c r="BG191" s="1">
        <f t="shared" si="258"/>
        <v>7738584</v>
      </c>
      <c r="BH191" s="46">
        <f t="shared" ref="BH191:BN191" si="280">+BH376</f>
        <v>0</v>
      </c>
      <c r="BI191" s="46">
        <f>+BI376</f>
        <v>0</v>
      </c>
      <c r="BJ191" s="46">
        <f t="shared" si="280"/>
        <v>0</v>
      </c>
      <c r="BK191" s="46">
        <f t="shared" si="280"/>
        <v>0</v>
      </c>
      <c r="BL191" s="46">
        <f>+BL376</f>
        <v>0</v>
      </c>
      <c r="BM191" s="46">
        <f>+BM376</f>
        <v>0</v>
      </c>
      <c r="BN191" s="46">
        <f t="shared" si="280"/>
        <v>0</v>
      </c>
      <c r="BO191" s="46"/>
      <c r="BP191" s="46">
        <f t="shared" si="269"/>
        <v>0</v>
      </c>
      <c r="BQ191" s="97">
        <f t="shared" si="270"/>
        <v>0</v>
      </c>
      <c r="BR191" s="46">
        <f t="shared" ref="BR191:BW191" si="281">+BR376</f>
        <v>17906114</v>
      </c>
      <c r="BS191" s="46">
        <f t="shared" si="281"/>
        <v>0</v>
      </c>
      <c r="BT191" s="46">
        <f t="shared" si="281"/>
        <v>0</v>
      </c>
      <c r="BU191" s="46">
        <f t="shared" si="281"/>
        <v>0</v>
      </c>
      <c r="BV191" s="46">
        <f t="shared" si="281"/>
        <v>0</v>
      </c>
      <c r="BW191" s="46">
        <f t="shared" si="281"/>
        <v>2453628</v>
      </c>
      <c r="BX191" s="46"/>
      <c r="BY191" s="46">
        <f>SUM(BR191:BX191)</f>
        <v>20359742</v>
      </c>
      <c r="BZ191" s="1">
        <f t="shared" si="255"/>
        <v>2453628</v>
      </c>
      <c r="CA191" s="1">
        <f t="shared" si="251"/>
        <v>10192212</v>
      </c>
      <c r="CB191" s="1"/>
      <c r="CC191" s="1"/>
      <c r="CD191" s="1"/>
      <c r="CE191" s="1"/>
      <c r="CF191" s="1"/>
      <c r="CG191" s="1"/>
      <c r="CH191" s="1"/>
      <c r="CI191" s="1"/>
      <c r="CJ191" s="1"/>
      <c r="CK191" s="1"/>
      <c r="CL191" s="1"/>
      <c r="CM191" s="1"/>
      <c r="CN191" s="1"/>
      <c r="CO191" s="1"/>
      <c r="CP191" s="1"/>
      <c r="CQ191" s="1"/>
      <c r="CR191" s="1"/>
      <c r="CS191" s="1"/>
      <c r="CT191" s="5"/>
      <c r="CU191" s="1"/>
      <c r="CW191" s="46"/>
      <c r="CX191" s="46"/>
      <c r="CY191" s="46"/>
      <c r="CZ191" s="46"/>
      <c r="DA191" s="46"/>
      <c r="DB191" s="46"/>
      <c r="DC191" s="46"/>
      <c r="DD191" s="46"/>
      <c r="DE191" s="46"/>
      <c r="DF191" s="46"/>
      <c r="DG191" s="46"/>
      <c r="DH191" s="46"/>
      <c r="DI191" s="46"/>
      <c r="DJ191" s="46"/>
      <c r="DK191" s="46"/>
      <c r="DL191" s="46"/>
      <c r="DM191" s="46"/>
      <c r="DN191" s="46"/>
      <c r="DO191" s="46"/>
      <c r="DP191" s="46"/>
      <c r="DQ191" s="46"/>
      <c r="DR191" s="46"/>
      <c r="DS191" s="46"/>
      <c r="DT191" s="46"/>
      <c r="DW191" s="1">
        <f t="shared" si="261"/>
        <v>0</v>
      </c>
      <c r="DX191" s="1"/>
      <c r="DY191" s="1"/>
      <c r="DZ191" s="1"/>
      <c r="EB191" s="46">
        <f>+EB376</f>
        <v>0</v>
      </c>
      <c r="EC191" s="46"/>
      <c r="ED191" s="1"/>
      <c r="EE191" s="46"/>
      <c r="EF191" s="46"/>
      <c r="EG191" s="1"/>
      <c r="EL191" s="1"/>
      <c r="EM191" s="1"/>
      <c r="EQ191" s="1"/>
    </row>
    <row r="192" spans="1:147" ht="15.75">
      <c r="A192" s="1"/>
      <c r="B192" s="89" t="s">
        <v>2347</v>
      </c>
      <c r="C192" s="11"/>
      <c r="D192" s="46">
        <f>+D382</f>
        <v>2877311</v>
      </c>
      <c r="E192" s="46">
        <f t="shared" ref="E192:BD192" si="282">+E382</f>
        <v>0</v>
      </c>
      <c r="F192" s="46">
        <f t="shared" si="282"/>
        <v>0</v>
      </c>
      <c r="G192" s="46">
        <f t="shared" si="282"/>
        <v>0</v>
      </c>
      <c r="H192" s="46">
        <f t="shared" si="282"/>
        <v>0</v>
      </c>
      <c r="I192" s="46">
        <f t="shared" si="282"/>
        <v>0</v>
      </c>
      <c r="J192" s="46">
        <f t="shared" si="282"/>
        <v>0</v>
      </c>
      <c r="K192" s="46">
        <f t="shared" si="282"/>
        <v>0</v>
      </c>
      <c r="L192" s="46">
        <f>+L382</f>
        <v>0</v>
      </c>
      <c r="M192" s="46">
        <f t="shared" si="282"/>
        <v>0</v>
      </c>
      <c r="N192" s="46">
        <f>+N382</f>
        <v>0</v>
      </c>
      <c r="O192" s="46">
        <f t="shared" si="282"/>
        <v>0</v>
      </c>
      <c r="P192" s="46">
        <f t="shared" si="282"/>
        <v>0</v>
      </c>
      <c r="Q192" s="46">
        <f t="shared" si="282"/>
        <v>0</v>
      </c>
      <c r="R192" s="46">
        <f t="shared" si="282"/>
        <v>0</v>
      </c>
      <c r="S192" s="46">
        <f t="shared" si="282"/>
        <v>0</v>
      </c>
      <c r="T192" s="46">
        <f t="shared" si="282"/>
        <v>0</v>
      </c>
      <c r="U192" s="46">
        <f t="shared" si="282"/>
        <v>0</v>
      </c>
      <c r="V192" s="46">
        <f t="shared" si="282"/>
        <v>0</v>
      </c>
      <c r="W192" s="46">
        <f t="shared" si="282"/>
        <v>0</v>
      </c>
      <c r="X192" s="46">
        <f t="shared" si="282"/>
        <v>0</v>
      </c>
      <c r="Y192" s="46">
        <f t="shared" si="282"/>
        <v>35779</v>
      </c>
      <c r="Z192" s="46">
        <f t="shared" si="282"/>
        <v>0</v>
      </c>
      <c r="AA192" s="46">
        <f t="shared" si="282"/>
        <v>0</v>
      </c>
      <c r="AB192" s="46">
        <f>+AB382</f>
        <v>0</v>
      </c>
      <c r="AC192" s="46">
        <f t="shared" si="282"/>
        <v>0</v>
      </c>
      <c r="AD192" s="46">
        <f t="shared" si="282"/>
        <v>28133</v>
      </c>
      <c r="AE192" s="46">
        <f t="shared" si="282"/>
        <v>0</v>
      </c>
      <c r="AF192" s="46">
        <f t="shared" si="282"/>
        <v>0</v>
      </c>
      <c r="AG192" s="46">
        <f t="shared" si="282"/>
        <v>0</v>
      </c>
      <c r="AH192" s="46">
        <f t="shared" si="282"/>
        <v>0</v>
      </c>
      <c r="AI192" s="46">
        <f t="shared" si="282"/>
        <v>0</v>
      </c>
      <c r="AJ192" s="46">
        <f t="shared" si="282"/>
        <v>0</v>
      </c>
      <c r="AK192" s="46">
        <f t="shared" si="282"/>
        <v>0</v>
      </c>
      <c r="AL192" s="46">
        <f t="shared" ref="AL192:AQ192" si="283">+AL382</f>
        <v>0</v>
      </c>
      <c r="AM192" s="46">
        <f t="shared" si="283"/>
        <v>0</v>
      </c>
      <c r="AN192" s="46">
        <f t="shared" si="283"/>
        <v>0</v>
      </c>
      <c r="AO192" s="46">
        <f t="shared" si="283"/>
        <v>0</v>
      </c>
      <c r="AP192" s="46">
        <f t="shared" si="283"/>
        <v>0</v>
      </c>
      <c r="AQ192" s="46">
        <f t="shared" si="283"/>
        <v>0</v>
      </c>
      <c r="AR192" s="46">
        <f t="shared" ref="AR192:BC192" si="284">+AR382</f>
        <v>0</v>
      </c>
      <c r="AS192" s="46">
        <f t="shared" si="284"/>
        <v>0</v>
      </c>
      <c r="AT192" s="46">
        <f>+AT382</f>
        <v>0</v>
      </c>
      <c r="AU192" s="46">
        <f>+AU382</f>
        <v>0</v>
      </c>
      <c r="AV192" s="46">
        <f>+AV382</f>
        <v>0</v>
      </c>
      <c r="AW192" s="46"/>
      <c r="AX192" s="46">
        <f t="shared" si="284"/>
        <v>0</v>
      </c>
      <c r="AY192" s="46">
        <f t="shared" si="284"/>
        <v>0</v>
      </c>
      <c r="AZ192" s="46">
        <f t="shared" si="284"/>
        <v>0</v>
      </c>
      <c r="BA192" s="46">
        <f t="shared" si="284"/>
        <v>0</v>
      </c>
      <c r="BB192" s="46">
        <f t="shared" si="284"/>
        <v>0</v>
      </c>
      <c r="BC192" s="46">
        <f t="shared" si="284"/>
        <v>0</v>
      </c>
      <c r="BD192" s="46">
        <f t="shared" si="282"/>
        <v>0</v>
      </c>
      <c r="BE192" s="46"/>
      <c r="BF192" s="46">
        <f t="shared" si="264"/>
        <v>63912</v>
      </c>
      <c r="BG192" s="1">
        <f t="shared" si="258"/>
        <v>63912</v>
      </c>
      <c r="BH192" s="46">
        <f t="shared" ref="BH192:BN192" si="285">+BH382</f>
        <v>0</v>
      </c>
      <c r="BI192" s="46">
        <f>+BI382</f>
        <v>0</v>
      </c>
      <c r="BJ192" s="46">
        <f t="shared" si="285"/>
        <v>0</v>
      </c>
      <c r="BK192" s="46">
        <f t="shared" si="285"/>
        <v>0</v>
      </c>
      <c r="BL192" s="46">
        <f>+BL382</f>
        <v>0</v>
      </c>
      <c r="BM192" s="46">
        <f>+BM382</f>
        <v>0</v>
      </c>
      <c r="BN192" s="46">
        <f t="shared" si="285"/>
        <v>0</v>
      </c>
      <c r="BO192" s="46"/>
      <c r="BP192" s="46">
        <f t="shared" si="269"/>
        <v>0</v>
      </c>
      <c r="BQ192" s="97">
        <f t="shared" si="270"/>
        <v>0</v>
      </c>
      <c r="BR192" s="46">
        <f t="shared" ref="BR192:BW192" si="286">+BR382</f>
        <v>0</v>
      </c>
      <c r="BS192" s="46">
        <f t="shared" si="286"/>
        <v>0</v>
      </c>
      <c r="BT192" s="46">
        <f t="shared" si="286"/>
        <v>0</v>
      </c>
      <c r="BU192" s="46">
        <f t="shared" si="286"/>
        <v>0</v>
      </c>
      <c r="BV192" s="46">
        <f t="shared" si="286"/>
        <v>0</v>
      </c>
      <c r="BW192" s="46">
        <f t="shared" si="286"/>
        <v>0</v>
      </c>
      <c r="BX192" s="46"/>
      <c r="BY192" s="46">
        <f>SUM(BR192:BX192)</f>
        <v>0</v>
      </c>
      <c r="BZ192" s="1">
        <f t="shared" si="255"/>
        <v>0</v>
      </c>
      <c r="CA192" s="1">
        <f t="shared" si="251"/>
        <v>63912</v>
      </c>
      <c r="CB192" s="1"/>
      <c r="CC192" s="1"/>
      <c r="CD192" s="1"/>
      <c r="CE192" s="1"/>
      <c r="CF192" s="1"/>
      <c r="CG192" s="1"/>
      <c r="CH192" s="1"/>
      <c r="CI192" s="1"/>
      <c r="CJ192" s="1"/>
      <c r="CK192" s="1"/>
      <c r="CL192" s="1"/>
      <c r="CM192" s="1"/>
      <c r="CN192" s="1"/>
      <c r="CO192" s="1"/>
      <c r="CP192" s="1"/>
      <c r="CQ192" s="1"/>
      <c r="CR192" s="1"/>
      <c r="CS192" s="1"/>
      <c r="CT192" s="5"/>
      <c r="CU192" s="1"/>
      <c r="CW192" s="46"/>
      <c r="CX192" s="46"/>
      <c r="CY192" s="46"/>
      <c r="CZ192" s="46"/>
      <c r="DA192" s="46"/>
      <c r="DB192" s="46"/>
      <c r="DC192" s="46"/>
      <c r="DD192" s="46"/>
      <c r="DE192" s="46"/>
      <c r="DF192" s="46"/>
      <c r="DG192" s="46"/>
      <c r="DH192" s="46"/>
      <c r="DI192" s="46"/>
      <c r="DJ192" s="46"/>
      <c r="DK192" s="46"/>
      <c r="DL192" s="46"/>
      <c r="DM192" s="46"/>
      <c r="DN192" s="46"/>
      <c r="DO192" s="46"/>
      <c r="DP192" s="46"/>
      <c r="DQ192" s="46"/>
      <c r="DR192" s="46"/>
      <c r="DS192" s="46"/>
      <c r="DT192" s="46"/>
      <c r="DW192" s="1">
        <f t="shared" si="261"/>
        <v>0</v>
      </c>
      <c r="DX192" s="1"/>
      <c r="DY192" s="1"/>
      <c r="DZ192" s="1"/>
      <c r="EB192" s="46">
        <f>+EB382</f>
        <v>0</v>
      </c>
      <c r="EC192" s="46"/>
      <c r="ED192" s="1"/>
      <c r="EE192" s="46"/>
      <c r="EF192" s="46"/>
      <c r="EG192" s="1"/>
      <c r="EL192" s="1"/>
      <c r="EM192" s="1"/>
      <c r="EQ192" s="1"/>
    </row>
    <row r="193" spans="1:147" ht="15.75">
      <c r="A193" s="1"/>
      <c r="B193" s="89" t="s">
        <v>2348</v>
      </c>
      <c r="C193" s="11"/>
      <c r="D193" s="46">
        <f>+D384</f>
        <v>7125018</v>
      </c>
      <c r="E193" s="46">
        <f t="shared" ref="E193:BD193" si="287">+E384</f>
        <v>-102054</v>
      </c>
      <c r="F193" s="46">
        <f t="shared" si="287"/>
        <v>0</v>
      </c>
      <c r="G193" s="46">
        <f t="shared" si="287"/>
        <v>0</v>
      </c>
      <c r="H193" s="46">
        <f t="shared" si="287"/>
        <v>0</v>
      </c>
      <c r="I193" s="46">
        <f t="shared" si="287"/>
        <v>0</v>
      </c>
      <c r="J193" s="46">
        <f t="shared" si="287"/>
        <v>0</v>
      </c>
      <c r="K193" s="46">
        <f t="shared" si="287"/>
        <v>0</v>
      </c>
      <c r="L193" s="46">
        <f>+L384</f>
        <v>0</v>
      </c>
      <c r="M193" s="46">
        <f t="shared" si="287"/>
        <v>0</v>
      </c>
      <c r="N193" s="46">
        <f>+N384</f>
        <v>0</v>
      </c>
      <c r="O193" s="46">
        <f t="shared" si="287"/>
        <v>0</v>
      </c>
      <c r="P193" s="46">
        <f t="shared" si="287"/>
        <v>0</v>
      </c>
      <c r="Q193" s="46">
        <f t="shared" si="287"/>
        <v>0</v>
      </c>
      <c r="R193" s="46">
        <f t="shared" si="287"/>
        <v>0</v>
      </c>
      <c r="S193" s="46">
        <f t="shared" si="287"/>
        <v>0</v>
      </c>
      <c r="T193" s="46">
        <f t="shared" si="287"/>
        <v>0</v>
      </c>
      <c r="U193" s="46">
        <f t="shared" si="287"/>
        <v>0</v>
      </c>
      <c r="V193" s="46">
        <f t="shared" si="287"/>
        <v>0</v>
      </c>
      <c r="W193" s="46">
        <f t="shared" si="287"/>
        <v>0</v>
      </c>
      <c r="X193" s="46">
        <f t="shared" si="287"/>
        <v>0</v>
      </c>
      <c r="Y193" s="46">
        <f t="shared" si="287"/>
        <v>0</v>
      </c>
      <c r="Z193" s="46">
        <f t="shared" si="287"/>
        <v>0</v>
      </c>
      <c r="AA193" s="46">
        <f t="shared" si="287"/>
        <v>0</v>
      </c>
      <c r="AB193" s="46">
        <f>+AB384</f>
        <v>0</v>
      </c>
      <c r="AC193" s="46">
        <f t="shared" si="287"/>
        <v>0</v>
      </c>
      <c r="AD193" s="46">
        <f t="shared" si="287"/>
        <v>0</v>
      </c>
      <c r="AE193" s="46">
        <f t="shared" si="287"/>
        <v>0</v>
      </c>
      <c r="AF193" s="46">
        <f t="shared" si="287"/>
        <v>0</v>
      </c>
      <c r="AG193" s="46">
        <f t="shared" si="287"/>
        <v>0</v>
      </c>
      <c r="AH193" s="46">
        <f t="shared" si="287"/>
        <v>0</v>
      </c>
      <c r="AI193" s="46">
        <f t="shared" si="287"/>
        <v>0</v>
      </c>
      <c r="AJ193" s="46">
        <f t="shared" si="287"/>
        <v>0</v>
      </c>
      <c r="AK193" s="46">
        <f t="shared" si="287"/>
        <v>0</v>
      </c>
      <c r="AL193" s="46">
        <f t="shared" ref="AL193:AQ193" si="288">+AL384</f>
        <v>0</v>
      </c>
      <c r="AM193" s="46">
        <f t="shared" si="288"/>
        <v>0</v>
      </c>
      <c r="AN193" s="46">
        <f t="shared" si="288"/>
        <v>0</v>
      </c>
      <c r="AO193" s="46">
        <f t="shared" si="288"/>
        <v>0</v>
      </c>
      <c r="AP193" s="46">
        <f t="shared" si="288"/>
        <v>0</v>
      </c>
      <c r="AQ193" s="46">
        <f t="shared" si="288"/>
        <v>0</v>
      </c>
      <c r="AR193" s="46">
        <f t="shared" ref="AR193:BC193" si="289">+AR384</f>
        <v>0</v>
      </c>
      <c r="AS193" s="46">
        <f t="shared" si="289"/>
        <v>0</v>
      </c>
      <c r="AT193" s="46">
        <f>+AT384</f>
        <v>0</v>
      </c>
      <c r="AU193" s="46">
        <f>+AU384</f>
        <v>-1287</v>
      </c>
      <c r="AV193" s="46">
        <f>+AV384</f>
        <v>-22045</v>
      </c>
      <c r="AW193" s="46"/>
      <c r="AX193" s="46">
        <f t="shared" si="289"/>
        <v>-11972</v>
      </c>
      <c r="AY193" s="46">
        <f t="shared" si="289"/>
        <v>0</v>
      </c>
      <c r="AZ193" s="46">
        <f t="shared" si="289"/>
        <v>0</v>
      </c>
      <c r="BA193" s="46">
        <f t="shared" si="289"/>
        <v>-8728</v>
      </c>
      <c r="BB193" s="46">
        <f t="shared" si="289"/>
        <v>-287714</v>
      </c>
      <c r="BC193" s="46">
        <f t="shared" si="289"/>
        <v>0</v>
      </c>
      <c r="BD193" s="46">
        <f t="shared" si="287"/>
        <v>0</v>
      </c>
      <c r="BE193" s="46"/>
      <c r="BF193" s="46">
        <f t="shared" si="264"/>
        <v>-433800</v>
      </c>
      <c r="BG193" s="1">
        <f t="shared" si="258"/>
        <v>-146086</v>
      </c>
      <c r="BH193" s="46">
        <f t="shared" ref="BH193:BN193" si="290">+BH384</f>
        <v>0</v>
      </c>
      <c r="BI193" s="46">
        <f>+BI384</f>
        <v>0</v>
      </c>
      <c r="BJ193" s="46">
        <f t="shared" si="290"/>
        <v>0</v>
      </c>
      <c r="BK193" s="46">
        <f t="shared" si="290"/>
        <v>0</v>
      </c>
      <c r="BL193" s="46">
        <f>+BL384</f>
        <v>0</v>
      </c>
      <c r="BM193" s="46">
        <f>+BM384</f>
        <v>0</v>
      </c>
      <c r="BN193" s="46">
        <f t="shared" si="290"/>
        <v>0</v>
      </c>
      <c r="BO193" s="46"/>
      <c r="BP193" s="46">
        <f t="shared" si="269"/>
        <v>0</v>
      </c>
      <c r="BQ193" s="97">
        <f t="shared" si="270"/>
        <v>0</v>
      </c>
      <c r="BR193" s="46">
        <f t="shared" ref="BR193:BW193" si="291">+BR384</f>
        <v>0</v>
      </c>
      <c r="BS193" s="46">
        <f t="shared" si="291"/>
        <v>0</v>
      </c>
      <c r="BT193" s="46">
        <f t="shared" si="291"/>
        <v>-24383</v>
      </c>
      <c r="BU193" s="46">
        <f t="shared" si="291"/>
        <v>0</v>
      </c>
      <c r="BV193" s="46">
        <f t="shared" si="291"/>
        <v>0</v>
      </c>
      <c r="BW193" s="46">
        <f t="shared" si="291"/>
        <v>0</v>
      </c>
      <c r="BX193" s="46"/>
      <c r="BY193" s="46">
        <f>SUM(BR193:BX193)</f>
        <v>-24383</v>
      </c>
      <c r="BZ193" s="1">
        <f t="shared" si="255"/>
        <v>-24383</v>
      </c>
      <c r="CA193" s="1">
        <f t="shared" si="251"/>
        <v>-170469</v>
      </c>
      <c r="CB193" s="1"/>
      <c r="CC193" s="1"/>
      <c r="CD193" s="1"/>
      <c r="CE193" s="1"/>
      <c r="CF193" s="1"/>
      <c r="CG193" s="1"/>
      <c r="CH193" s="1"/>
      <c r="CI193" s="1"/>
      <c r="CJ193" s="1">
        <f>SUM(CB193:CI193)</f>
        <v>0</v>
      </c>
      <c r="CK193" s="1"/>
      <c r="CL193" s="1"/>
      <c r="CM193" s="1"/>
      <c r="CN193" s="1"/>
      <c r="CO193" s="1"/>
      <c r="CP193" s="1"/>
      <c r="CQ193" s="1"/>
      <c r="CR193" s="1"/>
      <c r="CS193" s="1"/>
      <c r="CT193" s="5"/>
      <c r="CU193" s="1"/>
      <c r="CW193" s="46"/>
      <c r="CX193" s="46"/>
      <c r="CY193" s="46"/>
      <c r="CZ193" s="46"/>
      <c r="DA193" s="46"/>
      <c r="DB193" s="46"/>
      <c r="DC193" s="46"/>
      <c r="DD193" s="46"/>
      <c r="DE193" s="46"/>
      <c r="DF193" s="46"/>
      <c r="DG193" s="46"/>
      <c r="DH193" s="46"/>
      <c r="DI193" s="46"/>
      <c r="DJ193" s="46"/>
      <c r="DK193" s="46"/>
      <c r="DL193" s="46"/>
      <c r="DM193" s="46"/>
      <c r="DN193" s="46"/>
      <c r="DO193" s="46"/>
      <c r="DP193" s="46"/>
      <c r="DQ193" s="46"/>
      <c r="DR193" s="46"/>
      <c r="DS193" s="46"/>
      <c r="DT193" s="46"/>
      <c r="DW193" s="1">
        <f t="shared" si="261"/>
        <v>0</v>
      </c>
      <c r="DX193" s="1"/>
      <c r="DY193" s="1"/>
      <c r="DZ193" s="1"/>
      <c r="EB193" s="46">
        <f>+EB384</f>
        <v>0</v>
      </c>
      <c r="EC193" s="46"/>
      <c r="ED193" s="1"/>
      <c r="EE193" s="46"/>
      <c r="EF193" s="46"/>
      <c r="EG193" s="1"/>
      <c r="EL193" s="1"/>
      <c r="EM193" s="1"/>
      <c r="EN193">
        <f>SUM(DE193:EM193)</f>
        <v>0</v>
      </c>
      <c r="EQ193" s="1"/>
    </row>
    <row r="194" spans="1:147" ht="15.75">
      <c r="A194" s="1"/>
      <c r="B194" s="89" t="s">
        <v>1599</v>
      </c>
      <c r="C194" s="11"/>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f t="shared" si="264"/>
        <v>0</v>
      </c>
      <c r="BG194" s="1">
        <f t="shared" si="258"/>
        <v>0</v>
      </c>
      <c r="BH194" s="46"/>
      <c r="BI194" s="46"/>
      <c r="BJ194" s="46"/>
      <c r="BK194" s="46"/>
      <c r="BL194" s="46"/>
      <c r="BM194" s="46"/>
      <c r="BN194" s="46"/>
      <c r="BO194" s="46"/>
      <c r="BP194" s="46">
        <f t="shared" si="269"/>
        <v>0</v>
      </c>
      <c r="BQ194" s="46"/>
      <c r="BR194" s="46"/>
      <c r="BS194" s="46"/>
      <c r="BT194" s="46"/>
      <c r="BU194" s="46"/>
      <c r="BV194" s="46"/>
      <c r="BW194" s="46"/>
      <c r="BX194" s="46"/>
      <c r="BY194" s="46">
        <f>SUM(BR194:BX194)</f>
        <v>0</v>
      </c>
      <c r="BZ194" s="1">
        <f t="shared" si="255"/>
        <v>0</v>
      </c>
      <c r="CA194" s="1">
        <f t="shared" si="251"/>
        <v>0</v>
      </c>
      <c r="CB194" s="1"/>
      <c r="CC194" s="1"/>
      <c r="CD194" s="1"/>
      <c r="CE194" s="1"/>
      <c r="CF194" s="1"/>
      <c r="CG194" s="1"/>
      <c r="CH194" s="1"/>
      <c r="CI194" s="1"/>
      <c r="CJ194" s="1">
        <f>SUM(CB194:CI194)</f>
        <v>0</v>
      </c>
      <c r="CK194" s="1"/>
      <c r="CL194" s="1"/>
      <c r="CM194" s="1"/>
      <c r="CN194" s="1"/>
      <c r="CO194" s="1"/>
      <c r="CP194" s="1"/>
      <c r="CQ194" s="1"/>
      <c r="CR194" s="1"/>
      <c r="CS194" s="1"/>
      <c r="CT194" s="5"/>
      <c r="CU194" s="1"/>
      <c r="CW194" s="46"/>
      <c r="CX194" s="46"/>
      <c r="CY194" s="46"/>
      <c r="CZ194" s="46"/>
      <c r="DA194" s="46"/>
      <c r="DB194" s="46"/>
      <c r="DC194" s="46"/>
      <c r="DD194" s="46"/>
      <c r="DE194" s="46"/>
      <c r="DF194" s="46"/>
      <c r="DG194" s="46"/>
      <c r="DH194" s="46"/>
      <c r="DI194" s="46"/>
      <c r="DJ194" s="46"/>
      <c r="DK194" s="46"/>
      <c r="DL194" s="46"/>
      <c r="DM194" s="46"/>
      <c r="DN194" s="46"/>
      <c r="DO194" s="46"/>
      <c r="DP194" s="46"/>
      <c r="DQ194" s="46"/>
      <c r="DR194" s="46"/>
      <c r="DS194" s="46"/>
      <c r="DT194" s="46"/>
      <c r="DW194" s="1">
        <f t="shared" si="261"/>
        <v>0</v>
      </c>
      <c r="DX194" s="1"/>
      <c r="DY194" s="1"/>
      <c r="DZ194" s="1"/>
      <c r="EB194" s="46"/>
      <c r="EC194" s="46"/>
      <c r="ED194" s="1"/>
      <c r="EE194" s="46"/>
      <c r="EF194" s="46"/>
      <c r="EG194" s="1"/>
      <c r="EL194" s="1"/>
      <c r="EM194" s="1">
        <f>EM94</f>
        <v>0</v>
      </c>
      <c r="EN194">
        <f>SUM(DE194:EM194)</f>
        <v>0</v>
      </c>
      <c r="EQ194" s="1"/>
    </row>
    <row r="195" spans="1:147" ht="15.75">
      <c r="A195" s="1"/>
      <c r="B195" s="89" t="s">
        <v>1600</v>
      </c>
      <c r="C195" s="11"/>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f t="shared" si="264"/>
        <v>0</v>
      </c>
      <c r="BG195" s="1">
        <f t="shared" si="258"/>
        <v>0</v>
      </c>
      <c r="BH195" s="46"/>
      <c r="BI195" s="46"/>
      <c r="BJ195" s="46"/>
      <c r="BK195" s="46"/>
      <c r="BL195" s="46"/>
      <c r="BM195" s="46"/>
      <c r="BN195" s="46"/>
      <c r="BO195" s="46"/>
      <c r="BP195" s="46">
        <f t="shared" si="269"/>
        <v>0</v>
      </c>
      <c r="BQ195" s="46"/>
      <c r="BR195" s="46"/>
      <c r="BS195" s="46"/>
      <c r="BT195" s="46"/>
      <c r="BU195" s="46"/>
      <c r="BV195" s="46"/>
      <c r="BW195" s="46"/>
      <c r="BX195" s="46"/>
      <c r="BY195" s="46"/>
      <c r="BZ195" s="1">
        <f t="shared" si="255"/>
        <v>0</v>
      </c>
      <c r="CA195" s="1">
        <f t="shared" si="251"/>
        <v>0</v>
      </c>
      <c r="CB195" s="1"/>
      <c r="CC195" s="1"/>
      <c r="CD195" s="1"/>
      <c r="CE195" s="1"/>
      <c r="CF195" s="1"/>
      <c r="CG195" s="1"/>
      <c r="CH195" s="1"/>
      <c r="CI195" s="1"/>
      <c r="CJ195" s="1"/>
      <c r="CK195" s="1"/>
      <c r="CL195" s="1"/>
      <c r="CM195" s="1"/>
      <c r="CN195" s="1"/>
      <c r="CO195" s="1"/>
      <c r="CP195" s="1"/>
      <c r="CQ195" s="1"/>
      <c r="CR195" s="1"/>
      <c r="CS195" s="1"/>
      <c r="CT195" s="5"/>
      <c r="CU195" s="1"/>
      <c r="CW195" s="46"/>
      <c r="CX195" s="46"/>
      <c r="CY195" s="46"/>
      <c r="CZ195" s="46"/>
      <c r="DA195" s="46"/>
      <c r="DB195" s="46"/>
      <c r="DC195" s="46"/>
      <c r="DD195" s="46"/>
      <c r="DE195" s="46"/>
      <c r="DF195" s="46"/>
      <c r="DG195" s="46"/>
      <c r="DH195" s="46"/>
      <c r="DI195" s="46"/>
      <c r="DJ195" s="46"/>
      <c r="DK195" s="46"/>
      <c r="DL195" s="46"/>
      <c r="DM195" s="46"/>
      <c r="DN195" s="46"/>
      <c r="DO195" s="46"/>
      <c r="DP195" s="46"/>
      <c r="DQ195" s="46"/>
      <c r="DR195" s="46"/>
      <c r="DS195" s="46"/>
      <c r="DT195" s="46"/>
      <c r="DW195" s="1">
        <f t="shared" si="261"/>
        <v>0</v>
      </c>
      <c r="DX195" s="1"/>
      <c r="DY195" s="1"/>
      <c r="DZ195" s="1"/>
      <c r="EB195" s="46"/>
      <c r="EC195" s="46"/>
      <c r="ED195" s="1"/>
      <c r="EE195" s="46"/>
      <c r="EF195" s="46"/>
      <c r="EG195" s="1"/>
      <c r="EL195" s="1"/>
      <c r="EM195" s="1"/>
      <c r="EN195">
        <f>SUM(DE195:EM195)</f>
        <v>0</v>
      </c>
      <c r="EQ195" s="1"/>
    </row>
    <row r="196" spans="1:147" ht="15.75">
      <c r="A196" s="1"/>
      <c r="B196" s="89" t="s">
        <v>1601</v>
      </c>
      <c r="C196" s="11"/>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f t="shared" si="264"/>
        <v>0</v>
      </c>
      <c r="BG196" s="1">
        <f t="shared" si="258"/>
        <v>0</v>
      </c>
      <c r="BH196" s="46"/>
      <c r="BI196" s="46"/>
      <c r="BJ196" s="46"/>
      <c r="BK196" s="46"/>
      <c r="BL196" s="46"/>
      <c r="BM196" s="46"/>
      <c r="BN196" s="46"/>
      <c r="BO196" s="46"/>
      <c r="BP196" s="46">
        <f t="shared" si="269"/>
        <v>0</v>
      </c>
      <c r="BQ196" s="46"/>
      <c r="BR196" s="46"/>
      <c r="BS196" s="46"/>
      <c r="BT196" s="46"/>
      <c r="BU196" s="46"/>
      <c r="BV196" s="46"/>
      <c r="BW196" s="46"/>
      <c r="BX196" s="46"/>
      <c r="BY196" s="46">
        <f>SUM(BR196:BX196)</f>
        <v>0</v>
      </c>
      <c r="BZ196" s="1">
        <f t="shared" si="255"/>
        <v>0</v>
      </c>
      <c r="CA196" s="1">
        <f t="shared" si="251"/>
        <v>0</v>
      </c>
      <c r="CB196" s="1"/>
      <c r="CC196" s="1"/>
      <c r="CD196" s="1"/>
      <c r="CE196" s="1"/>
      <c r="CF196" s="1"/>
      <c r="CG196" s="1"/>
      <c r="CH196" s="1"/>
      <c r="CI196" s="1"/>
      <c r="CJ196" s="1">
        <f>SUM(CB196:CI196)</f>
        <v>0</v>
      </c>
      <c r="CK196" s="1"/>
      <c r="CL196" s="1"/>
      <c r="CM196" s="1"/>
      <c r="CN196" s="1"/>
      <c r="CO196" s="1"/>
      <c r="CP196" s="1"/>
      <c r="CQ196" s="1"/>
      <c r="CR196" s="1"/>
      <c r="CS196" s="1"/>
      <c r="CT196" s="5"/>
      <c r="CU196" s="1"/>
      <c r="CW196" s="46"/>
      <c r="CX196" s="46"/>
      <c r="CY196" s="46"/>
      <c r="CZ196" s="46"/>
      <c r="DA196" s="46"/>
      <c r="DB196" s="46"/>
      <c r="DC196" s="46"/>
      <c r="DD196" s="46"/>
      <c r="DE196" s="46"/>
      <c r="DF196" s="46"/>
      <c r="DG196" s="46"/>
      <c r="DH196" s="46"/>
      <c r="DI196" s="46"/>
      <c r="DJ196" s="46"/>
      <c r="DK196" s="46"/>
      <c r="DL196" s="46"/>
      <c r="DM196" s="46"/>
      <c r="DN196" s="46"/>
      <c r="DO196" s="46"/>
      <c r="DP196" s="46"/>
      <c r="DQ196" s="46"/>
      <c r="DR196" s="46"/>
      <c r="DS196" s="46"/>
      <c r="DT196" s="46"/>
      <c r="DW196" s="1">
        <f t="shared" si="261"/>
        <v>0</v>
      </c>
      <c r="DX196" s="1"/>
      <c r="DY196" s="1"/>
      <c r="DZ196" s="1"/>
      <c r="EB196" s="46"/>
      <c r="EC196" s="46"/>
      <c r="ED196" s="1"/>
      <c r="EE196" s="46"/>
      <c r="EF196" s="46"/>
      <c r="EG196" s="1"/>
      <c r="EL196" s="1"/>
      <c r="EM196" s="1"/>
      <c r="EN196">
        <f>SUM(DE196:EM196)</f>
        <v>0</v>
      </c>
      <c r="EQ196" s="1"/>
    </row>
    <row r="197" spans="1:147" ht="15.75">
      <c r="A197" s="1"/>
      <c r="B197" s="89" t="s">
        <v>1602</v>
      </c>
      <c r="C197" s="11"/>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f t="shared" si="264"/>
        <v>0</v>
      </c>
      <c r="BG197" s="1">
        <f t="shared" si="258"/>
        <v>0</v>
      </c>
      <c r="BH197" s="46"/>
      <c r="BI197" s="46"/>
      <c r="BJ197" s="46"/>
      <c r="BK197" s="46"/>
      <c r="BL197" s="46"/>
      <c r="BM197" s="46"/>
      <c r="BN197" s="46"/>
      <c r="BO197" s="46"/>
      <c r="BP197" s="46"/>
      <c r="BQ197" s="46"/>
      <c r="BR197" s="46"/>
      <c r="BS197" s="46"/>
      <c r="BT197" s="46"/>
      <c r="BU197" s="46"/>
      <c r="BV197" s="46"/>
      <c r="BW197" s="46"/>
      <c r="BX197" s="46"/>
      <c r="BY197" s="46">
        <f>SUM(BR197:BX197)</f>
        <v>0</v>
      </c>
      <c r="BZ197" s="1">
        <f t="shared" si="255"/>
        <v>0</v>
      </c>
      <c r="CA197" s="1">
        <f t="shared" si="251"/>
        <v>0</v>
      </c>
      <c r="CB197" s="1"/>
      <c r="CC197" s="1"/>
      <c r="CD197" s="1"/>
      <c r="CE197" s="1"/>
      <c r="CF197" s="1"/>
      <c r="CG197" s="1"/>
      <c r="CH197" s="1"/>
      <c r="CI197" s="1"/>
      <c r="CJ197" s="1"/>
      <c r="CK197" s="1"/>
      <c r="CL197" s="1"/>
      <c r="CM197" s="1"/>
      <c r="CN197" s="1"/>
      <c r="CO197" s="1"/>
      <c r="CP197" s="1"/>
      <c r="CQ197" s="1"/>
      <c r="CR197" s="1"/>
      <c r="CS197" s="1"/>
      <c r="CT197" s="5"/>
      <c r="CU197" s="1"/>
      <c r="CW197" s="46"/>
      <c r="CX197" s="46"/>
      <c r="CY197" s="46"/>
      <c r="CZ197" s="46"/>
      <c r="DA197" s="46"/>
      <c r="DB197" s="46"/>
      <c r="DC197" s="46"/>
      <c r="DD197" s="46"/>
      <c r="DE197" s="46"/>
      <c r="DF197" s="46"/>
      <c r="DG197" s="46"/>
      <c r="DH197" s="46"/>
      <c r="DI197" s="46"/>
      <c r="DJ197" s="46"/>
      <c r="DK197" s="46"/>
      <c r="DL197" s="46"/>
      <c r="DM197" s="46"/>
      <c r="DN197" s="46"/>
      <c r="DO197" s="46"/>
      <c r="DP197" s="46"/>
      <c r="DQ197" s="46"/>
      <c r="DR197" s="46"/>
      <c r="DS197" s="46"/>
      <c r="DT197" s="46"/>
      <c r="DW197" s="1">
        <f t="shared" si="261"/>
        <v>0</v>
      </c>
      <c r="DX197" s="1"/>
      <c r="DY197" s="1"/>
      <c r="DZ197" s="1"/>
      <c r="EB197" s="46"/>
      <c r="EC197" s="46"/>
      <c r="ED197" s="1"/>
      <c r="EE197" s="46"/>
      <c r="EF197" s="46"/>
      <c r="EG197" s="1"/>
      <c r="EL197" s="1"/>
      <c r="EM197" s="1"/>
      <c r="EQ197" s="1"/>
    </row>
    <row r="198" spans="1:147" ht="15.75">
      <c r="A198" s="1"/>
      <c r="B198" s="89" t="s">
        <v>1603</v>
      </c>
      <c r="C198" s="11"/>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f t="shared" si="264"/>
        <v>0</v>
      </c>
      <c r="BG198" s="1">
        <f t="shared" si="258"/>
        <v>0</v>
      </c>
      <c r="BH198" s="46"/>
      <c r="BI198" s="46"/>
      <c r="BJ198" s="46"/>
      <c r="BK198" s="46"/>
      <c r="BL198" s="46"/>
      <c r="BM198" s="46"/>
      <c r="BN198" s="46"/>
      <c r="BO198" s="46"/>
      <c r="BP198" s="46"/>
      <c r="BQ198" s="46"/>
      <c r="BR198" s="46"/>
      <c r="BS198" s="46"/>
      <c r="BT198" s="46"/>
      <c r="BU198" s="46"/>
      <c r="BV198" s="46"/>
      <c r="BW198" s="46"/>
      <c r="BX198" s="46"/>
      <c r="BY198" s="46"/>
      <c r="BZ198" s="1">
        <f t="shared" si="255"/>
        <v>0</v>
      </c>
      <c r="CA198" s="1">
        <f t="shared" si="251"/>
        <v>0</v>
      </c>
      <c r="CB198" s="1"/>
      <c r="CC198" s="1"/>
      <c r="CD198" s="1"/>
      <c r="CE198" s="1"/>
      <c r="CF198" s="1"/>
      <c r="CG198" s="1"/>
      <c r="CH198" s="1"/>
      <c r="CI198" s="1"/>
      <c r="CJ198" s="1"/>
      <c r="CK198" s="1"/>
      <c r="CL198" s="1"/>
      <c r="CM198" s="1"/>
      <c r="CN198" s="1"/>
      <c r="CO198" s="1"/>
      <c r="CP198" s="1"/>
      <c r="CQ198" s="1"/>
      <c r="CR198" s="1"/>
      <c r="CS198" s="1"/>
      <c r="CT198" s="5"/>
      <c r="CU198" s="1"/>
      <c r="CW198" s="46"/>
      <c r="CX198" s="46"/>
      <c r="CY198" s="46"/>
      <c r="CZ198" s="46"/>
      <c r="DA198" s="46"/>
      <c r="DB198" s="46"/>
      <c r="DC198" s="46"/>
      <c r="DD198" s="46"/>
      <c r="DE198" s="46"/>
      <c r="DF198" s="46"/>
      <c r="DG198" s="46"/>
      <c r="DH198" s="46"/>
      <c r="DI198" s="46"/>
      <c r="DJ198" s="46"/>
      <c r="DK198" s="46"/>
      <c r="DL198" s="46"/>
      <c r="DM198" s="46"/>
      <c r="DN198" s="46"/>
      <c r="DO198" s="46"/>
      <c r="DP198" s="46"/>
      <c r="DQ198" s="46"/>
      <c r="DR198" s="46"/>
      <c r="DS198" s="46"/>
      <c r="DT198" s="46"/>
      <c r="DW198" s="1">
        <f t="shared" si="261"/>
        <v>0</v>
      </c>
      <c r="DX198" s="1"/>
      <c r="DY198" s="1"/>
      <c r="DZ198" s="1"/>
      <c r="EB198" s="46"/>
      <c r="EC198" s="46"/>
      <c r="ED198" s="1"/>
      <c r="EE198" s="46"/>
      <c r="EF198" s="46"/>
      <c r="EG198" s="1"/>
      <c r="EL198" s="1"/>
      <c r="EM198" s="1"/>
      <c r="EN198">
        <f t="shared" ref="EN198:EN209" si="292">SUM(DE198:EM198)</f>
        <v>0</v>
      </c>
      <c r="EQ198" s="1"/>
    </row>
    <row r="199" spans="1:147" ht="15.75">
      <c r="A199" s="1"/>
      <c r="B199" s="89" t="s">
        <v>1604</v>
      </c>
      <c r="C199" s="11"/>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f t="shared" si="264"/>
        <v>0</v>
      </c>
      <c r="BG199" s="1">
        <f t="shared" si="258"/>
        <v>0</v>
      </c>
      <c r="BH199" s="46"/>
      <c r="BI199" s="46"/>
      <c r="BJ199" s="46"/>
      <c r="BK199" s="46"/>
      <c r="BL199" s="46"/>
      <c r="BM199" s="46"/>
      <c r="BN199" s="46"/>
      <c r="BO199" s="46"/>
      <c r="BP199" s="46">
        <f>SUM(BH199:BN199)</f>
        <v>0</v>
      </c>
      <c r="BQ199" s="46"/>
      <c r="BR199" s="46"/>
      <c r="BS199" s="46"/>
      <c r="BT199" s="46"/>
      <c r="BU199" s="46"/>
      <c r="BV199" s="46"/>
      <c r="BW199" s="46"/>
      <c r="BX199" s="46"/>
      <c r="BY199" s="46">
        <f t="shared" ref="BY199:BY205" si="293">SUM(BR199:BX199)</f>
        <v>0</v>
      </c>
      <c r="BZ199" s="1">
        <f t="shared" si="255"/>
        <v>0</v>
      </c>
      <c r="CA199" s="1">
        <f t="shared" si="251"/>
        <v>0</v>
      </c>
      <c r="CB199" s="1"/>
      <c r="CC199" s="1"/>
      <c r="CD199" s="1"/>
      <c r="CE199" s="1"/>
      <c r="CF199" s="1"/>
      <c r="CG199" s="1"/>
      <c r="CH199" s="1"/>
      <c r="CI199" s="1"/>
      <c r="CJ199" s="1">
        <f>SUM(CB199:CI199)</f>
        <v>0</v>
      </c>
      <c r="CK199" s="1"/>
      <c r="CL199" s="1"/>
      <c r="CM199" s="1"/>
      <c r="CN199" s="1"/>
      <c r="CO199" s="1"/>
      <c r="CP199" s="1"/>
      <c r="CQ199" s="1"/>
      <c r="CR199" s="1"/>
      <c r="CS199" s="1"/>
      <c r="CT199" s="5"/>
      <c r="CU199" s="1"/>
      <c r="CW199" s="46"/>
      <c r="CX199" s="46"/>
      <c r="CY199" s="46"/>
      <c r="CZ199" s="46"/>
      <c r="DA199" s="46"/>
      <c r="DB199" s="46"/>
      <c r="DC199" s="46"/>
      <c r="DD199" s="46"/>
      <c r="DE199" s="46"/>
      <c r="DF199" s="46"/>
      <c r="DG199" s="46"/>
      <c r="DH199" s="46"/>
      <c r="DI199" s="46"/>
      <c r="DJ199" s="46"/>
      <c r="DK199" s="46"/>
      <c r="DL199" s="46"/>
      <c r="DM199" s="46"/>
      <c r="DN199" s="46"/>
      <c r="DO199" s="46"/>
      <c r="DP199" s="46"/>
      <c r="DQ199" s="46"/>
      <c r="DR199" s="46"/>
      <c r="DS199" s="46"/>
      <c r="DT199" s="46"/>
      <c r="DW199" s="1">
        <f t="shared" si="261"/>
        <v>0</v>
      </c>
      <c r="DX199" s="1"/>
      <c r="DY199" s="1"/>
      <c r="DZ199" s="1"/>
      <c r="EB199" s="46"/>
      <c r="EC199" s="46"/>
      <c r="ED199" s="1"/>
      <c r="EE199" s="46"/>
      <c r="EF199" s="46"/>
      <c r="EG199" s="1"/>
      <c r="EL199" s="1"/>
      <c r="EM199" s="1"/>
      <c r="EN199">
        <f t="shared" si="292"/>
        <v>0</v>
      </c>
      <c r="EQ199" s="1"/>
    </row>
    <row r="200" spans="1:147" ht="15.75">
      <c r="A200" s="1"/>
      <c r="B200" s="89" t="s">
        <v>1605</v>
      </c>
      <c r="C200" s="11"/>
      <c r="BE200" s="46"/>
      <c r="BF200" s="46">
        <f t="shared" si="264"/>
        <v>0</v>
      </c>
      <c r="BG200" s="1">
        <f t="shared" si="258"/>
        <v>0</v>
      </c>
      <c r="BO200" s="46"/>
      <c r="BP200" s="46">
        <f>SUM(BH200:BN200)</f>
        <v>0</v>
      </c>
      <c r="BQ200" s="46"/>
      <c r="BX200" s="46"/>
      <c r="BY200" s="46">
        <f t="shared" si="293"/>
        <v>0</v>
      </c>
      <c r="BZ200" s="1">
        <f t="shared" si="255"/>
        <v>0</v>
      </c>
      <c r="CA200" s="1">
        <f t="shared" si="251"/>
        <v>0</v>
      </c>
      <c r="CB200" s="1"/>
      <c r="CC200" s="1"/>
      <c r="CD200" s="1"/>
      <c r="CE200" s="1"/>
      <c r="CF200" s="1"/>
      <c r="CG200" s="1"/>
      <c r="CH200" s="1"/>
      <c r="CI200" s="1"/>
      <c r="CJ200" s="1">
        <f>SUM(CB200:CI200)</f>
        <v>0</v>
      </c>
      <c r="CK200" s="1"/>
      <c r="CL200" s="1"/>
      <c r="CM200" s="1"/>
      <c r="CN200" s="1"/>
      <c r="CO200" s="1"/>
      <c r="CP200" s="1"/>
      <c r="CQ200" s="1"/>
      <c r="CR200" s="1"/>
      <c r="CS200" s="1"/>
      <c r="CT200" s="5"/>
      <c r="CU200" s="1">
        <f>SUM(CL200:CT200)</f>
        <v>0</v>
      </c>
      <c r="CW200" s="46"/>
      <c r="CX200" s="46"/>
      <c r="CY200" s="46"/>
      <c r="CZ200" s="46"/>
      <c r="DA200" s="46"/>
      <c r="DB200" s="46"/>
      <c r="DC200" s="46"/>
      <c r="DD200" s="46"/>
      <c r="DE200" s="46"/>
      <c r="DF200" s="46"/>
      <c r="DG200" s="46"/>
      <c r="DH200" s="46"/>
      <c r="DI200" s="46"/>
      <c r="DJ200" s="46"/>
      <c r="DK200" s="46"/>
      <c r="DL200" s="46"/>
      <c r="DM200" s="46"/>
      <c r="DN200" s="46"/>
      <c r="DO200" s="46"/>
      <c r="DP200" s="46"/>
      <c r="DQ200" s="46"/>
      <c r="DR200" s="46"/>
      <c r="DS200" s="46"/>
      <c r="DT200" s="46"/>
      <c r="DW200" s="1"/>
      <c r="DX200" s="1"/>
      <c r="DY200" s="1"/>
      <c r="DZ200" s="1"/>
      <c r="EB200" s="46"/>
      <c r="EC200" s="46"/>
      <c r="ED200" s="1"/>
      <c r="EE200" s="46"/>
      <c r="EF200" s="46"/>
      <c r="EG200" s="1"/>
      <c r="EL200" s="32">
        <f>+'Sys INPUT'!HT164+'Sys INPUT'!HU164+EL331+0+0</f>
        <v>0</v>
      </c>
      <c r="EM200" s="1">
        <f>+'Sys INPUT'!HV164-INPUT!EM194-EM183-EM181+EM249+EM331</f>
        <v>0</v>
      </c>
      <c r="EN200">
        <f t="shared" si="292"/>
        <v>0</v>
      </c>
    </row>
    <row r="201" spans="1:147" ht="15.75">
      <c r="A201" s="1"/>
      <c r="B201" s="89" t="s">
        <v>1606</v>
      </c>
      <c r="C201" s="11"/>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f t="shared" si="264"/>
        <v>0</v>
      </c>
      <c r="BG201" s="1">
        <f t="shared" si="258"/>
        <v>0</v>
      </c>
      <c r="BH201" s="46"/>
      <c r="BI201" s="46"/>
      <c r="BJ201" s="46"/>
      <c r="BK201" s="46"/>
      <c r="BL201" s="46"/>
      <c r="BM201" s="46"/>
      <c r="BN201" s="46"/>
      <c r="BO201" s="46"/>
      <c r="BP201" s="46">
        <f>SUM(BH201:BN201)</f>
        <v>0</v>
      </c>
      <c r="BQ201" s="46"/>
      <c r="BR201" s="46"/>
      <c r="BS201" s="46"/>
      <c r="BT201" s="46"/>
      <c r="BU201" s="46"/>
      <c r="BV201" s="46"/>
      <c r="BW201" s="46"/>
      <c r="BX201" s="46"/>
      <c r="BY201" s="46">
        <f t="shared" si="293"/>
        <v>0</v>
      </c>
      <c r="BZ201" s="1">
        <f t="shared" si="255"/>
        <v>0</v>
      </c>
      <c r="CA201" s="1">
        <f t="shared" si="251"/>
        <v>0</v>
      </c>
      <c r="CB201" s="1"/>
      <c r="CC201" s="1"/>
      <c r="CD201" s="1"/>
      <c r="CE201" s="1"/>
      <c r="CF201" s="1"/>
      <c r="CG201" s="1"/>
      <c r="CH201" s="1"/>
      <c r="CI201" s="1"/>
      <c r="CJ201" s="1"/>
      <c r="CK201" s="1"/>
      <c r="CL201" s="1"/>
      <c r="CM201" s="1"/>
      <c r="CN201" s="1"/>
      <c r="CO201" s="1"/>
      <c r="CP201" s="1"/>
      <c r="CQ201" s="1"/>
      <c r="CR201" s="1"/>
      <c r="CS201" s="1"/>
      <c r="CT201" s="5"/>
      <c r="CU201" s="1"/>
      <c r="CW201" s="46"/>
      <c r="CX201" s="46"/>
      <c r="CY201" s="46"/>
      <c r="CZ201" s="46"/>
      <c r="DA201" s="46"/>
      <c r="DB201" s="46"/>
      <c r="DC201" s="46"/>
      <c r="DD201" s="46"/>
      <c r="DE201" s="46"/>
      <c r="DF201" s="46"/>
      <c r="DG201" s="46"/>
      <c r="DH201" s="46"/>
      <c r="DI201" s="46"/>
      <c r="DJ201" s="46"/>
      <c r="DK201" s="46"/>
      <c r="DL201" s="46"/>
      <c r="DM201" s="46"/>
      <c r="DN201" s="46"/>
      <c r="DO201" s="46"/>
      <c r="DP201" s="46"/>
      <c r="DQ201" s="46"/>
      <c r="DR201" s="46"/>
      <c r="DS201" s="46"/>
      <c r="DT201" s="46"/>
      <c r="DW201" s="1">
        <f t="shared" si="261"/>
        <v>0</v>
      </c>
      <c r="DX201" s="1"/>
      <c r="DY201" s="1"/>
      <c r="DZ201" s="1"/>
      <c r="EB201" s="46"/>
      <c r="EC201" s="46"/>
      <c r="ED201" s="1"/>
      <c r="EE201" s="46"/>
      <c r="EF201" s="46"/>
      <c r="EG201" s="1"/>
      <c r="EL201" s="32"/>
      <c r="EM201" s="1"/>
      <c r="EN201">
        <f t="shared" si="292"/>
        <v>0</v>
      </c>
    </row>
    <row r="202" spans="1:147" ht="15.75">
      <c r="A202" s="1"/>
      <c r="B202" s="89" t="s">
        <v>1607</v>
      </c>
      <c r="C202" s="11"/>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f t="shared" si="264"/>
        <v>0</v>
      </c>
      <c r="BG202" s="1">
        <f t="shared" si="258"/>
        <v>0</v>
      </c>
      <c r="BH202" s="46"/>
      <c r="BI202" s="46"/>
      <c r="BJ202" s="46"/>
      <c r="BK202" s="46"/>
      <c r="BL202" s="46"/>
      <c r="BM202" s="46"/>
      <c r="BN202" s="46"/>
      <c r="BO202" s="46"/>
      <c r="BP202" s="46"/>
      <c r="BQ202" s="46"/>
      <c r="BR202" s="46"/>
      <c r="BS202" s="46"/>
      <c r="BT202" s="46"/>
      <c r="BU202" s="46"/>
      <c r="BV202" s="46"/>
      <c r="BW202" s="46"/>
      <c r="BX202" s="46"/>
      <c r="BY202" s="46">
        <f t="shared" si="293"/>
        <v>0</v>
      </c>
      <c r="BZ202" s="1">
        <f t="shared" si="255"/>
        <v>0</v>
      </c>
      <c r="CA202" s="1">
        <f t="shared" si="251"/>
        <v>0</v>
      </c>
      <c r="CB202" s="1"/>
      <c r="CC202" s="1"/>
      <c r="CD202" s="1"/>
      <c r="CE202" s="1"/>
      <c r="CF202" s="1"/>
      <c r="CG202" s="1"/>
      <c r="CH202" s="1"/>
      <c r="CI202" s="1"/>
      <c r="CJ202" s="1"/>
      <c r="CK202" s="1"/>
      <c r="CL202" s="1"/>
      <c r="CM202" s="1"/>
      <c r="CN202" s="1"/>
      <c r="CO202" s="1"/>
      <c r="CP202" s="1"/>
      <c r="CQ202" s="1"/>
      <c r="CR202" s="1"/>
      <c r="CS202" s="1"/>
      <c r="CT202" s="5"/>
      <c r="CU202" s="1"/>
      <c r="CW202" s="46"/>
      <c r="CX202" s="46"/>
      <c r="CY202" s="46"/>
      <c r="CZ202" s="46"/>
      <c r="DA202" s="46"/>
      <c r="DB202" s="46"/>
      <c r="DC202" s="46"/>
      <c r="DD202" s="46"/>
      <c r="DE202" s="46"/>
      <c r="DF202" s="46"/>
      <c r="DG202" s="46"/>
      <c r="DH202" s="46"/>
      <c r="DI202" s="46"/>
      <c r="DJ202" s="46"/>
      <c r="DK202" s="46"/>
      <c r="DL202" s="46"/>
      <c r="DM202" s="46"/>
      <c r="DN202" s="46"/>
      <c r="DO202" s="46"/>
      <c r="DP202" s="46"/>
      <c r="DQ202" s="46"/>
      <c r="DR202" s="46"/>
      <c r="DS202" s="46"/>
      <c r="DT202" s="46"/>
      <c r="DW202" s="1">
        <f t="shared" si="261"/>
        <v>0</v>
      </c>
      <c r="DX202" s="1"/>
      <c r="DY202" s="1"/>
      <c r="DZ202" s="1"/>
      <c r="EB202" s="46"/>
      <c r="EC202" s="46"/>
      <c r="ED202" s="1"/>
      <c r="EE202" s="46"/>
      <c r="EF202" s="46"/>
      <c r="EG202" s="1"/>
      <c r="EL202" s="32"/>
      <c r="EM202" s="1"/>
      <c r="EN202">
        <f t="shared" si="292"/>
        <v>0</v>
      </c>
    </row>
    <row r="203" spans="1:147" ht="15.75">
      <c r="A203" s="1"/>
      <c r="B203" s="89" t="s">
        <v>1608</v>
      </c>
      <c r="C203" s="11"/>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f t="shared" si="264"/>
        <v>0</v>
      </c>
      <c r="BG203" s="1">
        <f t="shared" si="258"/>
        <v>0</v>
      </c>
      <c r="BH203" s="46"/>
      <c r="BI203" s="46"/>
      <c r="BJ203" s="46"/>
      <c r="BK203" s="46"/>
      <c r="BL203" s="46"/>
      <c r="BM203" s="46"/>
      <c r="BN203" s="46"/>
      <c r="BO203" s="46"/>
      <c r="BP203" s="46"/>
      <c r="BQ203" s="46"/>
      <c r="BR203" s="46"/>
      <c r="BS203" s="46"/>
      <c r="BT203" s="46"/>
      <c r="BU203" s="46"/>
      <c r="BV203" s="46"/>
      <c r="BW203" s="46"/>
      <c r="BX203" s="46"/>
      <c r="BY203" s="46">
        <f t="shared" si="293"/>
        <v>0</v>
      </c>
      <c r="BZ203" s="1">
        <f t="shared" si="255"/>
        <v>0</v>
      </c>
      <c r="CA203" s="1">
        <f t="shared" si="251"/>
        <v>0</v>
      </c>
      <c r="CB203" s="1"/>
      <c r="CC203" s="1"/>
      <c r="CD203" s="1"/>
      <c r="CE203" s="1"/>
      <c r="CF203" s="1"/>
      <c r="CG203" s="1"/>
      <c r="CH203" s="1"/>
      <c r="CI203" s="1"/>
      <c r="CJ203" s="1"/>
      <c r="CK203" s="1"/>
      <c r="CL203" s="1"/>
      <c r="CM203" s="1"/>
      <c r="CN203" s="1"/>
      <c r="CO203" s="1"/>
      <c r="CP203" s="1"/>
      <c r="CQ203" s="1"/>
      <c r="CR203" s="1"/>
      <c r="CS203" s="1"/>
      <c r="CT203" s="5"/>
      <c r="CU203" s="1"/>
      <c r="CW203" s="46"/>
      <c r="CX203" s="46"/>
      <c r="CY203" s="46"/>
      <c r="CZ203" s="46"/>
      <c r="DA203" s="46"/>
      <c r="DB203" s="46"/>
      <c r="DC203" s="46"/>
      <c r="DD203" s="46"/>
      <c r="DE203" s="46"/>
      <c r="DF203" s="46"/>
      <c r="DG203" s="46"/>
      <c r="DH203" s="46"/>
      <c r="DI203" s="46"/>
      <c r="DJ203" s="46"/>
      <c r="DK203" s="46"/>
      <c r="DL203" s="46"/>
      <c r="DM203" s="46"/>
      <c r="DN203" s="46"/>
      <c r="DO203" s="46"/>
      <c r="DP203" s="46"/>
      <c r="DQ203" s="46"/>
      <c r="DR203" s="46"/>
      <c r="DS203" s="46"/>
      <c r="DT203" s="46"/>
      <c r="DW203" s="1">
        <f t="shared" si="261"/>
        <v>0</v>
      </c>
      <c r="DX203" s="1"/>
      <c r="DY203" s="1"/>
      <c r="DZ203" s="1"/>
      <c r="EB203" s="46"/>
      <c r="EC203" s="46"/>
      <c r="ED203" s="1"/>
      <c r="EE203" s="46"/>
      <c r="EF203" s="46"/>
      <c r="EG203" s="1"/>
      <c r="EL203" s="32"/>
      <c r="EM203" s="1"/>
      <c r="EN203">
        <f t="shared" si="292"/>
        <v>0</v>
      </c>
    </row>
    <row r="204" spans="1:147" ht="15.75">
      <c r="A204" s="1"/>
      <c r="B204" s="89" t="s">
        <v>1609</v>
      </c>
      <c r="C204" s="11"/>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f t="shared" si="264"/>
        <v>0</v>
      </c>
      <c r="BG204" s="1">
        <f t="shared" si="258"/>
        <v>0</v>
      </c>
      <c r="BH204" s="46"/>
      <c r="BI204" s="46"/>
      <c r="BJ204" s="46"/>
      <c r="BK204" s="46"/>
      <c r="BL204" s="46"/>
      <c r="BM204" s="46"/>
      <c r="BN204" s="46"/>
      <c r="BO204" s="46"/>
      <c r="BP204" s="46"/>
      <c r="BQ204" s="46"/>
      <c r="BR204" s="46"/>
      <c r="BS204" s="46"/>
      <c r="BT204" s="46"/>
      <c r="BU204" s="46"/>
      <c r="BV204" s="46"/>
      <c r="BW204" s="46"/>
      <c r="BX204" s="46"/>
      <c r="BY204" s="46">
        <f t="shared" si="293"/>
        <v>0</v>
      </c>
      <c r="BZ204" s="1">
        <f t="shared" si="255"/>
        <v>0</v>
      </c>
      <c r="CA204" s="1">
        <f t="shared" si="251"/>
        <v>0</v>
      </c>
      <c r="CB204" s="1"/>
      <c r="CC204" s="1"/>
      <c r="CD204" s="1"/>
      <c r="CE204" s="1"/>
      <c r="CF204" s="1"/>
      <c r="CG204" s="1"/>
      <c r="CH204" s="1"/>
      <c r="CI204" s="1"/>
      <c r="CJ204" s="1"/>
      <c r="CK204" s="1"/>
      <c r="CL204" s="1"/>
      <c r="CM204" s="1"/>
      <c r="CN204" s="1"/>
      <c r="CO204" s="1"/>
      <c r="CP204" s="1"/>
      <c r="CQ204" s="1"/>
      <c r="CR204" s="1"/>
      <c r="CS204" s="1"/>
      <c r="CT204" s="5"/>
      <c r="CU204" s="1"/>
      <c r="CW204" s="46"/>
      <c r="CX204" s="46"/>
      <c r="CY204" s="46"/>
      <c r="CZ204" s="46"/>
      <c r="DA204" s="46"/>
      <c r="DB204" s="46"/>
      <c r="DC204" s="46"/>
      <c r="DD204" s="46"/>
      <c r="DE204" s="46"/>
      <c r="DF204" s="46"/>
      <c r="DG204" s="46"/>
      <c r="DH204" s="46"/>
      <c r="DI204" s="46"/>
      <c r="DJ204" s="46"/>
      <c r="DK204" s="46"/>
      <c r="DL204" s="46"/>
      <c r="DM204" s="46"/>
      <c r="DN204" s="46"/>
      <c r="DO204" s="46"/>
      <c r="DP204" s="46"/>
      <c r="DQ204" s="46"/>
      <c r="DR204" s="46"/>
      <c r="DS204" s="46"/>
      <c r="DT204" s="46"/>
      <c r="DW204" s="1">
        <f t="shared" si="261"/>
        <v>0</v>
      </c>
      <c r="DX204" s="1"/>
      <c r="DY204" s="1"/>
      <c r="DZ204" s="1"/>
      <c r="EB204" s="46"/>
      <c r="EC204" s="46"/>
      <c r="ED204" s="1"/>
      <c r="EE204" s="46"/>
      <c r="EF204" s="46"/>
      <c r="EG204" s="1"/>
      <c r="EL204" s="32"/>
      <c r="EM204" s="1"/>
      <c r="EN204">
        <f t="shared" si="292"/>
        <v>0</v>
      </c>
    </row>
    <row r="205" spans="1:147" ht="15.75">
      <c r="A205" s="1"/>
      <c r="B205" s="89" t="s">
        <v>1610</v>
      </c>
      <c r="C205" s="11"/>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f t="shared" si="264"/>
        <v>0</v>
      </c>
      <c r="BG205" s="1">
        <f t="shared" si="258"/>
        <v>0</v>
      </c>
      <c r="BH205" s="46"/>
      <c r="BI205" s="46"/>
      <c r="BJ205" s="46"/>
      <c r="BK205" s="46"/>
      <c r="BL205" s="46"/>
      <c r="BM205" s="46"/>
      <c r="BN205" s="46"/>
      <c r="BO205" s="46"/>
      <c r="BP205" s="46"/>
      <c r="BQ205" s="46"/>
      <c r="BR205" s="46"/>
      <c r="BS205" s="46"/>
      <c r="BT205" s="46"/>
      <c r="BU205" s="46"/>
      <c r="BV205" s="46"/>
      <c r="BW205" s="46"/>
      <c r="BX205" s="46"/>
      <c r="BY205" s="46">
        <f t="shared" si="293"/>
        <v>0</v>
      </c>
      <c r="BZ205" s="1">
        <f t="shared" si="255"/>
        <v>0</v>
      </c>
      <c r="CA205" s="1">
        <f t="shared" si="251"/>
        <v>0</v>
      </c>
      <c r="CB205" s="1"/>
      <c r="CC205" s="1"/>
      <c r="CD205" s="1"/>
      <c r="CE205" s="1"/>
      <c r="CF205" s="1"/>
      <c r="CG205" s="1"/>
      <c r="CH205" s="1"/>
      <c r="CI205" s="1"/>
      <c r="CJ205" s="1"/>
      <c r="CK205" s="1"/>
      <c r="CL205" s="1"/>
      <c r="CM205" s="1"/>
      <c r="CN205" s="1"/>
      <c r="CO205" s="1"/>
      <c r="CP205" s="1"/>
      <c r="CQ205" s="1"/>
      <c r="CR205" s="1"/>
      <c r="CS205" s="1"/>
      <c r="CT205" s="5"/>
      <c r="CU205" s="1"/>
      <c r="CW205" s="46"/>
      <c r="CX205" s="46"/>
      <c r="CY205" s="46"/>
      <c r="CZ205" s="46"/>
      <c r="DA205" s="46"/>
      <c r="DB205" s="46"/>
      <c r="DC205" s="46"/>
      <c r="DD205" s="46"/>
      <c r="DE205" s="46"/>
      <c r="DF205" s="46"/>
      <c r="DG205" s="46"/>
      <c r="DH205" s="46"/>
      <c r="DI205" s="46"/>
      <c r="DJ205" s="46"/>
      <c r="DK205" s="46"/>
      <c r="DL205" s="46"/>
      <c r="DM205" s="46"/>
      <c r="DN205" s="46"/>
      <c r="DO205" s="46"/>
      <c r="DP205" s="46"/>
      <c r="DQ205" s="46"/>
      <c r="DR205" s="46"/>
      <c r="DS205" s="46"/>
      <c r="DT205" s="46"/>
      <c r="DW205" s="1">
        <f t="shared" si="261"/>
        <v>0</v>
      </c>
      <c r="DX205" s="1"/>
      <c r="DY205" s="1"/>
      <c r="DZ205" s="1"/>
      <c r="EB205" s="46"/>
      <c r="EC205" s="46"/>
      <c r="ED205" s="1"/>
      <c r="EE205" s="46"/>
      <c r="EF205" s="46"/>
      <c r="EG205" s="1"/>
      <c r="EL205" s="32"/>
      <c r="EM205" s="1"/>
      <c r="EN205">
        <f t="shared" si="292"/>
        <v>0</v>
      </c>
    </row>
    <row r="206" spans="1:147" ht="15.75">
      <c r="A206" s="1"/>
      <c r="B206" s="1"/>
      <c r="C206" s="11"/>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c r="BM206" s="46"/>
      <c r="BN206" s="46"/>
      <c r="BO206" s="46"/>
      <c r="BP206" s="46"/>
      <c r="BQ206" s="46"/>
      <c r="BR206" s="46"/>
      <c r="BS206" s="46"/>
      <c r="BT206" s="46"/>
      <c r="BU206" s="46"/>
      <c r="BV206" s="46"/>
      <c r="BW206" s="46"/>
      <c r="BX206" s="46"/>
      <c r="BY206" s="46"/>
      <c r="BZ206" s="1">
        <f t="shared" si="255"/>
        <v>0</v>
      </c>
      <c r="CA206" s="1">
        <f t="shared" si="251"/>
        <v>0</v>
      </c>
      <c r="CB206" s="1"/>
      <c r="CC206" s="1"/>
      <c r="CD206" s="1"/>
      <c r="CE206" s="1"/>
      <c r="CF206" s="1"/>
      <c r="CG206" s="1"/>
      <c r="CH206" s="1"/>
      <c r="CI206" s="1"/>
      <c r="CJ206" s="1">
        <f>SUM(CB206:CI206)</f>
        <v>0</v>
      </c>
      <c r="CK206" s="1"/>
      <c r="CL206" s="1"/>
      <c r="CM206" s="1"/>
      <c r="CN206" s="1"/>
      <c r="CO206" s="1"/>
      <c r="CP206" s="1"/>
      <c r="CQ206" s="1"/>
      <c r="CR206" s="1"/>
      <c r="CS206" s="1"/>
      <c r="CT206" s="5"/>
      <c r="CU206" s="1">
        <f>SUM(CL206:CT206)</f>
        <v>0</v>
      </c>
      <c r="CW206" s="46"/>
      <c r="CX206" s="46"/>
      <c r="CY206" s="46"/>
      <c r="CZ206" s="46"/>
      <c r="DA206" s="46"/>
      <c r="DB206" s="46"/>
      <c r="DC206" s="46"/>
      <c r="DD206" s="46"/>
      <c r="DE206" s="46"/>
      <c r="DF206" s="46"/>
      <c r="DG206" s="46"/>
      <c r="DH206" s="46"/>
      <c r="DI206" s="46"/>
      <c r="DJ206" s="46"/>
      <c r="DK206" s="46"/>
      <c r="DL206" s="46"/>
      <c r="DM206" s="46"/>
      <c r="DN206" s="46"/>
      <c r="DO206" s="46"/>
      <c r="DP206" s="46"/>
      <c r="DQ206" s="46"/>
      <c r="DR206" s="46"/>
      <c r="DS206" s="46"/>
      <c r="DT206" s="46"/>
      <c r="DW206" s="1"/>
      <c r="DX206" s="1"/>
      <c r="DY206" s="1"/>
      <c r="DZ206" s="1"/>
      <c r="EB206" s="46"/>
      <c r="EC206" s="46"/>
      <c r="ED206" s="1"/>
      <c r="EE206" s="46"/>
      <c r="EF206" s="46"/>
      <c r="EG206" s="1"/>
      <c r="EL206" s="1"/>
      <c r="EM206" s="1"/>
      <c r="EN206">
        <f t="shared" si="292"/>
        <v>0</v>
      </c>
      <c r="EQ206" s="1"/>
    </row>
    <row r="207" spans="1:147" ht="15.75">
      <c r="A207" s="1"/>
      <c r="B207" s="89" t="s">
        <v>2469</v>
      </c>
      <c r="C207" s="11"/>
      <c r="D207" s="46">
        <f>SUM(D177:D206)</f>
        <v>10224732</v>
      </c>
      <c r="E207" s="46">
        <f t="shared" ref="E207:P207" si="294">SUM(E177:E206)</f>
        <v>-102054</v>
      </c>
      <c r="F207" s="46">
        <f t="shared" si="294"/>
        <v>3692</v>
      </c>
      <c r="G207" s="46">
        <f t="shared" si="294"/>
        <v>73809</v>
      </c>
      <c r="H207" s="46">
        <f t="shared" si="294"/>
        <v>357347</v>
      </c>
      <c r="I207" s="46">
        <f t="shared" si="294"/>
        <v>4500</v>
      </c>
      <c r="J207" s="46">
        <f>SUM(J177:J206)</f>
        <v>2097057</v>
      </c>
      <c r="K207" s="46">
        <f t="shared" si="294"/>
        <v>1303</v>
      </c>
      <c r="L207" s="46">
        <f>SUM(L177:L206)</f>
        <v>21640</v>
      </c>
      <c r="M207" s="46">
        <f t="shared" si="294"/>
        <v>660329</v>
      </c>
      <c r="N207" s="46">
        <f>SUM(N177:N206)</f>
        <v>84305</v>
      </c>
      <c r="O207" s="46">
        <f t="shared" si="294"/>
        <v>60405</v>
      </c>
      <c r="P207" s="46">
        <f t="shared" si="294"/>
        <v>0</v>
      </c>
      <c r="Q207" s="46">
        <f t="shared" ref="Q207:Y207" si="295">SUM(Q177:Q206)</f>
        <v>185629</v>
      </c>
      <c r="R207" s="46">
        <f t="shared" si="295"/>
        <v>380215</v>
      </c>
      <c r="S207" s="46">
        <f t="shared" si="295"/>
        <v>1022934</v>
      </c>
      <c r="T207" s="46">
        <f t="shared" si="295"/>
        <v>308</v>
      </c>
      <c r="U207" s="46">
        <f t="shared" si="295"/>
        <v>653461</v>
      </c>
      <c r="V207" s="46">
        <f t="shared" si="295"/>
        <v>2517</v>
      </c>
      <c r="W207" s="46">
        <f t="shared" si="295"/>
        <v>255076</v>
      </c>
      <c r="X207" s="46">
        <f>SUM(X177:X206)</f>
        <v>4366091</v>
      </c>
      <c r="Y207" s="46">
        <f t="shared" si="295"/>
        <v>35779</v>
      </c>
      <c r="Z207" s="46">
        <f t="shared" ref="Z207:AK207" si="296">SUM(Z177:Z206)</f>
        <v>107003</v>
      </c>
      <c r="AA207" s="46">
        <f t="shared" si="296"/>
        <v>100039</v>
      </c>
      <c r="AB207" s="46">
        <f>SUM(AB177:AB206)</f>
        <v>1631376</v>
      </c>
      <c r="AC207" s="46">
        <f t="shared" si="296"/>
        <v>238913</v>
      </c>
      <c r="AD207" s="46">
        <f t="shared" si="296"/>
        <v>28133</v>
      </c>
      <c r="AE207" s="46">
        <f t="shared" si="296"/>
        <v>82435</v>
      </c>
      <c r="AF207" s="46">
        <f t="shared" si="296"/>
        <v>21202</v>
      </c>
      <c r="AG207" s="46">
        <f t="shared" si="296"/>
        <v>422641</v>
      </c>
      <c r="AH207" s="46">
        <f t="shared" si="296"/>
        <v>253738</v>
      </c>
      <c r="AI207" s="46">
        <f t="shared" si="296"/>
        <v>21826</v>
      </c>
      <c r="AJ207" s="46">
        <f t="shared" si="296"/>
        <v>62464</v>
      </c>
      <c r="AK207" s="46">
        <f t="shared" si="296"/>
        <v>5768</v>
      </c>
      <c r="AL207" s="46">
        <f t="shared" ref="AL207:AQ207" si="297">SUM(AL177:AL206)</f>
        <v>35534</v>
      </c>
      <c r="AM207" s="46">
        <f t="shared" si="297"/>
        <v>39899</v>
      </c>
      <c r="AN207" s="46">
        <f t="shared" si="297"/>
        <v>168446</v>
      </c>
      <c r="AO207" s="46">
        <f t="shared" si="297"/>
        <v>0</v>
      </c>
      <c r="AP207" s="46">
        <f t="shared" si="297"/>
        <v>1675727</v>
      </c>
      <c r="AQ207" s="46">
        <f t="shared" si="297"/>
        <v>872198</v>
      </c>
      <c r="AR207" s="46">
        <f t="shared" ref="AR207:BC207" si="298">SUM(AR177:AR206)</f>
        <v>104504</v>
      </c>
      <c r="AS207" s="46">
        <f t="shared" si="298"/>
        <v>96879</v>
      </c>
      <c r="AT207" s="46">
        <f>SUM(AT177:AT206)</f>
        <v>247580</v>
      </c>
      <c r="AU207" s="46">
        <f>SUM(AU177:AU206)</f>
        <v>-1287</v>
      </c>
      <c r="AV207" s="46">
        <f>SUM(AV177:AV206)</f>
        <v>-22045</v>
      </c>
      <c r="AW207" s="46"/>
      <c r="AX207" s="46">
        <f t="shared" si="298"/>
        <v>-11972</v>
      </c>
      <c r="AY207" s="46">
        <f t="shared" si="298"/>
        <v>0</v>
      </c>
      <c r="AZ207" s="46">
        <f t="shared" si="298"/>
        <v>17572</v>
      </c>
      <c r="BA207" s="46">
        <f t="shared" si="298"/>
        <v>-8728</v>
      </c>
      <c r="BB207" s="46">
        <f t="shared" si="298"/>
        <v>-287714</v>
      </c>
      <c r="BC207" s="46">
        <f t="shared" si="298"/>
        <v>6813379</v>
      </c>
      <c r="BD207" s="46">
        <f>SUM(BD177:BD206)</f>
        <v>371646</v>
      </c>
      <c r="BE207" s="46"/>
      <c r="BF207" s="46">
        <f t="shared" ref="BF207:BN207" si="299">SUM(BF177:BF206)</f>
        <v>23251499</v>
      </c>
      <c r="BG207" s="46">
        <f>SUM(BG177:BG206)</f>
        <v>12359743</v>
      </c>
      <c r="BH207" s="46">
        <f t="shared" si="299"/>
        <v>0</v>
      </c>
      <c r="BI207" s="46">
        <f>SUM(BI177:BI206)</f>
        <v>41294</v>
      </c>
      <c r="BJ207" s="46">
        <f t="shared" si="299"/>
        <v>0</v>
      </c>
      <c r="BK207" s="46">
        <f t="shared" si="299"/>
        <v>387148</v>
      </c>
      <c r="BL207" s="46">
        <f>SUM(BL177:BL206)</f>
        <v>55606</v>
      </c>
      <c r="BM207" s="46">
        <f>SUM(BM177:BM206)</f>
        <v>19430</v>
      </c>
      <c r="BN207" s="46">
        <f t="shared" si="299"/>
        <v>121101</v>
      </c>
      <c r="BO207" s="46"/>
      <c r="BP207" s="46">
        <f t="shared" ref="BP207:BW207" si="300">SUM(BP177:BP206)</f>
        <v>624579</v>
      </c>
      <c r="BQ207" s="46">
        <f t="shared" si="300"/>
        <v>503478</v>
      </c>
      <c r="BR207" s="46">
        <f t="shared" si="300"/>
        <v>17906114</v>
      </c>
      <c r="BS207" s="46">
        <f t="shared" si="300"/>
        <v>0</v>
      </c>
      <c r="BT207" s="46">
        <f t="shared" si="300"/>
        <v>-24383</v>
      </c>
      <c r="BU207" s="46">
        <f t="shared" si="300"/>
        <v>0</v>
      </c>
      <c r="BV207" s="46">
        <f>SUM(BV177:BV206)</f>
        <v>0</v>
      </c>
      <c r="BW207" s="46">
        <f t="shared" si="300"/>
        <v>2342458</v>
      </c>
      <c r="BX207" s="46"/>
      <c r="BY207" s="46">
        <f>SUM(BY177:BY206)</f>
        <v>20224189</v>
      </c>
      <c r="BZ207" s="1">
        <f>+BY207-BR207</f>
        <v>2318075</v>
      </c>
      <c r="CA207" s="1">
        <f t="shared" si="251"/>
        <v>15547193</v>
      </c>
      <c r="CB207" s="1"/>
      <c r="CC207" s="1">
        <f>SUM(CC176:CC206)</f>
        <v>7781237</v>
      </c>
      <c r="CD207" s="1">
        <f>SUM(CD176:CD206)</f>
        <v>49380</v>
      </c>
      <c r="CE207" s="1">
        <f t="shared" ref="CE207:CH207" si="301">SUM(CE176:CE206)</f>
        <v>180053</v>
      </c>
      <c r="CF207" s="1">
        <f t="shared" si="301"/>
        <v>1269238</v>
      </c>
      <c r="CG207" s="1">
        <f t="shared" si="301"/>
        <v>7199713</v>
      </c>
      <c r="CH207" s="1">
        <f t="shared" si="301"/>
        <v>121163</v>
      </c>
      <c r="CI207" s="1"/>
      <c r="CJ207" s="1">
        <f t="shared" ref="CJ207:CR207" si="302">SUM(CJ176:CJ206)</f>
        <v>16600784</v>
      </c>
      <c r="CK207" s="1">
        <f>+CJ207-CB207-CC207-CG207</f>
        <v>1619834</v>
      </c>
      <c r="CL207" s="1">
        <f t="shared" si="302"/>
        <v>2264757</v>
      </c>
      <c r="CM207" s="1">
        <f t="shared" si="302"/>
        <v>995738</v>
      </c>
      <c r="CN207" s="1">
        <f t="shared" si="302"/>
        <v>309413</v>
      </c>
      <c r="CO207" s="1">
        <f t="shared" si="302"/>
        <v>119825</v>
      </c>
      <c r="CP207" s="1">
        <f t="shared" si="302"/>
        <v>1437849</v>
      </c>
      <c r="CQ207" s="1">
        <f t="shared" si="302"/>
        <v>801614</v>
      </c>
      <c r="CR207" s="1">
        <f t="shared" si="302"/>
        <v>-129336</v>
      </c>
      <c r="CS207" s="1"/>
      <c r="CT207" s="5"/>
      <c r="CU207" s="1">
        <f>SUM(CU176:CU206)</f>
        <v>5799860</v>
      </c>
      <c r="CW207" s="46">
        <f>SUM(CW176:CW206)</f>
        <v>3980305</v>
      </c>
      <c r="CX207" s="46">
        <f t="shared" ref="CX207:DT207" si="303">SUM(CX176:CX206)</f>
        <v>0</v>
      </c>
      <c r="CY207" s="46">
        <f t="shared" si="303"/>
        <v>32848</v>
      </c>
      <c r="CZ207" s="46">
        <f t="shared" si="303"/>
        <v>0</v>
      </c>
      <c r="DA207" s="46">
        <f t="shared" si="303"/>
        <v>0</v>
      </c>
      <c r="DB207" s="46">
        <f t="shared" si="303"/>
        <v>44162</v>
      </c>
      <c r="DC207" s="46">
        <f t="shared" si="303"/>
        <v>8412</v>
      </c>
      <c r="DD207" s="46">
        <f t="shared" si="303"/>
        <v>0</v>
      </c>
      <c r="DE207" s="46">
        <f t="shared" si="303"/>
        <v>8608</v>
      </c>
      <c r="DF207" s="46">
        <f t="shared" si="303"/>
        <v>0</v>
      </c>
      <c r="DG207" s="46">
        <f t="shared" si="303"/>
        <v>204466</v>
      </c>
      <c r="DH207" s="46">
        <f t="shared" si="303"/>
        <v>0</v>
      </c>
      <c r="DI207" s="46">
        <f t="shared" si="303"/>
        <v>0</v>
      </c>
      <c r="DJ207" s="46">
        <f t="shared" si="303"/>
        <v>296099</v>
      </c>
      <c r="DK207" s="46">
        <f t="shared" si="303"/>
        <v>0</v>
      </c>
      <c r="DL207" s="46">
        <f t="shared" si="303"/>
        <v>1325611</v>
      </c>
      <c r="DM207" s="46">
        <f t="shared" si="303"/>
        <v>0</v>
      </c>
      <c r="DN207" s="46">
        <f t="shared" si="303"/>
        <v>90503</v>
      </c>
      <c r="DO207" s="46">
        <f t="shared" si="303"/>
        <v>0</v>
      </c>
      <c r="DP207" s="46">
        <f t="shared" si="303"/>
        <v>34351</v>
      </c>
      <c r="DQ207" s="46">
        <f t="shared" si="303"/>
        <v>6768927</v>
      </c>
      <c r="DR207" s="46">
        <f t="shared" si="303"/>
        <v>50503500</v>
      </c>
      <c r="DS207" s="46">
        <f t="shared" si="303"/>
        <v>1772021</v>
      </c>
      <c r="DT207" s="46">
        <f t="shared" si="303"/>
        <v>1494534</v>
      </c>
      <c r="DU207" s="46">
        <f t="shared" ref="DU207" si="304">SUM(DU176:DU206)</f>
        <v>4704521</v>
      </c>
      <c r="DW207" s="1">
        <f>SUM(DW177:DW206)</f>
        <v>66325530</v>
      </c>
      <c r="DX207" s="1"/>
      <c r="DY207" s="1">
        <f>SUM(DY177:DY206)</f>
        <v>155027</v>
      </c>
      <c r="DZ207" s="1"/>
      <c r="EB207" s="46">
        <f>SUM(EB176:EB206)</f>
        <v>0</v>
      </c>
      <c r="EC207" s="46"/>
      <c r="ED207" s="1"/>
      <c r="EE207" s="46"/>
      <c r="EF207" s="46">
        <f>SUM(EF176:EF206)</f>
        <v>365897</v>
      </c>
      <c r="EG207" s="1"/>
      <c r="EL207" s="1">
        <f>SUM(EL177:EL206)</f>
        <v>0</v>
      </c>
      <c r="EM207" s="1">
        <f>SUM(EM177:EM206)</f>
        <v>0</v>
      </c>
      <c r="EN207">
        <f t="shared" si="292"/>
        <v>134049595</v>
      </c>
      <c r="EQ207" s="1">
        <f>SUM(EQ176:EQ206)</f>
        <v>0</v>
      </c>
    </row>
    <row r="208" spans="1:147" ht="15.75">
      <c r="A208" s="1"/>
      <c r="B208" s="1"/>
      <c r="C208" s="1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3"/>
      <c r="BY208" s="1"/>
      <c r="BZ208" s="1"/>
      <c r="CA208" s="1"/>
      <c r="CB208" s="1"/>
      <c r="CC208" s="1"/>
      <c r="CD208" s="1"/>
      <c r="CE208" s="1"/>
      <c r="CF208" s="1"/>
      <c r="CG208" s="1"/>
      <c r="CH208" s="1"/>
      <c r="CI208" s="1"/>
      <c r="CJ208" s="1"/>
      <c r="CK208" s="1"/>
      <c r="CL208" s="1"/>
      <c r="CM208" s="1"/>
      <c r="CN208" s="1"/>
      <c r="CO208" s="1"/>
      <c r="CP208" s="1"/>
      <c r="CQ208" s="1"/>
      <c r="CR208" s="1"/>
      <c r="CS208" s="1"/>
      <c r="CT208" s="5"/>
      <c r="CU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W208" s="1"/>
      <c r="DX208" s="1"/>
      <c r="DY208" s="1"/>
      <c r="DZ208" s="1"/>
      <c r="EB208" s="1"/>
      <c r="EC208" s="1"/>
      <c r="ED208" s="1"/>
      <c r="EE208" s="1"/>
      <c r="EF208" s="1"/>
      <c r="EG208" s="1"/>
      <c r="EL208" s="1"/>
      <c r="EM208" s="1"/>
      <c r="EN208">
        <f t="shared" si="292"/>
        <v>0</v>
      </c>
      <c r="EQ208" s="1"/>
    </row>
    <row r="209" spans="1:147" ht="15.75">
      <c r="A209" s="1"/>
      <c r="B209" s="89" t="s">
        <v>2349</v>
      </c>
      <c r="C209" s="11"/>
      <c r="D209" s="1">
        <f>SUM(D154+D172+D207)</f>
        <v>12840036</v>
      </c>
      <c r="E209" s="1">
        <f t="shared" ref="E209:BS209" si="305">SUM(E154+E172+E207)</f>
        <v>373712</v>
      </c>
      <c r="F209" s="1">
        <f t="shared" si="305"/>
        <v>3969</v>
      </c>
      <c r="G209" s="1">
        <f t="shared" si="305"/>
        <v>81553</v>
      </c>
      <c r="H209" s="1">
        <f t="shared" si="305"/>
        <v>387598</v>
      </c>
      <c r="I209" s="1">
        <f t="shared" si="305"/>
        <v>198877</v>
      </c>
      <c r="J209" s="1">
        <f t="shared" si="305"/>
        <v>2188101</v>
      </c>
      <c r="K209" s="1">
        <f t="shared" si="305"/>
        <v>1370</v>
      </c>
      <c r="L209" s="1">
        <f t="shared" si="305"/>
        <v>25519</v>
      </c>
      <c r="M209" s="1">
        <f t="shared" si="305"/>
        <v>717768</v>
      </c>
      <c r="N209" s="1">
        <f t="shared" si="305"/>
        <v>88199</v>
      </c>
      <c r="O209" s="1">
        <f t="shared" si="305"/>
        <v>60810</v>
      </c>
      <c r="P209" s="1">
        <f t="shared" si="305"/>
        <v>0</v>
      </c>
      <c r="Q209" s="1">
        <f t="shared" si="305"/>
        <v>224345</v>
      </c>
      <c r="R209" s="1">
        <f t="shared" si="305"/>
        <v>389750</v>
      </c>
      <c r="S209" s="1">
        <f t="shared" si="305"/>
        <v>1064325</v>
      </c>
      <c r="T209" s="1">
        <f t="shared" si="305"/>
        <v>361</v>
      </c>
      <c r="U209" s="1">
        <f t="shared" si="305"/>
        <v>748021</v>
      </c>
      <c r="V209" s="1">
        <f t="shared" si="305"/>
        <v>6977</v>
      </c>
      <c r="W209" s="1">
        <f t="shared" si="305"/>
        <v>260634</v>
      </c>
      <c r="X209" s="1">
        <f t="shared" si="305"/>
        <v>4842886</v>
      </c>
      <c r="Y209" s="1">
        <f t="shared" si="305"/>
        <v>35779</v>
      </c>
      <c r="Z209" s="1">
        <f t="shared" si="305"/>
        <v>107003</v>
      </c>
      <c r="AA209" s="1">
        <f t="shared" si="305"/>
        <v>100039</v>
      </c>
      <c r="AB209" s="1">
        <f>SUM(AB154+AB172+AB207)</f>
        <v>1768889</v>
      </c>
      <c r="AC209" s="1">
        <f t="shared" si="305"/>
        <v>238913</v>
      </c>
      <c r="AD209" s="1">
        <f t="shared" si="305"/>
        <v>28133</v>
      </c>
      <c r="AE209" s="1">
        <f t="shared" si="305"/>
        <v>82435</v>
      </c>
      <c r="AF209" s="1">
        <f t="shared" si="305"/>
        <v>21202</v>
      </c>
      <c r="AG209" s="1">
        <f t="shared" si="305"/>
        <v>422641</v>
      </c>
      <c r="AH209" s="1">
        <f t="shared" si="305"/>
        <v>253738</v>
      </c>
      <c r="AI209" s="1">
        <f t="shared" si="305"/>
        <v>21826</v>
      </c>
      <c r="AJ209" s="1">
        <f t="shared" si="305"/>
        <v>62464</v>
      </c>
      <c r="AK209" s="1">
        <f t="shared" si="305"/>
        <v>5768</v>
      </c>
      <c r="AL209" s="1">
        <f t="shared" si="305"/>
        <v>35534</v>
      </c>
      <c r="AM209" s="1">
        <f t="shared" si="305"/>
        <v>39899</v>
      </c>
      <c r="AN209" s="1">
        <f t="shared" si="305"/>
        <v>168446</v>
      </c>
      <c r="AO209" s="1">
        <f t="shared" si="305"/>
        <v>0</v>
      </c>
      <c r="AP209" s="1">
        <f t="shared" si="305"/>
        <v>1675727</v>
      </c>
      <c r="AQ209" s="1">
        <f t="shared" si="305"/>
        <v>872198</v>
      </c>
      <c r="AR209" s="1">
        <f t="shared" si="305"/>
        <v>104504</v>
      </c>
      <c r="AS209" s="1">
        <f t="shared" si="305"/>
        <v>96879</v>
      </c>
      <c r="AT209" s="1">
        <f>SUM(AT154+AT172+AT207)</f>
        <v>656704</v>
      </c>
      <c r="AU209" s="1">
        <f>SUM(AU154+AU172+AU207)</f>
        <v>61190</v>
      </c>
      <c r="AV209" s="1">
        <f>SUM(AV154+AV172+AV207)</f>
        <v>0</v>
      </c>
      <c r="AW209" s="1"/>
      <c r="AX209" s="1">
        <f t="shared" si="305"/>
        <v>0</v>
      </c>
      <c r="AY209" s="1">
        <f t="shared" si="305"/>
        <v>0</v>
      </c>
      <c r="AZ209" s="1">
        <f t="shared" si="305"/>
        <v>17572</v>
      </c>
      <c r="BA209" s="1">
        <f t="shared" si="305"/>
        <v>0</v>
      </c>
      <c r="BB209" s="1">
        <f t="shared" si="305"/>
        <v>9514638</v>
      </c>
      <c r="BC209" s="1">
        <f t="shared" si="305"/>
        <v>6881945</v>
      </c>
      <c r="BD209" s="1">
        <f t="shared" si="305"/>
        <v>371646</v>
      </c>
      <c r="BE209" s="1">
        <f t="shared" si="305"/>
        <v>0</v>
      </c>
      <c r="BF209" s="1">
        <f t="shared" si="305"/>
        <v>35310487</v>
      </c>
      <c r="BG209" s="1">
        <f t="shared" si="305"/>
        <v>14646446</v>
      </c>
      <c r="BH209" s="1">
        <f t="shared" si="305"/>
        <v>0</v>
      </c>
      <c r="BI209" s="1">
        <f t="shared" si="305"/>
        <v>63549</v>
      </c>
      <c r="BJ209" s="1">
        <f t="shared" si="305"/>
        <v>0</v>
      </c>
      <c r="BK209" s="1">
        <f t="shared" si="305"/>
        <v>387148</v>
      </c>
      <c r="BL209" s="1">
        <f t="shared" si="305"/>
        <v>57834</v>
      </c>
      <c r="BM209" s="1">
        <f>SUM(BM154+BM172+BM207)</f>
        <v>34589</v>
      </c>
      <c r="BN209" s="1">
        <f t="shared" si="305"/>
        <v>622038</v>
      </c>
      <c r="BO209" s="1"/>
      <c r="BP209" s="1">
        <f t="shared" si="305"/>
        <v>1165158</v>
      </c>
      <c r="BQ209" s="1"/>
      <c r="BR209" s="1">
        <f t="shared" si="305"/>
        <v>17958090</v>
      </c>
      <c r="BS209" s="1">
        <f t="shared" si="305"/>
        <v>0</v>
      </c>
      <c r="BT209" s="1">
        <f>SUM(BT154+BT172+BT207)</f>
        <v>0</v>
      </c>
      <c r="BU209" s="1">
        <f>SUM(BU154+BU172+BU207)</f>
        <v>0</v>
      </c>
      <c r="BV209" s="1">
        <f>SUM(BV154+BV172+BV207)</f>
        <v>0</v>
      </c>
      <c r="BW209" s="1">
        <f>SUM(BW154+BW172+BW207)</f>
        <v>2453628</v>
      </c>
      <c r="BX209" s="3"/>
      <c r="BY209" s="1">
        <f>SUM(BY154+BY172+BY207)</f>
        <v>20411718</v>
      </c>
      <c r="BZ209" s="1"/>
      <c r="CA209" s="1"/>
      <c r="CB209" s="1"/>
      <c r="CC209" s="1">
        <f t="shared" ref="CC209:CH209" si="306">SUM(CC154+CC172+CC207)</f>
        <v>7883099</v>
      </c>
      <c r="CD209" s="1">
        <f t="shared" si="306"/>
        <v>49928</v>
      </c>
      <c r="CE209" s="1">
        <f t="shared" si="306"/>
        <v>183168</v>
      </c>
      <c r="CF209" s="1">
        <f t="shared" si="306"/>
        <v>1393312</v>
      </c>
      <c r="CG209" s="1">
        <f t="shared" si="306"/>
        <v>9448009</v>
      </c>
      <c r="CH209" s="1">
        <f t="shared" si="306"/>
        <v>122172</v>
      </c>
      <c r="CI209" s="1"/>
      <c r="CJ209" s="1">
        <f>SUM(CJ154+CJ172+CJ207)</f>
        <v>19079688</v>
      </c>
      <c r="CK209" s="1"/>
      <c r="CL209" s="1">
        <f t="shared" ref="CL209:CR209" si="307">SUM(CL154+CL172+CL207)</f>
        <v>2332728</v>
      </c>
      <c r="CM209" s="1">
        <f t="shared" si="307"/>
        <v>1400747</v>
      </c>
      <c r="CN209" s="1">
        <f t="shared" si="307"/>
        <v>375848</v>
      </c>
      <c r="CO209" s="1">
        <f t="shared" si="307"/>
        <v>119825</v>
      </c>
      <c r="CP209" s="1">
        <f t="shared" si="307"/>
        <v>1929774</v>
      </c>
      <c r="CQ209" s="1">
        <f t="shared" si="307"/>
        <v>801614</v>
      </c>
      <c r="CR209" s="1">
        <f t="shared" si="307"/>
        <v>359574</v>
      </c>
      <c r="CS209" s="1"/>
      <c r="CT209" s="5"/>
      <c r="CU209" s="1">
        <f>SUM(CU154+CU172+CU207)</f>
        <v>7085931</v>
      </c>
      <c r="CW209" s="1">
        <f>SUM(CW154+CW172+CW207)</f>
        <v>3980305</v>
      </c>
      <c r="CX209" s="1">
        <f t="shared" ref="CX209:DT209" si="308">SUM(CX154+CX172+CX207)</f>
        <v>0</v>
      </c>
      <c r="CY209" s="1">
        <f t="shared" si="308"/>
        <v>32848</v>
      </c>
      <c r="CZ209" s="1">
        <f t="shared" si="308"/>
        <v>41606</v>
      </c>
      <c r="DA209" s="1">
        <f t="shared" si="308"/>
        <v>0</v>
      </c>
      <c r="DB209" s="1">
        <f t="shared" si="308"/>
        <v>44162</v>
      </c>
      <c r="DC209" s="1">
        <f t="shared" si="308"/>
        <v>8412</v>
      </c>
      <c r="DD209" s="1">
        <f t="shared" si="308"/>
        <v>15629</v>
      </c>
      <c r="DE209" s="1">
        <f t="shared" si="308"/>
        <v>8608</v>
      </c>
      <c r="DF209" s="1">
        <f t="shared" si="308"/>
        <v>72836</v>
      </c>
      <c r="DG209" s="1">
        <f t="shared" si="308"/>
        <v>204466</v>
      </c>
      <c r="DH209" s="1">
        <f t="shared" si="308"/>
        <v>1082</v>
      </c>
      <c r="DI209" s="1">
        <f t="shared" si="308"/>
        <v>476989</v>
      </c>
      <c r="DJ209" s="1">
        <f t="shared" si="308"/>
        <v>296099</v>
      </c>
      <c r="DK209" s="1">
        <f t="shared" si="308"/>
        <v>4921</v>
      </c>
      <c r="DL209" s="1">
        <f t="shared" si="308"/>
        <v>1325611</v>
      </c>
      <c r="DM209" s="1">
        <f t="shared" si="308"/>
        <v>0</v>
      </c>
      <c r="DN209" s="1">
        <f t="shared" si="308"/>
        <v>90503</v>
      </c>
      <c r="DO209" s="1">
        <f t="shared" si="308"/>
        <v>59182</v>
      </c>
      <c r="DP209" s="1">
        <f t="shared" si="308"/>
        <v>34351</v>
      </c>
      <c r="DQ209" s="1">
        <f t="shared" si="308"/>
        <v>6768927</v>
      </c>
      <c r="DR209" s="1">
        <f t="shared" si="308"/>
        <v>53057771</v>
      </c>
      <c r="DS209" s="1">
        <f t="shared" si="308"/>
        <v>1772021</v>
      </c>
      <c r="DT209" s="1">
        <f t="shared" si="308"/>
        <v>1733842</v>
      </c>
      <c r="DU209" s="1">
        <f t="shared" ref="DU209" si="309">SUM(DU154+DU172+DU207)</f>
        <v>4704521</v>
      </c>
      <c r="DW209" s="1">
        <f>SUM(DW154+DW207)</f>
        <v>69134738</v>
      </c>
      <c r="DX209" s="1"/>
      <c r="DY209" s="1">
        <f>SUM(DY154+DY207)</f>
        <v>155027</v>
      </c>
      <c r="DZ209" s="1"/>
      <c r="EB209" s="1">
        <f>SUM(EB154+EB207)</f>
        <v>0</v>
      </c>
      <c r="EC209" s="1"/>
      <c r="ED209" s="1"/>
      <c r="EE209" s="1"/>
      <c r="EF209" s="1">
        <f>SUM(EF154+EF207)</f>
        <v>365897</v>
      </c>
      <c r="EG209" s="1"/>
      <c r="EL209" s="1">
        <f>SUM(EL154+EL207)</f>
        <v>0</v>
      </c>
      <c r="EM209" s="1">
        <f>SUM(EM154+EM207)</f>
        <v>0</v>
      </c>
      <c r="EN209">
        <f t="shared" si="292"/>
        <v>140267392</v>
      </c>
      <c r="EQ209" s="1">
        <f>SUM(EQ154+EQ207)</f>
        <v>0</v>
      </c>
    </row>
    <row r="210" spans="1:147" ht="15.75">
      <c r="A210" s="1"/>
      <c r="B210" s="1"/>
      <c r="C210" s="1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3"/>
      <c r="BY210" s="1"/>
      <c r="BZ210" s="1"/>
      <c r="CA210" s="1"/>
      <c r="CB210" s="1"/>
      <c r="CC210" s="1"/>
      <c r="CD210" s="1"/>
      <c r="CE210" s="1"/>
      <c r="CF210" s="1"/>
      <c r="CG210" s="1"/>
      <c r="CH210" s="1"/>
      <c r="CI210" s="1"/>
      <c r="CJ210" s="1"/>
      <c r="CK210" s="1"/>
      <c r="CL210" s="1"/>
      <c r="CM210" s="1"/>
      <c r="CN210" s="1"/>
      <c r="CO210" s="1"/>
      <c r="CP210" s="1"/>
      <c r="CQ210" s="1"/>
      <c r="CR210" s="1"/>
      <c r="CS210" s="1"/>
      <c r="CT210" s="5"/>
      <c r="CU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W210" s="1"/>
      <c r="DX210" s="1"/>
      <c r="DY210" s="1"/>
      <c r="DZ210" s="1"/>
      <c r="EB210" s="1"/>
      <c r="EC210" s="1"/>
      <c r="ED210" s="1"/>
      <c r="EE210" s="1"/>
      <c r="EF210" s="1"/>
      <c r="EG210" s="1"/>
      <c r="EL210" s="1"/>
      <c r="EM210" s="1"/>
      <c r="EN210">
        <f t="shared" ref="EN210:EN218" si="310">+D210+BF210+BP210+BY210+CJ210+CU210+DW210+ED210</f>
        <v>0</v>
      </c>
      <c r="EQ210" s="1"/>
    </row>
    <row r="211" spans="1:147" ht="15.75">
      <c r="A211" s="1"/>
      <c r="B211" s="1" t="s">
        <v>626</v>
      </c>
      <c r="C211" s="11"/>
      <c r="D211" s="1">
        <f t="shared" ref="D211:H211" si="311">SUM(D114+D128-D209)</f>
        <v>0</v>
      </c>
      <c r="E211" s="1">
        <f t="shared" si="311"/>
        <v>0</v>
      </c>
      <c r="F211" s="1">
        <f t="shared" si="311"/>
        <v>0</v>
      </c>
      <c r="G211" s="1">
        <f t="shared" si="311"/>
        <v>0</v>
      </c>
      <c r="H211" s="1">
        <f t="shared" si="311"/>
        <v>0</v>
      </c>
      <c r="I211" s="1">
        <f>SUM(I114+I128-I209)</f>
        <v>0</v>
      </c>
      <c r="J211" s="1">
        <f t="shared" ref="J211:BG211" si="312">SUM(J114+J128-J209)</f>
        <v>0</v>
      </c>
      <c r="K211" s="1">
        <f t="shared" si="312"/>
        <v>0</v>
      </c>
      <c r="L211" s="1">
        <f t="shared" si="312"/>
        <v>0</v>
      </c>
      <c r="M211" s="1">
        <f t="shared" si="312"/>
        <v>0</v>
      </c>
      <c r="N211" s="1">
        <f t="shared" si="312"/>
        <v>0</v>
      </c>
      <c r="O211" s="1">
        <f t="shared" si="312"/>
        <v>0</v>
      </c>
      <c r="P211" s="1">
        <f t="shared" si="312"/>
        <v>0</v>
      </c>
      <c r="Q211" s="1">
        <f t="shared" si="312"/>
        <v>0</v>
      </c>
      <c r="R211" s="1">
        <f t="shared" si="312"/>
        <v>0</v>
      </c>
      <c r="S211" s="1">
        <f t="shared" si="312"/>
        <v>0</v>
      </c>
      <c r="T211" s="1">
        <f t="shared" si="312"/>
        <v>0</v>
      </c>
      <c r="U211" s="1">
        <f t="shared" si="312"/>
        <v>0</v>
      </c>
      <c r="V211" s="1">
        <f t="shared" si="312"/>
        <v>0</v>
      </c>
      <c r="W211" s="1">
        <f t="shared" si="312"/>
        <v>0</v>
      </c>
      <c r="X211" s="1">
        <f t="shared" si="312"/>
        <v>0</v>
      </c>
      <c r="Y211" s="1">
        <f t="shared" si="312"/>
        <v>0</v>
      </c>
      <c r="Z211" s="1">
        <f t="shared" si="312"/>
        <v>0</v>
      </c>
      <c r="AA211" s="1">
        <f t="shared" si="312"/>
        <v>0</v>
      </c>
      <c r="AB211" s="1">
        <f t="shared" si="312"/>
        <v>0</v>
      </c>
      <c r="AC211" s="1">
        <f t="shared" si="312"/>
        <v>0</v>
      </c>
      <c r="AD211" s="1">
        <f t="shared" si="312"/>
        <v>0</v>
      </c>
      <c r="AE211" s="1">
        <f t="shared" si="312"/>
        <v>0</v>
      </c>
      <c r="AF211" s="1">
        <f t="shared" si="312"/>
        <v>0</v>
      </c>
      <c r="AG211" s="1">
        <f t="shared" si="312"/>
        <v>0</v>
      </c>
      <c r="AH211" s="1">
        <f t="shared" si="312"/>
        <v>0</v>
      </c>
      <c r="AI211" s="1">
        <f t="shared" si="312"/>
        <v>0</v>
      </c>
      <c r="AJ211" s="1">
        <f t="shared" si="312"/>
        <v>0</v>
      </c>
      <c r="AK211" s="1">
        <f t="shared" si="312"/>
        <v>0</v>
      </c>
      <c r="AL211" s="1">
        <f t="shared" si="312"/>
        <v>0</v>
      </c>
      <c r="AM211" s="1">
        <f t="shared" si="312"/>
        <v>0</v>
      </c>
      <c r="AN211" s="1">
        <f t="shared" si="312"/>
        <v>0</v>
      </c>
      <c r="AO211" s="1">
        <f t="shared" si="312"/>
        <v>0</v>
      </c>
      <c r="AP211" s="1">
        <f t="shared" si="312"/>
        <v>0</v>
      </c>
      <c r="AQ211" s="1">
        <f t="shared" si="312"/>
        <v>0</v>
      </c>
      <c r="AR211" s="1">
        <f t="shared" si="312"/>
        <v>0</v>
      </c>
      <c r="AS211" s="1">
        <f t="shared" si="312"/>
        <v>0</v>
      </c>
      <c r="AT211" s="1">
        <f t="shared" si="312"/>
        <v>0</v>
      </c>
      <c r="AU211" s="1">
        <f t="shared" si="312"/>
        <v>0</v>
      </c>
      <c r="AV211" s="1">
        <f t="shared" si="312"/>
        <v>0</v>
      </c>
      <c r="AW211" s="1">
        <f t="shared" si="312"/>
        <v>0</v>
      </c>
      <c r="AX211" s="1">
        <f t="shared" si="312"/>
        <v>0</v>
      </c>
      <c r="AY211" s="1">
        <f t="shared" si="312"/>
        <v>0</v>
      </c>
      <c r="AZ211" s="1">
        <f t="shared" si="312"/>
        <v>0</v>
      </c>
      <c r="BA211" s="1">
        <f t="shared" si="312"/>
        <v>0</v>
      </c>
      <c r="BB211" s="1">
        <f t="shared" si="312"/>
        <v>0</v>
      </c>
      <c r="BC211" s="1">
        <f t="shared" si="312"/>
        <v>0</v>
      </c>
      <c r="BD211" s="1">
        <f t="shared" si="312"/>
        <v>0</v>
      </c>
      <c r="BE211" s="1"/>
      <c r="BF211" s="1">
        <f t="shared" si="312"/>
        <v>0</v>
      </c>
      <c r="BG211" s="1">
        <f t="shared" si="312"/>
        <v>8939210</v>
      </c>
      <c r="BH211" s="1">
        <f t="shared" ref="BH211:BN211" si="313">SUM(BH114-BH209)</f>
        <v>0</v>
      </c>
      <c r="BI211" s="1">
        <f t="shared" si="313"/>
        <v>0</v>
      </c>
      <c r="BJ211" s="1">
        <f t="shared" si="313"/>
        <v>0</v>
      </c>
      <c r="BK211" s="1">
        <f t="shared" si="313"/>
        <v>0</v>
      </c>
      <c r="BL211" s="1">
        <f t="shared" si="313"/>
        <v>0</v>
      </c>
      <c r="BM211" s="1">
        <f>SUM(BM114-BM209)</f>
        <v>0</v>
      </c>
      <c r="BN211" s="1">
        <f t="shared" si="313"/>
        <v>0</v>
      </c>
      <c r="BO211" s="1"/>
      <c r="BP211" s="1">
        <f>SUM(BP114-BP209)</f>
        <v>0</v>
      </c>
      <c r="BQ211" s="1"/>
      <c r="BR211" s="1">
        <f t="shared" ref="BR211:BW211" si="314">SUM(BR114-BR209)</f>
        <v>0</v>
      </c>
      <c r="BS211" s="1">
        <f t="shared" si="314"/>
        <v>0</v>
      </c>
      <c r="BT211" s="1">
        <f t="shared" si="314"/>
        <v>0</v>
      </c>
      <c r="BU211" s="1">
        <f t="shared" si="314"/>
        <v>0</v>
      </c>
      <c r="BV211" s="1">
        <f t="shared" si="314"/>
        <v>0</v>
      </c>
      <c r="BW211" s="1">
        <f t="shared" si="314"/>
        <v>0</v>
      </c>
      <c r="BX211" s="3"/>
      <c r="BY211" s="1">
        <f>SUM(BY114-BY209)</f>
        <v>0</v>
      </c>
      <c r="BZ211" s="1"/>
      <c r="CA211" s="1"/>
      <c r="CB211" s="1"/>
      <c r="CC211" s="1">
        <f t="shared" ref="CC211:CH211" si="315">SUM(CC114+CC128-CC209)</f>
        <v>0</v>
      </c>
      <c r="CD211" s="1">
        <f t="shared" si="315"/>
        <v>0</v>
      </c>
      <c r="CE211" s="1">
        <f t="shared" si="315"/>
        <v>0</v>
      </c>
      <c r="CF211" s="1">
        <f t="shared" si="315"/>
        <v>0</v>
      </c>
      <c r="CG211" s="1">
        <f t="shared" si="315"/>
        <v>0</v>
      </c>
      <c r="CH211" s="1">
        <f t="shared" si="315"/>
        <v>0</v>
      </c>
      <c r="CI211" s="1"/>
      <c r="CJ211" s="1">
        <f>SUM(CJ114+CJ128-CJ209)</f>
        <v>0</v>
      </c>
      <c r="CK211" s="1"/>
      <c r="CL211" s="1">
        <f t="shared" ref="CL211:CR211" si="316">SUM(CL114-CL209)</f>
        <v>0</v>
      </c>
      <c r="CM211" s="1">
        <f t="shared" si="316"/>
        <v>0</v>
      </c>
      <c r="CN211" s="1">
        <f t="shared" si="316"/>
        <v>0</v>
      </c>
      <c r="CO211" s="1">
        <f t="shared" si="316"/>
        <v>0</v>
      </c>
      <c r="CP211" s="1">
        <f t="shared" si="316"/>
        <v>0</v>
      </c>
      <c r="CQ211" s="1">
        <f t="shared" si="316"/>
        <v>0</v>
      </c>
      <c r="CR211" s="1">
        <f t="shared" si="316"/>
        <v>0</v>
      </c>
      <c r="CS211" s="1"/>
      <c r="CT211" s="5"/>
      <c r="CU211" s="1">
        <f>SUM(CU114-CU209)</f>
        <v>-286048</v>
      </c>
      <c r="CW211" s="1">
        <f>SUM(CW114-CW209)</f>
        <v>0</v>
      </c>
      <c r="CX211" s="1">
        <f t="shared" ref="CX211:DT211" si="317">SUM(CX114-CX209)</f>
        <v>0</v>
      </c>
      <c r="CY211" s="1">
        <f t="shared" si="317"/>
        <v>0</v>
      </c>
      <c r="CZ211" s="1">
        <f t="shared" si="317"/>
        <v>0</v>
      </c>
      <c r="DA211" s="1">
        <f t="shared" si="317"/>
        <v>0</v>
      </c>
      <c r="DB211" s="1">
        <f t="shared" si="317"/>
        <v>0</v>
      </c>
      <c r="DC211" s="1">
        <f t="shared" si="317"/>
        <v>0</v>
      </c>
      <c r="DD211" s="1">
        <f t="shared" si="317"/>
        <v>0</v>
      </c>
      <c r="DE211" s="1">
        <f t="shared" si="317"/>
        <v>0</v>
      </c>
      <c r="DF211" s="1">
        <f t="shared" si="317"/>
        <v>0</v>
      </c>
      <c r="DG211" s="1">
        <f t="shared" si="317"/>
        <v>0</v>
      </c>
      <c r="DH211" s="1">
        <f t="shared" si="317"/>
        <v>0</v>
      </c>
      <c r="DI211" s="1">
        <f t="shared" si="317"/>
        <v>0</v>
      </c>
      <c r="DJ211" s="1">
        <f t="shared" si="317"/>
        <v>0</v>
      </c>
      <c r="DK211" s="1">
        <f t="shared" si="317"/>
        <v>0</v>
      </c>
      <c r="DL211" s="1">
        <f t="shared" si="317"/>
        <v>0</v>
      </c>
      <c r="DM211" s="1">
        <f t="shared" si="317"/>
        <v>0</v>
      </c>
      <c r="DN211" s="1">
        <f t="shared" si="317"/>
        <v>0</v>
      </c>
      <c r="DO211" s="1">
        <f t="shared" si="317"/>
        <v>0</v>
      </c>
      <c r="DP211" s="1">
        <f t="shared" si="317"/>
        <v>0</v>
      </c>
      <c r="DQ211" s="1">
        <f t="shared" si="317"/>
        <v>0</v>
      </c>
      <c r="DR211" s="1">
        <f t="shared" si="317"/>
        <v>0</v>
      </c>
      <c r="DS211" s="1">
        <f t="shared" si="317"/>
        <v>0</v>
      </c>
      <c r="DT211" s="1">
        <f t="shared" si="317"/>
        <v>0</v>
      </c>
      <c r="DU211" s="1">
        <f t="shared" ref="DU211" si="318">SUM(DU114-DU209)</f>
        <v>0</v>
      </c>
      <c r="DW211" s="1">
        <f>SUM(DW114-DW209)</f>
        <v>34351</v>
      </c>
      <c r="DX211" s="1"/>
      <c r="DY211" s="1">
        <f>SUM(DY114-DY209)</f>
        <v>0</v>
      </c>
      <c r="DZ211" s="1"/>
      <c r="EB211" s="1">
        <f>SUM(EB114+EB117-EB209)</f>
        <v>0</v>
      </c>
      <c r="EC211" s="1"/>
      <c r="ED211" s="1"/>
      <c r="EE211" s="1"/>
      <c r="EF211" s="1">
        <f>SUM(EF114-EF209)</f>
        <v>0</v>
      </c>
      <c r="EG211" s="1"/>
      <c r="EL211" s="1">
        <f>SUM(EL114-EL209)</f>
        <v>0</v>
      </c>
      <c r="EM211" s="1">
        <f>SUM(EM114-EM209)</f>
        <v>0</v>
      </c>
      <c r="EN211">
        <f t="shared" si="310"/>
        <v>-251697</v>
      </c>
      <c r="EQ211" s="1">
        <f>SUM(EQ114-EQ209)</f>
        <v>3994543</v>
      </c>
    </row>
    <row r="212" spans="1:147" ht="15.75">
      <c r="A212" s="1"/>
      <c r="B212" s="1"/>
      <c r="C212" s="1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3"/>
      <c r="BY212" s="1"/>
      <c r="BZ212" s="1"/>
      <c r="CA212" s="1"/>
      <c r="CB212" s="1"/>
      <c r="CC212" s="1"/>
      <c r="CD212" s="1"/>
      <c r="CE212" s="1"/>
      <c r="CF212" s="1"/>
      <c r="CG212" s="1"/>
      <c r="CH212" s="1"/>
      <c r="CI212" s="1"/>
      <c r="CJ212" s="1"/>
      <c r="CK212" s="1"/>
      <c r="CL212" s="1"/>
      <c r="CM212" s="1"/>
      <c r="CN212" s="1"/>
      <c r="CO212" s="1"/>
      <c r="CP212" s="1"/>
      <c r="CQ212" s="1"/>
      <c r="CR212" s="1"/>
      <c r="CS212" s="1"/>
      <c r="CT212" s="5"/>
      <c r="CU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W212" s="1"/>
      <c r="DX212" s="1"/>
      <c r="DY212" s="1"/>
      <c r="DZ212" s="1"/>
      <c r="EB212" s="1"/>
      <c r="EC212" s="1"/>
      <c r="ED212" s="1"/>
      <c r="EE212" s="1"/>
      <c r="EF212" s="1"/>
      <c r="EG212" s="1"/>
      <c r="EL212" s="1"/>
      <c r="EM212" s="1"/>
      <c r="EN212">
        <f t="shared" si="310"/>
        <v>0</v>
      </c>
      <c r="EQ212" s="1"/>
    </row>
    <row r="213" spans="1:147" ht="15.75">
      <c r="A213" s="10"/>
      <c r="B213" s="10" t="s">
        <v>128</v>
      </c>
      <c r="C213" s="103"/>
      <c r="D213" s="10">
        <f t="shared" ref="D213:AC213" si="319">D73</f>
        <v>10224732</v>
      </c>
      <c r="E213" s="10">
        <f t="shared" si="319"/>
        <v>-102054</v>
      </c>
      <c r="F213" s="10">
        <f t="shared" si="319"/>
        <v>3692</v>
      </c>
      <c r="G213" s="10">
        <f t="shared" si="319"/>
        <v>73809</v>
      </c>
      <c r="H213" s="10">
        <f t="shared" si="319"/>
        <v>357347</v>
      </c>
      <c r="I213" s="10">
        <f t="shared" si="319"/>
        <v>4500</v>
      </c>
      <c r="J213" s="10">
        <f t="shared" si="319"/>
        <v>2097057</v>
      </c>
      <c r="K213" s="10">
        <f t="shared" si="319"/>
        <v>1303</v>
      </c>
      <c r="L213" s="10">
        <f t="shared" si="319"/>
        <v>21640</v>
      </c>
      <c r="M213" s="10">
        <f t="shared" si="319"/>
        <v>660329</v>
      </c>
      <c r="N213" s="10">
        <f t="shared" si="319"/>
        <v>84305</v>
      </c>
      <c r="O213" s="10">
        <f t="shared" si="319"/>
        <v>60405</v>
      </c>
      <c r="P213" s="10">
        <f t="shared" si="319"/>
        <v>0</v>
      </c>
      <c r="Q213" s="10">
        <f t="shared" si="319"/>
        <v>185629</v>
      </c>
      <c r="R213" s="10">
        <f t="shared" si="319"/>
        <v>380215</v>
      </c>
      <c r="S213" s="10">
        <f t="shared" si="319"/>
        <v>1022934</v>
      </c>
      <c r="T213" s="10">
        <f t="shared" si="319"/>
        <v>308</v>
      </c>
      <c r="U213" s="10">
        <f t="shared" si="319"/>
        <v>653461</v>
      </c>
      <c r="V213" s="10">
        <f t="shared" si="319"/>
        <v>2517</v>
      </c>
      <c r="W213" s="10">
        <f t="shared" si="319"/>
        <v>255076</v>
      </c>
      <c r="X213" s="10">
        <f t="shared" si="319"/>
        <v>4366091</v>
      </c>
      <c r="Y213" s="10">
        <f t="shared" si="319"/>
        <v>35779</v>
      </c>
      <c r="Z213" s="10">
        <f t="shared" si="319"/>
        <v>107003</v>
      </c>
      <c r="AA213" s="10">
        <f t="shared" si="319"/>
        <v>100039</v>
      </c>
      <c r="AB213" s="10">
        <f t="shared" si="319"/>
        <v>1631376</v>
      </c>
      <c r="AC213" s="10">
        <f t="shared" si="319"/>
        <v>238913</v>
      </c>
      <c r="AD213" s="10"/>
      <c r="AE213" s="10">
        <f t="shared" ref="AE213:AV213" si="320">AE73</f>
        <v>82435</v>
      </c>
      <c r="AF213" s="10">
        <f t="shared" si="320"/>
        <v>21202</v>
      </c>
      <c r="AG213" s="10">
        <f t="shared" si="320"/>
        <v>422641</v>
      </c>
      <c r="AH213" s="10">
        <f t="shared" si="320"/>
        <v>253738</v>
      </c>
      <c r="AI213" s="10">
        <f t="shared" si="320"/>
        <v>21826</v>
      </c>
      <c r="AJ213" s="10">
        <f t="shared" si="320"/>
        <v>62464</v>
      </c>
      <c r="AK213" s="10">
        <f t="shared" si="320"/>
        <v>5768</v>
      </c>
      <c r="AL213" s="10">
        <f t="shared" si="320"/>
        <v>35534</v>
      </c>
      <c r="AM213" s="10">
        <f t="shared" si="320"/>
        <v>39899</v>
      </c>
      <c r="AN213" s="10">
        <f t="shared" si="320"/>
        <v>168446</v>
      </c>
      <c r="AO213" s="10">
        <f t="shared" si="320"/>
        <v>0</v>
      </c>
      <c r="AP213" s="10">
        <f t="shared" si="320"/>
        <v>1675727</v>
      </c>
      <c r="AQ213" s="10">
        <f t="shared" si="320"/>
        <v>872198</v>
      </c>
      <c r="AR213" s="10">
        <f t="shared" si="320"/>
        <v>104504</v>
      </c>
      <c r="AS213" s="10">
        <f t="shared" si="320"/>
        <v>96879</v>
      </c>
      <c r="AT213" s="10">
        <f t="shared" si="320"/>
        <v>247580</v>
      </c>
      <c r="AU213" s="10">
        <f t="shared" si="320"/>
        <v>-1287</v>
      </c>
      <c r="AV213" s="10">
        <f t="shared" si="320"/>
        <v>-22045</v>
      </c>
      <c r="AW213" s="10"/>
      <c r="AX213" s="10">
        <f t="shared" ref="AX213:BD213" si="321">AX73</f>
        <v>-11972</v>
      </c>
      <c r="AY213" s="10">
        <f t="shared" si="321"/>
        <v>0</v>
      </c>
      <c r="AZ213" s="10">
        <f t="shared" si="321"/>
        <v>17572</v>
      </c>
      <c r="BA213" s="10">
        <f t="shared" si="321"/>
        <v>-8728</v>
      </c>
      <c r="BB213" s="10">
        <f t="shared" si="321"/>
        <v>-287714</v>
      </c>
      <c r="BC213" s="10">
        <f t="shared" si="321"/>
        <v>6813379</v>
      </c>
      <c r="BD213" s="10">
        <f t="shared" si="321"/>
        <v>371646</v>
      </c>
      <c r="BE213" s="1"/>
      <c r="BF213" s="10">
        <f>BF73</f>
        <v>23251499</v>
      </c>
      <c r="BG213" s="10"/>
      <c r="BH213" s="10">
        <f t="shared" ref="BH213:BN213" si="322">BH73</f>
        <v>0</v>
      </c>
      <c r="BI213" s="10">
        <f t="shared" si="322"/>
        <v>41294</v>
      </c>
      <c r="BJ213" s="10">
        <f t="shared" si="322"/>
        <v>0</v>
      </c>
      <c r="BK213" s="10">
        <f t="shared" si="322"/>
        <v>387148</v>
      </c>
      <c r="BL213" s="10">
        <f t="shared" si="322"/>
        <v>55606</v>
      </c>
      <c r="BM213" s="10">
        <f t="shared" si="322"/>
        <v>19430</v>
      </c>
      <c r="BN213" s="10">
        <f t="shared" si="322"/>
        <v>121101</v>
      </c>
      <c r="BO213" s="1"/>
      <c r="BP213" s="10">
        <f>BP73</f>
        <v>624579</v>
      </c>
      <c r="BQ213" s="10"/>
      <c r="BR213" s="10">
        <f t="shared" ref="BR213:BW213" si="323">BR73</f>
        <v>17906114</v>
      </c>
      <c r="BS213" s="10">
        <f t="shared" si="323"/>
        <v>0</v>
      </c>
      <c r="BT213" s="10">
        <f t="shared" si="323"/>
        <v>-24383</v>
      </c>
      <c r="BU213" s="10">
        <f t="shared" si="323"/>
        <v>0</v>
      </c>
      <c r="BV213" s="10">
        <f t="shared" si="323"/>
        <v>0</v>
      </c>
      <c r="BW213" s="10">
        <f t="shared" si="323"/>
        <v>2342458</v>
      </c>
      <c r="BX213" s="3"/>
      <c r="BY213" s="10">
        <f>BY73</f>
        <v>20224189</v>
      </c>
      <c r="BZ213" s="10"/>
      <c r="CA213" s="10"/>
      <c r="CB213" s="10"/>
      <c r="CC213" s="10">
        <f t="shared" ref="CC213:CH213" si="324">CC73</f>
        <v>7781237</v>
      </c>
      <c r="CD213" s="10">
        <f t="shared" si="324"/>
        <v>49380</v>
      </c>
      <c r="CE213" s="10">
        <f t="shared" si="324"/>
        <v>180053</v>
      </c>
      <c r="CF213" s="10">
        <f t="shared" si="324"/>
        <v>1269238</v>
      </c>
      <c r="CG213" s="10">
        <f t="shared" si="324"/>
        <v>7199713</v>
      </c>
      <c r="CH213" s="10">
        <f t="shared" si="324"/>
        <v>121163</v>
      </c>
      <c r="CI213" s="1"/>
      <c r="CJ213" s="10">
        <f>CJ73</f>
        <v>16600784</v>
      </c>
      <c r="CK213" s="10"/>
      <c r="CL213" s="10">
        <f>CL73</f>
        <v>2264757</v>
      </c>
      <c r="CM213" s="10"/>
      <c r="CN213" s="10">
        <f>CN73</f>
        <v>309413</v>
      </c>
      <c r="CO213" s="10">
        <f>CO73</f>
        <v>119825</v>
      </c>
      <c r="CP213" s="10">
        <f>CP73</f>
        <v>1437849</v>
      </c>
      <c r="CQ213" s="10">
        <f>CQ73</f>
        <v>801614</v>
      </c>
      <c r="CR213" s="10">
        <f>CR73</f>
        <v>-129336</v>
      </c>
      <c r="CS213" s="1"/>
      <c r="CT213" s="5"/>
      <c r="CU213" s="10">
        <f>CU73</f>
        <v>5799860</v>
      </c>
      <c r="CW213" s="10">
        <f>CW73</f>
        <v>3980305</v>
      </c>
      <c r="CX213" s="10">
        <f>CX73</f>
        <v>0</v>
      </c>
      <c r="CY213" s="10">
        <f>CY73</f>
        <v>32848</v>
      </c>
      <c r="CZ213" s="10"/>
      <c r="DA213" s="10"/>
      <c r="DB213" s="10">
        <f>DB73</f>
        <v>44162</v>
      </c>
      <c r="DC213" s="10">
        <f>DC73</f>
        <v>8412</v>
      </c>
      <c r="DD213" s="10"/>
      <c r="DE213" s="10">
        <f>DE73</f>
        <v>8608</v>
      </c>
      <c r="DF213" s="10"/>
      <c r="DG213" s="10">
        <f t="shared" ref="DG213:DL213" si="325">DG73</f>
        <v>204466</v>
      </c>
      <c r="DH213" s="10">
        <f t="shared" si="325"/>
        <v>0</v>
      </c>
      <c r="DI213" s="10">
        <f t="shared" si="325"/>
        <v>0</v>
      </c>
      <c r="DJ213" s="10">
        <f t="shared" si="325"/>
        <v>296099</v>
      </c>
      <c r="DK213" s="10">
        <f t="shared" si="325"/>
        <v>0</v>
      </c>
      <c r="DL213" s="10">
        <f t="shared" si="325"/>
        <v>1325611</v>
      </c>
      <c r="DM213" s="10"/>
      <c r="DN213" s="10">
        <f>DN73</f>
        <v>90503</v>
      </c>
      <c r="DO213" s="10">
        <f>DO73</f>
        <v>0</v>
      </c>
      <c r="DP213" s="10">
        <f>DP73</f>
        <v>34351</v>
      </c>
      <c r="DQ213" s="10">
        <f>DQ73</f>
        <v>6768927</v>
      </c>
      <c r="DR213" s="10"/>
      <c r="DS213" s="10"/>
      <c r="DT213" s="10"/>
      <c r="DW213" s="10">
        <f>DW73</f>
        <v>66325530</v>
      </c>
      <c r="DX213" s="10"/>
      <c r="DY213" s="10">
        <f>DY73</f>
        <v>140059</v>
      </c>
      <c r="DZ213" s="10"/>
      <c r="EB213" s="10">
        <f>EB73</f>
        <v>0</v>
      </c>
      <c r="EC213" s="1"/>
      <c r="ED213" s="1"/>
      <c r="EE213" s="10"/>
      <c r="EF213" s="10">
        <f>EF73</f>
        <v>365897</v>
      </c>
      <c r="EG213" s="1"/>
      <c r="EL213" s="10">
        <f>EL73</f>
        <v>0</v>
      </c>
      <c r="EM213" s="10">
        <f>EM73</f>
        <v>0</v>
      </c>
      <c r="EN213">
        <f t="shared" si="310"/>
        <v>143051173</v>
      </c>
      <c r="EQ213" s="10">
        <f>EQ73</f>
        <v>21202</v>
      </c>
    </row>
    <row r="214" spans="1:147" ht="8.1" customHeight="1">
      <c r="A214" s="10"/>
      <c r="B214" s="10" t="s">
        <v>129</v>
      </c>
      <c r="C214" s="103"/>
      <c r="D214" s="10">
        <f t="shared" ref="D214:P214" si="326">SUM(D207-D213)</f>
        <v>0</v>
      </c>
      <c r="E214" s="10">
        <f t="shared" si="326"/>
        <v>0</v>
      </c>
      <c r="F214" s="10">
        <f t="shared" si="326"/>
        <v>0</v>
      </c>
      <c r="G214" s="10">
        <f t="shared" si="326"/>
        <v>0</v>
      </c>
      <c r="H214" s="10">
        <f t="shared" si="326"/>
        <v>0</v>
      </c>
      <c r="I214" s="10">
        <f t="shared" si="326"/>
        <v>0</v>
      </c>
      <c r="J214" s="10">
        <f t="shared" si="326"/>
        <v>0</v>
      </c>
      <c r="K214" s="10">
        <f t="shared" si="326"/>
        <v>0</v>
      </c>
      <c r="L214" s="10">
        <f t="shared" si="326"/>
        <v>0</v>
      </c>
      <c r="M214" s="10">
        <f t="shared" si="326"/>
        <v>0</v>
      </c>
      <c r="N214" s="10">
        <f t="shared" si="326"/>
        <v>0</v>
      </c>
      <c r="O214" s="10">
        <f t="shared" si="326"/>
        <v>0</v>
      </c>
      <c r="P214" s="10">
        <f t="shared" si="326"/>
        <v>0</v>
      </c>
      <c r="Q214" s="10">
        <f t="shared" ref="Q214:Y214" si="327">SUM(Q207-Q213)</f>
        <v>0</v>
      </c>
      <c r="R214" s="10">
        <f t="shared" si="327"/>
        <v>0</v>
      </c>
      <c r="S214" s="10">
        <f t="shared" si="327"/>
        <v>0</v>
      </c>
      <c r="T214" s="10">
        <f t="shared" si="327"/>
        <v>0</v>
      </c>
      <c r="U214" s="10">
        <f t="shared" si="327"/>
        <v>0</v>
      </c>
      <c r="V214" s="10">
        <f t="shared" si="327"/>
        <v>0</v>
      </c>
      <c r="W214" s="10">
        <f t="shared" si="327"/>
        <v>0</v>
      </c>
      <c r="X214" s="10">
        <f t="shared" si="327"/>
        <v>0</v>
      </c>
      <c r="Y214" s="10">
        <f t="shared" si="327"/>
        <v>0</v>
      </c>
      <c r="Z214" s="10">
        <f>SUM(Z207-Z213)</f>
        <v>0</v>
      </c>
      <c r="AA214" s="10">
        <f>SUM(AA207-AA213)</f>
        <v>0</v>
      </c>
      <c r="AB214" s="10">
        <f>SUM(AB207-AB213)</f>
        <v>0</v>
      </c>
      <c r="AC214" s="10">
        <f>SUM(AC207-AC213)</f>
        <v>0</v>
      </c>
      <c r="AD214" s="10"/>
      <c r="AE214" s="10">
        <f t="shared" ref="AE214:AK214" si="328">SUM(AE207-AE213)</f>
        <v>0</v>
      </c>
      <c r="AF214" s="10">
        <f t="shared" si="328"/>
        <v>0</v>
      </c>
      <c r="AG214" s="10">
        <f t="shared" si="328"/>
        <v>0</v>
      </c>
      <c r="AH214" s="10">
        <f t="shared" si="328"/>
        <v>0</v>
      </c>
      <c r="AI214" s="10">
        <f t="shared" si="328"/>
        <v>0</v>
      </c>
      <c r="AJ214" s="10">
        <f t="shared" si="328"/>
        <v>0</v>
      </c>
      <c r="AK214" s="10">
        <f t="shared" si="328"/>
        <v>0</v>
      </c>
      <c r="AL214" s="10">
        <f t="shared" ref="AL214:AQ214" si="329">SUM(AL207-AL213)</f>
        <v>0</v>
      </c>
      <c r="AM214" s="10">
        <f t="shared" si="329"/>
        <v>0</v>
      </c>
      <c r="AN214" s="10">
        <f t="shared" si="329"/>
        <v>0</v>
      </c>
      <c r="AO214" s="10">
        <f t="shared" si="329"/>
        <v>0</v>
      </c>
      <c r="AP214" s="10">
        <f t="shared" si="329"/>
        <v>0</v>
      </c>
      <c r="AQ214" s="10">
        <f t="shared" si="329"/>
        <v>0</v>
      </c>
      <c r="AR214" s="10">
        <f t="shared" ref="AR214:BC214" si="330">SUM(AR207-AR213)</f>
        <v>0</v>
      </c>
      <c r="AS214" s="10">
        <f t="shared" si="330"/>
        <v>0</v>
      </c>
      <c r="AT214" s="10">
        <f>SUM(AT207-AT213)</f>
        <v>0</v>
      </c>
      <c r="AU214" s="10">
        <f t="shared" si="330"/>
        <v>0</v>
      </c>
      <c r="AV214" s="10">
        <f t="shared" si="330"/>
        <v>0</v>
      </c>
      <c r="AW214" s="10"/>
      <c r="AX214" s="10">
        <f t="shared" si="330"/>
        <v>0</v>
      </c>
      <c r="AY214" s="10">
        <f t="shared" si="330"/>
        <v>0</v>
      </c>
      <c r="AZ214" s="10">
        <f t="shared" si="330"/>
        <v>0</v>
      </c>
      <c r="BA214" s="10">
        <f t="shared" si="330"/>
        <v>0</v>
      </c>
      <c r="BB214" s="10">
        <f t="shared" si="330"/>
        <v>0</v>
      </c>
      <c r="BC214" s="10">
        <f t="shared" si="330"/>
        <v>0</v>
      </c>
      <c r="BD214" s="10">
        <f>SUM(BD207-BD213)</f>
        <v>0</v>
      </c>
      <c r="BE214" s="1"/>
      <c r="BF214" s="10">
        <f t="shared" ref="BF214:BN214" si="331">SUM(BF207-BF213)</f>
        <v>0</v>
      </c>
      <c r="BG214" s="10"/>
      <c r="BH214" s="10">
        <f t="shared" si="331"/>
        <v>0</v>
      </c>
      <c r="BI214" s="10">
        <f>SUM(BI207-BI213)</f>
        <v>0</v>
      </c>
      <c r="BJ214" s="10">
        <f t="shared" si="331"/>
        <v>0</v>
      </c>
      <c r="BK214" s="10">
        <f t="shared" si="331"/>
        <v>0</v>
      </c>
      <c r="BL214" s="10">
        <f>SUM(BL207-BL213)</f>
        <v>0</v>
      </c>
      <c r="BM214" s="10">
        <f>SUM(BM207-BM213)</f>
        <v>0</v>
      </c>
      <c r="BN214" s="10">
        <f t="shared" si="331"/>
        <v>0</v>
      </c>
      <c r="BO214" s="1"/>
      <c r="BP214" s="10">
        <f>SUM(BP207-BP213)</f>
        <v>0</v>
      </c>
      <c r="BQ214" s="10"/>
      <c r="BR214" s="10">
        <f>SUM(BR207-BR213)</f>
        <v>0</v>
      </c>
      <c r="BS214" s="10">
        <f t="shared" ref="BS214:CL214" si="332">SUM(BS207-BS213)</f>
        <v>0</v>
      </c>
      <c r="BT214" s="10">
        <f>SUM(BT207-BT213)</f>
        <v>0</v>
      </c>
      <c r="BU214" s="10">
        <f>SUM(BU207-BU213)</f>
        <v>0</v>
      </c>
      <c r="BV214" s="10">
        <f>SUM(BV207-BV213)</f>
        <v>0</v>
      </c>
      <c r="BW214" s="10">
        <f>SUM(BW207-BW213)</f>
        <v>0</v>
      </c>
      <c r="BX214" s="3"/>
      <c r="BY214" s="10">
        <f t="shared" si="332"/>
        <v>0</v>
      </c>
      <c r="BZ214" s="10"/>
      <c r="CA214" s="10"/>
      <c r="CB214" s="10"/>
      <c r="CC214" s="10">
        <f>SUM(CC207-CC213)</f>
        <v>0</v>
      </c>
      <c r="CD214" s="10">
        <f t="shared" si="332"/>
        <v>0</v>
      </c>
      <c r="CE214" s="10">
        <f t="shared" si="332"/>
        <v>0</v>
      </c>
      <c r="CF214" s="10">
        <f t="shared" si="332"/>
        <v>0</v>
      </c>
      <c r="CG214" s="10">
        <f t="shared" si="332"/>
        <v>0</v>
      </c>
      <c r="CH214" s="10">
        <f t="shared" si="332"/>
        <v>0</v>
      </c>
      <c r="CI214" s="1"/>
      <c r="CJ214" s="10">
        <f t="shared" si="332"/>
        <v>0</v>
      </c>
      <c r="CK214" s="10"/>
      <c r="CL214" s="10">
        <f t="shared" si="332"/>
        <v>0</v>
      </c>
      <c r="CM214" s="10"/>
      <c r="CN214" s="10">
        <f>SUM(CN207-CN213)</f>
        <v>0</v>
      </c>
      <c r="CO214" s="10">
        <f>SUM(CO207-CO213)</f>
        <v>0</v>
      </c>
      <c r="CP214" s="10">
        <f>SUM(CP207-CP213)</f>
        <v>0</v>
      </c>
      <c r="CQ214" s="10">
        <f>SUM(CQ207-CQ213)</f>
        <v>0</v>
      </c>
      <c r="CR214" s="10">
        <f>SUM(CR207-CR213)</f>
        <v>0</v>
      </c>
      <c r="CS214" s="1"/>
      <c r="CT214" s="5"/>
      <c r="CU214" s="10">
        <f>SUM(CU207-CU213)</f>
        <v>0</v>
      </c>
      <c r="CW214" s="10">
        <f>SUM(CW207-CW213)</f>
        <v>0</v>
      </c>
      <c r="CX214" s="10"/>
      <c r="CY214" s="10"/>
      <c r="CZ214" s="10"/>
      <c r="DA214" s="10"/>
      <c r="DB214" s="10"/>
      <c r="DC214" s="10">
        <f>SUM(DC207-DC213)</f>
        <v>0</v>
      </c>
      <c r="DD214" s="10"/>
      <c r="DE214" s="10">
        <f>SUM(DE207-DE213)</f>
        <v>0</v>
      </c>
      <c r="DF214" s="10"/>
      <c r="DG214" s="10">
        <f>SUM(DG207-DG213)</f>
        <v>0</v>
      </c>
      <c r="DH214" s="10">
        <f>SUM(DH207-DH213)</f>
        <v>0</v>
      </c>
      <c r="DI214" s="10"/>
      <c r="DJ214" s="10"/>
      <c r="DK214" s="10"/>
      <c r="DL214" s="10"/>
      <c r="DM214" s="10"/>
      <c r="DN214" s="10"/>
      <c r="DO214" s="10">
        <f>SUM(DO207-DO213)</f>
        <v>0</v>
      </c>
      <c r="DP214" s="10">
        <f>SUM(DP207-DP213)</f>
        <v>0</v>
      </c>
      <c r="DQ214" s="10"/>
      <c r="DR214" s="10"/>
      <c r="DS214" s="10"/>
      <c r="DT214" s="10"/>
      <c r="DW214" s="10">
        <f>SUM(DW207-DW213)</f>
        <v>0</v>
      </c>
      <c r="DX214" s="10"/>
      <c r="DY214" s="10"/>
      <c r="DZ214" s="10"/>
      <c r="EB214" s="10"/>
      <c r="EC214" s="1"/>
      <c r="ED214" s="1"/>
      <c r="EE214" s="10"/>
      <c r="EF214" s="10"/>
      <c r="EG214" s="1"/>
      <c r="EL214" s="10">
        <f>SUM(EL207-EL213)</f>
        <v>0</v>
      </c>
      <c r="EM214" s="10"/>
      <c r="EN214">
        <f t="shared" si="310"/>
        <v>0</v>
      </c>
      <c r="EQ214" s="10">
        <f>SUM(EQ207-EQ213)</f>
        <v>-21202</v>
      </c>
    </row>
    <row r="215" spans="1:147" ht="0.95" customHeight="1">
      <c r="A215" s="1"/>
      <c r="B215" s="1"/>
      <c r="C215" s="1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3"/>
      <c r="BY215" s="1"/>
      <c r="BZ215" s="1"/>
      <c r="CA215" s="1"/>
      <c r="CB215" s="1"/>
      <c r="CC215" s="1"/>
      <c r="CD215" s="1"/>
      <c r="CE215" s="1"/>
      <c r="CF215" s="1"/>
      <c r="CG215" s="1"/>
      <c r="CH215" s="1"/>
      <c r="CI215" s="1"/>
      <c r="CJ215" s="1"/>
      <c r="CK215" s="1"/>
      <c r="CL215" s="1"/>
      <c r="CM215" s="1"/>
      <c r="CN215" s="1"/>
      <c r="CO215" s="1"/>
      <c r="CP215" s="1"/>
      <c r="CQ215" s="1"/>
      <c r="CR215" s="1"/>
      <c r="CS215" s="1"/>
      <c r="CT215" s="5"/>
      <c r="CU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W215" s="1"/>
      <c r="DX215" s="1"/>
      <c r="DY215" s="1"/>
      <c r="DZ215" s="1"/>
      <c r="EB215" s="1"/>
      <c r="EC215" s="1"/>
      <c r="ED215" s="1"/>
      <c r="EE215" s="1"/>
      <c r="EF215" s="1"/>
      <c r="EG215" s="1"/>
      <c r="EL215" s="1"/>
      <c r="EM215" s="1"/>
      <c r="EN215">
        <f t="shared" si="310"/>
        <v>0</v>
      </c>
      <c r="EQ215" s="1"/>
    </row>
    <row r="216" spans="1:147" ht="15.75">
      <c r="A216" s="1"/>
      <c r="B216" s="1" t="s">
        <v>1150</v>
      </c>
      <c r="C216" s="11"/>
      <c r="D216" s="1">
        <f>+'Govt IS'!D70</f>
        <v>10224732</v>
      </c>
      <c r="E216" s="1">
        <f>+'SR IS'!C65</f>
        <v>-102054</v>
      </c>
      <c r="F216" s="1">
        <f>'SR IS'!E65</f>
        <v>3692</v>
      </c>
      <c r="G216" s="1">
        <f>'SR IS'!G65</f>
        <v>73809</v>
      </c>
      <c r="H216" s="1">
        <f>'SR IS'!I65</f>
        <v>357347</v>
      </c>
      <c r="I216" s="1">
        <f>'SR IS'!K65</f>
        <v>4500</v>
      </c>
      <c r="J216" s="1">
        <f>'SR IS'!N65</f>
        <v>2097057</v>
      </c>
      <c r="K216" s="1">
        <f>'SR IS'!P65</f>
        <v>1303</v>
      </c>
      <c r="L216" s="1">
        <f>'SR IS'!R65</f>
        <v>21640</v>
      </c>
      <c r="M216" s="1">
        <f>'SR IS'!T65</f>
        <v>660329</v>
      </c>
      <c r="N216" s="1">
        <f>'SR IS'!V65</f>
        <v>84305</v>
      </c>
      <c r="O216" s="1">
        <f>'SR IS'!Y65</f>
        <v>60405</v>
      </c>
      <c r="P216" s="1"/>
      <c r="Q216" s="1">
        <f>'SR IS'!AA65</f>
        <v>185629</v>
      </c>
      <c r="R216" s="1">
        <f>'SR IS'!AC65</f>
        <v>380215</v>
      </c>
      <c r="S216" s="1">
        <f>'SR IS'!AE65</f>
        <v>1022934</v>
      </c>
      <c r="T216" s="1">
        <f>'SR IS'!AG65</f>
        <v>308</v>
      </c>
      <c r="U216" s="1">
        <f>'SR IS'!AJ65</f>
        <v>653461</v>
      </c>
      <c r="V216" s="1">
        <f>'SR IS'!AL65</f>
        <v>2517</v>
      </c>
      <c r="W216" s="1">
        <f>'SR IS'!AN65</f>
        <v>255076</v>
      </c>
      <c r="X216" s="1">
        <f>'Govt IS'!F70</f>
        <v>4366091</v>
      </c>
      <c r="Y216" s="1">
        <f>'SR IS'!AP65</f>
        <v>35779</v>
      </c>
      <c r="Z216" s="1">
        <f>'SR IS'!AR65</f>
        <v>107003</v>
      </c>
      <c r="AA216" s="1">
        <f>'SR IS'!AU65</f>
        <v>100039</v>
      </c>
      <c r="AB216" s="1">
        <f>'SR IS'!AW65</f>
        <v>1631376</v>
      </c>
      <c r="AC216" s="1">
        <f>'SR IS'!AY65</f>
        <v>238913</v>
      </c>
      <c r="AD216" s="1">
        <f>'SR IS'!BA65</f>
        <v>28133</v>
      </c>
      <c r="AE216" s="1">
        <f>'SR IS'!BC65</f>
        <v>82435</v>
      </c>
      <c r="AF216" s="1">
        <f>'SR IS'!BH65</f>
        <v>21202</v>
      </c>
      <c r="AG216" s="1">
        <f>'SR IS'!BJ65</f>
        <v>422641</v>
      </c>
      <c r="AH216" s="1">
        <f>'SR IS'!BL65</f>
        <v>253738</v>
      </c>
      <c r="AI216" s="1">
        <f>'SR IS'!BN65</f>
        <v>21826</v>
      </c>
      <c r="AJ216" s="1">
        <f>'SR IS'!BP65</f>
        <v>62464</v>
      </c>
      <c r="AK216" s="1">
        <f>+'SR IS'!BU65</f>
        <v>5768</v>
      </c>
      <c r="AL216" s="1">
        <f>+'SR IS'!BW65</f>
        <v>35534</v>
      </c>
      <c r="AM216" s="1">
        <f>+'SR IS'!BY65</f>
        <v>39899</v>
      </c>
      <c r="AN216" s="1">
        <f>+'SR IS'!CA65</f>
        <v>168446</v>
      </c>
      <c r="AO216" s="1">
        <f>+'SR IS'!CC65</f>
        <v>0</v>
      </c>
      <c r="AP216" s="1">
        <f>+'SR IS'!CH65</f>
        <v>1675727</v>
      </c>
      <c r="AQ216" s="1">
        <f>+'SR IS'!CJ65</f>
        <v>872198</v>
      </c>
      <c r="AR216" s="1">
        <f>+'SR IS'!CL65</f>
        <v>104504</v>
      </c>
      <c r="AS216" s="1">
        <f>+'SR IS'!CN65</f>
        <v>96879</v>
      </c>
      <c r="AT216" s="1">
        <f>+'SR IS'!CP65</f>
        <v>247580</v>
      </c>
      <c r="AU216" s="1">
        <f>+'SR IS'!CU65</f>
        <v>-1287</v>
      </c>
      <c r="AV216" s="1">
        <f>+'SR IS'!CW65</f>
        <v>-22045</v>
      </c>
      <c r="AW216" s="1"/>
      <c r="AX216" s="1">
        <f>+'SR IS'!CY65</f>
        <v>-11972</v>
      </c>
      <c r="AY216" s="1">
        <f>+'SR IS'!DA65</f>
        <v>0</v>
      </c>
      <c r="AZ216" s="1">
        <f>+'SR IS'!DC65</f>
        <v>17572</v>
      </c>
      <c r="BA216" s="1">
        <f>+'SR IS'!DO65</f>
        <v>-8728</v>
      </c>
      <c r="BB216" s="1">
        <f>+'Govt IS'!G70</f>
        <v>-287714</v>
      </c>
      <c r="BC216" s="1">
        <f>+'Govt IS'!H70</f>
        <v>6813379</v>
      </c>
      <c r="BD216" s="1">
        <f>+'SR IS'!DU65</f>
        <v>371646</v>
      </c>
      <c r="BE216" s="1"/>
      <c r="BF216" s="1">
        <f>+'SR IS'!EC65+'Govt IS'!F70</f>
        <v>16725834</v>
      </c>
      <c r="BG216" s="1"/>
      <c r="BH216" s="1">
        <f>+'DS IS'!D66</f>
        <v>0</v>
      </c>
      <c r="BI216" s="1">
        <f>+'DS IS'!F66</f>
        <v>41294</v>
      </c>
      <c r="BJ216" s="1">
        <f>+'DS IS'!H66</f>
        <v>0</v>
      </c>
      <c r="BK216" s="1">
        <f>+'DS IS'!J66</f>
        <v>387148</v>
      </c>
      <c r="BL216" s="1">
        <f>+'DS IS'!L66</f>
        <v>55606</v>
      </c>
      <c r="BM216" s="1">
        <f>+'DS IS'!N66</f>
        <v>19430</v>
      </c>
      <c r="BN216" s="1">
        <f>+'Govt IS'!J70</f>
        <v>121101</v>
      </c>
      <c r="BO216" s="1"/>
      <c r="BP216" s="1">
        <f>'DS IS'!P66+'Govt IS'!J70</f>
        <v>624579</v>
      </c>
      <c r="BQ216" s="1"/>
      <c r="BR216" s="1">
        <f>'Govt IS'!N70</f>
        <v>17906114</v>
      </c>
      <c r="BS216" s="1">
        <f>'CP IS'!D64</f>
        <v>0</v>
      </c>
      <c r="BT216" s="1">
        <f>'CP IS'!F64</f>
        <v>-24383</v>
      </c>
      <c r="BU216" s="1">
        <f>'CP IS'!H64</f>
        <v>0</v>
      </c>
      <c r="BV216" s="1">
        <f>+'CP IS'!J64</f>
        <v>0</v>
      </c>
      <c r="BW216" s="1">
        <f>+'CP IS'!L64</f>
        <v>2342458</v>
      </c>
      <c r="BX216" s="3"/>
      <c r="BY216" s="1">
        <f>+'CP IS'!N64+'Govt IS'!N70+'CP IS'!J64+'CP IS'!L64</f>
        <v>22566647</v>
      </c>
      <c r="BZ216" s="1"/>
      <c r="CA216" s="1"/>
      <c r="CB216" s="1"/>
      <c r="CC216" s="1">
        <f>PROPREV!H65</f>
        <v>7781237</v>
      </c>
      <c r="CD216" s="1">
        <f>'ENT IS'!F65</f>
        <v>49380</v>
      </c>
      <c r="CE216" s="1">
        <f>'ENT IS'!H65</f>
        <v>180053</v>
      </c>
      <c r="CF216" s="1">
        <f>'ENT IS'!J65</f>
        <v>1269238</v>
      </c>
      <c r="CG216" s="1">
        <f>PROPREV!F65</f>
        <v>7199713</v>
      </c>
      <c r="CH216" s="1">
        <f>'ENT IS'!L65</f>
        <v>121163</v>
      </c>
      <c r="CI216" s="1"/>
      <c r="CJ216" s="1">
        <f>+'ENT IS'!D65+PROPREV!F65+PROPREV!H65+PROPREV!J65</f>
        <v>16600784</v>
      </c>
      <c r="CK216" s="1"/>
      <c r="CL216" s="1">
        <f>'IS IS'!D61</f>
        <v>2264757</v>
      </c>
      <c r="CM216" s="1">
        <f>'IS IS'!F61</f>
        <v>995738</v>
      </c>
      <c r="CN216" s="1">
        <f>'IS IS'!H61</f>
        <v>309413</v>
      </c>
      <c r="CO216" s="1">
        <f>CO73</f>
        <v>119825</v>
      </c>
      <c r="CP216" s="1">
        <f>+'IS IS'!N61</f>
        <v>1437849</v>
      </c>
      <c r="CQ216" s="1">
        <f>+'IS IS'!P61</f>
        <v>801614</v>
      </c>
      <c r="CR216" s="1">
        <f>'IS IS'!R61</f>
        <v>-129336</v>
      </c>
      <c r="CS216" s="1"/>
      <c r="CT216" s="5"/>
      <c r="CU216" s="1">
        <f>+PROPREV!N65</f>
        <v>5799860</v>
      </c>
      <c r="CW216" s="1">
        <f>+'Cust Funds Chg in NP'!C38</f>
        <v>3980305</v>
      </c>
      <c r="CX216" s="1"/>
      <c r="CY216" s="1">
        <f>+'Cust Funds Chg in NP'!E38</f>
        <v>32848</v>
      </c>
      <c r="CZ216" s="1"/>
      <c r="DA216" s="1"/>
      <c r="DB216" s="1">
        <f>+'Cust Funds Chg in NP'!G38</f>
        <v>44162</v>
      </c>
      <c r="DC216" s="1">
        <f>+'Cust Funds Chg in NP'!I38</f>
        <v>8412</v>
      </c>
      <c r="DD216" s="1">
        <f>+'Cust Funds Chg in NP'!M38</f>
        <v>0</v>
      </c>
      <c r="DE216" s="1">
        <f>+'Cust Funds Chg in NP'!O38</f>
        <v>8608</v>
      </c>
      <c r="DF216" s="1"/>
      <c r="DG216" s="1"/>
      <c r="DH216" s="1"/>
      <c r="DI216" s="1"/>
      <c r="DJ216" s="1">
        <f>+'Cust Funds Chg in NP'!Q38</f>
        <v>296099</v>
      </c>
      <c r="DK216" s="1"/>
      <c r="DL216" s="1">
        <f>+'Cust Funds Chg in NP'!S38</f>
        <v>1325611</v>
      </c>
      <c r="DM216" s="1"/>
      <c r="DN216" s="1">
        <f>+'Cust Funds Chg in NP'!W38</f>
        <v>90503</v>
      </c>
      <c r="DO216" s="1"/>
      <c r="DP216" s="1">
        <f>+'Cust Funds Chg in NP'!AC38</f>
        <v>34351</v>
      </c>
      <c r="DQ216" s="1">
        <f>+'Cust Funds Chg in NP'!Y38</f>
        <v>97743</v>
      </c>
      <c r="DR216" s="1">
        <f>+'Cust Funds Chg in NP'!AA38</f>
        <v>-1283677</v>
      </c>
      <c r="DS216" s="1">
        <f>+'Cust Funds Chg in NP'!AG38</f>
        <v>1772021</v>
      </c>
      <c r="DT216" s="1">
        <f>+'Cust Funds Chg in NP'!AI38</f>
        <v>1494534</v>
      </c>
      <c r="DU216">
        <f>+'FIDCH FDS'!Q35</f>
        <v>4704521</v>
      </c>
      <c r="DW216" s="1"/>
      <c r="DX216" s="1"/>
      <c r="DY216" s="1">
        <f>+'Cust Funds Chg in NP'!AK38</f>
        <v>155027</v>
      </c>
      <c r="DZ216" s="1"/>
      <c r="EB216" s="1">
        <f>'COMP UNIT IS Don''t Use FY21'!D54</f>
        <v>0</v>
      </c>
      <c r="EC216" s="1"/>
      <c r="ED216" s="1"/>
      <c r="EE216" s="1"/>
      <c r="EF216" s="1">
        <f>+'COMBING IS'!J66</f>
        <v>365897</v>
      </c>
      <c r="EG216" s="1"/>
      <c r="EL216" s="1">
        <f>'COMP UNIT IS Don''t Use FY21'!V54</f>
        <v>0</v>
      </c>
      <c r="EM216" s="1" t="e">
        <f>'COMP UNIT IS Don''t Use FY21'!#REF!</f>
        <v>#REF!</v>
      </c>
      <c r="EN216">
        <f t="shared" si="310"/>
        <v>72542436</v>
      </c>
      <c r="EQ216" s="1">
        <f>'COMP UNIT IS Don''t Use FY21'!L54</f>
        <v>0</v>
      </c>
    </row>
    <row r="217" spans="1:147" ht="15.75">
      <c r="A217" s="1"/>
      <c r="B217" s="1"/>
      <c r="C217" s="1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f>SUM(E216:BD216)</f>
        <v>23251499</v>
      </c>
      <c r="BE217" s="1"/>
      <c r="BF217" s="1"/>
      <c r="BG217" s="1"/>
      <c r="BH217" s="1"/>
      <c r="BI217" s="1"/>
      <c r="BJ217" s="1"/>
      <c r="BK217" s="1"/>
      <c r="BL217" s="1"/>
      <c r="BM217" s="1"/>
      <c r="BN217" s="1"/>
      <c r="BO217" s="1"/>
      <c r="BP217" s="1"/>
      <c r="BQ217" s="1"/>
      <c r="BR217" s="1"/>
      <c r="BS217" s="1"/>
      <c r="BT217" s="1"/>
      <c r="BU217" s="1"/>
      <c r="BV217" s="1"/>
      <c r="BW217" s="1"/>
      <c r="BX217" s="3"/>
      <c r="BY217" s="1"/>
      <c r="BZ217" s="1"/>
      <c r="CA217" s="1"/>
      <c r="CB217" s="1"/>
      <c r="CC217" s="1"/>
      <c r="CD217" s="1"/>
      <c r="CE217" s="1"/>
      <c r="CF217" s="1"/>
      <c r="CG217" s="1"/>
      <c r="CH217" s="1"/>
      <c r="CI217" s="1"/>
      <c r="CJ217" s="1"/>
      <c r="CK217" s="1"/>
      <c r="CL217" s="1"/>
      <c r="CM217" s="1"/>
      <c r="CN217" s="1"/>
      <c r="CO217" s="1"/>
      <c r="CP217" s="1"/>
      <c r="CQ217" s="1"/>
      <c r="CR217" s="1"/>
      <c r="CS217" s="1"/>
      <c r="CT217" s="5"/>
      <c r="CU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W217" s="1"/>
      <c r="DX217" s="1"/>
      <c r="DY217" s="1"/>
      <c r="DZ217" s="1"/>
      <c r="EB217" s="1"/>
      <c r="EC217" s="1"/>
      <c r="ED217" s="1"/>
      <c r="EE217" s="1"/>
      <c r="EF217" s="1"/>
      <c r="EG217" s="1"/>
      <c r="EL217" s="1"/>
      <c r="EM217" s="1"/>
      <c r="EN217">
        <f t="shared" si="310"/>
        <v>0</v>
      </c>
      <c r="EQ217" s="1"/>
    </row>
    <row r="218" spans="1:147" ht="15.75">
      <c r="A218" s="1"/>
      <c r="D218">
        <f>+D207-D216</f>
        <v>0</v>
      </c>
      <c r="E218">
        <f>+E207-E216</f>
        <v>0</v>
      </c>
      <c r="F218">
        <f t="shared" ref="F218:O218" si="333">+F207-F216</f>
        <v>0</v>
      </c>
      <c r="G218">
        <f t="shared" si="333"/>
        <v>0</v>
      </c>
      <c r="H218">
        <f t="shared" si="333"/>
        <v>0</v>
      </c>
      <c r="I218">
        <f t="shared" si="333"/>
        <v>0</v>
      </c>
      <c r="J218">
        <f t="shared" si="333"/>
        <v>0</v>
      </c>
      <c r="K218">
        <f t="shared" si="333"/>
        <v>0</v>
      </c>
      <c r="L218">
        <f>+L207-L216</f>
        <v>0</v>
      </c>
      <c r="M218">
        <f t="shared" si="333"/>
        <v>0</v>
      </c>
      <c r="N218">
        <f>+N207-N216</f>
        <v>0</v>
      </c>
      <c r="O218">
        <f t="shared" si="333"/>
        <v>0</v>
      </c>
      <c r="P218">
        <f>+P207-P216</f>
        <v>0</v>
      </c>
      <c r="Q218">
        <f t="shared" ref="Q218:X218" si="334">+Q207-Q216</f>
        <v>0</v>
      </c>
      <c r="R218">
        <f t="shared" si="334"/>
        <v>0</v>
      </c>
      <c r="S218">
        <f t="shared" si="334"/>
        <v>0</v>
      </c>
      <c r="T218">
        <f t="shared" si="334"/>
        <v>0</v>
      </c>
      <c r="U218">
        <f t="shared" si="334"/>
        <v>0</v>
      </c>
      <c r="V218">
        <f t="shared" si="334"/>
        <v>0</v>
      </c>
      <c r="W218">
        <f t="shared" si="334"/>
        <v>0</v>
      </c>
      <c r="X218">
        <f t="shared" si="334"/>
        <v>0</v>
      </c>
      <c r="Y218">
        <f t="shared" ref="Y218:AE218" si="335">+Y207-Y216</f>
        <v>0</v>
      </c>
      <c r="Z218">
        <f t="shared" si="335"/>
        <v>0</v>
      </c>
      <c r="AA218">
        <f t="shared" si="335"/>
        <v>0</v>
      </c>
      <c r="AB218">
        <f>+AB207-AB216</f>
        <v>0</v>
      </c>
      <c r="AC218">
        <f>+AC207-AC216</f>
        <v>0</v>
      </c>
      <c r="AD218">
        <f t="shared" si="335"/>
        <v>0</v>
      </c>
      <c r="AE218">
        <f t="shared" si="335"/>
        <v>0</v>
      </c>
      <c r="AF218">
        <f t="shared" ref="AF218:AK218" si="336">+AF207-AF216</f>
        <v>0</v>
      </c>
      <c r="AG218">
        <f t="shared" si="336"/>
        <v>0</v>
      </c>
      <c r="AH218">
        <f t="shared" si="336"/>
        <v>0</v>
      </c>
      <c r="AI218">
        <f t="shared" si="336"/>
        <v>0</v>
      </c>
      <c r="AJ218">
        <f t="shared" si="336"/>
        <v>0</v>
      </c>
      <c r="AK218">
        <f t="shared" si="336"/>
        <v>0</v>
      </c>
      <c r="AL218">
        <f t="shared" ref="AL218:AQ218" si="337">+AL207-AL216</f>
        <v>0</v>
      </c>
      <c r="AM218">
        <f t="shared" si="337"/>
        <v>0</v>
      </c>
      <c r="AN218">
        <f t="shared" si="337"/>
        <v>0</v>
      </c>
      <c r="AO218">
        <f t="shared" si="337"/>
        <v>0</v>
      </c>
      <c r="AP218">
        <f t="shared" si="337"/>
        <v>0</v>
      </c>
      <c r="AQ218">
        <f t="shared" si="337"/>
        <v>0</v>
      </c>
      <c r="AR218">
        <f t="shared" ref="AR218:BB218" si="338">+AR207-AR216</f>
        <v>0</v>
      </c>
      <c r="AS218">
        <f t="shared" si="338"/>
        <v>0</v>
      </c>
      <c r="AT218">
        <f t="shared" si="338"/>
        <v>0</v>
      </c>
      <c r="AU218">
        <f t="shared" si="338"/>
        <v>0</v>
      </c>
      <c r="AV218">
        <f t="shared" si="338"/>
        <v>0</v>
      </c>
      <c r="AX218">
        <f t="shared" si="338"/>
        <v>0</v>
      </c>
      <c r="AY218">
        <f t="shared" si="338"/>
        <v>0</v>
      </c>
      <c r="AZ218">
        <f t="shared" si="338"/>
        <v>0</v>
      </c>
      <c r="BA218">
        <f t="shared" si="338"/>
        <v>0</v>
      </c>
      <c r="BB218">
        <f t="shared" si="338"/>
        <v>0</v>
      </c>
      <c r="BC218">
        <f>+BC207-BC216</f>
        <v>0</v>
      </c>
      <c r="BD218">
        <f>+BD207-BD216</f>
        <v>0</v>
      </c>
      <c r="BE218" s="1"/>
      <c r="BF218">
        <f>SUM(E218:BD218)</f>
        <v>0</v>
      </c>
      <c r="BH218">
        <f t="shared" ref="BH218:BN218" si="339">+BH207-BH216</f>
        <v>0</v>
      </c>
      <c r="BI218">
        <f t="shared" si="339"/>
        <v>0</v>
      </c>
      <c r="BJ218">
        <f t="shared" si="339"/>
        <v>0</v>
      </c>
      <c r="BK218">
        <f t="shared" si="339"/>
        <v>0</v>
      </c>
      <c r="BL218">
        <f t="shared" si="339"/>
        <v>0</v>
      </c>
      <c r="BM218">
        <f>+BM207-BM216</f>
        <v>0</v>
      </c>
      <c r="BN218">
        <f t="shared" si="339"/>
        <v>0</v>
      </c>
      <c r="BO218" s="1"/>
      <c r="BP218">
        <f>+BP207-BP216</f>
        <v>0</v>
      </c>
      <c r="BR218">
        <f t="shared" ref="BR218:BW218" si="340">+BR207-BR216</f>
        <v>0</v>
      </c>
      <c r="BS218">
        <f t="shared" si="340"/>
        <v>0</v>
      </c>
      <c r="BT218">
        <f t="shared" si="340"/>
        <v>0</v>
      </c>
      <c r="BU218">
        <f t="shared" si="340"/>
        <v>0</v>
      </c>
      <c r="BV218">
        <f>+BV207-BV216</f>
        <v>0</v>
      </c>
      <c r="BW218">
        <f t="shared" si="340"/>
        <v>0</v>
      </c>
      <c r="BX218" s="3"/>
      <c r="BY218">
        <f>+BY207-BY216</f>
        <v>-2342458</v>
      </c>
      <c r="CC218">
        <f t="shared" ref="CC218:CH218" si="341">+CC207-CC216</f>
        <v>0</v>
      </c>
      <c r="CD218">
        <f t="shared" si="341"/>
        <v>0</v>
      </c>
      <c r="CE218">
        <f t="shared" si="341"/>
        <v>0</v>
      </c>
      <c r="CF218">
        <f t="shared" si="341"/>
        <v>0</v>
      </c>
      <c r="CG218">
        <f>+CG207-CG216</f>
        <v>0</v>
      </c>
      <c r="CH218">
        <f t="shared" si="341"/>
        <v>0</v>
      </c>
      <c r="CI218" s="1"/>
      <c r="CJ218">
        <f>+CJ207-CJ178-CJ216</f>
        <v>0</v>
      </c>
      <c r="CL218">
        <f>+CL207-CL216</f>
        <v>0</v>
      </c>
      <c r="CM218">
        <f>+CM207-CM216</f>
        <v>0</v>
      </c>
      <c r="CN218">
        <f>+CN207-CN178-CN216</f>
        <v>0</v>
      </c>
      <c r="CO218">
        <f>+CO207-CO216</f>
        <v>0</v>
      </c>
      <c r="CP218">
        <f>+CP207-CP178-CP216</f>
        <v>0</v>
      </c>
      <c r="CQ218">
        <f>+CQ207-CQ216</f>
        <v>0</v>
      </c>
      <c r="CR218">
        <f>+CR207-CR216</f>
        <v>0</v>
      </c>
      <c r="CS218" s="1"/>
      <c r="CT218" s="5"/>
      <c r="CU218">
        <f>+CU207-CU178-CU216</f>
        <v>0</v>
      </c>
      <c r="CW218">
        <f>+CW207-CW216</f>
        <v>0</v>
      </c>
      <c r="CX218">
        <f>+CX207-CX216</f>
        <v>0</v>
      </c>
      <c r="CY218">
        <f>+CY207-CY216</f>
        <v>0</v>
      </c>
      <c r="CZ218">
        <f>+CZ207-CZ216</f>
        <v>0</v>
      </c>
      <c r="DA218">
        <f>+DA207-DA216</f>
        <v>0</v>
      </c>
      <c r="DB218">
        <f t="shared" ref="DB218:DF218" si="342">+DB207-DB216</f>
        <v>0</v>
      </c>
      <c r="DC218">
        <f t="shared" si="342"/>
        <v>0</v>
      </c>
      <c r="DD218">
        <f t="shared" si="342"/>
        <v>0</v>
      </c>
      <c r="DE218">
        <f t="shared" si="342"/>
        <v>0</v>
      </c>
      <c r="DF218">
        <f t="shared" si="342"/>
        <v>0</v>
      </c>
      <c r="DG218">
        <f>+DG207-DG216</f>
        <v>204466</v>
      </c>
      <c r="DH218">
        <f t="shared" ref="DH218:DL218" si="343">+DH207-DH216</f>
        <v>0</v>
      </c>
      <c r="DI218">
        <f t="shared" si="343"/>
        <v>0</v>
      </c>
      <c r="DJ218">
        <f t="shared" si="343"/>
        <v>0</v>
      </c>
      <c r="DK218">
        <f t="shared" si="343"/>
        <v>0</v>
      </c>
      <c r="DL218">
        <f t="shared" si="343"/>
        <v>0</v>
      </c>
      <c r="DM218" s="1"/>
      <c r="DN218">
        <f t="shared" ref="DN218:DT218" si="344">+DN207-DN216</f>
        <v>0</v>
      </c>
      <c r="DO218">
        <f>+DO207-DO216</f>
        <v>0</v>
      </c>
      <c r="DP218">
        <f>+DP207-DP216</f>
        <v>0</v>
      </c>
      <c r="DQ218">
        <f t="shared" si="344"/>
        <v>6671184</v>
      </c>
      <c r="DR218">
        <f t="shared" si="344"/>
        <v>51787177</v>
      </c>
      <c r="DS218">
        <f t="shared" si="344"/>
        <v>0</v>
      </c>
      <c r="DT218">
        <f t="shared" si="344"/>
        <v>0</v>
      </c>
      <c r="DU218">
        <f>+DU207-DU216</f>
        <v>0</v>
      </c>
      <c r="DW218">
        <f>+DW207-DW216</f>
        <v>66325530</v>
      </c>
      <c r="DY218">
        <f>+DY207-DY216</f>
        <v>0</v>
      </c>
      <c r="EB218">
        <f>+EB207-EB216</f>
        <v>0</v>
      </c>
      <c r="EC218" s="1"/>
      <c r="ED218" s="1"/>
      <c r="EE218">
        <f>+EE207-EE216</f>
        <v>0</v>
      </c>
      <c r="EF218">
        <f>+EF207-EF216</f>
        <v>0</v>
      </c>
      <c r="EG218" s="1"/>
      <c r="EL218">
        <f>+EL207-EL216</f>
        <v>0</v>
      </c>
      <c r="EM218" t="e">
        <f>+EM207-EM216</f>
        <v>#REF!</v>
      </c>
      <c r="EN218">
        <f t="shared" si="310"/>
        <v>63983072</v>
      </c>
      <c r="EQ218">
        <f>+EQ207-EQ216</f>
        <v>0</v>
      </c>
    </row>
    <row r="219" spans="1:147" ht="15.75">
      <c r="A219" s="1"/>
      <c r="BE219" s="1"/>
      <c r="BO219" s="1"/>
      <c r="BX219" s="3"/>
      <c r="CI219" s="1"/>
      <c r="CS219" s="1"/>
      <c r="CT219" s="5"/>
      <c r="CZ219" s="1"/>
      <c r="DA219" s="1"/>
      <c r="DF219" s="1"/>
      <c r="DM219" s="1"/>
      <c r="DR219" s="1"/>
      <c r="DS219" s="1"/>
      <c r="DT219" s="1"/>
      <c r="EC219" s="1"/>
      <c r="ED219" s="1"/>
      <c r="EG219" s="1"/>
      <c r="EN219">
        <f>SUM(DE219:EM219)</f>
        <v>0</v>
      </c>
    </row>
    <row r="220" spans="1:147" ht="15.75">
      <c r="A220" s="1"/>
      <c r="B220" s="3" t="s">
        <v>3307</v>
      </c>
      <c r="C220" s="3"/>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3"/>
      <c r="BY220" s="1"/>
      <c r="BZ220" s="1"/>
      <c r="CA220" s="1"/>
      <c r="CB220" s="1"/>
      <c r="CC220" s="1"/>
      <c r="CD220" s="1"/>
      <c r="CE220" s="1"/>
      <c r="CF220" s="1"/>
      <c r="CG220" s="1"/>
      <c r="CH220" s="1"/>
      <c r="CI220" s="1"/>
      <c r="CJ220" s="1"/>
      <c r="CK220" s="1"/>
      <c r="CL220" s="1"/>
      <c r="CM220" s="1"/>
      <c r="CN220" s="1"/>
      <c r="CO220" s="1"/>
      <c r="CP220" s="1"/>
      <c r="CQ220" s="1"/>
      <c r="CR220" s="1"/>
      <c r="CS220" s="1"/>
      <c r="CT220" s="5"/>
      <c r="CU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W220" s="1"/>
      <c r="DX220" s="1"/>
      <c r="DY220" s="1"/>
      <c r="DZ220" s="1"/>
      <c r="EB220" s="1"/>
      <c r="EC220" s="1"/>
      <c r="ED220" s="1"/>
      <c r="EE220" s="1"/>
      <c r="EF220" s="1"/>
      <c r="EG220" s="1"/>
      <c r="EL220" s="1"/>
      <c r="EM220" s="1"/>
      <c r="EN220">
        <f>SUM(DE220:EM220)</f>
        <v>0</v>
      </c>
      <c r="EQ220" s="1"/>
    </row>
    <row r="221" spans="1:147" ht="15.75">
      <c r="A221" s="1"/>
      <c r="B221" s="3"/>
      <c r="C221" s="3"/>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f>+BP223+BF223+D223</f>
        <v>471184</v>
      </c>
      <c r="BG221" s="1"/>
      <c r="BH221" s="1"/>
      <c r="BI221" s="1"/>
      <c r="BJ221" s="1"/>
      <c r="BK221" s="1"/>
      <c r="BL221" s="1"/>
      <c r="BM221" s="1"/>
      <c r="BN221" s="1"/>
      <c r="BO221" s="1"/>
      <c r="BP221" s="1"/>
      <c r="BQ221" s="1"/>
      <c r="BR221" s="1"/>
      <c r="BS221" s="1"/>
      <c r="BT221" s="1"/>
      <c r="BU221" s="1"/>
      <c r="BV221" s="1"/>
      <c r="BW221" s="1"/>
      <c r="BX221" s="3"/>
      <c r="BY221" s="1"/>
      <c r="BZ221" s="1"/>
      <c r="CA221" s="1"/>
      <c r="CB221" s="1"/>
      <c r="CC221" s="1"/>
      <c r="CD221" s="1"/>
      <c r="CE221" s="1"/>
      <c r="CF221" s="1"/>
      <c r="CG221" s="1"/>
      <c r="CH221" s="1"/>
      <c r="CI221" s="1"/>
      <c r="CJ221" s="1"/>
      <c r="CK221" s="1"/>
      <c r="CL221" s="1"/>
      <c r="CM221" s="1"/>
      <c r="CN221" s="1"/>
      <c r="CO221" s="1"/>
      <c r="CP221" s="1"/>
      <c r="CQ221" s="1"/>
      <c r="CR221" s="1"/>
      <c r="CS221" s="1"/>
      <c r="CT221" s="5"/>
      <c r="CU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W221" s="1"/>
      <c r="DX221" s="1"/>
      <c r="DY221" s="1"/>
      <c r="DZ221" s="1"/>
      <c r="EB221" s="1"/>
      <c r="EC221" s="1"/>
      <c r="ED221" s="1"/>
      <c r="EE221" s="1"/>
      <c r="EF221" s="1"/>
      <c r="EG221" s="1"/>
      <c r="EL221" s="1"/>
      <c r="EM221" s="1"/>
      <c r="EN221">
        <f>SUM(DE221:EM221)</f>
        <v>0</v>
      </c>
      <c r="EQ221" s="1"/>
    </row>
    <row r="222" spans="1:147" ht="15.75">
      <c r="A222" s="1"/>
      <c r="B222" s="3" t="s">
        <v>968</v>
      </c>
      <c r="C222" s="3"/>
      <c r="D222" s="1"/>
      <c r="E222" s="120"/>
      <c r="F222" s="1"/>
      <c r="G222" s="1"/>
      <c r="H222" s="1"/>
      <c r="I222" s="156" t="s">
        <v>1577</v>
      </c>
      <c r="J222" s="1"/>
      <c r="K222" s="1"/>
      <c r="L222" s="1"/>
      <c r="M222" s="1"/>
      <c r="N222" s="1"/>
      <c r="O222" s="1"/>
      <c r="P222" s="1"/>
      <c r="Q222" s="1"/>
      <c r="R222" s="1"/>
      <c r="S222" s="1"/>
      <c r="T222" s="120"/>
      <c r="U222" s="1"/>
      <c r="V222" s="1"/>
      <c r="W222" s="1"/>
      <c r="X222" s="1"/>
      <c r="Y222" s="120"/>
      <c r="Z222" s="120"/>
      <c r="AA222" s="1"/>
      <c r="AB222" s="1"/>
      <c r="AC222" s="1"/>
      <c r="AD222" s="1"/>
      <c r="AE222" s="1"/>
      <c r="AF222" s="1"/>
      <c r="AG222" s="1"/>
      <c r="AH222" s="1"/>
      <c r="AI222" s="1"/>
      <c r="AJ222" s="1"/>
      <c r="AK222" s="1"/>
      <c r="AL222" s="1"/>
      <c r="AM222" s="1"/>
      <c r="AN222" s="1"/>
      <c r="AO222" s="1"/>
      <c r="AP222" s="1"/>
      <c r="AQ222" s="1"/>
      <c r="AR222" s="1"/>
      <c r="AS222" s="1"/>
      <c r="AT222" s="1"/>
      <c r="AU222" s="156" t="s">
        <v>1577</v>
      </c>
      <c r="AV222" s="156" t="s">
        <v>1577</v>
      </c>
      <c r="AW222" s="1"/>
      <c r="AX222" s="156" t="s">
        <v>1577</v>
      </c>
      <c r="AY222" s="1"/>
      <c r="AZ222" s="156" t="s">
        <v>1577</v>
      </c>
      <c r="BA222" s="156" t="s">
        <v>1577</v>
      </c>
      <c r="BB222" s="156" t="s">
        <v>1577</v>
      </c>
      <c r="BC222" s="1"/>
      <c r="BD222" s="1"/>
      <c r="BE222" s="1"/>
      <c r="BF222" s="1"/>
      <c r="BG222" s="1"/>
      <c r="BH222" s="1"/>
      <c r="BI222" s="1"/>
      <c r="BJ222" s="120" t="s">
        <v>1577</v>
      </c>
      <c r="BK222" s="1"/>
      <c r="BL222" s="1"/>
      <c r="BM222" s="1"/>
      <c r="BN222" s="1"/>
      <c r="BO222" s="1"/>
      <c r="BP222" s="1"/>
      <c r="BQ222" s="1"/>
      <c r="BR222" s="1"/>
      <c r="BS222" s="124"/>
      <c r="BT222" s="124"/>
      <c r="BU222" s="156" t="s">
        <v>1577</v>
      </c>
      <c r="BV222" s="120"/>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5"/>
      <c r="CU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W222" s="1"/>
      <c r="DX222" s="1"/>
      <c r="DY222" s="1"/>
      <c r="DZ222" s="1"/>
      <c r="EB222" s="1"/>
      <c r="EC222" s="1"/>
      <c r="ED222" s="1"/>
      <c r="EE222" s="1"/>
      <c r="EF222" s="1"/>
      <c r="EG222" s="1"/>
      <c r="EL222" s="1"/>
      <c r="EM222" s="1"/>
      <c r="EN222">
        <f>SUM(DE222:EM222)</f>
        <v>0</v>
      </c>
      <c r="EQ222" s="1"/>
    </row>
    <row r="223" spans="1:147" ht="15.75">
      <c r="A223" s="1"/>
      <c r="B223" s="1" t="s">
        <v>871</v>
      </c>
      <c r="C223" s="11"/>
      <c r="D223" s="856">
        <f>87660+27449</f>
        <v>115109</v>
      </c>
      <c r="E223" s="1"/>
      <c r="F223" s="1"/>
      <c r="G223" s="1"/>
      <c r="H223" s="1"/>
      <c r="I223" s="1"/>
      <c r="J223" s="856">
        <v>40447</v>
      </c>
      <c r="K223" s="1"/>
      <c r="L223" s="1"/>
      <c r="M223" s="856">
        <v>33532</v>
      </c>
      <c r="N223" s="1"/>
      <c r="O223" s="1"/>
      <c r="P223" s="1"/>
      <c r="Q223" s="1"/>
      <c r="R223" s="1"/>
      <c r="S223" s="856">
        <v>26006</v>
      </c>
      <c r="T223" s="1"/>
      <c r="U223" s="1"/>
      <c r="V223" s="1"/>
      <c r="W223" s="1"/>
      <c r="X223" s="82">
        <f>141350+28613</f>
        <v>169963</v>
      </c>
      <c r="Y223" s="1"/>
      <c r="Z223" s="1"/>
      <c r="AA223" s="1"/>
      <c r="AB223" s="82">
        <v>60746</v>
      </c>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856">
        <v>25381</v>
      </c>
      <c r="BD223" s="1"/>
      <c r="BE223" s="1"/>
      <c r="BF223" s="1">
        <f t="shared" ref="BF223:BF231" si="345">SUM(E223:BE223)</f>
        <v>356075</v>
      </c>
      <c r="BG223" s="1">
        <f t="shared" ref="BG223:BG231" si="346">+BF223-X223-P223-BB223-BC223</f>
        <v>160731</v>
      </c>
      <c r="BH223" s="1"/>
      <c r="BI223" s="32">
        <v>0</v>
      </c>
      <c r="BJ223" s="81"/>
      <c r="BK223" s="1"/>
      <c r="BL223" s="1"/>
      <c r="BM223" s="1"/>
      <c r="BN223" s="32"/>
      <c r="BO223" s="1"/>
      <c r="BP223" s="1">
        <f>SUM(BH223:BN223)</f>
        <v>0</v>
      </c>
      <c r="BQ223" s="1">
        <f>+BP223-BN223</f>
        <v>0</v>
      </c>
      <c r="BR223" s="1"/>
      <c r="BS223" s="1"/>
      <c r="BT223" s="1"/>
      <c r="BU223" s="1"/>
      <c r="BV223" s="1"/>
      <c r="BW223" s="1"/>
      <c r="BX223" s="1"/>
      <c r="BY223" s="1">
        <f t="shared" ref="BY223:BY231" si="347">SUM(BR223:BX223)</f>
        <v>0</v>
      </c>
      <c r="BZ223" s="1">
        <f>+BY223-BR223</f>
        <v>0</v>
      </c>
      <c r="CA223" s="1">
        <f t="shared" ref="CA223:CA231" si="348">+BG223+BQ223+BZ223+EF223</f>
        <v>160731</v>
      </c>
      <c r="CB223" s="1"/>
      <c r="CC223" s="1"/>
      <c r="CD223" s="1"/>
      <c r="CE223" s="1"/>
      <c r="CF223" s="1"/>
      <c r="CG223" s="1"/>
      <c r="CH223" s="1"/>
      <c r="CI223" s="1"/>
      <c r="CJ223" s="1">
        <f t="shared" ref="CJ223:CJ231" si="349">SUM(CB223:CI223)</f>
        <v>0</v>
      </c>
      <c r="CK223" s="1">
        <f>+CJ223-CB223-CC223-CG223</f>
        <v>0</v>
      </c>
      <c r="CL223" s="1"/>
      <c r="CM223" s="1"/>
      <c r="CN223" s="1"/>
      <c r="CO223" s="1"/>
      <c r="CP223" s="1"/>
      <c r="CQ223" s="1"/>
      <c r="CR223" s="1"/>
      <c r="CS223" s="1"/>
      <c r="CT223" s="5"/>
      <c r="CU223" s="1">
        <f t="shared" ref="CU223:CU231" si="350">SUM(CL223:CT223)</f>
        <v>0</v>
      </c>
      <c r="CW223" s="32"/>
      <c r="CX223" s="32"/>
      <c r="CY223" s="32"/>
      <c r="CZ223" s="32"/>
      <c r="DA223" s="32"/>
      <c r="DB223" s="32"/>
      <c r="DC223" s="32"/>
      <c r="DD223" s="32"/>
      <c r="DE223" s="32"/>
      <c r="DF223" s="32"/>
      <c r="DG223" s="32"/>
      <c r="DH223" s="32"/>
      <c r="DI223" s="32"/>
      <c r="DJ223" s="32"/>
      <c r="DK223" s="32"/>
      <c r="DL223" s="32"/>
      <c r="DM223" s="32"/>
      <c r="DN223" s="32"/>
      <c r="DO223" s="32"/>
      <c r="DP223" s="32"/>
      <c r="DQ223" s="32"/>
      <c r="DR223" s="32"/>
      <c r="DS223" s="32"/>
      <c r="DT223" s="32"/>
      <c r="DW223" s="1">
        <f t="shared" ref="DW223:DW231" si="351">SUM(CX223:DV223)</f>
        <v>0</v>
      </c>
      <c r="DX223" s="1"/>
      <c r="DY223" s="1"/>
      <c r="DZ223" s="1"/>
      <c r="EB223" s="1"/>
      <c r="EC223" s="1"/>
      <c r="ED223" s="1"/>
      <c r="EE223" s="1"/>
      <c r="EF223" s="1"/>
      <c r="EG223" s="1"/>
      <c r="EH223" t="s">
        <v>630</v>
      </c>
      <c r="EI223" t="e">
        <f>-M223-X223+BF223+BP223+BY223+#REF!+#REF!+DE223+EF223+EG223</f>
        <v>#REF!</v>
      </c>
      <c r="EJ223" t="s">
        <v>581</v>
      </c>
      <c r="EL223" s="1"/>
      <c r="EM223" s="1"/>
      <c r="EN223" t="e">
        <f>SUM(DE223:EM223)</f>
        <v>#REF!</v>
      </c>
      <c r="EQ223" s="32">
        <v>0</v>
      </c>
    </row>
    <row r="224" spans="1:147" ht="15.75">
      <c r="A224" s="1"/>
      <c r="B224" s="1" t="s">
        <v>1276</v>
      </c>
      <c r="C224" s="11"/>
      <c r="D224" s="856">
        <v>116309</v>
      </c>
      <c r="E224" s="1"/>
      <c r="F224" s="1"/>
      <c r="G224" s="1"/>
      <c r="H224" s="1"/>
      <c r="I224" s="1"/>
      <c r="J224" s="1"/>
      <c r="K224" s="1"/>
      <c r="L224" s="1"/>
      <c r="M224" s="1"/>
      <c r="N224" s="1"/>
      <c r="O224" s="1"/>
      <c r="P224" s="1"/>
      <c r="Q224" s="1"/>
      <c r="R224" s="1"/>
      <c r="S224" s="1"/>
      <c r="T224" s="1"/>
      <c r="U224" s="1"/>
      <c r="V224" s="1"/>
      <c r="W224" s="1"/>
      <c r="X224" s="1"/>
      <c r="Y224" s="1"/>
      <c r="Z224" s="120"/>
      <c r="AA224" s="1"/>
      <c r="AB224" s="1"/>
      <c r="AC224" s="1"/>
      <c r="AD224" s="1"/>
      <c r="AE224" s="1"/>
      <c r="AF224" s="1"/>
      <c r="AG224" s="1"/>
      <c r="AH224" s="1"/>
      <c r="AI224" s="1"/>
      <c r="AJ224" s="1"/>
      <c r="AK224" s="1"/>
      <c r="AL224" s="1"/>
      <c r="AM224" s="1"/>
      <c r="AN224" s="1"/>
      <c r="AO224" s="1"/>
      <c r="AP224" s="1"/>
      <c r="AQ224" s="1"/>
      <c r="AR224" s="1"/>
      <c r="AS224" s="1"/>
      <c r="AT224" s="1"/>
      <c r="AU224" s="120"/>
      <c r="AV224" s="120"/>
      <c r="AW224" s="1"/>
      <c r="AX224" s="120"/>
      <c r="AY224" s="120"/>
      <c r="AZ224" s="120"/>
      <c r="BA224" s="1"/>
      <c r="BB224" s="120"/>
      <c r="BE224" s="1"/>
      <c r="BF224" s="1">
        <f t="shared" si="345"/>
        <v>0</v>
      </c>
      <c r="BG224" s="1">
        <f t="shared" si="346"/>
        <v>0</v>
      </c>
      <c r="BH224" s="1"/>
      <c r="BI224" s="1"/>
      <c r="BJ224" s="1"/>
      <c r="BK224" s="1"/>
      <c r="BL224" s="1"/>
      <c r="BM224" s="1"/>
      <c r="BN224" s="1"/>
      <c r="BO224" s="1"/>
      <c r="BP224" s="1">
        <f t="shared" ref="BP224:BP231" si="352">SUM(BH224:BN224)</f>
        <v>0</v>
      </c>
      <c r="BQ224" s="1">
        <f t="shared" ref="BQ224:BQ231" si="353">+BP224-BN224</f>
        <v>0</v>
      </c>
      <c r="BR224" s="1"/>
      <c r="BS224" s="120"/>
      <c r="BT224" s="1"/>
      <c r="BU224" s="120"/>
      <c r="BV224" s="120"/>
      <c r="BW224" s="1"/>
      <c r="BX224" s="1"/>
      <c r="BY224" s="1">
        <f t="shared" si="347"/>
        <v>0</v>
      </c>
      <c r="BZ224" s="1">
        <f t="shared" ref="BZ224:BZ231" si="354">+BY224-BR224</f>
        <v>0</v>
      </c>
      <c r="CA224" s="1">
        <f t="shared" si="348"/>
        <v>0</v>
      </c>
      <c r="CB224" s="1"/>
      <c r="CC224" s="1"/>
      <c r="CD224" s="1"/>
      <c r="CE224" s="1"/>
      <c r="CF224" s="1"/>
      <c r="CG224" s="1"/>
      <c r="CH224" s="1"/>
      <c r="CI224" s="1"/>
      <c r="CJ224" s="1">
        <f t="shared" si="349"/>
        <v>0</v>
      </c>
      <c r="CK224" s="1">
        <f t="shared" ref="CK224:CK231" si="355">+CJ224-CB224-CC224-CG224</f>
        <v>0</v>
      </c>
      <c r="CL224" s="1"/>
      <c r="CM224" s="1"/>
      <c r="CN224" s="1"/>
      <c r="CO224" s="1"/>
      <c r="CP224" s="1"/>
      <c r="CQ224" s="1"/>
      <c r="CR224" s="1"/>
      <c r="CS224" s="1"/>
      <c r="CT224" s="5"/>
      <c r="CU224" s="1">
        <f t="shared" si="350"/>
        <v>0</v>
      </c>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W224" s="1">
        <f t="shared" si="351"/>
        <v>0</v>
      </c>
      <c r="DX224" s="1"/>
      <c r="DY224" s="1"/>
      <c r="DZ224" s="1"/>
      <c r="EB224" s="1"/>
      <c r="EC224" s="1"/>
      <c r="ED224" s="1"/>
      <c r="EE224" s="1"/>
      <c r="EF224" s="1"/>
      <c r="EG224" s="1"/>
      <c r="EL224" s="1"/>
      <c r="EM224" s="1"/>
      <c r="EQ224" s="1"/>
    </row>
    <row r="225" spans="1:147" ht="15.75">
      <c r="A225" s="1"/>
      <c r="B225" s="1" t="s">
        <v>666</v>
      </c>
      <c r="C225" s="11"/>
      <c r="D225" s="32"/>
      <c r="E225" s="856">
        <v>110991</v>
      </c>
      <c r="F225" s="1"/>
      <c r="G225" s="1"/>
      <c r="H225" s="32"/>
      <c r="I225" s="138">
        <f>38589+53633+34883+52818</f>
        <v>179923</v>
      </c>
      <c r="J225" s="138"/>
      <c r="K225" s="1"/>
      <c r="L225" s="1"/>
      <c r="M225" s="32"/>
      <c r="N225" s="1"/>
      <c r="O225" s="1"/>
      <c r="P225" s="1"/>
      <c r="Q225" s="32"/>
      <c r="R225" s="1"/>
      <c r="S225" s="32"/>
      <c r="T225" s="1"/>
      <c r="U225" s="856">
        <v>41668</v>
      </c>
      <c r="V225" s="1"/>
      <c r="W225" s="1"/>
      <c r="X225" s="32"/>
      <c r="Y225" s="148"/>
      <c r="Z225" s="120"/>
      <c r="AA225" s="1"/>
      <c r="AB225" s="32">
        <v>35520</v>
      </c>
      <c r="AC225" s="1"/>
      <c r="AD225" s="1"/>
      <c r="AE225" s="32"/>
      <c r="AF225" s="1"/>
      <c r="AG225" s="1"/>
      <c r="AH225" s="32">
        <v>0</v>
      </c>
      <c r="AI225" s="1"/>
      <c r="AJ225" s="1"/>
      <c r="AK225" s="1"/>
      <c r="AL225" s="1"/>
      <c r="AM225" s="1"/>
      <c r="AN225" s="1"/>
      <c r="AO225" s="1"/>
      <c r="AP225" s="1"/>
      <c r="AQ225" s="1"/>
      <c r="AR225" s="148">
        <v>129194</v>
      </c>
      <c r="AS225" s="1"/>
      <c r="AT225" s="1"/>
      <c r="AU225" s="856">
        <f>122183</f>
        <v>122183</v>
      </c>
      <c r="AV225" s="755"/>
      <c r="AW225" s="1"/>
      <c r="AX225" s="81"/>
      <c r="AY225" s="148"/>
      <c r="AZ225" s="81"/>
      <c r="BA225" s="81"/>
      <c r="BB225" s="81"/>
      <c r="BE225" s="1"/>
      <c r="BF225" s="1">
        <f t="shared" si="345"/>
        <v>619479</v>
      </c>
      <c r="BG225" s="1">
        <f t="shared" si="346"/>
        <v>619479</v>
      </c>
      <c r="BH225" s="1"/>
      <c r="BI225" s="1"/>
      <c r="BJ225" s="1"/>
      <c r="BK225" s="1"/>
      <c r="BL225" s="1"/>
      <c r="BM225" s="1"/>
      <c r="BN225" s="1"/>
      <c r="BO225" s="1"/>
      <c r="BP225" s="1">
        <f t="shared" si="352"/>
        <v>0</v>
      </c>
      <c r="BQ225" s="1">
        <f t="shared" si="353"/>
        <v>0</v>
      </c>
      <c r="BR225" s="81"/>
      <c r="BS225" s="81"/>
      <c r="BT225" s="81"/>
      <c r="BU225" s="81">
        <v>0</v>
      </c>
      <c r="BV225" s="81"/>
      <c r="BW225" s="32"/>
      <c r="BX225" s="1"/>
      <c r="BY225" s="1">
        <f t="shared" si="347"/>
        <v>0</v>
      </c>
      <c r="BZ225" s="1">
        <f t="shared" si="354"/>
        <v>0</v>
      </c>
      <c r="CA225" s="1">
        <f t="shared" si="348"/>
        <v>619479</v>
      </c>
      <c r="CB225" s="1"/>
      <c r="CC225" s="1"/>
      <c r="CD225" s="1"/>
      <c r="CE225" s="1"/>
      <c r="CF225" s="1"/>
      <c r="CG225" s="1"/>
      <c r="CH225" s="1"/>
      <c r="CI225" s="1"/>
      <c r="CJ225" s="1">
        <f t="shared" si="349"/>
        <v>0</v>
      </c>
      <c r="CK225" s="1">
        <f t="shared" si="355"/>
        <v>0</v>
      </c>
      <c r="CL225" s="1"/>
      <c r="CM225" s="1"/>
      <c r="CN225" s="1"/>
      <c r="CO225" s="1"/>
      <c r="CP225" s="1"/>
      <c r="CQ225" s="1"/>
      <c r="CR225" s="1"/>
      <c r="CS225" s="1"/>
      <c r="CT225" s="5"/>
      <c r="CU225" s="1">
        <f t="shared" si="350"/>
        <v>0</v>
      </c>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W225" s="1">
        <f t="shared" si="351"/>
        <v>0</v>
      </c>
      <c r="DX225" s="1"/>
      <c r="DY225" s="1"/>
      <c r="DZ225" s="1"/>
      <c r="EB225" s="271" t="s">
        <v>2754</v>
      </c>
      <c r="EC225" s="89"/>
      <c r="ED225" s="1"/>
      <c r="EE225" s="1"/>
      <c r="EF225" s="1"/>
      <c r="EG225" s="1"/>
      <c r="EH225" t="s">
        <v>631</v>
      </c>
      <c r="EI225" t="e">
        <f>-M225-X225+BF225+BP225+BY225+#REF!+#REF!+DE225+EF225+EG225</f>
        <v>#REF!</v>
      </c>
      <c r="EJ225" t="s">
        <v>582</v>
      </c>
      <c r="EL225" s="1"/>
      <c r="EM225" s="1"/>
      <c r="EN225" t="e">
        <f t="shared" ref="EN225:EN230" si="356">SUM(DE225:EM225)</f>
        <v>#REF!</v>
      </c>
      <c r="EQ225" s="1"/>
    </row>
    <row r="226" spans="1:147" ht="15.75">
      <c r="A226" s="1"/>
      <c r="B226" s="1" t="s">
        <v>1370</v>
      </c>
      <c r="C226" s="11"/>
      <c r="D226" s="32"/>
      <c r="E226" s="82"/>
      <c r="F226" s="1"/>
      <c r="G226" s="1"/>
      <c r="H226" s="32"/>
      <c r="I226" s="1"/>
      <c r="J226" s="32"/>
      <c r="K226" s="1"/>
      <c r="L226" s="1"/>
      <c r="M226" s="1"/>
      <c r="N226" s="1"/>
      <c r="O226" s="1"/>
      <c r="P226" s="1"/>
      <c r="Q226" s="1"/>
      <c r="R226" s="1"/>
      <c r="S226" s="1"/>
      <c r="T226" s="1"/>
      <c r="U226" s="32"/>
      <c r="V226" s="1"/>
      <c r="W226" s="1"/>
      <c r="X226" s="82">
        <v>105837</v>
      </c>
      <c r="Y226" s="1"/>
      <c r="Z226" s="120"/>
      <c r="AA226" s="1"/>
      <c r="AB226" s="1"/>
      <c r="AC226" s="1"/>
      <c r="AD226" s="1"/>
      <c r="AE226" s="1"/>
      <c r="AF226" s="1"/>
      <c r="AG226" s="1"/>
      <c r="AH226" s="1"/>
      <c r="AI226" s="1"/>
      <c r="AJ226" s="1"/>
      <c r="AK226" s="134"/>
      <c r="AL226" s="32"/>
      <c r="AM226" s="1"/>
      <c r="AN226" s="32"/>
      <c r="AO226" s="857"/>
      <c r="AP226" s="1"/>
      <c r="AQ226" s="1"/>
      <c r="AR226" s="1"/>
      <c r="AS226" s="1"/>
      <c r="AT226" s="1"/>
      <c r="AU226" s="1"/>
      <c r="AV226" s="1"/>
      <c r="AW226" s="1"/>
      <c r="AX226" s="81"/>
      <c r="AY226" s="1"/>
      <c r="AZ226" s="1"/>
      <c r="BA226" s="1"/>
      <c r="BB226" s="1"/>
      <c r="BE226" s="1"/>
      <c r="BF226" s="1">
        <f t="shared" si="345"/>
        <v>105837</v>
      </c>
      <c r="BG226" s="1">
        <f t="shared" si="346"/>
        <v>0</v>
      </c>
      <c r="BH226" s="1"/>
      <c r="BI226" s="1"/>
      <c r="BJ226" s="1"/>
      <c r="BK226" s="1"/>
      <c r="BL226" s="1"/>
      <c r="BM226" s="1"/>
      <c r="BN226" s="1"/>
      <c r="BO226" s="1"/>
      <c r="BP226" s="1">
        <f t="shared" si="352"/>
        <v>0</v>
      </c>
      <c r="BQ226" s="1">
        <f t="shared" si="353"/>
        <v>0</v>
      </c>
      <c r="BR226" s="1"/>
      <c r="BS226" s="1"/>
      <c r="BT226" s="1"/>
      <c r="BU226" s="1"/>
      <c r="BV226" s="1"/>
      <c r="BW226" s="1"/>
      <c r="BX226" s="1"/>
      <c r="BY226" s="1">
        <f t="shared" si="347"/>
        <v>0</v>
      </c>
      <c r="BZ226" s="1">
        <f t="shared" si="354"/>
        <v>0</v>
      </c>
      <c r="CA226" s="1">
        <f t="shared" si="348"/>
        <v>0</v>
      </c>
      <c r="CB226" s="1"/>
      <c r="CC226" s="82"/>
      <c r="CD226" s="1"/>
      <c r="CE226" s="1"/>
      <c r="CF226" s="82"/>
      <c r="CG226" s="82">
        <v>98909</v>
      </c>
      <c r="CH226" s="82"/>
      <c r="CI226" s="1"/>
      <c r="CJ226" s="1">
        <f t="shared" si="349"/>
        <v>98909</v>
      </c>
      <c r="CK226" s="1">
        <f t="shared" si="355"/>
        <v>0</v>
      </c>
      <c r="CL226" s="32"/>
      <c r="CM226" s="1"/>
      <c r="CN226" s="1"/>
      <c r="CO226" s="32"/>
      <c r="CP226" s="32"/>
      <c r="CQ226" s="1"/>
      <c r="CR226" s="32">
        <v>260345</v>
      </c>
      <c r="CS226" s="1"/>
      <c r="CT226" s="5"/>
      <c r="CU226" s="1">
        <f t="shared" si="350"/>
        <v>260345</v>
      </c>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W226" s="1">
        <f t="shared" si="351"/>
        <v>0</v>
      </c>
      <c r="DX226" s="1"/>
      <c r="DY226" s="1"/>
      <c r="DZ226" s="1"/>
      <c r="EB226" s="162">
        <v>0</v>
      </c>
      <c r="EC226" s="182" t="s">
        <v>2694</v>
      </c>
      <c r="ED226" s="1"/>
      <c r="EE226" s="1"/>
      <c r="EF226" s="1"/>
      <c r="EG226" s="1"/>
      <c r="EH226" t="s">
        <v>1248</v>
      </c>
      <c r="EI226" t="e">
        <f>-M226-X226+BF226+BP226+BY226+#REF!+#REF!+DE226+EF226+EG226</f>
        <v>#REF!</v>
      </c>
      <c r="EJ226" t="s">
        <v>1209</v>
      </c>
      <c r="EL226" s="1"/>
      <c r="EM226" s="1">
        <v>0</v>
      </c>
      <c r="EN226" t="e">
        <f t="shared" si="356"/>
        <v>#REF!</v>
      </c>
      <c r="EQ226" s="1"/>
    </row>
    <row r="227" spans="1:147" ht="15.75">
      <c r="A227" s="1"/>
      <c r="B227" s="1" t="s">
        <v>1280</v>
      </c>
      <c r="C227" s="11"/>
      <c r="D227" s="1"/>
      <c r="E227" s="1"/>
      <c r="F227" s="1"/>
      <c r="G227" s="1"/>
      <c r="H227" s="1"/>
      <c r="I227" s="1"/>
      <c r="J227" s="1"/>
      <c r="K227" s="1"/>
      <c r="L227" s="1"/>
      <c r="M227" s="1"/>
      <c r="N227" s="1"/>
      <c r="O227" s="1"/>
      <c r="P227" s="1"/>
      <c r="Q227" s="1"/>
      <c r="R227" s="1"/>
      <c r="S227" s="1"/>
      <c r="T227" s="1"/>
      <c r="U227" s="1"/>
      <c r="V227" s="1"/>
      <c r="W227" s="1"/>
      <c r="X227" s="1"/>
      <c r="Y227" s="1"/>
      <c r="Z227" s="120"/>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E227" s="1"/>
      <c r="BF227" s="1">
        <f t="shared" si="345"/>
        <v>0</v>
      </c>
      <c r="BG227" s="1">
        <f t="shared" si="346"/>
        <v>0</v>
      </c>
      <c r="BH227" s="1"/>
      <c r="BI227" s="1"/>
      <c r="BJ227" s="1"/>
      <c r="BK227" s="1"/>
      <c r="BL227" s="1"/>
      <c r="BM227" s="1"/>
      <c r="BN227" s="1"/>
      <c r="BO227" s="1"/>
      <c r="BP227" s="1">
        <f t="shared" si="352"/>
        <v>0</v>
      </c>
      <c r="BQ227" s="1">
        <f t="shared" si="353"/>
        <v>0</v>
      </c>
      <c r="BR227" s="1"/>
      <c r="BS227" s="1"/>
      <c r="BT227" s="1"/>
      <c r="BU227" s="1"/>
      <c r="BV227" s="1"/>
      <c r="BW227" s="1"/>
      <c r="BX227" s="1"/>
      <c r="BY227" s="1">
        <f t="shared" si="347"/>
        <v>0</v>
      </c>
      <c r="BZ227" s="1">
        <f t="shared" si="354"/>
        <v>0</v>
      </c>
      <c r="CA227" s="1">
        <f t="shared" si="348"/>
        <v>0</v>
      </c>
      <c r="CB227" s="1"/>
      <c r="CC227" s="1"/>
      <c r="CD227" s="1"/>
      <c r="CE227" s="1"/>
      <c r="CF227" s="1"/>
      <c r="CG227" s="1"/>
      <c r="CH227" s="1"/>
      <c r="CI227" s="1"/>
      <c r="CJ227" s="1">
        <f t="shared" si="349"/>
        <v>0</v>
      </c>
      <c r="CK227" s="1">
        <f t="shared" si="355"/>
        <v>0</v>
      </c>
      <c r="CL227" s="1"/>
      <c r="CM227" s="1"/>
      <c r="CN227" s="1"/>
      <c r="CO227" s="1"/>
      <c r="CP227" s="1"/>
      <c r="CQ227" s="1"/>
      <c r="CR227" s="1"/>
      <c r="CS227" s="1"/>
      <c r="CT227" s="5"/>
      <c r="CU227" s="1">
        <f t="shared" si="350"/>
        <v>0</v>
      </c>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W227" s="1">
        <f t="shared" si="351"/>
        <v>0</v>
      </c>
      <c r="DX227" s="1"/>
      <c r="DY227" s="1"/>
      <c r="DZ227" s="1"/>
      <c r="EB227" s="1"/>
      <c r="EC227" s="253" t="s">
        <v>2977</v>
      </c>
      <c r="ED227" s="1"/>
      <c r="EE227" s="1"/>
      <c r="EF227" s="32"/>
      <c r="EG227" s="1"/>
      <c r="EH227" t="s">
        <v>1258</v>
      </c>
      <c r="EI227" t="e">
        <f>-M227-X227+BF227+BP227+BY227+#REF!+#REF!+DE227+EF227+EG227</f>
        <v>#REF!</v>
      </c>
      <c r="EJ227" t="s">
        <v>1257</v>
      </c>
      <c r="EL227" s="1"/>
      <c r="EM227" s="1">
        <v>0</v>
      </c>
      <c r="EN227" t="e">
        <f t="shared" si="356"/>
        <v>#REF!</v>
      </c>
      <c r="EQ227" s="1"/>
    </row>
    <row r="228" spans="1:147" ht="15.75">
      <c r="A228" s="1"/>
      <c r="B228" s="1" t="s">
        <v>1374</v>
      </c>
      <c r="C228" s="11"/>
      <c r="D228" s="1"/>
      <c r="E228" s="1"/>
      <c r="F228" s="1"/>
      <c r="G228" s="1"/>
      <c r="H228" s="1"/>
      <c r="I228" s="1"/>
      <c r="J228" s="1"/>
      <c r="K228" s="1"/>
      <c r="L228" s="1"/>
      <c r="M228" s="1"/>
      <c r="N228" s="1"/>
      <c r="O228" s="1"/>
      <c r="P228" s="1"/>
      <c r="Q228" s="1"/>
      <c r="R228" s="1"/>
      <c r="S228" s="1"/>
      <c r="T228" s="1"/>
      <c r="U228" s="1"/>
      <c r="V228" s="1"/>
      <c r="W228" s="1"/>
      <c r="X228" s="1"/>
      <c r="Y228" s="1"/>
      <c r="Z228" s="120"/>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E228" s="1"/>
      <c r="BF228" s="1">
        <f t="shared" si="345"/>
        <v>0</v>
      </c>
      <c r="BG228" s="1">
        <f t="shared" si="346"/>
        <v>0</v>
      </c>
      <c r="BH228" s="1"/>
      <c r="BI228" s="1"/>
      <c r="BJ228" s="1"/>
      <c r="BK228" s="1"/>
      <c r="BL228" s="1"/>
      <c r="BM228" s="1"/>
      <c r="BN228" s="1"/>
      <c r="BO228" s="1"/>
      <c r="BP228" s="1">
        <f t="shared" si="352"/>
        <v>0</v>
      </c>
      <c r="BQ228" s="1">
        <f t="shared" si="353"/>
        <v>0</v>
      </c>
      <c r="BR228" s="1"/>
      <c r="BS228" s="1"/>
      <c r="BT228" s="1"/>
      <c r="BU228" s="1"/>
      <c r="BV228" s="1"/>
      <c r="BW228" s="1"/>
      <c r="BX228" s="1"/>
      <c r="BY228" s="1">
        <f t="shared" si="347"/>
        <v>0</v>
      </c>
      <c r="BZ228" s="1">
        <f t="shared" si="354"/>
        <v>0</v>
      </c>
      <c r="CA228" s="1">
        <f t="shared" si="348"/>
        <v>0</v>
      </c>
      <c r="CB228" s="1"/>
      <c r="CC228" s="149">
        <v>13784</v>
      </c>
      <c r="CD228" s="150">
        <v>5096</v>
      </c>
      <c r="CE228" s="150">
        <v>20797</v>
      </c>
      <c r="CF228" s="150">
        <v>160956</v>
      </c>
      <c r="CG228" s="1284">
        <v>0</v>
      </c>
      <c r="CH228" s="151">
        <v>3495</v>
      </c>
      <c r="CI228" s="1"/>
      <c r="CJ228" s="1">
        <f t="shared" si="349"/>
        <v>204128</v>
      </c>
      <c r="CK228" s="1">
        <f t="shared" si="355"/>
        <v>190344</v>
      </c>
      <c r="CL228" s="1"/>
      <c r="CM228" s="1"/>
      <c r="CN228" s="1"/>
      <c r="CO228" s="1"/>
      <c r="CP228" s="1"/>
      <c r="CQ228" s="1"/>
      <c r="CR228" s="1"/>
      <c r="CS228" s="1"/>
      <c r="CT228" s="5"/>
      <c r="CU228" s="1">
        <f t="shared" si="350"/>
        <v>0</v>
      </c>
      <c r="CW228" s="1068">
        <v>82922</v>
      </c>
      <c r="CX228" s="1068">
        <v>0</v>
      </c>
      <c r="CY228" s="1068">
        <v>0</v>
      </c>
      <c r="CZ228" s="1068">
        <v>0</v>
      </c>
      <c r="DA228" s="1068">
        <v>0</v>
      </c>
      <c r="DB228" s="1068">
        <v>0</v>
      </c>
      <c r="DC228" s="1068">
        <v>0</v>
      </c>
      <c r="DD228" s="1068">
        <v>0</v>
      </c>
      <c r="DE228" s="1068">
        <v>0</v>
      </c>
      <c r="DF228" s="1068"/>
      <c r="DG228" s="1068">
        <v>0</v>
      </c>
      <c r="DH228" s="1068">
        <v>0</v>
      </c>
      <c r="DI228" s="1068">
        <v>0</v>
      </c>
      <c r="DJ228" s="1068">
        <v>0</v>
      </c>
      <c r="DK228" s="1068">
        <v>0</v>
      </c>
      <c r="DL228" s="1068">
        <v>0</v>
      </c>
      <c r="DM228" s="1068">
        <v>0</v>
      </c>
      <c r="DN228" s="1068">
        <v>0</v>
      </c>
      <c r="DO228" s="1068">
        <v>0</v>
      </c>
      <c r="DP228" s="1068">
        <v>0</v>
      </c>
      <c r="DQ228" s="1068">
        <v>113444</v>
      </c>
      <c r="DR228" s="1068">
        <v>1183889</v>
      </c>
      <c r="DS228" s="1068">
        <v>1151439</v>
      </c>
      <c r="DT228" s="1068">
        <v>399939</v>
      </c>
      <c r="DW228" s="1">
        <f t="shared" si="351"/>
        <v>2848711</v>
      </c>
      <c r="DX228" s="1"/>
      <c r="DY228" s="1"/>
      <c r="DZ228" s="1"/>
      <c r="EB228" s="181">
        <v>0</v>
      </c>
      <c r="EC228" s="182" t="s">
        <v>2424</v>
      </c>
      <c r="ED228" s="1"/>
      <c r="EE228" s="1"/>
      <c r="EF228" s="1"/>
      <c r="EG228" s="1"/>
      <c r="EI228" t="e">
        <f>-M228-X228+BF228+BP228+BY228+#REF!+#REF!+DE228+EF228+EG228</f>
        <v>#REF!</v>
      </c>
      <c r="EL228" s="1"/>
      <c r="EM228" s="1"/>
      <c r="EN228" t="e">
        <f t="shared" si="356"/>
        <v>#REF!</v>
      </c>
      <c r="EQ228" s="1"/>
    </row>
    <row r="229" spans="1:147" ht="15.75">
      <c r="A229" s="1"/>
      <c r="B229" s="1" t="s">
        <v>1177</v>
      </c>
      <c r="C229" s="11"/>
      <c r="D229" s="32"/>
      <c r="E229" s="1"/>
      <c r="F229" s="1"/>
      <c r="G229" s="1"/>
      <c r="H229" s="1"/>
      <c r="I229" s="1"/>
      <c r="J229" s="1"/>
      <c r="K229" s="1"/>
      <c r="L229" s="1"/>
      <c r="M229" s="32"/>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f t="shared" si="345"/>
        <v>0</v>
      </c>
      <c r="BG229" s="1">
        <f t="shared" si="346"/>
        <v>0</v>
      </c>
      <c r="BH229" s="1"/>
      <c r="BI229" s="1"/>
      <c r="BJ229" s="1"/>
      <c r="BK229" s="1"/>
      <c r="BL229" s="1"/>
      <c r="BM229" s="1"/>
      <c r="BN229" s="1"/>
      <c r="BO229" s="1"/>
      <c r="BP229" s="1">
        <f t="shared" si="352"/>
        <v>0</v>
      </c>
      <c r="BQ229" s="1">
        <f t="shared" si="353"/>
        <v>0</v>
      </c>
      <c r="BR229" s="1"/>
      <c r="BS229" s="1"/>
      <c r="BT229" s="1"/>
      <c r="BU229" s="1"/>
      <c r="BV229" s="1"/>
      <c r="BW229" s="1"/>
      <c r="BX229" s="1"/>
      <c r="BY229" s="1">
        <f t="shared" si="347"/>
        <v>0</v>
      </c>
      <c r="BZ229" s="1">
        <f t="shared" si="354"/>
        <v>0</v>
      </c>
      <c r="CA229" s="1">
        <f t="shared" si="348"/>
        <v>0</v>
      </c>
      <c r="CB229" s="1"/>
      <c r="CC229" s="152"/>
      <c r="CD229" s="153"/>
      <c r="CE229" s="869"/>
      <c r="CF229" s="869"/>
      <c r="CG229" s="154"/>
      <c r="CH229" s="155"/>
      <c r="CI229" s="1"/>
      <c r="CJ229" s="1">
        <f t="shared" si="349"/>
        <v>0</v>
      </c>
      <c r="CK229" s="1">
        <f t="shared" si="355"/>
        <v>0</v>
      </c>
      <c r="CL229" s="1"/>
      <c r="CM229" s="1"/>
      <c r="CN229" s="1"/>
      <c r="CO229" s="1"/>
      <c r="CP229" s="1"/>
      <c r="CQ229" s="1"/>
      <c r="CR229" s="1"/>
      <c r="CS229" s="1"/>
      <c r="CT229" s="5"/>
      <c r="CU229" s="1">
        <f t="shared" si="350"/>
        <v>0</v>
      </c>
      <c r="CW229" s="1069"/>
      <c r="CX229" s="1069"/>
      <c r="CY229" s="1069"/>
      <c r="CZ229" s="1069"/>
      <c r="DA229" s="1069"/>
      <c r="DB229" s="1069"/>
      <c r="DC229" s="1069"/>
      <c r="DD229" s="1069"/>
      <c r="DE229" s="1069"/>
      <c r="DF229" s="1069"/>
      <c r="DG229" s="1069"/>
      <c r="DH229" s="1069"/>
      <c r="DI229" s="1069"/>
      <c r="DJ229" s="1069"/>
      <c r="DK229" s="1069"/>
      <c r="DL229" s="1069"/>
      <c r="DM229" s="1069"/>
      <c r="DN229" s="1069"/>
      <c r="DO229" s="1069"/>
      <c r="DP229" s="1069"/>
      <c r="DQ229" s="1069"/>
      <c r="DR229" s="1069"/>
      <c r="DS229" s="1069"/>
      <c r="DT229" s="1069"/>
      <c r="DW229" s="1">
        <f t="shared" si="351"/>
        <v>0</v>
      </c>
      <c r="DX229" s="1"/>
      <c r="DY229" s="1"/>
      <c r="DZ229" s="1"/>
      <c r="EB229" s="1"/>
      <c r="EC229" s="1"/>
      <c r="ED229" s="1"/>
      <c r="EE229" s="1"/>
      <c r="EF229" s="1"/>
      <c r="EG229" s="1"/>
      <c r="EH229" t="s">
        <v>908</v>
      </c>
      <c r="EI229" t="e">
        <f>-M229-X229+BF229+BP229+BY229+#REF!+#REF!+DE229+EF229+EG229</f>
        <v>#REF!</v>
      </c>
      <c r="EJ229" t="s">
        <v>1209</v>
      </c>
      <c r="EL229" s="1"/>
      <c r="EM229" s="1"/>
      <c r="EN229" t="e">
        <f t="shared" si="356"/>
        <v>#REF!</v>
      </c>
      <c r="EQ229" s="1"/>
    </row>
    <row r="230" spans="1:147" ht="15.75">
      <c r="A230" s="1"/>
      <c r="B230" s="1" t="s">
        <v>1178</v>
      </c>
      <c r="C230" s="11"/>
      <c r="D230" s="1"/>
      <c r="E230" s="1"/>
      <c r="F230" s="1"/>
      <c r="G230" s="1"/>
      <c r="H230" s="1"/>
      <c r="I230" s="1"/>
      <c r="J230" s="1"/>
      <c r="K230" s="1"/>
      <c r="L230" s="1"/>
      <c r="M230" s="1"/>
      <c r="N230" s="1"/>
      <c r="O230" s="1"/>
      <c r="P230" s="1"/>
      <c r="Q230" s="1"/>
      <c r="R230" s="32"/>
      <c r="S230" s="1"/>
      <c r="T230" s="1"/>
      <c r="U230" s="1"/>
      <c r="V230" s="1"/>
      <c r="W230" s="1"/>
      <c r="X230" s="1"/>
      <c r="Y230" s="1"/>
      <c r="Z230" s="623" t="s">
        <v>2427</v>
      </c>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f t="shared" si="345"/>
        <v>0</v>
      </c>
      <c r="BG230" s="1">
        <f t="shared" si="346"/>
        <v>0</v>
      </c>
      <c r="BH230" s="1"/>
      <c r="BI230" s="1"/>
      <c r="BJ230" s="1"/>
      <c r="BK230" s="1"/>
      <c r="BL230" s="1"/>
      <c r="BM230" s="1"/>
      <c r="BN230" s="1"/>
      <c r="BO230" s="1"/>
      <c r="BP230" s="1">
        <f t="shared" si="352"/>
        <v>0</v>
      </c>
      <c r="BQ230" s="1">
        <f t="shared" si="353"/>
        <v>0</v>
      </c>
      <c r="BR230" s="1"/>
      <c r="BS230" s="1"/>
      <c r="BT230" s="1"/>
      <c r="BU230" s="1"/>
      <c r="BV230" s="1"/>
      <c r="BW230" s="1"/>
      <c r="BX230" s="1"/>
      <c r="BY230" s="1">
        <f t="shared" si="347"/>
        <v>0</v>
      </c>
      <c r="BZ230" s="1">
        <f t="shared" si="354"/>
        <v>0</v>
      </c>
      <c r="CA230" s="1">
        <f t="shared" si="348"/>
        <v>0</v>
      </c>
      <c r="CB230" s="1"/>
      <c r="CC230" s="1"/>
      <c r="CD230" s="1"/>
      <c r="CE230" s="1"/>
      <c r="CF230" s="1"/>
      <c r="CG230" s="1"/>
      <c r="CH230" s="1"/>
      <c r="CI230" s="1"/>
      <c r="CJ230" s="1">
        <f t="shared" si="349"/>
        <v>0</v>
      </c>
      <c r="CK230" s="1">
        <f t="shared" si="355"/>
        <v>0</v>
      </c>
      <c r="CL230" s="1"/>
      <c r="CM230" s="1"/>
      <c r="CN230" s="1"/>
      <c r="CO230" s="1"/>
      <c r="CP230" s="1"/>
      <c r="CQ230" s="89"/>
      <c r="CR230" s="1"/>
      <c r="CS230" s="1"/>
      <c r="CT230" s="5"/>
      <c r="CU230" s="1">
        <f t="shared" si="350"/>
        <v>0</v>
      </c>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W230" s="1">
        <f t="shared" si="351"/>
        <v>0</v>
      </c>
      <c r="DX230" s="1"/>
      <c r="DY230" s="1"/>
      <c r="DZ230" s="1"/>
      <c r="EB230" s="1"/>
      <c r="EC230" s="1"/>
      <c r="ED230" s="1"/>
      <c r="EE230" s="1"/>
      <c r="EF230" s="1"/>
      <c r="EG230" s="1"/>
      <c r="EH230" t="s">
        <v>909</v>
      </c>
      <c r="EI230" t="e">
        <f>-M230-X230+BF230+BP230+BY230+#REF!+#REF!+DE230+EF230+EG230</f>
        <v>#REF!</v>
      </c>
      <c r="EJ230" t="s">
        <v>1209</v>
      </c>
      <c r="EL230" s="1"/>
      <c r="EM230" s="1"/>
      <c r="EN230" t="e">
        <f t="shared" si="356"/>
        <v>#REF!</v>
      </c>
      <c r="EQ230" s="1"/>
    </row>
    <row r="231" spans="1:147" ht="15.75">
      <c r="A231" s="1"/>
      <c r="B231" s="1" t="s">
        <v>629</v>
      </c>
      <c r="C231" s="11"/>
      <c r="D231" s="32"/>
      <c r="E231" s="1"/>
      <c r="F231" s="1"/>
      <c r="G231" s="1"/>
      <c r="H231" s="32"/>
      <c r="I231" s="32"/>
      <c r="J231" s="32"/>
      <c r="K231" s="1"/>
      <c r="L231" s="1"/>
      <c r="M231" s="1"/>
      <c r="N231" s="1"/>
      <c r="O231" s="1"/>
      <c r="P231" s="1"/>
      <c r="Q231" s="1"/>
      <c r="R231" s="1"/>
      <c r="S231" s="1"/>
      <c r="T231" s="1"/>
      <c r="U231" s="1"/>
      <c r="V231" s="1"/>
      <c r="W231" s="1"/>
      <c r="X231" s="134"/>
      <c r="Y231" s="1"/>
      <c r="Z231" s="623"/>
      <c r="AA231" s="1"/>
      <c r="AB231" s="1"/>
      <c r="AC231" s="1"/>
      <c r="AD231" s="162"/>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f t="shared" si="345"/>
        <v>0</v>
      </c>
      <c r="BG231" s="1">
        <f t="shared" si="346"/>
        <v>0</v>
      </c>
      <c r="BH231" s="1"/>
      <c r="BI231" s="1"/>
      <c r="BJ231" s="1"/>
      <c r="BK231" s="1"/>
      <c r="BL231" s="1"/>
      <c r="BM231" s="1"/>
      <c r="BN231" s="1"/>
      <c r="BO231" s="1"/>
      <c r="BP231" s="1">
        <f t="shared" si="352"/>
        <v>0</v>
      </c>
      <c r="BQ231" s="1">
        <f t="shared" si="353"/>
        <v>0</v>
      </c>
      <c r="BR231" s="32">
        <v>0</v>
      </c>
      <c r="BS231" s="1"/>
      <c r="BT231" s="1"/>
      <c r="BU231" s="1"/>
      <c r="BV231" s="1"/>
      <c r="BW231" s="1"/>
      <c r="BX231" s="1"/>
      <c r="BY231" s="1">
        <f t="shared" si="347"/>
        <v>0</v>
      </c>
      <c r="BZ231" s="1">
        <f t="shared" si="354"/>
        <v>0</v>
      </c>
      <c r="CA231" s="1">
        <f t="shared" si="348"/>
        <v>0</v>
      </c>
      <c r="CB231" s="1"/>
      <c r="CC231" s="134">
        <v>0</v>
      </c>
      <c r="CD231" s="1"/>
      <c r="CE231" s="1"/>
      <c r="CF231" s="1"/>
      <c r="CG231" s="42"/>
      <c r="CH231" s="1"/>
      <c r="CI231" s="1"/>
      <c r="CJ231" s="1">
        <f t="shared" si="349"/>
        <v>0</v>
      </c>
      <c r="CK231" s="1">
        <f t="shared" si="355"/>
        <v>0</v>
      </c>
      <c r="CL231" s="1"/>
      <c r="CM231" s="1"/>
      <c r="CN231" s="1"/>
      <c r="CO231" s="1"/>
      <c r="CP231" s="1"/>
      <c r="CQ231" s="148"/>
      <c r="CR231" s="1"/>
      <c r="CS231" s="1"/>
      <c r="CT231" s="5"/>
      <c r="CU231" s="1">
        <f t="shared" si="350"/>
        <v>0</v>
      </c>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W231" s="1">
        <f t="shared" si="351"/>
        <v>0</v>
      </c>
      <c r="DX231" s="1"/>
      <c r="DY231" s="1"/>
      <c r="DZ231" s="1"/>
      <c r="EB231" s="181">
        <v>0</v>
      </c>
      <c r="EC231" s="182" t="s">
        <v>2423</v>
      </c>
      <c r="ED231" s="1"/>
      <c r="EE231" s="1"/>
      <c r="EF231" s="1"/>
      <c r="EG231" s="1"/>
      <c r="EH231" t="s">
        <v>910</v>
      </c>
      <c r="EI231" t="e">
        <f>-M231-X231+BF231+BP231+BY231+#REF!+#REF!+DE231+EF231+EG231</f>
        <v>#REF!</v>
      </c>
      <c r="EJ231" t="s">
        <v>1209</v>
      </c>
      <c r="EL231" s="1"/>
      <c r="EM231" s="1"/>
      <c r="EQ231" s="1"/>
    </row>
    <row r="232" spans="1:147" ht="15.75">
      <c r="A232" s="11"/>
      <c r="B232" s="11" t="s">
        <v>1179</v>
      </c>
      <c r="C232" s="11"/>
      <c r="D232" s="12">
        <f t="shared" ref="D232:P232" si="357">SUM(D223:D231)</f>
        <v>231418</v>
      </c>
      <c r="E232" s="12">
        <f t="shared" si="357"/>
        <v>110991</v>
      </c>
      <c r="F232" s="12">
        <f t="shared" si="357"/>
        <v>0</v>
      </c>
      <c r="G232" s="12">
        <f t="shared" si="357"/>
        <v>0</v>
      </c>
      <c r="H232" s="12">
        <f t="shared" si="357"/>
        <v>0</v>
      </c>
      <c r="I232" s="12">
        <f t="shared" si="357"/>
        <v>179923</v>
      </c>
      <c r="J232" s="12">
        <f t="shared" si="357"/>
        <v>40447</v>
      </c>
      <c r="K232" s="12">
        <f t="shared" si="357"/>
        <v>0</v>
      </c>
      <c r="L232" s="12">
        <f>SUM(L223:L231)</f>
        <v>0</v>
      </c>
      <c r="M232" s="12">
        <f t="shared" si="357"/>
        <v>33532</v>
      </c>
      <c r="N232" s="12">
        <f>SUM(N223:N231)</f>
        <v>0</v>
      </c>
      <c r="O232" s="12">
        <f t="shared" si="357"/>
        <v>0</v>
      </c>
      <c r="P232" s="12">
        <f t="shared" si="357"/>
        <v>0</v>
      </c>
      <c r="Q232" s="12">
        <f t="shared" ref="Q232:Y232" si="358">SUM(Q223:Q231)</f>
        <v>0</v>
      </c>
      <c r="R232" s="12">
        <f t="shared" si="358"/>
        <v>0</v>
      </c>
      <c r="S232" s="12">
        <f t="shared" si="358"/>
        <v>26006</v>
      </c>
      <c r="T232" s="12">
        <f t="shared" si="358"/>
        <v>0</v>
      </c>
      <c r="U232" s="12">
        <f t="shared" si="358"/>
        <v>41668</v>
      </c>
      <c r="V232" s="12">
        <f t="shared" si="358"/>
        <v>0</v>
      </c>
      <c r="W232" s="12">
        <f t="shared" si="358"/>
        <v>0</v>
      </c>
      <c r="X232" s="12">
        <f t="shared" si="358"/>
        <v>275800</v>
      </c>
      <c r="Y232" s="12">
        <f t="shared" si="358"/>
        <v>0</v>
      </c>
      <c r="Z232" s="12">
        <f t="shared" ref="Z232:AS232" si="359">SUM(Z223:Z231)</f>
        <v>0</v>
      </c>
      <c r="AA232" s="12">
        <f t="shared" si="359"/>
        <v>0</v>
      </c>
      <c r="AB232" s="12">
        <f>SUM(AB223:AB231)</f>
        <v>96266</v>
      </c>
      <c r="AC232" s="12">
        <f t="shared" si="359"/>
        <v>0</v>
      </c>
      <c r="AD232" s="12">
        <f t="shared" si="359"/>
        <v>0</v>
      </c>
      <c r="AE232" s="12">
        <f t="shared" si="359"/>
        <v>0</v>
      </c>
      <c r="AF232" s="12">
        <f t="shared" si="359"/>
        <v>0</v>
      </c>
      <c r="AG232" s="12">
        <f t="shared" si="359"/>
        <v>0</v>
      </c>
      <c r="AH232" s="12">
        <f t="shared" si="359"/>
        <v>0</v>
      </c>
      <c r="AI232" s="12">
        <f t="shared" si="359"/>
        <v>0</v>
      </c>
      <c r="AJ232" s="12">
        <f t="shared" si="359"/>
        <v>0</v>
      </c>
      <c r="AK232" s="12">
        <f t="shared" si="359"/>
        <v>0</v>
      </c>
      <c r="AL232" s="12">
        <f t="shared" ref="AL232:AQ232" si="360">SUM(AL223:AL231)</f>
        <v>0</v>
      </c>
      <c r="AM232" s="12">
        <f t="shared" si="360"/>
        <v>0</v>
      </c>
      <c r="AN232" s="12">
        <f t="shared" si="360"/>
        <v>0</v>
      </c>
      <c r="AO232" s="12">
        <f t="shared" si="360"/>
        <v>0</v>
      </c>
      <c r="AP232" s="12">
        <f t="shared" si="360"/>
        <v>0</v>
      </c>
      <c r="AQ232" s="12">
        <f t="shared" si="360"/>
        <v>0</v>
      </c>
      <c r="AR232" s="12">
        <f t="shared" si="359"/>
        <v>129194</v>
      </c>
      <c r="AS232" s="12">
        <f t="shared" si="359"/>
        <v>0</v>
      </c>
      <c r="AT232" s="12">
        <f>SUM(AT223:AT231)</f>
        <v>0</v>
      </c>
      <c r="AU232" s="12">
        <f t="shared" ref="AU232:BA232" si="361">SUM(AU223:AU231)</f>
        <v>122183</v>
      </c>
      <c r="AV232" s="12">
        <f t="shared" si="361"/>
        <v>0</v>
      </c>
      <c r="AW232" s="12">
        <f t="shared" si="361"/>
        <v>0</v>
      </c>
      <c r="AX232" s="12">
        <f t="shared" si="361"/>
        <v>0</v>
      </c>
      <c r="AY232" s="12">
        <f t="shared" si="361"/>
        <v>0</v>
      </c>
      <c r="AZ232" s="12">
        <f t="shared" si="361"/>
        <v>0</v>
      </c>
      <c r="BA232" s="12">
        <f t="shared" si="361"/>
        <v>0</v>
      </c>
      <c r="BB232" s="12">
        <f>SUM(BB223:BB231)</f>
        <v>0</v>
      </c>
      <c r="BC232" s="12">
        <f>SUM(BC223:BC231)</f>
        <v>25381</v>
      </c>
      <c r="BD232" s="12">
        <f>SUM(BD223:BD231)</f>
        <v>0</v>
      </c>
      <c r="BE232" s="1"/>
      <c r="BF232" s="12">
        <f t="shared" ref="BF232:BN232" si="362">SUM(BF223:BF231)</f>
        <v>1081391</v>
      </c>
      <c r="BG232" s="12">
        <f t="shared" si="362"/>
        <v>780210</v>
      </c>
      <c r="BH232" s="12">
        <f t="shared" si="362"/>
        <v>0</v>
      </c>
      <c r="BI232" s="12">
        <f>SUM(BI223:BI231)</f>
        <v>0</v>
      </c>
      <c r="BJ232" s="12">
        <f t="shared" si="362"/>
        <v>0</v>
      </c>
      <c r="BK232" s="12">
        <f t="shared" si="362"/>
        <v>0</v>
      </c>
      <c r="BL232" s="12">
        <f>SUM(BL223:BL231)</f>
        <v>0</v>
      </c>
      <c r="BM232" s="12">
        <f>SUM(BM223:BM231)</f>
        <v>0</v>
      </c>
      <c r="BN232" s="12">
        <f t="shared" si="362"/>
        <v>0</v>
      </c>
      <c r="BO232" s="1"/>
      <c r="BP232" s="12">
        <f t="shared" ref="BP232:BQ232" si="363">SUM(BP223:BP231)</f>
        <v>0</v>
      </c>
      <c r="BQ232" s="12">
        <f t="shared" si="363"/>
        <v>0</v>
      </c>
      <c r="BR232" s="12">
        <f t="shared" ref="BR232:BU232" si="364">SUM(BR223:BR231)</f>
        <v>0</v>
      </c>
      <c r="BS232" s="12">
        <f t="shared" si="364"/>
        <v>0</v>
      </c>
      <c r="BT232" s="12">
        <f t="shared" si="364"/>
        <v>0</v>
      </c>
      <c r="BU232" s="12">
        <f t="shared" si="364"/>
        <v>0</v>
      </c>
      <c r="BV232" s="12">
        <f>SUM(BV223:BV231)</f>
        <v>0</v>
      </c>
      <c r="BW232" s="12">
        <f t="shared" ref="BW232" si="365">SUM(BW223:BW231)</f>
        <v>0</v>
      </c>
      <c r="BX232" s="3"/>
      <c r="BY232" s="12">
        <f>SUM(BY223:BY231)</f>
        <v>0</v>
      </c>
      <c r="BZ232" s="12">
        <f>SUM(BZ223:BZ231)</f>
        <v>0</v>
      </c>
      <c r="CA232" s="12"/>
      <c r="CB232" s="12"/>
      <c r="CC232" s="12">
        <f t="shared" ref="CC232:CH232" si="366">SUM(CC223:CC231)</f>
        <v>13784</v>
      </c>
      <c r="CD232" s="12">
        <f t="shared" si="366"/>
        <v>5096</v>
      </c>
      <c r="CE232" s="12">
        <f t="shared" si="366"/>
        <v>20797</v>
      </c>
      <c r="CF232" s="12">
        <f t="shared" si="366"/>
        <v>160956</v>
      </c>
      <c r="CG232" s="12">
        <f t="shared" si="366"/>
        <v>98909</v>
      </c>
      <c r="CH232" s="12">
        <f t="shared" si="366"/>
        <v>3495</v>
      </c>
      <c r="CI232" s="1"/>
      <c r="CJ232" s="12">
        <f t="shared" ref="CJ232:CR232" si="367">SUM(CJ223:CJ231)</f>
        <v>303037</v>
      </c>
      <c r="CK232" s="12">
        <f t="shared" si="367"/>
        <v>190344</v>
      </c>
      <c r="CL232" s="12">
        <f t="shared" si="367"/>
        <v>0</v>
      </c>
      <c r="CM232" s="12">
        <f t="shared" si="367"/>
        <v>0</v>
      </c>
      <c r="CN232" s="12">
        <f t="shared" si="367"/>
        <v>0</v>
      </c>
      <c r="CO232" s="12">
        <f t="shared" si="367"/>
        <v>0</v>
      </c>
      <c r="CP232" s="12">
        <f t="shared" si="367"/>
        <v>0</v>
      </c>
      <c r="CQ232" s="12">
        <f t="shared" si="367"/>
        <v>0</v>
      </c>
      <c r="CR232" s="12">
        <f t="shared" si="367"/>
        <v>260345</v>
      </c>
      <c r="CS232" s="1"/>
      <c r="CT232" s="5"/>
      <c r="CU232" s="12">
        <f>SUM(CU223:CU231)</f>
        <v>260345</v>
      </c>
      <c r="CW232" s="12">
        <f>SUM(CW223:CW231)</f>
        <v>82922</v>
      </c>
      <c r="CX232" s="12">
        <f t="shared" ref="CX232:DT232" si="368">SUM(CX223:CX231)</f>
        <v>0</v>
      </c>
      <c r="CY232" s="12">
        <f t="shared" si="368"/>
        <v>0</v>
      </c>
      <c r="CZ232" s="12">
        <f t="shared" si="368"/>
        <v>0</v>
      </c>
      <c r="DA232" s="12">
        <f t="shared" si="368"/>
        <v>0</v>
      </c>
      <c r="DB232" s="12">
        <f t="shared" si="368"/>
        <v>0</v>
      </c>
      <c r="DC232" s="12">
        <f t="shared" si="368"/>
        <v>0</v>
      </c>
      <c r="DD232" s="12">
        <f t="shared" si="368"/>
        <v>0</v>
      </c>
      <c r="DE232" s="12">
        <f t="shared" si="368"/>
        <v>0</v>
      </c>
      <c r="DF232" s="12">
        <f t="shared" si="368"/>
        <v>0</v>
      </c>
      <c r="DG232" s="12">
        <f t="shared" si="368"/>
        <v>0</v>
      </c>
      <c r="DH232" s="12">
        <f t="shared" si="368"/>
        <v>0</v>
      </c>
      <c r="DI232" s="12">
        <f t="shared" si="368"/>
        <v>0</v>
      </c>
      <c r="DJ232" s="12">
        <f t="shared" si="368"/>
        <v>0</v>
      </c>
      <c r="DK232" s="12">
        <f t="shared" si="368"/>
        <v>0</v>
      </c>
      <c r="DL232" s="12">
        <f t="shared" si="368"/>
        <v>0</v>
      </c>
      <c r="DM232" s="12">
        <f t="shared" si="368"/>
        <v>0</v>
      </c>
      <c r="DN232" s="12">
        <f t="shared" si="368"/>
        <v>0</v>
      </c>
      <c r="DO232" s="12">
        <f t="shared" si="368"/>
        <v>0</v>
      </c>
      <c r="DP232" s="12">
        <f t="shared" si="368"/>
        <v>0</v>
      </c>
      <c r="DQ232" s="12">
        <f t="shared" si="368"/>
        <v>113444</v>
      </c>
      <c r="DR232" s="12">
        <f t="shared" si="368"/>
        <v>1183889</v>
      </c>
      <c r="DS232" s="12">
        <f t="shared" si="368"/>
        <v>1151439</v>
      </c>
      <c r="DT232" s="12">
        <f t="shared" si="368"/>
        <v>399939</v>
      </c>
      <c r="DW232" s="1"/>
      <c r="DX232" s="1"/>
      <c r="DY232" s="1"/>
      <c r="DZ232" s="1"/>
      <c r="EB232" s="12">
        <f>SUM(EB223:EB231)</f>
        <v>0</v>
      </c>
      <c r="EC232" s="1"/>
      <c r="ED232" s="1"/>
      <c r="EE232" s="1"/>
      <c r="EF232" s="12">
        <f>SUM(EF223:EF231)</f>
        <v>0</v>
      </c>
      <c r="EG232" s="1"/>
      <c r="EL232" s="12">
        <f>SUM(EL223:EL231)</f>
        <v>0</v>
      </c>
      <c r="EM232" s="12">
        <f>SUM(EM223:EM231)</f>
        <v>0</v>
      </c>
      <c r="EQ232" s="12">
        <f>SUM(EQ223:EQ231)</f>
        <v>0</v>
      </c>
    </row>
    <row r="233" spans="1:147" ht="15.75">
      <c r="A233" s="1"/>
      <c r="B233" s="1"/>
      <c r="C233" s="11"/>
      <c r="D233" s="2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3"/>
      <c r="BY233" s="1"/>
      <c r="BZ233" s="1"/>
      <c r="CA233" s="1"/>
      <c r="CB233" s="1"/>
      <c r="CC233" s="1"/>
      <c r="CD233" s="1"/>
      <c r="CE233" s="1"/>
      <c r="CF233" s="1"/>
      <c r="CG233" s="1"/>
      <c r="CH233" s="1"/>
      <c r="CI233" s="1"/>
      <c r="CJ233" s="1"/>
      <c r="CK233" s="1"/>
      <c r="CL233" s="1"/>
      <c r="CM233" s="1"/>
      <c r="CN233" s="1"/>
      <c r="CO233" s="1"/>
      <c r="CP233" s="1"/>
      <c r="CQ233" s="1"/>
      <c r="CR233" s="1"/>
      <c r="CS233" s="1"/>
      <c r="CT233" s="5"/>
      <c r="CU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W233" s="1"/>
      <c r="DX233" s="1"/>
      <c r="DY233" s="1"/>
      <c r="DZ233" s="1"/>
      <c r="EB233" s="1"/>
      <c r="EC233" s="1"/>
      <c r="ED233" s="1"/>
      <c r="EE233" s="1"/>
      <c r="EF233" s="1"/>
      <c r="EG233" s="1"/>
      <c r="EL233" s="1"/>
      <c r="EM233" s="1"/>
      <c r="EQ233" s="1"/>
    </row>
    <row r="234" spans="1:147" ht="15.75">
      <c r="A234" s="3"/>
      <c r="B234" s="3" t="s">
        <v>864</v>
      </c>
      <c r="C234" s="3"/>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3"/>
      <c r="BY234" s="1"/>
      <c r="BZ234" s="1"/>
      <c r="CA234" s="1"/>
      <c r="CB234" s="1"/>
      <c r="CC234" s="1"/>
      <c r="CD234" s="1"/>
      <c r="CE234" s="1"/>
      <c r="CF234" s="1"/>
      <c r="CG234" s="1"/>
      <c r="CH234" s="1"/>
      <c r="CI234" s="1"/>
      <c r="CJ234" s="1"/>
      <c r="CK234" s="1"/>
      <c r="CL234" s="1"/>
      <c r="CM234" s="1"/>
      <c r="CN234" s="1"/>
      <c r="CO234" s="1"/>
      <c r="CP234" s="1"/>
      <c r="CQ234" s="1"/>
      <c r="CR234" s="1"/>
      <c r="CS234" s="1"/>
      <c r="CT234" s="5"/>
      <c r="CU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W234" s="1"/>
      <c r="DX234" s="1"/>
      <c r="DY234" s="1"/>
      <c r="DZ234" s="1"/>
      <c r="EB234" s="1"/>
      <c r="EC234" s="1"/>
      <c r="ED234" s="1"/>
      <c r="EE234" s="1"/>
      <c r="EF234" s="1"/>
      <c r="EG234" s="1"/>
      <c r="EL234" s="1"/>
      <c r="EM234" s="1"/>
      <c r="EQ234" s="1"/>
    </row>
    <row r="235" spans="1:147" ht="15.75">
      <c r="A235" s="1"/>
      <c r="B235" s="1" t="s">
        <v>865</v>
      </c>
      <c r="C235" s="1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3"/>
      <c r="BY235" s="1"/>
      <c r="BZ235" s="1"/>
      <c r="CA235" s="1"/>
      <c r="CB235" s="1"/>
      <c r="CC235" s="1"/>
      <c r="CD235" s="1"/>
      <c r="CE235" s="1"/>
      <c r="CF235" s="1"/>
      <c r="CG235" s="1"/>
      <c r="CH235" s="1"/>
      <c r="CI235" s="1"/>
      <c r="CJ235" s="1"/>
      <c r="CK235" s="1"/>
      <c r="CL235" s="1"/>
      <c r="CM235" s="1"/>
      <c r="CN235" s="1"/>
      <c r="CO235" s="1"/>
      <c r="CP235" s="1"/>
      <c r="CQ235" s="1"/>
      <c r="CR235" s="1"/>
      <c r="CS235" s="1"/>
      <c r="CT235" s="5"/>
      <c r="CU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W235" s="1"/>
      <c r="DX235" s="1"/>
      <c r="DY235" s="1"/>
      <c r="DZ235" s="1"/>
      <c r="EB235" s="1"/>
      <c r="EC235" s="1"/>
      <c r="ED235" s="1"/>
      <c r="EE235" s="1"/>
      <c r="EF235" s="1"/>
      <c r="EG235" s="1"/>
      <c r="EL235" s="1"/>
      <c r="EM235" s="1"/>
      <c r="EQ235" s="1"/>
    </row>
    <row r="236" spans="1:147" ht="15.75" customHeight="1">
      <c r="A236" s="1"/>
      <c r="B236" s="1" t="s">
        <v>866</v>
      </c>
      <c r="C236" s="11"/>
      <c r="D236" s="32">
        <v>245889</v>
      </c>
      <c r="E236" s="1"/>
      <c r="F236" s="1"/>
      <c r="G236" s="1"/>
      <c r="H236" s="1"/>
      <c r="I236" s="1"/>
      <c r="J236" s="1"/>
      <c r="K236" s="1"/>
      <c r="L236" s="1"/>
      <c r="M236" s="32">
        <v>34051</v>
      </c>
      <c r="N236" s="1"/>
      <c r="O236" s="1"/>
      <c r="P236" s="1"/>
      <c r="Q236" s="1"/>
      <c r="R236" s="1"/>
      <c r="S236" s="32">
        <v>28510</v>
      </c>
      <c r="T236" s="1"/>
      <c r="U236" s="1"/>
      <c r="V236" s="1"/>
      <c r="W236" s="1"/>
      <c r="X236" s="1"/>
      <c r="Y236" s="1"/>
      <c r="Z236" s="1"/>
      <c r="AA236" s="1"/>
      <c r="AB236" s="1"/>
      <c r="AC236" s="1"/>
      <c r="AD236" s="1"/>
      <c r="AE236" s="1"/>
      <c r="AF236" s="1"/>
      <c r="AG236" s="1"/>
      <c r="AH236" s="1"/>
      <c r="AI236" s="1"/>
      <c r="AJ236" s="1"/>
      <c r="AK236" s="1"/>
      <c r="AL236" s="1"/>
      <c r="AM236" s="1"/>
      <c r="AN236" s="1"/>
      <c r="AO236" s="1"/>
      <c r="AP236" s="32"/>
      <c r="AQ236" s="1"/>
      <c r="AR236" s="1"/>
      <c r="AS236" s="1"/>
      <c r="AT236" s="1"/>
      <c r="AU236" s="32"/>
      <c r="AV236" s="1"/>
      <c r="AW236" s="1"/>
      <c r="AX236" s="1"/>
      <c r="AY236" s="1"/>
      <c r="AZ236" s="1"/>
      <c r="BA236" s="1"/>
      <c r="BB236" s="32"/>
      <c r="BC236" s="1"/>
      <c r="BD236" s="1"/>
      <c r="BE236" s="1"/>
      <c r="BF236" s="1">
        <f t="shared" ref="BF236:BF253" si="369">SUM(E236:BE236)</f>
        <v>62561</v>
      </c>
      <c r="BG236" s="1">
        <f t="shared" ref="BG236:BG253" si="370">+BF236-X236-P236-BB236-BC236</f>
        <v>62561</v>
      </c>
      <c r="BH236" s="1"/>
      <c r="BI236" s="1"/>
      <c r="BJ236" s="1"/>
      <c r="BK236" s="1"/>
      <c r="BL236" s="1"/>
      <c r="BM236" s="1"/>
      <c r="BN236" s="1"/>
      <c r="BO236" s="1"/>
      <c r="BP236" s="1">
        <f>SUM(BH236:BN236)</f>
        <v>0</v>
      </c>
      <c r="BQ236" s="1">
        <f t="shared" ref="BQ236:BQ250" si="371">+BP236-BN236</f>
        <v>0</v>
      </c>
      <c r="BR236" s="32"/>
      <c r="BS236" s="1"/>
      <c r="BT236" s="1"/>
      <c r="BU236" s="134"/>
      <c r="BV236" s="1"/>
      <c r="BW236" s="1"/>
      <c r="BX236" s="3"/>
      <c r="BY236" s="1">
        <f t="shared" ref="BY236:BY250" si="372">SUM(BR236:BX236)</f>
        <v>0</v>
      </c>
      <c r="BZ236" s="1">
        <f>+BY236-BR236</f>
        <v>0</v>
      </c>
      <c r="CA236" s="1">
        <f t="shared" ref="CA236:CA253" si="373">+BG236+BQ236+BZ236+EF236</f>
        <v>62561</v>
      </c>
      <c r="CB236" s="1"/>
      <c r="CC236" s="1"/>
      <c r="CD236" s="1"/>
      <c r="CE236" s="1"/>
      <c r="CF236" s="1"/>
      <c r="CG236" s="1"/>
      <c r="CH236" s="1"/>
      <c r="CI236" s="1"/>
      <c r="CJ236" s="1">
        <f t="shared" ref="CJ236:CJ253" si="374">SUM(CB236:CI236)</f>
        <v>0</v>
      </c>
      <c r="CK236" s="1"/>
      <c r="CL236" s="1"/>
      <c r="CM236" s="1"/>
      <c r="CN236" s="1"/>
      <c r="CO236" s="1"/>
      <c r="CP236" s="1"/>
      <c r="CQ236" s="1"/>
      <c r="CR236" s="1"/>
      <c r="CS236" s="1"/>
      <c r="CT236" s="5"/>
      <c r="CU236" s="1">
        <f t="shared" ref="CU236:CU253" si="375">SUM(CL236:CT236)</f>
        <v>0</v>
      </c>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W236" s="1">
        <f t="shared" ref="DW236:DW253" si="376">SUM(CX236:DV236)</f>
        <v>0</v>
      </c>
      <c r="DX236" s="1"/>
      <c r="DY236" s="1"/>
      <c r="DZ236" s="1"/>
      <c r="EB236" s="1"/>
      <c r="EC236" s="1"/>
      <c r="ED236" s="1"/>
      <c r="EE236" s="1"/>
      <c r="EF236" s="1"/>
      <c r="EG236" s="1"/>
      <c r="EI236" t="s">
        <v>912</v>
      </c>
      <c r="EJ236" t="s">
        <v>911</v>
      </c>
      <c r="EL236" s="1"/>
      <c r="EM236" s="1"/>
      <c r="EQ236" s="1"/>
    </row>
    <row r="237" spans="1:147" ht="15.75" customHeight="1">
      <c r="A237" s="1"/>
      <c r="B237" s="1" t="s">
        <v>867</v>
      </c>
      <c r="C237" s="11"/>
      <c r="D237" s="32">
        <v>4871</v>
      </c>
      <c r="E237" s="1"/>
      <c r="F237" s="1"/>
      <c r="G237" s="1"/>
      <c r="H237" s="1"/>
      <c r="I237" s="32"/>
      <c r="J237" s="1"/>
      <c r="K237" s="1"/>
      <c r="L237" s="1"/>
      <c r="M237" s="32">
        <v>5102</v>
      </c>
      <c r="N237" s="1"/>
      <c r="O237" s="1"/>
      <c r="P237" s="1"/>
      <c r="Q237" s="1"/>
      <c r="R237" s="1"/>
      <c r="S237" s="1"/>
      <c r="T237" s="32"/>
      <c r="U237" s="1"/>
      <c r="V237" s="1"/>
      <c r="W237" s="1"/>
      <c r="X237" s="32">
        <v>326137</v>
      </c>
      <c r="Y237" s="32"/>
      <c r="Z237" s="32"/>
      <c r="AA237" s="1"/>
      <c r="AB237" s="32">
        <f>87623+30750</f>
        <v>118373</v>
      </c>
      <c r="AC237" s="1"/>
      <c r="AD237" s="1"/>
      <c r="AE237" s="1"/>
      <c r="AF237" s="1"/>
      <c r="AG237" s="1"/>
      <c r="AH237" s="1"/>
      <c r="AI237" s="1"/>
      <c r="AJ237" s="1"/>
      <c r="AK237" s="1"/>
      <c r="AL237" s="1"/>
      <c r="AM237" s="1"/>
      <c r="AN237" s="1"/>
      <c r="AO237" s="1"/>
      <c r="AP237" s="1"/>
      <c r="AQ237" s="1"/>
      <c r="AR237" s="1"/>
      <c r="AS237" s="1"/>
      <c r="AT237" s="1"/>
      <c r="AU237" s="1"/>
      <c r="AV237" s="1"/>
      <c r="AW237" s="1"/>
      <c r="AX237" s="32"/>
      <c r="AY237" s="1"/>
      <c r="AZ237" s="1"/>
      <c r="BA237" s="1"/>
      <c r="BB237" s="32">
        <v>36036</v>
      </c>
      <c r="BC237" s="1"/>
      <c r="BD237" s="1"/>
      <c r="BE237" s="1"/>
      <c r="BF237" s="1">
        <f t="shared" si="369"/>
        <v>485648</v>
      </c>
      <c r="BG237" s="1">
        <f t="shared" si="370"/>
        <v>123475</v>
      </c>
      <c r="BH237" s="1"/>
      <c r="BI237" s="1"/>
      <c r="BJ237" s="1"/>
      <c r="BK237" s="1"/>
      <c r="BL237" s="1"/>
      <c r="BM237" s="1"/>
      <c r="BN237" s="1"/>
      <c r="BO237" s="1"/>
      <c r="BP237" s="1">
        <f t="shared" ref="BP237:BP253" si="377">SUM(BH237:BN237)</f>
        <v>0</v>
      </c>
      <c r="BQ237" s="1">
        <f t="shared" si="371"/>
        <v>0</v>
      </c>
      <c r="BR237" s="32"/>
      <c r="BS237" s="1"/>
      <c r="BT237" s="1"/>
      <c r="BU237" s="1"/>
      <c r="BV237" s="134"/>
      <c r="BW237" s="1"/>
      <c r="BX237" s="3"/>
      <c r="BY237" s="1">
        <f t="shared" si="372"/>
        <v>0</v>
      </c>
      <c r="BZ237" s="1">
        <f t="shared" ref="BZ237:BZ253" si="378">+BY237-BR237</f>
        <v>0</v>
      </c>
      <c r="CA237" s="1">
        <f t="shared" si="373"/>
        <v>123475</v>
      </c>
      <c r="CB237" s="1"/>
      <c r="CC237" s="1"/>
      <c r="CD237" s="1"/>
      <c r="CE237" s="1"/>
      <c r="CF237" s="1"/>
      <c r="CG237" s="1"/>
      <c r="CH237" s="1"/>
      <c r="CI237" s="1"/>
      <c r="CJ237" s="1">
        <f t="shared" si="374"/>
        <v>0</v>
      </c>
      <c r="CK237" s="1"/>
      <c r="CL237" s="1"/>
      <c r="CM237" s="1"/>
      <c r="CN237" s="1"/>
      <c r="CO237" s="1"/>
      <c r="CP237" s="1"/>
      <c r="CQ237" s="1"/>
      <c r="CR237" s="1"/>
      <c r="CS237" s="1"/>
      <c r="CT237" s="5"/>
      <c r="CU237" s="1">
        <f t="shared" si="375"/>
        <v>0</v>
      </c>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W237" s="1">
        <f t="shared" si="376"/>
        <v>0</v>
      </c>
      <c r="DX237" s="1"/>
      <c r="DY237" s="1"/>
      <c r="DZ237" s="1"/>
      <c r="EB237" s="1"/>
      <c r="EC237" s="1"/>
      <c r="ED237" s="1"/>
      <c r="EE237" s="1"/>
      <c r="EF237" s="1"/>
      <c r="EG237" s="1"/>
      <c r="EI237" t="s">
        <v>913</v>
      </c>
      <c r="EJ237" t="s">
        <v>911</v>
      </c>
      <c r="EL237" s="1"/>
      <c r="EM237" s="1"/>
      <c r="EQ237" s="1"/>
    </row>
    <row r="238" spans="1:147" ht="15.75" customHeight="1">
      <c r="A238" s="1"/>
      <c r="B238" s="1" t="s">
        <v>868</v>
      </c>
      <c r="C238" s="11"/>
      <c r="D238" s="32">
        <v>52799</v>
      </c>
      <c r="E238" s="1"/>
      <c r="F238" s="1"/>
      <c r="G238" s="1"/>
      <c r="H238" s="1"/>
      <c r="I238" s="1"/>
      <c r="J238" s="32">
        <v>53356</v>
      </c>
      <c r="K238" s="1"/>
      <c r="L238" s="1"/>
      <c r="M238" s="1"/>
      <c r="N238" s="1"/>
      <c r="O238" s="1"/>
      <c r="P238" s="1"/>
      <c r="Q238" s="1"/>
      <c r="R238" s="32"/>
      <c r="S238" s="1"/>
      <c r="T238" s="1"/>
      <c r="U238" s="1"/>
      <c r="V238" s="1"/>
      <c r="W238" s="1"/>
      <c r="X238" s="1"/>
      <c r="Y238" s="1"/>
      <c r="Z238" s="1"/>
      <c r="AA238" s="1"/>
      <c r="AB238" s="1"/>
      <c r="AC238" s="1"/>
      <c r="AD238" s="1"/>
      <c r="AE238" s="1"/>
      <c r="AF238" s="1"/>
      <c r="AG238" s="1"/>
      <c r="AH238" s="1"/>
      <c r="AI238" s="1"/>
      <c r="AJ238" s="1"/>
      <c r="AK238" s="32">
        <v>31785</v>
      </c>
      <c r="AL238" s="32"/>
      <c r="AM238" s="1"/>
      <c r="AN238" s="1"/>
      <c r="AO238" s="1"/>
      <c r="AP238" s="1"/>
      <c r="AQ238" s="1"/>
      <c r="AR238" s="1"/>
      <c r="AS238" s="32"/>
      <c r="AT238" s="32"/>
      <c r="AU238" s="1"/>
      <c r="AV238" s="1"/>
      <c r="AW238" s="1"/>
      <c r="AX238" s="1"/>
      <c r="AY238" s="1"/>
      <c r="AZ238" s="1"/>
      <c r="BA238" s="1"/>
      <c r="BB238" s="1"/>
      <c r="BC238" s="32"/>
      <c r="BD238" s="1"/>
      <c r="BE238" s="1"/>
      <c r="BF238" s="1">
        <f t="shared" si="369"/>
        <v>85141</v>
      </c>
      <c r="BG238" s="1">
        <f t="shared" si="370"/>
        <v>85141</v>
      </c>
      <c r="BH238" s="1"/>
      <c r="BI238" s="1"/>
      <c r="BJ238" s="1"/>
      <c r="BK238" s="1"/>
      <c r="BL238" s="1"/>
      <c r="BM238" s="1"/>
      <c r="BN238" s="1"/>
      <c r="BO238" s="1"/>
      <c r="BP238" s="1">
        <f t="shared" si="377"/>
        <v>0</v>
      </c>
      <c r="BQ238" s="1">
        <f t="shared" si="371"/>
        <v>0</v>
      </c>
      <c r="BR238" s="32"/>
      <c r="BS238" s="1"/>
      <c r="BT238" s="134">
        <v>0</v>
      </c>
      <c r="BU238" s="1"/>
      <c r="BV238" s="1"/>
      <c r="BW238" s="32">
        <v>147129</v>
      </c>
      <c r="BX238" s="3"/>
      <c r="BY238" s="1">
        <f t="shared" si="372"/>
        <v>147129</v>
      </c>
      <c r="BZ238" s="1">
        <f t="shared" si="378"/>
        <v>147129</v>
      </c>
      <c r="CA238" s="1">
        <f t="shared" si="373"/>
        <v>232270</v>
      </c>
      <c r="CB238" s="1"/>
      <c r="CC238" s="1"/>
      <c r="CD238" s="1"/>
      <c r="CE238" s="1"/>
      <c r="CF238" s="1"/>
      <c r="CG238" s="1"/>
      <c r="CH238" s="1"/>
      <c r="CI238" s="1"/>
      <c r="CJ238" s="1">
        <f t="shared" si="374"/>
        <v>0</v>
      </c>
      <c r="CK238" s="1"/>
      <c r="CL238" s="1"/>
      <c r="CM238" s="1"/>
      <c r="CN238" s="1"/>
      <c r="CO238" s="1"/>
      <c r="CP238" s="1"/>
      <c r="CQ238" s="1"/>
      <c r="CR238" s="1"/>
      <c r="CS238" s="1"/>
      <c r="CT238" s="5"/>
      <c r="CU238" s="1">
        <f t="shared" si="375"/>
        <v>0</v>
      </c>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W238" s="1">
        <f t="shared" si="376"/>
        <v>0</v>
      </c>
      <c r="DX238" s="1"/>
      <c r="DY238" s="1"/>
      <c r="DZ238" s="1"/>
      <c r="EB238" s="1"/>
      <c r="EC238" s="1"/>
      <c r="ED238" s="1"/>
      <c r="EE238" s="1"/>
      <c r="EF238" s="1"/>
      <c r="EG238" s="1"/>
      <c r="EI238" t="s">
        <v>914</v>
      </c>
      <c r="EJ238" t="s">
        <v>911</v>
      </c>
      <c r="EL238" s="1"/>
      <c r="EM238" s="1"/>
      <c r="EQ238" s="1"/>
    </row>
    <row r="239" spans="1:147" ht="15.75" customHeight="1">
      <c r="A239" s="1"/>
      <c r="B239" s="1" t="s">
        <v>688</v>
      </c>
      <c r="C239" s="11"/>
      <c r="D239" s="32"/>
      <c r="E239" s="32">
        <v>66533</v>
      </c>
      <c r="F239" s="1"/>
      <c r="G239" s="32">
        <v>41730</v>
      </c>
      <c r="H239" s="32"/>
      <c r="I239" s="1"/>
      <c r="J239" s="1"/>
      <c r="K239" s="1"/>
      <c r="L239" s="1"/>
      <c r="M239" s="1"/>
      <c r="N239" s="1"/>
      <c r="O239" s="1"/>
      <c r="P239" s="1"/>
      <c r="Q239" s="1"/>
      <c r="R239" s="1"/>
      <c r="S239" s="1"/>
      <c r="T239" s="1"/>
      <c r="U239" s="32">
        <v>56191</v>
      </c>
      <c r="V239" s="1"/>
      <c r="W239" s="1"/>
      <c r="X239" s="1"/>
      <c r="Y239" s="1"/>
      <c r="Z239" s="1"/>
      <c r="AA239" s="1"/>
      <c r="AB239" s="1"/>
      <c r="AC239" s="1"/>
      <c r="AD239" s="1"/>
      <c r="AE239" s="1"/>
      <c r="AF239" s="1"/>
      <c r="AG239" s="1"/>
      <c r="AH239" s="1"/>
      <c r="AI239" s="1"/>
      <c r="AJ239" s="1"/>
      <c r="AK239" s="1"/>
      <c r="AL239" s="1"/>
      <c r="AM239" s="1"/>
      <c r="AN239" s="32"/>
      <c r="AO239" s="1"/>
      <c r="AP239" s="1"/>
      <c r="AQ239" s="1"/>
      <c r="AR239" s="32">
        <v>81827</v>
      </c>
      <c r="AS239" s="1"/>
      <c r="AT239" s="1"/>
      <c r="AU239" s="1"/>
      <c r="AV239" s="1"/>
      <c r="AW239" s="1"/>
      <c r="AX239" s="1"/>
      <c r="AY239" s="1"/>
      <c r="AZ239" s="1"/>
      <c r="BA239" s="1"/>
      <c r="BB239" s="32"/>
      <c r="BC239" s="1"/>
      <c r="BD239" s="1"/>
      <c r="BE239" s="1"/>
      <c r="BF239" s="1">
        <f t="shared" si="369"/>
        <v>246281</v>
      </c>
      <c r="BG239" s="1">
        <f t="shared" si="370"/>
        <v>246281</v>
      </c>
      <c r="BH239" s="1"/>
      <c r="BI239" s="1"/>
      <c r="BJ239" s="1"/>
      <c r="BK239" s="1"/>
      <c r="BL239" s="1"/>
      <c r="BM239" s="1"/>
      <c r="BN239" s="1"/>
      <c r="BO239" s="1"/>
      <c r="BP239" s="1">
        <f t="shared" si="377"/>
        <v>0</v>
      </c>
      <c r="BQ239" s="1">
        <f t="shared" si="371"/>
        <v>0</v>
      </c>
      <c r="BR239" s="1"/>
      <c r="BS239" s="1"/>
      <c r="BT239" s="1"/>
      <c r="BU239" s="1"/>
      <c r="BV239" s="1"/>
      <c r="BW239" s="23"/>
      <c r="BX239" s="3"/>
      <c r="BY239" s="1">
        <f t="shared" si="372"/>
        <v>0</v>
      </c>
      <c r="BZ239" s="1">
        <f t="shared" si="378"/>
        <v>0</v>
      </c>
      <c r="CA239" s="1">
        <f t="shared" si="373"/>
        <v>246281</v>
      </c>
      <c r="CB239" s="1"/>
      <c r="CC239" s="1"/>
      <c r="CD239" s="1"/>
      <c r="CE239" s="1"/>
      <c r="CF239" s="1"/>
      <c r="CG239" s="1"/>
      <c r="CH239" s="1"/>
      <c r="CI239" s="1"/>
      <c r="CJ239" s="1">
        <f t="shared" si="374"/>
        <v>0</v>
      </c>
      <c r="CK239" s="1"/>
      <c r="CL239" s="1"/>
      <c r="CM239" s="1"/>
      <c r="CN239" s="1"/>
      <c r="CO239" s="1"/>
      <c r="CP239" s="1"/>
      <c r="CQ239" s="1"/>
      <c r="CR239" s="1"/>
      <c r="CS239" s="1"/>
      <c r="CT239" s="5"/>
      <c r="CU239" s="1">
        <f t="shared" si="375"/>
        <v>0</v>
      </c>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W239" s="1">
        <f t="shared" si="376"/>
        <v>0</v>
      </c>
      <c r="DX239" s="1"/>
      <c r="DY239" s="1"/>
      <c r="DZ239" s="1"/>
      <c r="EB239" s="825">
        <v>0</v>
      </c>
      <c r="EC239" s="253" t="s">
        <v>2977</v>
      </c>
      <c r="ED239" s="1"/>
      <c r="EE239" s="1"/>
      <c r="EF239" s="32"/>
      <c r="EG239" s="1"/>
      <c r="EI239" t="s">
        <v>915</v>
      </c>
      <c r="EJ239" t="s">
        <v>911</v>
      </c>
      <c r="EL239" s="1"/>
      <c r="EM239" s="1"/>
      <c r="EQ239" s="1"/>
    </row>
    <row r="240" spans="1:147" ht="15.75" customHeight="1">
      <c r="A240" s="1"/>
      <c r="B240" s="1" t="s">
        <v>689</v>
      </c>
      <c r="C240" s="11"/>
      <c r="D240" s="32"/>
      <c r="E240" s="32"/>
      <c r="F240" s="1"/>
      <c r="G240" s="1"/>
      <c r="H240" s="1"/>
      <c r="I240" s="1"/>
      <c r="J240" s="1"/>
      <c r="K240" s="1"/>
      <c r="L240" s="1"/>
      <c r="M240" s="1"/>
      <c r="N240" s="1"/>
      <c r="O240" s="1"/>
      <c r="P240" s="1"/>
      <c r="Q240" s="1"/>
      <c r="R240" s="1"/>
      <c r="S240" s="1"/>
      <c r="T240" s="1"/>
      <c r="U240" s="1"/>
      <c r="V240" s="1"/>
      <c r="W240" s="134"/>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f t="shared" si="369"/>
        <v>0</v>
      </c>
      <c r="BG240" s="1">
        <f t="shared" si="370"/>
        <v>0</v>
      </c>
      <c r="BH240" s="1"/>
      <c r="BI240" s="1"/>
      <c r="BJ240" s="1"/>
      <c r="BK240" s="1"/>
      <c r="BL240" s="1"/>
      <c r="BM240" s="1"/>
      <c r="BN240" s="1"/>
      <c r="BO240" s="1"/>
      <c r="BP240" s="1">
        <f t="shared" si="377"/>
        <v>0</v>
      </c>
      <c r="BQ240" s="1">
        <f t="shared" si="371"/>
        <v>0</v>
      </c>
      <c r="BR240" s="1"/>
      <c r="BS240" s="1"/>
      <c r="BT240" s="1"/>
      <c r="BU240" s="1"/>
      <c r="BV240" s="1"/>
      <c r="BW240" s="1"/>
      <c r="BX240" s="3"/>
      <c r="BY240" s="1">
        <f t="shared" si="372"/>
        <v>0</v>
      </c>
      <c r="BZ240" s="1">
        <f t="shared" si="378"/>
        <v>0</v>
      </c>
      <c r="CA240" s="1">
        <f t="shared" si="373"/>
        <v>0</v>
      </c>
      <c r="CB240" s="1"/>
      <c r="CC240" s="1"/>
      <c r="CD240" s="1"/>
      <c r="CE240" s="1"/>
      <c r="CF240" s="1"/>
      <c r="CG240" s="1"/>
      <c r="CH240" s="1"/>
      <c r="CI240" s="1"/>
      <c r="CJ240" s="1">
        <f t="shared" si="374"/>
        <v>0</v>
      </c>
      <c r="CK240" s="1"/>
      <c r="CL240" s="1"/>
      <c r="CM240" s="1"/>
      <c r="CN240" s="1"/>
      <c r="CO240" s="1"/>
      <c r="CP240" s="1"/>
      <c r="CQ240" s="1"/>
      <c r="CR240" s="1"/>
      <c r="CS240" s="1"/>
      <c r="CT240" s="5"/>
      <c r="CU240" s="1">
        <f t="shared" si="375"/>
        <v>0</v>
      </c>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W240" s="1">
        <f t="shared" si="376"/>
        <v>0</v>
      </c>
      <c r="DX240" s="1"/>
      <c r="DY240" s="1"/>
      <c r="DZ240" s="1"/>
      <c r="EB240" s="826" t="s">
        <v>2774</v>
      </c>
      <c r="EC240" s="1"/>
      <c r="ED240" s="1"/>
      <c r="EE240" s="1"/>
      <c r="EF240" s="1"/>
      <c r="EG240" s="1"/>
      <c r="EI240" t="s">
        <v>916</v>
      </c>
      <c r="EJ240" t="s">
        <v>911</v>
      </c>
      <c r="EL240" s="1"/>
      <c r="EM240" s="1"/>
      <c r="EQ240" s="1"/>
    </row>
    <row r="241" spans="1:147" ht="15.75" customHeight="1">
      <c r="A241" s="1"/>
      <c r="B241" s="1" t="s">
        <v>690</v>
      </c>
      <c r="C241" s="1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34"/>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f t="shared" si="369"/>
        <v>0</v>
      </c>
      <c r="BG241" s="1">
        <f t="shared" si="370"/>
        <v>0</v>
      </c>
      <c r="BH241" s="1"/>
      <c r="BI241" s="1"/>
      <c r="BJ241" s="1"/>
      <c r="BK241" s="1"/>
      <c r="BL241" s="1"/>
      <c r="BM241" s="1"/>
      <c r="BN241" s="1"/>
      <c r="BO241" s="1"/>
      <c r="BP241" s="1">
        <f t="shared" si="377"/>
        <v>0</v>
      </c>
      <c r="BQ241" s="1">
        <f t="shared" si="371"/>
        <v>0</v>
      </c>
      <c r="BR241" s="1"/>
      <c r="BS241" s="1"/>
      <c r="BT241" s="1"/>
      <c r="BU241" s="1"/>
      <c r="BV241" s="1"/>
      <c r="BW241" s="1"/>
      <c r="BX241" s="3"/>
      <c r="BY241" s="1">
        <f t="shared" si="372"/>
        <v>0</v>
      </c>
      <c r="BZ241" s="1">
        <f t="shared" si="378"/>
        <v>0</v>
      </c>
      <c r="CA241" s="1">
        <f t="shared" si="373"/>
        <v>0</v>
      </c>
      <c r="CB241" s="1"/>
      <c r="CC241" s="1"/>
      <c r="CD241" s="1"/>
      <c r="CE241" s="1"/>
      <c r="CF241" s="1"/>
      <c r="CG241" s="1"/>
      <c r="CH241" s="1"/>
      <c r="CI241" s="1"/>
      <c r="CJ241" s="1">
        <f t="shared" si="374"/>
        <v>0</v>
      </c>
      <c r="CK241" s="1"/>
      <c r="CL241" s="1"/>
      <c r="CM241" s="1"/>
      <c r="CN241" s="1"/>
      <c r="CO241" s="1"/>
      <c r="CP241" s="1"/>
      <c r="CQ241" s="1"/>
      <c r="CR241" s="1"/>
      <c r="CS241" s="1"/>
      <c r="CT241" s="5"/>
      <c r="CU241" s="1">
        <f t="shared" si="375"/>
        <v>0</v>
      </c>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W241" s="1">
        <f t="shared" si="376"/>
        <v>0</v>
      </c>
      <c r="DX241" s="1"/>
      <c r="DY241" s="1"/>
      <c r="DZ241" s="1"/>
      <c r="EB241" s="826" t="s">
        <v>2693</v>
      </c>
      <c r="EC241" s="1"/>
      <c r="ED241" s="1"/>
      <c r="EE241" s="1"/>
      <c r="EF241" s="1"/>
      <c r="EG241" s="1"/>
      <c r="EI241" t="s">
        <v>917</v>
      </c>
      <c r="EJ241" t="s">
        <v>911</v>
      </c>
      <c r="EL241" s="1"/>
      <c r="EM241" s="1"/>
      <c r="EQ241" s="1"/>
    </row>
    <row r="242" spans="1:147" ht="15.75" customHeight="1">
      <c r="A242" s="1"/>
      <c r="B242" s="89" t="s">
        <v>2058</v>
      </c>
      <c r="C242" s="11"/>
      <c r="D242" s="138"/>
      <c r="E242" s="1"/>
      <c r="F242" s="1"/>
      <c r="G242" s="1"/>
      <c r="H242" s="1"/>
      <c r="I242" s="1"/>
      <c r="J242" s="1"/>
      <c r="K242" s="1"/>
      <c r="L242" s="1"/>
      <c r="M242" s="1"/>
      <c r="N242" s="1"/>
      <c r="O242" s="1"/>
      <c r="P242" s="1"/>
      <c r="Q242" s="1"/>
      <c r="R242" s="1"/>
      <c r="S242" s="1"/>
      <c r="T242" s="1"/>
      <c r="U242" s="1"/>
      <c r="V242" s="1"/>
      <c r="W242" s="1"/>
      <c r="X242" s="623"/>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f t="shared" si="369"/>
        <v>0</v>
      </c>
      <c r="BG242" s="1">
        <f t="shared" si="370"/>
        <v>0</v>
      </c>
      <c r="BH242" s="1"/>
      <c r="BI242" s="1"/>
      <c r="BJ242" s="1"/>
      <c r="BK242" s="1"/>
      <c r="BL242" s="1"/>
      <c r="BM242" s="1"/>
      <c r="BN242" s="1"/>
      <c r="BO242" s="1"/>
      <c r="BP242" s="1">
        <f t="shared" si="377"/>
        <v>0</v>
      </c>
      <c r="BQ242" s="1">
        <f t="shared" si="371"/>
        <v>0</v>
      </c>
      <c r="BR242" s="1"/>
      <c r="BS242" s="1"/>
      <c r="BT242" s="1"/>
      <c r="BU242" s="1"/>
      <c r="BV242" s="1"/>
      <c r="BW242" s="1"/>
      <c r="BX242" s="3"/>
      <c r="BY242" s="1">
        <f t="shared" si="372"/>
        <v>0</v>
      </c>
      <c r="BZ242" s="1">
        <f t="shared" si="378"/>
        <v>0</v>
      </c>
      <c r="CA242" s="1">
        <f t="shared" si="373"/>
        <v>0</v>
      </c>
      <c r="CB242" s="1"/>
      <c r="CC242" s="1"/>
      <c r="CD242" s="1"/>
      <c r="CE242" s="1"/>
      <c r="CF242" s="1"/>
      <c r="CG242" s="1"/>
      <c r="CH242" s="1"/>
      <c r="CI242" s="1"/>
      <c r="CJ242" s="1">
        <f t="shared" si="374"/>
        <v>0</v>
      </c>
      <c r="CK242" s="1"/>
      <c r="CL242" s="1"/>
      <c r="CM242" s="1"/>
      <c r="CN242" s="1"/>
      <c r="CO242" s="1"/>
      <c r="CP242" s="1"/>
      <c r="CQ242" s="1"/>
      <c r="CR242" s="1"/>
      <c r="CS242" s="1"/>
      <c r="CT242" s="5"/>
      <c r="CU242" s="1">
        <f t="shared" si="375"/>
        <v>0</v>
      </c>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W242" s="1">
        <f t="shared" si="376"/>
        <v>0</v>
      </c>
      <c r="DX242" s="1"/>
      <c r="DY242" s="1"/>
      <c r="DZ242" s="1"/>
      <c r="EB242" s="1"/>
      <c r="EC242" s="1"/>
      <c r="ED242" s="1"/>
      <c r="EE242" s="1"/>
      <c r="EF242" s="1"/>
      <c r="EG242" s="1"/>
      <c r="EL242" s="1"/>
      <c r="EM242" s="1"/>
      <c r="EQ242" s="1"/>
    </row>
    <row r="243" spans="1:147" ht="15.75" customHeight="1">
      <c r="A243" s="1"/>
      <c r="B243" s="1" t="s">
        <v>691</v>
      </c>
      <c r="C243" s="1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f t="shared" si="369"/>
        <v>0</v>
      </c>
      <c r="BG243" s="1">
        <f t="shared" si="370"/>
        <v>0</v>
      </c>
      <c r="BH243" s="1"/>
      <c r="BI243" s="1"/>
      <c r="BJ243" s="1"/>
      <c r="BK243" s="1"/>
      <c r="BL243" s="1"/>
      <c r="BM243" s="1"/>
      <c r="BN243" s="1"/>
      <c r="BO243" s="1"/>
      <c r="BP243" s="1">
        <f t="shared" si="377"/>
        <v>0</v>
      </c>
      <c r="BQ243" s="1">
        <f t="shared" si="371"/>
        <v>0</v>
      </c>
      <c r="BR243" s="1"/>
      <c r="BS243" s="1"/>
      <c r="BT243" s="1"/>
      <c r="BU243" s="1"/>
      <c r="BV243" s="1"/>
      <c r="BW243" s="1"/>
      <c r="BX243" s="3"/>
      <c r="BY243" s="1">
        <f t="shared" si="372"/>
        <v>0</v>
      </c>
      <c r="BZ243" s="1">
        <f t="shared" si="378"/>
        <v>0</v>
      </c>
      <c r="CA243" s="1">
        <f t="shared" si="373"/>
        <v>0</v>
      </c>
      <c r="CB243" s="1"/>
      <c r="CC243" s="1"/>
      <c r="CD243" s="1"/>
      <c r="CE243" s="1"/>
      <c r="CF243" s="1"/>
      <c r="CG243" s="1"/>
      <c r="CH243" s="1"/>
      <c r="CI243" s="1"/>
      <c r="CJ243" s="1">
        <f t="shared" si="374"/>
        <v>0</v>
      </c>
      <c r="CK243" s="1"/>
      <c r="CL243" s="1"/>
      <c r="CM243" s="1"/>
      <c r="CN243" s="1"/>
      <c r="CO243" s="1"/>
      <c r="CP243" s="1"/>
      <c r="CQ243" s="1"/>
      <c r="CR243" s="1"/>
      <c r="CS243" s="1"/>
      <c r="CT243" s="5"/>
      <c r="CU243" s="1">
        <f t="shared" si="375"/>
        <v>0</v>
      </c>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W243" s="1">
        <f t="shared" si="376"/>
        <v>0</v>
      </c>
      <c r="DX243" s="1"/>
      <c r="DY243" s="1"/>
      <c r="DZ243" s="1"/>
      <c r="EB243" s="1"/>
      <c r="EC243" s="1"/>
      <c r="ED243" s="1"/>
      <c r="EE243" s="1"/>
      <c r="EF243" s="1"/>
      <c r="EG243" s="1"/>
      <c r="EL243" s="1"/>
      <c r="EM243" s="1"/>
      <c r="EQ243" s="1"/>
    </row>
    <row r="244" spans="1:147" ht="15.75" customHeight="1">
      <c r="A244" s="1"/>
      <c r="B244" s="1" t="s">
        <v>692</v>
      </c>
      <c r="C244" s="1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f t="shared" si="369"/>
        <v>0</v>
      </c>
      <c r="BG244" s="1">
        <f t="shared" si="370"/>
        <v>0</v>
      </c>
      <c r="BH244" s="1"/>
      <c r="BI244" s="1"/>
      <c r="BJ244" s="1"/>
      <c r="BK244" s="1"/>
      <c r="BL244" s="1"/>
      <c r="BM244" s="1"/>
      <c r="BN244" s="1"/>
      <c r="BO244" s="1"/>
      <c r="BP244" s="1">
        <f t="shared" si="377"/>
        <v>0</v>
      </c>
      <c r="BQ244" s="1">
        <f t="shared" si="371"/>
        <v>0</v>
      </c>
      <c r="BR244" s="1"/>
      <c r="BS244" s="1"/>
      <c r="BT244" s="1"/>
      <c r="BU244" s="1"/>
      <c r="BV244" s="1"/>
      <c r="BW244" s="1"/>
      <c r="BX244" s="3"/>
      <c r="BY244" s="1">
        <f t="shared" si="372"/>
        <v>0</v>
      </c>
      <c r="BZ244" s="1">
        <f t="shared" si="378"/>
        <v>0</v>
      </c>
      <c r="CA244" s="1">
        <f t="shared" si="373"/>
        <v>0</v>
      </c>
      <c r="CB244" s="1"/>
      <c r="CC244" s="1"/>
      <c r="CD244" s="1"/>
      <c r="CE244" s="1"/>
      <c r="CF244" s="1"/>
      <c r="CG244" s="1"/>
      <c r="CH244" s="1"/>
      <c r="CI244" s="1"/>
      <c r="CJ244" s="1">
        <f t="shared" si="374"/>
        <v>0</v>
      </c>
      <c r="CK244" s="1"/>
      <c r="CL244" s="1"/>
      <c r="CM244" s="1"/>
      <c r="CN244" s="1"/>
      <c r="CO244" s="1"/>
      <c r="CP244" s="1"/>
      <c r="CQ244" s="1"/>
      <c r="CR244" s="1"/>
      <c r="CS244" s="1"/>
      <c r="CT244" s="5"/>
      <c r="CU244" s="1">
        <f t="shared" si="375"/>
        <v>0</v>
      </c>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W244" s="1">
        <f t="shared" si="376"/>
        <v>0</v>
      </c>
      <c r="DX244" s="1"/>
      <c r="DY244" s="1"/>
      <c r="DZ244" s="1"/>
      <c r="EB244" s="1"/>
      <c r="EC244" s="1"/>
      <c r="ED244" s="1"/>
      <c r="EE244" s="1"/>
      <c r="EF244" s="1"/>
      <c r="EG244" s="1"/>
      <c r="EL244" s="1"/>
      <c r="EM244" s="1"/>
      <c r="EQ244" s="1"/>
    </row>
    <row r="245" spans="1:147" ht="15.75" customHeight="1">
      <c r="A245" s="1"/>
      <c r="B245" s="1" t="s">
        <v>693</v>
      </c>
      <c r="C245" s="1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f t="shared" si="369"/>
        <v>0</v>
      </c>
      <c r="BG245" s="1">
        <f t="shared" si="370"/>
        <v>0</v>
      </c>
      <c r="BH245" s="1"/>
      <c r="BI245" s="1"/>
      <c r="BJ245" s="1"/>
      <c r="BK245" s="1"/>
      <c r="BL245" s="1"/>
      <c r="BM245" s="1"/>
      <c r="BN245" s="1"/>
      <c r="BO245" s="1"/>
      <c r="BP245" s="1">
        <f t="shared" si="377"/>
        <v>0</v>
      </c>
      <c r="BQ245" s="1">
        <f t="shared" si="371"/>
        <v>0</v>
      </c>
      <c r="BR245" s="1"/>
      <c r="BS245" s="1"/>
      <c r="BT245" s="1"/>
      <c r="BU245" s="1"/>
      <c r="BV245" s="1"/>
      <c r="BW245" s="1"/>
      <c r="BX245" s="3"/>
      <c r="BY245" s="1">
        <f t="shared" si="372"/>
        <v>0</v>
      </c>
      <c r="BZ245" s="1">
        <f t="shared" si="378"/>
        <v>0</v>
      </c>
      <c r="CA245" s="1">
        <f t="shared" si="373"/>
        <v>0</v>
      </c>
      <c r="CB245" s="1"/>
      <c r="CC245" s="32"/>
      <c r="CD245" s="1"/>
      <c r="CE245" s="1"/>
      <c r="CF245" s="32"/>
      <c r="CG245" s="32"/>
      <c r="CH245" s="1"/>
      <c r="CI245" s="1"/>
      <c r="CJ245" s="1">
        <f t="shared" si="374"/>
        <v>0</v>
      </c>
      <c r="CK245" s="1">
        <f t="shared" ref="CK245:CK253" si="379">+CJ245-CB245-CC245-CG245</f>
        <v>0</v>
      </c>
      <c r="CL245" s="32"/>
      <c r="CM245" s="32"/>
      <c r="CN245" s="32"/>
      <c r="CO245" s="1"/>
      <c r="CP245" s="32">
        <v>51558</v>
      </c>
      <c r="CQ245" s="1"/>
      <c r="CR245" s="32"/>
      <c r="CS245" s="1"/>
      <c r="CT245" s="5"/>
      <c r="CU245" s="1">
        <f t="shared" si="375"/>
        <v>51558</v>
      </c>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W245" s="1">
        <f t="shared" si="376"/>
        <v>0</v>
      </c>
      <c r="DX245" s="1"/>
      <c r="DY245" s="1"/>
      <c r="DZ245" s="1"/>
      <c r="EB245" s="1"/>
      <c r="EC245" s="1"/>
      <c r="ED245" s="1"/>
      <c r="EE245" s="1"/>
      <c r="EF245" s="1"/>
      <c r="EG245" s="1"/>
      <c r="EL245" s="1"/>
      <c r="EM245" s="1"/>
      <c r="EQ245" s="1"/>
    </row>
    <row r="246" spans="1:147" ht="15.75" customHeight="1">
      <c r="A246" s="1"/>
      <c r="B246" s="1" t="s">
        <v>694</v>
      </c>
      <c r="C246" s="1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f t="shared" si="369"/>
        <v>0</v>
      </c>
      <c r="BG246" s="1">
        <f t="shared" si="370"/>
        <v>0</v>
      </c>
      <c r="BH246" s="1"/>
      <c r="BI246" s="1"/>
      <c r="BJ246" s="1"/>
      <c r="BK246" s="1"/>
      <c r="BL246" s="1"/>
      <c r="BM246" s="1"/>
      <c r="BN246" s="1"/>
      <c r="BO246" s="1"/>
      <c r="BP246" s="1">
        <f t="shared" si="377"/>
        <v>0</v>
      </c>
      <c r="BQ246" s="1">
        <f t="shared" si="371"/>
        <v>0</v>
      </c>
      <c r="BR246" s="1"/>
      <c r="BS246" s="1"/>
      <c r="BT246" s="1"/>
      <c r="BU246" s="1"/>
      <c r="BV246" s="1"/>
      <c r="BW246" s="1"/>
      <c r="BX246" s="3"/>
      <c r="BY246" s="1">
        <f t="shared" si="372"/>
        <v>0</v>
      </c>
      <c r="BZ246" s="1">
        <f t="shared" si="378"/>
        <v>0</v>
      </c>
      <c r="CA246" s="1">
        <f t="shared" si="373"/>
        <v>0</v>
      </c>
      <c r="CB246" s="1"/>
      <c r="CC246" s="1"/>
      <c r="CD246" s="1"/>
      <c r="CE246" s="1"/>
      <c r="CF246" s="32"/>
      <c r="CG246" s="32"/>
      <c r="CH246" s="1"/>
      <c r="CI246" s="1"/>
      <c r="CJ246" s="1">
        <f t="shared" si="374"/>
        <v>0</v>
      </c>
      <c r="CK246" s="1">
        <f t="shared" si="379"/>
        <v>0</v>
      </c>
      <c r="CL246" s="1"/>
      <c r="CM246" s="1"/>
      <c r="CN246" s="1"/>
      <c r="CO246" s="32"/>
      <c r="CP246" s="1"/>
      <c r="CQ246" s="1"/>
      <c r="CR246" s="1"/>
      <c r="CS246" s="1"/>
      <c r="CT246" s="5"/>
      <c r="CU246" s="1">
        <f t="shared" si="375"/>
        <v>0</v>
      </c>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W246" s="1">
        <f t="shared" si="376"/>
        <v>0</v>
      </c>
      <c r="DX246" s="1"/>
      <c r="DY246" s="1"/>
      <c r="DZ246" s="1"/>
      <c r="EB246" s="1"/>
      <c r="EC246" s="1"/>
      <c r="ED246" s="1"/>
      <c r="EE246" s="1"/>
      <c r="EF246" s="1"/>
      <c r="EG246" s="1"/>
      <c r="EL246" s="1"/>
      <c r="EM246" s="1"/>
      <c r="EQ246" s="1"/>
    </row>
    <row r="247" spans="1:147" ht="15.75" customHeight="1">
      <c r="A247" s="1"/>
      <c r="B247" s="1" t="s">
        <v>695</v>
      </c>
      <c r="C247" s="1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23"/>
      <c r="BD247" s="1"/>
      <c r="BE247" s="1"/>
      <c r="BF247" s="1">
        <f t="shared" si="369"/>
        <v>0</v>
      </c>
      <c r="BG247" s="1">
        <f t="shared" si="370"/>
        <v>0</v>
      </c>
      <c r="BH247" s="1"/>
      <c r="BI247" s="1"/>
      <c r="BJ247" s="1"/>
      <c r="BK247" s="1"/>
      <c r="BL247" s="1"/>
      <c r="BM247" s="1"/>
      <c r="BN247" s="1"/>
      <c r="BO247" s="1"/>
      <c r="BP247" s="1">
        <f t="shared" si="377"/>
        <v>0</v>
      </c>
      <c r="BQ247" s="1">
        <f t="shared" si="371"/>
        <v>0</v>
      </c>
      <c r="BR247" s="1"/>
      <c r="BS247" s="1"/>
      <c r="BT247" s="1"/>
      <c r="BU247" s="1"/>
      <c r="BV247" s="1"/>
      <c r="BW247" s="1"/>
      <c r="BX247" s="3"/>
      <c r="BY247" s="1">
        <f t="shared" si="372"/>
        <v>0</v>
      </c>
      <c r="BZ247" s="1">
        <f t="shared" si="378"/>
        <v>0</v>
      </c>
      <c r="CA247" s="1">
        <f t="shared" si="373"/>
        <v>0</v>
      </c>
      <c r="CB247" s="1"/>
      <c r="CC247" s="32"/>
      <c r="CD247" s="1"/>
      <c r="CE247" s="32">
        <v>0</v>
      </c>
      <c r="CF247" s="32">
        <v>94684</v>
      </c>
      <c r="CG247" s="32"/>
      <c r="CH247" s="1"/>
      <c r="CI247" s="1"/>
      <c r="CJ247" s="1">
        <f t="shared" si="374"/>
        <v>94684</v>
      </c>
      <c r="CK247" s="1">
        <f t="shared" si="379"/>
        <v>94684</v>
      </c>
      <c r="CL247" s="32"/>
      <c r="CM247" s="1"/>
      <c r="CN247" s="1"/>
      <c r="CO247" s="1"/>
      <c r="CP247" s="32"/>
      <c r="CQ247" s="32"/>
      <c r="CR247" s="32">
        <v>618237</v>
      </c>
      <c r="CS247" s="1"/>
      <c r="CT247" s="5"/>
      <c r="CU247" s="1">
        <f t="shared" si="375"/>
        <v>618237</v>
      </c>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W247" s="1">
        <f t="shared" si="376"/>
        <v>0</v>
      </c>
      <c r="DX247" s="1"/>
      <c r="DY247" s="1"/>
      <c r="DZ247" s="1"/>
      <c r="EB247" s="1"/>
      <c r="EC247" s="1"/>
      <c r="ED247" s="1"/>
      <c r="EE247" s="1"/>
      <c r="EF247" s="1"/>
      <c r="EG247" s="1"/>
      <c r="EL247" s="1"/>
      <c r="EM247" s="1"/>
      <c r="EQ247" s="1"/>
    </row>
    <row r="248" spans="1:147" ht="15.75" customHeight="1">
      <c r="A248" s="1"/>
      <c r="B248" s="1" t="s">
        <v>106</v>
      </c>
      <c r="C248" s="1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23"/>
      <c r="BD248" s="1"/>
      <c r="BE248" s="1"/>
      <c r="BF248" s="1">
        <f t="shared" si="369"/>
        <v>0</v>
      </c>
      <c r="BG248" s="1">
        <f t="shared" si="370"/>
        <v>0</v>
      </c>
      <c r="BH248" s="1"/>
      <c r="BI248" s="1"/>
      <c r="BJ248" s="1"/>
      <c r="BK248" s="1"/>
      <c r="BL248" s="1"/>
      <c r="BM248" s="1"/>
      <c r="BN248" s="1"/>
      <c r="BO248" s="1"/>
      <c r="BP248" s="1">
        <f t="shared" si="377"/>
        <v>0</v>
      </c>
      <c r="BQ248" s="1"/>
      <c r="BR248" s="1"/>
      <c r="BS248" s="1"/>
      <c r="BT248" s="1"/>
      <c r="BU248" s="1"/>
      <c r="BV248" s="1"/>
      <c r="BW248" s="1"/>
      <c r="BX248" s="3"/>
      <c r="BY248" s="1">
        <f t="shared" si="372"/>
        <v>0</v>
      </c>
      <c r="BZ248" s="1">
        <f t="shared" si="378"/>
        <v>0</v>
      </c>
      <c r="CA248" s="1">
        <f t="shared" si="373"/>
        <v>0</v>
      </c>
      <c r="CB248" s="1"/>
      <c r="CC248" s="1"/>
      <c r="CD248" s="1"/>
      <c r="CE248" s="1"/>
      <c r="CF248" s="1"/>
      <c r="CG248" s="1"/>
      <c r="CH248" s="1"/>
      <c r="CI248" s="1"/>
      <c r="CJ248" s="1">
        <f>SUM(CB248:CI248)</f>
        <v>0</v>
      </c>
      <c r="CK248" s="1">
        <f>+CJ248-CB248-CC248-CG248</f>
        <v>0</v>
      </c>
      <c r="CL248" s="1"/>
      <c r="CM248" s="1"/>
      <c r="CN248" s="1"/>
      <c r="CO248" s="1"/>
      <c r="CP248" s="1"/>
      <c r="CQ248" s="1"/>
      <c r="CR248" s="1"/>
      <c r="CS248" s="1"/>
      <c r="CT248" s="5"/>
      <c r="CU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W248" s="1">
        <f t="shared" si="376"/>
        <v>0</v>
      </c>
      <c r="DX248" s="1"/>
      <c r="DY248" s="1"/>
      <c r="DZ248" s="1"/>
      <c r="EB248" s="181">
        <v>0</v>
      </c>
      <c r="EC248" s="182" t="s">
        <v>1761</v>
      </c>
      <c r="ED248" s="1"/>
      <c r="EE248" s="1"/>
      <c r="EF248" s="1"/>
      <c r="EG248" s="1"/>
      <c r="EL248" s="1"/>
      <c r="EM248" s="1"/>
      <c r="EQ248" s="1"/>
    </row>
    <row r="249" spans="1:147" ht="15.75" customHeight="1">
      <c r="A249" s="1"/>
      <c r="B249" s="1" t="s">
        <v>696</v>
      </c>
      <c r="C249" s="1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f t="shared" si="369"/>
        <v>0</v>
      </c>
      <c r="BG249" s="1">
        <f t="shared" si="370"/>
        <v>0</v>
      </c>
      <c r="BH249" s="1"/>
      <c r="BI249" s="1"/>
      <c r="BJ249" s="1"/>
      <c r="BK249" s="1"/>
      <c r="BL249" s="1"/>
      <c r="BM249" s="1"/>
      <c r="BN249" s="1"/>
      <c r="BO249" s="1"/>
      <c r="BP249" s="1">
        <f t="shared" si="377"/>
        <v>0</v>
      </c>
      <c r="BQ249" s="1">
        <f t="shared" si="371"/>
        <v>0</v>
      </c>
      <c r="BR249" s="1"/>
      <c r="BS249" s="1"/>
      <c r="BT249" s="1"/>
      <c r="BU249" s="1"/>
      <c r="BV249" s="1"/>
      <c r="BW249" s="1"/>
      <c r="BX249" s="3"/>
      <c r="BY249" s="1">
        <f t="shared" si="372"/>
        <v>0</v>
      </c>
      <c r="BZ249" s="1">
        <f t="shared" si="378"/>
        <v>0</v>
      </c>
      <c r="CA249" s="1">
        <f t="shared" si="373"/>
        <v>0</v>
      </c>
      <c r="CB249" s="1"/>
      <c r="CC249" s="120"/>
      <c r="CD249" s="1"/>
      <c r="CE249" s="32"/>
      <c r="CF249" s="1"/>
      <c r="CG249" s="32">
        <v>6344</v>
      </c>
      <c r="CH249" s="1"/>
      <c r="CI249" s="1"/>
      <c r="CJ249" s="1">
        <f>SUM(CB249:CI249)</f>
        <v>6344</v>
      </c>
      <c r="CK249" s="1">
        <f>+CJ249-CB249-CC249-CG249</f>
        <v>0</v>
      </c>
      <c r="CL249" s="1"/>
      <c r="CM249" s="32"/>
      <c r="CN249" s="1"/>
      <c r="CO249" s="1"/>
      <c r="CP249" s="1"/>
      <c r="CQ249" s="1"/>
      <c r="CR249" s="1"/>
      <c r="CS249" s="1"/>
      <c r="CT249" s="5"/>
      <c r="CU249" s="1">
        <f t="shared" si="375"/>
        <v>0</v>
      </c>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W249" s="1">
        <f t="shared" si="376"/>
        <v>0</v>
      </c>
      <c r="DX249" s="1"/>
      <c r="DY249" s="1"/>
      <c r="DZ249" s="1"/>
      <c r="EB249" s="134">
        <v>0</v>
      </c>
      <c r="EC249" s="1"/>
      <c r="ED249" s="1"/>
      <c r="EE249" s="1"/>
      <c r="EF249" s="1"/>
      <c r="EG249" s="1"/>
      <c r="EL249" s="1">
        <v>0</v>
      </c>
      <c r="EM249" s="1"/>
      <c r="EQ249" s="1"/>
    </row>
    <row r="250" spans="1:147" ht="15.75" customHeight="1">
      <c r="A250" s="1"/>
      <c r="B250" s="1" t="s">
        <v>1176</v>
      </c>
      <c r="C250" s="11"/>
      <c r="D250" s="1"/>
      <c r="E250" s="82"/>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f t="shared" si="369"/>
        <v>0</v>
      </c>
      <c r="BG250" s="1">
        <f t="shared" si="370"/>
        <v>0</v>
      </c>
      <c r="BH250" s="1"/>
      <c r="BI250" s="1"/>
      <c r="BJ250" s="1"/>
      <c r="BK250" s="1"/>
      <c r="BL250" s="1"/>
      <c r="BM250" s="1"/>
      <c r="BN250" s="1"/>
      <c r="BO250" s="1"/>
      <c r="BP250" s="1">
        <f t="shared" si="377"/>
        <v>0</v>
      </c>
      <c r="BQ250" s="1">
        <f t="shared" si="371"/>
        <v>0</v>
      </c>
      <c r="BR250" s="1"/>
      <c r="BS250" s="1"/>
      <c r="BT250" s="1"/>
      <c r="BU250" s="1"/>
      <c r="BV250" s="1"/>
      <c r="BW250" s="1"/>
      <c r="BX250" s="3"/>
      <c r="BY250" s="1">
        <f t="shared" si="372"/>
        <v>0</v>
      </c>
      <c r="BZ250" s="1">
        <f t="shared" si="378"/>
        <v>0</v>
      </c>
      <c r="CA250" s="1">
        <f t="shared" si="373"/>
        <v>0</v>
      </c>
      <c r="CB250" s="1"/>
      <c r="CC250" s="120"/>
      <c r="CD250" s="1"/>
      <c r="CE250" s="1"/>
      <c r="CF250" s="1"/>
      <c r="CG250" s="1"/>
      <c r="CH250" s="1"/>
      <c r="CI250" s="1"/>
      <c r="CJ250" s="1">
        <f>SUM(CB250:CI250)</f>
        <v>0</v>
      </c>
      <c r="CK250" s="1">
        <f>+CJ250-CB250-CC250-CG250</f>
        <v>0</v>
      </c>
      <c r="CL250" s="1"/>
      <c r="CM250" s="1"/>
      <c r="CN250" s="1"/>
      <c r="CO250" s="1"/>
      <c r="CP250" s="1"/>
      <c r="CQ250" s="1"/>
      <c r="CR250" s="1"/>
      <c r="CS250" s="1"/>
      <c r="CT250" s="5"/>
      <c r="CU250" s="1">
        <f t="shared" si="375"/>
        <v>0</v>
      </c>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W250" s="1">
        <f t="shared" si="376"/>
        <v>0</v>
      </c>
      <c r="DX250" s="1"/>
      <c r="DY250" s="1"/>
      <c r="DZ250" s="1"/>
      <c r="EB250" s="134">
        <v>0</v>
      </c>
      <c r="EC250" s="253" t="s">
        <v>2977</v>
      </c>
      <c r="ED250" s="1"/>
      <c r="EE250" s="1"/>
      <c r="EF250" s="1"/>
      <c r="EG250" s="1"/>
      <c r="EL250" s="1"/>
      <c r="EM250" s="1"/>
      <c r="EQ250" s="1"/>
    </row>
    <row r="251" spans="1:147" ht="15.75" customHeight="1">
      <c r="A251" s="1"/>
      <c r="B251" s="1" t="s">
        <v>697</v>
      </c>
      <c r="C251" s="1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f t="shared" si="369"/>
        <v>0</v>
      </c>
      <c r="BG251" s="1">
        <f t="shared" si="370"/>
        <v>0</v>
      </c>
      <c r="BH251" s="1"/>
      <c r="BI251" s="1"/>
      <c r="BJ251" s="1"/>
      <c r="BK251" s="1"/>
      <c r="BL251" s="1"/>
      <c r="BM251" s="1"/>
      <c r="BN251" s="1"/>
      <c r="BO251" s="1"/>
      <c r="BP251" s="1">
        <f t="shared" si="377"/>
        <v>0</v>
      </c>
      <c r="BQ251" s="1"/>
      <c r="BR251" s="1"/>
      <c r="BS251" s="1"/>
      <c r="BT251" s="1"/>
      <c r="BU251" s="1"/>
      <c r="BV251" s="1"/>
      <c r="BW251" s="1"/>
      <c r="BX251" s="3"/>
      <c r="BY251" s="1">
        <f>SUM(BS251:BX251)</f>
        <v>0</v>
      </c>
      <c r="BZ251" s="1">
        <f t="shared" si="378"/>
        <v>0</v>
      </c>
      <c r="CA251" s="1">
        <f t="shared" si="373"/>
        <v>0</v>
      </c>
      <c r="CB251" s="1"/>
      <c r="CC251" s="1"/>
      <c r="CD251" s="1"/>
      <c r="CE251" s="1"/>
      <c r="CF251" s="1"/>
      <c r="CG251" s="1"/>
      <c r="CH251" s="1"/>
      <c r="CI251" s="1"/>
      <c r="CJ251" s="1">
        <f>SUM(CB251:CI251)</f>
        <v>0</v>
      </c>
      <c r="CK251" s="1">
        <f>+CJ251-CB251-CC251-CG251</f>
        <v>0</v>
      </c>
      <c r="CL251" s="1"/>
      <c r="CM251" s="1"/>
      <c r="CN251" s="1"/>
      <c r="CO251" s="1"/>
      <c r="CP251" s="1"/>
      <c r="CQ251" s="1"/>
      <c r="CR251" s="1"/>
      <c r="CS251" s="1"/>
      <c r="CT251" s="5"/>
      <c r="CU251" s="1">
        <f t="shared" si="375"/>
        <v>0</v>
      </c>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W251" s="1">
        <f t="shared" si="376"/>
        <v>0</v>
      </c>
      <c r="DX251" s="1"/>
      <c r="DY251" s="1"/>
      <c r="DZ251" s="1"/>
      <c r="EB251" s="1"/>
      <c r="EC251" s="1"/>
      <c r="ED251" s="1"/>
      <c r="EE251" s="1"/>
      <c r="EF251" s="1"/>
      <c r="EG251" s="1"/>
      <c r="EL251" s="1"/>
      <c r="EM251" s="1"/>
      <c r="EQ251" s="1"/>
    </row>
    <row r="252" spans="1:147" ht="15.75" customHeight="1">
      <c r="A252" s="1"/>
      <c r="B252" s="1" t="s">
        <v>105</v>
      </c>
      <c r="C252" s="1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f t="shared" si="369"/>
        <v>0</v>
      </c>
      <c r="BG252" s="1">
        <f t="shared" si="370"/>
        <v>0</v>
      </c>
      <c r="BH252" s="1"/>
      <c r="BI252" s="1"/>
      <c r="BJ252" s="1"/>
      <c r="BK252" s="1"/>
      <c r="BL252" s="1"/>
      <c r="BM252" s="1"/>
      <c r="BN252" s="1"/>
      <c r="BO252" s="1"/>
      <c r="BP252" s="1">
        <f t="shared" si="377"/>
        <v>0</v>
      </c>
      <c r="BQ252" s="1"/>
      <c r="BR252" s="1"/>
      <c r="BS252" s="1"/>
      <c r="BT252" s="1"/>
      <c r="BU252" s="1"/>
      <c r="BV252" s="1"/>
      <c r="BW252" s="1"/>
      <c r="BX252" s="3"/>
      <c r="BY252" s="1">
        <f>SUM(BS252:BX252)</f>
        <v>0</v>
      </c>
      <c r="BZ252" s="1">
        <f t="shared" si="378"/>
        <v>0</v>
      </c>
      <c r="CA252" s="1">
        <f t="shared" si="373"/>
        <v>0</v>
      </c>
      <c r="CB252" s="1"/>
      <c r="CC252" s="1"/>
      <c r="CD252" s="1"/>
      <c r="CE252" s="1"/>
      <c r="CF252" s="1"/>
      <c r="CG252" s="1"/>
      <c r="CH252" s="1"/>
      <c r="CI252" s="1"/>
      <c r="CJ252" s="1">
        <f>SUM(CB252:CI252)</f>
        <v>0</v>
      </c>
      <c r="CK252" s="1">
        <f>+CJ252-CB252-CC252-CG252</f>
        <v>0</v>
      </c>
      <c r="CL252" s="1"/>
      <c r="CM252" s="1"/>
      <c r="CN252" s="1"/>
      <c r="CO252" s="1"/>
      <c r="CP252" s="1"/>
      <c r="CQ252" s="1"/>
      <c r="CR252" s="1"/>
      <c r="CS252" s="1"/>
      <c r="CT252" s="5"/>
      <c r="CU252" s="1">
        <f t="shared" si="375"/>
        <v>0</v>
      </c>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W252" s="1">
        <f t="shared" si="376"/>
        <v>0</v>
      </c>
      <c r="DX252" s="1"/>
      <c r="DY252" s="1"/>
      <c r="DZ252" s="1"/>
      <c r="EB252" s="1"/>
      <c r="EC252" s="88" t="s">
        <v>1807</v>
      </c>
      <c r="ED252" s="1"/>
      <c r="EE252" s="1"/>
      <c r="EF252" s="1"/>
      <c r="EG252" s="1"/>
      <c r="EL252" s="1"/>
      <c r="EM252" s="1"/>
      <c r="EQ252" s="1"/>
    </row>
    <row r="253" spans="1:147" ht="15.75" customHeight="1">
      <c r="A253" s="1"/>
      <c r="B253" s="1" t="s">
        <v>107</v>
      </c>
      <c r="C253" s="1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f t="shared" si="369"/>
        <v>0</v>
      </c>
      <c r="BG253" s="1">
        <f t="shared" si="370"/>
        <v>0</v>
      </c>
      <c r="BH253" s="1"/>
      <c r="BI253" s="1"/>
      <c r="BJ253" s="1"/>
      <c r="BK253" s="1"/>
      <c r="BL253" s="1"/>
      <c r="BM253" s="1"/>
      <c r="BN253" s="1"/>
      <c r="BO253" s="1"/>
      <c r="BP253" s="1">
        <f t="shared" si="377"/>
        <v>0</v>
      </c>
      <c r="BQ253" s="1"/>
      <c r="BR253" s="1"/>
      <c r="BS253" s="1"/>
      <c r="BT253" s="1"/>
      <c r="BU253" s="1"/>
      <c r="BV253" s="1"/>
      <c r="BW253" s="1"/>
      <c r="BX253" s="3"/>
      <c r="BY253" s="1">
        <f>SUM(BS253:BX253)</f>
        <v>0</v>
      </c>
      <c r="BZ253" s="1">
        <f t="shared" si="378"/>
        <v>0</v>
      </c>
      <c r="CA253" s="1">
        <f t="shared" si="373"/>
        <v>0</v>
      </c>
      <c r="CB253" s="1"/>
      <c r="CC253" s="32"/>
      <c r="CD253" s="32"/>
      <c r="CE253" s="32"/>
      <c r="CF253" s="1"/>
      <c r="CG253" s="32"/>
      <c r="CH253" s="1"/>
      <c r="CI253" s="1"/>
      <c r="CJ253" s="1">
        <f t="shared" si="374"/>
        <v>0</v>
      </c>
      <c r="CK253" s="1">
        <f t="shared" si="379"/>
        <v>0</v>
      </c>
      <c r="CL253" s="32"/>
      <c r="CM253" s="32"/>
      <c r="CN253" s="32"/>
      <c r="CO253" s="32"/>
      <c r="CP253" s="32"/>
      <c r="CQ253" s="1"/>
      <c r="CR253" s="1"/>
      <c r="CS253" s="1"/>
      <c r="CT253" s="5"/>
      <c r="CU253" s="1">
        <f t="shared" si="375"/>
        <v>0</v>
      </c>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W253" s="1">
        <f t="shared" si="376"/>
        <v>0</v>
      </c>
      <c r="DX253" s="1"/>
      <c r="DY253" s="1"/>
      <c r="DZ253" s="1"/>
      <c r="EB253" s="32"/>
      <c r="EC253" s="1"/>
      <c r="ED253" s="1"/>
      <c r="EE253" s="1"/>
      <c r="EF253" s="1"/>
      <c r="EG253" s="1"/>
      <c r="EI253">
        <v>12</v>
      </c>
      <c r="EL253" s="1"/>
      <c r="EM253" s="1"/>
      <c r="EQ253" s="1"/>
    </row>
    <row r="254" spans="1:147" ht="15.75" customHeight="1">
      <c r="A254" s="11"/>
      <c r="B254" s="11" t="s">
        <v>1332</v>
      </c>
      <c r="C254" s="11"/>
      <c r="D254" s="12">
        <f t="shared" ref="D254:BA254" si="380">SUM(D236:D253)</f>
        <v>303559</v>
      </c>
      <c r="E254" s="12">
        <f t="shared" si="380"/>
        <v>66533</v>
      </c>
      <c r="F254" s="12">
        <f t="shared" si="380"/>
        <v>0</v>
      </c>
      <c r="G254" s="12">
        <f t="shared" si="380"/>
        <v>41730</v>
      </c>
      <c r="H254" s="12">
        <f t="shared" si="380"/>
        <v>0</v>
      </c>
      <c r="I254" s="12">
        <f t="shared" si="380"/>
        <v>0</v>
      </c>
      <c r="J254" s="12">
        <f t="shared" si="380"/>
        <v>53356</v>
      </c>
      <c r="K254" s="12">
        <f t="shared" si="380"/>
        <v>0</v>
      </c>
      <c r="L254" s="12">
        <f>SUM(L236:L253)</f>
        <v>0</v>
      </c>
      <c r="M254" s="12">
        <f t="shared" si="380"/>
        <v>39153</v>
      </c>
      <c r="N254" s="12">
        <f>SUM(N236:N253)</f>
        <v>0</v>
      </c>
      <c r="O254" s="12">
        <f t="shared" si="380"/>
        <v>0</v>
      </c>
      <c r="P254" s="12">
        <f t="shared" si="380"/>
        <v>0</v>
      </c>
      <c r="Q254" s="12">
        <f t="shared" si="380"/>
        <v>0</v>
      </c>
      <c r="R254" s="12">
        <f t="shared" si="380"/>
        <v>0</v>
      </c>
      <c r="S254" s="12">
        <f t="shared" si="380"/>
        <v>28510</v>
      </c>
      <c r="T254" s="12">
        <f t="shared" si="380"/>
        <v>0</v>
      </c>
      <c r="U254" s="12">
        <f t="shared" si="380"/>
        <v>56191</v>
      </c>
      <c r="V254" s="12">
        <f t="shared" si="380"/>
        <v>0</v>
      </c>
      <c r="W254" s="12">
        <f t="shared" si="380"/>
        <v>0</v>
      </c>
      <c r="X254" s="12">
        <f>SUM(X236:X253)</f>
        <v>326137</v>
      </c>
      <c r="Y254" s="12">
        <f t="shared" si="380"/>
        <v>0</v>
      </c>
      <c r="Z254" s="12">
        <f t="shared" si="380"/>
        <v>0</v>
      </c>
      <c r="AA254" s="12">
        <f t="shared" si="380"/>
        <v>0</v>
      </c>
      <c r="AB254" s="12">
        <f>SUM(AB236:AB253)</f>
        <v>118373</v>
      </c>
      <c r="AC254" s="12">
        <f t="shared" si="380"/>
        <v>0</v>
      </c>
      <c r="AD254" s="12">
        <f t="shared" si="380"/>
        <v>0</v>
      </c>
      <c r="AE254" s="12">
        <f t="shared" si="380"/>
        <v>0</v>
      </c>
      <c r="AF254" s="12">
        <f t="shared" si="380"/>
        <v>0</v>
      </c>
      <c r="AG254" s="12">
        <f t="shared" si="380"/>
        <v>0</v>
      </c>
      <c r="AH254" s="12">
        <f t="shared" si="380"/>
        <v>0</v>
      </c>
      <c r="AI254" s="12">
        <f t="shared" si="380"/>
        <v>0</v>
      </c>
      <c r="AJ254" s="12">
        <f t="shared" si="380"/>
        <v>0</v>
      </c>
      <c r="AK254" s="12">
        <f t="shared" si="380"/>
        <v>31785</v>
      </c>
      <c r="AL254" s="12">
        <f t="shared" ref="AL254:AQ254" si="381">SUM(AL236:AL253)</f>
        <v>0</v>
      </c>
      <c r="AM254" s="12">
        <f t="shared" si="381"/>
        <v>0</v>
      </c>
      <c r="AN254" s="12">
        <f t="shared" si="381"/>
        <v>0</v>
      </c>
      <c r="AO254" s="12">
        <f t="shared" si="381"/>
        <v>0</v>
      </c>
      <c r="AP254" s="12">
        <f t="shared" si="381"/>
        <v>0</v>
      </c>
      <c r="AQ254" s="12">
        <f t="shared" si="381"/>
        <v>0</v>
      </c>
      <c r="AR254" s="12">
        <f t="shared" si="380"/>
        <v>81827</v>
      </c>
      <c r="AS254" s="12">
        <f t="shared" si="380"/>
        <v>0</v>
      </c>
      <c r="AT254" s="12">
        <f>SUM(AT236:AT253)</f>
        <v>0</v>
      </c>
      <c r="AU254" s="12">
        <f t="shared" si="380"/>
        <v>0</v>
      </c>
      <c r="AV254" s="12">
        <f t="shared" si="380"/>
        <v>0</v>
      </c>
      <c r="AW254" s="12"/>
      <c r="AX254" s="12">
        <f t="shared" si="380"/>
        <v>0</v>
      </c>
      <c r="AY254" s="12">
        <f t="shared" si="380"/>
        <v>0</v>
      </c>
      <c r="AZ254" s="12">
        <f t="shared" si="380"/>
        <v>0</v>
      </c>
      <c r="BA254" s="12">
        <f t="shared" si="380"/>
        <v>0</v>
      </c>
      <c r="BB254" s="12">
        <f>SUM(BB236:BB253)</f>
        <v>36036</v>
      </c>
      <c r="BC254" s="12">
        <f>SUM(BC236:BC253)</f>
        <v>0</v>
      </c>
      <c r="BD254" s="12">
        <f>SUM(BD236:BD253)</f>
        <v>0</v>
      </c>
      <c r="BE254" s="1"/>
      <c r="BF254" s="12">
        <f t="shared" ref="BF254:BN254" si="382">SUM(BF236:BF253)</f>
        <v>879631</v>
      </c>
      <c r="BG254" s="12">
        <f t="shared" si="382"/>
        <v>517458</v>
      </c>
      <c r="BH254" s="12">
        <f t="shared" si="382"/>
        <v>0</v>
      </c>
      <c r="BI254" s="12">
        <f>SUM(BI236:BI253)</f>
        <v>0</v>
      </c>
      <c r="BJ254" s="12">
        <f t="shared" si="382"/>
        <v>0</v>
      </c>
      <c r="BK254" s="12">
        <f t="shared" si="382"/>
        <v>0</v>
      </c>
      <c r="BL254" s="12">
        <f>SUM(BL236:BL253)</f>
        <v>0</v>
      </c>
      <c r="BM254" s="12">
        <f>SUM(BM236:BM253)</f>
        <v>0</v>
      </c>
      <c r="BN254" s="12">
        <f t="shared" si="382"/>
        <v>0</v>
      </c>
      <c r="BO254" s="1"/>
      <c r="BP254" s="12">
        <f t="shared" ref="BP254:BW254" si="383">SUM(BP236:BP253)</f>
        <v>0</v>
      </c>
      <c r="BQ254" s="12">
        <f t="shared" si="383"/>
        <v>0</v>
      </c>
      <c r="BR254" s="12">
        <f t="shared" si="383"/>
        <v>0</v>
      </c>
      <c r="BS254" s="12">
        <f t="shared" si="383"/>
        <v>0</v>
      </c>
      <c r="BT254" s="12">
        <f t="shared" si="383"/>
        <v>0</v>
      </c>
      <c r="BU254" s="12">
        <f t="shared" si="383"/>
        <v>0</v>
      </c>
      <c r="BV254" s="12">
        <f>SUM(BV236:BV253)</f>
        <v>0</v>
      </c>
      <c r="BW254" s="12">
        <f t="shared" si="383"/>
        <v>147129</v>
      </c>
      <c r="BX254" s="3"/>
      <c r="BY254" s="12">
        <f t="shared" ref="BY254:CH254" si="384">SUM(BY236:BY253)</f>
        <v>147129</v>
      </c>
      <c r="BZ254" s="12">
        <f t="shared" si="384"/>
        <v>147129</v>
      </c>
      <c r="CA254" s="12"/>
      <c r="CB254" s="12"/>
      <c r="CC254" s="12">
        <f t="shared" si="384"/>
        <v>0</v>
      </c>
      <c r="CD254" s="12">
        <f t="shared" si="384"/>
        <v>0</v>
      </c>
      <c r="CE254" s="12">
        <f t="shared" si="384"/>
        <v>0</v>
      </c>
      <c r="CF254" s="12">
        <f t="shared" si="384"/>
        <v>94684</v>
      </c>
      <c r="CG254" s="12">
        <f t="shared" si="384"/>
        <v>6344</v>
      </c>
      <c r="CH254" s="12">
        <f t="shared" si="384"/>
        <v>0</v>
      </c>
      <c r="CI254" s="1"/>
      <c r="CJ254" s="12">
        <f t="shared" ref="CJ254:CR254" si="385">SUM(CJ236:CJ253)</f>
        <v>101028</v>
      </c>
      <c r="CK254" s="12">
        <f t="shared" si="385"/>
        <v>94684</v>
      </c>
      <c r="CL254" s="12">
        <f t="shared" si="385"/>
        <v>0</v>
      </c>
      <c r="CM254" s="12">
        <f t="shared" si="385"/>
        <v>0</v>
      </c>
      <c r="CN254" s="12">
        <f t="shared" si="385"/>
        <v>0</v>
      </c>
      <c r="CO254" s="12">
        <f t="shared" si="385"/>
        <v>0</v>
      </c>
      <c r="CP254" s="12">
        <f t="shared" si="385"/>
        <v>51558</v>
      </c>
      <c r="CQ254" s="12">
        <f t="shared" si="385"/>
        <v>0</v>
      </c>
      <c r="CR254" s="12">
        <f t="shared" si="385"/>
        <v>618237</v>
      </c>
      <c r="CS254" s="1"/>
      <c r="CT254" s="5"/>
      <c r="CU254" s="12">
        <f>SUM(CU236:CU253)</f>
        <v>669795</v>
      </c>
      <c r="CW254" s="12">
        <f>SUM(CW236:CW253)</f>
        <v>0</v>
      </c>
      <c r="CX254" s="12">
        <f t="shared" ref="CX254:DT254" si="386">SUM(CX236:CX253)</f>
        <v>0</v>
      </c>
      <c r="CY254" s="12">
        <f t="shared" si="386"/>
        <v>0</v>
      </c>
      <c r="CZ254" s="12">
        <f t="shared" si="386"/>
        <v>0</v>
      </c>
      <c r="DA254" s="12">
        <f t="shared" si="386"/>
        <v>0</v>
      </c>
      <c r="DB254" s="12">
        <f t="shared" si="386"/>
        <v>0</v>
      </c>
      <c r="DC254" s="12">
        <f t="shared" si="386"/>
        <v>0</v>
      </c>
      <c r="DD254" s="12">
        <f t="shared" si="386"/>
        <v>0</v>
      </c>
      <c r="DE254" s="12">
        <f t="shared" si="386"/>
        <v>0</v>
      </c>
      <c r="DF254" s="12">
        <f t="shared" si="386"/>
        <v>0</v>
      </c>
      <c r="DG254" s="12">
        <f t="shared" si="386"/>
        <v>0</v>
      </c>
      <c r="DH254" s="12">
        <f t="shared" si="386"/>
        <v>0</v>
      </c>
      <c r="DI254" s="12">
        <f t="shared" si="386"/>
        <v>0</v>
      </c>
      <c r="DJ254" s="12">
        <f t="shared" si="386"/>
        <v>0</v>
      </c>
      <c r="DK254" s="12">
        <f t="shared" si="386"/>
        <v>0</v>
      </c>
      <c r="DL254" s="12">
        <f t="shared" si="386"/>
        <v>0</v>
      </c>
      <c r="DM254" s="12">
        <f t="shared" si="386"/>
        <v>0</v>
      </c>
      <c r="DN254" s="12">
        <f t="shared" si="386"/>
        <v>0</v>
      </c>
      <c r="DO254" s="12">
        <f t="shared" si="386"/>
        <v>0</v>
      </c>
      <c r="DP254" s="12">
        <f t="shared" si="386"/>
        <v>0</v>
      </c>
      <c r="DQ254" s="12">
        <f t="shared" si="386"/>
        <v>0</v>
      </c>
      <c r="DR254" s="12">
        <f t="shared" si="386"/>
        <v>0</v>
      </c>
      <c r="DS254" s="12">
        <f t="shared" si="386"/>
        <v>0</v>
      </c>
      <c r="DT254" s="12">
        <f t="shared" si="386"/>
        <v>0</v>
      </c>
      <c r="DW254" s="1">
        <f>SUM(DW236:DW253)</f>
        <v>0</v>
      </c>
      <c r="DX254" s="1"/>
      <c r="DY254" s="1">
        <f>SUM(DY236:DY253)</f>
        <v>0</v>
      </c>
      <c r="DZ254" s="1"/>
      <c r="EB254" s="12">
        <f>SUM(EB236:EB253)</f>
        <v>0</v>
      </c>
      <c r="EC254" s="1"/>
      <c r="ED254" s="1"/>
      <c r="EE254" s="1"/>
      <c r="EF254" s="12">
        <f>SUM(EF236:EF253)</f>
        <v>0</v>
      </c>
      <c r="EG254" s="1"/>
      <c r="EL254" s="12">
        <f>SUM(EL236:EL253)</f>
        <v>0</v>
      </c>
      <c r="EM254" s="12">
        <f>SUM(EM236:EM253)</f>
        <v>0</v>
      </c>
      <c r="EQ254" s="12">
        <f>SUM(EQ236:EQ253)</f>
        <v>0</v>
      </c>
    </row>
    <row r="255" spans="1:147" ht="15.75" customHeight="1">
      <c r="A255" s="3"/>
      <c r="B255" s="3" t="s">
        <v>548</v>
      </c>
      <c r="C255" s="3"/>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3"/>
      <c r="BY255" s="1"/>
      <c r="BZ255" s="1"/>
      <c r="CA255" s="1"/>
      <c r="CB255" s="1"/>
      <c r="CC255" s="1"/>
      <c r="CD255" s="1"/>
      <c r="CE255" s="1"/>
      <c r="CF255" s="1"/>
      <c r="CG255" s="1"/>
      <c r="CH255" s="1"/>
      <c r="CI255" s="1"/>
      <c r="CJ255" s="1"/>
      <c r="CK255" s="1"/>
      <c r="CL255" s="1"/>
      <c r="CM255" s="1"/>
      <c r="CN255" s="1"/>
      <c r="CO255" s="1"/>
      <c r="CP255" s="1"/>
      <c r="CQ255" s="1"/>
      <c r="CR255" s="1"/>
      <c r="CS255" s="1"/>
      <c r="CT255" s="5"/>
      <c r="CU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W255" s="1"/>
      <c r="DX255" s="1"/>
      <c r="DY255" s="1"/>
      <c r="DZ255" s="1"/>
      <c r="EB255" s="1"/>
      <c r="EC255" s="1"/>
      <c r="ED255" s="1"/>
      <c r="EE255" s="1"/>
      <c r="EF255" s="1"/>
      <c r="EG255" s="1"/>
      <c r="EL255" s="1"/>
      <c r="EM255" s="1"/>
      <c r="EQ255" s="1"/>
    </row>
    <row r="256" spans="1:147" ht="15.75" customHeight="1">
      <c r="A256" s="1"/>
      <c r="B256" s="1" t="s">
        <v>777</v>
      </c>
      <c r="C256" s="11"/>
      <c r="D256" s="32">
        <v>111077</v>
      </c>
      <c r="E256" s="1"/>
      <c r="F256" s="1"/>
      <c r="G256" s="1"/>
      <c r="H256" s="1"/>
      <c r="I256" s="1"/>
      <c r="J256" s="32">
        <v>301601</v>
      </c>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f>SUM(E256:BE256)</f>
        <v>301601</v>
      </c>
      <c r="BG256" s="1">
        <f t="shared" ref="BG256:BG257" si="387">+BF256-X256-P256-BB256-BC256</f>
        <v>301601</v>
      </c>
      <c r="BH256" s="1"/>
      <c r="BI256" s="1"/>
      <c r="BJ256" s="1"/>
      <c r="BK256" s="1"/>
      <c r="BL256" s="1"/>
      <c r="BM256" s="1"/>
      <c r="BN256" s="1"/>
      <c r="BO256" s="1"/>
      <c r="BP256" s="1">
        <f>SUM(BH256:BN256)</f>
        <v>0</v>
      </c>
      <c r="BQ256" s="1">
        <f>+BP256-BN256</f>
        <v>0</v>
      </c>
      <c r="BR256" s="1"/>
      <c r="BS256" s="1"/>
      <c r="BT256" s="1"/>
      <c r="BU256" s="1"/>
      <c r="BV256" s="1"/>
      <c r="BW256" s="1"/>
      <c r="BX256" s="3"/>
      <c r="BY256" s="1">
        <f>SUM(BR256:BX256)</f>
        <v>0</v>
      </c>
      <c r="BZ256" s="1">
        <f>+BY256-BR256-BV256-BW256</f>
        <v>0</v>
      </c>
      <c r="CA256" s="1">
        <f>+BG256+BQ256+BZ256+EF256</f>
        <v>301601</v>
      </c>
      <c r="CB256" s="1"/>
      <c r="CC256" s="1"/>
      <c r="CD256" s="1"/>
      <c r="CE256" s="1"/>
      <c r="CF256" s="1"/>
      <c r="CG256" s="134">
        <v>13572</v>
      </c>
      <c r="CH256" s="1"/>
      <c r="CI256" s="1"/>
      <c r="CJ256" s="1">
        <f>SUM(CB256:CI256)</f>
        <v>13572</v>
      </c>
      <c r="CK256" s="1">
        <f>+CJ256-CB256-CC256-CG256</f>
        <v>0</v>
      </c>
      <c r="CL256" s="1"/>
      <c r="CM256" s="1"/>
      <c r="CN256" s="148">
        <v>12744</v>
      </c>
      <c r="CO256" s="148">
        <v>46336</v>
      </c>
      <c r="CP256" s="1"/>
      <c r="CQ256" s="1"/>
      <c r="CR256" s="1"/>
      <c r="CS256" s="1"/>
      <c r="CT256" s="5"/>
      <c r="CU256" s="1">
        <f>SUM(CL256:CT256)</f>
        <v>59080</v>
      </c>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W256" s="1">
        <f>SUM(CX256:DV256)</f>
        <v>0</v>
      </c>
      <c r="DX256" s="1"/>
      <c r="DY256" s="1"/>
      <c r="DZ256" s="1"/>
      <c r="EB256" s="1"/>
      <c r="EC256" s="1"/>
      <c r="ED256" s="1"/>
      <c r="EE256" s="1"/>
      <c r="EF256" s="1"/>
      <c r="EG256" s="1"/>
      <c r="EI256" t="s">
        <v>918</v>
      </c>
      <c r="EJ256" t="s">
        <v>1169</v>
      </c>
      <c r="EL256" s="1"/>
      <c r="EM256" s="1"/>
      <c r="EQ256" s="1"/>
    </row>
    <row r="257" spans="1:147" ht="15.75" customHeight="1">
      <c r="A257" s="1"/>
      <c r="B257" s="1" t="s">
        <v>717</v>
      </c>
      <c r="C257" s="11"/>
      <c r="D257" s="1"/>
      <c r="E257" s="1"/>
      <c r="F257" s="1"/>
      <c r="G257" s="1"/>
      <c r="H257" s="1"/>
      <c r="I257" s="1"/>
      <c r="J257" s="1"/>
      <c r="K257" s="1"/>
      <c r="L257" s="1"/>
      <c r="M257" s="1"/>
      <c r="N257" s="1"/>
      <c r="O257" s="1"/>
      <c r="P257" s="1"/>
      <c r="Q257" s="1"/>
      <c r="R257" s="1"/>
      <c r="S257" s="1"/>
      <c r="T257" s="1"/>
      <c r="U257" s="32">
        <v>66255</v>
      </c>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f>SUM(E257:BE257)</f>
        <v>66255</v>
      </c>
      <c r="BG257" s="1">
        <f t="shared" si="387"/>
        <v>66255</v>
      </c>
      <c r="BH257" s="1"/>
      <c r="BI257" s="1"/>
      <c r="BJ257" s="1"/>
      <c r="BK257" s="1"/>
      <c r="BL257" s="1"/>
      <c r="BM257" s="1"/>
      <c r="BN257" s="1"/>
      <c r="BO257" s="1"/>
      <c r="BP257" s="1">
        <f>SUM(BH257:BN257)</f>
        <v>0</v>
      </c>
      <c r="BQ257" s="1">
        <f>+BP257-BN257</f>
        <v>0</v>
      </c>
      <c r="BR257" s="1"/>
      <c r="BS257" s="1"/>
      <c r="BT257" s="1"/>
      <c r="BU257" s="1"/>
      <c r="BV257" s="1"/>
      <c r="BW257" s="1"/>
      <c r="BX257" s="3"/>
      <c r="BY257" s="1">
        <f>SUM(BR257:BX257)</f>
        <v>0</v>
      </c>
      <c r="BZ257" s="1">
        <f>+BY257-BR257-BV257-BW257</f>
        <v>0</v>
      </c>
      <c r="CA257" s="1">
        <f>+BG257+BQ257+BZ257+EF257</f>
        <v>66255</v>
      </c>
      <c r="CB257" s="82"/>
      <c r="CC257" s="1"/>
      <c r="CD257" s="1"/>
      <c r="CE257" s="1"/>
      <c r="CF257" s="1"/>
      <c r="CG257" s="1"/>
      <c r="CH257" s="1"/>
      <c r="CI257" s="1"/>
      <c r="CJ257" s="1">
        <f>SUM(CB257:CI257)</f>
        <v>0</v>
      </c>
      <c r="CK257" s="1">
        <f>+CJ257-CB257-CC257-CG257</f>
        <v>0</v>
      </c>
      <c r="CL257" s="1"/>
      <c r="CM257" s="1"/>
      <c r="CN257" s="1"/>
      <c r="CO257" s="1"/>
      <c r="CP257" s="1"/>
      <c r="CQ257" s="1"/>
      <c r="CR257" s="1"/>
      <c r="CS257" s="1"/>
      <c r="CT257" s="5"/>
      <c r="CU257" s="1">
        <f>SUM(CL257:CT257)</f>
        <v>0</v>
      </c>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W257" s="1">
        <f>SUM(CX257:DV257)</f>
        <v>0</v>
      </c>
      <c r="DX257" s="1"/>
      <c r="DY257" s="1"/>
      <c r="DZ257" s="1"/>
      <c r="EB257" s="134">
        <v>0</v>
      </c>
      <c r="EC257" s="253" t="s">
        <v>2977</v>
      </c>
      <c r="ED257" s="1"/>
      <c r="EE257" s="1"/>
      <c r="EF257" s="1"/>
      <c r="EG257" s="1"/>
      <c r="EI257" t="s">
        <v>919</v>
      </c>
      <c r="EJ257" t="s">
        <v>1169</v>
      </c>
      <c r="EL257" s="1"/>
      <c r="EM257" s="1"/>
      <c r="EQ257" s="1"/>
    </row>
    <row r="258" spans="1:147" ht="15.75" customHeight="1">
      <c r="A258" s="11"/>
      <c r="B258" s="11" t="s">
        <v>1254</v>
      </c>
      <c r="C258" s="11"/>
      <c r="D258" s="12">
        <f t="shared" ref="D258:P258" si="388">D256+D257</f>
        <v>111077</v>
      </c>
      <c r="E258" s="12">
        <f t="shared" si="388"/>
        <v>0</v>
      </c>
      <c r="F258" s="12">
        <f t="shared" si="388"/>
        <v>0</v>
      </c>
      <c r="G258" s="12">
        <f t="shared" si="388"/>
        <v>0</v>
      </c>
      <c r="H258" s="12">
        <f t="shared" si="388"/>
        <v>0</v>
      </c>
      <c r="I258" s="12">
        <f t="shared" si="388"/>
        <v>0</v>
      </c>
      <c r="J258" s="12">
        <f t="shared" si="388"/>
        <v>301601</v>
      </c>
      <c r="K258" s="12">
        <f t="shared" si="388"/>
        <v>0</v>
      </c>
      <c r="L258" s="12">
        <f>L256+L257</f>
        <v>0</v>
      </c>
      <c r="M258" s="12">
        <f t="shared" si="388"/>
        <v>0</v>
      </c>
      <c r="N258" s="12">
        <f>N256+N257</f>
        <v>0</v>
      </c>
      <c r="O258" s="12">
        <f t="shared" si="388"/>
        <v>0</v>
      </c>
      <c r="P258" s="12">
        <f t="shared" si="388"/>
        <v>0</v>
      </c>
      <c r="Q258" s="12">
        <f t="shared" ref="Q258:Y258" si="389">Q256+Q257</f>
        <v>0</v>
      </c>
      <c r="R258" s="12">
        <f t="shared" si="389"/>
        <v>0</v>
      </c>
      <c r="S258" s="12">
        <f t="shared" si="389"/>
        <v>0</v>
      </c>
      <c r="T258" s="12">
        <f t="shared" si="389"/>
        <v>0</v>
      </c>
      <c r="U258" s="12">
        <f t="shared" si="389"/>
        <v>66255</v>
      </c>
      <c r="V258" s="12">
        <f t="shared" si="389"/>
        <v>0</v>
      </c>
      <c r="W258" s="12">
        <f t="shared" si="389"/>
        <v>0</v>
      </c>
      <c r="X258" s="12">
        <f t="shared" si="389"/>
        <v>0</v>
      </c>
      <c r="Y258" s="12">
        <f t="shared" si="389"/>
        <v>0</v>
      </c>
      <c r="Z258" s="12">
        <f t="shared" ref="Z258:AS258" si="390">Z256+Z257</f>
        <v>0</v>
      </c>
      <c r="AA258" s="12">
        <f t="shared" si="390"/>
        <v>0</v>
      </c>
      <c r="AB258" s="12">
        <f>AB256+AB257</f>
        <v>0</v>
      </c>
      <c r="AC258" s="12">
        <f t="shared" si="390"/>
        <v>0</v>
      </c>
      <c r="AD258" s="12">
        <f t="shared" si="390"/>
        <v>0</v>
      </c>
      <c r="AE258" s="1">
        <f t="shared" si="390"/>
        <v>0</v>
      </c>
      <c r="AF258" s="12">
        <f t="shared" si="390"/>
        <v>0</v>
      </c>
      <c r="AG258" s="12">
        <f t="shared" si="390"/>
        <v>0</v>
      </c>
      <c r="AH258" s="12">
        <f t="shared" si="390"/>
        <v>0</v>
      </c>
      <c r="AI258" s="1">
        <f t="shared" si="390"/>
        <v>0</v>
      </c>
      <c r="AJ258" s="1">
        <f t="shared" si="390"/>
        <v>0</v>
      </c>
      <c r="AK258" s="12">
        <f t="shared" si="390"/>
        <v>0</v>
      </c>
      <c r="AL258" s="12">
        <f t="shared" ref="AL258:AQ258" si="391">AL256+AL257</f>
        <v>0</v>
      </c>
      <c r="AM258" s="12">
        <f t="shared" si="391"/>
        <v>0</v>
      </c>
      <c r="AN258" s="12">
        <f t="shared" si="391"/>
        <v>0</v>
      </c>
      <c r="AO258" s="12">
        <f t="shared" si="391"/>
        <v>0</v>
      </c>
      <c r="AP258" s="12">
        <f t="shared" si="391"/>
        <v>0</v>
      </c>
      <c r="AQ258" s="12">
        <f t="shared" si="391"/>
        <v>0</v>
      </c>
      <c r="AR258" s="12">
        <f t="shared" si="390"/>
        <v>0</v>
      </c>
      <c r="AS258" s="1">
        <f t="shared" si="390"/>
        <v>0</v>
      </c>
      <c r="AT258" s="1">
        <f>AT256+AT257</f>
        <v>0</v>
      </c>
      <c r="AU258" s="12">
        <f t="shared" ref="AU258:BA258" si="392">AU256+AU257</f>
        <v>0</v>
      </c>
      <c r="AV258" s="1">
        <f t="shared" si="392"/>
        <v>0</v>
      </c>
      <c r="AW258" s="1"/>
      <c r="AX258" s="1">
        <f t="shared" si="392"/>
        <v>0</v>
      </c>
      <c r="AY258" s="12">
        <f t="shared" si="392"/>
        <v>0</v>
      </c>
      <c r="AZ258" s="1">
        <f t="shared" si="392"/>
        <v>0</v>
      </c>
      <c r="BA258" s="1">
        <f t="shared" si="392"/>
        <v>0</v>
      </c>
      <c r="BB258" s="1">
        <f>BB256+BB257</f>
        <v>0</v>
      </c>
      <c r="BC258" s="12">
        <f>BC256+BC257</f>
        <v>0</v>
      </c>
      <c r="BD258" s="12">
        <f>BD256+BD257</f>
        <v>0</v>
      </c>
      <c r="BE258" s="1"/>
      <c r="BF258" s="12">
        <f t="shared" ref="BF258:BN258" si="393">BF256+BF257</f>
        <v>367856</v>
      </c>
      <c r="BG258" s="12">
        <f t="shared" si="393"/>
        <v>367856</v>
      </c>
      <c r="BH258" s="12">
        <f t="shared" si="393"/>
        <v>0</v>
      </c>
      <c r="BI258" s="12">
        <f>BI256+BI257</f>
        <v>0</v>
      </c>
      <c r="BJ258" s="12">
        <f t="shared" si="393"/>
        <v>0</v>
      </c>
      <c r="BK258" s="12">
        <f t="shared" si="393"/>
        <v>0</v>
      </c>
      <c r="BL258" s="12">
        <f>BL256+BL257</f>
        <v>0</v>
      </c>
      <c r="BM258" s="12">
        <f>BM256+BM257</f>
        <v>0</v>
      </c>
      <c r="BN258" s="12">
        <f t="shared" si="393"/>
        <v>0</v>
      </c>
      <c r="BO258" s="1"/>
      <c r="BP258" s="12">
        <f t="shared" ref="BP258:BW258" si="394">BP256+BP257</f>
        <v>0</v>
      </c>
      <c r="BQ258" s="12">
        <f t="shared" si="394"/>
        <v>0</v>
      </c>
      <c r="BR258" s="12">
        <f t="shared" si="394"/>
        <v>0</v>
      </c>
      <c r="BS258" s="12">
        <f t="shared" si="394"/>
        <v>0</v>
      </c>
      <c r="BT258" s="12">
        <f t="shared" si="394"/>
        <v>0</v>
      </c>
      <c r="BU258" s="12">
        <f t="shared" si="394"/>
        <v>0</v>
      </c>
      <c r="BV258" s="12">
        <f>BV256+BV257</f>
        <v>0</v>
      </c>
      <c r="BW258" s="12">
        <f t="shared" si="394"/>
        <v>0</v>
      </c>
      <c r="BX258" s="3"/>
      <c r="BY258" s="12">
        <f t="shared" ref="BY258:CH258" si="395">BY256+BY257</f>
        <v>0</v>
      </c>
      <c r="BZ258" s="12">
        <f t="shared" si="395"/>
        <v>0</v>
      </c>
      <c r="CA258" s="12"/>
      <c r="CB258" s="12"/>
      <c r="CC258" s="12">
        <f t="shared" si="395"/>
        <v>0</v>
      </c>
      <c r="CD258" s="12">
        <f t="shared" si="395"/>
        <v>0</v>
      </c>
      <c r="CE258" s="12">
        <f t="shared" si="395"/>
        <v>0</v>
      </c>
      <c r="CF258" s="12">
        <f t="shared" si="395"/>
        <v>0</v>
      </c>
      <c r="CG258" s="12">
        <f t="shared" si="395"/>
        <v>13572</v>
      </c>
      <c r="CH258" s="12">
        <f t="shared" si="395"/>
        <v>0</v>
      </c>
      <c r="CI258" s="12"/>
      <c r="CJ258" s="12">
        <f t="shared" ref="CJ258:CR258" si="396">CJ256+CJ257</f>
        <v>13572</v>
      </c>
      <c r="CK258" s="12">
        <f t="shared" si="396"/>
        <v>0</v>
      </c>
      <c r="CL258" s="12">
        <f t="shared" si="396"/>
        <v>0</v>
      </c>
      <c r="CM258" s="12">
        <f t="shared" si="396"/>
        <v>0</v>
      </c>
      <c r="CN258" s="12">
        <f t="shared" si="396"/>
        <v>12744</v>
      </c>
      <c r="CO258" s="12">
        <f t="shared" si="396"/>
        <v>46336</v>
      </c>
      <c r="CP258" s="12">
        <f t="shared" si="396"/>
        <v>0</v>
      </c>
      <c r="CQ258" s="12">
        <f t="shared" si="396"/>
        <v>0</v>
      </c>
      <c r="CR258" s="12">
        <f t="shared" si="396"/>
        <v>0</v>
      </c>
      <c r="CS258" s="1"/>
      <c r="CT258" s="5"/>
      <c r="CU258" s="12">
        <f>CU256+CU257</f>
        <v>59080</v>
      </c>
      <c r="CW258" s="12">
        <f>CW256+CW257</f>
        <v>0</v>
      </c>
      <c r="CX258" s="12">
        <f t="shared" ref="CX258:DT258" si="397">CX256+CX257</f>
        <v>0</v>
      </c>
      <c r="CY258" s="12">
        <f t="shared" si="397"/>
        <v>0</v>
      </c>
      <c r="CZ258" s="12">
        <f t="shared" si="397"/>
        <v>0</v>
      </c>
      <c r="DA258" s="12">
        <f t="shared" si="397"/>
        <v>0</v>
      </c>
      <c r="DB258" s="12">
        <f t="shared" si="397"/>
        <v>0</v>
      </c>
      <c r="DC258" s="12">
        <f t="shared" si="397"/>
        <v>0</v>
      </c>
      <c r="DD258" s="12">
        <f t="shared" si="397"/>
        <v>0</v>
      </c>
      <c r="DE258" s="12">
        <f t="shared" si="397"/>
        <v>0</v>
      </c>
      <c r="DF258" s="12">
        <f t="shared" si="397"/>
        <v>0</v>
      </c>
      <c r="DG258" s="12">
        <f t="shared" si="397"/>
        <v>0</v>
      </c>
      <c r="DH258" s="12">
        <f t="shared" si="397"/>
        <v>0</v>
      </c>
      <c r="DI258" s="12">
        <f t="shared" si="397"/>
        <v>0</v>
      </c>
      <c r="DJ258" s="12">
        <f t="shared" si="397"/>
        <v>0</v>
      </c>
      <c r="DK258" s="12">
        <f t="shared" si="397"/>
        <v>0</v>
      </c>
      <c r="DL258" s="12">
        <f t="shared" si="397"/>
        <v>0</v>
      </c>
      <c r="DM258" s="12">
        <f t="shared" si="397"/>
        <v>0</v>
      </c>
      <c r="DN258" s="12">
        <f t="shared" si="397"/>
        <v>0</v>
      </c>
      <c r="DO258" s="12">
        <f t="shared" si="397"/>
        <v>0</v>
      </c>
      <c r="DP258" s="12">
        <f t="shared" si="397"/>
        <v>0</v>
      </c>
      <c r="DQ258" s="12">
        <f t="shared" si="397"/>
        <v>0</v>
      </c>
      <c r="DR258" s="12">
        <f t="shared" si="397"/>
        <v>0</v>
      </c>
      <c r="DS258" s="12">
        <f t="shared" si="397"/>
        <v>0</v>
      </c>
      <c r="DT258" s="12">
        <f t="shared" si="397"/>
        <v>0</v>
      </c>
      <c r="DW258" s="1">
        <f>DW256+DW257</f>
        <v>0</v>
      </c>
      <c r="DX258" s="1"/>
      <c r="DY258" s="1">
        <f>DY256+DY257</f>
        <v>0</v>
      </c>
      <c r="DZ258" s="1"/>
      <c r="EB258" s="12">
        <f>EB256+EB257</f>
        <v>0</v>
      </c>
      <c r="EC258" s="253"/>
      <c r="ED258" s="1"/>
      <c r="EE258" s="12"/>
      <c r="EF258" s="12">
        <f>EF256+EF257</f>
        <v>0</v>
      </c>
      <c r="EG258" s="1"/>
      <c r="EL258" s="12">
        <f>EL256+EL257</f>
        <v>0</v>
      </c>
      <c r="EM258" s="12">
        <f>EM256+EM257</f>
        <v>0</v>
      </c>
      <c r="EQ258" s="12">
        <f>EQ256+EQ257</f>
        <v>0</v>
      </c>
    </row>
    <row r="259" spans="1:147" ht="15.75" customHeight="1">
      <c r="A259" s="1"/>
      <c r="B259" s="11"/>
      <c r="C259" s="1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3"/>
      <c r="BY259" s="1"/>
      <c r="BZ259" s="1"/>
      <c r="CA259" s="1"/>
      <c r="CB259" s="1"/>
      <c r="CC259" s="1"/>
      <c r="CD259" s="1"/>
      <c r="CE259" s="1"/>
      <c r="CF259" s="1"/>
      <c r="CG259" s="1"/>
      <c r="CH259" s="1"/>
      <c r="CI259" s="1"/>
      <c r="CJ259" s="1"/>
      <c r="CK259" s="1"/>
      <c r="CL259" s="1"/>
      <c r="CM259" s="1"/>
      <c r="CN259" s="1"/>
      <c r="CO259" s="1"/>
      <c r="CP259" s="1"/>
      <c r="CQ259" s="1"/>
      <c r="CR259" s="1"/>
      <c r="CS259" s="1"/>
      <c r="CT259" s="5"/>
      <c r="CU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W259" s="1"/>
      <c r="DX259" s="1"/>
      <c r="DY259" s="1"/>
      <c r="DZ259" s="1"/>
      <c r="EB259" s="1"/>
      <c r="EC259" s="1"/>
      <c r="ED259" s="1"/>
      <c r="EE259" s="1"/>
      <c r="EF259" s="1"/>
      <c r="EG259" s="1"/>
      <c r="EL259" s="1"/>
      <c r="EM259" s="1"/>
      <c r="EQ259" s="1"/>
    </row>
    <row r="260" spans="1:147" ht="15.75" customHeight="1">
      <c r="A260" s="1"/>
      <c r="B260" s="89" t="s">
        <v>2648</v>
      </c>
      <c r="C260" s="1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3"/>
      <c r="BY260" s="1"/>
      <c r="BZ260" s="1"/>
      <c r="CA260" s="1"/>
      <c r="CB260" s="1"/>
      <c r="CC260" s="1"/>
      <c r="CD260" s="1"/>
      <c r="CE260" s="1"/>
      <c r="CF260" s="1"/>
      <c r="CG260" s="1"/>
      <c r="CH260" s="1"/>
      <c r="CI260" s="1"/>
      <c r="CJ260" s="1"/>
      <c r="CK260" s="1"/>
      <c r="CL260" s="1"/>
      <c r="CM260" s="1"/>
      <c r="CN260" s="1"/>
      <c r="CO260" s="1"/>
      <c r="CP260" s="1"/>
      <c r="CQ260" s="1"/>
      <c r="CR260" s="1"/>
      <c r="CS260" s="1"/>
      <c r="CT260" s="5"/>
      <c r="CU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W260" s="1"/>
      <c r="DX260" s="1"/>
      <c r="DY260" s="1"/>
      <c r="DZ260" s="1"/>
      <c r="EB260" s="1"/>
      <c r="EC260" s="1"/>
      <c r="ED260" s="1"/>
      <c r="EE260" s="1"/>
      <c r="EF260" s="1"/>
      <c r="EG260" s="1"/>
      <c r="EL260" s="1"/>
      <c r="EM260" s="1"/>
      <c r="EQ260" s="1"/>
    </row>
    <row r="261" spans="1:147" ht="15.75" customHeight="1">
      <c r="A261" s="1"/>
      <c r="B261" s="89" t="s">
        <v>2642</v>
      </c>
      <c r="C261" s="1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f>SUM(E261:BE261)</f>
        <v>0</v>
      </c>
      <c r="BG261" s="1">
        <f t="shared" ref="BG261:BG269" si="398">+BF261-X261-P261-BB261-BC261</f>
        <v>0</v>
      </c>
      <c r="BH261" s="1"/>
      <c r="BI261" s="1"/>
      <c r="BJ261" s="1"/>
      <c r="BK261" s="1"/>
      <c r="BL261" s="1"/>
      <c r="BM261" s="1"/>
      <c r="BN261" s="1"/>
      <c r="BO261" s="1"/>
      <c r="BP261" s="1"/>
      <c r="BQ261" s="1">
        <f>+BP261-BN261</f>
        <v>0</v>
      </c>
      <c r="BR261" s="1"/>
      <c r="BS261" s="1"/>
      <c r="BT261" s="1"/>
      <c r="BU261" s="1"/>
      <c r="BV261" s="1"/>
      <c r="BW261" s="1"/>
      <c r="BX261" s="3"/>
      <c r="BY261" s="1">
        <f>SUM(BR261:BX261)</f>
        <v>0</v>
      </c>
      <c r="BZ261" s="1">
        <f t="shared" ref="BZ261:BZ269" si="399">+BY261-BR261-BW261</f>
        <v>0</v>
      </c>
      <c r="CA261" s="1">
        <f t="shared" ref="CA261:CA269" si="400">+BG261+BQ261+BZ261+EF261</f>
        <v>0</v>
      </c>
      <c r="CB261" s="1"/>
      <c r="CC261" s="138"/>
      <c r="CD261" s="1"/>
      <c r="CE261" s="1"/>
      <c r="CF261" s="1"/>
      <c r="CG261" s="138"/>
      <c r="CH261" s="1"/>
      <c r="CI261" s="1"/>
      <c r="CJ261" s="1">
        <f>SUM(CB261:CI261)</f>
        <v>0</v>
      </c>
      <c r="CK261" s="1">
        <f>+CJ261-CB261-CC261-CG261</f>
        <v>0</v>
      </c>
      <c r="CL261" s="1"/>
      <c r="CM261" s="1"/>
      <c r="CN261" s="1"/>
      <c r="CO261" s="1"/>
      <c r="CP261" s="1"/>
      <c r="CQ261" s="1"/>
      <c r="CR261" s="1"/>
      <c r="CS261" s="1"/>
      <c r="CT261" s="5"/>
      <c r="CU261" s="1">
        <f>SUM(CL261:CT261)</f>
        <v>0</v>
      </c>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W261" s="1">
        <f>SUM(CX261:DV261)</f>
        <v>0</v>
      </c>
      <c r="DX261" s="1"/>
      <c r="DY261" s="1"/>
      <c r="DZ261" s="1"/>
      <c r="EB261" s="1"/>
      <c r="EC261" s="1"/>
      <c r="ED261" s="1"/>
      <c r="EE261" s="1"/>
      <c r="EF261" s="1"/>
      <c r="EG261" s="1"/>
      <c r="EL261" s="1"/>
      <c r="EM261" s="1"/>
      <c r="EQ261" s="1"/>
    </row>
    <row r="262" spans="1:147" ht="15.75" customHeight="1">
      <c r="A262" s="1"/>
      <c r="B262" s="89" t="s">
        <v>2643</v>
      </c>
      <c r="C262" s="1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f t="shared" si="398"/>
        <v>0</v>
      </c>
      <c r="BH262" s="1"/>
      <c r="BI262" s="1"/>
      <c r="BJ262" s="1"/>
      <c r="BK262" s="1"/>
      <c r="BL262" s="1"/>
      <c r="BM262" s="1"/>
      <c r="BN262" s="1"/>
      <c r="BO262" s="1"/>
      <c r="BP262" s="1"/>
      <c r="BQ262" s="1"/>
      <c r="BR262" s="1"/>
      <c r="BS262" s="1"/>
      <c r="BT262" s="1"/>
      <c r="BU262" s="1"/>
      <c r="BV262" s="1"/>
      <c r="BW262" s="1"/>
      <c r="BX262" s="3"/>
      <c r="BY262" s="1">
        <f t="shared" ref="BY262:BY267" si="401">SUM(BR262:BX262)</f>
        <v>0</v>
      </c>
      <c r="BZ262" s="1">
        <f t="shared" si="399"/>
        <v>0</v>
      </c>
      <c r="CA262" s="1">
        <f t="shared" si="400"/>
        <v>0</v>
      </c>
      <c r="CB262" s="1"/>
      <c r="CC262" s="138"/>
      <c r="CD262" s="1"/>
      <c r="CE262" s="1"/>
      <c r="CF262" s="1"/>
      <c r="CG262" s="138"/>
      <c r="CH262" s="1"/>
      <c r="CI262" s="1"/>
      <c r="CJ262" s="1">
        <f t="shared" ref="CJ262:CJ267" si="402">SUM(CB262:CI262)</f>
        <v>0</v>
      </c>
      <c r="CK262" s="1">
        <f t="shared" ref="CK262:CK267" si="403">+CJ262-CB262-CC262-CG262</f>
        <v>0</v>
      </c>
      <c r="CL262" s="1"/>
      <c r="CM262" s="1"/>
      <c r="CN262" s="1"/>
      <c r="CO262" s="1"/>
      <c r="CP262" s="1"/>
      <c r="CQ262" s="1"/>
      <c r="CR262" s="1"/>
      <c r="CS262" s="1"/>
      <c r="CT262" s="5"/>
      <c r="CU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W262" s="1"/>
      <c r="DX262" s="1"/>
      <c r="DY262" s="1"/>
      <c r="DZ262" s="1"/>
      <c r="EB262" s="1"/>
      <c r="EC262" s="1"/>
      <c r="ED262" s="1"/>
      <c r="EE262" s="1"/>
      <c r="EF262" s="1"/>
      <c r="EG262" s="1"/>
      <c r="EL262" s="1"/>
      <c r="EM262" s="1"/>
      <c r="EQ262" s="1"/>
    </row>
    <row r="263" spans="1:147" ht="15.75" customHeight="1">
      <c r="A263" s="1"/>
      <c r="B263" s="89" t="s">
        <v>2644</v>
      </c>
      <c r="C263" s="1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f t="shared" si="398"/>
        <v>0</v>
      </c>
      <c r="BH263" s="1"/>
      <c r="BI263" s="1"/>
      <c r="BJ263" s="1"/>
      <c r="BK263" s="1"/>
      <c r="BL263" s="1"/>
      <c r="BM263" s="1"/>
      <c r="BN263" s="1"/>
      <c r="BO263" s="1"/>
      <c r="BP263" s="1"/>
      <c r="BQ263" s="1"/>
      <c r="BR263" s="1"/>
      <c r="BS263" s="1"/>
      <c r="BT263" s="1"/>
      <c r="BU263" s="1"/>
      <c r="BV263" s="1"/>
      <c r="BW263" s="1"/>
      <c r="BX263" s="3"/>
      <c r="BY263" s="1">
        <f t="shared" si="401"/>
        <v>0</v>
      </c>
      <c r="BZ263" s="1">
        <f t="shared" si="399"/>
        <v>0</v>
      </c>
      <c r="CA263" s="1">
        <f t="shared" si="400"/>
        <v>0</v>
      </c>
      <c r="CB263" s="1"/>
      <c r="CC263" s="138"/>
      <c r="CD263" s="1"/>
      <c r="CE263" s="1"/>
      <c r="CF263" s="1"/>
      <c r="CG263" s="138"/>
      <c r="CH263" s="1"/>
      <c r="CI263" s="1"/>
      <c r="CJ263" s="1">
        <f t="shared" si="402"/>
        <v>0</v>
      </c>
      <c r="CK263" s="1">
        <f t="shared" si="403"/>
        <v>0</v>
      </c>
      <c r="CL263" s="1"/>
      <c r="CM263" s="1"/>
      <c r="CN263" s="1"/>
      <c r="CO263" s="1"/>
      <c r="CP263" s="1"/>
      <c r="CQ263" s="1"/>
      <c r="CR263" s="1"/>
      <c r="CS263" s="1"/>
      <c r="CT263" s="5"/>
      <c r="CU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W263" s="1"/>
      <c r="DX263" s="1"/>
      <c r="DY263" s="1"/>
      <c r="DZ263" s="1"/>
      <c r="EB263" s="1"/>
      <c r="EC263" s="1"/>
      <c r="ED263" s="1"/>
      <c r="EE263" s="1"/>
      <c r="EF263" s="1"/>
      <c r="EG263" s="1"/>
      <c r="EL263" s="1"/>
      <c r="EM263" s="1"/>
      <c r="EQ263" s="1"/>
    </row>
    <row r="264" spans="1:147" ht="15.75" customHeight="1">
      <c r="A264" s="1"/>
      <c r="B264" s="11"/>
      <c r="C264" s="1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f t="shared" si="398"/>
        <v>0</v>
      </c>
      <c r="BH264" s="1"/>
      <c r="BI264" s="1"/>
      <c r="BJ264" s="1"/>
      <c r="BK264" s="1"/>
      <c r="BL264" s="1"/>
      <c r="BM264" s="1"/>
      <c r="BN264" s="1"/>
      <c r="BO264" s="1"/>
      <c r="BP264" s="1"/>
      <c r="BQ264" s="1"/>
      <c r="BR264" s="1"/>
      <c r="BS264" s="1"/>
      <c r="BT264" s="1"/>
      <c r="BU264" s="1"/>
      <c r="BV264" s="1"/>
      <c r="BW264" s="1"/>
      <c r="BX264" s="3"/>
      <c r="BY264" s="1">
        <f t="shared" si="401"/>
        <v>0</v>
      </c>
      <c r="BZ264" s="1">
        <f t="shared" si="399"/>
        <v>0</v>
      </c>
      <c r="CA264" s="1">
        <f t="shared" si="400"/>
        <v>0</v>
      </c>
      <c r="CB264" s="1"/>
      <c r="CC264" s="120"/>
      <c r="CD264" s="1"/>
      <c r="CE264" s="1"/>
      <c r="CF264" s="1"/>
      <c r="CG264" s="120"/>
      <c r="CH264" s="1"/>
      <c r="CI264" s="1"/>
      <c r="CJ264" s="1">
        <f>SUM(CB264:CI264)</f>
        <v>0</v>
      </c>
      <c r="CK264" s="1">
        <f>+CJ264-CB264-CC264-CG264</f>
        <v>0</v>
      </c>
      <c r="CL264" s="1"/>
      <c r="CM264" s="1"/>
      <c r="CN264" s="1"/>
      <c r="CO264" s="1"/>
      <c r="CP264" s="1"/>
      <c r="CQ264" s="1"/>
      <c r="CR264" s="1"/>
      <c r="CS264" s="1"/>
      <c r="CT264" s="5"/>
      <c r="CU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W264" s="1"/>
      <c r="DX264" s="1"/>
      <c r="DY264" s="1"/>
      <c r="DZ264" s="1"/>
      <c r="EB264" s="1"/>
      <c r="EC264" s="1"/>
      <c r="ED264" s="1"/>
      <c r="EE264" s="1"/>
      <c r="EF264" s="1"/>
      <c r="EG264" s="1"/>
      <c r="EL264" s="1"/>
      <c r="EM264" s="1"/>
      <c r="EQ264" s="1"/>
    </row>
    <row r="265" spans="1:147" ht="15.75" customHeight="1">
      <c r="A265" s="1"/>
      <c r="B265" s="1" t="s">
        <v>150</v>
      </c>
      <c r="C265" s="1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f>SUM(E265:BE265)</f>
        <v>0</v>
      </c>
      <c r="BG265" s="1">
        <f t="shared" si="398"/>
        <v>0</v>
      </c>
      <c r="BH265" s="1"/>
      <c r="BI265" s="1"/>
      <c r="BJ265" s="1"/>
      <c r="BK265" s="1"/>
      <c r="BL265" s="1"/>
      <c r="BM265" s="1"/>
      <c r="BN265" s="1"/>
      <c r="BO265" s="1"/>
      <c r="BP265" s="1"/>
      <c r="BQ265" s="1">
        <f>+BP265-BN265</f>
        <v>0</v>
      </c>
      <c r="BR265" s="1"/>
      <c r="BS265" s="1"/>
      <c r="BT265" s="1"/>
      <c r="BU265" s="1"/>
      <c r="BV265" s="1"/>
      <c r="BW265" s="1"/>
      <c r="BX265" s="3"/>
      <c r="BY265" s="1">
        <f t="shared" si="401"/>
        <v>0</v>
      </c>
      <c r="BZ265" s="1">
        <f t="shared" si="399"/>
        <v>0</v>
      </c>
      <c r="CA265" s="1">
        <f t="shared" si="400"/>
        <v>0</v>
      </c>
      <c r="CB265" s="1"/>
      <c r="CC265" s="138"/>
      <c r="CD265" s="1"/>
      <c r="CE265" s="1"/>
      <c r="CF265" s="1"/>
      <c r="CG265" s="138"/>
      <c r="CH265" s="1"/>
      <c r="CI265" s="1"/>
      <c r="CJ265" s="1">
        <f>SUM(CB265:CI265)</f>
        <v>0</v>
      </c>
      <c r="CK265" s="1">
        <f>+CJ265-CB265-CC265-CG265</f>
        <v>0</v>
      </c>
      <c r="CL265" s="1"/>
      <c r="CM265" s="1"/>
      <c r="CN265" s="1"/>
      <c r="CO265" s="1"/>
      <c r="CP265" s="1"/>
      <c r="CQ265" s="1"/>
      <c r="CR265" s="1"/>
      <c r="CS265" s="1"/>
      <c r="CT265" s="5"/>
      <c r="CU265" s="1">
        <f>SUM(CL265:CT265)</f>
        <v>0</v>
      </c>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W265" s="1">
        <f>SUM(CX265:DV265)</f>
        <v>0</v>
      </c>
      <c r="DX265" s="1"/>
      <c r="DY265" s="1"/>
      <c r="DZ265" s="1"/>
      <c r="EB265" s="1"/>
      <c r="EC265" s="1"/>
      <c r="ED265" s="1"/>
      <c r="EE265" s="1"/>
      <c r="EF265" s="1"/>
      <c r="EG265" s="1"/>
      <c r="EL265" s="1"/>
      <c r="EM265" s="1"/>
      <c r="EQ265" s="1"/>
    </row>
    <row r="266" spans="1:147" ht="15.75" customHeight="1">
      <c r="A266" s="1"/>
      <c r="B266" s="89" t="s">
        <v>2640</v>
      </c>
      <c r="C266" s="1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f t="shared" si="398"/>
        <v>0</v>
      </c>
      <c r="BH266" s="1"/>
      <c r="BI266" s="1"/>
      <c r="BJ266" s="1"/>
      <c r="BK266" s="1"/>
      <c r="BL266" s="1"/>
      <c r="BM266" s="1"/>
      <c r="BN266" s="1"/>
      <c r="BO266" s="1"/>
      <c r="BP266" s="1"/>
      <c r="BQ266" s="1"/>
      <c r="BR266" s="1"/>
      <c r="BS266" s="1"/>
      <c r="BT266" s="1"/>
      <c r="BU266" s="1"/>
      <c r="BV266" s="1"/>
      <c r="BW266" s="1"/>
      <c r="BX266" s="3"/>
      <c r="BY266" s="1">
        <f t="shared" si="401"/>
        <v>0</v>
      </c>
      <c r="BZ266" s="1">
        <f t="shared" si="399"/>
        <v>0</v>
      </c>
      <c r="CA266" s="1">
        <f t="shared" si="400"/>
        <v>0</v>
      </c>
      <c r="CB266" s="1"/>
      <c r="CC266" s="138"/>
      <c r="CD266" s="1"/>
      <c r="CE266" s="1"/>
      <c r="CF266" s="1"/>
      <c r="CG266" s="138"/>
      <c r="CH266" s="1"/>
      <c r="CI266" s="1"/>
      <c r="CJ266" s="1">
        <f>SUM(CB266:CI266)</f>
        <v>0</v>
      </c>
      <c r="CK266" s="1">
        <f>+CJ266-CB266-CC266-CG266</f>
        <v>0</v>
      </c>
      <c r="CL266" s="1"/>
      <c r="CM266" s="1"/>
      <c r="CN266" s="1"/>
      <c r="CO266" s="1"/>
      <c r="CP266" s="1"/>
      <c r="CQ266" s="1"/>
      <c r="CR266" s="1"/>
      <c r="CS266" s="1"/>
      <c r="CT266" s="5"/>
      <c r="CU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W266" s="1"/>
      <c r="DX266" s="1"/>
      <c r="DY266" s="1"/>
      <c r="DZ266" s="1"/>
      <c r="EB266" s="1"/>
      <c r="EC266" s="1"/>
      <c r="ED266" s="1"/>
      <c r="EE266" s="1"/>
      <c r="EF266" s="1"/>
      <c r="EG266" s="1"/>
      <c r="EL266" s="1"/>
      <c r="EM266" s="1"/>
      <c r="EQ266" s="1"/>
    </row>
    <row r="267" spans="1:147" ht="15.75" customHeight="1">
      <c r="A267" s="1"/>
      <c r="B267" s="89" t="s">
        <v>2641</v>
      </c>
      <c r="C267" s="1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f t="shared" si="398"/>
        <v>0</v>
      </c>
      <c r="BH267" s="1"/>
      <c r="BI267" s="1"/>
      <c r="BJ267" s="1"/>
      <c r="BK267" s="1"/>
      <c r="BL267" s="1"/>
      <c r="BM267" s="1"/>
      <c r="BN267" s="1"/>
      <c r="BO267" s="1"/>
      <c r="BP267" s="1"/>
      <c r="BQ267" s="1"/>
      <c r="BR267" s="1"/>
      <c r="BS267" s="1"/>
      <c r="BT267" s="1"/>
      <c r="BU267" s="1"/>
      <c r="BV267" s="1"/>
      <c r="BW267" s="1"/>
      <c r="BX267" s="3"/>
      <c r="BY267" s="1">
        <f t="shared" si="401"/>
        <v>0</v>
      </c>
      <c r="BZ267" s="1">
        <f t="shared" si="399"/>
        <v>0</v>
      </c>
      <c r="CA267" s="1">
        <f t="shared" si="400"/>
        <v>0</v>
      </c>
      <c r="CB267" s="1"/>
      <c r="CC267" s="138"/>
      <c r="CD267" s="1"/>
      <c r="CE267" s="1"/>
      <c r="CF267" s="1"/>
      <c r="CG267" s="138"/>
      <c r="CH267" s="1"/>
      <c r="CI267" s="1"/>
      <c r="CJ267" s="1">
        <f t="shared" si="402"/>
        <v>0</v>
      </c>
      <c r="CK267" s="1">
        <f t="shared" si="403"/>
        <v>0</v>
      </c>
      <c r="CL267" s="1"/>
      <c r="CM267" s="1"/>
      <c r="CN267" s="1"/>
      <c r="CO267" s="1"/>
      <c r="CP267" s="1"/>
      <c r="CQ267" s="1"/>
      <c r="CR267" s="1"/>
      <c r="CS267" s="1"/>
      <c r="CT267" s="5"/>
      <c r="CU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W267" s="1"/>
      <c r="DX267" s="1"/>
      <c r="DY267" s="1"/>
      <c r="DZ267" s="1"/>
      <c r="EB267" s="1"/>
      <c r="EC267" s="1"/>
      <c r="ED267" s="1"/>
      <c r="EE267" s="1"/>
      <c r="EF267" s="1"/>
      <c r="EG267" s="1"/>
      <c r="EL267" s="1"/>
      <c r="EM267" s="1"/>
      <c r="EQ267" s="1"/>
    </row>
    <row r="268" spans="1:147" ht="15.75" customHeight="1">
      <c r="A268" s="1"/>
      <c r="B268" s="11"/>
      <c r="C268" s="1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f t="shared" si="398"/>
        <v>0</v>
      </c>
      <c r="BH268" s="1"/>
      <c r="BI268" s="1"/>
      <c r="BJ268" s="1"/>
      <c r="BK268" s="1"/>
      <c r="BL268" s="1"/>
      <c r="BM268" s="1"/>
      <c r="BN268" s="1"/>
      <c r="BO268" s="1"/>
      <c r="BP268" s="1"/>
      <c r="BQ268" s="1"/>
      <c r="BR268" s="1"/>
      <c r="BS268" s="1"/>
      <c r="BT268" s="1"/>
      <c r="BU268" s="1"/>
      <c r="BV268" s="1"/>
      <c r="BW268" s="1"/>
      <c r="BX268" s="3"/>
      <c r="BY268" s="1">
        <f>SUM(BR268:BX268)</f>
        <v>0</v>
      </c>
      <c r="BZ268" s="1">
        <f t="shared" si="399"/>
        <v>0</v>
      </c>
      <c r="CA268" s="1">
        <f t="shared" si="400"/>
        <v>0</v>
      </c>
      <c r="CB268" s="1"/>
      <c r="CC268" s="120"/>
      <c r="CD268" s="1"/>
      <c r="CE268" s="1"/>
      <c r="CF268" s="1"/>
      <c r="CG268" s="120"/>
      <c r="CH268" s="1"/>
      <c r="CI268" s="1"/>
      <c r="CJ268" s="1"/>
      <c r="CK268" s="1"/>
      <c r="CL268" s="1"/>
      <c r="CM268" s="1"/>
      <c r="CN268" s="1"/>
      <c r="CO268" s="1"/>
      <c r="CP268" s="1"/>
      <c r="CQ268" s="1"/>
      <c r="CR268" s="1"/>
      <c r="CS268" s="1"/>
      <c r="CT268" s="5"/>
      <c r="CU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W268" s="1"/>
      <c r="DX268" s="1"/>
      <c r="DY268" s="1"/>
      <c r="DZ268" s="1"/>
      <c r="EB268" s="1"/>
      <c r="EC268" s="1"/>
      <c r="ED268" s="1"/>
      <c r="EE268" s="1"/>
      <c r="EF268" s="1"/>
      <c r="EG268" s="1"/>
      <c r="EL268" s="1"/>
      <c r="EM268" s="1"/>
      <c r="EQ268" s="1"/>
    </row>
    <row r="269" spans="1:147" ht="15.75" customHeight="1">
      <c r="A269" s="1"/>
      <c r="B269" s="1" t="s">
        <v>1038</v>
      </c>
      <c r="C269" s="1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f>SUM(E269:BE269)</f>
        <v>0</v>
      </c>
      <c r="BG269" s="1">
        <f t="shared" si="398"/>
        <v>0</v>
      </c>
      <c r="BH269" s="1"/>
      <c r="BI269" s="1"/>
      <c r="BJ269" s="1"/>
      <c r="BK269" s="1"/>
      <c r="BL269" s="1"/>
      <c r="BM269" s="1"/>
      <c r="BN269" s="1"/>
      <c r="BO269" s="1"/>
      <c r="BP269" s="1"/>
      <c r="BQ269" s="1">
        <f>+BP269-BN269</f>
        <v>0</v>
      </c>
      <c r="BR269" s="1"/>
      <c r="BS269" s="1"/>
      <c r="BT269" s="1"/>
      <c r="BU269" s="1"/>
      <c r="BV269" s="1"/>
      <c r="BW269" s="1"/>
      <c r="BX269" s="3"/>
      <c r="BY269" s="1">
        <f>SUM(BR269:BX269)</f>
        <v>0</v>
      </c>
      <c r="BZ269" s="1">
        <f t="shared" si="399"/>
        <v>0</v>
      </c>
      <c r="CA269" s="1">
        <f t="shared" si="400"/>
        <v>0</v>
      </c>
      <c r="CB269" s="1"/>
      <c r="CC269" s="138">
        <v>41840</v>
      </c>
      <c r="CD269" s="138">
        <v>164</v>
      </c>
      <c r="CE269" s="138">
        <v>2658</v>
      </c>
      <c r="CF269" s="138">
        <v>0</v>
      </c>
      <c r="CG269" s="138">
        <v>24156</v>
      </c>
      <c r="CH269" s="138">
        <v>656</v>
      </c>
      <c r="CI269" s="1"/>
      <c r="CJ269" s="1">
        <f>SUM(CB269:CI269)</f>
        <v>69474</v>
      </c>
      <c r="CK269" s="1">
        <f>+CJ269-CB269-CC269-CG269</f>
        <v>3478</v>
      </c>
      <c r="CL269" s="148">
        <v>52104</v>
      </c>
      <c r="CM269" s="148"/>
      <c r="CN269" s="148">
        <v>66088</v>
      </c>
      <c r="CO269" s="89"/>
      <c r="CP269" s="148">
        <v>159048</v>
      </c>
      <c r="CQ269" s="89"/>
      <c r="CR269" s="148">
        <v>7210</v>
      </c>
      <c r="CS269" s="1"/>
      <c r="CT269" s="5"/>
      <c r="CU269" s="1">
        <f>SUM(CL269:CT269)</f>
        <v>284450</v>
      </c>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W269" s="1">
        <f>SUM(CX269:DV269)</f>
        <v>0</v>
      </c>
      <c r="DX269" s="1"/>
      <c r="DY269" s="1"/>
      <c r="DZ269" s="1"/>
      <c r="EB269" s="1"/>
      <c r="EC269" s="1"/>
      <c r="ED269" s="1"/>
      <c r="EE269" s="1"/>
      <c r="EF269" s="1"/>
      <c r="EG269" s="1"/>
      <c r="EL269" s="1"/>
      <c r="EM269" s="1"/>
      <c r="EQ269" s="1"/>
    </row>
    <row r="270" spans="1:147" ht="15.75" customHeight="1">
      <c r="A270" s="1"/>
      <c r="B270" s="1"/>
      <c r="C270" s="1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3"/>
      <c r="BY270" s="1"/>
      <c r="BZ270" s="1"/>
      <c r="CA270" s="1"/>
      <c r="CB270" s="1"/>
      <c r="CC270" s="1"/>
      <c r="CD270" s="1"/>
      <c r="CE270" s="1"/>
      <c r="CF270" s="1"/>
      <c r="CG270" s="1"/>
      <c r="CH270" s="1"/>
      <c r="CI270" s="1"/>
      <c r="CJ270" s="1"/>
      <c r="CK270" s="1"/>
      <c r="CL270" s="1"/>
      <c r="CM270" s="1"/>
      <c r="CN270" s="1"/>
      <c r="CO270" s="1"/>
      <c r="CP270" s="1"/>
      <c r="CQ270" s="1"/>
      <c r="CR270" s="1"/>
      <c r="CS270" s="1"/>
      <c r="CT270" s="5"/>
      <c r="CU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W270" s="1"/>
      <c r="DX270" s="1"/>
      <c r="DY270" s="1"/>
      <c r="DZ270" s="1"/>
      <c r="EB270" s="1"/>
      <c r="EC270" s="1"/>
      <c r="ED270" s="1"/>
      <c r="EE270" s="1"/>
      <c r="EF270" s="1"/>
      <c r="EG270" s="1"/>
      <c r="EL270" s="1"/>
      <c r="EM270" s="1"/>
      <c r="EQ270" s="1"/>
    </row>
    <row r="271" spans="1:147" ht="16.5" customHeight="1" thickBot="1">
      <c r="A271" s="1"/>
      <c r="B271" s="11" t="s">
        <v>1155</v>
      </c>
      <c r="C271" s="11"/>
      <c r="D271" s="31">
        <f t="shared" ref="D271:AV271" si="404">+D232-D254+D258-D269</f>
        <v>38936</v>
      </c>
      <c r="E271" s="31">
        <f t="shared" si="404"/>
        <v>44458</v>
      </c>
      <c r="F271" s="31">
        <f t="shared" si="404"/>
        <v>0</v>
      </c>
      <c r="G271" s="31">
        <f t="shared" si="404"/>
        <v>-41730</v>
      </c>
      <c r="H271" s="31">
        <f t="shared" si="404"/>
        <v>0</v>
      </c>
      <c r="I271" s="31">
        <f t="shared" si="404"/>
        <v>179923</v>
      </c>
      <c r="J271" s="31">
        <f t="shared" si="404"/>
        <v>288692</v>
      </c>
      <c r="K271" s="31">
        <f t="shared" si="404"/>
        <v>0</v>
      </c>
      <c r="L271" s="31">
        <f t="shared" si="404"/>
        <v>0</v>
      </c>
      <c r="M271" s="31">
        <f t="shared" si="404"/>
        <v>-5621</v>
      </c>
      <c r="N271" s="31">
        <f t="shared" si="404"/>
        <v>0</v>
      </c>
      <c r="O271" s="31">
        <f t="shared" si="404"/>
        <v>0</v>
      </c>
      <c r="P271" s="31">
        <f t="shared" si="404"/>
        <v>0</v>
      </c>
      <c r="Q271" s="31">
        <f t="shared" si="404"/>
        <v>0</v>
      </c>
      <c r="R271" s="31">
        <f t="shared" si="404"/>
        <v>0</v>
      </c>
      <c r="S271" s="31">
        <f t="shared" si="404"/>
        <v>-2504</v>
      </c>
      <c r="T271" s="31">
        <f t="shared" si="404"/>
        <v>0</v>
      </c>
      <c r="U271" s="31">
        <f t="shared" si="404"/>
        <v>51732</v>
      </c>
      <c r="V271" s="31">
        <f t="shared" si="404"/>
        <v>0</v>
      </c>
      <c r="W271" s="31">
        <f t="shared" si="404"/>
        <v>0</v>
      </c>
      <c r="X271" s="31">
        <f t="shared" si="404"/>
        <v>-50337</v>
      </c>
      <c r="Y271" s="31">
        <f t="shared" si="404"/>
        <v>0</v>
      </c>
      <c r="Z271" s="31">
        <f t="shared" si="404"/>
        <v>0</v>
      </c>
      <c r="AA271" s="31">
        <f t="shared" si="404"/>
        <v>0</v>
      </c>
      <c r="AB271" s="31">
        <f t="shared" si="404"/>
        <v>-22107</v>
      </c>
      <c r="AC271" s="31">
        <f t="shared" si="404"/>
        <v>0</v>
      </c>
      <c r="AD271" s="31">
        <f t="shared" si="404"/>
        <v>0</v>
      </c>
      <c r="AE271" s="31">
        <f t="shared" si="404"/>
        <v>0</v>
      </c>
      <c r="AF271" s="31">
        <f t="shared" si="404"/>
        <v>0</v>
      </c>
      <c r="AG271" s="31">
        <f t="shared" si="404"/>
        <v>0</v>
      </c>
      <c r="AH271" s="31">
        <f t="shared" si="404"/>
        <v>0</v>
      </c>
      <c r="AI271" s="31">
        <f t="shared" si="404"/>
        <v>0</v>
      </c>
      <c r="AJ271" s="31">
        <f t="shared" si="404"/>
        <v>0</v>
      </c>
      <c r="AK271" s="31">
        <f t="shared" si="404"/>
        <v>-31785</v>
      </c>
      <c r="AL271" s="31">
        <f t="shared" si="404"/>
        <v>0</v>
      </c>
      <c r="AM271" s="31">
        <f t="shared" si="404"/>
        <v>0</v>
      </c>
      <c r="AN271" s="31">
        <f t="shared" si="404"/>
        <v>0</v>
      </c>
      <c r="AO271" s="31">
        <f t="shared" si="404"/>
        <v>0</v>
      </c>
      <c r="AP271" s="31">
        <f t="shared" si="404"/>
        <v>0</v>
      </c>
      <c r="AQ271" s="31">
        <f t="shared" si="404"/>
        <v>0</v>
      </c>
      <c r="AR271" s="31">
        <f t="shared" si="404"/>
        <v>47367</v>
      </c>
      <c r="AS271" s="31">
        <f t="shared" si="404"/>
        <v>0</v>
      </c>
      <c r="AT271" s="31">
        <f>+AT232-AT254+AT258-AT269</f>
        <v>0</v>
      </c>
      <c r="AU271" s="31">
        <f t="shared" si="404"/>
        <v>122183</v>
      </c>
      <c r="AV271" s="31">
        <f t="shared" si="404"/>
        <v>0</v>
      </c>
      <c r="AW271" s="31"/>
      <c r="AX271" s="31">
        <f t="shared" ref="AX271:BD271" si="405">+AX232-AX254+AX258-AX269</f>
        <v>0</v>
      </c>
      <c r="AY271" s="31">
        <f t="shared" si="405"/>
        <v>0</v>
      </c>
      <c r="AZ271" s="31">
        <f t="shared" si="405"/>
        <v>0</v>
      </c>
      <c r="BA271" s="31">
        <f t="shared" si="405"/>
        <v>0</v>
      </c>
      <c r="BB271" s="31">
        <f t="shared" si="405"/>
        <v>-36036</v>
      </c>
      <c r="BC271" s="31">
        <f t="shared" si="405"/>
        <v>25381</v>
      </c>
      <c r="BD271" s="31">
        <f t="shared" si="405"/>
        <v>0</v>
      </c>
      <c r="BE271" s="1"/>
      <c r="BF271" s="31">
        <f t="shared" ref="BF271:BN271" si="406">+BF232-BF254+BF258-BF269</f>
        <v>569616</v>
      </c>
      <c r="BG271" s="31">
        <f t="shared" si="406"/>
        <v>630608</v>
      </c>
      <c r="BH271" s="31">
        <f t="shared" si="406"/>
        <v>0</v>
      </c>
      <c r="BI271" s="31">
        <f t="shared" si="406"/>
        <v>0</v>
      </c>
      <c r="BJ271" s="31">
        <f t="shared" si="406"/>
        <v>0</v>
      </c>
      <c r="BK271" s="31">
        <f t="shared" si="406"/>
        <v>0</v>
      </c>
      <c r="BL271" s="31">
        <f t="shared" si="406"/>
        <v>0</v>
      </c>
      <c r="BM271" s="31">
        <f>+BM232-BM254+BM258-BM269</f>
        <v>0</v>
      </c>
      <c r="BN271" s="31">
        <f t="shared" si="406"/>
        <v>0</v>
      </c>
      <c r="BO271" s="1"/>
      <c r="BP271" s="31">
        <f t="shared" ref="BP271:BW271" si="407">+BP232-BP254+BP258-BP269</f>
        <v>0</v>
      </c>
      <c r="BQ271" s="31">
        <f t="shared" si="407"/>
        <v>0</v>
      </c>
      <c r="BR271" s="31">
        <f t="shared" si="407"/>
        <v>0</v>
      </c>
      <c r="BS271" s="31">
        <f t="shared" si="407"/>
        <v>0</v>
      </c>
      <c r="BT271" s="31">
        <f t="shared" si="407"/>
        <v>0</v>
      </c>
      <c r="BU271" s="31">
        <f t="shared" si="407"/>
        <v>0</v>
      </c>
      <c r="BV271" s="31">
        <f t="shared" si="407"/>
        <v>0</v>
      </c>
      <c r="BW271" s="31">
        <f t="shared" si="407"/>
        <v>-147129</v>
      </c>
      <c r="BX271" s="31"/>
      <c r="BY271" s="31">
        <f>+BY232-BY254+BY258-BY269</f>
        <v>-147129</v>
      </c>
      <c r="BZ271" s="31">
        <f>+BZ232-BZ254+BZ258-BZ269</f>
        <v>-147129</v>
      </c>
      <c r="CA271" s="31"/>
      <c r="CB271" s="31"/>
      <c r="CC271" s="31">
        <f>+CC232-CC254+CC258-CC261+CC262-CC263-CC265+CC266-CC267-CC269</f>
        <v>-28056</v>
      </c>
      <c r="CD271" s="31">
        <f>+CD232-CD254+CD258-CD261+CD262-CD263-CD265+CD266-CD267-CD269</f>
        <v>4932</v>
      </c>
      <c r="CE271" s="31">
        <f>+CE232-CE254+CE258-CE261+CE262-CE263-CE265+CE266-CE267-CE269</f>
        <v>18139</v>
      </c>
      <c r="CF271" s="31">
        <f>+CF232-CF254+CF258-CF261+CF262-CF263-CF265+CF266-CF267-CF269</f>
        <v>66272</v>
      </c>
      <c r="CG271" s="31">
        <f>+CG232-CG254+CG258-CG261+CG262-CG263-CG265+CG266-CG267-CG269</f>
        <v>81981</v>
      </c>
      <c r="CH271" s="31">
        <f>+CH232-CH254+CH258-CH265-CH269</f>
        <v>2839</v>
      </c>
      <c r="CI271" s="1"/>
      <c r="CJ271" s="31">
        <f>+CJ232-CJ254+CJ258-CJ269</f>
        <v>146107</v>
      </c>
      <c r="CK271" s="31">
        <f>+CK232-CK254+CK258-CK269</f>
        <v>92182</v>
      </c>
      <c r="CL271" s="31">
        <f t="shared" ref="CL271:CR271" si="408">+CL232-CL254+CL258-CL265-CL269</f>
        <v>-52104</v>
      </c>
      <c r="CM271" s="31">
        <f t="shared" si="408"/>
        <v>0</v>
      </c>
      <c r="CN271" s="31">
        <f t="shared" si="408"/>
        <v>-53344</v>
      </c>
      <c r="CO271" s="31">
        <f t="shared" si="408"/>
        <v>46336</v>
      </c>
      <c r="CP271" s="31">
        <f t="shared" si="408"/>
        <v>-210606</v>
      </c>
      <c r="CQ271" s="31">
        <f t="shared" si="408"/>
        <v>0</v>
      </c>
      <c r="CR271" s="31">
        <f t="shared" si="408"/>
        <v>-365102</v>
      </c>
      <c r="CS271" s="1"/>
      <c r="CT271" s="5"/>
      <c r="CU271" s="31">
        <f>+CU232-CU254+CU258-CU269</f>
        <v>-634820</v>
      </c>
      <c r="CW271" s="31">
        <f>+CW232-CW254+CW258-CW269</f>
        <v>82922</v>
      </c>
      <c r="CX271" s="31">
        <f t="shared" ref="CX271:DT271" si="409">+CX232-CX254+CX258-CX269</f>
        <v>0</v>
      </c>
      <c r="CY271" s="31">
        <f t="shared" si="409"/>
        <v>0</v>
      </c>
      <c r="CZ271" s="31">
        <f t="shared" si="409"/>
        <v>0</v>
      </c>
      <c r="DA271" s="31">
        <f t="shared" si="409"/>
        <v>0</v>
      </c>
      <c r="DB271" s="31">
        <f t="shared" si="409"/>
        <v>0</v>
      </c>
      <c r="DC271" s="31">
        <f t="shared" si="409"/>
        <v>0</v>
      </c>
      <c r="DD271" s="31">
        <f t="shared" si="409"/>
        <v>0</v>
      </c>
      <c r="DE271" s="31">
        <f t="shared" si="409"/>
        <v>0</v>
      </c>
      <c r="DF271" s="31">
        <f t="shared" si="409"/>
        <v>0</v>
      </c>
      <c r="DG271" s="31">
        <f t="shared" si="409"/>
        <v>0</v>
      </c>
      <c r="DH271" s="31">
        <f t="shared" si="409"/>
        <v>0</v>
      </c>
      <c r="DI271" s="31">
        <f t="shared" si="409"/>
        <v>0</v>
      </c>
      <c r="DJ271" s="31">
        <f t="shared" si="409"/>
        <v>0</v>
      </c>
      <c r="DK271" s="31">
        <f t="shared" si="409"/>
        <v>0</v>
      </c>
      <c r="DL271" s="31">
        <f t="shared" si="409"/>
        <v>0</v>
      </c>
      <c r="DM271" s="31">
        <f t="shared" si="409"/>
        <v>0</v>
      </c>
      <c r="DN271" s="31">
        <f t="shared" si="409"/>
        <v>0</v>
      </c>
      <c r="DO271" s="31">
        <f t="shared" si="409"/>
        <v>0</v>
      </c>
      <c r="DP271" s="31">
        <f t="shared" si="409"/>
        <v>0</v>
      </c>
      <c r="DQ271" s="31">
        <f t="shared" si="409"/>
        <v>113444</v>
      </c>
      <c r="DR271" s="31">
        <f t="shared" si="409"/>
        <v>1183889</v>
      </c>
      <c r="DS271" s="31">
        <f t="shared" si="409"/>
        <v>1151439</v>
      </c>
      <c r="DT271" s="31">
        <f t="shared" si="409"/>
        <v>399939</v>
      </c>
      <c r="DW271" s="1"/>
      <c r="DX271" s="1"/>
      <c r="DY271" s="1"/>
      <c r="DZ271" s="1"/>
      <c r="EB271" s="31">
        <f>+EB232-EB254+EB258-EB269</f>
        <v>0</v>
      </c>
      <c r="EC271" s="1"/>
      <c r="ED271" s="1"/>
      <c r="EE271" s="1"/>
      <c r="EF271" s="31">
        <f>+EF232-EF254+EF258-EF269</f>
        <v>0</v>
      </c>
      <c r="EG271" s="1"/>
      <c r="EL271" s="31">
        <f>+EL232-EL254+EL258-EL269</f>
        <v>0</v>
      </c>
      <c r="EM271" s="31">
        <f>+EM232-EM254+EM258-EM269</f>
        <v>0</v>
      </c>
      <c r="EQ271" s="31">
        <f>+EQ232-EQ254+EQ258-EQ269</f>
        <v>0</v>
      </c>
    </row>
    <row r="272" spans="1:147" ht="16.5" customHeight="1" thickTop="1">
      <c r="A272" s="1"/>
      <c r="B272" s="1"/>
      <c r="C272" s="1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3"/>
      <c r="BY272" s="1"/>
      <c r="BZ272" s="1"/>
      <c r="CA272" s="1"/>
      <c r="CB272" s="1"/>
      <c r="CC272" s="1"/>
      <c r="CD272" s="1"/>
      <c r="CE272" s="1"/>
      <c r="CF272" s="1"/>
      <c r="CG272" s="1"/>
      <c r="CH272" s="1"/>
      <c r="CI272" s="1"/>
      <c r="CJ272" s="1">
        <f>SUM(CB271:CH271)</f>
        <v>146107</v>
      </c>
      <c r="CK272" s="1">
        <f>SUM(CC271:CI271)</f>
        <v>146107</v>
      </c>
      <c r="CL272" s="1"/>
      <c r="CM272" s="1"/>
      <c r="CN272" s="1"/>
      <c r="CO272" s="1"/>
      <c r="CP272" s="1"/>
      <c r="CQ272" s="1"/>
      <c r="CR272" s="1"/>
      <c r="CS272" s="1"/>
      <c r="CT272" s="5"/>
      <c r="CU272" s="1">
        <f>SUM(CL271:CT271)</f>
        <v>-634820</v>
      </c>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W272" s="1"/>
      <c r="DX272" s="1"/>
      <c r="DY272" s="1"/>
      <c r="DZ272" s="1"/>
      <c r="EB272" s="1"/>
      <c r="EC272" s="1"/>
      <c r="ED272" s="1"/>
      <c r="EE272" s="1"/>
      <c r="EF272" s="1"/>
      <c r="EG272" s="1"/>
      <c r="EL272" s="1"/>
      <c r="EM272" s="1"/>
      <c r="EQ272" s="1"/>
    </row>
    <row r="273" spans="1:147" ht="15.75" customHeight="1">
      <c r="A273" s="1"/>
      <c r="B273" s="1"/>
      <c r="C273" s="1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3"/>
      <c r="BY273" s="1"/>
      <c r="BZ273" s="1"/>
      <c r="CA273" s="1"/>
      <c r="CB273" s="1"/>
      <c r="CC273" s="1"/>
      <c r="CD273" s="1"/>
      <c r="CE273" s="1"/>
      <c r="CF273" s="1"/>
      <c r="CG273" s="1"/>
      <c r="CH273" s="1"/>
      <c r="CI273" s="1"/>
      <c r="CJ273" s="1"/>
      <c r="CK273" s="1"/>
      <c r="CL273" s="1"/>
      <c r="CM273" s="1"/>
      <c r="CN273" s="1"/>
      <c r="CO273" s="1"/>
      <c r="CP273" s="1"/>
      <c r="CQ273" s="1"/>
      <c r="CR273" s="1"/>
      <c r="CS273" s="1"/>
      <c r="CT273" s="5"/>
      <c r="CU273" s="1">
        <f>+CU272-CU271</f>
        <v>0</v>
      </c>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W273" s="1"/>
      <c r="DX273" s="1"/>
      <c r="DY273" s="1"/>
      <c r="DZ273" s="1"/>
      <c r="EB273" s="1"/>
      <c r="EC273" s="1"/>
      <c r="ED273" s="1"/>
      <c r="EE273" s="1"/>
      <c r="EF273" s="1"/>
      <c r="EG273" s="1"/>
      <c r="EL273" s="1"/>
      <c r="EM273" s="1"/>
      <c r="EQ273" s="1"/>
    </row>
    <row r="274" spans="1:147" ht="15.75" customHeight="1">
      <c r="A274" s="1"/>
      <c r="B274" s="7" t="s">
        <v>778</v>
      </c>
      <c r="C274" s="30"/>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R274" s="1"/>
      <c r="AS274" s="1"/>
      <c r="AT274" s="1"/>
      <c r="AU274" s="1"/>
      <c r="AV274" s="1"/>
      <c r="AW274" s="1"/>
      <c r="AX274" s="1"/>
      <c r="AY274" s="1"/>
      <c r="AZ274" s="1"/>
      <c r="BA274" s="1"/>
      <c r="BB274" s="1"/>
      <c r="BC274" s="1"/>
      <c r="BE274" s="1"/>
      <c r="BF274" s="1"/>
      <c r="BG274" s="1"/>
      <c r="BH274" s="1"/>
      <c r="BI274" s="1"/>
      <c r="BJ274" s="1"/>
      <c r="BK274" s="1"/>
      <c r="BL274" s="1"/>
      <c r="BM274" s="1"/>
      <c r="BO274" s="1"/>
      <c r="BS274" s="1"/>
      <c r="BT274" s="1"/>
      <c r="BU274" s="1"/>
      <c r="BV274" s="1"/>
      <c r="BW274" s="1"/>
      <c r="CC274" s="1"/>
      <c r="CD274" s="1"/>
      <c r="CE274" s="1"/>
      <c r="CF274" s="1"/>
      <c r="CG274" s="1"/>
      <c r="CH274" s="1"/>
      <c r="CI274" s="1"/>
      <c r="CJ274" s="1"/>
      <c r="CK274" s="1"/>
      <c r="CL274" s="1"/>
      <c r="CM274" s="1"/>
      <c r="CN274" s="1"/>
      <c r="CO274" s="1"/>
      <c r="CP274" s="1"/>
      <c r="CQ274" s="1"/>
      <c r="CR274" s="1"/>
      <c r="CS274" s="1"/>
      <c r="CT274" s="5"/>
      <c r="CU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W274" s="1"/>
      <c r="DX274" s="1"/>
      <c r="DY274" s="1"/>
      <c r="DZ274" s="1"/>
      <c r="EB274" s="1"/>
      <c r="EC274" s="1"/>
      <c r="ED274" s="1"/>
      <c r="EE274" s="1"/>
      <c r="EF274" s="1"/>
      <c r="EG274" s="1"/>
      <c r="EL274" s="1"/>
      <c r="EM274" s="1"/>
      <c r="EQ274" s="1"/>
    </row>
    <row r="275" spans="1:147" ht="15.75" customHeight="1">
      <c r="A275" s="1"/>
      <c r="B275" s="1"/>
      <c r="C275" s="1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R275" s="1"/>
      <c r="AS275" s="1"/>
      <c r="AT275" s="1"/>
      <c r="AU275" s="1"/>
      <c r="AV275" s="1"/>
      <c r="AW275" s="1"/>
      <c r="AX275" s="1"/>
      <c r="AY275" s="1"/>
      <c r="AZ275" s="1"/>
      <c r="BA275" s="1"/>
      <c r="BB275" s="1"/>
      <c r="BC275" s="1"/>
      <c r="BE275" s="1"/>
      <c r="BF275" s="1"/>
      <c r="BG275" s="1"/>
      <c r="BH275" s="1"/>
      <c r="BI275" s="1"/>
      <c r="BJ275" s="1"/>
      <c r="BK275" s="1"/>
      <c r="BL275" s="1"/>
      <c r="BM275" s="1"/>
      <c r="BN275" s="1"/>
      <c r="BO275" s="1"/>
      <c r="BS275" s="1"/>
      <c r="BT275" s="1"/>
      <c r="BU275" s="1"/>
      <c r="BV275" s="1"/>
      <c r="BW275" s="1"/>
      <c r="CC275" s="1"/>
      <c r="CD275" s="1"/>
      <c r="CE275" s="1"/>
      <c r="CF275" s="1"/>
      <c r="CG275" s="1"/>
      <c r="CH275" s="1"/>
      <c r="CI275" s="1"/>
      <c r="CJ275" s="1"/>
      <c r="CK275" s="1"/>
      <c r="CL275" s="1"/>
      <c r="CM275" s="1"/>
      <c r="CN275" s="1"/>
      <c r="CO275" s="1"/>
      <c r="CP275" s="1"/>
      <c r="CQ275" s="1"/>
      <c r="CR275" s="1"/>
      <c r="CS275" s="1"/>
      <c r="CT275" s="5"/>
      <c r="CU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W275" s="1"/>
      <c r="DX275" s="1"/>
      <c r="DY275" s="1"/>
      <c r="DZ275" s="1"/>
      <c r="EB275" s="1"/>
      <c r="EC275" s="1"/>
      <c r="ED275" s="1"/>
      <c r="EE275" s="1"/>
      <c r="EF275" s="1"/>
      <c r="EG275" s="1"/>
      <c r="EL275" s="1"/>
      <c r="EM275" s="1"/>
      <c r="EQ275" s="1"/>
    </row>
    <row r="276" spans="1:147" ht="15.75" customHeight="1">
      <c r="A276" s="1"/>
      <c r="B276" s="89" t="s">
        <v>3043</v>
      </c>
      <c r="C276" s="11"/>
      <c r="D276" s="43">
        <f>+'Sys INPUT'!D186</f>
        <v>7452016</v>
      </c>
      <c r="E276" s="43">
        <f>+'Sys INPUT'!E186</f>
        <v>330187</v>
      </c>
      <c r="F276" s="43">
        <f>+'Sys INPUT'!F186</f>
        <v>5631</v>
      </c>
      <c r="G276" s="43">
        <f>+'Sys INPUT'!G186</f>
        <v>-13234</v>
      </c>
      <c r="H276" s="43">
        <f>+'Sys INPUT'!H186</f>
        <v>305110</v>
      </c>
      <c r="I276" s="43">
        <f>+'Sys INPUT'!I186</f>
        <v>4500</v>
      </c>
      <c r="J276" s="43">
        <f>+'Sys INPUT'!J186</f>
        <v>1970166</v>
      </c>
      <c r="K276" s="43">
        <f>+'Sys INPUT'!K186</f>
        <v>74</v>
      </c>
      <c r="L276" s="43">
        <f>+'Sys INPUT'!L186</f>
        <v>8485</v>
      </c>
      <c r="M276" s="43">
        <f>+'Sys INPUT'!M186</f>
        <v>529000</v>
      </c>
      <c r="N276" s="43">
        <f>+'Sys INPUT'!N186</f>
        <v>86030</v>
      </c>
      <c r="O276" s="43">
        <f>+'Sys INPUT'!O186</f>
        <v>48826</v>
      </c>
      <c r="P276" s="43">
        <f>+'Sys INPUT'!P186</f>
        <v>0</v>
      </c>
      <c r="Q276" s="43">
        <f>+'Sys INPUT'!Q186</f>
        <v>198091</v>
      </c>
      <c r="R276" s="43">
        <f>+'Sys INPUT'!R186</f>
        <v>347266</v>
      </c>
      <c r="S276" s="43">
        <f>+'Sys INPUT'!S186</f>
        <v>1157672</v>
      </c>
      <c r="T276" s="43">
        <f>+'Sys INPUT'!T186</f>
        <v>289</v>
      </c>
      <c r="U276" s="43">
        <f>+'Sys INPUT'!U186</f>
        <v>666764</v>
      </c>
      <c r="V276" s="43">
        <f>+'Sys INPUT'!V186</f>
        <v>142</v>
      </c>
      <c r="W276" s="43">
        <f>+'Sys INPUT'!W186</f>
        <v>253822</v>
      </c>
      <c r="X276" s="43">
        <f>+'Sys INPUT'!X186</f>
        <v>3347149</v>
      </c>
      <c r="Y276" s="43">
        <f>+'Sys INPUT'!Y186</f>
        <v>-4554</v>
      </c>
      <c r="Z276" s="43">
        <f>+'Sys INPUT'!Z186</f>
        <v>54037</v>
      </c>
      <c r="AA276" s="43">
        <f>+'Sys INPUT'!AA186</f>
        <v>138674</v>
      </c>
      <c r="AB276" s="43">
        <f>+'Sys INPUT'!AB186</f>
        <v>1317706</v>
      </c>
      <c r="AC276" s="43">
        <f>+'Sys INPUT'!AC186</f>
        <v>195203</v>
      </c>
      <c r="AD276" s="43">
        <f>+'Sys INPUT'!AD186</f>
        <v>19792</v>
      </c>
      <c r="AE276" s="43">
        <f>+'Sys INPUT'!AE186</f>
        <v>77193</v>
      </c>
      <c r="AF276" s="43">
        <f>+'Sys INPUT'!AF186</f>
        <v>21108</v>
      </c>
      <c r="AG276" s="43">
        <f>+'Sys INPUT'!AG186</f>
        <v>476992</v>
      </c>
      <c r="AH276" s="43">
        <f>+'Sys INPUT'!AH186</f>
        <v>347620</v>
      </c>
      <c r="AI276" s="43">
        <f>+'Sys INPUT'!AI186</f>
        <v>45849</v>
      </c>
      <c r="AJ276" s="43">
        <f>+'Sys INPUT'!AJ186</f>
        <v>60394</v>
      </c>
      <c r="AK276" s="43">
        <f>+'Sys INPUT'!AK186</f>
        <v>25</v>
      </c>
      <c r="AL276" s="43">
        <f>+'Sys INPUT'!AL186</f>
        <v>52789</v>
      </c>
      <c r="AM276" s="43">
        <f>+'Sys INPUT'!AM186</f>
        <v>58393</v>
      </c>
      <c r="AN276" s="43">
        <f>+'Sys INPUT'!AN186</f>
        <v>193845</v>
      </c>
      <c r="AO276" s="43">
        <f>+'Sys INPUT'!AO186</f>
        <v>0</v>
      </c>
      <c r="AP276" s="43">
        <f>+'Sys INPUT'!AP186</f>
        <v>414553</v>
      </c>
      <c r="AQ276" s="43">
        <f>+'Sys INPUT'!AQ186</f>
        <v>696878</v>
      </c>
      <c r="AR276" s="43">
        <f>+'Sys INPUT'!AR186</f>
        <v>47367</v>
      </c>
      <c r="AS276" s="43">
        <f>+'Sys INPUT'!AS186</f>
        <v>67703</v>
      </c>
      <c r="AT276" s="43">
        <f>+'Sys INPUT'!AT186</f>
        <v>560220</v>
      </c>
      <c r="AU276" s="43">
        <f>+'Sys INPUT'!AU186</f>
        <v>-7069</v>
      </c>
      <c r="AV276" s="43">
        <f>+'Sys INPUT'!AV186</f>
        <v>0</v>
      </c>
      <c r="AW276" s="43"/>
      <c r="AX276" s="43">
        <f>+'Sys INPUT'!AX186</f>
        <v>-62728</v>
      </c>
      <c r="AY276" s="43">
        <f>+'Sys INPUT'!AY186</f>
        <v>0</v>
      </c>
      <c r="AZ276" s="43">
        <f>+'Sys INPUT'!AZ186</f>
        <v>34313</v>
      </c>
      <c r="BA276" s="43">
        <f>+'Sys INPUT'!BA186</f>
        <v>-25945</v>
      </c>
      <c r="BB276" s="43">
        <f>+'Sys INPUT'!BB186</f>
        <v>10529537</v>
      </c>
      <c r="BC276" s="43">
        <f>+'Sys INPUT'!BC186</f>
        <v>6043255</v>
      </c>
      <c r="BD276" s="32">
        <v>326744</v>
      </c>
      <c r="BE276" s="1"/>
      <c r="BF276" s="1">
        <f>SUM(J276:BE276)-BC276-E276</f>
        <v>23920228</v>
      </c>
      <c r="BG276" s="1">
        <f t="shared" ref="BG276" si="410">+BF276-X276-P276-BB276-BC276</f>
        <v>4000287</v>
      </c>
      <c r="BH276" s="43">
        <f>+'Sys INPUT'!BH186</f>
        <v>0</v>
      </c>
      <c r="BI276" s="43">
        <f>+'Sys INPUT'!BI186</f>
        <v>46955</v>
      </c>
      <c r="BJ276" s="43">
        <f>+'Sys INPUT'!BJ186</f>
        <v>0</v>
      </c>
      <c r="BK276" s="43">
        <f>+'Sys INPUT'!BK186</f>
        <v>366520</v>
      </c>
      <c r="BL276" s="43">
        <f>+'Sys INPUT'!BL186</f>
        <v>59194</v>
      </c>
      <c r="BM276" s="43">
        <f>+'Sys INPUT'!BM186</f>
        <v>4817</v>
      </c>
      <c r="BN276" s="43">
        <f>+'Sys INPUT'!BN186</f>
        <v>94782</v>
      </c>
      <c r="BO276" s="1"/>
      <c r="BP276" s="1">
        <f>SUM(BH276:BN276)</f>
        <v>572268</v>
      </c>
      <c r="BQ276" s="1"/>
      <c r="BR276" s="43">
        <f>+'Sys INPUT'!BR186</f>
        <v>15525227</v>
      </c>
      <c r="BS276" s="43">
        <f>+'Sys INPUT'!BS186</f>
        <v>0</v>
      </c>
      <c r="BT276" s="43">
        <f>+'Sys INPUT'!BT186</f>
        <v>-15316</v>
      </c>
      <c r="BU276" s="43">
        <f>+'Sys INPUT'!BU186</f>
        <v>0</v>
      </c>
      <c r="BV276" s="43">
        <f>+'Sys INPUT'!BV186</f>
        <v>46164</v>
      </c>
      <c r="BW276" s="43">
        <f>+'Sys INPUT'!BW186</f>
        <v>1562109</v>
      </c>
      <c r="BX276" s="3"/>
      <c r="BY276" s="1">
        <f>SUM(BS276:BX276)</f>
        <v>1592957</v>
      </c>
      <c r="BZ276" s="1"/>
      <c r="CA276" s="1"/>
      <c r="CB276" s="32"/>
      <c r="CC276" s="32"/>
      <c r="CD276" s="32"/>
      <c r="CE276" s="32"/>
      <c r="CF276" s="32"/>
      <c r="CG276" s="32"/>
      <c r="CH276" s="32"/>
      <c r="CI276" s="1"/>
      <c r="CJ276" s="1">
        <f>SUM(CB276:CI276)</f>
        <v>0</v>
      </c>
      <c r="CK276" s="1"/>
      <c r="CL276" s="32"/>
      <c r="CM276" s="32"/>
      <c r="CN276" s="32"/>
      <c r="CO276" s="32"/>
      <c r="CP276" s="32"/>
      <c r="CQ276" s="32"/>
      <c r="CR276" s="32"/>
      <c r="CS276" s="1"/>
      <c r="CT276" s="5"/>
      <c r="CU276" s="1">
        <f>SUM(CL276:CT276)</f>
        <v>0</v>
      </c>
      <c r="CW276" s="32"/>
      <c r="CX276" s="32"/>
      <c r="CY276" s="32"/>
      <c r="CZ276" s="32"/>
      <c r="DA276" s="32"/>
      <c r="DB276" s="32"/>
      <c r="DC276" s="32"/>
      <c r="DD276" s="32"/>
      <c r="DE276" s="32"/>
      <c r="DF276" s="32"/>
      <c r="DG276" s="32"/>
      <c r="DH276" s="32"/>
      <c r="DI276" s="32"/>
      <c r="DJ276" s="32"/>
      <c r="DK276" s="32"/>
      <c r="DL276" s="32"/>
      <c r="DM276" s="32"/>
      <c r="DN276" s="32"/>
      <c r="DO276" s="32"/>
      <c r="DP276" s="32"/>
      <c r="DQ276" s="32"/>
      <c r="DR276" s="32"/>
      <c r="DS276" s="32"/>
      <c r="DT276" s="32"/>
      <c r="DW276" s="1"/>
      <c r="DX276" s="1"/>
      <c r="DY276" s="1"/>
      <c r="DZ276" s="1"/>
      <c r="EB276" s="32"/>
      <c r="EC276" s="1"/>
      <c r="ED276" s="1"/>
      <c r="EE276" s="1"/>
      <c r="EF276" s="32">
        <v>166106</v>
      </c>
      <c r="EG276" s="1"/>
      <c r="EL276" s="32">
        <v>0</v>
      </c>
      <c r="EM276" s="32">
        <v>0</v>
      </c>
      <c r="EQ276" s="32">
        <v>0</v>
      </c>
    </row>
    <row r="277" spans="1:147" ht="15.75" customHeight="1">
      <c r="A277" s="1"/>
      <c r="B277" s="1"/>
      <c r="C277" s="1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3"/>
      <c r="BY277" s="1"/>
      <c r="BZ277" s="1"/>
      <c r="CA277" s="1"/>
      <c r="CB277" s="1"/>
      <c r="CC277" s="1"/>
      <c r="CD277" s="1"/>
      <c r="CE277" s="1"/>
      <c r="CF277" s="1"/>
      <c r="CG277" s="1"/>
      <c r="CH277" s="1"/>
      <c r="CI277" s="1"/>
      <c r="CJ277" s="1"/>
      <c r="CK277" s="1"/>
      <c r="CL277" s="1"/>
      <c r="CM277" s="1"/>
      <c r="CN277" s="1"/>
      <c r="CO277" s="1"/>
      <c r="CP277" s="1"/>
      <c r="CQ277" s="1"/>
      <c r="CR277" s="1"/>
      <c r="CS277" s="1"/>
      <c r="CT277" s="5"/>
      <c r="CU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W277" s="1"/>
      <c r="DX277" s="1"/>
      <c r="DY277" s="1"/>
      <c r="DZ277" s="1"/>
      <c r="EB277" s="1"/>
      <c r="EC277" s="1"/>
      <c r="ED277" s="1"/>
      <c r="EE277" s="1"/>
      <c r="EF277" s="1"/>
      <c r="EG277" s="1"/>
      <c r="EL277" s="1"/>
      <c r="EM277" s="1"/>
      <c r="EQ277" s="1"/>
    </row>
    <row r="278" spans="1:147" ht="15.75" customHeight="1">
      <c r="A278" s="1"/>
      <c r="B278" s="1"/>
      <c r="C278" s="1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3"/>
      <c r="BY278" s="1"/>
      <c r="BZ278" s="1"/>
      <c r="CA278" s="1"/>
      <c r="CB278" s="1"/>
      <c r="CC278" s="1"/>
      <c r="CD278" s="1"/>
      <c r="CE278" s="1"/>
      <c r="CF278" s="1"/>
      <c r="CG278" s="1"/>
      <c r="CH278" s="1"/>
      <c r="CI278" s="1"/>
      <c r="CJ278" s="1"/>
      <c r="CK278" s="1"/>
      <c r="CL278" s="1"/>
      <c r="CM278" s="1"/>
      <c r="CN278" s="1"/>
      <c r="CO278" s="1"/>
      <c r="CP278" s="1"/>
      <c r="CQ278" s="1"/>
      <c r="CR278" s="1"/>
      <c r="CS278" s="1"/>
      <c r="CT278" s="5"/>
      <c r="CU278" s="1"/>
      <c r="CW278" s="1"/>
      <c r="CX278" s="1"/>
      <c r="CZ278" s="1"/>
      <c r="DA278" s="1"/>
      <c r="DB278" s="1"/>
      <c r="DC278" s="1"/>
      <c r="DD278" s="1"/>
      <c r="DE278" s="1"/>
      <c r="DF278" s="1"/>
      <c r="DG278" s="1"/>
      <c r="DH278" s="1"/>
      <c r="DI278" s="1"/>
      <c r="DJ278" s="1"/>
      <c r="DK278" s="1"/>
      <c r="DL278" s="1"/>
      <c r="DM278" s="1"/>
      <c r="DN278" s="1"/>
      <c r="DO278" s="1"/>
      <c r="DP278" s="1"/>
      <c r="DQ278" s="1"/>
      <c r="DR278" s="1"/>
      <c r="DS278" s="1"/>
      <c r="DT278" s="1"/>
      <c r="DW278" s="1"/>
      <c r="DX278" s="1"/>
      <c r="DY278" s="1"/>
      <c r="DZ278" s="1"/>
      <c r="EB278" s="1"/>
      <c r="EC278" s="1"/>
      <c r="ED278" s="1"/>
      <c r="EE278" s="1"/>
      <c r="EF278" s="1"/>
      <c r="EG278" s="1"/>
      <c r="EL278" s="1"/>
      <c r="EM278" s="1"/>
      <c r="EQ278" s="1"/>
    </row>
    <row r="279" spans="1:147" ht="15.75" customHeight="1">
      <c r="A279" s="1"/>
      <c r="B279" s="1"/>
      <c r="C279" s="1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3"/>
      <c r="BY279" s="1"/>
      <c r="BZ279" s="1"/>
      <c r="CA279" s="1"/>
      <c r="CB279" s="1"/>
      <c r="CC279" s="1"/>
      <c r="CD279" s="1"/>
      <c r="CE279" s="1"/>
      <c r="CF279" s="1"/>
      <c r="CG279" s="1"/>
      <c r="CH279" s="1"/>
      <c r="CI279" s="1"/>
      <c r="CJ279" s="1"/>
      <c r="CK279" s="1"/>
      <c r="CL279" s="1"/>
      <c r="CM279" s="1"/>
      <c r="CN279" s="1"/>
      <c r="CO279" s="1"/>
      <c r="CP279" s="1"/>
      <c r="CQ279" s="1"/>
      <c r="CR279" s="1"/>
      <c r="CS279" s="1"/>
      <c r="CT279" s="5"/>
      <c r="CU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W279" s="1"/>
      <c r="DX279" s="1"/>
      <c r="DY279" s="1"/>
      <c r="DZ279" s="1"/>
      <c r="EB279" s="1"/>
      <c r="EC279" s="1"/>
      <c r="ED279" s="1"/>
      <c r="EE279" s="1"/>
      <c r="EF279" s="1"/>
      <c r="EG279" s="1"/>
      <c r="EL279" s="1"/>
      <c r="EM279" s="1"/>
      <c r="EQ279" s="1"/>
    </row>
    <row r="280" spans="1:147" ht="15.75" customHeight="1">
      <c r="A280" s="1"/>
      <c r="B280" s="3" t="s">
        <v>3306</v>
      </c>
      <c r="C280" s="3"/>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f>+BF283+D283</f>
        <v>389205</v>
      </c>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5"/>
      <c r="CU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W280" s="1"/>
      <c r="DX280" s="1"/>
      <c r="DY280" s="1"/>
      <c r="DZ280" s="1"/>
      <c r="EB280" s="1"/>
      <c r="EC280" s="1"/>
      <c r="ED280" s="1"/>
      <c r="EE280" s="1"/>
      <c r="EF280" s="1"/>
      <c r="EG280" s="1"/>
      <c r="EL280" s="1"/>
      <c r="EM280" s="1"/>
      <c r="EQ280" s="1"/>
    </row>
    <row r="281" spans="1:147" ht="15.75" customHeight="1">
      <c r="A281" s="1"/>
      <c r="B281" s="3"/>
      <c r="C281" s="3"/>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5"/>
      <c r="CU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W281" s="1"/>
      <c r="DX281" s="1"/>
      <c r="DY281" s="1"/>
      <c r="DZ281" s="1"/>
      <c r="EB281" s="1"/>
      <c r="EC281" s="1"/>
      <c r="ED281" s="1"/>
      <c r="EE281" s="1"/>
      <c r="EF281" s="1"/>
      <c r="EG281" s="1"/>
      <c r="EL281" s="1"/>
      <c r="EM281" s="1"/>
      <c r="EQ281" s="1"/>
    </row>
    <row r="282" spans="1:147" ht="15.75" customHeight="1">
      <c r="A282" s="4"/>
      <c r="B282" s="3" t="s">
        <v>270</v>
      </c>
      <c r="C282" s="3"/>
      <c r="D282" s="1"/>
      <c r="E282" s="120"/>
      <c r="F282" s="1"/>
      <c r="G282" s="1"/>
      <c r="H282" s="1"/>
      <c r="I282" s="156" t="s">
        <v>1577</v>
      </c>
      <c r="J282" s="1"/>
      <c r="K282" s="1"/>
      <c r="L282" s="1"/>
      <c r="M282" s="1"/>
      <c r="N282" s="1"/>
      <c r="O282" s="1"/>
      <c r="P282" s="1"/>
      <c r="Q282" s="1"/>
      <c r="R282" s="1"/>
      <c r="S282" s="1"/>
      <c r="T282" s="120"/>
      <c r="U282" s="1"/>
      <c r="V282" s="1"/>
      <c r="W282" s="1"/>
      <c r="X282" s="1"/>
      <c r="Y282" s="120"/>
      <c r="Z282" s="120"/>
      <c r="AA282" s="1"/>
      <c r="AB282" s="1"/>
      <c r="AC282" s="1"/>
      <c r="AD282" s="1"/>
      <c r="AE282" s="1"/>
      <c r="AF282" s="1"/>
      <c r="AG282" s="1"/>
      <c r="AH282" s="1"/>
      <c r="AI282" s="1"/>
      <c r="AJ282" s="1"/>
      <c r="AK282" s="1"/>
      <c r="AL282" s="1"/>
      <c r="AM282" s="1"/>
      <c r="AN282" s="1"/>
      <c r="AO282" s="1"/>
      <c r="AP282" s="1"/>
      <c r="AQ282" s="1"/>
      <c r="AR282" s="1"/>
      <c r="AS282" s="1"/>
      <c r="AT282" s="1"/>
      <c r="AU282" s="156" t="s">
        <v>1577</v>
      </c>
      <c r="AV282" s="156" t="s">
        <v>1577</v>
      </c>
      <c r="AW282" s="1"/>
      <c r="AX282" s="156" t="s">
        <v>1577</v>
      </c>
      <c r="AY282" s="1"/>
      <c r="AZ282" s="156" t="s">
        <v>1577</v>
      </c>
      <c r="BA282" s="156" t="s">
        <v>1577</v>
      </c>
      <c r="BB282" s="156" t="s">
        <v>1577</v>
      </c>
      <c r="BC282" s="1"/>
      <c r="BD282" s="1"/>
      <c r="BE282" s="1"/>
      <c r="BF282" s="1">
        <f>+BF285+D285+BP285+BY285</f>
        <v>578284</v>
      </c>
      <c r="BG282" s="1">
        <f t="shared" ref="BG282:BG291" si="411">+BF282-X282-P282-BB282-BC282</f>
        <v>578284</v>
      </c>
      <c r="BH282" s="1"/>
      <c r="BI282" s="1"/>
      <c r="BJ282" s="120" t="s">
        <v>1577</v>
      </c>
      <c r="BK282" s="1"/>
      <c r="BL282" s="1"/>
      <c r="BM282" s="1"/>
      <c r="BN282" s="1"/>
      <c r="BO282" s="1"/>
      <c r="BP282" s="1"/>
      <c r="BQ282" s="1"/>
      <c r="BR282" s="1"/>
      <c r="BS282" s="124"/>
      <c r="BT282" s="124"/>
      <c r="BU282" s="156" t="s">
        <v>1577</v>
      </c>
      <c r="BV282" s="120"/>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5"/>
      <c r="CU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W282" s="1"/>
      <c r="DX282" s="1"/>
      <c r="DY282" s="1"/>
      <c r="DZ282" s="1"/>
      <c r="EB282" s="1"/>
      <c r="EC282" s="1"/>
      <c r="ED282" s="1"/>
      <c r="EE282" s="1"/>
      <c r="EF282" s="1"/>
      <c r="EG282" s="1"/>
      <c r="EL282" s="1"/>
      <c r="EM282" s="1"/>
      <c r="EQ282" s="1"/>
    </row>
    <row r="283" spans="1:147" ht="15.75" customHeight="1">
      <c r="A283" s="1"/>
      <c r="B283" s="1" t="s">
        <v>871</v>
      </c>
      <c r="C283" s="11"/>
      <c r="D283" s="856">
        <v>79820</v>
      </c>
      <c r="E283" s="1"/>
      <c r="F283" s="1"/>
      <c r="G283" s="1"/>
      <c r="H283" s="1"/>
      <c r="I283" s="1"/>
      <c r="J283" s="856">
        <v>35463</v>
      </c>
      <c r="K283" s="1"/>
      <c r="L283" s="1"/>
      <c r="M283" s="856">
        <v>31546</v>
      </c>
      <c r="N283" s="1"/>
      <c r="O283" s="1"/>
      <c r="P283" s="1"/>
      <c r="Q283" s="1"/>
      <c r="R283" s="1"/>
      <c r="S283" s="856">
        <v>0</v>
      </c>
      <c r="T283" s="1"/>
      <c r="U283" s="1"/>
      <c r="V283" s="1"/>
      <c r="W283" s="1"/>
      <c r="X283" s="82">
        <v>145969</v>
      </c>
      <c r="Y283" s="1"/>
      <c r="Z283" s="1"/>
      <c r="AA283" s="1"/>
      <c r="AB283" s="82">
        <v>70201</v>
      </c>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856">
        <v>26206</v>
      </c>
      <c r="BD283" s="1"/>
      <c r="BE283" s="1"/>
      <c r="BF283" s="1">
        <f t="shared" ref="BF283:BF291" si="412">SUM(E283:BE283)</f>
        <v>309385</v>
      </c>
      <c r="BG283" s="1">
        <f t="shared" si="411"/>
        <v>137210</v>
      </c>
      <c r="BH283" s="1"/>
      <c r="BI283" s="32">
        <v>0</v>
      </c>
      <c r="BJ283" s="81"/>
      <c r="BK283" s="1"/>
      <c r="BL283" s="1"/>
      <c r="BM283" s="1"/>
      <c r="BN283" s="32"/>
      <c r="BO283" s="1"/>
      <c r="BP283" s="1">
        <f t="shared" ref="BP283:BP291" si="413">SUM(BH283:BN283)</f>
        <v>0</v>
      </c>
      <c r="BQ283" s="1">
        <f>+BP283-BN283</f>
        <v>0</v>
      </c>
      <c r="BR283" s="1"/>
      <c r="BS283" s="1"/>
      <c r="BT283" s="1"/>
      <c r="BU283" s="1"/>
      <c r="BV283" s="1"/>
      <c r="BW283" s="1"/>
      <c r="BX283" s="1"/>
      <c r="BY283" s="1">
        <f t="shared" ref="BY283:BY291" si="414">SUM(BR283:BX283)</f>
        <v>0</v>
      </c>
      <c r="BZ283" s="1">
        <f t="shared" ref="BZ283:BZ291" si="415">+BY283-BR283-BW283</f>
        <v>0</v>
      </c>
      <c r="CA283" s="1">
        <f t="shared" ref="CA283:CA291" si="416">+BG283+BQ283+BZ283+EF283</f>
        <v>137210</v>
      </c>
      <c r="CB283" s="1"/>
      <c r="CC283" s="1"/>
      <c r="CD283" s="1"/>
      <c r="CE283" s="1"/>
      <c r="CF283" s="1"/>
      <c r="CG283" s="1"/>
      <c r="CH283" s="1"/>
      <c r="CI283" s="1"/>
      <c r="CJ283" s="1">
        <f t="shared" ref="CJ283:CJ290" si="417">SUM(CB283:CI283)</f>
        <v>0</v>
      </c>
      <c r="CK283" s="1">
        <f t="shared" ref="CK283:CK291" si="418">+CJ283-CB283-CC283-CG283</f>
        <v>0</v>
      </c>
      <c r="CL283" s="1"/>
      <c r="CM283" s="1"/>
      <c r="CN283" s="1"/>
      <c r="CO283" s="1"/>
      <c r="CP283" s="1"/>
      <c r="CQ283" s="1"/>
      <c r="CR283" s="1"/>
      <c r="CS283" s="1"/>
      <c r="CT283" s="5"/>
      <c r="CU283" s="1">
        <f t="shared" ref="CU283:CU291" si="419">SUM(CL283:CT283)</f>
        <v>0</v>
      </c>
      <c r="CW283" s="32"/>
      <c r="CX283" s="32"/>
      <c r="CY283" s="32"/>
      <c r="CZ283" s="32"/>
      <c r="DA283" s="32"/>
      <c r="DB283" s="32"/>
      <c r="DC283" s="32"/>
      <c r="DD283" s="32"/>
      <c r="DE283" s="32"/>
      <c r="DF283" s="32"/>
      <c r="DG283" s="32"/>
      <c r="DH283" s="32"/>
      <c r="DI283" s="32"/>
      <c r="DJ283" s="32"/>
      <c r="DK283" s="32"/>
      <c r="DL283" s="32"/>
      <c r="DM283" s="32"/>
      <c r="DN283" s="32"/>
      <c r="DO283" s="32"/>
      <c r="DP283" s="32"/>
      <c r="DQ283" s="32"/>
      <c r="DR283" s="32"/>
      <c r="DS283" s="32"/>
      <c r="DT283" s="32"/>
      <c r="DW283" s="1">
        <f t="shared" ref="DW283:DW290" si="420">SUM(CX283:DV283)</f>
        <v>0</v>
      </c>
      <c r="DX283" s="1"/>
      <c r="DY283" s="1"/>
      <c r="DZ283" s="1"/>
      <c r="EB283" s="1"/>
      <c r="EC283" s="1"/>
      <c r="ED283" s="1"/>
      <c r="EE283" s="1"/>
      <c r="EF283" s="1"/>
      <c r="EG283" s="1"/>
      <c r="EL283" s="1"/>
      <c r="EM283" s="1"/>
      <c r="EQ283" s="1"/>
    </row>
    <row r="284" spans="1:147" ht="15.75" customHeight="1">
      <c r="A284" s="1">
        <v>32</v>
      </c>
      <c r="B284" s="1" t="s">
        <v>1276</v>
      </c>
      <c r="C284" s="11"/>
      <c r="D284" s="856">
        <v>112318</v>
      </c>
      <c r="E284" s="1"/>
      <c r="F284" s="1"/>
      <c r="G284" s="1"/>
      <c r="H284" s="1"/>
      <c r="I284" s="1"/>
      <c r="J284" s="1"/>
      <c r="K284" s="1"/>
      <c r="L284" s="1"/>
      <c r="M284" s="1"/>
      <c r="N284" s="1"/>
      <c r="O284" s="1"/>
      <c r="P284" s="1"/>
      <c r="Q284" s="1"/>
      <c r="R284" s="1"/>
      <c r="S284" s="1"/>
      <c r="T284" s="1"/>
      <c r="U284" s="1"/>
      <c r="V284" s="1"/>
      <c r="W284" s="1"/>
      <c r="X284" s="1"/>
      <c r="Y284" s="1"/>
      <c r="Z284" s="120"/>
      <c r="AA284" s="1"/>
      <c r="AB284" s="1"/>
      <c r="AC284" s="1"/>
      <c r="AD284" s="1"/>
      <c r="AE284" s="1"/>
      <c r="AF284" s="1"/>
      <c r="AG284" s="1"/>
      <c r="AH284" s="1"/>
      <c r="AI284" s="1"/>
      <c r="AJ284" s="1"/>
      <c r="AK284" s="1"/>
      <c r="AL284" s="1"/>
      <c r="AM284" s="1"/>
      <c r="AN284" s="1"/>
      <c r="AO284" s="1"/>
      <c r="AP284" s="1"/>
      <c r="AQ284" s="1"/>
      <c r="AR284" s="1"/>
      <c r="AS284" s="1"/>
      <c r="AT284" s="1"/>
      <c r="AU284" s="120"/>
      <c r="AV284" s="120"/>
      <c r="AW284" s="1"/>
      <c r="AX284" s="120"/>
      <c r="AY284" s="120"/>
      <c r="AZ284" s="120"/>
      <c r="BA284" s="1"/>
      <c r="BB284" s="120"/>
      <c r="BD284" s="1"/>
      <c r="BE284" s="1"/>
      <c r="BF284" s="1">
        <f t="shared" si="412"/>
        <v>0</v>
      </c>
      <c r="BG284" s="1">
        <f t="shared" si="411"/>
        <v>0</v>
      </c>
      <c r="BH284" s="1"/>
      <c r="BI284" s="1"/>
      <c r="BJ284" s="1"/>
      <c r="BK284" s="1"/>
      <c r="BL284" s="1"/>
      <c r="BM284" s="1"/>
      <c r="BN284" s="1"/>
      <c r="BO284" s="1"/>
      <c r="BP284" s="1">
        <f t="shared" si="413"/>
        <v>0</v>
      </c>
      <c r="BQ284" s="1">
        <f t="shared" ref="BQ284:BQ291" si="421">+BP284-BN284</f>
        <v>0</v>
      </c>
      <c r="BR284" s="1"/>
      <c r="BS284" s="120"/>
      <c r="BT284" s="1"/>
      <c r="BU284" s="120"/>
      <c r="BV284" s="120"/>
      <c r="BW284" s="1"/>
      <c r="BX284" s="1"/>
      <c r="BY284" s="1">
        <f t="shared" si="414"/>
        <v>0</v>
      </c>
      <c r="BZ284" s="1">
        <f t="shared" si="415"/>
        <v>0</v>
      </c>
      <c r="CA284" s="1">
        <f t="shared" si="416"/>
        <v>0</v>
      </c>
      <c r="CB284" s="1"/>
      <c r="CC284" s="1"/>
      <c r="CD284" s="1"/>
      <c r="CE284" s="1"/>
      <c r="CF284" s="1"/>
      <c r="CG284" s="1"/>
      <c r="CH284" s="1"/>
      <c r="CI284" s="1"/>
      <c r="CJ284" s="1"/>
      <c r="CK284" s="1">
        <f t="shared" si="418"/>
        <v>0</v>
      </c>
      <c r="CL284" s="1"/>
      <c r="CM284" s="1"/>
      <c r="CN284" s="1"/>
      <c r="CO284" s="1"/>
      <c r="CP284" s="1"/>
      <c r="CQ284" s="1"/>
      <c r="CR284" s="1"/>
      <c r="CS284" s="1"/>
      <c r="CT284" s="5"/>
      <c r="CU284" s="1">
        <f t="shared" si="419"/>
        <v>0</v>
      </c>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W284" s="1">
        <f t="shared" si="420"/>
        <v>0</v>
      </c>
      <c r="DX284" s="1"/>
      <c r="DY284" s="1"/>
      <c r="DZ284" s="1"/>
      <c r="EB284" s="1"/>
      <c r="EC284" s="1"/>
      <c r="ED284" s="1"/>
      <c r="EE284" s="1"/>
      <c r="EF284" s="1"/>
      <c r="EG284" s="1"/>
      <c r="EL284" s="1"/>
      <c r="EM284" s="1"/>
      <c r="EQ284" s="1"/>
    </row>
    <row r="285" spans="1:147" ht="15.75" customHeight="1">
      <c r="A285" s="1">
        <v>33</v>
      </c>
      <c r="B285" s="89" t="s">
        <v>1874</v>
      </c>
      <c r="C285" s="11"/>
      <c r="D285" s="32"/>
      <c r="E285" s="856">
        <v>172353</v>
      </c>
      <c r="F285" s="1"/>
      <c r="G285" s="1"/>
      <c r="H285" s="32"/>
      <c r="I285" s="138">
        <v>124313</v>
      </c>
      <c r="J285" s="138"/>
      <c r="K285" s="1"/>
      <c r="L285" s="1"/>
      <c r="M285" s="32"/>
      <c r="N285" s="1"/>
      <c r="O285" s="1"/>
      <c r="P285" s="1"/>
      <c r="Q285" s="32"/>
      <c r="R285" s="1"/>
      <c r="S285" s="32"/>
      <c r="T285" s="1"/>
      <c r="U285" s="856">
        <v>28910</v>
      </c>
      <c r="V285" s="1"/>
      <c r="W285" s="1"/>
      <c r="X285" s="32">
        <v>87014</v>
      </c>
      <c r="Y285" s="148"/>
      <c r="Z285" s="120"/>
      <c r="AA285" s="1"/>
      <c r="AB285" s="32">
        <v>0</v>
      </c>
      <c r="AC285" s="1"/>
      <c r="AD285" s="1"/>
      <c r="AE285" s="32"/>
      <c r="AF285" s="1"/>
      <c r="AG285" s="1"/>
      <c r="AH285" s="32">
        <v>0</v>
      </c>
      <c r="AI285" s="1"/>
      <c r="AJ285" s="1"/>
      <c r="AK285" s="1"/>
      <c r="AL285" s="1"/>
      <c r="AM285" s="1"/>
      <c r="AN285" s="1"/>
      <c r="AO285" s="1"/>
      <c r="AP285" s="1"/>
      <c r="AQ285" s="1"/>
      <c r="AR285" s="148">
        <v>104504</v>
      </c>
      <c r="AS285" s="1"/>
      <c r="AT285" s="1"/>
      <c r="AU285" s="856">
        <v>61190</v>
      </c>
      <c r="AV285" s="755"/>
      <c r="AW285" s="1"/>
      <c r="AX285" s="81"/>
      <c r="AY285" s="148"/>
      <c r="AZ285" s="81"/>
      <c r="BA285" s="81"/>
      <c r="BB285" s="81"/>
      <c r="BE285" s="1"/>
      <c r="BF285" s="1">
        <f t="shared" si="412"/>
        <v>578284</v>
      </c>
      <c r="BG285" s="1">
        <f t="shared" si="411"/>
        <v>491270</v>
      </c>
      <c r="BH285" s="1"/>
      <c r="BI285" s="1"/>
      <c r="BJ285" s="1"/>
      <c r="BK285" s="1"/>
      <c r="BL285" s="1"/>
      <c r="BM285" s="1"/>
      <c r="BN285" s="1"/>
      <c r="BO285" s="1"/>
      <c r="BP285" s="1">
        <f t="shared" si="413"/>
        <v>0</v>
      </c>
      <c r="BQ285" s="1">
        <f t="shared" si="421"/>
        <v>0</v>
      </c>
      <c r="BR285" s="81"/>
      <c r="BS285" s="81"/>
      <c r="BT285" s="81"/>
      <c r="BU285" s="81">
        <v>0</v>
      </c>
      <c r="BV285" s="81"/>
      <c r="BW285" s="32"/>
      <c r="BX285" s="1"/>
      <c r="BY285" s="1">
        <f t="shared" si="414"/>
        <v>0</v>
      </c>
      <c r="BZ285" s="1">
        <f t="shared" si="415"/>
        <v>0</v>
      </c>
      <c r="CA285" s="1">
        <f t="shared" si="416"/>
        <v>491270</v>
      </c>
      <c r="CB285" s="1"/>
      <c r="CC285" s="1"/>
      <c r="CD285" s="1"/>
      <c r="CE285" s="1"/>
      <c r="CF285" s="1"/>
      <c r="CG285" s="1"/>
      <c r="CH285" s="1"/>
      <c r="CI285" s="1"/>
      <c r="CJ285" s="1">
        <f t="shared" si="417"/>
        <v>0</v>
      </c>
      <c r="CK285" s="1">
        <f t="shared" si="418"/>
        <v>0</v>
      </c>
      <c r="CL285" s="1"/>
      <c r="CM285" s="1"/>
      <c r="CN285" s="1"/>
      <c r="CO285" s="1"/>
      <c r="CP285" s="1"/>
      <c r="CQ285" s="1"/>
      <c r="CR285" s="1"/>
      <c r="CS285" s="1"/>
      <c r="CT285" s="5"/>
      <c r="CU285" s="1">
        <f t="shared" si="419"/>
        <v>0</v>
      </c>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W285" s="1">
        <f t="shared" si="420"/>
        <v>0</v>
      </c>
      <c r="DX285" s="1"/>
      <c r="DY285" s="1"/>
      <c r="DZ285" s="1"/>
      <c r="EB285" s="271" t="s">
        <v>2754</v>
      </c>
      <c r="EC285" s="89"/>
      <c r="ED285" s="1"/>
      <c r="EE285" s="1"/>
      <c r="EF285" s="1"/>
      <c r="EG285" s="1"/>
      <c r="EL285" s="1"/>
      <c r="EM285" s="1"/>
      <c r="EQ285" s="1"/>
    </row>
    <row r="286" spans="1:147" ht="15.75" customHeight="1">
      <c r="A286" s="1">
        <v>34</v>
      </c>
      <c r="B286" s="1" t="s">
        <v>1370</v>
      </c>
      <c r="C286" s="11"/>
      <c r="D286" s="32"/>
      <c r="E286" s="82"/>
      <c r="F286" s="1"/>
      <c r="G286" s="1"/>
      <c r="H286" s="32"/>
      <c r="I286" s="1"/>
      <c r="J286" s="32"/>
      <c r="K286" s="1"/>
      <c r="L286" s="1"/>
      <c r="M286" s="1"/>
      <c r="N286" s="1"/>
      <c r="O286" s="1"/>
      <c r="P286" s="1"/>
      <c r="Q286" s="1"/>
      <c r="R286" s="1"/>
      <c r="S286" s="1"/>
      <c r="T286" s="1"/>
      <c r="U286" s="32"/>
      <c r="V286" s="1"/>
      <c r="W286" s="1"/>
      <c r="X286" s="82">
        <v>79518</v>
      </c>
      <c r="Y286" s="1"/>
      <c r="Z286" s="120"/>
      <c r="AA286" s="1"/>
      <c r="AB286" s="1"/>
      <c r="AC286" s="1"/>
      <c r="AD286" s="1"/>
      <c r="AE286" s="1"/>
      <c r="AF286" s="1"/>
      <c r="AG286" s="1"/>
      <c r="AH286" s="1"/>
      <c r="AI286" s="1"/>
      <c r="AJ286" s="1"/>
      <c r="AK286" s="134"/>
      <c r="AL286" s="32"/>
      <c r="AM286" s="1"/>
      <c r="AN286" s="32"/>
      <c r="AO286" s="857"/>
      <c r="AP286" s="1"/>
      <c r="AQ286" s="1"/>
      <c r="AR286" s="1"/>
      <c r="AS286" s="1"/>
      <c r="AT286" s="1"/>
      <c r="AU286" s="1"/>
      <c r="AV286" s="1"/>
      <c r="AW286" s="1"/>
      <c r="AX286" s="81"/>
      <c r="AY286" s="1"/>
      <c r="AZ286" s="1"/>
      <c r="BA286" s="1"/>
      <c r="BB286" s="1"/>
      <c r="BE286" s="1"/>
      <c r="BF286" s="1">
        <f>SUM(E286:BE286)</f>
        <v>79518</v>
      </c>
      <c r="BG286" s="1">
        <f t="shared" si="411"/>
        <v>0</v>
      </c>
      <c r="BH286" s="1"/>
      <c r="BI286" s="1"/>
      <c r="BJ286" s="1"/>
      <c r="BK286" s="1"/>
      <c r="BL286" s="1"/>
      <c r="BM286" s="1"/>
      <c r="BN286" s="1"/>
      <c r="BO286" s="1"/>
      <c r="BP286" s="1">
        <f t="shared" si="413"/>
        <v>0</v>
      </c>
      <c r="BQ286" s="1">
        <f t="shared" si="421"/>
        <v>0</v>
      </c>
      <c r="BR286" s="1"/>
      <c r="BS286" s="1"/>
      <c r="BT286" s="1"/>
      <c r="BU286" s="1"/>
      <c r="BV286" s="1"/>
      <c r="BW286" s="1"/>
      <c r="BX286" s="1"/>
      <c r="BY286" s="1">
        <f t="shared" si="414"/>
        <v>0</v>
      </c>
      <c r="BZ286" s="1">
        <f t="shared" si="415"/>
        <v>0</v>
      </c>
      <c r="CA286" s="1">
        <f t="shared" si="416"/>
        <v>0</v>
      </c>
      <c r="CB286" s="1"/>
      <c r="CC286" s="82"/>
      <c r="CD286" s="1"/>
      <c r="CE286" s="1"/>
      <c r="CF286" s="82"/>
      <c r="CG286" s="82">
        <v>105636</v>
      </c>
      <c r="CH286" s="82"/>
      <c r="CI286" s="1"/>
      <c r="CJ286" s="1">
        <f t="shared" si="417"/>
        <v>105636</v>
      </c>
      <c r="CK286" s="1">
        <f>+CJ286-CB286-CC286-CG286</f>
        <v>0</v>
      </c>
      <c r="CL286" s="32"/>
      <c r="CM286" s="1"/>
      <c r="CN286" s="1"/>
      <c r="CO286" s="32"/>
      <c r="CP286" s="32"/>
      <c r="CQ286" s="1"/>
      <c r="CR286" s="32">
        <v>262150</v>
      </c>
      <c r="CS286" s="1"/>
      <c r="CT286" s="5"/>
      <c r="CU286" s="1">
        <f t="shared" si="419"/>
        <v>262150</v>
      </c>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W286" s="1">
        <f t="shared" si="420"/>
        <v>0</v>
      </c>
      <c r="DX286" s="1"/>
      <c r="DY286" s="1"/>
      <c r="DZ286" s="1"/>
      <c r="EB286" s="623">
        <v>0</v>
      </c>
      <c r="EC286" s="182" t="s">
        <v>2694</v>
      </c>
      <c r="ED286" s="1"/>
      <c r="EE286" s="1"/>
      <c r="EF286" s="1"/>
      <c r="EG286" s="1"/>
      <c r="EL286" s="1"/>
      <c r="EM286" s="1"/>
      <c r="EQ286" s="1"/>
    </row>
    <row r="287" spans="1:147" ht="15.75" customHeight="1">
      <c r="A287" s="1"/>
      <c r="B287" s="1" t="s">
        <v>1280</v>
      </c>
      <c r="C287" s="11"/>
      <c r="D287" s="1"/>
      <c r="E287" s="1"/>
      <c r="F287" s="1"/>
      <c r="G287" s="1"/>
      <c r="H287" s="1"/>
      <c r="I287" s="1"/>
      <c r="J287" s="1"/>
      <c r="K287" s="1"/>
      <c r="L287" s="1"/>
      <c r="M287" s="1"/>
      <c r="N287" s="1"/>
      <c r="O287" s="1"/>
      <c r="P287" s="1"/>
      <c r="Q287" s="1"/>
      <c r="R287" s="1"/>
      <c r="S287" s="1"/>
      <c r="T287" s="1"/>
      <c r="U287" s="1"/>
      <c r="V287" s="1"/>
      <c r="W287" s="1"/>
      <c r="X287" s="1"/>
      <c r="Y287" s="1"/>
      <c r="Z287" s="120"/>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E287" s="1"/>
      <c r="BF287" s="1">
        <f t="shared" si="412"/>
        <v>0</v>
      </c>
      <c r="BG287" s="1">
        <f t="shared" si="411"/>
        <v>0</v>
      </c>
      <c r="BH287" s="1"/>
      <c r="BI287" s="1"/>
      <c r="BJ287" s="1"/>
      <c r="BK287" s="1"/>
      <c r="BL287" s="1"/>
      <c r="BM287" s="1"/>
      <c r="BN287" s="1"/>
      <c r="BO287" s="1"/>
      <c r="BP287" s="1">
        <f t="shared" si="413"/>
        <v>0</v>
      </c>
      <c r="BQ287" s="1">
        <f t="shared" si="421"/>
        <v>0</v>
      </c>
      <c r="BR287" s="1"/>
      <c r="BS287" s="1"/>
      <c r="BT287" s="1"/>
      <c r="BU287" s="1"/>
      <c r="BV287" s="1"/>
      <c r="BW287" s="1"/>
      <c r="BX287" s="1"/>
      <c r="BY287" s="1">
        <f t="shared" si="414"/>
        <v>0</v>
      </c>
      <c r="BZ287" s="1">
        <f t="shared" si="415"/>
        <v>0</v>
      </c>
      <c r="CA287" s="1">
        <f t="shared" si="416"/>
        <v>0</v>
      </c>
      <c r="CB287" s="1"/>
      <c r="CC287" s="1"/>
      <c r="CD287" s="1"/>
      <c r="CE287" s="1"/>
      <c r="CF287" s="1"/>
      <c r="CG287" s="1"/>
      <c r="CH287" s="1"/>
      <c r="CI287" s="1"/>
      <c r="CJ287" s="1">
        <f t="shared" si="417"/>
        <v>0</v>
      </c>
      <c r="CK287" s="1">
        <f t="shared" si="418"/>
        <v>0</v>
      </c>
      <c r="CL287" s="1"/>
      <c r="CM287" s="1"/>
      <c r="CN287" s="1"/>
      <c r="CO287" s="1"/>
      <c r="CP287" s="1"/>
      <c r="CQ287" s="1"/>
      <c r="CR287" s="1"/>
      <c r="CS287" s="1"/>
      <c r="CT287" s="5"/>
      <c r="CU287" s="1">
        <f t="shared" si="419"/>
        <v>0</v>
      </c>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W287" s="1">
        <f t="shared" si="420"/>
        <v>0</v>
      </c>
      <c r="DX287" s="1"/>
      <c r="DY287" s="1"/>
      <c r="DZ287" s="1"/>
      <c r="EB287" s="1"/>
      <c r="EC287" s="253" t="s">
        <v>2977</v>
      </c>
      <c r="ED287" s="1"/>
      <c r="EE287" s="1"/>
      <c r="EF287" s="1"/>
      <c r="EG287" s="1"/>
      <c r="EL287" s="1"/>
      <c r="EM287" s="1"/>
      <c r="EQ287" s="1"/>
    </row>
    <row r="288" spans="1:147" ht="15.75" customHeight="1">
      <c r="A288" s="1"/>
      <c r="B288" s="1" t="s">
        <v>1374</v>
      </c>
      <c r="C288" s="11"/>
      <c r="D288" s="1"/>
      <c r="E288" s="1"/>
      <c r="F288" s="1"/>
      <c r="G288" s="1"/>
      <c r="H288" s="1"/>
      <c r="I288" s="1"/>
      <c r="J288" s="1"/>
      <c r="K288" s="1"/>
      <c r="L288" s="1"/>
      <c r="M288" s="1"/>
      <c r="N288" s="1"/>
      <c r="O288" s="1"/>
      <c r="P288" s="1"/>
      <c r="Q288" s="1"/>
      <c r="R288" s="1"/>
      <c r="S288" s="1"/>
      <c r="T288" s="1"/>
      <c r="U288" s="1"/>
      <c r="V288" s="1"/>
      <c r="W288" s="1"/>
      <c r="X288" s="1"/>
      <c r="Y288" s="1"/>
      <c r="Z288" s="120"/>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E288" s="1"/>
      <c r="BF288" s="1">
        <f t="shared" si="412"/>
        <v>0</v>
      </c>
      <c r="BG288" s="1">
        <f t="shared" si="411"/>
        <v>0</v>
      </c>
      <c r="BH288" s="1"/>
      <c r="BI288" s="1"/>
      <c r="BJ288" s="1"/>
      <c r="BK288" s="1"/>
      <c r="BL288" s="1"/>
      <c r="BM288" s="1"/>
      <c r="BN288" s="1"/>
      <c r="BO288" s="1"/>
      <c r="BP288" s="1">
        <f t="shared" si="413"/>
        <v>0</v>
      </c>
      <c r="BQ288" s="1">
        <f t="shared" si="421"/>
        <v>0</v>
      </c>
      <c r="BR288" s="1"/>
      <c r="BS288" s="1"/>
      <c r="BT288" s="1"/>
      <c r="BU288" s="1"/>
      <c r="BV288" s="1"/>
      <c r="BW288" s="1"/>
      <c r="BX288" s="1"/>
      <c r="BY288" s="1">
        <f t="shared" si="414"/>
        <v>0</v>
      </c>
      <c r="BZ288" s="1">
        <f t="shared" si="415"/>
        <v>0</v>
      </c>
      <c r="CA288" s="1">
        <f t="shared" si="416"/>
        <v>0</v>
      </c>
      <c r="CB288" s="1"/>
      <c r="CC288" s="149">
        <v>14685</v>
      </c>
      <c r="CD288" s="150">
        <v>5935</v>
      </c>
      <c r="CE288" s="150">
        <v>21954</v>
      </c>
      <c r="CF288" s="150">
        <v>170772</v>
      </c>
      <c r="CG288" s="1284">
        <v>0</v>
      </c>
      <c r="CH288" s="151">
        <v>3572</v>
      </c>
      <c r="CI288" s="1"/>
      <c r="CJ288" s="1">
        <f t="shared" si="417"/>
        <v>216918</v>
      </c>
      <c r="CK288" s="1">
        <f t="shared" si="418"/>
        <v>202233</v>
      </c>
      <c r="CL288" s="1"/>
      <c r="CM288" s="1"/>
      <c r="CN288" s="1"/>
      <c r="CO288" s="1"/>
      <c r="CP288" s="1"/>
      <c r="CQ288" s="1"/>
      <c r="CR288" s="1"/>
      <c r="CS288" s="1"/>
      <c r="CT288" s="5"/>
      <c r="CU288" s="1">
        <f t="shared" si="419"/>
        <v>0</v>
      </c>
      <c r="CW288" s="1070">
        <f>+'Sys INPUT'!CW121-INPUT!CW334</f>
        <v>88650</v>
      </c>
      <c r="CX288" s="1071">
        <f>+'Sys INPUT'!CX121-INPUT!CX334</f>
        <v>0</v>
      </c>
      <c r="CY288" s="1071">
        <f>+'Sys INPUT'!CY121-INPUT!CY334</f>
        <v>0</v>
      </c>
      <c r="CZ288" s="1071">
        <f>+'Sys INPUT'!CZ121-INPUT!CZ334</f>
        <v>0</v>
      </c>
      <c r="DA288" s="1071">
        <f>+'Sys INPUT'!DA121-INPUT!DA334</f>
        <v>0</v>
      </c>
      <c r="DB288" s="1071">
        <f>+'Sys INPUT'!DB121-INPUT!DB334</f>
        <v>0</v>
      </c>
      <c r="DC288" s="1071">
        <f>+'Sys INPUT'!DC121-INPUT!DC334</f>
        <v>0</v>
      </c>
      <c r="DD288" s="1071">
        <f>+'Sys INPUT'!DD121-INPUT!DD334</f>
        <v>0</v>
      </c>
      <c r="DE288" s="1071">
        <f>+'Sys INPUT'!DE121-INPUT!DE334</f>
        <v>0</v>
      </c>
      <c r="DF288" s="1071"/>
      <c r="DG288" s="1071">
        <f>+'Sys INPUT'!DG121-INPUT!DG334</f>
        <v>0</v>
      </c>
      <c r="DH288" s="1071">
        <f>+'Sys INPUT'!DH121-INPUT!DH334</f>
        <v>0</v>
      </c>
      <c r="DI288" s="1071">
        <f>+'Sys INPUT'!DI121-INPUT!DI334</f>
        <v>0</v>
      </c>
      <c r="DJ288" s="1071">
        <f>+'Sys INPUT'!DJ121-INPUT!DJ334</f>
        <v>0</v>
      </c>
      <c r="DK288" s="1071">
        <f>+'Sys INPUT'!DK121-INPUT!DK334</f>
        <v>0</v>
      </c>
      <c r="DL288" s="1071">
        <f>+'Sys INPUT'!DL121-INPUT!DL334</f>
        <v>0</v>
      </c>
      <c r="DM288" s="1071">
        <f>+'Sys INPUT'!DM121-INPUT!DM334</f>
        <v>0</v>
      </c>
      <c r="DN288" s="1071">
        <f>+'Sys INPUT'!DN121-INPUT!DN334</f>
        <v>0</v>
      </c>
      <c r="DO288" s="1071">
        <f>+'Sys INPUT'!DO121-INPUT!DO334</f>
        <v>0</v>
      </c>
      <c r="DP288" s="1071">
        <f>+'Sys INPUT'!DP121-INPUT!DP334</f>
        <v>0</v>
      </c>
      <c r="DQ288" s="1070">
        <f>+'Sys INPUT'!DQ121-INPUT!DQ334</f>
        <v>97743</v>
      </c>
      <c r="DR288" s="1070">
        <f>+'Sys INPUT'!DR121-INPUT!DR334</f>
        <v>1270594</v>
      </c>
      <c r="DS288" s="1070">
        <f>+'Sys INPUT'!DS121-INPUT!DS334</f>
        <v>891729</v>
      </c>
      <c r="DT288" s="1070">
        <f>+'Sys INPUT'!DT121-INPUT!DT334</f>
        <v>422764</v>
      </c>
      <c r="DW288" s="1">
        <f t="shared" si="420"/>
        <v>2682830</v>
      </c>
      <c r="DX288" s="1"/>
      <c r="DY288" s="1"/>
      <c r="DZ288" s="1"/>
      <c r="EB288" s="181">
        <v>0</v>
      </c>
      <c r="EC288" s="182"/>
      <c r="ED288" s="1"/>
      <c r="EE288" s="1"/>
      <c r="EF288" s="1"/>
      <c r="EG288" s="1"/>
      <c r="EL288" s="1"/>
      <c r="EM288" s="1"/>
      <c r="EQ288" s="1"/>
    </row>
    <row r="289" spans="1:147" ht="15.75" customHeight="1">
      <c r="A289" s="1">
        <v>35</v>
      </c>
      <c r="B289" s="1" t="s">
        <v>1177</v>
      </c>
      <c r="C289" s="11"/>
      <c r="D289" s="32"/>
      <c r="E289" s="1"/>
      <c r="F289" s="1"/>
      <c r="G289" s="1"/>
      <c r="H289" s="1"/>
      <c r="I289" s="1"/>
      <c r="J289" s="1"/>
      <c r="K289" s="1"/>
      <c r="L289" s="1"/>
      <c r="M289" s="32"/>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f t="shared" si="412"/>
        <v>0</v>
      </c>
      <c r="BG289" s="1">
        <f t="shared" si="411"/>
        <v>0</v>
      </c>
      <c r="BH289" s="1"/>
      <c r="BI289" s="1"/>
      <c r="BJ289" s="1"/>
      <c r="BK289" s="1"/>
      <c r="BL289" s="1"/>
      <c r="BM289" s="1"/>
      <c r="BN289" s="1"/>
      <c r="BO289" s="1"/>
      <c r="BP289" s="1">
        <f t="shared" si="413"/>
        <v>0</v>
      </c>
      <c r="BQ289" s="1">
        <f>+BP289-BN289</f>
        <v>0</v>
      </c>
      <c r="BR289" s="1"/>
      <c r="BS289" s="1"/>
      <c r="BT289" s="1"/>
      <c r="BU289" s="1"/>
      <c r="BV289" s="1"/>
      <c r="BW289" s="1"/>
      <c r="BX289" s="1"/>
      <c r="BY289" s="1">
        <f t="shared" si="414"/>
        <v>0</v>
      </c>
      <c r="BZ289" s="1">
        <f t="shared" si="415"/>
        <v>0</v>
      </c>
      <c r="CA289" s="1">
        <f t="shared" si="416"/>
        <v>0</v>
      </c>
      <c r="CB289" s="1"/>
      <c r="CC289" s="152" t="s">
        <v>3247</v>
      </c>
      <c r="CD289" s="153"/>
      <c r="CE289" s="869"/>
      <c r="CF289" s="869"/>
      <c r="CG289" s="154"/>
      <c r="CH289" s="155"/>
      <c r="CI289" s="1"/>
      <c r="CJ289" s="1">
        <f t="shared" si="417"/>
        <v>0</v>
      </c>
      <c r="CK289" s="1">
        <f t="shared" si="418"/>
        <v>0</v>
      </c>
      <c r="CL289" s="1"/>
      <c r="CM289" s="1"/>
      <c r="CN289" s="1"/>
      <c r="CO289" s="1"/>
      <c r="CP289" s="1"/>
      <c r="CQ289" s="1"/>
      <c r="CR289" s="1"/>
      <c r="CS289" s="1"/>
      <c r="CT289" s="5"/>
      <c r="CU289" s="1">
        <f t="shared" si="419"/>
        <v>0</v>
      </c>
      <c r="CW289" s="1072" t="s">
        <v>2873</v>
      </c>
      <c r="CX289" s="1072" t="s">
        <v>2873</v>
      </c>
      <c r="CY289" s="1072" t="s">
        <v>2873</v>
      </c>
      <c r="CZ289" s="1072" t="s">
        <v>2873</v>
      </c>
      <c r="DA289" s="1072" t="s">
        <v>2873</v>
      </c>
      <c r="DB289" s="1072" t="s">
        <v>2873</v>
      </c>
      <c r="DC289" s="1072" t="s">
        <v>2873</v>
      </c>
      <c r="DD289" s="1072" t="s">
        <v>2873</v>
      </c>
      <c r="DE289" s="1072" t="s">
        <v>2873</v>
      </c>
      <c r="DF289" s="1072"/>
      <c r="DG289" s="1072" t="s">
        <v>2873</v>
      </c>
      <c r="DH289" s="1072" t="s">
        <v>2873</v>
      </c>
      <c r="DI289" s="1072" t="s">
        <v>2873</v>
      </c>
      <c r="DJ289" s="1072" t="s">
        <v>2873</v>
      </c>
      <c r="DK289" s="1072" t="s">
        <v>2873</v>
      </c>
      <c r="DL289" s="1072" t="s">
        <v>2873</v>
      </c>
      <c r="DM289" s="1072" t="s">
        <v>2873</v>
      </c>
      <c r="DN289" s="1072" t="s">
        <v>2873</v>
      </c>
      <c r="DO289" s="1072" t="s">
        <v>2873</v>
      </c>
      <c r="DP289" s="1072" t="s">
        <v>2873</v>
      </c>
      <c r="DQ289" s="1072" t="s">
        <v>2873</v>
      </c>
      <c r="DR289" s="1072" t="s">
        <v>2873</v>
      </c>
      <c r="DS289" s="1072" t="s">
        <v>2873</v>
      </c>
      <c r="DT289" s="1072" t="s">
        <v>2873</v>
      </c>
      <c r="DW289" s="1">
        <f t="shared" si="420"/>
        <v>0</v>
      </c>
      <c r="DX289" s="1"/>
      <c r="DY289" s="1"/>
      <c r="DZ289" s="1"/>
      <c r="EB289" s="1"/>
      <c r="EC289" s="1"/>
      <c r="ED289" s="1"/>
      <c r="EE289" s="1"/>
      <c r="EF289" s="1"/>
      <c r="EG289" s="1"/>
      <c r="EL289" s="1"/>
      <c r="EM289" s="1"/>
      <c r="EQ289" s="1"/>
    </row>
    <row r="290" spans="1:147" ht="15.75" customHeight="1">
      <c r="A290" s="1"/>
      <c r="B290" s="1" t="s">
        <v>1178</v>
      </c>
      <c r="C290" s="11"/>
      <c r="D290" s="1"/>
      <c r="E290" s="1"/>
      <c r="F290" s="1"/>
      <c r="G290" s="1"/>
      <c r="H290" s="1"/>
      <c r="I290" s="1"/>
      <c r="J290" s="1"/>
      <c r="K290" s="1"/>
      <c r="L290" s="1"/>
      <c r="M290" s="1"/>
      <c r="N290" s="1"/>
      <c r="O290" s="1"/>
      <c r="P290" s="1"/>
      <c r="Q290" s="1"/>
      <c r="R290" s="32"/>
      <c r="S290" s="1"/>
      <c r="T290" s="1"/>
      <c r="U290" s="1"/>
      <c r="V290" s="1"/>
      <c r="W290" s="1"/>
      <c r="X290" s="1"/>
      <c r="Y290" s="1"/>
      <c r="Z290" s="623" t="s">
        <v>2427</v>
      </c>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f t="shared" si="412"/>
        <v>0</v>
      </c>
      <c r="BG290" s="1">
        <f t="shared" si="411"/>
        <v>0</v>
      </c>
      <c r="BH290" s="1"/>
      <c r="BI290" s="1"/>
      <c r="BJ290" s="1"/>
      <c r="BK290" s="1"/>
      <c r="BL290" s="1"/>
      <c r="BM290" s="1"/>
      <c r="BN290" s="1"/>
      <c r="BO290" s="1"/>
      <c r="BP290" s="1">
        <f t="shared" si="413"/>
        <v>0</v>
      </c>
      <c r="BQ290" s="1">
        <f t="shared" si="421"/>
        <v>0</v>
      </c>
      <c r="BR290" s="1"/>
      <c r="BS290" s="1"/>
      <c r="BT290" s="1"/>
      <c r="BU290" s="1"/>
      <c r="BV290" s="1"/>
      <c r="BW290" s="1"/>
      <c r="BX290" s="1"/>
      <c r="BY290" s="1">
        <f t="shared" si="414"/>
        <v>0</v>
      </c>
      <c r="BZ290" s="1">
        <f t="shared" si="415"/>
        <v>0</v>
      </c>
      <c r="CA290" s="1">
        <f t="shared" si="416"/>
        <v>0</v>
      </c>
      <c r="CB290" s="1"/>
      <c r="CC290" s="1"/>
      <c r="CD290" s="1"/>
      <c r="CE290" s="1"/>
      <c r="CF290" s="1"/>
      <c r="CG290" s="1"/>
      <c r="CH290" s="1"/>
      <c r="CI290" s="1"/>
      <c r="CJ290" s="1">
        <f t="shared" si="417"/>
        <v>0</v>
      </c>
      <c r="CK290" s="1">
        <f t="shared" si="418"/>
        <v>0</v>
      </c>
      <c r="CL290" s="1"/>
      <c r="CM290" s="1"/>
      <c r="CN290" s="1"/>
      <c r="CO290" s="1"/>
      <c r="CP290" s="1"/>
      <c r="CQ290" s="89"/>
      <c r="CR290" s="1"/>
      <c r="CS290" s="1"/>
      <c r="CT290" s="5"/>
      <c r="CU290" s="1">
        <f t="shared" si="419"/>
        <v>0</v>
      </c>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W290" s="1">
        <f t="shared" si="420"/>
        <v>0</v>
      </c>
      <c r="DX290" s="1"/>
      <c r="DY290" s="1"/>
      <c r="DZ290" s="1"/>
      <c r="EB290" s="1"/>
      <c r="EC290" s="1"/>
      <c r="ED290" s="1"/>
      <c r="EE290" s="1"/>
      <c r="EF290" s="1"/>
      <c r="EG290" s="1"/>
      <c r="EL290" s="1"/>
      <c r="EM290" s="1"/>
      <c r="EQ290" s="1"/>
    </row>
    <row r="291" spans="1:147" ht="15.75" customHeight="1">
      <c r="A291" s="1">
        <v>36</v>
      </c>
      <c r="B291" s="89" t="s">
        <v>629</v>
      </c>
      <c r="C291" s="11"/>
      <c r="D291" s="32"/>
      <c r="E291" s="1"/>
      <c r="F291" s="1"/>
      <c r="G291" s="1"/>
      <c r="H291" s="32"/>
      <c r="I291" s="32"/>
      <c r="J291" s="32"/>
      <c r="K291" s="1"/>
      <c r="L291" s="1"/>
      <c r="M291" s="1"/>
      <c r="N291" s="1"/>
      <c r="O291" s="1"/>
      <c r="P291" s="1"/>
      <c r="Q291" s="1"/>
      <c r="R291" s="1"/>
      <c r="S291" s="1"/>
      <c r="T291" s="1"/>
      <c r="U291" s="1"/>
      <c r="V291" s="1"/>
      <c r="W291" s="1"/>
      <c r="X291" s="134"/>
      <c r="Y291" s="1"/>
      <c r="Z291" s="623"/>
      <c r="AA291" s="1"/>
      <c r="AB291" s="1"/>
      <c r="AC291" s="1"/>
      <c r="AD291" s="162"/>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f t="shared" si="412"/>
        <v>0</v>
      </c>
      <c r="BG291" s="1">
        <f t="shared" si="411"/>
        <v>0</v>
      </c>
      <c r="BH291" s="1"/>
      <c r="BI291" s="1"/>
      <c r="BJ291" s="1"/>
      <c r="BK291" s="1"/>
      <c r="BL291" s="1"/>
      <c r="BM291" s="1"/>
      <c r="BN291" s="1"/>
      <c r="BO291" s="1"/>
      <c r="BP291" s="1">
        <f t="shared" si="413"/>
        <v>0</v>
      </c>
      <c r="BQ291" s="1">
        <f t="shared" si="421"/>
        <v>0</v>
      </c>
      <c r="BR291" s="32">
        <v>0</v>
      </c>
      <c r="BS291" s="1"/>
      <c r="BT291" s="1"/>
      <c r="BU291" s="1"/>
      <c r="BV291" s="1"/>
      <c r="BW291" s="1"/>
      <c r="BX291" s="1"/>
      <c r="BY291" s="1">
        <f t="shared" si="414"/>
        <v>0</v>
      </c>
      <c r="BZ291" s="1">
        <f t="shared" si="415"/>
        <v>0</v>
      </c>
      <c r="CA291" s="1">
        <f t="shared" si="416"/>
        <v>0</v>
      </c>
      <c r="CB291" s="1"/>
      <c r="CC291" s="134">
        <v>0</v>
      </c>
      <c r="CD291" s="1"/>
      <c r="CE291" s="1"/>
      <c r="CF291" s="1"/>
      <c r="CG291" s="42"/>
      <c r="CH291" s="1"/>
      <c r="CI291" s="1"/>
      <c r="CJ291" s="1">
        <f>SUM(CB291:CI291)</f>
        <v>0</v>
      </c>
      <c r="CK291" s="1">
        <f t="shared" si="418"/>
        <v>0</v>
      </c>
      <c r="CL291" s="1"/>
      <c r="CM291" s="1"/>
      <c r="CN291" s="1"/>
      <c r="CO291" s="1"/>
      <c r="CP291" s="1"/>
      <c r="CQ291" s="148"/>
      <c r="CR291" s="1"/>
      <c r="CS291" s="1"/>
      <c r="CT291" s="5"/>
      <c r="CU291" s="1">
        <f t="shared" si="419"/>
        <v>0</v>
      </c>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W291" s="1"/>
      <c r="DX291" s="1"/>
      <c r="DY291" s="1"/>
      <c r="DZ291" s="1"/>
      <c r="EB291" s="181">
        <v>0</v>
      </c>
      <c r="EC291" s="182"/>
      <c r="ED291" s="1"/>
      <c r="EE291" s="1"/>
      <c r="EF291" s="1"/>
      <c r="EG291" s="1"/>
      <c r="EL291" s="1"/>
      <c r="EM291" s="1"/>
      <c r="EQ291" s="1"/>
    </row>
    <row r="292" spans="1:147" ht="15.75" customHeight="1">
      <c r="A292" s="11"/>
      <c r="B292" s="11" t="s">
        <v>271</v>
      </c>
      <c r="C292" s="11"/>
      <c r="D292" s="12">
        <f>SUM(D283:D291)</f>
        <v>192138</v>
      </c>
      <c r="E292" s="12">
        <f t="shared" ref="E292:BD292" si="422">SUM(E283:E291)</f>
        <v>172353</v>
      </c>
      <c r="F292" s="12">
        <f t="shared" si="422"/>
        <v>0</v>
      </c>
      <c r="G292" s="12">
        <f t="shared" si="422"/>
        <v>0</v>
      </c>
      <c r="H292" s="12">
        <f t="shared" si="422"/>
        <v>0</v>
      </c>
      <c r="I292" s="12">
        <f t="shared" si="422"/>
        <v>124313</v>
      </c>
      <c r="J292" s="12">
        <f t="shared" si="422"/>
        <v>35463</v>
      </c>
      <c r="K292" s="12">
        <f t="shared" si="422"/>
        <v>0</v>
      </c>
      <c r="L292" s="12">
        <f>SUM(L283:L291)</f>
        <v>0</v>
      </c>
      <c r="M292" s="12">
        <f t="shared" si="422"/>
        <v>31546</v>
      </c>
      <c r="N292" s="12">
        <f>SUM(N283:N291)</f>
        <v>0</v>
      </c>
      <c r="O292" s="12">
        <f t="shared" si="422"/>
        <v>0</v>
      </c>
      <c r="P292" s="12">
        <f t="shared" si="422"/>
        <v>0</v>
      </c>
      <c r="Q292" s="12">
        <f t="shared" si="422"/>
        <v>0</v>
      </c>
      <c r="R292" s="12">
        <f t="shared" si="422"/>
        <v>0</v>
      </c>
      <c r="S292" s="12">
        <f t="shared" si="422"/>
        <v>0</v>
      </c>
      <c r="T292" s="12">
        <f t="shared" si="422"/>
        <v>0</v>
      </c>
      <c r="U292" s="12">
        <f t="shared" si="422"/>
        <v>28910</v>
      </c>
      <c r="V292" s="12">
        <f t="shared" si="422"/>
        <v>0</v>
      </c>
      <c r="W292" s="12">
        <f t="shared" si="422"/>
        <v>0</v>
      </c>
      <c r="X292" s="12">
        <f t="shared" si="422"/>
        <v>312501</v>
      </c>
      <c r="Y292" s="12">
        <f t="shared" si="422"/>
        <v>0</v>
      </c>
      <c r="Z292" s="12">
        <f t="shared" si="422"/>
        <v>0</v>
      </c>
      <c r="AA292" s="12">
        <f t="shared" si="422"/>
        <v>0</v>
      </c>
      <c r="AB292" s="12">
        <f>SUM(AB283:AB291)</f>
        <v>70201</v>
      </c>
      <c r="AC292" s="12">
        <f t="shared" si="422"/>
        <v>0</v>
      </c>
      <c r="AD292" s="12">
        <f t="shared" si="422"/>
        <v>0</v>
      </c>
      <c r="AE292" s="12">
        <f t="shared" si="422"/>
        <v>0</v>
      </c>
      <c r="AF292" s="12">
        <f t="shared" si="422"/>
        <v>0</v>
      </c>
      <c r="AG292" s="12">
        <f t="shared" si="422"/>
        <v>0</v>
      </c>
      <c r="AH292" s="12">
        <f t="shared" si="422"/>
        <v>0</v>
      </c>
      <c r="AI292" s="12">
        <f t="shared" si="422"/>
        <v>0</v>
      </c>
      <c r="AJ292" s="12">
        <f t="shared" si="422"/>
        <v>0</v>
      </c>
      <c r="AK292" s="12">
        <f t="shared" si="422"/>
        <v>0</v>
      </c>
      <c r="AL292" s="12">
        <f t="shared" ref="AL292:AQ292" si="423">SUM(AL283:AL291)</f>
        <v>0</v>
      </c>
      <c r="AM292" s="12">
        <f t="shared" si="423"/>
        <v>0</v>
      </c>
      <c r="AN292" s="12">
        <f t="shared" si="423"/>
        <v>0</v>
      </c>
      <c r="AO292" s="12">
        <f t="shared" si="423"/>
        <v>0</v>
      </c>
      <c r="AP292" s="12">
        <f t="shared" si="423"/>
        <v>0</v>
      </c>
      <c r="AQ292" s="12">
        <f t="shared" si="423"/>
        <v>0</v>
      </c>
      <c r="AR292" s="12">
        <f t="shared" si="422"/>
        <v>104504</v>
      </c>
      <c r="AS292" s="12">
        <f t="shared" si="422"/>
        <v>0</v>
      </c>
      <c r="AT292" s="12">
        <f>SUM(AT283:AT291)</f>
        <v>0</v>
      </c>
      <c r="AU292" s="12">
        <f t="shared" si="422"/>
        <v>61190</v>
      </c>
      <c r="AV292" s="12">
        <f t="shared" si="422"/>
        <v>0</v>
      </c>
      <c r="AW292" s="12"/>
      <c r="AX292" s="12">
        <f t="shared" si="422"/>
        <v>0</v>
      </c>
      <c r="AY292" s="12">
        <f t="shared" si="422"/>
        <v>0</v>
      </c>
      <c r="AZ292" s="12">
        <f t="shared" si="422"/>
        <v>0</v>
      </c>
      <c r="BA292" s="12">
        <f t="shared" si="422"/>
        <v>0</v>
      </c>
      <c r="BB292" s="12">
        <f t="shared" si="422"/>
        <v>0</v>
      </c>
      <c r="BC292" s="12">
        <f t="shared" si="422"/>
        <v>26206</v>
      </c>
      <c r="BD292" s="12">
        <f t="shared" si="422"/>
        <v>0</v>
      </c>
      <c r="BE292" s="12"/>
      <c r="BF292" s="12">
        <f t="shared" ref="BF292:BN292" si="424">SUM(BF283:BF291)</f>
        <v>967187</v>
      </c>
      <c r="BG292" s="137">
        <f>SUM(BG283:BG291)</f>
        <v>628480</v>
      </c>
      <c r="BH292" s="12">
        <f t="shared" si="424"/>
        <v>0</v>
      </c>
      <c r="BI292" s="12">
        <f>SUM(BI283:BI291)</f>
        <v>0</v>
      </c>
      <c r="BJ292" s="12">
        <f t="shared" si="424"/>
        <v>0</v>
      </c>
      <c r="BK292" s="12">
        <f t="shared" si="424"/>
        <v>0</v>
      </c>
      <c r="BL292" s="12">
        <f>SUM(BL283:BL291)</f>
        <v>0</v>
      </c>
      <c r="BM292" s="12">
        <f>SUM(BM283:BM291)</f>
        <v>0</v>
      </c>
      <c r="BN292" s="12">
        <f t="shared" si="424"/>
        <v>0</v>
      </c>
      <c r="BO292" s="12"/>
      <c r="BP292" s="12">
        <f t="shared" ref="BP292:BW292" si="425">SUM(BP283:BP291)</f>
        <v>0</v>
      </c>
      <c r="BQ292" s="12">
        <f t="shared" si="425"/>
        <v>0</v>
      </c>
      <c r="BR292" s="12">
        <f t="shared" si="425"/>
        <v>0</v>
      </c>
      <c r="BS292" s="12">
        <f t="shared" si="425"/>
        <v>0</v>
      </c>
      <c r="BT292" s="12">
        <f t="shared" si="425"/>
        <v>0</v>
      </c>
      <c r="BU292" s="12">
        <f t="shared" si="425"/>
        <v>0</v>
      </c>
      <c r="BV292" s="12">
        <f>SUM(BV283:BV291)</f>
        <v>0</v>
      </c>
      <c r="BW292" s="12">
        <f t="shared" si="425"/>
        <v>0</v>
      </c>
      <c r="BX292" s="12"/>
      <c r="BY292" s="12">
        <f>SUM(BY283:BY291)</f>
        <v>0</v>
      </c>
      <c r="BZ292" s="12">
        <f>SUM(BZ283:BZ291)</f>
        <v>0</v>
      </c>
      <c r="CA292" s="12"/>
      <c r="CB292" s="12"/>
      <c r="CC292" s="12">
        <f>SUM(CC283:CC291)</f>
        <v>14685</v>
      </c>
      <c r="CD292" s="12">
        <f t="shared" ref="CD292:CH292" si="426">SUM(CD283:CD291)</f>
        <v>5935</v>
      </c>
      <c r="CE292" s="12">
        <f t="shared" si="426"/>
        <v>21954</v>
      </c>
      <c r="CF292" s="12">
        <f t="shared" si="426"/>
        <v>170772</v>
      </c>
      <c r="CG292" s="12">
        <f t="shared" si="426"/>
        <v>105636</v>
      </c>
      <c r="CH292" s="12">
        <f t="shared" si="426"/>
        <v>3572</v>
      </c>
      <c r="CI292" s="12"/>
      <c r="CJ292" s="12">
        <f t="shared" ref="CJ292:CR292" si="427">SUM(CJ283:CJ291)</f>
        <v>322554</v>
      </c>
      <c r="CK292" s="12">
        <f t="shared" si="427"/>
        <v>202233</v>
      </c>
      <c r="CL292" s="12">
        <f t="shared" si="427"/>
        <v>0</v>
      </c>
      <c r="CM292" s="12">
        <f t="shared" si="427"/>
        <v>0</v>
      </c>
      <c r="CN292" s="12">
        <f t="shared" si="427"/>
        <v>0</v>
      </c>
      <c r="CO292" s="12">
        <f t="shared" si="427"/>
        <v>0</v>
      </c>
      <c r="CP292" s="12">
        <f t="shared" si="427"/>
        <v>0</v>
      </c>
      <c r="CQ292" s="12">
        <f t="shared" si="427"/>
        <v>0</v>
      </c>
      <c r="CR292" s="12">
        <f t="shared" si="427"/>
        <v>262150</v>
      </c>
      <c r="CS292" s="1"/>
      <c r="CT292" s="5"/>
      <c r="CU292" s="12">
        <f>SUM(CU283:CU291)</f>
        <v>262150</v>
      </c>
      <c r="CW292" s="12">
        <f>SUM(CW283:CW291)</f>
        <v>88650</v>
      </c>
      <c r="CX292" s="12">
        <f t="shared" ref="CX292:DT292" si="428">SUM(CX283:CX291)</f>
        <v>0</v>
      </c>
      <c r="CY292" s="12">
        <f t="shared" si="428"/>
        <v>0</v>
      </c>
      <c r="CZ292" s="12">
        <f t="shared" si="428"/>
        <v>0</v>
      </c>
      <c r="DA292" s="12">
        <f t="shared" si="428"/>
        <v>0</v>
      </c>
      <c r="DB292" s="12">
        <f t="shared" si="428"/>
        <v>0</v>
      </c>
      <c r="DC292" s="12">
        <f t="shared" si="428"/>
        <v>0</v>
      </c>
      <c r="DD292" s="12">
        <f t="shared" si="428"/>
        <v>0</v>
      </c>
      <c r="DE292" s="12">
        <f t="shared" si="428"/>
        <v>0</v>
      </c>
      <c r="DF292" s="12">
        <f t="shared" si="428"/>
        <v>0</v>
      </c>
      <c r="DG292" s="12">
        <f t="shared" si="428"/>
        <v>0</v>
      </c>
      <c r="DH292" s="12">
        <f t="shared" si="428"/>
        <v>0</v>
      </c>
      <c r="DI292" s="12">
        <f t="shared" si="428"/>
        <v>0</v>
      </c>
      <c r="DJ292" s="12">
        <f t="shared" si="428"/>
        <v>0</v>
      </c>
      <c r="DK292" s="12">
        <f t="shared" si="428"/>
        <v>0</v>
      </c>
      <c r="DL292" s="12">
        <f t="shared" si="428"/>
        <v>0</v>
      </c>
      <c r="DM292" s="12">
        <f t="shared" si="428"/>
        <v>0</v>
      </c>
      <c r="DN292" s="12">
        <f t="shared" si="428"/>
        <v>0</v>
      </c>
      <c r="DO292" s="12">
        <f t="shared" si="428"/>
        <v>0</v>
      </c>
      <c r="DP292" s="12">
        <f t="shared" si="428"/>
        <v>0</v>
      </c>
      <c r="DQ292" s="12">
        <f t="shared" si="428"/>
        <v>97743</v>
      </c>
      <c r="DR292" s="12">
        <f t="shared" si="428"/>
        <v>1270594</v>
      </c>
      <c r="DS292" s="12">
        <f t="shared" si="428"/>
        <v>891729</v>
      </c>
      <c r="DT292" s="12">
        <f t="shared" si="428"/>
        <v>422764</v>
      </c>
      <c r="DW292" s="12">
        <f t="shared" ref="DW292:EB292" si="429">SUM(DW283:DW291)</f>
        <v>2682830</v>
      </c>
      <c r="DX292" s="12"/>
      <c r="DY292" s="12">
        <f t="shared" si="429"/>
        <v>0</v>
      </c>
      <c r="DZ292" s="12"/>
      <c r="EB292" s="12">
        <f t="shared" si="429"/>
        <v>0</v>
      </c>
      <c r="EC292" s="12"/>
      <c r="ED292" s="1"/>
      <c r="EE292" s="12"/>
      <c r="EF292" s="12">
        <f>SUM(EF283:EF291)</f>
        <v>0</v>
      </c>
      <c r="EG292" s="1"/>
      <c r="EL292" s="1"/>
      <c r="EM292" s="1"/>
      <c r="EQ292" s="1"/>
    </row>
    <row r="293" spans="1:147" ht="15.75" customHeight="1">
      <c r="A293" s="1"/>
      <c r="B293" s="1"/>
      <c r="C293" s="11"/>
      <c r="D293" s="1">
        <f>+D292-D283</f>
        <v>112318</v>
      </c>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f>+BF292-BF283</f>
        <v>657802</v>
      </c>
      <c r="BG293" s="107">
        <f>SUM(BG285:BG291)</f>
        <v>491270</v>
      </c>
      <c r="BH293" s="1"/>
      <c r="BI293" s="1"/>
      <c r="BJ293" s="1"/>
      <c r="BK293" s="1"/>
      <c r="BL293" s="1"/>
      <c r="BM293" s="1"/>
      <c r="BN293" s="1"/>
      <c r="BO293" s="1"/>
      <c r="BP293" s="1">
        <f>+BP292-BP283</f>
        <v>0</v>
      </c>
      <c r="BQ293" s="1"/>
      <c r="BR293" s="1"/>
      <c r="BS293" s="1"/>
      <c r="BT293" s="1"/>
      <c r="BU293" s="1"/>
      <c r="BV293" s="1"/>
      <c r="BW293" s="1"/>
      <c r="BX293" s="1"/>
      <c r="BY293" s="107">
        <f>SUM(BY285:BY291)</f>
        <v>0</v>
      </c>
      <c r="BZ293" s="107">
        <f>SUM(BZ285:BZ291)</f>
        <v>0</v>
      </c>
      <c r="CA293" s="1"/>
      <c r="CB293" s="1"/>
      <c r="CC293" s="149"/>
      <c r="CD293" s="150"/>
      <c r="CE293" s="150"/>
      <c r="CF293" s="150"/>
      <c r="CG293" s="150">
        <v>0</v>
      </c>
      <c r="CH293" s="151"/>
      <c r="CI293" s="1"/>
      <c r="CJ293" s="107">
        <f>SUM(CJ285:CJ291)</f>
        <v>322554</v>
      </c>
      <c r="CK293" s="1"/>
      <c r="CL293" s="1"/>
      <c r="CM293" s="1"/>
      <c r="CN293" s="1"/>
      <c r="CO293" s="1"/>
      <c r="CP293" s="1"/>
      <c r="CQ293" s="1"/>
      <c r="CR293" s="1"/>
      <c r="CS293" s="1"/>
      <c r="CT293" s="5"/>
      <c r="CU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W293" s="1"/>
      <c r="DX293" s="1"/>
      <c r="DY293" s="1"/>
      <c r="DZ293" s="1"/>
      <c r="EB293" s="1"/>
      <c r="EC293" s="1"/>
      <c r="ED293" s="1"/>
      <c r="EE293" s="1"/>
      <c r="EF293" s="1"/>
      <c r="EG293" s="1"/>
      <c r="EL293" s="1"/>
      <c r="EM293" s="1"/>
      <c r="EQ293" s="1"/>
    </row>
    <row r="294" spans="1:147" ht="15.75">
      <c r="A294" s="3"/>
      <c r="B294" s="14" t="s">
        <v>272</v>
      </c>
      <c r="C294" s="3"/>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07"/>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5"/>
      <c r="CU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W294" s="1"/>
      <c r="DX294" s="1"/>
      <c r="DY294" s="1"/>
      <c r="DZ294" s="1"/>
      <c r="EB294" s="1"/>
      <c r="EC294" s="1"/>
      <c r="ED294" s="1"/>
      <c r="EE294" s="1"/>
      <c r="EF294" s="1"/>
      <c r="EG294" s="1"/>
      <c r="EL294" s="1"/>
      <c r="EM294" s="1"/>
      <c r="EQ294" s="1"/>
    </row>
    <row r="295" spans="1:147" ht="15.75">
      <c r="A295" s="1"/>
      <c r="B295" s="1" t="s">
        <v>865</v>
      </c>
      <c r="C295" s="1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f t="shared" ref="BG295" si="430">+BF295-X295-P295-BB295-BC295</f>
        <v>0</v>
      </c>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5"/>
      <c r="CU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W295" s="1"/>
      <c r="DX295" s="1"/>
      <c r="DY295" s="1"/>
      <c r="DZ295" s="1"/>
      <c r="EB295" s="1"/>
      <c r="EC295" s="1"/>
      <c r="ED295" s="1"/>
      <c r="EE295" s="1"/>
      <c r="EF295" s="1"/>
      <c r="EG295" s="1"/>
      <c r="EL295" s="1"/>
      <c r="EM295" s="1"/>
      <c r="EQ295" s="1"/>
    </row>
    <row r="296" spans="1:147" ht="15.75">
      <c r="A296" s="1"/>
      <c r="B296" s="1" t="s">
        <v>866</v>
      </c>
      <c r="C296" s="11"/>
      <c r="D296" s="32">
        <v>259769</v>
      </c>
      <c r="E296" s="1"/>
      <c r="F296" s="1"/>
      <c r="G296" s="1"/>
      <c r="H296" s="1"/>
      <c r="I296" s="1"/>
      <c r="J296" s="1"/>
      <c r="K296" s="1"/>
      <c r="L296" s="1"/>
      <c r="M296" s="32">
        <v>37471</v>
      </c>
      <c r="N296" s="1"/>
      <c r="O296" s="1"/>
      <c r="P296" s="1"/>
      <c r="Q296" s="1"/>
      <c r="R296" s="1"/>
      <c r="S296" s="32">
        <v>35212</v>
      </c>
      <c r="T296" s="1"/>
      <c r="U296" s="1"/>
      <c r="V296" s="1"/>
      <c r="W296" s="1"/>
      <c r="X296" s="1"/>
      <c r="Y296" s="1"/>
      <c r="Z296" s="1"/>
      <c r="AA296" s="1"/>
      <c r="AB296" s="1"/>
      <c r="AC296" s="1"/>
      <c r="AD296" s="1"/>
      <c r="AE296" s="1"/>
      <c r="AF296" s="1"/>
      <c r="AG296" s="1"/>
      <c r="AH296" s="1"/>
      <c r="AI296" s="1"/>
      <c r="AJ296" s="1"/>
      <c r="AK296" s="1"/>
      <c r="AL296" s="1"/>
      <c r="AM296" s="1"/>
      <c r="AN296" s="1"/>
      <c r="AO296" s="1"/>
      <c r="AP296" s="32"/>
      <c r="AQ296" s="1"/>
      <c r="AR296" s="1"/>
      <c r="AS296" s="1"/>
      <c r="AT296" s="1"/>
      <c r="AU296" s="32"/>
      <c r="AV296" s="1"/>
      <c r="AW296" s="1"/>
      <c r="AX296" s="1"/>
      <c r="AY296" s="1"/>
      <c r="AZ296" s="1"/>
      <c r="BA296" s="1"/>
      <c r="BB296" s="32">
        <v>55546</v>
      </c>
      <c r="BC296" s="1"/>
      <c r="BD296" s="1"/>
      <c r="BE296" s="1"/>
      <c r="BF296" s="1">
        <f t="shared" ref="BF296:BF313" si="431">SUM(E296:BE296)</f>
        <v>128229</v>
      </c>
      <c r="BG296" s="1">
        <f>+BF296-X296-P296-BB296-BC296</f>
        <v>72683</v>
      </c>
      <c r="BH296" s="1"/>
      <c r="BI296" s="1"/>
      <c r="BJ296" s="1"/>
      <c r="BK296" s="1"/>
      <c r="BL296" s="1"/>
      <c r="BM296" s="1"/>
      <c r="BN296" s="1"/>
      <c r="BO296" s="1"/>
      <c r="BP296" s="1">
        <f>SUM(BH296:BN296)</f>
        <v>0</v>
      </c>
      <c r="BQ296" s="1">
        <f t="shared" ref="BQ296:BQ310" si="432">+BP296-BN296</f>
        <v>0</v>
      </c>
      <c r="BR296" s="32"/>
      <c r="BS296" s="1"/>
      <c r="BT296" s="1"/>
      <c r="BU296" s="134"/>
      <c r="BV296" s="1"/>
      <c r="BW296" s="1"/>
      <c r="BX296" s="1"/>
      <c r="BY296" s="1">
        <f t="shared" ref="BY296:BY313" si="433">SUM(BR296:BX296)</f>
        <v>0</v>
      </c>
      <c r="BZ296" s="1">
        <f>+BY296-BR296</f>
        <v>0</v>
      </c>
      <c r="CA296" s="1">
        <f t="shared" ref="CA296:CA313" si="434">+BG296+BQ296+BZ296+EF296</f>
        <v>72683</v>
      </c>
      <c r="CB296" s="1"/>
      <c r="CC296" s="1"/>
      <c r="CD296" s="1"/>
      <c r="CE296" s="1"/>
      <c r="CF296" s="1"/>
      <c r="CG296" s="1"/>
      <c r="CH296" s="1"/>
      <c r="CI296" s="1"/>
      <c r="CJ296" s="1">
        <f t="shared" ref="CJ296:CJ313" si="435">SUM(CB296:CI296)</f>
        <v>0</v>
      </c>
      <c r="CK296" s="1"/>
      <c r="CL296" s="1"/>
      <c r="CM296" s="1"/>
      <c r="CN296" s="1"/>
      <c r="CO296" s="1"/>
      <c r="CP296" s="1"/>
      <c r="CQ296" s="1"/>
      <c r="CR296" s="1"/>
      <c r="CS296" s="1"/>
      <c r="CT296" s="5"/>
      <c r="CU296" s="1">
        <f t="shared" ref="CU296:CU313" si="436">SUM(CL296:CT296)</f>
        <v>0</v>
      </c>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W296" s="1">
        <f t="shared" ref="DW296:DW313" si="437">SUM(CX296:DV296)</f>
        <v>0</v>
      </c>
      <c r="DX296" s="1"/>
      <c r="DY296" s="1"/>
      <c r="DZ296" s="1"/>
      <c r="EB296" s="1"/>
      <c r="EC296" s="1"/>
      <c r="ED296" s="1"/>
      <c r="EE296" s="1"/>
      <c r="EF296" s="1"/>
      <c r="EG296" s="1"/>
      <c r="EL296" s="1"/>
      <c r="EM296" s="1"/>
      <c r="EQ296" s="1"/>
    </row>
    <row r="297" spans="1:147" ht="15.75">
      <c r="A297" s="1"/>
      <c r="B297" s="1" t="s">
        <v>867</v>
      </c>
      <c r="C297" s="11"/>
      <c r="D297" s="32">
        <v>0</v>
      </c>
      <c r="E297" s="1"/>
      <c r="F297" s="1"/>
      <c r="G297" s="1"/>
      <c r="H297" s="1"/>
      <c r="I297" s="32">
        <v>191496</v>
      </c>
      <c r="J297" s="1"/>
      <c r="K297" s="1"/>
      <c r="L297" s="1"/>
      <c r="M297" s="32">
        <v>5813</v>
      </c>
      <c r="N297" s="1"/>
      <c r="O297" s="1"/>
      <c r="P297" s="1"/>
      <c r="Q297" s="1"/>
      <c r="R297" s="1"/>
      <c r="S297" s="1"/>
      <c r="T297" s="32"/>
      <c r="U297" s="1"/>
      <c r="V297" s="1"/>
      <c r="W297" s="1"/>
      <c r="X297" s="32">
        <v>363608</v>
      </c>
      <c r="Y297" s="32"/>
      <c r="Z297" s="32"/>
      <c r="AA297" s="1"/>
      <c r="AB297" s="32">
        <f>70220+36384</f>
        <v>106604</v>
      </c>
      <c r="AC297" s="1"/>
      <c r="AD297" s="1"/>
      <c r="AE297" s="1"/>
      <c r="AF297" s="1"/>
      <c r="AG297" s="1"/>
      <c r="AH297" s="1"/>
      <c r="AI297" s="1"/>
      <c r="AJ297" s="1"/>
      <c r="AK297" s="1"/>
      <c r="AL297" s="1"/>
      <c r="AM297" s="1"/>
      <c r="AN297" s="1"/>
      <c r="AO297" s="1"/>
      <c r="AP297" s="1"/>
      <c r="AQ297" s="1"/>
      <c r="AR297" s="1"/>
      <c r="AS297" s="1"/>
      <c r="AT297" s="1"/>
      <c r="AU297" s="1"/>
      <c r="AV297" s="1"/>
      <c r="AW297" s="1"/>
      <c r="AX297" s="32"/>
      <c r="AY297" s="1"/>
      <c r="AZ297" s="1"/>
      <c r="BA297" s="1"/>
      <c r="BB297" s="32">
        <v>35040</v>
      </c>
      <c r="BC297" s="1"/>
      <c r="BD297" s="1"/>
      <c r="BE297" s="1"/>
      <c r="BF297" s="1">
        <f t="shared" si="431"/>
        <v>702561</v>
      </c>
      <c r="BG297" s="1">
        <f t="shared" ref="BG297:BG313" si="438">+BF297-X297-P297-BB297-BC297</f>
        <v>303913</v>
      </c>
      <c r="BH297" s="1"/>
      <c r="BI297" s="1"/>
      <c r="BJ297" s="1"/>
      <c r="BK297" s="1"/>
      <c r="BL297" s="1"/>
      <c r="BM297" s="1"/>
      <c r="BN297" s="1"/>
      <c r="BO297" s="1"/>
      <c r="BP297" s="1">
        <f t="shared" ref="BP297:BP313" si="439">SUM(BH297:BN297)</f>
        <v>0</v>
      </c>
      <c r="BQ297" s="1">
        <f t="shared" si="432"/>
        <v>0</v>
      </c>
      <c r="BR297" s="32"/>
      <c r="BS297" s="1"/>
      <c r="BT297" s="1"/>
      <c r="BU297" s="1"/>
      <c r="BV297" s="134"/>
      <c r="BW297" s="1"/>
      <c r="BX297" s="1"/>
      <c r="BY297" s="1">
        <f t="shared" si="433"/>
        <v>0</v>
      </c>
      <c r="BZ297" s="1">
        <f t="shared" ref="BZ297:BZ313" si="440">+BY297-BR297</f>
        <v>0</v>
      </c>
      <c r="CA297" s="1">
        <f t="shared" si="434"/>
        <v>303913</v>
      </c>
      <c r="CB297" s="1"/>
      <c r="CC297" s="1"/>
      <c r="CD297" s="1"/>
      <c r="CE297" s="1"/>
      <c r="CF297" s="1"/>
      <c r="CG297" s="1"/>
      <c r="CH297" s="1"/>
      <c r="CI297" s="1"/>
      <c r="CJ297" s="1">
        <f t="shared" si="435"/>
        <v>0</v>
      </c>
      <c r="CK297" s="1"/>
      <c r="CL297" s="1"/>
      <c r="CM297" s="1"/>
      <c r="CN297" s="1"/>
      <c r="CO297" s="1"/>
      <c r="CP297" s="1"/>
      <c r="CQ297" s="1"/>
      <c r="CR297" s="1"/>
      <c r="CS297" s="1"/>
      <c r="CT297" s="5"/>
      <c r="CU297" s="1">
        <f t="shared" si="436"/>
        <v>0</v>
      </c>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W297" s="1">
        <f t="shared" si="437"/>
        <v>0</v>
      </c>
      <c r="DX297" s="1"/>
      <c r="DY297" s="1"/>
      <c r="DZ297" s="1"/>
      <c r="EB297" s="1"/>
      <c r="EC297" s="1"/>
      <c r="ED297" s="1"/>
      <c r="EE297" s="1"/>
      <c r="EF297" s="1"/>
      <c r="EG297" s="1"/>
      <c r="EL297" s="1"/>
      <c r="EM297" s="1"/>
      <c r="EQ297" s="1"/>
    </row>
    <row r="298" spans="1:147" ht="15.75">
      <c r="A298" s="1"/>
      <c r="B298" s="1" t="s">
        <v>868</v>
      </c>
      <c r="C298" s="11"/>
      <c r="D298" s="32">
        <v>64441</v>
      </c>
      <c r="E298" s="1"/>
      <c r="F298" s="1"/>
      <c r="G298" s="1"/>
      <c r="H298" s="1"/>
      <c r="I298" s="1"/>
      <c r="J298" s="32">
        <v>57632</v>
      </c>
      <c r="K298" s="1"/>
      <c r="L298" s="1"/>
      <c r="M298" s="1"/>
      <c r="N298" s="1"/>
      <c r="O298" s="1"/>
      <c r="P298" s="1"/>
      <c r="Q298" s="1"/>
      <c r="R298" s="32"/>
      <c r="S298" s="1"/>
      <c r="T298" s="1"/>
      <c r="U298" s="1"/>
      <c r="V298" s="1"/>
      <c r="W298" s="1"/>
      <c r="X298" s="1"/>
      <c r="Y298" s="1"/>
      <c r="Z298" s="1"/>
      <c r="AA298" s="1"/>
      <c r="AB298" s="1"/>
      <c r="AC298" s="1"/>
      <c r="AD298" s="1"/>
      <c r="AE298" s="1"/>
      <c r="AF298" s="1"/>
      <c r="AG298" s="1"/>
      <c r="AH298" s="1"/>
      <c r="AI298" s="1"/>
      <c r="AJ298" s="1"/>
      <c r="AK298" s="32">
        <v>0</v>
      </c>
      <c r="AL298" s="32"/>
      <c r="AM298" s="1"/>
      <c r="AN298" s="1"/>
      <c r="AO298" s="1"/>
      <c r="AP298" s="1"/>
      <c r="AQ298" s="1"/>
      <c r="AR298" s="1"/>
      <c r="AS298" s="32"/>
      <c r="AT298" s="32"/>
      <c r="AU298" s="1"/>
      <c r="AV298" s="1"/>
      <c r="AW298" s="1"/>
      <c r="AX298" s="1"/>
      <c r="AY298" s="1"/>
      <c r="AZ298" s="1"/>
      <c r="BA298" s="1"/>
      <c r="BB298" s="1"/>
      <c r="BC298" s="32">
        <v>36601</v>
      </c>
      <c r="BD298" s="1"/>
      <c r="BE298" s="1"/>
      <c r="BF298" s="1">
        <f t="shared" si="431"/>
        <v>94233</v>
      </c>
      <c r="BG298" s="1">
        <f t="shared" si="438"/>
        <v>57632</v>
      </c>
      <c r="BH298" s="1"/>
      <c r="BI298" s="1"/>
      <c r="BJ298" s="1"/>
      <c r="BK298" s="1"/>
      <c r="BL298" s="1"/>
      <c r="BM298" s="1"/>
      <c r="BN298" s="1"/>
      <c r="BO298" s="1"/>
      <c r="BP298" s="1">
        <f t="shared" si="439"/>
        <v>0</v>
      </c>
      <c r="BQ298" s="1">
        <f t="shared" si="432"/>
        <v>0</v>
      </c>
      <c r="BR298" s="32">
        <v>51976</v>
      </c>
      <c r="BS298" s="1"/>
      <c r="BT298" s="134">
        <v>0</v>
      </c>
      <c r="BU298" s="1"/>
      <c r="BV298" s="1"/>
      <c r="BW298" s="32">
        <v>111170</v>
      </c>
      <c r="BX298" s="1"/>
      <c r="BY298" s="1">
        <f t="shared" si="433"/>
        <v>163146</v>
      </c>
      <c r="BZ298" s="1">
        <f t="shared" si="440"/>
        <v>111170</v>
      </c>
      <c r="CA298" s="1">
        <f t="shared" si="434"/>
        <v>168802</v>
      </c>
      <c r="CB298" s="1"/>
      <c r="CC298" s="1"/>
      <c r="CD298" s="1"/>
      <c r="CE298" s="1"/>
      <c r="CF298" s="1"/>
      <c r="CG298" s="1"/>
      <c r="CH298" s="1"/>
      <c r="CI298" s="1"/>
      <c r="CJ298" s="1">
        <f t="shared" si="435"/>
        <v>0</v>
      </c>
      <c r="CK298" s="1"/>
      <c r="CL298" s="1"/>
      <c r="CM298" s="1"/>
      <c r="CN298" s="1"/>
      <c r="CO298" s="1"/>
      <c r="CP298" s="1"/>
      <c r="CQ298" s="1"/>
      <c r="CR298" s="1"/>
      <c r="CS298" s="1"/>
      <c r="CT298" s="5"/>
      <c r="CU298" s="1">
        <f t="shared" si="436"/>
        <v>0</v>
      </c>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W298" s="1">
        <f t="shared" si="437"/>
        <v>0</v>
      </c>
      <c r="DX298" s="1"/>
      <c r="DY298" s="1"/>
      <c r="DZ298" s="1"/>
      <c r="EB298" s="1"/>
      <c r="EC298" s="1"/>
      <c r="ED298" s="1"/>
      <c r="EE298" s="1"/>
      <c r="EF298" s="1"/>
      <c r="EG298" s="1"/>
      <c r="EL298" s="1"/>
      <c r="EM298" s="1"/>
      <c r="EQ298" s="1"/>
    </row>
    <row r="299" spans="1:147" ht="15.75">
      <c r="A299" s="1"/>
      <c r="B299" s="1" t="s">
        <v>688</v>
      </c>
      <c r="C299" s="11"/>
      <c r="D299" s="32"/>
      <c r="E299" s="32">
        <v>101475</v>
      </c>
      <c r="F299" s="1"/>
      <c r="G299" s="32">
        <v>0</v>
      </c>
      <c r="H299" s="32"/>
      <c r="I299" s="1"/>
      <c r="J299" s="1"/>
      <c r="K299" s="1"/>
      <c r="L299" s="1"/>
      <c r="M299" s="1"/>
      <c r="N299" s="1"/>
      <c r="O299" s="1"/>
      <c r="P299" s="1"/>
      <c r="Q299" s="1"/>
      <c r="R299" s="1"/>
      <c r="S299" s="1"/>
      <c r="T299" s="1"/>
      <c r="U299" s="32">
        <v>62885</v>
      </c>
      <c r="V299" s="1"/>
      <c r="W299" s="1"/>
      <c r="X299" s="1"/>
      <c r="Y299" s="1"/>
      <c r="Z299" s="1"/>
      <c r="AA299" s="1"/>
      <c r="AB299" s="1"/>
      <c r="AC299" s="1"/>
      <c r="AD299" s="1"/>
      <c r="AE299" s="1"/>
      <c r="AF299" s="1"/>
      <c r="AG299" s="1"/>
      <c r="AH299" s="1"/>
      <c r="AI299" s="1"/>
      <c r="AJ299" s="1"/>
      <c r="AK299" s="1"/>
      <c r="AL299" s="1"/>
      <c r="AM299" s="1"/>
      <c r="AN299" s="32"/>
      <c r="AO299" s="1"/>
      <c r="AP299" s="1"/>
      <c r="AQ299" s="1"/>
      <c r="AR299" s="32">
        <v>0</v>
      </c>
      <c r="AS299" s="1"/>
      <c r="AT299" s="1"/>
      <c r="AU299" s="1"/>
      <c r="AV299" s="1"/>
      <c r="AW299" s="1"/>
      <c r="AX299" s="1"/>
      <c r="AY299" s="1"/>
      <c r="AZ299" s="1"/>
      <c r="BA299" s="1"/>
      <c r="BB299" s="32"/>
      <c r="BC299" s="1"/>
      <c r="BD299" s="1"/>
      <c r="BE299" s="1"/>
      <c r="BF299" s="1">
        <f t="shared" si="431"/>
        <v>164360</v>
      </c>
      <c r="BG299" s="1">
        <f t="shared" si="438"/>
        <v>164360</v>
      </c>
      <c r="BH299" s="1"/>
      <c r="BI299" s="1"/>
      <c r="BJ299" s="1"/>
      <c r="BK299" s="1"/>
      <c r="BL299" s="1"/>
      <c r="BM299" s="1"/>
      <c r="BN299" s="1"/>
      <c r="BO299" s="1"/>
      <c r="BP299" s="1">
        <f t="shared" si="439"/>
        <v>0</v>
      </c>
      <c r="BQ299" s="1">
        <f t="shared" si="432"/>
        <v>0</v>
      </c>
      <c r="BR299" s="1"/>
      <c r="BS299" s="1"/>
      <c r="BT299" s="1"/>
      <c r="BU299" s="1"/>
      <c r="BV299" s="1"/>
      <c r="BW299" s="1"/>
      <c r="BX299" s="1"/>
      <c r="BY299" s="1">
        <f t="shared" si="433"/>
        <v>0</v>
      </c>
      <c r="BZ299" s="1">
        <f t="shared" si="440"/>
        <v>0</v>
      </c>
      <c r="CA299" s="1">
        <f t="shared" si="434"/>
        <v>164360</v>
      </c>
      <c r="CB299" s="1"/>
      <c r="CC299" s="1"/>
      <c r="CD299" s="1"/>
      <c r="CE299" s="1"/>
      <c r="CF299" s="1"/>
      <c r="CG299" s="1"/>
      <c r="CH299" s="1"/>
      <c r="CI299" s="1"/>
      <c r="CJ299" s="1">
        <f t="shared" si="435"/>
        <v>0</v>
      </c>
      <c r="CK299" s="1"/>
      <c r="CL299" s="1"/>
      <c r="CM299" s="1"/>
      <c r="CN299" s="1"/>
      <c r="CO299" s="1"/>
      <c r="CP299" s="1"/>
      <c r="CQ299" s="1"/>
      <c r="CR299" s="1"/>
      <c r="CS299" s="1"/>
      <c r="CT299" s="5"/>
      <c r="CU299" s="1">
        <f t="shared" si="436"/>
        <v>0</v>
      </c>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W299" s="1">
        <f t="shared" si="437"/>
        <v>0</v>
      </c>
      <c r="DX299" s="1"/>
      <c r="DY299" s="1"/>
      <c r="DZ299" s="1"/>
      <c r="EB299" s="825">
        <v>0</v>
      </c>
      <c r="EC299" s="253" t="s">
        <v>2977</v>
      </c>
      <c r="ED299" s="1"/>
      <c r="EE299" s="1"/>
      <c r="EF299" s="1"/>
      <c r="EG299" s="1"/>
      <c r="EL299" s="1"/>
      <c r="EM299" s="1"/>
      <c r="EQ299" s="1"/>
    </row>
    <row r="300" spans="1:147" ht="15.75">
      <c r="A300" s="1"/>
      <c r="B300" s="1" t="s">
        <v>689</v>
      </c>
      <c r="C300" s="11"/>
      <c r="D300" s="32"/>
      <c r="E300" s="32"/>
      <c r="F300" s="1"/>
      <c r="G300" s="1"/>
      <c r="H300" s="1"/>
      <c r="I300" s="1"/>
      <c r="J300" s="1"/>
      <c r="K300" s="1"/>
      <c r="L300" s="1"/>
      <c r="M300" s="1"/>
      <c r="N300" s="1"/>
      <c r="O300" s="1"/>
      <c r="P300" s="1"/>
      <c r="Q300" s="1"/>
      <c r="R300" s="1"/>
      <c r="S300" s="1"/>
      <c r="T300" s="1"/>
      <c r="U300" s="1"/>
      <c r="V300" s="1"/>
      <c r="W300" s="134"/>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f t="shared" si="431"/>
        <v>0</v>
      </c>
      <c r="BG300" s="1">
        <f t="shared" si="438"/>
        <v>0</v>
      </c>
      <c r="BH300" s="1"/>
      <c r="BI300" s="1"/>
      <c r="BJ300" s="1"/>
      <c r="BK300" s="1"/>
      <c r="BL300" s="1"/>
      <c r="BM300" s="1"/>
      <c r="BN300" s="1"/>
      <c r="BO300" s="1"/>
      <c r="BP300" s="1">
        <f t="shared" si="439"/>
        <v>0</v>
      </c>
      <c r="BQ300" s="1">
        <f t="shared" si="432"/>
        <v>0</v>
      </c>
      <c r="BR300" s="1"/>
      <c r="BS300" s="1"/>
      <c r="BT300" s="1"/>
      <c r="BU300" s="1"/>
      <c r="BV300" s="1"/>
      <c r="BW300" s="1"/>
      <c r="BX300" s="1"/>
      <c r="BY300" s="1">
        <f t="shared" si="433"/>
        <v>0</v>
      </c>
      <c r="BZ300" s="1">
        <f t="shared" si="440"/>
        <v>0</v>
      </c>
      <c r="CA300" s="1">
        <f t="shared" si="434"/>
        <v>0</v>
      </c>
      <c r="CB300" s="1"/>
      <c r="CC300" s="1"/>
      <c r="CD300" s="1"/>
      <c r="CE300" s="1"/>
      <c r="CF300" s="1"/>
      <c r="CG300" s="1"/>
      <c r="CH300" s="1"/>
      <c r="CI300" s="1"/>
      <c r="CJ300" s="1">
        <f t="shared" si="435"/>
        <v>0</v>
      </c>
      <c r="CK300" s="1"/>
      <c r="CL300" s="1"/>
      <c r="CM300" s="1"/>
      <c r="CN300" s="1"/>
      <c r="CO300" s="1"/>
      <c r="CP300" s="1"/>
      <c r="CQ300" s="1"/>
      <c r="CR300" s="1"/>
      <c r="CS300" s="1"/>
      <c r="CT300" s="5"/>
      <c r="CU300" s="1">
        <f t="shared" si="436"/>
        <v>0</v>
      </c>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W300" s="1">
        <f t="shared" si="437"/>
        <v>0</v>
      </c>
      <c r="DX300" s="1"/>
      <c r="DY300" s="1"/>
      <c r="DZ300" s="1"/>
      <c r="EB300" s="826"/>
      <c r="EC300" s="1"/>
      <c r="ED300" s="1"/>
      <c r="EE300" s="1"/>
      <c r="EF300" s="1"/>
      <c r="EG300" s="1"/>
      <c r="EL300" s="1"/>
      <c r="EM300" s="1"/>
      <c r="EQ300" s="1"/>
    </row>
    <row r="301" spans="1:147" ht="15.75">
      <c r="A301" s="1"/>
      <c r="B301" s="1" t="s">
        <v>690</v>
      </c>
      <c r="C301" s="1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34"/>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f t="shared" si="431"/>
        <v>0</v>
      </c>
      <c r="BG301" s="1">
        <f t="shared" si="438"/>
        <v>0</v>
      </c>
      <c r="BH301" s="1"/>
      <c r="BI301" s="1"/>
      <c r="BJ301" s="1"/>
      <c r="BK301" s="1"/>
      <c r="BL301" s="1"/>
      <c r="BM301" s="1"/>
      <c r="BN301" s="1"/>
      <c r="BO301" s="1"/>
      <c r="BP301" s="1">
        <f t="shared" si="439"/>
        <v>0</v>
      </c>
      <c r="BQ301" s="1">
        <f t="shared" si="432"/>
        <v>0</v>
      </c>
      <c r="BR301" s="1"/>
      <c r="BS301" s="1"/>
      <c r="BT301" s="1"/>
      <c r="BU301" s="1"/>
      <c r="BV301" s="1"/>
      <c r="BW301" s="1"/>
      <c r="BX301" s="1"/>
      <c r="BY301" s="1">
        <f t="shared" si="433"/>
        <v>0</v>
      </c>
      <c r="BZ301" s="1">
        <f t="shared" si="440"/>
        <v>0</v>
      </c>
      <c r="CA301" s="1">
        <f t="shared" si="434"/>
        <v>0</v>
      </c>
      <c r="CB301" s="1"/>
      <c r="CC301" s="1"/>
      <c r="CD301" s="1"/>
      <c r="CE301" s="1"/>
      <c r="CF301" s="1"/>
      <c r="CG301" s="1"/>
      <c r="CH301" s="1"/>
      <c r="CI301" s="1"/>
      <c r="CJ301" s="1">
        <f t="shared" si="435"/>
        <v>0</v>
      </c>
      <c r="CK301" s="1"/>
      <c r="CL301" s="1"/>
      <c r="CM301" s="1"/>
      <c r="CN301" s="1"/>
      <c r="CO301" s="1"/>
      <c r="CP301" s="1"/>
      <c r="CQ301" s="1"/>
      <c r="CR301" s="1"/>
      <c r="CS301" s="1"/>
      <c r="CT301" s="5"/>
      <c r="CU301" s="1">
        <f t="shared" si="436"/>
        <v>0</v>
      </c>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W301" s="1">
        <f t="shared" si="437"/>
        <v>0</v>
      </c>
      <c r="DX301" s="1"/>
      <c r="DY301" s="1"/>
      <c r="DZ301" s="1"/>
      <c r="EB301" s="826" t="s">
        <v>2693</v>
      </c>
      <c r="EC301" s="1"/>
      <c r="ED301" s="1"/>
      <c r="EE301" s="1"/>
      <c r="EF301" s="1"/>
      <c r="EG301" s="1"/>
      <c r="EL301" s="1"/>
      <c r="EM301" s="1"/>
      <c r="EQ301" s="1"/>
    </row>
    <row r="302" spans="1:147" ht="15.75">
      <c r="A302" s="1"/>
      <c r="B302" s="89" t="s">
        <v>2058</v>
      </c>
      <c r="C302" s="11"/>
      <c r="D302" s="138"/>
      <c r="E302" s="1"/>
      <c r="F302" s="1"/>
      <c r="G302" s="1"/>
      <c r="H302" s="1"/>
      <c r="I302" s="1"/>
      <c r="J302" s="1"/>
      <c r="K302" s="1"/>
      <c r="L302" s="1"/>
      <c r="M302" s="1"/>
      <c r="N302" s="1"/>
      <c r="O302" s="1"/>
      <c r="P302" s="1"/>
      <c r="Q302" s="1"/>
      <c r="R302" s="1"/>
      <c r="S302" s="1"/>
      <c r="T302" s="1"/>
      <c r="U302" s="1"/>
      <c r="V302" s="1"/>
      <c r="W302" s="1"/>
      <c r="X302" s="623"/>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f t="shared" si="431"/>
        <v>0</v>
      </c>
      <c r="BG302" s="1">
        <f t="shared" si="438"/>
        <v>0</v>
      </c>
      <c r="BH302" s="1"/>
      <c r="BI302" s="1"/>
      <c r="BJ302" s="1"/>
      <c r="BK302" s="1"/>
      <c r="BL302" s="1"/>
      <c r="BM302" s="1"/>
      <c r="BN302" s="1"/>
      <c r="BO302" s="1"/>
      <c r="BP302" s="1">
        <f t="shared" si="439"/>
        <v>0</v>
      </c>
      <c r="BQ302" s="1">
        <f t="shared" si="432"/>
        <v>0</v>
      </c>
      <c r="BR302" s="1"/>
      <c r="BS302" s="1"/>
      <c r="BT302" s="1"/>
      <c r="BU302" s="1"/>
      <c r="BV302" s="1"/>
      <c r="BW302" s="1"/>
      <c r="BX302" s="1"/>
      <c r="BY302" s="1">
        <f t="shared" si="433"/>
        <v>0</v>
      </c>
      <c r="BZ302" s="1">
        <f t="shared" si="440"/>
        <v>0</v>
      </c>
      <c r="CA302" s="1">
        <f t="shared" si="434"/>
        <v>0</v>
      </c>
      <c r="CB302" s="1"/>
      <c r="CC302" s="1"/>
      <c r="CD302" s="1"/>
      <c r="CE302" s="1"/>
      <c r="CF302" s="1"/>
      <c r="CG302" s="1"/>
      <c r="CH302" s="1"/>
      <c r="CI302" s="1"/>
      <c r="CJ302" s="1">
        <f t="shared" si="435"/>
        <v>0</v>
      </c>
      <c r="CK302" s="1"/>
      <c r="CL302" s="1"/>
      <c r="CM302" s="1"/>
      <c r="CN302" s="1"/>
      <c r="CO302" s="1"/>
      <c r="CP302" s="1"/>
      <c r="CQ302" s="1"/>
      <c r="CR302" s="1"/>
      <c r="CS302" s="1"/>
      <c r="CT302" s="5"/>
      <c r="CU302" s="1">
        <f t="shared" si="436"/>
        <v>0</v>
      </c>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W302" s="1">
        <f t="shared" si="437"/>
        <v>0</v>
      </c>
      <c r="DX302" s="1"/>
      <c r="DY302" s="1"/>
      <c r="DZ302" s="1"/>
      <c r="EB302" s="1"/>
      <c r="EC302" s="1"/>
      <c r="ED302" s="1"/>
      <c r="EE302" s="1"/>
      <c r="EF302" s="1"/>
      <c r="EG302" s="1"/>
      <c r="EL302" s="1"/>
      <c r="EM302" s="1"/>
      <c r="EQ302" s="1"/>
    </row>
    <row r="303" spans="1:147" ht="15.75">
      <c r="A303" s="1"/>
      <c r="B303" s="1" t="s">
        <v>691</v>
      </c>
      <c r="C303" s="1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f t="shared" si="431"/>
        <v>0</v>
      </c>
      <c r="BG303" s="1">
        <f t="shared" si="438"/>
        <v>0</v>
      </c>
      <c r="BH303" s="1"/>
      <c r="BI303" s="1"/>
      <c r="BJ303" s="1"/>
      <c r="BK303" s="1"/>
      <c r="BL303" s="1"/>
      <c r="BM303" s="1"/>
      <c r="BN303" s="1"/>
      <c r="BO303" s="1"/>
      <c r="BP303" s="1">
        <f t="shared" si="439"/>
        <v>0</v>
      </c>
      <c r="BQ303" s="1">
        <f t="shared" si="432"/>
        <v>0</v>
      </c>
      <c r="BR303" s="1"/>
      <c r="BS303" s="1"/>
      <c r="BT303" s="1"/>
      <c r="BU303" s="1"/>
      <c r="BV303" s="1"/>
      <c r="BW303" s="1"/>
      <c r="BX303" s="1"/>
      <c r="BY303" s="1">
        <f t="shared" si="433"/>
        <v>0</v>
      </c>
      <c r="BZ303" s="1">
        <f t="shared" si="440"/>
        <v>0</v>
      </c>
      <c r="CA303" s="1">
        <f t="shared" si="434"/>
        <v>0</v>
      </c>
      <c r="CB303" s="1"/>
      <c r="CC303" s="1"/>
      <c r="CD303" s="1"/>
      <c r="CE303" s="1"/>
      <c r="CF303" s="1"/>
      <c r="CG303" s="1"/>
      <c r="CH303" s="1"/>
      <c r="CI303" s="1"/>
      <c r="CJ303" s="1">
        <f t="shared" si="435"/>
        <v>0</v>
      </c>
      <c r="CK303" s="1"/>
      <c r="CL303" s="1"/>
      <c r="CM303" s="1"/>
      <c r="CN303" s="1"/>
      <c r="CO303" s="1"/>
      <c r="CP303" s="1"/>
      <c r="CQ303" s="1"/>
      <c r="CR303" s="1"/>
      <c r="CS303" s="1"/>
      <c r="CT303" s="5"/>
      <c r="CU303" s="1">
        <f t="shared" si="436"/>
        <v>0</v>
      </c>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W303" s="1">
        <f t="shared" si="437"/>
        <v>0</v>
      </c>
      <c r="DX303" s="1"/>
      <c r="DY303" s="1"/>
      <c r="DZ303" s="1"/>
      <c r="EB303" s="1"/>
      <c r="EC303" s="1"/>
      <c r="ED303" s="1"/>
      <c r="EE303" s="1"/>
      <c r="EF303" s="1"/>
      <c r="EG303" s="1"/>
      <c r="EL303" s="1"/>
      <c r="EM303" s="1"/>
      <c r="EQ303" s="1"/>
    </row>
    <row r="304" spans="1:147" ht="15.75">
      <c r="A304" s="1"/>
      <c r="B304" s="1" t="s">
        <v>692</v>
      </c>
      <c r="C304" s="1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32">
        <v>409124</v>
      </c>
      <c r="AU304" s="1"/>
      <c r="AV304" s="1"/>
      <c r="AW304" s="1"/>
      <c r="AX304" s="1"/>
      <c r="AY304" s="1"/>
      <c r="AZ304" s="1"/>
      <c r="BA304" s="1"/>
      <c r="BB304" s="1"/>
      <c r="BC304" s="1"/>
      <c r="BD304" s="1"/>
      <c r="BE304" s="1"/>
      <c r="BF304" s="1">
        <f t="shared" si="431"/>
        <v>409124</v>
      </c>
      <c r="BG304" s="1">
        <f t="shared" si="438"/>
        <v>409124</v>
      </c>
      <c r="BH304" s="1"/>
      <c r="BI304" s="1"/>
      <c r="BJ304" s="1"/>
      <c r="BK304" s="1"/>
      <c r="BL304" s="1"/>
      <c r="BM304" s="1"/>
      <c r="BN304" s="1"/>
      <c r="BO304" s="1"/>
      <c r="BP304" s="1">
        <f t="shared" si="439"/>
        <v>0</v>
      </c>
      <c r="BQ304" s="1">
        <f t="shared" si="432"/>
        <v>0</v>
      </c>
      <c r="BR304" s="1"/>
      <c r="BS304" s="1"/>
      <c r="BT304" s="1"/>
      <c r="BU304" s="1"/>
      <c r="BV304" s="1"/>
      <c r="BW304" s="1"/>
      <c r="BX304" s="1"/>
      <c r="BY304" s="1">
        <f t="shared" si="433"/>
        <v>0</v>
      </c>
      <c r="BZ304" s="1">
        <f t="shared" si="440"/>
        <v>0</v>
      </c>
      <c r="CA304" s="1">
        <f t="shared" si="434"/>
        <v>409124</v>
      </c>
      <c r="CB304" s="1"/>
      <c r="CC304" s="1"/>
      <c r="CD304" s="1"/>
      <c r="CE304" s="1"/>
      <c r="CF304" s="1"/>
      <c r="CG304" s="1"/>
      <c r="CH304" s="1"/>
      <c r="CI304" s="1"/>
      <c r="CJ304" s="1">
        <f t="shared" si="435"/>
        <v>0</v>
      </c>
      <c r="CK304" s="1"/>
      <c r="CL304" s="1"/>
      <c r="CM304" s="1"/>
      <c r="CN304" s="1"/>
      <c r="CO304" s="1"/>
      <c r="CP304" s="1"/>
      <c r="CQ304" s="1"/>
      <c r="CR304" s="1"/>
      <c r="CS304" s="1"/>
      <c r="CT304" s="5"/>
      <c r="CU304" s="1">
        <f t="shared" si="436"/>
        <v>0</v>
      </c>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W304" s="1">
        <f t="shared" si="437"/>
        <v>0</v>
      </c>
      <c r="DX304" s="1"/>
      <c r="DY304" s="1"/>
      <c r="DZ304" s="1"/>
      <c r="EB304" s="1"/>
      <c r="EC304" s="1"/>
      <c r="ED304" s="1"/>
      <c r="EE304" s="1"/>
      <c r="EF304" s="1"/>
      <c r="EG304" s="1"/>
      <c r="EL304" s="1"/>
      <c r="EM304" s="1"/>
      <c r="EQ304" s="1"/>
    </row>
    <row r="305" spans="1:147" ht="15.75">
      <c r="A305" s="1"/>
      <c r="B305" s="1" t="s">
        <v>693</v>
      </c>
      <c r="C305" s="1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f t="shared" si="431"/>
        <v>0</v>
      </c>
      <c r="BG305" s="1">
        <f t="shared" si="438"/>
        <v>0</v>
      </c>
      <c r="BH305" s="1"/>
      <c r="BI305" s="1"/>
      <c r="BJ305" s="1"/>
      <c r="BK305" s="1"/>
      <c r="BL305" s="1"/>
      <c r="BM305" s="1"/>
      <c r="BN305" s="1"/>
      <c r="BO305" s="1"/>
      <c r="BP305" s="1">
        <f t="shared" si="439"/>
        <v>0</v>
      </c>
      <c r="BQ305" s="1">
        <f t="shared" si="432"/>
        <v>0</v>
      </c>
      <c r="BR305" s="1"/>
      <c r="BS305" s="1"/>
      <c r="BT305" s="1"/>
      <c r="BU305" s="1"/>
      <c r="BV305" s="1"/>
      <c r="BW305" s="1"/>
      <c r="BX305" s="1"/>
      <c r="BY305" s="1">
        <f t="shared" si="433"/>
        <v>0</v>
      </c>
      <c r="BZ305" s="1">
        <f t="shared" si="440"/>
        <v>0</v>
      </c>
      <c r="CA305" s="1">
        <f t="shared" si="434"/>
        <v>0</v>
      </c>
      <c r="CB305" s="1"/>
      <c r="CC305" s="32">
        <v>26925</v>
      </c>
      <c r="CD305" s="1"/>
      <c r="CE305" s="1"/>
      <c r="CF305" s="32"/>
      <c r="CG305" s="32"/>
      <c r="CH305" s="1"/>
      <c r="CI305" s="1"/>
      <c r="CJ305" s="1">
        <f t="shared" si="435"/>
        <v>26925</v>
      </c>
      <c r="CK305" s="1">
        <f t="shared" ref="CK305:CK312" si="441">+CJ305-CB305-CC305-CG305</f>
        <v>0</v>
      </c>
      <c r="CL305" s="32"/>
      <c r="CM305" s="32"/>
      <c r="CN305" s="32"/>
      <c r="CO305" s="1"/>
      <c r="CP305" s="32">
        <v>43649</v>
      </c>
      <c r="CQ305" s="1"/>
      <c r="CR305" s="32"/>
      <c r="CS305" s="1"/>
      <c r="CT305" s="5"/>
      <c r="CU305" s="1">
        <f t="shared" si="436"/>
        <v>43649</v>
      </c>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W305" s="1">
        <f t="shared" si="437"/>
        <v>0</v>
      </c>
      <c r="DX305" s="1"/>
      <c r="DY305" s="1"/>
      <c r="DZ305" s="1"/>
      <c r="EB305" s="1"/>
      <c r="EC305" s="1"/>
      <c r="ED305" s="1"/>
      <c r="EE305" s="1"/>
      <c r="EF305" s="1"/>
      <c r="EG305" s="1"/>
      <c r="EH305" s="1"/>
      <c r="EI305" s="1"/>
      <c r="EJ305" s="1"/>
      <c r="EL305" s="1"/>
      <c r="EM305" s="1"/>
      <c r="EQ305" s="1"/>
    </row>
    <row r="306" spans="1:147" ht="15.75">
      <c r="A306" s="1"/>
      <c r="B306" s="1" t="s">
        <v>694</v>
      </c>
      <c r="C306" s="1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f t="shared" si="431"/>
        <v>0</v>
      </c>
      <c r="BG306" s="1">
        <f t="shared" si="438"/>
        <v>0</v>
      </c>
      <c r="BH306" s="1"/>
      <c r="BI306" s="1"/>
      <c r="BJ306" s="1"/>
      <c r="BK306" s="1"/>
      <c r="BL306" s="1"/>
      <c r="BM306" s="1"/>
      <c r="BN306" s="1"/>
      <c r="BO306" s="1"/>
      <c r="BP306" s="1">
        <f t="shared" si="439"/>
        <v>0</v>
      </c>
      <c r="BQ306" s="1">
        <f t="shared" si="432"/>
        <v>0</v>
      </c>
      <c r="BR306" s="1"/>
      <c r="BS306" s="1"/>
      <c r="BT306" s="1"/>
      <c r="BU306" s="1"/>
      <c r="BV306" s="1"/>
      <c r="BW306" s="1"/>
      <c r="BX306" s="1"/>
      <c r="BY306" s="1">
        <f t="shared" si="433"/>
        <v>0</v>
      </c>
      <c r="BZ306" s="1">
        <f t="shared" si="440"/>
        <v>0</v>
      </c>
      <c r="CA306" s="1">
        <f t="shared" si="434"/>
        <v>0</v>
      </c>
      <c r="CB306" s="1"/>
      <c r="CC306" s="1"/>
      <c r="CD306" s="1"/>
      <c r="CE306" s="1"/>
      <c r="CF306" s="32"/>
      <c r="CG306" s="32"/>
      <c r="CH306" s="1"/>
      <c r="CI306" s="1"/>
      <c r="CJ306" s="1">
        <f t="shared" si="435"/>
        <v>0</v>
      </c>
      <c r="CK306" s="1">
        <f t="shared" si="441"/>
        <v>0</v>
      </c>
      <c r="CL306" s="1"/>
      <c r="CM306" s="1"/>
      <c r="CN306" s="1"/>
      <c r="CO306" s="32"/>
      <c r="CP306" s="1"/>
      <c r="CQ306" s="1"/>
      <c r="CR306" s="1"/>
      <c r="CS306" s="1"/>
      <c r="CT306" s="5"/>
      <c r="CU306" s="1">
        <f t="shared" si="436"/>
        <v>0</v>
      </c>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W306" s="1">
        <f t="shared" si="437"/>
        <v>0</v>
      </c>
      <c r="DX306" s="1"/>
      <c r="DY306" s="1"/>
      <c r="DZ306" s="1"/>
      <c r="EB306" s="1"/>
      <c r="EC306" s="1"/>
      <c r="ED306" s="1"/>
      <c r="EE306" s="1"/>
      <c r="EF306" s="1"/>
      <c r="EG306" s="1"/>
      <c r="EH306" s="1"/>
      <c r="EI306" s="1"/>
      <c r="EJ306" s="1"/>
      <c r="EL306" s="1"/>
      <c r="EM306" s="1"/>
      <c r="EQ306" s="1"/>
    </row>
    <row r="307" spans="1:147" ht="15.75">
      <c r="A307" s="1"/>
      <c r="B307" s="1" t="s">
        <v>695</v>
      </c>
      <c r="C307" s="1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23"/>
      <c r="BD307" s="1"/>
      <c r="BE307" s="1"/>
      <c r="BF307" s="1">
        <f t="shared" si="431"/>
        <v>0</v>
      </c>
      <c r="BG307" s="1">
        <f t="shared" si="438"/>
        <v>0</v>
      </c>
      <c r="BH307" s="1"/>
      <c r="BI307" s="1"/>
      <c r="BJ307" s="1"/>
      <c r="BK307" s="1"/>
      <c r="BL307" s="1"/>
      <c r="BM307" s="1"/>
      <c r="BN307" s="1"/>
      <c r="BO307" s="1"/>
      <c r="BP307" s="1">
        <f t="shared" si="439"/>
        <v>0</v>
      </c>
      <c r="BQ307" s="1">
        <f t="shared" si="432"/>
        <v>0</v>
      </c>
      <c r="BR307" s="1"/>
      <c r="BS307" s="1"/>
      <c r="BT307" s="1"/>
      <c r="BU307" s="1"/>
      <c r="BV307" s="1"/>
      <c r="BW307" s="1"/>
      <c r="BX307" s="1"/>
      <c r="BY307" s="1">
        <f t="shared" si="433"/>
        <v>0</v>
      </c>
      <c r="BZ307" s="1">
        <f t="shared" si="440"/>
        <v>0</v>
      </c>
      <c r="CA307" s="1">
        <f t="shared" si="434"/>
        <v>0</v>
      </c>
      <c r="CB307" s="1"/>
      <c r="CC307" s="32"/>
      <c r="CD307" s="1"/>
      <c r="CE307" s="32">
        <v>0</v>
      </c>
      <c r="CF307" s="32">
        <v>97299</v>
      </c>
      <c r="CG307" s="32"/>
      <c r="CH307" s="1"/>
      <c r="CI307" s="1"/>
      <c r="CJ307" s="1">
        <f t="shared" si="435"/>
        <v>97299</v>
      </c>
      <c r="CK307" s="1">
        <f t="shared" si="441"/>
        <v>97299</v>
      </c>
      <c r="CL307" s="32"/>
      <c r="CM307" s="1"/>
      <c r="CN307" s="1"/>
      <c r="CO307" s="1"/>
      <c r="CP307" s="32"/>
      <c r="CQ307" s="32"/>
      <c r="CR307" s="32">
        <v>482991</v>
      </c>
      <c r="CS307" s="1"/>
      <c r="CT307" s="5"/>
      <c r="CU307" s="1">
        <f t="shared" si="436"/>
        <v>482991</v>
      </c>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W307" s="1">
        <f t="shared" si="437"/>
        <v>0</v>
      </c>
      <c r="DX307" s="1"/>
      <c r="DY307" s="1"/>
      <c r="DZ307" s="1"/>
      <c r="EB307" s="1"/>
      <c r="EC307" s="1"/>
      <c r="ED307" s="1"/>
      <c r="EE307" s="1"/>
      <c r="EF307" s="1"/>
      <c r="EG307" s="1"/>
      <c r="EH307" s="1"/>
      <c r="EI307" s="1"/>
      <c r="EJ307" s="1"/>
      <c r="EL307" s="1"/>
      <c r="EM307" s="1"/>
      <c r="EQ307" s="1"/>
    </row>
    <row r="308" spans="1:147" ht="15.75">
      <c r="A308" s="1"/>
      <c r="B308" s="1" t="s">
        <v>106</v>
      </c>
      <c r="C308" s="1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23"/>
      <c r="BD308" s="1"/>
      <c r="BE308" s="1"/>
      <c r="BF308" s="1">
        <f t="shared" si="431"/>
        <v>0</v>
      </c>
      <c r="BG308" s="1">
        <f t="shared" si="438"/>
        <v>0</v>
      </c>
      <c r="BH308" s="1"/>
      <c r="BI308" s="1"/>
      <c r="BJ308" s="1"/>
      <c r="BK308" s="1"/>
      <c r="BL308" s="1"/>
      <c r="BM308" s="1"/>
      <c r="BN308" s="1"/>
      <c r="BO308" s="1"/>
      <c r="BP308" s="1">
        <f t="shared" si="439"/>
        <v>0</v>
      </c>
      <c r="BQ308" s="1"/>
      <c r="BR308" s="1"/>
      <c r="BS308" s="1"/>
      <c r="BT308" s="1"/>
      <c r="BU308" s="1"/>
      <c r="BV308" s="1"/>
      <c r="BW308" s="1"/>
      <c r="BX308" s="1"/>
      <c r="BY308" s="1">
        <f t="shared" si="433"/>
        <v>0</v>
      </c>
      <c r="BZ308" s="1">
        <f t="shared" si="440"/>
        <v>0</v>
      </c>
      <c r="CA308" s="1">
        <f t="shared" si="434"/>
        <v>0</v>
      </c>
      <c r="CB308" s="1"/>
      <c r="CC308" s="1"/>
      <c r="CD308" s="1"/>
      <c r="CE308" s="1"/>
      <c r="CF308" s="1"/>
      <c r="CG308" s="1"/>
      <c r="CH308" s="1"/>
      <c r="CI308" s="1"/>
      <c r="CJ308" s="1">
        <f t="shared" si="435"/>
        <v>0</v>
      </c>
      <c r="CK308" s="1">
        <f t="shared" si="441"/>
        <v>0</v>
      </c>
      <c r="CL308" s="1"/>
      <c r="CM308" s="1"/>
      <c r="CN308" s="1"/>
      <c r="CO308" s="1"/>
      <c r="CP308" s="1"/>
      <c r="CQ308" s="1"/>
      <c r="CR308" s="1"/>
      <c r="CS308" s="1"/>
      <c r="CT308" s="5"/>
      <c r="CU308" s="1">
        <f t="shared" si="436"/>
        <v>0</v>
      </c>
      <c r="CW308" s="63"/>
      <c r="CX308" s="63"/>
      <c r="CY308" s="63"/>
      <c r="CZ308" s="63"/>
      <c r="DA308" s="63"/>
      <c r="DB308" s="63"/>
      <c r="DC308" s="63"/>
      <c r="DD308" s="63"/>
      <c r="DE308" s="63"/>
      <c r="DF308" s="63"/>
      <c r="DG308" s="63"/>
      <c r="DH308" s="63"/>
      <c r="DI308" s="63"/>
      <c r="DJ308" s="63"/>
      <c r="DK308" s="63"/>
      <c r="DL308" s="63"/>
      <c r="DM308" s="63"/>
      <c r="DN308" s="63"/>
      <c r="DO308" s="63"/>
      <c r="DP308" s="63"/>
      <c r="DQ308" s="63"/>
      <c r="DR308" s="63"/>
      <c r="DS308" s="63"/>
      <c r="DT308" s="63"/>
      <c r="DW308" s="1">
        <f t="shared" si="437"/>
        <v>0</v>
      </c>
      <c r="DX308" s="1"/>
      <c r="DY308" s="1"/>
      <c r="DZ308" s="1"/>
      <c r="EB308" s="181">
        <v>0</v>
      </c>
      <c r="EC308" s="182" t="s">
        <v>1761</v>
      </c>
      <c r="ED308" s="1"/>
      <c r="EE308" s="1"/>
      <c r="EF308" s="1"/>
      <c r="EG308" s="1"/>
      <c r="EH308" s="1"/>
      <c r="EI308" s="1"/>
      <c r="EJ308" s="1"/>
      <c r="EL308" s="1"/>
      <c r="EM308" s="1"/>
      <c r="EQ308" s="1"/>
    </row>
    <row r="309" spans="1:147" ht="15.75">
      <c r="A309" s="1"/>
      <c r="B309" s="1" t="s">
        <v>696</v>
      </c>
      <c r="C309" s="1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f t="shared" si="431"/>
        <v>0</v>
      </c>
      <c r="BG309" s="1">
        <f t="shared" si="438"/>
        <v>0</v>
      </c>
      <c r="BH309" s="1"/>
      <c r="BI309" s="1"/>
      <c r="BJ309" s="1"/>
      <c r="BK309" s="1"/>
      <c r="BL309" s="1"/>
      <c r="BM309" s="1"/>
      <c r="BN309" s="1"/>
      <c r="BO309" s="1"/>
      <c r="BP309" s="1">
        <f t="shared" si="439"/>
        <v>0</v>
      </c>
      <c r="BQ309" s="1">
        <f t="shared" si="432"/>
        <v>0</v>
      </c>
      <c r="BR309" s="1"/>
      <c r="BS309" s="1"/>
      <c r="BT309" s="1"/>
      <c r="BU309" s="1"/>
      <c r="BV309" s="1"/>
      <c r="BW309" s="1"/>
      <c r="BX309" s="1"/>
      <c r="BY309" s="1">
        <f t="shared" si="433"/>
        <v>0</v>
      </c>
      <c r="BZ309" s="1">
        <f t="shared" si="440"/>
        <v>0</v>
      </c>
      <c r="CA309" s="1">
        <f t="shared" si="434"/>
        <v>0</v>
      </c>
      <c r="CB309" s="1"/>
      <c r="CC309" s="120"/>
      <c r="CD309" s="1"/>
      <c r="CE309" s="32"/>
      <c r="CF309" s="1"/>
      <c r="CG309" s="32">
        <v>0</v>
      </c>
      <c r="CH309" s="1"/>
      <c r="CI309" s="1"/>
      <c r="CJ309" s="1">
        <f t="shared" si="435"/>
        <v>0</v>
      </c>
      <c r="CK309" s="1">
        <f t="shared" si="441"/>
        <v>0</v>
      </c>
      <c r="CL309" s="1"/>
      <c r="CM309" s="32"/>
      <c r="CN309" s="1"/>
      <c r="CO309" s="1"/>
      <c r="CP309" s="1"/>
      <c r="CQ309" s="1"/>
      <c r="CR309" s="1"/>
      <c r="CS309" s="1"/>
      <c r="CT309" s="5"/>
      <c r="CU309" s="1">
        <f t="shared" si="436"/>
        <v>0</v>
      </c>
      <c r="CW309" s="183"/>
      <c r="CX309" s="183"/>
      <c r="CY309" s="183"/>
      <c r="CZ309" s="183"/>
      <c r="DA309" s="183"/>
      <c r="DB309" s="183"/>
      <c r="DC309" s="183"/>
      <c r="DD309" s="183"/>
      <c r="DE309" s="183"/>
      <c r="DF309" s="183"/>
      <c r="DG309" s="183"/>
      <c r="DH309" s="183"/>
      <c r="DI309" s="183"/>
      <c r="DJ309" s="183"/>
      <c r="DK309" s="183"/>
      <c r="DL309" s="183"/>
      <c r="DM309" s="183"/>
      <c r="DN309" s="183"/>
      <c r="DO309" s="183"/>
      <c r="DP309" s="183"/>
      <c r="DQ309" s="183"/>
      <c r="DR309" s="183"/>
      <c r="DS309" s="183"/>
      <c r="DT309" s="183"/>
      <c r="DW309" s="1">
        <f t="shared" si="437"/>
        <v>0</v>
      </c>
      <c r="DX309" s="1"/>
      <c r="DY309" s="1"/>
      <c r="DZ309" s="1"/>
      <c r="EB309" s="134">
        <v>0</v>
      </c>
      <c r="EC309" s="1"/>
      <c r="ED309" s="1"/>
      <c r="EE309" s="1"/>
      <c r="EF309" s="1"/>
      <c r="EG309" s="1"/>
      <c r="EH309" s="1"/>
      <c r="EI309" s="1"/>
      <c r="EJ309" s="1"/>
      <c r="EL309" s="1">
        <v>0</v>
      </c>
      <c r="EM309" s="1"/>
      <c r="EQ309" s="1"/>
    </row>
    <row r="310" spans="1:147" ht="15.75">
      <c r="A310" s="1"/>
      <c r="B310" s="1" t="s">
        <v>1176</v>
      </c>
      <c r="C310" s="11"/>
      <c r="D310" s="1"/>
      <c r="E310" s="82"/>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f t="shared" si="431"/>
        <v>0</v>
      </c>
      <c r="BG310" s="1">
        <f t="shared" si="438"/>
        <v>0</v>
      </c>
      <c r="BH310" s="1"/>
      <c r="BI310" s="1"/>
      <c r="BJ310" s="1"/>
      <c r="BK310" s="1"/>
      <c r="BL310" s="1"/>
      <c r="BM310" s="1"/>
      <c r="BN310" s="1"/>
      <c r="BO310" s="1"/>
      <c r="BP310" s="1">
        <f t="shared" si="439"/>
        <v>0</v>
      </c>
      <c r="BQ310" s="1">
        <f t="shared" si="432"/>
        <v>0</v>
      </c>
      <c r="BR310" s="1"/>
      <c r="BS310" s="1"/>
      <c r="BT310" s="1"/>
      <c r="BU310" s="1"/>
      <c r="BV310" s="1"/>
      <c r="BW310" s="1"/>
      <c r="BX310" s="1"/>
      <c r="BY310" s="1">
        <f t="shared" si="433"/>
        <v>0</v>
      </c>
      <c r="BZ310" s="1">
        <f t="shared" si="440"/>
        <v>0</v>
      </c>
      <c r="CA310" s="1">
        <f t="shared" si="434"/>
        <v>0</v>
      </c>
      <c r="CB310" s="1"/>
      <c r="CC310" s="120"/>
      <c r="CD310" s="1"/>
      <c r="CE310" s="1"/>
      <c r="CF310" s="1"/>
      <c r="CG310" s="1"/>
      <c r="CH310" s="1"/>
      <c r="CI310" s="1"/>
      <c r="CJ310" s="1">
        <f t="shared" si="435"/>
        <v>0</v>
      </c>
      <c r="CK310" s="1">
        <f t="shared" si="441"/>
        <v>0</v>
      </c>
      <c r="CL310" s="1"/>
      <c r="CM310" s="1"/>
      <c r="CN310" s="1"/>
      <c r="CO310" s="1"/>
      <c r="CP310" s="1"/>
      <c r="CQ310" s="1"/>
      <c r="CR310" s="1"/>
      <c r="CS310" s="1"/>
      <c r="CT310" s="5"/>
      <c r="CU310" s="1">
        <f t="shared" si="436"/>
        <v>0</v>
      </c>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W310" s="1">
        <f t="shared" si="437"/>
        <v>0</v>
      </c>
      <c r="DX310" s="1"/>
      <c r="DY310" s="1"/>
      <c r="DZ310" s="1"/>
      <c r="EB310" s="623">
        <v>0</v>
      </c>
      <c r="EC310" s="253" t="s">
        <v>2977</v>
      </c>
      <c r="ED310" s="1"/>
      <c r="EE310" s="1"/>
      <c r="EF310" s="1"/>
      <c r="EG310" s="1"/>
      <c r="EH310" s="1"/>
      <c r="EI310" s="1"/>
      <c r="EJ310" s="1"/>
      <c r="EL310" s="1"/>
      <c r="EM310" s="1"/>
      <c r="EQ310" s="1"/>
    </row>
    <row r="311" spans="1:147" ht="15.75">
      <c r="A311" s="1"/>
      <c r="B311" s="1" t="s">
        <v>697</v>
      </c>
      <c r="C311" s="1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f t="shared" si="431"/>
        <v>0</v>
      </c>
      <c r="BG311" s="1">
        <f t="shared" si="438"/>
        <v>0</v>
      </c>
      <c r="BH311" s="1"/>
      <c r="BI311" s="1"/>
      <c r="BJ311" s="1"/>
      <c r="BK311" s="1"/>
      <c r="BL311" s="1"/>
      <c r="BM311" s="1"/>
      <c r="BN311" s="1"/>
      <c r="BO311" s="1"/>
      <c r="BP311" s="1">
        <f t="shared" si="439"/>
        <v>0</v>
      </c>
      <c r="BQ311" s="1"/>
      <c r="BR311" s="1"/>
      <c r="BS311" s="1"/>
      <c r="BT311" s="1"/>
      <c r="BU311" s="1"/>
      <c r="BV311" s="1"/>
      <c r="BW311" s="1"/>
      <c r="BX311" s="1"/>
      <c r="BY311" s="1">
        <f t="shared" si="433"/>
        <v>0</v>
      </c>
      <c r="BZ311" s="1">
        <f t="shared" si="440"/>
        <v>0</v>
      </c>
      <c r="CA311" s="1">
        <f t="shared" si="434"/>
        <v>0</v>
      </c>
      <c r="CB311" s="1"/>
      <c r="CC311" s="1"/>
      <c r="CD311" s="1"/>
      <c r="CE311" s="1"/>
      <c r="CF311" s="1"/>
      <c r="CG311" s="1"/>
      <c r="CH311" s="1"/>
      <c r="CI311" s="1"/>
      <c r="CJ311" s="1">
        <f t="shared" si="435"/>
        <v>0</v>
      </c>
      <c r="CK311" s="1">
        <f t="shared" si="441"/>
        <v>0</v>
      </c>
      <c r="CL311" s="1"/>
      <c r="CM311" s="1"/>
      <c r="CN311" s="1"/>
      <c r="CO311" s="1"/>
      <c r="CP311" s="1"/>
      <c r="CQ311" s="1"/>
      <c r="CR311" s="1"/>
      <c r="CS311" s="1"/>
      <c r="CT311" s="5"/>
      <c r="CU311" s="1">
        <f t="shared" si="436"/>
        <v>0</v>
      </c>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W311" s="1">
        <f t="shared" si="437"/>
        <v>0</v>
      </c>
      <c r="DX311" s="1"/>
      <c r="DY311" s="1"/>
      <c r="DZ311" s="1"/>
      <c r="EB311" s="1"/>
      <c r="EC311" s="1"/>
      <c r="ED311" s="1"/>
      <c r="EE311" s="1"/>
      <c r="EF311" s="1"/>
      <c r="EG311" s="1"/>
      <c r="EH311" s="1"/>
      <c r="EI311" s="1"/>
      <c r="EJ311" s="1"/>
      <c r="EL311" s="1"/>
      <c r="EM311" s="1"/>
      <c r="EQ311" s="1"/>
    </row>
    <row r="312" spans="1:147" ht="15.75">
      <c r="A312" s="1"/>
      <c r="B312" s="1" t="s">
        <v>105</v>
      </c>
      <c r="C312" s="1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f t="shared" si="431"/>
        <v>0</v>
      </c>
      <c r="BG312" s="1">
        <f t="shared" si="438"/>
        <v>0</v>
      </c>
      <c r="BH312" s="1"/>
      <c r="BI312" s="1"/>
      <c r="BJ312" s="1"/>
      <c r="BK312" s="1"/>
      <c r="BL312" s="1"/>
      <c r="BM312" s="1"/>
      <c r="BN312" s="1"/>
      <c r="BO312" s="1"/>
      <c r="BP312" s="1">
        <f t="shared" si="439"/>
        <v>0</v>
      </c>
      <c r="BQ312" s="1"/>
      <c r="BR312" s="1"/>
      <c r="BS312" s="1"/>
      <c r="BT312" s="1"/>
      <c r="BU312" s="1"/>
      <c r="BV312" s="1"/>
      <c r="BW312" s="1"/>
      <c r="BX312" s="1"/>
      <c r="BY312" s="1">
        <f t="shared" si="433"/>
        <v>0</v>
      </c>
      <c r="BZ312" s="1">
        <f t="shared" si="440"/>
        <v>0</v>
      </c>
      <c r="CA312" s="1">
        <f t="shared" si="434"/>
        <v>0</v>
      </c>
      <c r="CB312" s="1"/>
      <c r="CC312" s="1"/>
      <c r="CD312" s="1"/>
      <c r="CE312" s="1"/>
      <c r="CF312" s="1"/>
      <c r="CG312" s="1"/>
      <c r="CH312" s="1"/>
      <c r="CI312" s="1"/>
      <c r="CJ312" s="1">
        <f t="shared" si="435"/>
        <v>0</v>
      </c>
      <c r="CK312" s="1">
        <f t="shared" si="441"/>
        <v>0</v>
      </c>
      <c r="CL312" s="1"/>
      <c r="CM312" s="1"/>
      <c r="CN312" s="1"/>
      <c r="CO312" s="1"/>
      <c r="CP312" s="1004">
        <v>4540</v>
      </c>
      <c r="CQ312" s="1"/>
      <c r="CR312" s="1"/>
      <c r="CS312" s="1"/>
      <c r="CT312" s="5"/>
      <c r="CU312" s="1">
        <f t="shared" si="436"/>
        <v>4540</v>
      </c>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W312" s="1">
        <f t="shared" si="437"/>
        <v>0</v>
      </c>
      <c r="DX312" s="1"/>
      <c r="DY312" s="1"/>
      <c r="DZ312" s="1"/>
      <c r="EB312" s="1"/>
      <c r="EC312" s="88" t="s">
        <v>1807</v>
      </c>
      <c r="ED312" s="1"/>
      <c r="EE312" s="1"/>
      <c r="EF312" s="1"/>
      <c r="EG312" s="1"/>
      <c r="EH312" s="1"/>
      <c r="EI312" s="1"/>
      <c r="EJ312" s="1"/>
      <c r="EL312" s="1"/>
      <c r="EM312" s="1"/>
      <c r="EQ312" s="1"/>
    </row>
    <row r="313" spans="1:147" ht="15.75">
      <c r="A313" s="1"/>
      <c r="B313" s="89" t="s">
        <v>3517</v>
      </c>
      <c r="C313" s="1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f t="shared" si="431"/>
        <v>0</v>
      </c>
      <c r="BG313" s="1">
        <f t="shared" si="438"/>
        <v>0</v>
      </c>
      <c r="BH313" s="1"/>
      <c r="BI313" s="1"/>
      <c r="BJ313" s="1"/>
      <c r="BK313" s="1"/>
      <c r="BL313" s="1"/>
      <c r="BM313" s="1"/>
      <c r="BN313" s="1"/>
      <c r="BO313" s="1"/>
      <c r="BP313" s="1">
        <f t="shared" si="439"/>
        <v>0</v>
      </c>
      <c r="BQ313" s="1"/>
      <c r="BR313" s="1"/>
      <c r="BS313" s="1"/>
      <c r="BT313" s="1"/>
      <c r="BU313" s="1"/>
      <c r="BV313" s="1"/>
      <c r="BW313" s="1"/>
      <c r="BX313" s="1"/>
      <c r="BY313" s="1">
        <f t="shared" si="433"/>
        <v>0</v>
      </c>
      <c r="BZ313" s="1">
        <f t="shared" si="440"/>
        <v>0</v>
      </c>
      <c r="CA313" s="1">
        <f t="shared" si="434"/>
        <v>0</v>
      </c>
      <c r="CB313" s="1"/>
      <c r="CC313" s="32">
        <v>324769</v>
      </c>
      <c r="CD313" s="32">
        <f>3593-838</f>
        <v>2755</v>
      </c>
      <c r="CE313" s="32">
        <v>10674</v>
      </c>
      <c r="CF313" s="1"/>
      <c r="CG313" s="32">
        <v>380339</v>
      </c>
      <c r="CH313" s="1"/>
      <c r="CI313" s="1"/>
      <c r="CJ313" s="1">
        <f t="shared" si="435"/>
        <v>718537</v>
      </c>
      <c r="CK313" s="1">
        <f>+CJ313-CB313-CC313-CG313</f>
        <v>13429</v>
      </c>
      <c r="CL313" s="32">
        <v>28166</v>
      </c>
      <c r="CM313" s="32">
        <v>34063</v>
      </c>
      <c r="CN313" s="32">
        <v>3661</v>
      </c>
      <c r="CO313" s="32">
        <v>0</v>
      </c>
      <c r="CP313" s="1297">
        <f>2865+293585</f>
        <v>296450</v>
      </c>
      <c r="CQ313" s="1"/>
      <c r="CR313" s="1"/>
      <c r="CS313" s="1"/>
      <c r="CT313" s="5"/>
      <c r="CU313" s="1">
        <f t="shared" si="436"/>
        <v>362340</v>
      </c>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W313" s="1">
        <f t="shared" si="437"/>
        <v>0</v>
      </c>
      <c r="DX313" s="1"/>
      <c r="DY313" s="1"/>
      <c r="DZ313" s="1"/>
      <c r="EB313" s="1"/>
      <c r="EC313" s="1"/>
      <c r="ED313" s="1"/>
      <c r="EE313" s="1"/>
      <c r="EF313" s="1"/>
      <c r="EG313" s="1"/>
      <c r="EH313" s="1"/>
      <c r="EI313" s="1"/>
      <c r="EJ313" s="1"/>
      <c r="EL313" s="1"/>
      <c r="EM313" s="1"/>
      <c r="EQ313" s="1"/>
    </row>
    <row r="314" spans="1:147" ht="15.75">
      <c r="A314" s="11"/>
      <c r="B314" s="11" t="s">
        <v>1332</v>
      </c>
      <c r="C314" s="11"/>
      <c r="D314" s="12">
        <f t="shared" ref="D314:BD314" si="442">SUM(D296:D313)</f>
        <v>324210</v>
      </c>
      <c r="E314" s="12">
        <f t="shared" si="442"/>
        <v>101475</v>
      </c>
      <c r="F314" s="12">
        <f t="shared" si="442"/>
        <v>0</v>
      </c>
      <c r="G314" s="12">
        <f t="shared" si="442"/>
        <v>0</v>
      </c>
      <c r="H314" s="12">
        <f t="shared" si="442"/>
        <v>0</v>
      </c>
      <c r="I314" s="12">
        <f t="shared" si="442"/>
        <v>191496</v>
      </c>
      <c r="J314" s="12">
        <f t="shared" si="442"/>
        <v>57632</v>
      </c>
      <c r="K314" s="12">
        <f t="shared" si="442"/>
        <v>0</v>
      </c>
      <c r="L314" s="12">
        <f>SUM(L296:L313)</f>
        <v>0</v>
      </c>
      <c r="M314" s="12">
        <f t="shared" si="442"/>
        <v>43284</v>
      </c>
      <c r="N314" s="12">
        <f>SUM(N296:N313)</f>
        <v>0</v>
      </c>
      <c r="O314" s="12">
        <f t="shared" si="442"/>
        <v>0</v>
      </c>
      <c r="P314" s="12">
        <f t="shared" si="442"/>
        <v>0</v>
      </c>
      <c r="Q314" s="12">
        <f t="shared" si="442"/>
        <v>0</v>
      </c>
      <c r="R314" s="12">
        <f t="shared" si="442"/>
        <v>0</v>
      </c>
      <c r="S314" s="12">
        <f t="shared" si="442"/>
        <v>35212</v>
      </c>
      <c r="T314" s="12">
        <f t="shared" si="442"/>
        <v>0</v>
      </c>
      <c r="U314" s="12">
        <f t="shared" si="442"/>
        <v>62885</v>
      </c>
      <c r="V314" s="12">
        <f t="shared" si="442"/>
        <v>0</v>
      </c>
      <c r="W314" s="12">
        <f t="shared" si="442"/>
        <v>0</v>
      </c>
      <c r="X314" s="12">
        <f t="shared" si="442"/>
        <v>363608</v>
      </c>
      <c r="Y314" s="12">
        <f t="shared" si="442"/>
        <v>0</v>
      </c>
      <c r="Z314" s="12">
        <f t="shared" si="442"/>
        <v>0</v>
      </c>
      <c r="AA314" s="12">
        <f t="shared" si="442"/>
        <v>0</v>
      </c>
      <c r="AB314" s="12">
        <f>SUM(AB296:AB313)</f>
        <v>106604</v>
      </c>
      <c r="AC314" s="12">
        <f t="shared" si="442"/>
        <v>0</v>
      </c>
      <c r="AD314" s="12">
        <f t="shared" si="442"/>
        <v>0</v>
      </c>
      <c r="AE314" s="12">
        <f t="shared" si="442"/>
        <v>0</v>
      </c>
      <c r="AF314" s="12">
        <f t="shared" si="442"/>
        <v>0</v>
      </c>
      <c r="AG314" s="12">
        <f t="shared" si="442"/>
        <v>0</v>
      </c>
      <c r="AH314" s="12">
        <f t="shared" si="442"/>
        <v>0</v>
      </c>
      <c r="AI314" s="12">
        <f t="shared" si="442"/>
        <v>0</v>
      </c>
      <c r="AJ314" s="12">
        <f t="shared" si="442"/>
        <v>0</v>
      </c>
      <c r="AK314" s="12">
        <f t="shared" ref="AK314:AQ314" si="443">SUM(AK296:AK313)</f>
        <v>0</v>
      </c>
      <c r="AL314" s="12">
        <f t="shared" si="443"/>
        <v>0</v>
      </c>
      <c r="AM314" s="12">
        <f t="shared" si="443"/>
        <v>0</v>
      </c>
      <c r="AN314" s="12">
        <f t="shared" si="443"/>
        <v>0</v>
      </c>
      <c r="AO314" s="12">
        <f t="shared" si="443"/>
        <v>0</v>
      </c>
      <c r="AP314" s="12">
        <f t="shared" si="443"/>
        <v>0</v>
      </c>
      <c r="AQ314" s="12">
        <f t="shared" si="443"/>
        <v>0</v>
      </c>
      <c r="AR314" s="12">
        <f t="shared" si="442"/>
        <v>0</v>
      </c>
      <c r="AS314" s="12">
        <f t="shared" si="442"/>
        <v>0</v>
      </c>
      <c r="AT314" s="12">
        <f>SUM(AT296:AT313)</f>
        <v>409124</v>
      </c>
      <c r="AU314" s="12">
        <f t="shared" si="442"/>
        <v>0</v>
      </c>
      <c r="AV314" s="12">
        <f t="shared" si="442"/>
        <v>0</v>
      </c>
      <c r="AW314" s="12"/>
      <c r="AX314" s="12">
        <f t="shared" si="442"/>
        <v>0</v>
      </c>
      <c r="AY314" s="12">
        <f t="shared" si="442"/>
        <v>0</v>
      </c>
      <c r="AZ314" s="12">
        <f t="shared" si="442"/>
        <v>0</v>
      </c>
      <c r="BA314" s="12">
        <f t="shared" si="442"/>
        <v>0</v>
      </c>
      <c r="BB314" s="12">
        <f t="shared" si="442"/>
        <v>90586</v>
      </c>
      <c r="BC314" s="12">
        <f t="shared" si="442"/>
        <v>36601</v>
      </c>
      <c r="BD314" s="12">
        <f t="shared" si="442"/>
        <v>0</v>
      </c>
      <c r="BE314" s="12"/>
      <c r="BF314" s="12">
        <f t="shared" ref="BF314:BN314" si="444">SUM(BF296:BF313)</f>
        <v>1498507</v>
      </c>
      <c r="BG314" s="12">
        <f t="shared" si="444"/>
        <v>1007712</v>
      </c>
      <c r="BH314" s="12">
        <f t="shared" si="444"/>
        <v>0</v>
      </c>
      <c r="BI314" s="12">
        <f t="shared" si="444"/>
        <v>0</v>
      </c>
      <c r="BJ314" s="12">
        <f t="shared" si="444"/>
        <v>0</v>
      </c>
      <c r="BK314" s="12">
        <f t="shared" si="444"/>
        <v>0</v>
      </c>
      <c r="BL314" s="12">
        <f t="shared" si="444"/>
        <v>0</v>
      </c>
      <c r="BM314" s="12">
        <f>SUM(BM296:BM313)</f>
        <v>0</v>
      </c>
      <c r="BN314" s="12">
        <f t="shared" si="444"/>
        <v>0</v>
      </c>
      <c r="BO314" s="12"/>
      <c r="BP314" s="12">
        <f t="shared" ref="BP314:BW314" si="445">SUM(BP296:BP313)</f>
        <v>0</v>
      </c>
      <c r="BQ314" s="12">
        <f t="shared" si="445"/>
        <v>0</v>
      </c>
      <c r="BR314" s="12">
        <f t="shared" si="445"/>
        <v>51976</v>
      </c>
      <c r="BS314" s="12">
        <f t="shared" si="445"/>
        <v>0</v>
      </c>
      <c r="BT314" s="12">
        <f t="shared" si="445"/>
        <v>0</v>
      </c>
      <c r="BU314" s="12">
        <f t="shared" si="445"/>
        <v>0</v>
      </c>
      <c r="BV314" s="12">
        <f>SUM(BV296:BV313)</f>
        <v>0</v>
      </c>
      <c r="BW314" s="12">
        <f t="shared" si="445"/>
        <v>111170</v>
      </c>
      <c r="BX314" s="12"/>
      <c r="BY314" s="12">
        <f t="shared" ref="BY314:CH314" si="446">SUM(BY296:BY313)</f>
        <v>163146</v>
      </c>
      <c r="BZ314" s="12">
        <f t="shared" si="446"/>
        <v>111170</v>
      </c>
      <c r="CA314" s="12"/>
      <c r="CB314" s="12"/>
      <c r="CC314" s="12">
        <f>SUM(CC296:CC313)</f>
        <v>351694</v>
      </c>
      <c r="CD314" s="12">
        <f t="shared" si="446"/>
        <v>2755</v>
      </c>
      <c r="CE314" s="12">
        <f t="shared" si="446"/>
        <v>10674</v>
      </c>
      <c r="CF314" s="12">
        <f t="shared" si="446"/>
        <v>97299</v>
      </c>
      <c r="CG314" s="12">
        <f t="shared" si="446"/>
        <v>380339</v>
      </c>
      <c r="CH314" s="12">
        <f t="shared" si="446"/>
        <v>0</v>
      </c>
      <c r="CI314" s="12"/>
      <c r="CJ314" s="12">
        <f>SUM(CJ296:CJ313)</f>
        <v>842761</v>
      </c>
      <c r="CK314" s="12">
        <f>SUM(CK296:CK313)</f>
        <v>110728</v>
      </c>
      <c r="CL314" s="12">
        <f>SUM(CL296:CL313)</f>
        <v>28166</v>
      </c>
      <c r="CM314" s="12">
        <f t="shared" ref="CM314:CR314" si="447">SUM(CM296:CM313)</f>
        <v>34063</v>
      </c>
      <c r="CN314" s="12">
        <f t="shared" si="447"/>
        <v>3661</v>
      </c>
      <c r="CO314" s="12">
        <f t="shared" si="447"/>
        <v>0</v>
      </c>
      <c r="CP314" s="12">
        <f t="shared" si="447"/>
        <v>344639</v>
      </c>
      <c r="CQ314" s="12">
        <f t="shared" si="447"/>
        <v>0</v>
      </c>
      <c r="CR314" s="12">
        <f t="shared" si="447"/>
        <v>482991</v>
      </c>
      <c r="CS314" s="1"/>
      <c r="CT314" s="5"/>
      <c r="CU314" s="12">
        <f>SUM(CU296:CU313)</f>
        <v>893520</v>
      </c>
      <c r="CW314" s="12">
        <f>SUM(CW296:CW313)</f>
        <v>0</v>
      </c>
      <c r="CX314" s="12">
        <f t="shared" ref="CX314:DT314" si="448">SUM(CX296:CX313)</f>
        <v>0</v>
      </c>
      <c r="CY314" s="12">
        <f t="shared" si="448"/>
        <v>0</v>
      </c>
      <c r="CZ314" s="12">
        <f t="shared" si="448"/>
        <v>0</v>
      </c>
      <c r="DA314" s="12">
        <f t="shared" si="448"/>
        <v>0</v>
      </c>
      <c r="DB314" s="12">
        <f t="shared" si="448"/>
        <v>0</v>
      </c>
      <c r="DC314" s="12">
        <f t="shared" si="448"/>
        <v>0</v>
      </c>
      <c r="DD314" s="12">
        <f t="shared" si="448"/>
        <v>0</v>
      </c>
      <c r="DE314" s="12">
        <f t="shared" si="448"/>
        <v>0</v>
      </c>
      <c r="DF314" s="12">
        <f t="shared" si="448"/>
        <v>0</v>
      </c>
      <c r="DG314" s="12">
        <f t="shared" si="448"/>
        <v>0</v>
      </c>
      <c r="DH314" s="12">
        <f t="shared" si="448"/>
        <v>0</v>
      </c>
      <c r="DI314" s="12">
        <f t="shared" si="448"/>
        <v>0</v>
      </c>
      <c r="DJ314" s="12">
        <f t="shared" si="448"/>
        <v>0</v>
      </c>
      <c r="DK314" s="12">
        <f t="shared" si="448"/>
        <v>0</v>
      </c>
      <c r="DL314" s="12">
        <f t="shared" si="448"/>
        <v>0</v>
      </c>
      <c r="DM314" s="12">
        <f t="shared" si="448"/>
        <v>0</v>
      </c>
      <c r="DN314" s="12">
        <f t="shared" si="448"/>
        <v>0</v>
      </c>
      <c r="DO314" s="12">
        <f t="shared" si="448"/>
        <v>0</v>
      </c>
      <c r="DP314" s="12">
        <f t="shared" si="448"/>
        <v>0</v>
      </c>
      <c r="DQ314" s="12">
        <f t="shared" si="448"/>
        <v>0</v>
      </c>
      <c r="DR314" s="12">
        <f t="shared" si="448"/>
        <v>0</v>
      </c>
      <c r="DS314" s="12">
        <f t="shared" si="448"/>
        <v>0</v>
      </c>
      <c r="DT314" s="12">
        <f t="shared" si="448"/>
        <v>0</v>
      </c>
      <c r="DW314" s="12">
        <f>SUM(DW296:DW313)</f>
        <v>0</v>
      </c>
      <c r="DX314" s="12"/>
      <c r="DY314" s="12">
        <f>SUM(DY296:DY313)</f>
        <v>0</v>
      </c>
      <c r="DZ314" s="12"/>
      <c r="EB314" s="12">
        <f>SUM(EB296:EB313)</f>
        <v>0</v>
      </c>
      <c r="EC314" s="12"/>
      <c r="ED314" s="1"/>
      <c r="EE314" s="12"/>
      <c r="EF314" s="12">
        <f>SUM(EF296:EF313)</f>
        <v>0</v>
      </c>
      <c r="EG314" s="1"/>
      <c r="EH314" s="1"/>
      <c r="EI314" s="1"/>
      <c r="EJ314" s="1"/>
      <c r="EL314" s="1">
        <f>SUM(EL296:EL313)</f>
        <v>0</v>
      </c>
      <c r="EM314" s="1">
        <f>SUM(EM296:EM313)</f>
        <v>0</v>
      </c>
      <c r="EQ314" s="12">
        <f>SUM(EQ296:EQ313)</f>
        <v>0</v>
      </c>
    </row>
    <row r="315" spans="1:147" ht="15.75">
      <c r="A315" s="3"/>
      <c r="B315" s="3" t="s">
        <v>548</v>
      </c>
      <c r="C315" s="3"/>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f>+BY314-0</f>
        <v>163146</v>
      </c>
      <c r="BZ315" s="1"/>
      <c r="CA315" s="1"/>
      <c r="CB315" s="1"/>
      <c r="CC315" s="1"/>
      <c r="CD315" s="1"/>
      <c r="CE315" s="1"/>
      <c r="CF315" s="1"/>
      <c r="CG315" s="1"/>
      <c r="CH315" s="1"/>
      <c r="CI315" s="1"/>
      <c r="CJ315" s="1"/>
      <c r="CK315" s="1">
        <f>SUM(CD313:CG313)</f>
        <v>393768</v>
      </c>
      <c r="CL315" s="1"/>
      <c r="CM315" s="1"/>
      <c r="CN315" s="1"/>
      <c r="CO315" s="1"/>
      <c r="CP315" s="1"/>
      <c r="CQ315" s="1"/>
      <c r="CR315" s="1"/>
      <c r="CS315" s="1"/>
      <c r="CT315" s="5"/>
      <c r="CU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W315" s="1"/>
      <c r="DX315" s="1"/>
      <c r="DY315" s="1"/>
      <c r="DZ315" s="1"/>
      <c r="EB315" s="1"/>
      <c r="EC315" s="1"/>
      <c r="ED315" s="1"/>
      <c r="EE315" s="1"/>
      <c r="EF315" s="1"/>
      <c r="EG315" s="1"/>
      <c r="EH315" s="1"/>
      <c r="EI315" s="1"/>
      <c r="EJ315" s="1"/>
      <c r="EL315" s="1"/>
      <c r="EM315" s="1"/>
      <c r="EQ315" s="1"/>
    </row>
    <row r="316" spans="1:147" ht="15.75">
      <c r="A316" s="1"/>
      <c r="B316" s="1" t="s">
        <v>777</v>
      </c>
      <c r="C316" s="11"/>
      <c r="D316" s="32">
        <v>112403</v>
      </c>
      <c r="E316" s="1"/>
      <c r="F316" s="1"/>
      <c r="G316" s="1"/>
      <c r="H316" s="1"/>
      <c r="I316" s="1"/>
      <c r="J316" s="32">
        <v>397710</v>
      </c>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f>SUM(E316:BE316)</f>
        <v>397710</v>
      </c>
      <c r="BG316" s="1">
        <f>+BF316-X316-P316-BB316-BC316</f>
        <v>397710</v>
      </c>
      <c r="BH316" s="1"/>
      <c r="BI316" s="1"/>
      <c r="BJ316" s="1"/>
      <c r="BK316" s="1"/>
      <c r="BL316" s="1"/>
      <c r="BM316" s="1"/>
      <c r="BN316" s="1"/>
      <c r="BO316" s="1"/>
      <c r="BP316" s="1">
        <f>SUM(BH316:BN316)</f>
        <v>0</v>
      </c>
      <c r="BQ316" s="1">
        <f>+BP316-BN316</f>
        <v>0</v>
      </c>
      <c r="BR316" s="1"/>
      <c r="BS316" s="1"/>
      <c r="BT316" s="1"/>
      <c r="BU316" s="1"/>
      <c r="BV316" s="1"/>
      <c r="BW316" s="1"/>
      <c r="BX316" s="1"/>
      <c r="BY316" s="1">
        <f>SUM(BR316:BX316)</f>
        <v>0</v>
      </c>
      <c r="BZ316" s="1">
        <f>+BY316-BR316</f>
        <v>0</v>
      </c>
      <c r="CA316" s="1">
        <f>+BG316+BQ316+BZ316+EF316</f>
        <v>397710</v>
      </c>
      <c r="CB316" s="1"/>
      <c r="CC316" s="1"/>
      <c r="CD316" s="1"/>
      <c r="CE316" s="1"/>
      <c r="CF316" s="1"/>
      <c r="CG316" s="134">
        <v>12261</v>
      </c>
      <c r="CH316" s="1"/>
      <c r="CI316" s="1"/>
      <c r="CJ316" s="1">
        <f>SUM(CB316:CI316)</f>
        <v>12261</v>
      </c>
      <c r="CK316" s="1">
        <f>+CJ316-CB316-CC316-CG316</f>
        <v>0</v>
      </c>
      <c r="CL316" s="1"/>
      <c r="CM316" s="1"/>
      <c r="CN316" s="82">
        <v>10200</v>
      </c>
      <c r="CO316" s="82">
        <v>25592</v>
      </c>
      <c r="CP316" s="1"/>
      <c r="CQ316" s="1"/>
      <c r="CR316" s="1"/>
      <c r="CS316" s="1"/>
      <c r="CT316" s="5"/>
      <c r="CU316" s="1">
        <f>SUM(CL316:CT316)</f>
        <v>35792</v>
      </c>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W316" s="1">
        <f>SUM(CX316:DV316)</f>
        <v>0</v>
      </c>
      <c r="DX316" s="1"/>
      <c r="DY316" s="1"/>
      <c r="DZ316" s="1"/>
      <c r="EB316" s="1"/>
      <c r="EC316" s="1">
        <v>162667</v>
      </c>
      <c r="ED316" s="1"/>
      <c r="EE316" s="1"/>
      <c r="EF316" s="1"/>
      <c r="EG316" s="1"/>
      <c r="EH316" s="1"/>
      <c r="EI316" s="1" t="s">
        <v>918</v>
      </c>
      <c r="EJ316" s="1" t="s">
        <v>1169</v>
      </c>
      <c r="EL316" s="1"/>
      <c r="EM316" s="1"/>
      <c r="EQ316" s="1"/>
    </row>
    <row r="317" spans="1:147" ht="15.75">
      <c r="A317" s="1"/>
      <c r="B317" s="1" t="s">
        <v>717</v>
      </c>
      <c r="C317" s="11"/>
      <c r="D317" s="1"/>
      <c r="E317" s="1"/>
      <c r="F317" s="1"/>
      <c r="G317" s="1"/>
      <c r="H317" s="1"/>
      <c r="I317" s="1"/>
      <c r="J317" s="1"/>
      <c r="K317" s="1"/>
      <c r="L317" s="1"/>
      <c r="M317" s="1"/>
      <c r="N317" s="1"/>
      <c r="O317" s="1"/>
      <c r="P317" s="1"/>
      <c r="Q317" s="1"/>
      <c r="R317" s="1"/>
      <c r="S317" s="1"/>
      <c r="T317" s="1"/>
      <c r="U317" s="32">
        <v>76413</v>
      </c>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f>SUM(E317:BE317)</f>
        <v>76413</v>
      </c>
      <c r="BG317" s="1">
        <f t="shared" ref="BG317" si="449">+BF317-X317-P317-BB317-BC317</f>
        <v>76413</v>
      </c>
      <c r="BH317" s="1"/>
      <c r="BI317" s="1"/>
      <c r="BJ317" s="1"/>
      <c r="BK317" s="1"/>
      <c r="BL317" s="1"/>
      <c r="BM317" s="1"/>
      <c r="BN317" s="1"/>
      <c r="BO317" s="1"/>
      <c r="BP317" s="1">
        <f>SUM(BH317:BN317)</f>
        <v>0</v>
      </c>
      <c r="BQ317" s="1">
        <f>+BP317-BN317</f>
        <v>0</v>
      </c>
      <c r="BR317" s="1"/>
      <c r="BS317" s="1"/>
      <c r="BT317" s="1"/>
      <c r="BU317" s="1"/>
      <c r="BV317" s="1"/>
      <c r="BW317" s="1"/>
      <c r="BX317" s="1"/>
      <c r="BY317" s="1">
        <f>SUM(BR317:BX317)</f>
        <v>0</v>
      </c>
      <c r="BZ317" s="1">
        <f>+BY317-BR317</f>
        <v>0</v>
      </c>
      <c r="CA317" s="1">
        <f>+BG317+BQ317+BZ317+EF317</f>
        <v>76413</v>
      </c>
      <c r="CB317" s="1"/>
      <c r="CC317" s="1"/>
      <c r="CD317" s="1"/>
      <c r="CE317" s="1"/>
      <c r="CF317" s="1"/>
      <c r="CG317" s="1"/>
      <c r="CH317" s="1"/>
      <c r="CI317" s="1"/>
      <c r="CJ317" s="1">
        <f>SUM(CB317:CI317)</f>
        <v>0</v>
      </c>
      <c r="CK317" s="1">
        <f>+CJ317-CB317-CC317-CG317</f>
        <v>0</v>
      </c>
      <c r="CL317" s="1"/>
      <c r="CM317" s="1"/>
      <c r="CN317" s="1"/>
      <c r="CO317" s="1"/>
      <c r="CP317" s="1"/>
      <c r="CQ317" s="1"/>
      <c r="CR317" s="1"/>
      <c r="CS317" s="1"/>
      <c r="CT317" s="5"/>
      <c r="CU317" s="1">
        <f>SUM(CL317:CT317)</f>
        <v>0</v>
      </c>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W317" s="1">
        <f>SUM(CX317:DV317)</f>
        <v>0</v>
      </c>
      <c r="DX317" s="1"/>
      <c r="DY317" s="1"/>
      <c r="DZ317" s="1"/>
      <c r="EB317" s="623">
        <v>0</v>
      </c>
      <c r="EC317" s="253" t="s">
        <v>2977</v>
      </c>
      <c r="ED317" s="1"/>
      <c r="EE317" s="1"/>
      <c r="EF317" s="1"/>
      <c r="EG317" s="1"/>
      <c r="EH317" s="1"/>
      <c r="EI317" s="1" t="s">
        <v>919</v>
      </c>
      <c r="EJ317" s="1" t="s">
        <v>1169</v>
      </c>
      <c r="EL317" s="1"/>
      <c r="EM317" s="1"/>
      <c r="EQ317" s="1"/>
    </row>
    <row r="318" spans="1:147" ht="15.75">
      <c r="A318" s="11"/>
      <c r="B318" s="11" t="s">
        <v>1254</v>
      </c>
      <c r="C318" s="11"/>
      <c r="D318" s="12">
        <f t="shared" ref="D318:BD318" si="450">D316+D317</f>
        <v>112403</v>
      </c>
      <c r="E318" s="12">
        <f t="shared" si="450"/>
        <v>0</v>
      </c>
      <c r="F318" s="12">
        <f t="shared" si="450"/>
        <v>0</v>
      </c>
      <c r="G318" s="12">
        <f t="shared" si="450"/>
        <v>0</v>
      </c>
      <c r="H318" s="12">
        <f t="shared" si="450"/>
        <v>0</v>
      </c>
      <c r="I318" s="12">
        <f t="shared" si="450"/>
        <v>0</v>
      </c>
      <c r="J318" s="12">
        <f t="shared" si="450"/>
        <v>397710</v>
      </c>
      <c r="K318" s="12">
        <f t="shared" si="450"/>
        <v>0</v>
      </c>
      <c r="L318" s="12">
        <f>L316+L317</f>
        <v>0</v>
      </c>
      <c r="M318" s="12">
        <f t="shared" si="450"/>
        <v>0</v>
      </c>
      <c r="N318" s="12">
        <f>N316+N317</f>
        <v>0</v>
      </c>
      <c r="O318" s="12">
        <f t="shared" si="450"/>
        <v>0</v>
      </c>
      <c r="P318" s="12">
        <f t="shared" si="450"/>
        <v>0</v>
      </c>
      <c r="Q318" s="12">
        <f t="shared" si="450"/>
        <v>0</v>
      </c>
      <c r="R318" s="12">
        <f t="shared" si="450"/>
        <v>0</v>
      </c>
      <c r="S318" s="12">
        <f t="shared" si="450"/>
        <v>0</v>
      </c>
      <c r="T318" s="12">
        <f t="shared" si="450"/>
        <v>0</v>
      </c>
      <c r="U318" s="12">
        <f t="shared" si="450"/>
        <v>76413</v>
      </c>
      <c r="V318" s="12">
        <f t="shared" si="450"/>
        <v>0</v>
      </c>
      <c r="W318" s="12">
        <f t="shared" si="450"/>
        <v>0</v>
      </c>
      <c r="X318" s="12">
        <f t="shared" si="450"/>
        <v>0</v>
      </c>
      <c r="Y318" s="12">
        <f t="shared" si="450"/>
        <v>0</v>
      </c>
      <c r="Z318" s="12">
        <f t="shared" si="450"/>
        <v>0</v>
      </c>
      <c r="AA318" s="12">
        <f t="shared" si="450"/>
        <v>0</v>
      </c>
      <c r="AB318" s="12">
        <f>AB316+AB317</f>
        <v>0</v>
      </c>
      <c r="AC318" s="12">
        <f t="shared" si="450"/>
        <v>0</v>
      </c>
      <c r="AD318" s="12">
        <f t="shared" si="450"/>
        <v>0</v>
      </c>
      <c r="AE318" s="12">
        <f t="shared" si="450"/>
        <v>0</v>
      </c>
      <c r="AF318" s="12">
        <f t="shared" si="450"/>
        <v>0</v>
      </c>
      <c r="AG318" s="12">
        <f t="shared" si="450"/>
        <v>0</v>
      </c>
      <c r="AH318" s="12">
        <f t="shared" si="450"/>
        <v>0</v>
      </c>
      <c r="AI318" s="12">
        <f t="shared" si="450"/>
        <v>0</v>
      </c>
      <c r="AJ318" s="12">
        <f t="shared" si="450"/>
        <v>0</v>
      </c>
      <c r="AK318" s="12">
        <f t="shared" si="450"/>
        <v>0</v>
      </c>
      <c r="AL318" s="12">
        <f t="shared" ref="AL318:AQ318" si="451">AL316+AL317</f>
        <v>0</v>
      </c>
      <c r="AM318" s="12">
        <f t="shared" si="451"/>
        <v>0</v>
      </c>
      <c r="AN318" s="12">
        <f t="shared" si="451"/>
        <v>0</v>
      </c>
      <c r="AO318" s="12">
        <f t="shared" si="451"/>
        <v>0</v>
      </c>
      <c r="AP318" s="12">
        <f t="shared" si="451"/>
        <v>0</v>
      </c>
      <c r="AQ318" s="12">
        <f t="shared" si="451"/>
        <v>0</v>
      </c>
      <c r="AR318" s="12">
        <f t="shared" si="450"/>
        <v>0</v>
      </c>
      <c r="AS318" s="12">
        <f t="shared" si="450"/>
        <v>0</v>
      </c>
      <c r="AT318" s="12">
        <f>AT316+AT317</f>
        <v>0</v>
      </c>
      <c r="AU318" s="12">
        <f t="shared" si="450"/>
        <v>0</v>
      </c>
      <c r="AV318" s="12">
        <f t="shared" si="450"/>
        <v>0</v>
      </c>
      <c r="AW318" s="12"/>
      <c r="AX318" s="12">
        <f t="shared" si="450"/>
        <v>0</v>
      </c>
      <c r="AY318" s="12">
        <f t="shared" si="450"/>
        <v>0</v>
      </c>
      <c r="AZ318" s="12">
        <f t="shared" si="450"/>
        <v>0</v>
      </c>
      <c r="BA318" s="12">
        <f t="shared" si="450"/>
        <v>0</v>
      </c>
      <c r="BB318" s="12">
        <f t="shared" si="450"/>
        <v>0</v>
      </c>
      <c r="BC318" s="12">
        <f t="shared" si="450"/>
        <v>0</v>
      </c>
      <c r="BD318" s="12">
        <f t="shared" si="450"/>
        <v>0</v>
      </c>
      <c r="BE318" s="12"/>
      <c r="BF318" s="12">
        <f t="shared" ref="BF318:BK318" si="452">BF316+BF317</f>
        <v>474123</v>
      </c>
      <c r="BG318" s="12">
        <f t="shared" si="452"/>
        <v>474123</v>
      </c>
      <c r="BH318" s="12">
        <f t="shared" si="452"/>
        <v>0</v>
      </c>
      <c r="BI318" s="12">
        <f t="shared" si="452"/>
        <v>0</v>
      </c>
      <c r="BJ318" s="12">
        <f t="shared" si="452"/>
        <v>0</v>
      </c>
      <c r="BK318" s="12">
        <f t="shared" si="452"/>
        <v>0</v>
      </c>
      <c r="BL318" s="12">
        <f>BL316+BL317</f>
        <v>0</v>
      </c>
      <c r="BM318" s="12">
        <f>BM316+BM317</f>
        <v>0</v>
      </c>
      <c r="BN318" s="12"/>
      <c r="BO318" s="12"/>
      <c r="BP318" s="12">
        <f t="shared" ref="BP318:BW318" si="453">BP316+BP317</f>
        <v>0</v>
      </c>
      <c r="BQ318" s="12">
        <f t="shared" si="453"/>
        <v>0</v>
      </c>
      <c r="BR318" s="12">
        <f t="shared" si="453"/>
        <v>0</v>
      </c>
      <c r="BS318" s="12">
        <f t="shared" si="453"/>
        <v>0</v>
      </c>
      <c r="BT318" s="12">
        <f t="shared" si="453"/>
        <v>0</v>
      </c>
      <c r="BU318" s="12">
        <f t="shared" si="453"/>
        <v>0</v>
      </c>
      <c r="BV318" s="12">
        <f>BV316+BV317</f>
        <v>0</v>
      </c>
      <c r="BW318" s="12">
        <f t="shared" si="453"/>
        <v>0</v>
      </c>
      <c r="BX318" s="12"/>
      <c r="BY318" s="12">
        <f t="shared" ref="BY318:CH318" si="454">BY316+BY317</f>
        <v>0</v>
      </c>
      <c r="BZ318" s="12">
        <f t="shared" si="454"/>
        <v>0</v>
      </c>
      <c r="CA318" s="12"/>
      <c r="CB318" s="12"/>
      <c r="CC318" s="12">
        <f t="shared" si="454"/>
        <v>0</v>
      </c>
      <c r="CD318" s="12">
        <f t="shared" si="454"/>
        <v>0</v>
      </c>
      <c r="CE318" s="12">
        <f t="shared" si="454"/>
        <v>0</v>
      </c>
      <c r="CF318" s="12">
        <f t="shared" si="454"/>
        <v>0</v>
      </c>
      <c r="CG318" s="12">
        <f t="shared" si="454"/>
        <v>12261</v>
      </c>
      <c r="CH318" s="12">
        <f t="shared" si="454"/>
        <v>0</v>
      </c>
      <c r="CI318" s="12"/>
      <c r="CJ318" s="12">
        <f t="shared" ref="CJ318:CR318" si="455">CJ316+CJ317</f>
        <v>12261</v>
      </c>
      <c r="CK318" s="12">
        <f t="shared" si="455"/>
        <v>0</v>
      </c>
      <c r="CL318" s="12">
        <f t="shared" si="455"/>
        <v>0</v>
      </c>
      <c r="CM318" s="12">
        <f t="shared" si="455"/>
        <v>0</v>
      </c>
      <c r="CN318" s="12">
        <f t="shared" si="455"/>
        <v>10200</v>
      </c>
      <c r="CO318" s="12">
        <f t="shared" si="455"/>
        <v>25592</v>
      </c>
      <c r="CP318" s="12">
        <f t="shared" si="455"/>
        <v>0</v>
      </c>
      <c r="CQ318" s="12">
        <f t="shared" si="455"/>
        <v>0</v>
      </c>
      <c r="CR318" s="12">
        <f t="shared" si="455"/>
        <v>0</v>
      </c>
      <c r="CS318" s="1"/>
      <c r="CT318" s="5"/>
      <c r="CU318" s="12">
        <f>CU316+CU317</f>
        <v>35792</v>
      </c>
      <c r="CW318" s="12">
        <f>CW316+CW317</f>
        <v>0</v>
      </c>
      <c r="CX318" s="12">
        <f t="shared" ref="CX318:DT318" si="456">CX316+CX317</f>
        <v>0</v>
      </c>
      <c r="CY318" s="12">
        <f t="shared" si="456"/>
        <v>0</v>
      </c>
      <c r="CZ318" s="12">
        <f t="shared" si="456"/>
        <v>0</v>
      </c>
      <c r="DA318" s="12">
        <f t="shared" si="456"/>
        <v>0</v>
      </c>
      <c r="DB318" s="12">
        <f t="shared" si="456"/>
        <v>0</v>
      </c>
      <c r="DC318" s="12">
        <f t="shared" si="456"/>
        <v>0</v>
      </c>
      <c r="DD318" s="12">
        <f t="shared" si="456"/>
        <v>0</v>
      </c>
      <c r="DE318" s="12">
        <f t="shared" si="456"/>
        <v>0</v>
      </c>
      <c r="DF318" s="12">
        <f t="shared" si="456"/>
        <v>0</v>
      </c>
      <c r="DG318" s="12">
        <f t="shared" si="456"/>
        <v>0</v>
      </c>
      <c r="DH318" s="12">
        <f t="shared" si="456"/>
        <v>0</v>
      </c>
      <c r="DI318" s="12">
        <f t="shared" si="456"/>
        <v>0</v>
      </c>
      <c r="DJ318" s="12">
        <f t="shared" si="456"/>
        <v>0</v>
      </c>
      <c r="DK318" s="12">
        <f t="shared" si="456"/>
        <v>0</v>
      </c>
      <c r="DL318" s="12">
        <f t="shared" si="456"/>
        <v>0</v>
      </c>
      <c r="DM318" s="12">
        <f t="shared" si="456"/>
        <v>0</v>
      </c>
      <c r="DN318" s="12">
        <f t="shared" si="456"/>
        <v>0</v>
      </c>
      <c r="DO318" s="12">
        <f t="shared" si="456"/>
        <v>0</v>
      </c>
      <c r="DP318" s="12">
        <f t="shared" si="456"/>
        <v>0</v>
      </c>
      <c r="DQ318" s="12">
        <f t="shared" si="456"/>
        <v>0</v>
      </c>
      <c r="DR318" s="12">
        <f t="shared" si="456"/>
        <v>0</v>
      </c>
      <c r="DS318" s="12">
        <f t="shared" si="456"/>
        <v>0</v>
      </c>
      <c r="DT318" s="12">
        <f t="shared" si="456"/>
        <v>0</v>
      </c>
      <c r="DW318" s="12">
        <f t="shared" ref="DW318:EB318" si="457">DW316+DW317</f>
        <v>0</v>
      </c>
      <c r="DX318" s="12"/>
      <c r="DY318" s="12">
        <f t="shared" si="457"/>
        <v>0</v>
      </c>
      <c r="DZ318" s="12"/>
      <c r="EB318" s="12">
        <f t="shared" si="457"/>
        <v>0</v>
      </c>
      <c r="EC318" s="12"/>
      <c r="ED318" s="1"/>
      <c r="EE318" s="12"/>
      <c r="EF318" s="12">
        <f>EF316+EF317</f>
        <v>0</v>
      </c>
      <c r="EG318" s="1"/>
      <c r="EH318" s="1"/>
      <c r="EI318" s="1"/>
      <c r="EJ318" s="1"/>
      <c r="EL318" s="1">
        <f>EL316+EL317</f>
        <v>0</v>
      </c>
      <c r="EM318" s="1">
        <f>EM316+EM317</f>
        <v>0</v>
      </c>
      <c r="EQ318" s="12">
        <f>EQ316+EQ317</f>
        <v>0</v>
      </c>
    </row>
    <row r="319" spans="1:147" ht="15.75">
      <c r="A319" s="1"/>
      <c r="B319" s="11"/>
      <c r="C319" s="1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89"/>
      <c r="CD319" s="1"/>
      <c r="CE319" s="1"/>
      <c r="CF319" s="1"/>
      <c r="CG319" s="89"/>
      <c r="CH319" s="1"/>
      <c r="CI319" s="1"/>
      <c r="CJ319" s="1"/>
      <c r="CK319" s="1"/>
      <c r="CL319" s="1"/>
      <c r="CM319" s="1"/>
      <c r="CN319" s="1"/>
      <c r="CO319" s="1"/>
      <c r="CP319" s="1"/>
      <c r="CQ319" s="1"/>
      <c r="CR319" s="1"/>
      <c r="CS319" s="1"/>
      <c r="CT319" s="5"/>
      <c r="CU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W319" s="1"/>
      <c r="DX319" s="1"/>
      <c r="DY319" s="1"/>
      <c r="DZ319" s="1"/>
      <c r="EB319" s="1"/>
      <c r="EC319" s="1"/>
      <c r="ED319" s="1"/>
      <c r="EE319" s="1"/>
      <c r="EF319" s="1"/>
      <c r="EG319" s="1"/>
      <c r="EH319" s="1"/>
      <c r="EI319" s="1"/>
      <c r="EJ319" s="1"/>
      <c r="EL319" s="1"/>
      <c r="EM319" s="1"/>
      <c r="EQ319" s="1"/>
    </row>
    <row r="320" spans="1:147" ht="15.75">
      <c r="A320" s="1"/>
      <c r="B320" s="89" t="s">
        <v>2647</v>
      </c>
      <c r="C320" s="1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3"/>
      <c r="BY320" s="1"/>
      <c r="BZ320" s="1"/>
      <c r="CA320" s="1"/>
      <c r="CB320" s="1"/>
      <c r="CC320" s="2">
        <f>+Pension!I9</f>
        <v>0</v>
      </c>
      <c r="CD320" s="1"/>
      <c r="CE320" s="1"/>
      <c r="CF320" s="1"/>
      <c r="CG320" s="2">
        <f>+Pension!L9</f>
        <v>0</v>
      </c>
      <c r="CH320" s="1"/>
      <c r="CI320" s="1"/>
      <c r="CJ320" s="1"/>
      <c r="CK320" s="1"/>
      <c r="CL320" s="1"/>
      <c r="CM320" s="1"/>
      <c r="CN320" s="1"/>
      <c r="CO320" s="1"/>
      <c r="CP320" s="1"/>
      <c r="CQ320" s="1"/>
      <c r="CR320" s="1"/>
      <c r="CS320" s="1"/>
      <c r="CT320" s="5"/>
      <c r="CU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W320" s="1"/>
      <c r="DX320" s="1"/>
      <c r="DY320" s="1"/>
      <c r="DZ320" s="1"/>
      <c r="EB320" s="1"/>
      <c r="EC320" s="1"/>
      <c r="ED320" s="1"/>
      <c r="EE320" s="1"/>
      <c r="EF320" s="1"/>
      <c r="EG320" s="1"/>
      <c r="EH320" s="1"/>
      <c r="EI320" s="1"/>
      <c r="EJ320" s="1"/>
      <c r="EL320" s="1"/>
      <c r="EM320" s="1"/>
      <c r="EQ320" s="1"/>
    </row>
    <row r="321" spans="1:147" ht="15.75">
      <c r="A321" s="1"/>
      <c r="B321" s="89" t="s">
        <v>2642</v>
      </c>
      <c r="C321" s="1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f>SUM(E321:BE321)</f>
        <v>0</v>
      </c>
      <c r="BG321" s="1">
        <f t="shared" ref="BG321:BG330" si="458">+BF321-X321-P321-BB321-BC321</f>
        <v>0</v>
      </c>
      <c r="BH321" s="1"/>
      <c r="BI321" s="1"/>
      <c r="BJ321" s="1"/>
      <c r="BK321" s="1"/>
      <c r="BL321" s="1"/>
      <c r="BM321" s="1"/>
      <c r="BN321" s="1"/>
      <c r="BO321" s="1"/>
      <c r="BP321" s="1">
        <f>SUM(BH321:BN321)</f>
        <v>0</v>
      </c>
      <c r="BQ321" s="1">
        <f>+BP321-BN321</f>
        <v>0</v>
      </c>
      <c r="BR321" s="1"/>
      <c r="BS321" s="1"/>
      <c r="BT321" s="1"/>
      <c r="BU321" s="1"/>
      <c r="BV321" s="1"/>
      <c r="BW321" s="1"/>
      <c r="BX321" s="3"/>
      <c r="BY321" s="1">
        <f>SUM(BR321:BX321)</f>
        <v>0</v>
      </c>
      <c r="BZ321" s="1">
        <f>+BY321-BR321</f>
        <v>0</v>
      </c>
      <c r="CA321" s="1">
        <f t="shared" ref="CA321:CA327" si="459">+BG321+BQ321+BZ321+EF321</f>
        <v>0</v>
      </c>
      <c r="CB321" s="1"/>
      <c r="CC321" s="2">
        <f>+Pension!I20</f>
        <v>0</v>
      </c>
      <c r="CD321" s="1"/>
      <c r="CE321" s="1"/>
      <c r="CF321" s="1"/>
      <c r="CG321" s="2">
        <f>+Pension!L20</f>
        <v>0</v>
      </c>
      <c r="CH321" s="1"/>
      <c r="CI321" s="1"/>
      <c r="CJ321" s="1">
        <f>SUM(CB321:CI321)</f>
        <v>0</v>
      </c>
      <c r="CK321" s="1">
        <f>+CJ321-CB321-CC321-CG321</f>
        <v>0</v>
      </c>
      <c r="CL321" s="1"/>
      <c r="CM321" s="1"/>
      <c r="CN321" s="1"/>
      <c r="CO321" s="1"/>
      <c r="CP321" s="1"/>
      <c r="CQ321" s="1"/>
      <c r="CR321" s="1"/>
      <c r="CS321" s="1"/>
      <c r="CT321" s="5"/>
      <c r="CU321" s="1">
        <f>SUM(CL321:CT321)</f>
        <v>0</v>
      </c>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W321" s="1">
        <f>SUM(CX321:DV321)</f>
        <v>0</v>
      </c>
      <c r="DX321" s="1"/>
      <c r="DY321" s="1"/>
      <c r="DZ321" s="1"/>
      <c r="EB321" s="1"/>
      <c r="EC321" s="1"/>
      <c r="ED321" s="1"/>
      <c r="EE321" s="1"/>
      <c r="EF321" s="1"/>
      <c r="EG321" s="1"/>
      <c r="EL321" s="1"/>
      <c r="EM321" s="1"/>
      <c r="EQ321" s="1"/>
    </row>
    <row r="322" spans="1:147" ht="15.75">
      <c r="A322" s="1"/>
      <c r="B322" s="89" t="s">
        <v>2643</v>
      </c>
      <c r="C322" s="1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f t="shared" ref="BF322:BF327" si="460">SUM(E322:BE322)</f>
        <v>0</v>
      </c>
      <c r="BG322" s="1">
        <f t="shared" si="458"/>
        <v>0</v>
      </c>
      <c r="BH322" s="1"/>
      <c r="BI322" s="1"/>
      <c r="BJ322" s="1"/>
      <c r="BK322" s="1"/>
      <c r="BL322" s="1"/>
      <c r="BM322" s="1"/>
      <c r="BN322" s="1"/>
      <c r="BO322" s="1"/>
      <c r="BP322" s="1">
        <f t="shared" ref="BP322:BP329" si="461">SUM(BH322:BN322)</f>
        <v>0</v>
      </c>
      <c r="BQ322" s="1">
        <f t="shared" ref="BQ322:BQ329" si="462">+BP322-BN322</f>
        <v>0</v>
      </c>
      <c r="BR322" s="1"/>
      <c r="BS322" s="1"/>
      <c r="BT322" s="1"/>
      <c r="BU322" s="1"/>
      <c r="BV322" s="1"/>
      <c r="BW322" s="1"/>
      <c r="BX322" s="3"/>
      <c r="BY322" s="1">
        <f t="shared" ref="BY322:BY327" si="463">SUM(BR322:BX322)</f>
        <v>0</v>
      </c>
      <c r="BZ322" s="1">
        <f t="shared" ref="BZ322:BZ330" si="464">+BY322-BR322</f>
        <v>0</v>
      </c>
      <c r="CA322" s="1">
        <f t="shared" si="459"/>
        <v>0</v>
      </c>
      <c r="CB322" s="1"/>
      <c r="CC322" s="2">
        <f>SUM(Pension!H28)</f>
        <v>0</v>
      </c>
      <c r="CD322" s="1"/>
      <c r="CE322" s="1"/>
      <c r="CF322" s="1"/>
      <c r="CG322" s="2">
        <f>+Pension!K28</f>
        <v>0</v>
      </c>
      <c r="CH322" s="1"/>
      <c r="CI322" s="1"/>
      <c r="CJ322" s="1">
        <f>SUM(CB322:CI322)</f>
        <v>0</v>
      </c>
      <c r="CK322" s="1">
        <f>+CJ322-CB322-CC322-CG322</f>
        <v>0</v>
      </c>
      <c r="CL322" s="1"/>
      <c r="CM322" s="1"/>
      <c r="CN322" s="1"/>
      <c r="CO322" s="1"/>
      <c r="CP322" s="1"/>
      <c r="CQ322" s="1"/>
      <c r="CR322" s="1"/>
      <c r="CS322" s="1"/>
      <c r="CT322" s="5"/>
      <c r="CU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W322" s="1"/>
      <c r="DX322" s="1"/>
      <c r="DY322" s="1"/>
      <c r="DZ322" s="1"/>
      <c r="EB322" s="1"/>
      <c r="EC322" s="1"/>
      <c r="ED322" s="1"/>
      <c r="EE322" s="1"/>
      <c r="EF322" s="1"/>
      <c r="EG322" s="1"/>
      <c r="EH322" s="1"/>
      <c r="EI322" s="1"/>
      <c r="EJ322" s="1"/>
      <c r="EL322" s="1"/>
      <c r="EM322" s="1"/>
      <c r="EQ322" s="1"/>
    </row>
    <row r="323" spans="1:147" ht="15.75">
      <c r="A323" s="1"/>
      <c r="B323" s="89" t="s">
        <v>2644</v>
      </c>
      <c r="C323" s="1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f t="shared" si="460"/>
        <v>0</v>
      </c>
      <c r="BG323" s="1">
        <f t="shared" si="458"/>
        <v>0</v>
      </c>
      <c r="BH323" s="1"/>
      <c r="BI323" s="1"/>
      <c r="BJ323" s="1"/>
      <c r="BK323" s="1"/>
      <c r="BL323" s="1"/>
      <c r="BM323" s="1"/>
      <c r="BN323" s="1"/>
      <c r="BO323" s="1"/>
      <c r="BP323" s="1">
        <f t="shared" si="461"/>
        <v>0</v>
      </c>
      <c r="BQ323" s="1">
        <f t="shared" si="462"/>
        <v>0</v>
      </c>
      <c r="BR323" s="1"/>
      <c r="BS323" s="1"/>
      <c r="BT323" s="1"/>
      <c r="BU323" s="1"/>
      <c r="BV323" s="1"/>
      <c r="BW323" s="1"/>
      <c r="BX323" s="3"/>
      <c r="BY323" s="1">
        <f t="shared" si="463"/>
        <v>0</v>
      </c>
      <c r="BZ323" s="1">
        <f t="shared" si="464"/>
        <v>0</v>
      </c>
      <c r="CA323" s="1">
        <f t="shared" si="459"/>
        <v>0</v>
      </c>
      <c r="CB323" s="1"/>
      <c r="CC323" s="2">
        <f>+Pension!I35</f>
        <v>0</v>
      </c>
      <c r="CD323" s="1"/>
      <c r="CE323" s="1"/>
      <c r="CF323" s="1"/>
      <c r="CG323" s="2">
        <f>+Pension!L35</f>
        <v>0</v>
      </c>
      <c r="CH323" s="1"/>
      <c r="CI323" s="1"/>
      <c r="CJ323" s="1">
        <f>SUM(CB323:CI323)</f>
        <v>0</v>
      </c>
      <c r="CK323" s="1">
        <f>+CJ323-CB323-CC323-CG323</f>
        <v>0</v>
      </c>
      <c r="CL323" s="1"/>
      <c r="CM323" s="1"/>
      <c r="CN323" s="1"/>
      <c r="CO323" s="1"/>
      <c r="CP323" s="1"/>
      <c r="CQ323" s="1"/>
      <c r="CR323" s="1"/>
      <c r="CS323" s="1"/>
      <c r="CT323" s="5"/>
      <c r="CU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W323" s="1"/>
      <c r="DX323" s="1"/>
      <c r="DY323" s="1"/>
      <c r="DZ323" s="1"/>
      <c r="EB323" s="1"/>
      <c r="EC323" s="1"/>
      <c r="ED323" s="1"/>
      <c r="EE323" s="1"/>
      <c r="EF323" s="1"/>
      <c r="EG323" s="1"/>
      <c r="EH323" s="1"/>
      <c r="EI323" s="1"/>
      <c r="EJ323" s="1"/>
      <c r="EL323" s="1"/>
      <c r="EM323" s="1"/>
      <c r="EQ323" s="1"/>
    </row>
    <row r="324" spans="1:147" ht="15.75">
      <c r="A324" s="1"/>
      <c r="B324" s="11"/>
      <c r="C324" s="1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f t="shared" si="460"/>
        <v>0</v>
      </c>
      <c r="BG324" s="1">
        <f t="shared" si="458"/>
        <v>0</v>
      </c>
      <c r="BH324" s="1"/>
      <c r="BI324" s="1"/>
      <c r="BJ324" s="1"/>
      <c r="BK324" s="1"/>
      <c r="BL324" s="1"/>
      <c r="BM324" s="1"/>
      <c r="BN324" s="1"/>
      <c r="BO324" s="1"/>
      <c r="BP324" s="1">
        <f t="shared" si="461"/>
        <v>0</v>
      </c>
      <c r="BQ324" s="1">
        <f t="shared" si="462"/>
        <v>0</v>
      </c>
      <c r="BR324" s="1"/>
      <c r="BS324" s="1"/>
      <c r="BT324" s="1"/>
      <c r="BU324" s="1"/>
      <c r="BV324" s="1"/>
      <c r="BW324" s="1"/>
      <c r="BX324" s="3"/>
      <c r="BY324" s="1">
        <f t="shared" si="463"/>
        <v>0</v>
      </c>
      <c r="BZ324" s="1">
        <f t="shared" si="464"/>
        <v>0</v>
      </c>
      <c r="CA324" s="1">
        <f t="shared" si="459"/>
        <v>0</v>
      </c>
      <c r="CB324" s="1"/>
      <c r="CC324" s="1"/>
      <c r="CD324" s="1"/>
      <c r="CE324" s="1"/>
      <c r="CF324" s="1"/>
      <c r="CG324" s="1"/>
      <c r="CH324" s="1"/>
      <c r="CI324" s="1"/>
      <c r="CJ324" s="1"/>
      <c r="CK324" s="1"/>
      <c r="CL324" s="1"/>
      <c r="CM324" s="1"/>
      <c r="CN324" s="1"/>
      <c r="CO324" s="1"/>
      <c r="CP324" s="1"/>
      <c r="CQ324" s="1"/>
      <c r="CR324" s="1"/>
      <c r="CS324" s="1"/>
      <c r="CT324" s="5"/>
      <c r="CU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W324" s="1"/>
      <c r="DX324" s="1"/>
      <c r="DY324" s="1"/>
      <c r="DZ324" s="1"/>
      <c r="EB324" s="1"/>
      <c r="EC324" s="1"/>
      <c r="ED324" s="1"/>
      <c r="EE324" s="1"/>
      <c r="EF324" s="1"/>
      <c r="EG324" s="1"/>
      <c r="EH324" s="1"/>
      <c r="EI324" s="1"/>
      <c r="EJ324" s="1"/>
      <c r="EL324" s="1"/>
      <c r="EM324" s="1"/>
      <c r="EQ324" s="1"/>
    </row>
    <row r="325" spans="1:147" ht="15.75">
      <c r="A325" s="1"/>
      <c r="B325" s="1" t="s">
        <v>150</v>
      </c>
      <c r="C325" s="1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f t="shared" si="460"/>
        <v>0</v>
      </c>
      <c r="BG325" s="1">
        <f t="shared" si="458"/>
        <v>0</v>
      </c>
      <c r="BH325" s="1"/>
      <c r="BI325" s="1"/>
      <c r="BJ325" s="1"/>
      <c r="BK325" s="1"/>
      <c r="BL325" s="1"/>
      <c r="BM325" s="1"/>
      <c r="BN325" s="1"/>
      <c r="BO325" s="1"/>
      <c r="BP325" s="1">
        <f t="shared" si="461"/>
        <v>0</v>
      </c>
      <c r="BQ325" s="1">
        <f t="shared" si="462"/>
        <v>0</v>
      </c>
      <c r="BR325" s="1"/>
      <c r="BS325" s="1"/>
      <c r="BT325" s="1"/>
      <c r="BU325" s="1"/>
      <c r="BV325" s="1"/>
      <c r="BW325" s="1"/>
      <c r="BX325" s="3"/>
      <c r="BY325" s="1">
        <f t="shared" si="463"/>
        <v>0</v>
      </c>
      <c r="BZ325" s="1">
        <f t="shared" si="464"/>
        <v>0</v>
      </c>
      <c r="CA325" s="1">
        <f t="shared" si="459"/>
        <v>0</v>
      </c>
      <c r="CB325" s="1"/>
      <c r="CC325" s="2"/>
      <c r="CD325" s="2"/>
      <c r="CE325" s="2"/>
      <c r="CF325" s="2"/>
      <c r="CG325" s="2"/>
      <c r="CH325" s="1"/>
      <c r="CI325" s="1"/>
      <c r="CJ325" s="1">
        <f>SUM(CB325:CI325)</f>
        <v>0</v>
      </c>
      <c r="CK325" s="1">
        <f>+CJ325-CB325-CC325-CG325</f>
        <v>0</v>
      </c>
      <c r="CL325" s="89" t="s">
        <v>3092</v>
      </c>
      <c r="CM325" s="1"/>
      <c r="CN325" s="1"/>
      <c r="CO325" s="1"/>
      <c r="CP325" s="1"/>
      <c r="CQ325" s="1"/>
      <c r="CR325" s="1"/>
      <c r="CS325" s="1"/>
      <c r="CT325" s="5"/>
      <c r="CU325" s="1">
        <f>SUM(CL325:CT325)</f>
        <v>0</v>
      </c>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W325" s="1"/>
      <c r="DX325" s="1"/>
      <c r="DY325" s="1"/>
      <c r="DZ325" s="1"/>
      <c r="EB325" s="1"/>
      <c r="EC325" s="1"/>
      <c r="ED325" s="1"/>
      <c r="EE325" s="1"/>
      <c r="EF325" s="1"/>
      <c r="EG325" s="1"/>
      <c r="EH325" s="1"/>
      <c r="EI325" s="1"/>
      <c r="EJ325" s="1"/>
      <c r="EL325" s="1"/>
      <c r="EM325" s="1"/>
      <c r="EQ325" s="1"/>
    </row>
    <row r="326" spans="1:147" ht="15.75">
      <c r="A326" s="1"/>
      <c r="B326" s="89" t="s">
        <v>2640</v>
      </c>
      <c r="C326" s="1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f t="shared" si="460"/>
        <v>0</v>
      </c>
      <c r="BG326" s="1">
        <f t="shared" si="458"/>
        <v>0</v>
      </c>
      <c r="BH326" s="1"/>
      <c r="BI326" s="1"/>
      <c r="BJ326" s="1"/>
      <c r="BK326" s="1"/>
      <c r="BL326" s="1"/>
      <c r="BM326" s="1"/>
      <c r="BN326" s="1"/>
      <c r="BO326" s="1"/>
      <c r="BP326" s="1">
        <f t="shared" si="461"/>
        <v>0</v>
      </c>
      <c r="BQ326" s="1">
        <f t="shared" si="462"/>
        <v>0</v>
      </c>
      <c r="BR326" s="1"/>
      <c r="BS326" s="1"/>
      <c r="BT326" s="1"/>
      <c r="BU326" s="1"/>
      <c r="BV326" s="1"/>
      <c r="BW326" s="1"/>
      <c r="BX326" s="3"/>
      <c r="BY326" s="1">
        <f t="shared" si="463"/>
        <v>0</v>
      </c>
      <c r="BZ326" s="1">
        <f t="shared" si="464"/>
        <v>0</v>
      </c>
      <c r="CA326" s="1">
        <f t="shared" si="459"/>
        <v>0</v>
      </c>
      <c r="CB326" s="1"/>
      <c r="CC326" s="2"/>
      <c r="CD326" s="2"/>
      <c r="CE326" s="2"/>
      <c r="CF326" s="2"/>
      <c r="CG326" s="2"/>
      <c r="CH326" s="1"/>
      <c r="CI326" s="1"/>
      <c r="CJ326" s="1">
        <f>SUM(CB326:CI326)</f>
        <v>0</v>
      </c>
      <c r="CK326" s="1">
        <f>+CJ326-CB326-CC326-CG326</f>
        <v>0</v>
      </c>
      <c r="CL326" s="1"/>
      <c r="CM326" s="1"/>
      <c r="CN326" s="1"/>
      <c r="CO326" s="1"/>
      <c r="CP326" s="1"/>
      <c r="CQ326" s="1"/>
      <c r="CR326" s="1"/>
      <c r="CS326" s="1"/>
      <c r="CT326" s="5"/>
      <c r="CU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W326" s="1"/>
      <c r="DX326" s="1"/>
      <c r="DY326" s="1"/>
      <c r="DZ326" s="1"/>
      <c r="EB326" s="1"/>
      <c r="EC326" s="1"/>
      <c r="ED326" s="1"/>
      <c r="EE326" s="1"/>
      <c r="EF326" s="1"/>
      <c r="EG326" s="1"/>
      <c r="EH326" s="1"/>
      <c r="EI326" s="1"/>
      <c r="EJ326" s="1"/>
      <c r="EL326" s="1"/>
      <c r="EM326" s="1"/>
      <c r="EQ326" s="1"/>
    </row>
    <row r="327" spans="1:147" ht="15.75">
      <c r="A327" s="1"/>
      <c r="B327" s="89" t="s">
        <v>2641</v>
      </c>
      <c r="C327" s="1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f t="shared" si="460"/>
        <v>0</v>
      </c>
      <c r="BG327" s="1">
        <f t="shared" si="458"/>
        <v>0</v>
      </c>
      <c r="BH327" s="1"/>
      <c r="BI327" s="1"/>
      <c r="BJ327" s="1"/>
      <c r="BK327" s="1"/>
      <c r="BL327" s="1"/>
      <c r="BM327" s="1"/>
      <c r="BN327" s="1"/>
      <c r="BO327" s="1"/>
      <c r="BP327" s="1">
        <f t="shared" si="461"/>
        <v>0</v>
      </c>
      <c r="BQ327" s="1">
        <f t="shared" si="462"/>
        <v>0</v>
      </c>
      <c r="BR327" s="1"/>
      <c r="BS327" s="1"/>
      <c r="BT327" s="1"/>
      <c r="BU327" s="1"/>
      <c r="BV327" s="1"/>
      <c r="BW327" s="1"/>
      <c r="BX327" s="3"/>
      <c r="BY327" s="1">
        <f t="shared" si="463"/>
        <v>0</v>
      </c>
      <c r="BZ327" s="1">
        <f t="shared" si="464"/>
        <v>0</v>
      </c>
      <c r="CA327" s="1">
        <f t="shared" si="459"/>
        <v>0</v>
      </c>
      <c r="CB327" s="1"/>
      <c r="CC327" s="2"/>
      <c r="CD327" s="2"/>
      <c r="CE327" s="2"/>
      <c r="CF327" s="2"/>
      <c r="CG327" s="2"/>
      <c r="CH327" s="1"/>
      <c r="CI327" s="1"/>
      <c r="CJ327" s="1">
        <f>SUM(CB327:CI327)</f>
        <v>0</v>
      </c>
      <c r="CK327" s="1">
        <f>+CJ327-CB327-CC327-CG327</f>
        <v>0</v>
      </c>
      <c r="CL327" s="1"/>
      <c r="CM327" s="1"/>
      <c r="CN327" s="1"/>
      <c r="CO327" s="1"/>
      <c r="CP327" s="1"/>
      <c r="CQ327" s="1"/>
      <c r="CR327" s="1"/>
      <c r="CS327" s="1"/>
      <c r="CT327" s="5"/>
      <c r="CU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W327" s="1"/>
      <c r="DX327" s="1"/>
      <c r="DY327" s="1"/>
      <c r="DZ327" s="1"/>
      <c r="EB327" s="1"/>
      <c r="EC327" s="1"/>
      <c r="ED327" s="1"/>
      <c r="EE327" s="1"/>
      <c r="EF327" s="1"/>
      <c r="EG327" s="1"/>
      <c r="EH327" s="1"/>
      <c r="EI327" s="1"/>
      <c r="EJ327" s="1"/>
      <c r="EL327" s="1"/>
      <c r="EM327" s="1"/>
      <c r="EQ327" s="1"/>
    </row>
    <row r="328" spans="1:147" ht="15.75">
      <c r="A328" s="1"/>
      <c r="B328" s="11"/>
      <c r="C328" s="1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f t="shared" si="458"/>
        <v>0</v>
      </c>
      <c r="BH328" s="1"/>
      <c r="BI328" s="1"/>
      <c r="BJ328" s="1"/>
      <c r="BK328" s="1"/>
      <c r="BL328" s="1"/>
      <c r="BM328" s="1"/>
      <c r="BN328" s="1"/>
      <c r="BO328" s="1"/>
      <c r="BP328" s="1">
        <f t="shared" si="461"/>
        <v>0</v>
      </c>
      <c r="BQ328" s="1">
        <f t="shared" si="462"/>
        <v>0</v>
      </c>
      <c r="BR328" s="1"/>
      <c r="BS328" s="1"/>
      <c r="BT328" s="1"/>
      <c r="BU328" s="1"/>
      <c r="BV328" s="1"/>
      <c r="BW328" s="1"/>
      <c r="BX328" s="1"/>
      <c r="BY328" s="1"/>
      <c r="BZ328" s="1">
        <f t="shared" si="464"/>
        <v>0</v>
      </c>
      <c r="CA328" s="1"/>
      <c r="CB328" s="1"/>
      <c r="CC328" s="1"/>
      <c r="CD328" s="1"/>
      <c r="CE328" s="1"/>
      <c r="CF328" s="1"/>
      <c r="CG328" s="1"/>
      <c r="CH328" s="1"/>
      <c r="CI328" s="1"/>
      <c r="CJ328" s="1"/>
      <c r="CK328" s="1"/>
      <c r="CL328" s="1"/>
      <c r="CM328" s="1"/>
      <c r="CN328" s="1"/>
      <c r="CO328" s="1"/>
      <c r="CP328" s="1"/>
      <c r="CQ328" s="1"/>
      <c r="CR328" s="1"/>
      <c r="CS328" s="1"/>
      <c r="CT328" s="5"/>
      <c r="CU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W328" s="1"/>
      <c r="DX328" s="1"/>
      <c r="DY328" s="1"/>
      <c r="DZ328" s="1"/>
      <c r="EB328" s="1"/>
      <c r="EC328" s="1"/>
      <c r="ED328" s="1"/>
      <c r="EE328" s="1"/>
      <c r="EF328" s="1"/>
      <c r="EG328" s="1"/>
      <c r="EH328" s="1"/>
      <c r="EI328" s="1"/>
      <c r="EJ328" s="1"/>
      <c r="EL328" s="1"/>
      <c r="EM328" s="1"/>
      <c r="EQ328" s="1"/>
    </row>
    <row r="329" spans="1:147" ht="15.75">
      <c r="A329" s="1"/>
      <c r="B329" s="1" t="s">
        <v>1038</v>
      </c>
      <c r="C329" s="1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f>SUM(E329:BE329)</f>
        <v>0</v>
      </c>
      <c r="BG329" s="1">
        <f t="shared" si="458"/>
        <v>0</v>
      </c>
      <c r="BH329" s="1"/>
      <c r="BI329" s="1"/>
      <c r="BJ329" s="1"/>
      <c r="BK329" s="1"/>
      <c r="BL329" s="1"/>
      <c r="BM329" s="1"/>
      <c r="BN329" s="1"/>
      <c r="BO329" s="1"/>
      <c r="BP329" s="1">
        <f t="shared" si="461"/>
        <v>0</v>
      </c>
      <c r="BQ329" s="1">
        <f t="shared" si="462"/>
        <v>0</v>
      </c>
      <c r="BR329" s="1"/>
      <c r="BS329" s="1"/>
      <c r="BT329" s="1"/>
      <c r="BU329" s="1"/>
      <c r="BV329" s="1"/>
      <c r="BW329" s="1"/>
      <c r="BX329" s="1"/>
      <c r="BY329" s="1">
        <f>SUM(BR329:BX329)</f>
        <v>0</v>
      </c>
      <c r="BZ329" s="1">
        <f t="shared" si="464"/>
        <v>0</v>
      </c>
      <c r="CA329" s="1">
        <f>+BG329+BQ329+BZ329+EF329</f>
        <v>0</v>
      </c>
      <c r="CB329" s="1"/>
      <c r="CC329" s="82">
        <v>46201</v>
      </c>
      <c r="CD329" s="82">
        <v>548</v>
      </c>
      <c r="CE329" s="82">
        <v>3115</v>
      </c>
      <c r="CF329" s="82">
        <v>0</v>
      </c>
      <c r="CG329" s="82">
        <v>25489</v>
      </c>
      <c r="CH329" s="82">
        <v>1009</v>
      </c>
      <c r="CI329" s="1"/>
      <c r="CJ329" s="1">
        <f>SUM(CB329:CI329)</f>
        <v>76362</v>
      </c>
      <c r="CK329" s="1">
        <f>+CJ329-CB329-CC329-CG329</f>
        <v>4672</v>
      </c>
      <c r="CL329" s="82">
        <v>67971</v>
      </c>
      <c r="CM329" s="82"/>
      <c r="CN329" s="82">
        <v>66435</v>
      </c>
      <c r="CO329" s="1"/>
      <c r="CP329" s="82">
        <v>134973</v>
      </c>
      <c r="CQ329" s="1"/>
      <c r="CR329" s="82">
        <v>5919</v>
      </c>
      <c r="CS329" s="1"/>
      <c r="CT329" s="5"/>
      <c r="CU329" s="1">
        <f>SUM(CL329:CT329)</f>
        <v>275298</v>
      </c>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W329" s="1">
        <f>SUM(CX329:DV329)</f>
        <v>0</v>
      </c>
      <c r="DX329" s="1"/>
      <c r="DY329" s="1"/>
      <c r="DZ329" s="1"/>
      <c r="EB329" s="134"/>
      <c r="EC329" s="253"/>
      <c r="ED329" s="1"/>
      <c r="EE329" s="1"/>
      <c r="EF329" s="1"/>
      <c r="EG329" s="1"/>
      <c r="EH329" s="1"/>
      <c r="EI329" s="1"/>
      <c r="EJ329" s="1"/>
      <c r="EL329" s="1"/>
      <c r="EM329" s="1"/>
      <c r="EQ329" s="1"/>
    </row>
    <row r="330" spans="1:147" ht="15.75">
      <c r="A330" s="1"/>
      <c r="B330" s="1"/>
      <c r="C330" s="1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f t="shared" si="458"/>
        <v>0</v>
      </c>
      <c r="BH330" s="1"/>
      <c r="BI330" s="1"/>
      <c r="BJ330" s="1"/>
      <c r="BK330" s="1"/>
      <c r="BL330" s="1"/>
      <c r="BM330" s="1"/>
      <c r="BN330" s="1"/>
      <c r="BO330" s="1"/>
      <c r="BP330" s="1"/>
      <c r="BQ330" s="1"/>
      <c r="BR330" s="1"/>
      <c r="BS330" s="1"/>
      <c r="BT330" s="1"/>
      <c r="BU330" s="1"/>
      <c r="BV330" s="1"/>
      <c r="BW330" s="1"/>
      <c r="BX330" s="1"/>
      <c r="BY330" s="1"/>
      <c r="BZ330" s="1">
        <f t="shared" si="464"/>
        <v>0</v>
      </c>
      <c r="CA330" s="1">
        <f>+BG330+BQ330+BZ330+EF330</f>
        <v>0</v>
      </c>
      <c r="CB330" s="1"/>
      <c r="CC330" s="1"/>
      <c r="CD330" s="1"/>
      <c r="CE330" s="1"/>
      <c r="CF330" s="1"/>
      <c r="CG330" s="1"/>
      <c r="CH330" s="1"/>
      <c r="CI330" s="1"/>
      <c r="CJ330" s="1"/>
      <c r="CK330" s="1"/>
      <c r="CL330" s="1"/>
      <c r="CM330" s="1"/>
      <c r="CN330" s="1"/>
      <c r="CO330" s="1"/>
      <c r="CP330" s="1"/>
      <c r="CQ330" s="1"/>
      <c r="CR330" s="1"/>
      <c r="CS330" s="1"/>
      <c r="CT330" s="5"/>
      <c r="CU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W330" s="1"/>
      <c r="DX330" s="1"/>
      <c r="DY330" s="1"/>
      <c r="DZ330" s="1"/>
      <c r="EB330" s="1"/>
      <c r="EC330" s="1"/>
      <c r="ED330" s="1"/>
      <c r="EE330" s="1"/>
      <c r="EF330" s="1"/>
      <c r="EG330" s="1"/>
      <c r="EH330" s="1"/>
      <c r="EI330" s="1"/>
      <c r="EJ330" s="1"/>
      <c r="EL330" s="1"/>
      <c r="EM330" s="1"/>
      <c r="EQ330" s="1"/>
    </row>
    <row r="331" spans="1:147" ht="16.5" thickBot="1">
      <c r="A331" s="1"/>
      <c r="B331" s="11" t="s">
        <v>1155</v>
      </c>
      <c r="C331" s="11"/>
      <c r="D331" s="31">
        <f t="shared" ref="D331:AV331" si="465">+D292-D314+D318-D329</f>
        <v>-19669</v>
      </c>
      <c r="E331" s="31">
        <f t="shared" si="465"/>
        <v>70878</v>
      </c>
      <c r="F331" s="31">
        <f t="shared" si="465"/>
        <v>0</v>
      </c>
      <c r="G331" s="31">
        <f t="shared" si="465"/>
        <v>0</v>
      </c>
      <c r="H331" s="31">
        <f t="shared" si="465"/>
        <v>0</v>
      </c>
      <c r="I331" s="31">
        <f t="shared" si="465"/>
        <v>-67183</v>
      </c>
      <c r="J331" s="31">
        <f t="shared" si="465"/>
        <v>375541</v>
      </c>
      <c r="K331" s="31">
        <f t="shared" si="465"/>
        <v>0</v>
      </c>
      <c r="L331" s="31">
        <f t="shared" si="465"/>
        <v>0</v>
      </c>
      <c r="M331" s="31">
        <f t="shared" si="465"/>
        <v>-11738</v>
      </c>
      <c r="N331" s="31">
        <f t="shared" si="465"/>
        <v>0</v>
      </c>
      <c r="O331" s="31">
        <f t="shared" si="465"/>
        <v>0</v>
      </c>
      <c r="P331" s="31">
        <f t="shared" si="465"/>
        <v>0</v>
      </c>
      <c r="Q331" s="31">
        <f t="shared" si="465"/>
        <v>0</v>
      </c>
      <c r="R331" s="31">
        <f t="shared" si="465"/>
        <v>0</v>
      </c>
      <c r="S331" s="31">
        <f t="shared" si="465"/>
        <v>-35212</v>
      </c>
      <c r="T331" s="31">
        <f t="shared" si="465"/>
        <v>0</v>
      </c>
      <c r="U331" s="31">
        <f t="shared" si="465"/>
        <v>42438</v>
      </c>
      <c r="V331" s="31">
        <f t="shared" si="465"/>
        <v>0</v>
      </c>
      <c r="W331" s="31">
        <f t="shared" si="465"/>
        <v>0</v>
      </c>
      <c r="X331" s="31">
        <f t="shared" si="465"/>
        <v>-51107</v>
      </c>
      <c r="Y331" s="31">
        <f t="shared" si="465"/>
        <v>0</v>
      </c>
      <c r="Z331" s="31">
        <f t="shared" si="465"/>
        <v>0</v>
      </c>
      <c r="AA331" s="31">
        <f t="shared" si="465"/>
        <v>0</v>
      </c>
      <c r="AB331" s="31">
        <f t="shared" si="465"/>
        <v>-36403</v>
      </c>
      <c r="AC331" s="31">
        <f t="shared" si="465"/>
        <v>0</v>
      </c>
      <c r="AD331" s="31">
        <f t="shared" si="465"/>
        <v>0</v>
      </c>
      <c r="AE331" s="31">
        <f t="shared" si="465"/>
        <v>0</v>
      </c>
      <c r="AF331" s="31">
        <f t="shared" si="465"/>
        <v>0</v>
      </c>
      <c r="AG331" s="31">
        <f t="shared" si="465"/>
        <v>0</v>
      </c>
      <c r="AH331" s="31">
        <f t="shared" si="465"/>
        <v>0</v>
      </c>
      <c r="AI331" s="31">
        <f t="shared" si="465"/>
        <v>0</v>
      </c>
      <c r="AJ331" s="31">
        <f t="shared" si="465"/>
        <v>0</v>
      </c>
      <c r="AK331" s="31">
        <f t="shared" si="465"/>
        <v>0</v>
      </c>
      <c r="AL331" s="31">
        <f t="shared" si="465"/>
        <v>0</v>
      </c>
      <c r="AM331" s="31">
        <f t="shared" si="465"/>
        <v>0</v>
      </c>
      <c r="AN331" s="31">
        <f t="shared" si="465"/>
        <v>0</v>
      </c>
      <c r="AO331" s="31">
        <f t="shared" si="465"/>
        <v>0</v>
      </c>
      <c r="AP331" s="31">
        <f t="shared" si="465"/>
        <v>0</v>
      </c>
      <c r="AQ331" s="31">
        <f t="shared" si="465"/>
        <v>0</v>
      </c>
      <c r="AR331" s="31">
        <f t="shared" si="465"/>
        <v>104504</v>
      </c>
      <c r="AS331" s="31">
        <f t="shared" si="465"/>
        <v>0</v>
      </c>
      <c r="AT331" s="31">
        <f>+AT292-AT314+AT318-AT329</f>
        <v>-409124</v>
      </c>
      <c r="AU331" s="31">
        <f t="shared" si="465"/>
        <v>61190</v>
      </c>
      <c r="AV331" s="31">
        <f t="shared" si="465"/>
        <v>0</v>
      </c>
      <c r="AW331" s="31"/>
      <c r="AX331" s="31">
        <f t="shared" ref="AX331:BD331" si="466">+AX292-AX314+AX318-AX329</f>
        <v>0</v>
      </c>
      <c r="AY331" s="31">
        <f t="shared" si="466"/>
        <v>0</v>
      </c>
      <c r="AZ331" s="31">
        <f t="shared" si="466"/>
        <v>0</v>
      </c>
      <c r="BA331" s="31">
        <f t="shared" si="466"/>
        <v>0</v>
      </c>
      <c r="BB331" s="31">
        <f t="shared" si="466"/>
        <v>-90586</v>
      </c>
      <c r="BC331" s="31">
        <f t="shared" si="466"/>
        <v>-10395</v>
      </c>
      <c r="BD331" s="31">
        <f t="shared" si="466"/>
        <v>0</v>
      </c>
      <c r="BE331" s="31"/>
      <c r="BF331" s="31">
        <f t="shared" ref="BF331:BZ331" si="467">+BF292-BF314+BF318-BF329</f>
        <v>-57197</v>
      </c>
      <c r="BG331" s="31">
        <f t="shared" si="467"/>
        <v>94891</v>
      </c>
      <c r="BH331" s="31">
        <f t="shared" si="467"/>
        <v>0</v>
      </c>
      <c r="BI331" s="31">
        <f t="shared" si="467"/>
        <v>0</v>
      </c>
      <c r="BJ331" s="31">
        <f t="shared" si="467"/>
        <v>0</v>
      </c>
      <c r="BK331" s="31">
        <f t="shared" si="467"/>
        <v>0</v>
      </c>
      <c r="BL331" s="31">
        <f t="shared" si="467"/>
        <v>0</v>
      </c>
      <c r="BM331" s="31">
        <f>+BM292-BM314+BM318-BM329</f>
        <v>0</v>
      </c>
      <c r="BN331" s="31">
        <f t="shared" si="467"/>
        <v>0</v>
      </c>
      <c r="BO331" s="31">
        <f t="shared" si="467"/>
        <v>0</v>
      </c>
      <c r="BP331" s="31">
        <f t="shared" si="467"/>
        <v>0</v>
      </c>
      <c r="BQ331" s="31">
        <f t="shared" si="467"/>
        <v>0</v>
      </c>
      <c r="BR331" s="31">
        <f t="shared" si="467"/>
        <v>-51976</v>
      </c>
      <c r="BS331" s="31">
        <f t="shared" si="467"/>
        <v>0</v>
      </c>
      <c r="BT331" s="31">
        <f t="shared" si="467"/>
        <v>0</v>
      </c>
      <c r="BU331" s="31">
        <f t="shared" si="467"/>
        <v>0</v>
      </c>
      <c r="BV331" s="31">
        <f t="shared" si="467"/>
        <v>0</v>
      </c>
      <c r="BW331" s="31">
        <f t="shared" si="467"/>
        <v>-111170</v>
      </c>
      <c r="BX331" s="31">
        <f t="shared" si="467"/>
        <v>0</v>
      </c>
      <c r="BY331" s="31">
        <f t="shared" si="467"/>
        <v>-163146</v>
      </c>
      <c r="BZ331" s="31">
        <f t="shared" si="467"/>
        <v>-111170</v>
      </c>
      <c r="CA331" s="31"/>
      <c r="CB331" s="31"/>
      <c r="CC331" s="31">
        <f t="shared" ref="CC331:CH331" si="468">+CC292-CC314+CC318-CC321+CC322-CC323-CC325+CC326-CC327-CC329</f>
        <v>-383210</v>
      </c>
      <c r="CD331" s="31">
        <f t="shared" si="468"/>
        <v>2632</v>
      </c>
      <c r="CE331" s="31">
        <f t="shared" si="468"/>
        <v>8165</v>
      </c>
      <c r="CF331" s="31">
        <f t="shared" si="468"/>
        <v>73473</v>
      </c>
      <c r="CG331" s="31">
        <f t="shared" si="468"/>
        <v>-287931</v>
      </c>
      <c r="CH331" s="31">
        <f t="shared" si="468"/>
        <v>2563</v>
      </c>
      <c r="CI331" s="31"/>
      <c r="CJ331" s="31">
        <f>+CJ292-CJ314+CJ318-CJ329</f>
        <v>-584308</v>
      </c>
      <c r="CK331" s="31">
        <f>+CK292-CK314+CK318-CK329</f>
        <v>86833</v>
      </c>
      <c r="CL331" s="31">
        <f t="shared" ref="CL331:CR331" si="469">+CL292-CL314+CL318-CL321-CL329</f>
        <v>-96137</v>
      </c>
      <c r="CM331" s="31">
        <f t="shared" si="469"/>
        <v>-34063</v>
      </c>
      <c r="CN331" s="31">
        <f t="shared" si="469"/>
        <v>-59896</v>
      </c>
      <c r="CO331" s="31">
        <f t="shared" si="469"/>
        <v>25592</v>
      </c>
      <c r="CP331" s="31">
        <f t="shared" si="469"/>
        <v>-479612</v>
      </c>
      <c r="CQ331" s="31">
        <f t="shared" si="469"/>
        <v>0</v>
      </c>
      <c r="CR331" s="31">
        <f t="shared" si="469"/>
        <v>-226760</v>
      </c>
      <c r="CS331" s="1"/>
      <c r="CT331" s="5"/>
      <c r="CU331" s="31">
        <f>+CU292-CU314+CU318-CU329</f>
        <v>-870876</v>
      </c>
      <c r="CW331" s="31">
        <f>+CW292-CW314+CW318-CW329</f>
        <v>88650</v>
      </c>
      <c r="CX331" s="31">
        <f t="shared" ref="CX331:DT331" si="470">+CX292-CX314+CX318-CX329</f>
        <v>0</v>
      </c>
      <c r="CY331" s="31">
        <f t="shared" si="470"/>
        <v>0</v>
      </c>
      <c r="CZ331" s="31">
        <f t="shared" si="470"/>
        <v>0</v>
      </c>
      <c r="DA331" s="31">
        <f t="shared" si="470"/>
        <v>0</v>
      </c>
      <c r="DB331" s="31">
        <f t="shared" si="470"/>
        <v>0</v>
      </c>
      <c r="DC331" s="31">
        <f t="shared" si="470"/>
        <v>0</v>
      </c>
      <c r="DD331" s="31">
        <f t="shared" si="470"/>
        <v>0</v>
      </c>
      <c r="DE331" s="31">
        <f t="shared" si="470"/>
        <v>0</v>
      </c>
      <c r="DF331" s="31">
        <f t="shared" si="470"/>
        <v>0</v>
      </c>
      <c r="DG331" s="31">
        <f t="shared" si="470"/>
        <v>0</v>
      </c>
      <c r="DH331" s="31">
        <f t="shared" si="470"/>
        <v>0</v>
      </c>
      <c r="DI331" s="31">
        <f t="shared" si="470"/>
        <v>0</v>
      </c>
      <c r="DJ331" s="31">
        <f t="shared" si="470"/>
        <v>0</v>
      </c>
      <c r="DK331" s="31">
        <f t="shared" si="470"/>
        <v>0</v>
      </c>
      <c r="DL331" s="31">
        <f t="shared" si="470"/>
        <v>0</v>
      </c>
      <c r="DM331" s="31">
        <f t="shared" si="470"/>
        <v>0</v>
      </c>
      <c r="DN331" s="31">
        <f t="shared" si="470"/>
        <v>0</v>
      </c>
      <c r="DO331" s="31">
        <f t="shared" si="470"/>
        <v>0</v>
      </c>
      <c r="DP331" s="31">
        <f t="shared" si="470"/>
        <v>0</v>
      </c>
      <c r="DQ331" s="31">
        <f t="shared" si="470"/>
        <v>97743</v>
      </c>
      <c r="DR331" s="31">
        <f t="shared" si="470"/>
        <v>1270594</v>
      </c>
      <c r="DS331" s="31">
        <f t="shared" si="470"/>
        <v>891729</v>
      </c>
      <c r="DT331" s="31">
        <f t="shared" si="470"/>
        <v>422764</v>
      </c>
      <c r="DW331" s="31"/>
      <c r="DX331" s="31"/>
      <c r="DY331" s="31"/>
      <c r="DZ331" s="31"/>
      <c r="EB331" s="31">
        <f>+EB292-EB314+EB318-EB329</f>
        <v>0</v>
      </c>
      <c r="EC331" s="31"/>
      <c r="ED331" s="1"/>
      <c r="EE331" s="31"/>
      <c r="EF331" s="31">
        <f>+EF292-EF314+EF318-EF329</f>
        <v>0</v>
      </c>
      <c r="EG331" s="1"/>
      <c r="EH331" s="1"/>
      <c r="EI331" s="1"/>
      <c r="EJ331" s="1" t="s">
        <v>1084</v>
      </c>
      <c r="EL331" s="1">
        <f>+EL292-EL314+EL318-EL329</f>
        <v>0</v>
      </c>
      <c r="EM331" s="1">
        <f>+EM292-EM314+EM318-EM329</f>
        <v>0</v>
      </c>
      <c r="EQ331" s="31">
        <f>+EQ292-EQ314+EQ318-EQ329</f>
        <v>0</v>
      </c>
    </row>
    <row r="332" spans="1:147" ht="16.5" thickTop="1">
      <c r="A332" s="1"/>
      <c r="B332" s="11"/>
      <c r="C332" s="11"/>
      <c r="D332" s="1">
        <f>+D88+D334</f>
        <v>222345</v>
      </c>
      <c r="E332" s="1"/>
      <c r="F332" s="1"/>
      <c r="G332" s="1"/>
      <c r="H332" s="1"/>
      <c r="I332" s="1"/>
      <c r="J332" s="1"/>
      <c r="K332" s="1"/>
      <c r="L332" s="1"/>
      <c r="M332" s="1"/>
      <c r="N332" s="1"/>
      <c r="O332" s="1"/>
      <c r="P332" s="1"/>
      <c r="Q332" s="1"/>
      <c r="R332" s="1"/>
      <c r="S332" s="1"/>
      <c r="T332" s="1"/>
      <c r="U332" s="1"/>
      <c r="V332" s="1"/>
      <c r="W332" s="1"/>
      <c r="X332" s="1">
        <f>+X88+X334</f>
        <v>263805</v>
      </c>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f>+BF88+BF334</f>
        <v>684413</v>
      </c>
      <c r="BG332" s="1">
        <f>+BF332-X332-P332-BC332</f>
        <v>420608</v>
      </c>
      <c r="BH332" s="1"/>
      <c r="BI332" s="1"/>
      <c r="BJ332" s="1"/>
      <c r="BK332" s="1"/>
      <c r="BL332" s="1"/>
      <c r="BM332" s="1"/>
      <c r="BN332" s="1"/>
      <c r="BO332" s="1"/>
      <c r="BP332" s="1">
        <f>+BP88+BP334</f>
        <v>551610</v>
      </c>
      <c r="BQ332" s="1">
        <f>+BQ88+BQ334</f>
        <v>40450</v>
      </c>
      <c r="BR332" s="1"/>
      <c r="BS332" s="1"/>
      <c r="BT332" s="1"/>
      <c r="BU332" s="1"/>
      <c r="BV332" s="1"/>
      <c r="BW332" s="1"/>
      <c r="BX332" s="1"/>
      <c r="BY332" s="1">
        <f>+BY88+BY334</f>
        <v>0</v>
      </c>
      <c r="BZ332" s="1">
        <f>+BZ88+BZ334</f>
        <v>0</v>
      </c>
      <c r="CA332" s="1"/>
      <c r="CB332" s="1"/>
      <c r="CC332" s="1"/>
      <c r="CD332" s="1"/>
      <c r="CE332" s="1"/>
      <c r="CF332" s="1"/>
      <c r="CG332" s="1"/>
      <c r="CH332" s="1"/>
      <c r="CI332" s="1"/>
      <c r="CJ332" s="1">
        <f>+CJ89+CJ334</f>
        <v>312296</v>
      </c>
      <c r="CK332" s="1">
        <f>+CK89+CK334</f>
        <v>206360</v>
      </c>
      <c r="CL332" s="1"/>
      <c r="CM332" s="1"/>
      <c r="CN332" s="1"/>
      <c r="CO332" s="1"/>
      <c r="CP332" s="1"/>
      <c r="CQ332" s="1"/>
      <c r="CR332" s="1"/>
      <c r="CS332" s="1"/>
      <c r="CT332" s="5"/>
      <c r="CU332" s="1"/>
      <c r="CW332" s="1">
        <f>+CW88+CW334</f>
        <v>90459</v>
      </c>
      <c r="CX332" s="1"/>
      <c r="CY332" s="1"/>
      <c r="CZ332" s="1"/>
      <c r="DA332" s="1"/>
      <c r="DB332" s="1"/>
      <c r="DC332" s="1"/>
      <c r="DD332" s="1"/>
      <c r="DE332" s="1"/>
      <c r="DF332" s="1"/>
      <c r="DG332" s="1"/>
      <c r="DH332" s="1"/>
      <c r="DI332" s="1"/>
      <c r="DJ332" s="1"/>
      <c r="DK332" s="1"/>
      <c r="DL332" s="1"/>
      <c r="DM332" s="1"/>
      <c r="DN332" s="1"/>
      <c r="DO332" s="1">
        <f t="shared" ref="DO332:DT332" si="471">+DO88+DO334</f>
        <v>0</v>
      </c>
      <c r="DP332" s="1">
        <f t="shared" si="471"/>
        <v>0</v>
      </c>
      <c r="DQ332" s="1">
        <f t="shared" si="471"/>
        <v>99738</v>
      </c>
      <c r="DR332" s="1">
        <f t="shared" si="471"/>
        <v>1296525</v>
      </c>
      <c r="DS332" s="1">
        <f t="shared" si="471"/>
        <v>909928</v>
      </c>
      <c r="DT332" s="1">
        <f t="shared" si="471"/>
        <v>431391</v>
      </c>
      <c r="DW332" s="1">
        <f>SUM(CW332:DV332)-DF332</f>
        <v>2828041</v>
      </c>
      <c r="DX332" s="1"/>
      <c r="DY332" s="1"/>
      <c r="DZ332" s="1"/>
      <c r="EB332" s="1"/>
      <c r="EC332" s="1"/>
      <c r="ED332" s="1"/>
      <c r="EE332" s="1"/>
      <c r="EF332" s="1"/>
      <c r="EG332" s="1"/>
      <c r="EH332" s="1"/>
      <c r="EI332" s="1"/>
      <c r="EJ332" s="1"/>
      <c r="EL332" s="1"/>
      <c r="EM332" s="1"/>
      <c r="EN332" s="1">
        <f>+EN88+EN334</f>
        <v>4305521</v>
      </c>
      <c r="EO332">
        <f>+EN332-5791863</f>
        <v>-1486342</v>
      </c>
      <c r="EQ332" s="1"/>
    </row>
    <row r="333" spans="1:147" ht="15.75">
      <c r="A333" s="1"/>
      <c r="B333" s="1"/>
      <c r="C333" s="11"/>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1"/>
      <c r="BF333" s="32"/>
      <c r="BG333" s="32"/>
      <c r="BH333" s="1"/>
      <c r="BI333" s="1"/>
      <c r="BJ333" s="1"/>
      <c r="BK333" s="1"/>
      <c r="BL333" s="1"/>
      <c r="BM333" s="1"/>
      <c r="BN333" s="1"/>
      <c r="BO333" s="1"/>
      <c r="BP333" s="1"/>
      <c r="BQ333" s="1"/>
      <c r="BR333" s="1"/>
      <c r="BS333" s="1"/>
      <c r="BT333" s="1"/>
      <c r="BU333" s="1"/>
      <c r="BV333" s="1"/>
      <c r="BW333" s="1"/>
      <c r="BX333" s="3"/>
      <c r="BY333" s="1">
        <f>SUM(BR333:BX333)</f>
        <v>0</v>
      </c>
      <c r="BZ333" s="1"/>
      <c r="CA333" s="1"/>
      <c r="CB333" s="1"/>
      <c r="CC333" s="1"/>
      <c r="CD333" s="1">
        <v>5410</v>
      </c>
      <c r="CE333" s="1">
        <v>5420</v>
      </c>
      <c r="CF333" s="1">
        <v>5450</v>
      </c>
      <c r="CG333" s="1">
        <v>5470</v>
      </c>
      <c r="CH333" s="1">
        <v>5475</v>
      </c>
      <c r="CI333" s="1"/>
      <c r="CJ333" s="1"/>
      <c r="CK333" s="1"/>
      <c r="CL333" s="1"/>
      <c r="CM333" s="1"/>
      <c r="CN333" s="1"/>
      <c r="CO333" s="1"/>
      <c r="CP333" s="1"/>
      <c r="CQ333" s="1"/>
      <c r="CR333" s="1"/>
      <c r="CS333" s="1"/>
      <c r="CT333" s="5"/>
      <c r="CU333" s="1"/>
      <c r="CW333" s="1">
        <v>3319</v>
      </c>
      <c r="CX333" s="1"/>
      <c r="CY333" s="1"/>
      <c r="CZ333" s="1"/>
      <c r="DA333" s="1"/>
      <c r="DB333" s="1"/>
      <c r="DC333" s="1"/>
      <c r="DD333" s="1"/>
      <c r="DE333" s="1"/>
      <c r="DF333" s="1"/>
      <c r="DG333" s="1"/>
      <c r="DH333" s="1"/>
      <c r="DI333" s="1"/>
      <c r="DJ333" s="1"/>
      <c r="DK333" s="1"/>
      <c r="DL333" s="1"/>
      <c r="DM333" s="1"/>
      <c r="DN333" s="1"/>
      <c r="DO333" s="1"/>
      <c r="DP333" s="1"/>
      <c r="DQ333" s="1">
        <v>1537</v>
      </c>
      <c r="DR333" s="1">
        <v>45922</v>
      </c>
      <c r="DS333" s="1">
        <v>20844</v>
      </c>
      <c r="DT333" s="1">
        <v>16043</v>
      </c>
      <c r="DW333" s="1"/>
      <c r="DX333" s="1"/>
      <c r="DY333" s="1"/>
      <c r="DZ333" s="1"/>
      <c r="EB333" s="1"/>
      <c r="EC333" s="1"/>
      <c r="ED333" s="1"/>
      <c r="EE333" s="1"/>
      <c r="EF333" s="1"/>
      <c r="EG333" s="1"/>
      <c r="EL333" s="1"/>
      <c r="EM333" s="1"/>
      <c r="EQ333" s="1">
        <v>2220</v>
      </c>
    </row>
    <row r="334" spans="1:147" ht="15.75">
      <c r="A334" s="1"/>
      <c r="B334" s="1" t="s">
        <v>991</v>
      </c>
      <c r="C334" s="11"/>
      <c r="D334" s="32">
        <f>ROUND(+'Sys INPUT'!D86*0.02,0)</f>
        <v>4447</v>
      </c>
      <c r="E334" s="32">
        <f>ROUND(+'Sys INPUT'!E86*0.02,0)</f>
        <v>0</v>
      </c>
      <c r="F334" s="32">
        <f>ROUND(+'Sys INPUT'!F86*0.02,0)</f>
        <v>6</v>
      </c>
      <c r="G334" s="32">
        <f>ROUND(+'Sys INPUT'!G86*0.02,0)</f>
        <v>158</v>
      </c>
      <c r="H334" s="32">
        <f>ROUND(+'Sys INPUT'!H86*0.02,0)</f>
        <v>617</v>
      </c>
      <c r="I334" s="32">
        <f>ROUND(+'Sys INPUT'!I86*0.02,0)</f>
        <v>59</v>
      </c>
      <c r="J334" s="32">
        <f>ROUND(+'Sys INPUT'!J86*0.02,0)</f>
        <v>1406</v>
      </c>
      <c r="K334" s="32">
        <f>ROUND(+'Sys INPUT'!K86*0.02,0)</f>
        <v>1</v>
      </c>
      <c r="L334" s="32">
        <f>ROUND(+'Sys INPUT'!L86*0.02,0)</f>
        <v>79</v>
      </c>
      <c r="M334" s="32">
        <f>ROUND(+'Sys INPUT'!M86*0.02,0)</f>
        <v>289</v>
      </c>
      <c r="N334" s="32">
        <f>ROUND(+'Sys INPUT'!N86*0.02,0)</f>
        <v>79</v>
      </c>
      <c r="O334" s="32">
        <f>ROUND(+'Sys INPUT'!O86*0.02,0)</f>
        <v>8</v>
      </c>
      <c r="P334" s="32">
        <f>ROUND(+'Sys INPUT'!P86*0.02,0)</f>
        <v>0</v>
      </c>
      <c r="Q334" s="32">
        <f>ROUND(+'Sys INPUT'!Q86*0.02,0)</f>
        <v>790</v>
      </c>
      <c r="R334" s="32">
        <f>ROUND(+'Sys INPUT'!R86*0.02,0)</f>
        <v>195</v>
      </c>
      <c r="S334" s="32">
        <f>ROUND(+'Sys INPUT'!S86*0.02,0)</f>
        <v>126</v>
      </c>
      <c r="T334" s="32">
        <f>ROUND(+'Sys INPUT'!T86*0.02,0)</f>
        <v>1</v>
      </c>
      <c r="U334" s="32">
        <f>ROUND(+'Sys INPUT'!U86*0.02,0)</f>
        <v>646</v>
      </c>
      <c r="V334" s="32">
        <f>ROUND(+'Sys INPUT'!V86*0.02,0)</f>
        <v>91</v>
      </c>
      <c r="W334" s="32">
        <f>ROUND(+'Sys INPUT'!W86*0.02,0)</f>
        <v>113</v>
      </c>
      <c r="X334" s="32">
        <f>ROUND(+'Sys INPUT'!X86*0.02,0)</f>
        <v>5276</v>
      </c>
      <c r="Y334" s="32">
        <f>ROUND(+'Sys INPUT'!Y86*0.02,0)</f>
        <v>0</v>
      </c>
      <c r="Z334" s="32">
        <f>ROUND(+'Sys INPUT'!Z86*0.02,0)</f>
        <v>0</v>
      </c>
      <c r="AA334" s="32">
        <f>ROUND(+'Sys INPUT'!AA86*0.02,0)</f>
        <v>0</v>
      </c>
      <c r="AB334" s="32">
        <f>ROUND(+'Sys INPUT'!AB86*0.02,0)</f>
        <v>2063</v>
      </c>
      <c r="AC334" s="32">
        <f>ROUND(+'Sys INPUT'!AC86*0.02,0)</f>
        <v>0</v>
      </c>
      <c r="AD334" s="32">
        <f>ROUND(+'Sys INPUT'!AD86*0.02,0)</f>
        <v>0</v>
      </c>
      <c r="AE334" s="32">
        <f>ROUND(+'Sys INPUT'!AE86*0.02,0)</f>
        <v>0</v>
      </c>
      <c r="AF334" s="32">
        <f>ROUND(+'Sys INPUT'!AF86*0.02,0)</f>
        <v>0</v>
      </c>
      <c r="AG334" s="32">
        <f>ROUND(+'Sys INPUT'!AG86*0.02,0)</f>
        <v>0</v>
      </c>
      <c r="AH334" s="32">
        <f>ROUND(+'Sys INPUT'!AH86*0.02,0)</f>
        <v>0</v>
      </c>
      <c r="AI334" s="32">
        <f>ROUND(+'Sys INPUT'!AI86*0.02,0)</f>
        <v>0</v>
      </c>
      <c r="AJ334" s="32">
        <f>ROUND(+'Sys INPUT'!AJ86*0.02,0)</f>
        <v>0</v>
      </c>
      <c r="AK334" s="32">
        <f>ROUND(+'Sys INPUT'!AK86*0.02,0)</f>
        <v>0</v>
      </c>
      <c r="AL334" s="32">
        <f>ROUND(+'Sys INPUT'!AL86*0.02,0)</f>
        <v>0</v>
      </c>
      <c r="AM334" s="32">
        <f>ROUND(+'Sys INPUT'!AM86*0.02,0)</f>
        <v>0</v>
      </c>
      <c r="AN334" s="32">
        <f>ROUND(+'Sys INPUT'!AN86*0.02,0)</f>
        <v>0</v>
      </c>
      <c r="AO334" s="32">
        <f>ROUND(+'Sys INPUT'!AO86*0.02,0)</f>
        <v>0</v>
      </c>
      <c r="AP334" s="32">
        <f>ROUND(+'Sys INPUT'!AP86*0.02,0)</f>
        <v>0</v>
      </c>
      <c r="AQ334" s="32">
        <f>ROUND(+'Sys INPUT'!AQ86*0.02,0)</f>
        <v>0</v>
      </c>
      <c r="AR334" s="32">
        <f>ROUND(+'Sys INPUT'!AR86*0.02,0)</f>
        <v>0</v>
      </c>
      <c r="AS334" s="32">
        <f>ROUND(+'Sys INPUT'!AS86*0.02,0)</f>
        <v>0</v>
      </c>
      <c r="AT334" s="32">
        <f>ROUND(+'Sys INPUT'!AT86*0.02,0)</f>
        <v>0</v>
      </c>
      <c r="AU334" s="32">
        <f>ROUND(+'Sys INPUT'!AU86*0.02,0)</f>
        <v>0</v>
      </c>
      <c r="AV334" s="32">
        <f>ROUND(+'Sys INPUT'!AV86*0.02,0)</f>
        <v>0</v>
      </c>
      <c r="AW334" s="32"/>
      <c r="AX334" s="32">
        <f>ROUND(+'Sys INPUT'!AX86*0.02,0)</f>
        <v>0</v>
      </c>
      <c r="AY334" s="32">
        <f>ROUND(+'Sys INPUT'!AY86*0.02,0)</f>
        <v>0</v>
      </c>
      <c r="AZ334" s="32">
        <f>ROUND(+'Sys INPUT'!AZ86*0.02,0)</f>
        <v>0</v>
      </c>
      <c r="BA334" s="32">
        <f>ROUND(+'Sys INPUT'!BA86*0.02,0)</f>
        <v>0</v>
      </c>
      <c r="BB334" s="32">
        <f>ROUND(+'Sys INPUT'!BB86*0.02,0)</f>
        <v>0</v>
      </c>
      <c r="BC334" s="32">
        <f>ROUND(+'Sys INPUT'!BC86*0.02,0)</f>
        <v>1052</v>
      </c>
      <c r="BD334" s="32">
        <f>ROUND(+'Sys INPUT'!BD86*0.02,0)</f>
        <v>0</v>
      </c>
      <c r="BE334" s="1"/>
      <c r="BF334" s="1">
        <f>SUM(E334:BE334)</f>
        <v>13055</v>
      </c>
      <c r="BG334" s="1">
        <f>+BF334-X334-P334-BC334</f>
        <v>6727</v>
      </c>
      <c r="BH334" s="32">
        <f>ROUND(+'Sys INPUT'!BH86*0.02,0)</f>
        <v>0</v>
      </c>
      <c r="BI334" s="32">
        <f>ROUND(+'Sys INPUT'!BI86*0.02,0)</f>
        <v>454</v>
      </c>
      <c r="BJ334" s="32">
        <f>ROUND(+'Sys INPUT'!BJ86*0.02,0)</f>
        <v>0</v>
      </c>
      <c r="BK334" s="32">
        <f>ROUND(+'Sys INPUT'!BK86*0.02,0)</f>
        <v>0</v>
      </c>
      <c r="BL334" s="32">
        <f>ROUND(+'Sys INPUT'!BL86*0.02,0)</f>
        <v>45</v>
      </c>
      <c r="BM334" s="32">
        <f>ROUND(+'Sys INPUT'!BM86*0.02,0)</f>
        <v>309</v>
      </c>
      <c r="BN334" s="32">
        <f>ROUND(+'Sys INPUT'!BN86*0.02,0)+0</f>
        <v>10223</v>
      </c>
      <c r="BO334" s="1"/>
      <c r="BP334" s="1">
        <f>SUM(BH334:BN334)</f>
        <v>11031</v>
      </c>
      <c r="BQ334" s="1">
        <f>+BP334-BN334</f>
        <v>808</v>
      </c>
      <c r="BR334" s="32">
        <f>ROUND(+'Sys INPUT'!BR86*0.02,0)</f>
        <v>0</v>
      </c>
      <c r="BS334" s="32">
        <f>ROUND(+'Sys INPUT'!BS86*0.02,0)</f>
        <v>0</v>
      </c>
      <c r="BT334" s="32">
        <f>ROUND(+'Sys INPUT'!BT86*0.02,0)</f>
        <v>0</v>
      </c>
      <c r="BU334" s="32">
        <f>ROUND(+'Sys INPUT'!BU86*0.02,0)</f>
        <v>0</v>
      </c>
      <c r="BV334" s="32">
        <f>ROUND(+'Sys INPUT'!BV86*0.02,0)</f>
        <v>0</v>
      </c>
      <c r="BW334" s="32">
        <f>ROUND(+'Sys INPUT'!BW86*0.02,0)</f>
        <v>0</v>
      </c>
      <c r="BX334" s="3"/>
      <c r="BY334" s="1">
        <f>SUM(BR334:BX334)</f>
        <v>0</v>
      </c>
      <c r="BZ334" s="1">
        <f>+BY334-BR334</f>
        <v>0</v>
      </c>
      <c r="CA334" s="1">
        <f>+BG334+BQ334+BZ334+EF334</f>
        <v>7535</v>
      </c>
      <c r="CB334" s="1"/>
      <c r="CC334" s="32">
        <f>ROUND(+'Sys INPUT'!CC86*0.02,0)</f>
        <v>300</v>
      </c>
      <c r="CD334" s="32">
        <f>ROUND(+'Sys INPUT'!CD88*0.02,0)</f>
        <v>121</v>
      </c>
      <c r="CE334" s="32">
        <f>ROUND(+'Sys INPUT'!CE88*0.02,0)</f>
        <v>448</v>
      </c>
      <c r="CF334" s="32">
        <f>ROUND(+'Sys INPUT'!CF88*0.02,0)</f>
        <v>3485</v>
      </c>
      <c r="CG334" s="32">
        <f>ROUND(+'Sys INPUT'!CG88*0.02,0)</f>
        <v>0</v>
      </c>
      <c r="CH334" s="32">
        <f>ROUND(+'Sys INPUT'!CH88*0.02,0)</f>
        <v>73</v>
      </c>
      <c r="CI334" s="1"/>
      <c r="CJ334" s="1">
        <f>SUM(CB334:CI334)</f>
        <v>4427</v>
      </c>
      <c r="CK334" s="1">
        <f>+CJ334-CB334-CC334-CG334</f>
        <v>4127</v>
      </c>
      <c r="CL334" s="32">
        <f>ROUND(+'Sys INPUT'!CL88*0.02,0)</f>
        <v>0</v>
      </c>
      <c r="CM334" s="32">
        <f>ROUND(+'Sys INPUT'!CM88*0.02,0)</f>
        <v>0</v>
      </c>
      <c r="CN334" s="32">
        <f>ROUND(+'Sys INPUT'!CN88*0.02,0)-0</f>
        <v>0</v>
      </c>
      <c r="CO334" s="32">
        <f>ROUND(+'Sys INPUT'!CO88*0.02,0)</f>
        <v>0</v>
      </c>
      <c r="CP334" s="32">
        <f>ROUND(+'Sys INPUT'!CP88*0.02,0)</f>
        <v>0</v>
      </c>
      <c r="CQ334" s="32">
        <f>ROUND(+'Sys INPUT'!CQ88*0.02,0)</f>
        <v>0</v>
      </c>
      <c r="CR334" s="32">
        <f>ROUND(+'Sys INPUT'!CR88*0.02,0)</f>
        <v>0</v>
      </c>
      <c r="CS334" s="1"/>
      <c r="CT334" s="5"/>
      <c r="CU334" s="1">
        <f>SUM(CL334:CT334)</f>
        <v>0</v>
      </c>
      <c r="CW334" s="32">
        <f>ROUND((+'Sys INPUT'!CW86)*0.02,0)</f>
        <v>1809</v>
      </c>
      <c r="CX334" s="32">
        <f>+'Sys INPUT'!CX86*0.02</f>
        <v>0</v>
      </c>
      <c r="CY334" s="32">
        <f>+'Sys INPUT'!CY86*0.02</f>
        <v>0</v>
      </c>
      <c r="CZ334" s="32">
        <f>+'Sys INPUT'!CZ86*0.02</f>
        <v>0</v>
      </c>
      <c r="DA334" s="32">
        <f>+'Sys INPUT'!DA86*0.02</f>
        <v>0</v>
      </c>
      <c r="DB334" s="32">
        <f>+'Sys INPUT'!DB86*0.02</f>
        <v>0</v>
      </c>
      <c r="DC334" s="32">
        <f>+'Sys INPUT'!DC86*0.02</f>
        <v>0</v>
      </c>
      <c r="DD334" s="32">
        <f>+'Sys INPUT'!DD86*0.02</f>
        <v>0</v>
      </c>
      <c r="DE334" s="32">
        <f>+'Sys INPUT'!DE86*0.02</f>
        <v>0</v>
      </c>
      <c r="DF334" s="32">
        <f>ROUND(+'Sys INPUT'!DF86*0.02,0)</f>
        <v>1486</v>
      </c>
      <c r="DG334" s="32">
        <f>ROUND(+'Sys INPUT'!DG86*0.02,0)</f>
        <v>0</v>
      </c>
      <c r="DH334" s="32">
        <f>ROUND(+'Sys INPUT'!DH86*0.02,0)</f>
        <v>0</v>
      </c>
      <c r="DI334" s="32">
        <f>ROUND(+'Sys INPUT'!DI86*0.02,0)</f>
        <v>0</v>
      </c>
      <c r="DJ334" s="32">
        <f>ROUND(+'Sys INPUT'!DJ86*0.02,0)</f>
        <v>0</v>
      </c>
      <c r="DK334" s="32">
        <f>ROUND(+'Sys INPUT'!DK86*0.02,0)</f>
        <v>0</v>
      </c>
      <c r="DL334" s="32">
        <f>ROUND(+'Sys INPUT'!DL86*0.02,0)</f>
        <v>0</v>
      </c>
      <c r="DM334" s="32">
        <f>ROUND(+'Sys INPUT'!DM86*0.02,0)</f>
        <v>0</v>
      </c>
      <c r="DN334" s="32">
        <f>ROUND(+'Sys INPUT'!DN86*0.02,0)</f>
        <v>0</v>
      </c>
      <c r="DO334" s="32">
        <f>ROUND(+'Sys INPUT'!DO86*0.02,0)</f>
        <v>0</v>
      </c>
      <c r="DP334" s="32">
        <f>ROUND(+'Sys INPUT'!DP86*0.02,0)</f>
        <v>0</v>
      </c>
      <c r="DQ334" s="32">
        <f>ROUND(+'Sys INPUT'!DQ86*0.02,0)</f>
        <v>1995</v>
      </c>
      <c r="DR334" s="32">
        <f>ROUND(+'Sys INPUT'!DR86*0.02,0)</f>
        <v>25931</v>
      </c>
      <c r="DS334" s="32">
        <f>ROUND(+'Sys INPUT'!DS86*0.02,0)</f>
        <v>18199</v>
      </c>
      <c r="DT334" s="32">
        <f>ROUND(+'Sys INPUT'!DT86*0.02,0)-1</f>
        <v>8627</v>
      </c>
      <c r="DW334" s="1">
        <f>SUM(CW334:DV334)-DF334</f>
        <v>56561</v>
      </c>
      <c r="DX334" s="1"/>
      <c r="DY334" s="1"/>
      <c r="DZ334" s="1"/>
      <c r="EB334" s="32">
        <f>+'Sys INPUT'!EC86*0.02</f>
        <v>0</v>
      </c>
      <c r="EC334" s="1"/>
      <c r="ED334" s="1"/>
      <c r="EE334" s="1"/>
      <c r="EF334" s="1"/>
      <c r="EG334" s="1"/>
      <c r="EJ334" t="s">
        <v>2019</v>
      </c>
      <c r="EK334">
        <f>+EN334-ED334-DW334</f>
        <v>32960</v>
      </c>
      <c r="EL334" s="1"/>
      <c r="EM334" s="1"/>
      <c r="EN334">
        <f>+D334+BF334+BP334+BY334+CJ334+CU334+DW334+ED334-P334</f>
        <v>89521</v>
      </c>
      <c r="EQ334" s="32">
        <f>ROUND((+'Sys INPUT'!AF86+'Sys INPUT'!ER86)*0.02,0)</f>
        <v>2100</v>
      </c>
    </row>
    <row r="335" spans="1:147" ht="15.75">
      <c r="A335" s="1"/>
      <c r="B335" s="1" t="s">
        <v>1076</v>
      </c>
      <c r="C335" s="11"/>
      <c r="D335" s="63" t="s">
        <v>1191</v>
      </c>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f>+BF335-X335-P335</f>
        <v>0</v>
      </c>
      <c r="BH335" s="1"/>
      <c r="BI335" s="1"/>
      <c r="BJ335" s="1"/>
      <c r="BK335" s="1"/>
      <c r="BL335" s="1"/>
      <c r="BM335" s="1"/>
      <c r="BN335" s="1"/>
      <c r="BO335" s="1"/>
      <c r="BP335" s="1"/>
      <c r="BQ335" s="1">
        <f>+'Sys INPUT'!BQ86*0.02</f>
        <v>809</v>
      </c>
      <c r="BR335" s="1"/>
      <c r="BS335" s="1"/>
      <c r="BT335" s="1"/>
      <c r="BU335" s="1"/>
      <c r="BV335" s="1"/>
      <c r="BW335" s="1"/>
      <c r="BX335" s="3"/>
      <c r="BY335" s="1"/>
      <c r="BZ335" s="1"/>
      <c r="CA335" s="1"/>
      <c r="CB335" s="1"/>
      <c r="CC335" s="1"/>
      <c r="CD335" s="1"/>
      <c r="CE335" s="1"/>
      <c r="CF335" s="1"/>
      <c r="CG335" s="1"/>
      <c r="CH335" s="1">
        <f>SUM(CD334:CH334)</f>
        <v>4127</v>
      </c>
      <c r="CI335" s="1"/>
      <c r="CJ335" s="1"/>
      <c r="CK335" s="1"/>
      <c r="CL335" s="1"/>
      <c r="CM335" s="1"/>
      <c r="CN335" s="1"/>
      <c r="CO335" s="1"/>
      <c r="CP335" s="1"/>
      <c r="CQ335" s="1"/>
      <c r="CR335" s="1"/>
      <c r="CS335" s="1"/>
      <c r="CT335" s="5"/>
      <c r="CU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W335" s="1">
        <f>+DW332-DW334</f>
        <v>2771480</v>
      </c>
      <c r="DX335" s="1"/>
      <c r="DY335" s="1"/>
      <c r="DZ335" s="1"/>
      <c r="EB335" s="1"/>
      <c r="EC335" s="1"/>
      <c r="ED335" s="1"/>
      <c r="EE335" s="1"/>
      <c r="EF335" s="1"/>
      <c r="EG335" s="1"/>
      <c r="EL335" s="1"/>
      <c r="EM335" s="15" t="s">
        <v>440</v>
      </c>
      <c r="EN335" s="38">
        <f>-SUM(CD334:CH334)</f>
        <v>-4127</v>
      </c>
      <c r="EQ335" s="1"/>
    </row>
    <row r="336" spans="1:147" ht="15">
      <c r="BE336" s="1"/>
      <c r="BO336" s="1"/>
      <c r="CS336" s="1"/>
      <c r="ED336" s="1"/>
      <c r="EJ336" t="s">
        <v>2020</v>
      </c>
      <c r="EK336">
        <f>+DW334+ED334</f>
        <v>56561</v>
      </c>
      <c r="EN336">
        <f>SUM(EN334:EN335)</f>
        <v>85394</v>
      </c>
    </row>
    <row r="337" spans="2:144" ht="15">
      <c r="BE337" s="1"/>
      <c r="BO337" s="1"/>
      <c r="CS337" s="1"/>
      <c r="ED337" s="1"/>
      <c r="EM337" t="s">
        <v>754</v>
      </c>
      <c r="EN337">
        <f>-CW334</f>
        <v>-1809</v>
      </c>
    </row>
    <row r="338" spans="2:144" ht="16.5" thickBot="1">
      <c r="B338" s="14" t="s">
        <v>1388</v>
      </c>
      <c r="C338" s="3"/>
      <c r="BE338" s="1"/>
      <c r="BO338" s="1"/>
      <c r="CS338" s="1"/>
      <c r="ED338" s="1"/>
      <c r="EN338" s="41">
        <f>SUM(EN336:EN337)</f>
        <v>83585</v>
      </c>
    </row>
    <row r="339" spans="2:144" ht="15.75" thickTop="1">
      <c r="BE339" s="1"/>
      <c r="BO339" s="1"/>
      <c r="CS339" s="1"/>
      <c r="ED339" s="1"/>
    </row>
    <row r="340" spans="2:144" ht="15.75">
      <c r="B340" s="95" t="s">
        <v>1389</v>
      </c>
      <c r="C340" s="104"/>
      <c r="D340" s="96"/>
      <c r="E340" s="96"/>
      <c r="F340" s="96"/>
      <c r="G340" s="96"/>
      <c r="H340" s="96"/>
      <c r="I340" s="96"/>
      <c r="J340" s="96"/>
      <c r="K340" s="96"/>
      <c r="L340" s="96"/>
      <c r="M340" s="96"/>
      <c r="N340" s="96"/>
      <c r="O340" s="96"/>
      <c r="P340" s="96"/>
      <c r="Q340" s="96"/>
      <c r="BE340" s="1"/>
      <c r="BO340" s="1"/>
      <c r="CS340" s="1"/>
      <c r="ED340" s="1"/>
    </row>
    <row r="341" spans="2:144" ht="18.75">
      <c r="B341" s="96" t="s">
        <v>1390</v>
      </c>
      <c r="C341" s="106" t="s">
        <v>379</v>
      </c>
      <c r="D341" s="97">
        <f t="shared" ref="D341:O341" si="472">+D94</f>
        <v>112403</v>
      </c>
      <c r="E341" s="97">
        <f t="shared" si="472"/>
        <v>0</v>
      </c>
      <c r="F341" s="97">
        <f t="shared" si="472"/>
        <v>0</v>
      </c>
      <c r="G341" s="97">
        <f t="shared" si="472"/>
        <v>0</v>
      </c>
      <c r="H341" s="97">
        <f t="shared" si="472"/>
        <v>0</v>
      </c>
      <c r="I341" s="97">
        <f t="shared" si="472"/>
        <v>0</v>
      </c>
      <c r="J341" s="97">
        <f t="shared" si="472"/>
        <v>397710</v>
      </c>
      <c r="K341" s="97">
        <f t="shared" si="472"/>
        <v>0</v>
      </c>
      <c r="L341" s="97">
        <f t="shared" si="472"/>
        <v>0</v>
      </c>
      <c r="M341" s="97">
        <f t="shared" si="472"/>
        <v>0</v>
      </c>
      <c r="N341" s="97">
        <f t="shared" si="472"/>
        <v>0</v>
      </c>
      <c r="O341" s="97">
        <f t="shared" si="472"/>
        <v>0</v>
      </c>
      <c r="P341" s="99"/>
      <c r="Q341" s="97">
        <f t="shared" ref="Q341:AV341" si="473">+Q94</f>
        <v>0</v>
      </c>
      <c r="R341" s="97">
        <f t="shared" si="473"/>
        <v>0</v>
      </c>
      <c r="S341" s="97">
        <f t="shared" si="473"/>
        <v>0</v>
      </c>
      <c r="T341" s="97">
        <f t="shared" si="473"/>
        <v>0</v>
      </c>
      <c r="U341" s="97">
        <f t="shared" si="473"/>
        <v>76413</v>
      </c>
      <c r="V341" s="97">
        <f t="shared" si="473"/>
        <v>0</v>
      </c>
      <c r="W341" s="97">
        <f t="shared" si="473"/>
        <v>0</v>
      </c>
      <c r="X341" s="97">
        <f t="shared" si="473"/>
        <v>0</v>
      </c>
      <c r="Y341" s="97">
        <f t="shared" si="473"/>
        <v>0</v>
      </c>
      <c r="Z341" s="97">
        <f t="shared" si="473"/>
        <v>0</v>
      </c>
      <c r="AA341" s="97">
        <f t="shared" si="473"/>
        <v>0</v>
      </c>
      <c r="AB341" s="97">
        <f t="shared" si="473"/>
        <v>0</v>
      </c>
      <c r="AC341" s="97">
        <f t="shared" si="473"/>
        <v>0</v>
      </c>
      <c r="AD341" s="97">
        <f t="shared" si="473"/>
        <v>0</v>
      </c>
      <c r="AE341" s="97">
        <f t="shared" si="473"/>
        <v>0</v>
      </c>
      <c r="AF341" s="97">
        <f t="shared" si="473"/>
        <v>0</v>
      </c>
      <c r="AG341" s="97">
        <f t="shared" si="473"/>
        <v>0</v>
      </c>
      <c r="AH341" s="97">
        <f t="shared" si="473"/>
        <v>0</v>
      </c>
      <c r="AI341" s="97">
        <f t="shared" si="473"/>
        <v>0</v>
      </c>
      <c r="AJ341" s="97">
        <f t="shared" si="473"/>
        <v>0</v>
      </c>
      <c r="AK341" s="97">
        <f t="shared" si="473"/>
        <v>0</v>
      </c>
      <c r="AL341" s="97">
        <f t="shared" si="473"/>
        <v>0</v>
      </c>
      <c r="AM341" s="97">
        <f t="shared" si="473"/>
        <v>0</v>
      </c>
      <c r="AN341" s="97">
        <f t="shared" si="473"/>
        <v>0</v>
      </c>
      <c r="AO341" s="97">
        <f t="shared" si="473"/>
        <v>0</v>
      </c>
      <c r="AP341" s="97">
        <f t="shared" si="473"/>
        <v>0</v>
      </c>
      <c r="AQ341" s="97">
        <f t="shared" si="473"/>
        <v>0</v>
      </c>
      <c r="AR341" s="97">
        <f t="shared" si="473"/>
        <v>0</v>
      </c>
      <c r="AS341" s="97">
        <f t="shared" si="473"/>
        <v>0</v>
      </c>
      <c r="AT341" s="97">
        <f t="shared" si="473"/>
        <v>0</v>
      </c>
      <c r="AU341" s="97">
        <f t="shared" si="473"/>
        <v>0</v>
      </c>
      <c r="AV341" s="97">
        <f t="shared" si="473"/>
        <v>0</v>
      </c>
      <c r="AW341" s="97"/>
      <c r="AX341" s="97">
        <f t="shared" ref="AX341:BD341" si="474">+AX94</f>
        <v>0</v>
      </c>
      <c r="AY341" s="97">
        <f t="shared" si="474"/>
        <v>0</v>
      </c>
      <c r="AZ341" s="97">
        <f t="shared" si="474"/>
        <v>0</v>
      </c>
      <c r="BA341" s="97">
        <f t="shared" si="474"/>
        <v>0</v>
      </c>
      <c r="BB341" s="97">
        <f t="shared" si="474"/>
        <v>0</v>
      </c>
      <c r="BC341" s="97">
        <f t="shared" si="474"/>
        <v>0</v>
      </c>
      <c r="BD341" s="97">
        <f t="shared" si="474"/>
        <v>0</v>
      </c>
      <c r="BE341" s="1"/>
      <c r="BF341" s="97">
        <f>SUM(E341:BE341)</f>
        <v>474123</v>
      </c>
      <c r="BG341" s="1">
        <f t="shared" ref="BG341:BG344" si="475">+BF341-X341-P341-BB341-BC341</f>
        <v>474123</v>
      </c>
      <c r="BH341" s="97">
        <f t="shared" ref="BH341:BN341" si="476">+BH94</f>
        <v>0</v>
      </c>
      <c r="BI341" s="97">
        <f t="shared" si="476"/>
        <v>0</v>
      </c>
      <c r="BJ341" s="97">
        <f t="shared" si="476"/>
        <v>0</v>
      </c>
      <c r="BK341" s="97">
        <f t="shared" si="476"/>
        <v>0</v>
      </c>
      <c r="BL341" s="97">
        <f t="shared" si="476"/>
        <v>0</v>
      </c>
      <c r="BM341" s="97">
        <f t="shared" si="476"/>
        <v>0</v>
      </c>
      <c r="BN341" s="97">
        <f t="shared" si="476"/>
        <v>0</v>
      </c>
      <c r="BO341" s="1"/>
      <c r="BP341" s="97">
        <f>SUM(BH341:BN341)</f>
        <v>0</v>
      </c>
      <c r="BQ341" s="97">
        <f>+BP341-BN341</f>
        <v>0</v>
      </c>
      <c r="BR341" s="97">
        <f t="shared" ref="BR341:BW341" si="477">+BR94</f>
        <v>0</v>
      </c>
      <c r="BS341" s="97">
        <f t="shared" si="477"/>
        <v>0</v>
      </c>
      <c r="BT341" s="97">
        <f t="shared" si="477"/>
        <v>0</v>
      </c>
      <c r="BU341" s="97">
        <f t="shared" si="477"/>
        <v>0</v>
      </c>
      <c r="BV341" s="97">
        <f t="shared" si="477"/>
        <v>0</v>
      </c>
      <c r="BW341" s="97">
        <f t="shared" si="477"/>
        <v>0</v>
      </c>
      <c r="BY341" s="97">
        <f>SUM(BR341:BX341)</f>
        <v>0</v>
      </c>
      <c r="BZ341" s="1">
        <f>+BY341-BR341</f>
        <v>0</v>
      </c>
      <c r="CA341" s="1">
        <f>+BG341+BQ341+BZ341+EF341</f>
        <v>474123</v>
      </c>
      <c r="CS341" s="1"/>
      <c r="EB341" s="97">
        <f>+EB94</f>
        <v>0</v>
      </c>
      <c r="ED341" s="1"/>
    </row>
    <row r="342" spans="2:144" ht="18.75">
      <c r="B342" s="132" t="s">
        <v>1699</v>
      </c>
      <c r="C342" s="106"/>
      <c r="D342" s="97"/>
      <c r="E342" s="97"/>
      <c r="F342" s="97"/>
      <c r="G342" s="97"/>
      <c r="H342" s="97"/>
      <c r="I342" s="97"/>
      <c r="J342" s="97"/>
      <c r="K342" s="97"/>
      <c r="L342" s="97"/>
      <c r="M342" s="97"/>
      <c r="N342" s="97"/>
      <c r="O342" s="97"/>
      <c r="P342" s="99"/>
      <c r="Q342" s="97"/>
      <c r="R342" s="97"/>
      <c r="S342" s="97"/>
      <c r="T342" s="97"/>
      <c r="U342" s="97"/>
      <c r="V342" s="97"/>
      <c r="W342" s="97"/>
      <c r="X342" s="97"/>
      <c r="Y342" s="97"/>
      <c r="Z342" s="97"/>
      <c r="AA342" s="97"/>
      <c r="AB342" s="97"/>
      <c r="AC342" s="97"/>
      <c r="AD342" s="97"/>
      <c r="AE342" s="97"/>
      <c r="AF342" s="97"/>
      <c r="AG342" s="97"/>
      <c r="AH342" s="97"/>
      <c r="AI342" s="97"/>
      <c r="AJ342" s="97"/>
      <c r="AK342" s="97"/>
      <c r="AL342" s="97"/>
      <c r="AM342" s="97"/>
      <c r="AN342" s="97"/>
      <c r="AO342" s="97"/>
      <c r="AP342" s="97"/>
      <c r="AQ342" s="97"/>
      <c r="AR342" s="97"/>
      <c r="AS342" s="97"/>
      <c r="AT342" s="97"/>
      <c r="AU342" s="97"/>
      <c r="AV342" s="97"/>
      <c r="AW342" s="97"/>
      <c r="AX342" s="97"/>
      <c r="AY342" s="97"/>
      <c r="AZ342" s="97"/>
      <c r="BA342" s="97"/>
      <c r="BB342" s="97"/>
      <c r="BC342" s="97"/>
      <c r="BD342" s="97"/>
      <c r="BE342" s="1"/>
      <c r="BF342" s="97">
        <f>SUM(E342:BE342)</f>
        <v>0</v>
      </c>
      <c r="BG342" s="1">
        <f t="shared" si="475"/>
        <v>0</v>
      </c>
      <c r="BH342" s="97"/>
      <c r="BI342" s="97"/>
      <c r="BJ342" s="97"/>
      <c r="BK342" s="97"/>
      <c r="BL342" s="97"/>
      <c r="BM342" s="97"/>
      <c r="BN342" s="97"/>
      <c r="BO342" s="1"/>
      <c r="BP342" s="97">
        <f>SUM(BH342:BN342)</f>
        <v>0</v>
      </c>
      <c r="BQ342" s="97">
        <f>+BP342-BN342</f>
        <v>0</v>
      </c>
      <c r="BR342" s="97"/>
      <c r="BS342" s="97"/>
      <c r="BT342" s="97"/>
      <c r="BU342" s="97"/>
      <c r="BV342" s="97"/>
      <c r="BW342" s="97"/>
      <c r="BY342" s="97">
        <f>SUM(BR342:BX342)</f>
        <v>0</v>
      </c>
      <c r="BZ342" s="1">
        <f t="shared" ref="BZ342:BZ344" si="478">+BY342-BR342</f>
        <v>0</v>
      </c>
      <c r="CA342" s="1">
        <f>+BG342+BQ342+BZ342+EF342</f>
        <v>0</v>
      </c>
      <c r="CS342" s="1"/>
      <c r="EB342" s="97">
        <f>+EB117</f>
        <v>0</v>
      </c>
      <c r="ED342" s="1"/>
    </row>
    <row r="343" spans="2:144" ht="18.75">
      <c r="B343" s="96" t="s">
        <v>1391</v>
      </c>
      <c r="C343" s="106" t="s">
        <v>1415</v>
      </c>
      <c r="D343" s="97">
        <f>+D103</f>
        <v>0</v>
      </c>
      <c r="E343" s="97"/>
      <c r="F343" s="97"/>
      <c r="G343" s="97"/>
      <c r="H343" s="97"/>
      <c r="I343" s="97"/>
      <c r="J343" s="97"/>
      <c r="K343" s="97"/>
      <c r="L343" s="97"/>
      <c r="M343" s="97"/>
      <c r="N343" s="97"/>
      <c r="O343" s="97"/>
      <c r="P343" s="99"/>
      <c r="Q343" s="97"/>
      <c r="R343" s="97"/>
      <c r="S343" s="97"/>
      <c r="T343" s="97"/>
      <c r="U343" s="97"/>
      <c r="V343" s="97"/>
      <c r="W343" s="97"/>
      <c r="X343" s="97"/>
      <c r="Y343" s="97"/>
      <c r="Z343" s="97"/>
      <c r="AA343" s="97"/>
      <c r="AB343" s="97"/>
      <c r="AC343" s="97"/>
      <c r="AD343" s="97"/>
      <c r="AE343" s="97"/>
      <c r="AF343" s="97"/>
      <c r="AG343" s="97"/>
      <c r="AH343" s="97"/>
      <c r="AI343" s="97"/>
      <c r="AJ343" s="97"/>
      <c r="AK343" s="97"/>
      <c r="AL343" s="97"/>
      <c r="AM343" s="97"/>
      <c r="AN343" s="97"/>
      <c r="AO343" s="97"/>
      <c r="AP343" s="97"/>
      <c r="AQ343" s="97"/>
      <c r="AR343" s="97"/>
      <c r="AS343" s="97"/>
      <c r="AT343" s="97"/>
      <c r="AU343" s="97"/>
      <c r="AV343" s="97"/>
      <c r="AW343" s="97"/>
      <c r="AX343" s="97"/>
      <c r="AY343" s="97"/>
      <c r="AZ343" s="97"/>
      <c r="BA343" s="97"/>
      <c r="BB343" s="97"/>
      <c r="BC343" s="97"/>
      <c r="BD343" s="97"/>
      <c r="BE343" s="1"/>
      <c r="BF343" s="97">
        <f>SUM(E343:BE343)</f>
        <v>0</v>
      </c>
      <c r="BG343" s="1">
        <f t="shared" si="475"/>
        <v>0</v>
      </c>
      <c r="BH343" s="97"/>
      <c r="BI343" s="97"/>
      <c r="BJ343" s="97"/>
      <c r="BN343" s="97"/>
      <c r="BO343" s="1"/>
      <c r="BP343" s="97">
        <f>SUM(BH343:BN343)</f>
        <v>0</v>
      </c>
      <c r="BQ343" s="97">
        <f>+BP343-BN343</f>
        <v>0</v>
      </c>
      <c r="BR343" s="97"/>
      <c r="BS343" s="97"/>
      <c r="BT343" s="97"/>
      <c r="BU343" s="97"/>
      <c r="BV343" s="97"/>
      <c r="BW343" s="97"/>
      <c r="BY343" s="97">
        <f>SUM(BR343:BX343)</f>
        <v>0</v>
      </c>
      <c r="BZ343" s="1">
        <f t="shared" si="478"/>
        <v>0</v>
      </c>
      <c r="CA343" s="1">
        <f>+BG343+BQ343+BZ343+EF343</f>
        <v>0</v>
      </c>
      <c r="CS343" s="1"/>
      <c r="EB343" s="97">
        <f>+EB103</f>
        <v>0</v>
      </c>
      <c r="ED343" s="1"/>
    </row>
    <row r="344" spans="2:144" ht="18.75">
      <c r="B344" s="96" t="s">
        <v>1399</v>
      </c>
      <c r="C344" s="106" t="s">
        <v>1421</v>
      </c>
      <c r="D344" s="97"/>
      <c r="E344" s="97"/>
      <c r="F344" s="97"/>
      <c r="G344" s="97"/>
      <c r="H344" s="97"/>
      <c r="I344" s="97"/>
      <c r="J344" s="97"/>
      <c r="K344" s="97"/>
      <c r="L344" s="97"/>
      <c r="M344" s="97"/>
      <c r="N344" s="97"/>
      <c r="O344" s="97"/>
      <c r="P344" s="99"/>
      <c r="Q344" s="97"/>
      <c r="R344" s="97"/>
      <c r="S344" s="97"/>
      <c r="T344" s="97"/>
      <c r="U344" s="97"/>
      <c r="V344" s="97"/>
      <c r="W344" s="97"/>
      <c r="X344" s="97"/>
      <c r="Y344" s="97"/>
      <c r="Z344" s="97"/>
      <c r="AA344" s="97"/>
      <c r="AB344" s="97"/>
      <c r="AC344" s="97"/>
      <c r="AD344" s="97"/>
      <c r="AE344" s="97"/>
      <c r="AF344" s="97"/>
      <c r="AG344" s="97"/>
      <c r="AH344" s="97"/>
      <c r="AI344" s="97"/>
      <c r="AJ344" s="97"/>
      <c r="AK344" s="97"/>
      <c r="AL344" s="97"/>
      <c r="AM344" s="97"/>
      <c r="AN344" s="97"/>
      <c r="AO344" s="97"/>
      <c r="AP344" s="97"/>
      <c r="AQ344" s="97"/>
      <c r="AR344" s="97"/>
      <c r="AS344" s="97"/>
      <c r="AT344" s="97"/>
      <c r="AU344" s="97"/>
      <c r="AV344" s="97"/>
      <c r="AW344" s="97"/>
      <c r="AX344" s="97"/>
      <c r="AY344" s="97"/>
      <c r="AZ344" s="97"/>
      <c r="BA344" s="97"/>
      <c r="BB344" s="97"/>
      <c r="BC344" s="97"/>
      <c r="BD344" s="116">
        <f>+'Sys INPUT'!BD171+INPUT!BD331-BD361-BD376-BD382-BD384</f>
        <v>371646</v>
      </c>
      <c r="BE344" s="1"/>
      <c r="BF344" s="97">
        <f>SUM(E344:BE344)</f>
        <v>371646</v>
      </c>
      <c r="BG344" s="1">
        <f t="shared" si="475"/>
        <v>371646</v>
      </c>
      <c r="BH344" s="97"/>
      <c r="BI344" s="97"/>
      <c r="BJ344" s="97"/>
      <c r="BK344" s="97"/>
      <c r="BL344" s="97"/>
      <c r="BM344" s="97"/>
      <c r="BN344" s="97"/>
      <c r="BO344" s="1"/>
      <c r="BP344" s="97">
        <f>SUM(BH344:BN344)</f>
        <v>0</v>
      </c>
      <c r="BQ344" s="97">
        <f>+BP344-BN344</f>
        <v>0</v>
      </c>
      <c r="BR344" s="97"/>
      <c r="BS344" s="97"/>
      <c r="BT344" s="97"/>
      <c r="BU344" s="97"/>
      <c r="BV344" s="97"/>
      <c r="BW344" s="97"/>
      <c r="BY344" s="97">
        <f>SUM(BR344:BX344)</f>
        <v>0</v>
      </c>
      <c r="BZ344" s="1">
        <f t="shared" si="478"/>
        <v>0</v>
      </c>
      <c r="CA344" s="1">
        <f>+BG344+BQ344+BZ344+EF344</f>
        <v>737543</v>
      </c>
      <c r="CC344" s="21" t="s">
        <v>1720</v>
      </c>
      <c r="CS344" s="1"/>
      <c r="EB344" s="97"/>
      <c r="ED344" s="1"/>
      <c r="EF344" s="97">
        <f>+EF114</f>
        <v>365897</v>
      </c>
    </row>
    <row r="345" spans="2:144" ht="15.75" customHeight="1">
      <c r="B345" s="96"/>
      <c r="C345" s="106"/>
      <c r="D345" s="96"/>
      <c r="E345" s="96"/>
      <c r="F345" s="96"/>
      <c r="G345" s="96"/>
      <c r="H345" s="96"/>
      <c r="I345" s="96"/>
      <c r="J345" s="96"/>
      <c r="K345" s="96"/>
      <c r="L345" s="96"/>
      <c r="M345" s="97"/>
      <c r="N345" s="1"/>
      <c r="O345" s="1"/>
      <c r="P345" s="99"/>
      <c r="Q345" s="97"/>
      <c r="BE345" s="1"/>
      <c r="BO345" s="1"/>
      <c r="BQ345" s="97"/>
      <c r="BZ345" s="1"/>
      <c r="CS345" s="1"/>
      <c r="EB345" s="96"/>
      <c r="ED345" s="1"/>
    </row>
    <row r="346" spans="2:144" ht="15.75">
      <c r="B346" s="95" t="s">
        <v>1403</v>
      </c>
      <c r="C346" s="104"/>
      <c r="D346" s="98">
        <f t="shared" ref="D346:BD346" si="479">SUM(D341:D345)</f>
        <v>112403</v>
      </c>
      <c r="E346" s="98">
        <f t="shared" si="479"/>
        <v>0</v>
      </c>
      <c r="F346" s="98">
        <f t="shared" si="479"/>
        <v>0</v>
      </c>
      <c r="G346" s="98">
        <f t="shared" si="479"/>
        <v>0</v>
      </c>
      <c r="H346" s="98">
        <f t="shared" si="479"/>
        <v>0</v>
      </c>
      <c r="I346" s="98">
        <f t="shared" si="479"/>
        <v>0</v>
      </c>
      <c r="J346" s="98">
        <f t="shared" si="479"/>
        <v>397710</v>
      </c>
      <c r="K346" s="98">
        <f t="shared" si="479"/>
        <v>0</v>
      </c>
      <c r="L346" s="98">
        <f>SUM(L341:L345)</f>
        <v>0</v>
      </c>
      <c r="M346" s="98">
        <f t="shared" si="479"/>
        <v>0</v>
      </c>
      <c r="N346" s="98">
        <f>SUM(N341:N345)</f>
        <v>0</v>
      </c>
      <c r="O346" s="98">
        <f t="shared" si="479"/>
        <v>0</v>
      </c>
      <c r="P346" s="98">
        <f t="shared" si="479"/>
        <v>0</v>
      </c>
      <c r="Q346" s="98">
        <f t="shared" si="479"/>
        <v>0</v>
      </c>
      <c r="R346" s="98">
        <f t="shared" si="479"/>
        <v>0</v>
      </c>
      <c r="S346" s="98">
        <f t="shared" si="479"/>
        <v>0</v>
      </c>
      <c r="T346" s="98">
        <f t="shared" si="479"/>
        <v>0</v>
      </c>
      <c r="U346" s="98">
        <f t="shared" si="479"/>
        <v>76413</v>
      </c>
      <c r="V346" s="98">
        <f t="shared" si="479"/>
        <v>0</v>
      </c>
      <c r="W346" s="98">
        <f t="shared" si="479"/>
        <v>0</v>
      </c>
      <c r="X346" s="98">
        <f t="shared" si="479"/>
        <v>0</v>
      </c>
      <c r="Y346" s="98">
        <f t="shared" si="479"/>
        <v>0</v>
      </c>
      <c r="Z346" s="98">
        <f t="shared" si="479"/>
        <v>0</v>
      </c>
      <c r="AA346" s="98">
        <f t="shared" si="479"/>
        <v>0</v>
      </c>
      <c r="AB346" s="98">
        <f>SUM(AB341:AB345)</f>
        <v>0</v>
      </c>
      <c r="AC346" s="98">
        <f t="shared" si="479"/>
        <v>0</v>
      </c>
      <c r="AD346" s="98">
        <f t="shared" si="479"/>
        <v>0</v>
      </c>
      <c r="AE346" s="98">
        <f t="shared" si="479"/>
        <v>0</v>
      </c>
      <c r="AF346" s="98">
        <f t="shared" si="479"/>
        <v>0</v>
      </c>
      <c r="AG346" s="98">
        <f t="shared" si="479"/>
        <v>0</v>
      </c>
      <c r="AH346" s="98">
        <f t="shared" si="479"/>
        <v>0</v>
      </c>
      <c r="AI346" s="98">
        <f t="shared" si="479"/>
        <v>0</v>
      </c>
      <c r="AJ346" s="98">
        <f t="shared" si="479"/>
        <v>0</v>
      </c>
      <c r="AK346" s="98">
        <f t="shared" ref="AK346:AQ346" si="480">SUM(AK341:AK345)</f>
        <v>0</v>
      </c>
      <c r="AL346" s="98">
        <f t="shared" si="480"/>
        <v>0</v>
      </c>
      <c r="AM346" s="98">
        <f t="shared" si="480"/>
        <v>0</v>
      </c>
      <c r="AN346" s="98">
        <f t="shared" si="480"/>
        <v>0</v>
      </c>
      <c r="AO346" s="98">
        <f t="shared" si="480"/>
        <v>0</v>
      </c>
      <c r="AP346" s="98">
        <f t="shared" si="480"/>
        <v>0</v>
      </c>
      <c r="AQ346" s="98">
        <f t="shared" si="480"/>
        <v>0</v>
      </c>
      <c r="AR346" s="98">
        <f t="shared" si="479"/>
        <v>0</v>
      </c>
      <c r="AS346" s="98">
        <f t="shared" si="479"/>
        <v>0</v>
      </c>
      <c r="AT346" s="98">
        <f>SUM(AT341:AT345)</f>
        <v>0</v>
      </c>
      <c r="AU346" s="98">
        <f t="shared" si="479"/>
        <v>0</v>
      </c>
      <c r="AV346" s="98">
        <f t="shared" si="479"/>
        <v>0</v>
      </c>
      <c r="AW346" s="98"/>
      <c r="AX346" s="98">
        <f t="shared" si="479"/>
        <v>0</v>
      </c>
      <c r="AY346" s="98">
        <f t="shared" si="479"/>
        <v>0</v>
      </c>
      <c r="AZ346" s="98">
        <f t="shared" si="479"/>
        <v>0</v>
      </c>
      <c r="BA346" s="98">
        <f t="shared" si="479"/>
        <v>0</v>
      </c>
      <c r="BB346" s="98">
        <f t="shared" si="479"/>
        <v>0</v>
      </c>
      <c r="BC346" s="98">
        <f t="shared" si="479"/>
        <v>0</v>
      </c>
      <c r="BD346" s="98">
        <f t="shared" si="479"/>
        <v>371646</v>
      </c>
      <c r="BE346" s="1"/>
      <c r="BF346" s="98">
        <f t="shared" ref="BF346:BN346" si="481">SUM(BF341:BF345)</f>
        <v>845769</v>
      </c>
      <c r="BG346" s="98">
        <f t="shared" si="481"/>
        <v>845769</v>
      </c>
      <c r="BH346" s="98">
        <f t="shared" si="481"/>
        <v>0</v>
      </c>
      <c r="BI346" s="98">
        <f>SUM(BI341:BI345)</f>
        <v>0</v>
      </c>
      <c r="BJ346" s="98">
        <f t="shared" si="481"/>
        <v>0</v>
      </c>
      <c r="BK346" s="98">
        <f t="shared" si="481"/>
        <v>0</v>
      </c>
      <c r="BL346" s="98">
        <f>SUM(BL341:BL345)</f>
        <v>0</v>
      </c>
      <c r="BM346" s="98">
        <f>SUM(BM341:BM345)</f>
        <v>0</v>
      </c>
      <c r="BN346" s="98">
        <f t="shared" si="481"/>
        <v>0</v>
      </c>
      <c r="BO346" s="1"/>
      <c r="BP346" s="98">
        <f t="shared" ref="BP346:BW346" si="482">SUM(BP341:BP345)</f>
        <v>0</v>
      </c>
      <c r="BQ346" s="98">
        <f t="shared" si="482"/>
        <v>0</v>
      </c>
      <c r="BR346" s="98">
        <f t="shared" si="482"/>
        <v>0</v>
      </c>
      <c r="BS346" s="98">
        <f t="shared" si="482"/>
        <v>0</v>
      </c>
      <c r="BT346" s="98">
        <f t="shared" si="482"/>
        <v>0</v>
      </c>
      <c r="BU346" s="98">
        <f t="shared" si="482"/>
        <v>0</v>
      </c>
      <c r="BV346" s="98">
        <f>SUM(BV341:BV345)</f>
        <v>0</v>
      </c>
      <c r="BW346" s="98">
        <f t="shared" si="482"/>
        <v>0</v>
      </c>
      <c r="BY346" s="98">
        <f>SUM(BY341:BY345)</f>
        <v>0</v>
      </c>
      <c r="BZ346" s="98">
        <f>SUM(BZ341:BZ345)</f>
        <v>0</v>
      </c>
      <c r="CA346" s="98">
        <f>SUM(CA341:CA345)</f>
        <v>1211666</v>
      </c>
      <c r="CS346" s="1"/>
      <c r="EB346" s="98">
        <f>SUM(EB341:EB345)</f>
        <v>0</v>
      </c>
      <c r="ED346" s="1"/>
      <c r="EF346" s="98">
        <f>SUM(EF341:EF345)</f>
        <v>365897</v>
      </c>
    </row>
    <row r="347" spans="2:144" ht="15.75">
      <c r="B347" s="95"/>
      <c r="C347" s="104"/>
      <c r="D347" s="99"/>
      <c r="E347" s="99"/>
      <c r="F347" s="99"/>
      <c r="G347" s="99"/>
      <c r="H347" s="99"/>
      <c r="I347" s="99"/>
      <c r="J347" s="99"/>
      <c r="K347" s="99"/>
      <c r="L347" s="99"/>
      <c r="M347" s="99"/>
      <c r="N347" s="99"/>
      <c r="O347" s="99"/>
      <c r="P347" s="99"/>
      <c r="Q347" s="99"/>
      <c r="R347" s="99"/>
      <c r="S347" s="99"/>
      <c r="T347" s="99"/>
      <c r="U347" s="99"/>
      <c r="V347" s="99"/>
      <c r="W347" s="99"/>
      <c r="X347" s="99"/>
      <c r="Y347" s="99"/>
      <c r="Z347" s="99"/>
      <c r="AA347" s="99"/>
      <c r="AB347" s="99"/>
      <c r="AC347" s="99"/>
      <c r="AD347" s="99"/>
      <c r="AE347" s="99"/>
      <c r="AF347" s="99"/>
      <c r="AG347" s="99"/>
      <c r="AH347" s="99"/>
      <c r="AI347" s="99"/>
      <c r="AJ347" s="99"/>
      <c r="AK347" s="99"/>
      <c r="AL347" s="99"/>
      <c r="AM347" s="99"/>
      <c r="AN347" s="99"/>
      <c r="AO347" s="99"/>
      <c r="AP347" s="99"/>
      <c r="AQ347" s="99"/>
      <c r="AR347" s="99"/>
      <c r="AS347" s="99"/>
      <c r="AT347" s="99"/>
      <c r="AU347" s="99"/>
      <c r="AV347" s="99"/>
      <c r="AW347" s="99"/>
      <c r="AX347" s="99"/>
      <c r="AY347" s="99"/>
      <c r="AZ347" s="99"/>
      <c r="BA347" s="99"/>
      <c r="BB347" s="99"/>
      <c r="BC347" s="99"/>
      <c r="BD347" s="99"/>
      <c r="BE347" s="1"/>
      <c r="BF347" s="99"/>
      <c r="BH347" s="99"/>
      <c r="BI347" s="99"/>
      <c r="BJ347" s="99"/>
      <c r="BK347" s="99"/>
      <c r="BL347" s="99"/>
      <c r="BM347" s="99"/>
      <c r="BN347" s="99"/>
      <c r="BO347" s="1"/>
      <c r="BP347" s="99"/>
      <c r="BQ347" s="99"/>
      <c r="BR347" s="99"/>
      <c r="BS347" s="99"/>
      <c r="BT347" s="99"/>
      <c r="BU347" s="99"/>
      <c r="BV347" s="99"/>
      <c r="BW347" s="99"/>
      <c r="BY347" s="99"/>
      <c r="CS347" s="1"/>
      <c r="ED347" s="1"/>
    </row>
    <row r="348" spans="2:144" ht="15.75">
      <c r="B348" s="95" t="s">
        <v>1392</v>
      </c>
      <c r="C348" s="105"/>
      <c r="D348" s="96"/>
      <c r="E348" s="96"/>
      <c r="F348" s="96"/>
      <c r="G348" s="96"/>
      <c r="H348" s="96"/>
      <c r="I348" s="96"/>
      <c r="J348" s="96"/>
      <c r="K348" s="96"/>
      <c r="L348" s="96"/>
      <c r="M348" s="96"/>
      <c r="N348" s="1"/>
      <c r="O348" s="1"/>
      <c r="P348" s="99"/>
      <c r="Q348" s="96"/>
      <c r="BE348" s="1"/>
      <c r="BO348" s="1"/>
      <c r="CS348" s="1"/>
      <c r="ED348" s="1"/>
    </row>
    <row r="349" spans="2:144" ht="18.75">
      <c r="B349" s="132" t="s">
        <v>1813</v>
      </c>
      <c r="C349" s="106" t="s">
        <v>1448</v>
      </c>
      <c r="D349" s="97"/>
      <c r="F349" s="97"/>
      <c r="G349" s="97"/>
      <c r="H349" s="96"/>
      <c r="I349" s="97"/>
      <c r="J349" s="97"/>
      <c r="K349" s="97"/>
      <c r="L349" s="97"/>
      <c r="M349" s="97"/>
      <c r="N349" s="97"/>
      <c r="O349" s="97"/>
      <c r="P349" s="99"/>
      <c r="Q349" s="97"/>
      <c r="R349" s="97"/>
      <c r="U349" s="97"/>
      <c r="V349" s="97"/>
      <c r="X349" s="97"/>
      <c r="Y349" s="97"/>
      <c r="Z349" s="97"/>
      <c r="AA349" s="97"/>
      <c r="AB349" s="97"/>
      <c r="AC349" s="97"/>
      <c r="AD349" s="97"/>
      <c r="AF349" s="97"/>
      <c r="AG349" s="97"/>
      <c r="AH349" s="97"/>
      <c r="AI349" s="97"/>
      <c r="AJ349" s="97"/>
      <c r="AK349" s="97"/>
      <c r="AL349" s="97"/>
      <c r="AM349" s="97"/>
      <c r="AN349" s="97"/>
      <c r="AO349" s="97"/>
      <c r="AR349" s="97"/>
      <c r="AS349" s="97"/>
      <c r="AT349" s="97"/>
      <c r="AX349" s="97"/>
      <c r="BA349" s="97"/>
      <c r="BC349" s="97"/>
      <c r="BE349" s="97"/>
      <c r="BF349" s="97"/>
      <c r="BG349" s="1"/>
      <c r="BJ349" s="97"/>
      <c r="BK349" s="97"/>
      <c r="BL349" s="97"/>
      <c r="BM349" s="97"/>
      <c r="BN349" s="97"/>
      <c r="BO349" s="97"/>
      <c r="BP349" s="97"/>
      <c r="BQ349" s="97"/>
      <c r="BR349" s="97"/>
      <c r="BX349" s="97"/>
      <c r="BY349" s="97"/>
      <c r="BZ349" s="1"/>
      <c r="CA349" s="97"/>
      <c r="CS349" s="1"/>
      <c r="EB349" s="116">
        <f>+I444</f>
        <v>0</v>
      </c>
      <c r="ED349" s="1"/>
    </row>
    <row r="350" spans="2:144" ht="18.75">
      <c r="B350" s="132" t="s">
        <v>1811</v>
      </c>
      <c r="C350" s="106"/>
      <c r="D350" s="97"/>
      <c r="F350" s="97"/>
      <c r="G350" s="97"/>
      <c r="H350" s="96"/>
      <c r="I350" s="97"/>
      <c r="J350" s="97"/>
      <c r="K350" s="97"/>
      <c r="L350" s="97"/>
      <c r="M350" s="97"/>
      <c r="N350" s="97"/>
      <c r="O350" s="97"/>
      <c r="P350" s="99"/>
      <c r="Q350" s="97"/>
      <c r="R350" s="97"/>
      <c r="S350" s="97"/>
      <c r="T350" s="97"/>
      <c r="U350" s="97"/>
      <c r="V350" s="97"/>
      <c r="W350" s="97"/>
      <c r="X350" s="97"/>
      <c r="Y350" s="97"/>
      <c r="Z350" s="97"/>
      <c r="AA350" s="97"/>
      <c r="AB350" s="97"/>
      <c r="AC350" s="97"/>
      <c r="AD350" s="97"/>
      <c r="AE350" s="97"/>
      <c r="AF350" s="97"/>
      <c r="AG350" s="97"/>
      <c r="AH350" s="97"/>
      <c r="AI350" s="97"/>
      <c r="AJ350" s="97"/>
      <c r="AK350" s="97"/>
      <c r="AL350" s="97"/>
      <c r="AM350" s="97"/>
      <c r="AN350" s="97"/>
      <c r="AO350" s="97"/>
      <c r="AR350" s="97"/>
      <c r="AS350" s="116">
        <f>+'Sys INPUT'!AS171+INPUT!AS331-AS346-AS376-AS382-AS384</f>
        <v>96879</v>
      </c>
      <c r="AT350" s="116">
        <f>+'Sys INPUT'!AT171+INPUT!AT331-AT346-AT376-AT382-AT384</f>
        <v>247580</v>
      </c>
      <c r="AX350" s="97"/>
      <c r="BA350" s="97"/>
      <c r="BC350" s="97"/>
      <c r="BE350" s="97"/>
      <c r="BF350" s="97">
        <f t="shared" ref="BF350:BF359" si="483">SUM(E350:BE350)</f>
        <v>344459</v>
      </c>
      <c r="BG350" s="1">
        <f t="shared" ref="BG350:BG359" si="484">+BF350-X350-P350-BB350-BC350</f>
        <v>344459</v>
      </c>
      <c r="BJ350" s="97"/>
      <c r="BK350" s="97"/>
      <c r="BL350" s="97"/>
      <c r="BM350" s="97"/>
      <c r="BN350" s="97"/>
      <c r="BO350" s="97"/>
      <c r="BP350" s="97">
        <f>SUM(BH350:BN350)</f>
        <v>0</v>
      </c>
      <c r="BQ350" s="97">
        <f>+BP350-BN350</f>
        <v>0</v>
      </c>
      <c r="BR350" s="97"/>
      <c r="BS350" s="116">
        <f>+'Sys INPUT'!BS171+INPUT!BS331-BS346-BS376-BS382-BS384</f>
        <v>0</v>
      </c>
      <c r="BT350" s="116">
        <f>+'Sys INPUT'!BT171+INPUT!BT331-BT346-BT376-BT382-BT384</f>
        <v>0</v>
      </c>
      <c r="BU350" s="116">
        <f>+'Sys INPUT'!BU171+INPUT!BU331-BU346-BU376-BU382-BU384</f>
        <v>0</v>
      </c>
      <c r="BV350" s="97"/>
      <c r="BW350" s="116">
        <f>+'Sys INPUT'!BW171+INPUT!BW331-BW346-BW376-BW382-BW384</f>
        <v>-111170</v>
      </c>
      <c r="BX350" s="97"/>
      <c r="BY350" s="97">
        <f>SUM(BR350:BX350)</f>
        <v>-111170</v>
      </c>
      <c r="BZ350" s="1">
        <f>+BY350-BR350</f>
        <v>-111170</v>
      </c>
      <c r="CA350" s="1">
        <f>+BG350+BQ350+BZ350+EF350</f>
        <v>233289</v>
      </c>
      <c r="CS350" s="1"/>
      <c r="EB350" s="116"/>
      <c r="ED350" s="1"/>
    </row>
    <row r="351" spans="2:144" ht="18.75">
      <c r="B351" s="132" t="s">
        <v>1812</v>
      </c>
      <c r="C351" s="106"/>
      <c r="D351" s="184">
        <v>110000</v>
      </c>
      <c r="F351" s="97"/>
      <c r="G351" s="97"/>
      <c r="H351" s="96"/>
      <c r="I351" s="97"/>
      <c r="J351" s="97"/>
      <c r="K351" s="97"/>
      <c r="L351" s="97"/>
      <c r="M351" s="97"/>
      <c r="N351" s="97"/>
      <c r="O351" s="97"/>
      <c r="P351" s="99"/>
      <c r="Q351" s="97"/>
      <c r="R351" s="97"/>
      <c r="S351" s="97">
        <f>+I451</f>
        <v>0</v>
      </c>
      <c r="T351" s="187"/>
      <c r="U351" s="97"/>
      <c r="V351" s="97"/>
      <c r="W351" s="184">
        <v>0</v>
      </c>
      <c r="X351" s="97"/>
      <c r="Y351" s="97"/>
      <c r="Z351" s="97"/>
      <c r="AA351" s="97"/>
      <c r="AB351" s="97"/>
      <c r="AC351" s="97"/>
      <c r="AD351" s="97"/>
      <c r="AF351" s="97"/>
      <c r="AG351" s="97"/>
      <c r="AH351" s="97"/>
      <c r="AI351" s="97"/>
      <c r="AJ351" s="97"/>
      <c r="AK351" s="97"/>
      <c r="AL351" s="97"/>
      <c r="AM351" s="97"/>
      <c r="AN351" s="97"/>
      <c r="AO351" s="97"/>
      <c r="AR351" s="97"/>
      <c r="AS351" s="97"/>
      <c r="AT351" s="97"/>
      <c r="AX351" s="97"/>
      <c r="AY351" s="116">
        <f>+'Sys INPUT'!AY171+INPUT!AY331-AY346-AY376-AY382-AY384</f>
        <v>0</v>
      </c>
      <c r="BA351" s="97"/>
      <c r="BB351" s="116">
        <f>+'Sys INPUT'!BB171+INPUT!BB331-BB346-BB376-BB382-BB384</f>
        <v>0</v>
      </c>
      <c r="BC351" s="97"/>
      <c r="BE351" s="97"/>
      <c r="BF351" s="97">
        <f t="shared" si="483"/>
        <v>0</v>
      </c>
      <c r="BG351" s="1">
        <f t="shared" si="484"/>
        <v>0</v>
      </c>
      <c r="BJ351" s="97"/>
      <c r="BK351" s="97"/>
      <c r="BL351" s="97"/>
      <c r="BM351" s="97"/>
      <c r="BN351" s="97"/>
      <c r="BO351" s="97"/>
      <c r="BP351" s="97">
        <f t="shared" ref="BP351:BP359" si="485">SUM(BH351:BN351)</f>
        <v>0</v>
      </c>
      <c r="BQ351" s="97">
        <f t="shared" ref="BQ351:BQ359" si="486">+BP351-BN351</f>
        <v>0</v>
      </c>
      <c r="BS351" s="97"/>
      <c r="BT351" s="97"/>
      <c r="BU351" s="97"/>
      <c r="BV351" s="97"/>
      <c r="BW351" s="97"/>
      <c r="BX351" s="97"/>
      <c r="BY351" s="97">
        <f t="shared" ref="BY351:BY359" si="487">SUM(BR351:BX351)</f>
        <v>0</v>
      </c>
      <c r="BZ351" s="1">
        <f t="shared" ref="BZ351:BZ359" si="488">+BY351-BR351</f>
        <v>0</v>
      </c>
      <c r="CA351" s="1">
        <f t="shared" ref="CA351:CA359" si="489">+BG351+BQ351+BZ351+EF351</f>
        <v>0</v>
      </c>
      <c r="CS351" s="1"/>
      <c r="EB351" s="97"/>
      <c r="ED351" s="1"/>
    </row>
    <row r="352" spans="2:144" ht="18.75">
      <c r="B352" s="132" t="s">
        <v>1808</v>
      </c>
      <c r="C352" s="106"/>
      <c r="D352" s="97"/>
      <c r="F352" s="97"/>
      <c r="G352" s="97"/>
      <c r="H352" s="96"/>
      <c r="I352" s="97"/>
      <c r="J352" s="97"/>
      <c r="K352" s="97"/>
      <c r="L352" s="97"/>
      <c r="M352" s="97"/>
      <c r="N352" s="97"/>
      <c r="O352" s="97"/>
      <c r="P352" s="99"/>
      <c r="Q352" s="97"/>
      <c r="R352" s="97"/>
      <c r="S352" s="97"/>
      <c r="T352" s="187" t="s">
        <v>1800</v>
      </c>
      <c r="U352" s="97"/>
      <c r="V352" s="97"/>
      <c r="W352" s="97"/>
      <c r="X352" s="97"/>
      <c r="Y352" s="97"/>
      <c r="Z352" s="97"/>
      <c r="AA352" s="97"/>
      <c r="AB352" s="97"/>
      <c r="AC352" s="97"/>
      <c r="AD352" s="97"/>
      <c r="AF352" s="97"/>
      <c r="AG352" s="97"/>
      <c r="AH352" s="97"/>
      <c r="AI352" s="97"/>
      <c r="AJ352" s="97"/>
      <c r="AK352" s="97"/>
      <c r="AL352" s="97"/>
      <c r="AM352" s="97"/>
      <c r="AN352" s="97"/>
      <c r="AO352" s="97"/>
      <c r="AP352" s="116">
        <f>+'Sys INPUT'!AP171+INPUT!AP331-AP346-AP376-AP382-AP384</f>
        <v>1675727</v>
      </c>
      <c r="AR352" s="97"/>
      <c r="AS352" s="97"/>
      <c r="AT352" s="97"/>
      <c r="AX352" s="97"/>
      <c r="AY352" s="97"/>
      <c r="BA352" s="97"/>
      <c r="BC352" s="97"/>
      <c r="BE352" s="97"/>
      <c r="BF352" s="97">
        <f t="shared" si="483"/>
        <v>1675727</v>
      </c>
      <c r="BG352" s="1">
        <f t="shared" si="484"/>
        <v>1675727</v>
      </c>
      <c r="BJ352" s="97"/>
      <c r="BK352" s="97"/>
      <c r="BL352" s="97"/>
      <c r="BM352" s="97"/>
      <c r="BN352" s="97"/>
      <c r="BO352" s="97"/>
      <c r="BP352" s="97">
        <f t="shared" si="485"/>
        <v>0</v>
      </c>
      <c r="BQ352" s="97">
        <f t="shared" si="486"/>
        <v>0</v>
      </c>
      <c r="BR352" s="97"/>
      <c r="BS352" s="97"/>
      <c r="BT352" s="97"/>
      <c r="BU352" s="97"/>
      <c r="BV352" s="97"/>
      <c r="BW352" s="97"/>
      <c r="BX352" s="97"/>
      <c r="BY352" s="97">
        <f t="shared" si="487"/>
        <v>0</v>
      </c>
      <c r="BZ352" s="1">
        <f t="shared" si="488"/>
        <v>0</v>
      </c>
      <c r="CA352" s="1">
        <f t="shared" si="489"/>
        <v>1675727</v>
      </c>
      <c r="CS352" s="1"/>
      <c r="EB352" s="97"/>
      <c r="ED352" s="1"/>
    </row>
    <row r="353" spans="2:134" ht="18.75">
      <c r="B353" s="132" t="s">
        <v>1809</v>
      </c>
      <c r="C353" s="106"/>
      <c r="D353" s="97"/>
      <c r="F353" s="97"/>
      <c r="G353" s="97"/>
      <c r="H353" s="96"/>
      <c r="I353" s="97"/>
      <c r="J353" s="97"/>
      <c r="K353" s="97"/>
      <c r="L353" s="97"/>
      <c r="M353" s="97"/>
      <c r="N353" s="97"/>
      <c r="O353" s="97"/>
      <c r="P353" s="99"/>
      <c r="Q353" s="97"/>
      <c r="R353" s="97"/>
      <c r="S353" s="97"/>
      <c r="T353" s="187"/>
      <c r="U353" s="97"/>
      <c r="V353" s="97"/>
      <c r="W353" s="97"/>
      <c r="X353" s="97"/>
      <c r="Y353" s="97"/>
      <c r="Z353" s="97"/>
      <c r="AA353" s="97"/>
      <c r="AB353" s="97"/>
      <c r="AC353" s="97"/>
      <c r="AD353" s="97"/>
      <c r="AF353" s="97"/>
      <c r="AG353" s="97"/>
      <c r="AH353" s="97"/>
      <c r="AI353" s="97"/>
      <c r="AJ353" s="97"/>
      <c r="AK353" s="97"/>
      <c r="AL353" s="97"/>
      <c r="AM353" s="97"/>
      <c r="AN353" s="97"/>
      <c r="AO353" s="97"/>
      <c r="AP353" s="116"/>
      <c r="AR353" s="97"/>
      <c r="AS353" s="97"/>
      <c r="AT353" s="97"/>
      <c r="AX353" s="97"/>
      <c r="AY353" s="97"/>
      <c r="BA353" s="97"/>
      <c r="BC353" s="97"/>
      <c r="BE353" s="97"/>
      <c r="BF353" s="97">
        <f t="shared" si="483"/>
        <v>0</v>
      </c>
      <c r="BG353" s="1">
        <f t="shared" si="484"/>
        <v>0</v>
      </c>
      <c r="BJ353" s="97"/>
      <c r="BK353" s="97"/>
      <c r="BL353" s="97"/>
      <c r="BM353" s="97"/>
      <c r="BN353" s="97"/>
      <c r="BO353" s="97"/>
      <c r="BP353" s="97">
        <f t="shared" si="485"/>
        <v>0</v>
      </c>
      <c r="BQ353" s="97">
        <f t="shared" si="486"/>
        <v>0</v>
      </c>
      <c r="BR353" s="97">
        <f>+I441+I465</f>
        <v>0</v>
      </c>
      <c r="BS353" s="97"/>
      <c r="BT353" s="97"/>
      <c r="BU353" s="97"/>
      <c r="BV353" s="116">
        <f>+'Sys INPUT'!BV171+INPUT!BV331-BV346-BV376-BV382-BV384</f>
        <v>0</v>
      </c>
      <c r="BW353" s="97"/>
      <c r="BX353" s="97"/>
      <c r="BY353" s="97">
        <f t="shared" si="487"/>
        <v>0</v>
      </c>
      <c r="BZ353" s="1">
        <f t="shared" si="488"/>
        <v>0</v>
      </c>
      <c r="CA353" s="1">
        <f>+BG353+BQ353+BZ353+EF353</f>
        <v>0</v>
      </c>
      <c r="CS353" s="1"/>
      <c r="EB353" s="97"/>
      <c r="ED353" s="1"/>
    </row>
    <row r="354" spans="2:134" ht="18.75">
      <c r="B354" s="114" t="s">
        <v>1513</v>
      </c>
      <c r="C354" s="106" t="s">
        <v>1448</v>
      </c>
      <c r="D354" s="97"/>
      <c r="F354" s="97"/>
      <c r="G354" s="97"/>
      <c r="H354" s="96"/>
      <c r="I354" s="97"/>
      <c r="J354" s="97"/>
      <c r="K354" s="97"/>
      <c r="L354" s="97"/>
      <c r="M354" s="97"/>
      <c r="N354" s="97"/>
      <c r="O354" s="97"/>
      <c r="P354" s="99"/>
      <c r="Q354" s="97"/>
      <c r="R354" s="97"/>
      <c r="S354" s="97"/>
      <c r="T354" s="184">
        <f>+I453</f>
        <v>0</v>
      </c>
      <c r="U354" s="97"/>
      <c r="V354" s="97"/>
      <c r="W354" s="97"/>
      <c r="X354" s="97"/>
      <c r="Y354" s="184">
        <v>0</v>
      </c>
      <c r="Z354" s="97"/>
      <c r="AA354" s="97"/>
      <c r="AB354" s="97"/>
      <c r="AC354" s="97"/>
      <c r="AD354" s="97"/>
      <c r="AI354" s="116">
        <f>+'Sys INPUT'!AI171+INPUT!AI331-AI346-AI376-AI382-AI384</f>
        <v>21826</v>
      </c>
      <c r="AJ354" s="116">
        <f>+'Sys INPUT'!AJ171+INPUT!AJ331-AJ346-AJ376-AJ382-AJ384</f>
        <v>62464</v>
      </c>
      <c r="AK354" s="97"/>
      <c r="AL354" s="97"/>
      <c r="AM354" s="97"/>
      <c r="AN354" s="97"/>
      <c r="AO354" s="97"/>
      <c r="AP354" s="97"/>
      <c r="AQ354" s="97"/>
      <c r="AR354" s="97"/>
      <c r="AS354" s="97"/>
      <c r="AT354" s="97"/>
      <c r="AU354" s="97"/>
      <c r="AV354" s="97"/>
      <c r="AW354" s="97"/>
      <c r="AX354" s="97"/>
      <c r="AY354" s="97"/>
      <c r="BA354" s="116">
        <f>+'Sys INPUT'!BA171+INPUT!BA331-BA346-BA376-BA382-BA384</f>
        <v>0</v>
      </c>
      <c r="BC354" s="97"/>
      <c r="BD354" s="97"/>
      <c r="BE354" s="97"/>
      <c r="BF354" s="97">
        <f t="shared" si="483"/>
        <v>84290</v>
      </c>
      <c r="BG354" s="1">
        <f t="shared" si="484"/>
        <v>84290</v>
      </c>
      <c r="BH354" s="97"/>
      <c r="BI354" s="97"/>
      <c r="BJ354" s="97"/>
      <c r="BK354" s="97"/>
      <c r="BL354" s="97"/>
      <c r="BM354" s="97"/>
      <c r="BN354" s="97"/>
      <c r="BO354" s="97"/>
      <c r="BP354" s="97">
        <f t="shared" si="485"/>
        <v>0</v>
      </c>
      <c r="BQ354" s="97">
        <f t="shared" si="486"/>
        <v>0</v>
      </c>
      <c r="BR354" s="166"/>
      <c r="BS354" s="97"/>
      <c r="BT354" s="97"/>
      <c r="BU354" s="97"/>
      <c r="BV354" s="97"/>
      <c r="BW354" s="97"/>
      <c r="BX354" s="97"/>
      <c r="BY354" s="97">
        <f t="shared" si="487"/>
        <v>0</v>
      </c>
      <c r="BZ354" s="1">
        <f t="shared" si="488"/>
        <v>0</v>
      </c>
      <c r="CA354" s="1">
        <f t="shared" si="489"/>
        <v>84290</v>
      </c>
      <c r="CS354" s="1"/>
      <c r="EB354" s="97"/>
      <c r="ED354" s="1"/>
    </row>
    <row r="355" spans="2:134" ht="18.75">
      <c r="B355" s="132" t="s">
        <v>1810</v>
      </c>
      <c r="C355" s="106"/>
      <c r="D355" s="97"/>
      <c r="F355" s="97"/>
      <c r="G355" s="97"/>
      <c r="H355" s="96"/>
      <c r="I355" s="97"/>
      <c r="J355" s="97"/>
      <c r="K355" s="97"/>
      <c r="L355" s="97"/>
      <c r="M355" s="97"/>
      <c r="N355" s="97"/>
      <c r="O355" s="97"/>
      <c r="P355" s="99"/>
      <c r="Q355" s="97"/>
      <c r="R355" s="97"/>
      <c r="S355" s="97"/>
      <c r="T355" s="97"/>
      <c r="U355" s="97"/>
      <c r="V355" s="97"/>
      <c r="W355" s="97"/>
      <c r="X355" s="97"/>
      <c r="Y355" s="184"/>
      <c r="Z355" s="97"/>
      <c r="AA355" s="97"/>
      <c r="AB355" s="97"/>
      <c r="AC355" s="97"/>
      <c r="AD355" s="97"/>
      <c r="AE355" s="116">
        <f>+'Sys INPUT'!AE171+INPUT!AE331-AE346-AE376-AE382-AE384</f>
        <v>82435</v>
      </c>
      <c r="AF355" s="97"/>
      <c r="AG355" s="116">
        <f>+'Sys INPUT'!AG171+INPUT!AG331-AG346-AG376-AG382-AG384</f>
        <v>422641</v>
      </c>
      <c r="AH355" s="116">
        <f>+'Sys INPUT'!AH171+INPUT!AH331-AH346-AH376-AH382-AH384</f>
        <v>253738</v>
      </c>
      <c r="AI355" s="116"/>
      <c r="AJ355" s="116"/>
      <c r="AK355" s="97"/>
      <c r="AL355" s="97"/>
      <c r="AM355" s="97"/>
      <c r="AN355" s="97"/>
      <c r="AO355" s="97"/>
      <c r="AP355" s="97"/>
      <c r="AQ355" s="97"/>
      <c r="AR355" s="97"/>
      <c r="AS355" s="97"/>
      <c r="AT355" s="97"/>
      <c r="AU355" s="97"/>
      <c r="AV355" s="97"/>
      <c r="AW355" s="97"/>
      <c r="AX355" s="97"/>
      <c r="AY355" s="97"/>
      <c r="BA355" s="97"/>
      <c r="BC355" s="97"/>
      <c r="BD355" s="97"/>
      <c r="BE355" s="97"/>
      <c r="BF355" s="97">
        <f t="shared" si="483"/>
        <v>758814</v>
      </c>
      <c r="BG355" s="1">
        <f t="shared" si="484"/>
        <v>758814</v>
      </c>
      <c r="BH355" s="97"/>
      <c r="BI355" s="97"/>
      <c r="BJ355" s="97"/>
      <c r="BK355" s="97"/>
      <c r="BL355" s="97"/>
      <c r="BM355" s="97"/>
      <c r="BN355" s="97"/>
      <c r="BO355" s="97"/>
      <c r="BP355" s="97">
        <f t="shared" si="485"/>
        <v>0</v>
      </c>
      <c r="BQ355" s="97">
        <f t="shared" si="486"/>
        <v>0</v>
      </c>
      <c r="BR355" s="166"/>
      <c r="BS355" s="97"/>
      <c r="BT355" s="97"/>
      <c r="BU355" s="97"/>
      <c r="BV355" s="97"/>
      <c r="BW355" s="97"/>
      <c r="BX355" s="97"/>
      <c r="BY355" s="97">
        <f t="shared" si="487"/>
        <v>0</v>
      </c>
      <c r="BZ355" s="1">
        <f t="shared" si="488"/>
        <v>0</v>
      </c>
      <c r="CA355" s="1">
        <f t="shared" si="489"/>
        <v>758814</v>
      </c>
      <c r="CS355" s="1"/>
      <c r="EB355" s="97"/>
      <c r="ED355" s="1"/>
    </row>
    <row r="356" spans="2:134" ht="18.75">
      <c r="B356" s="114" t="s">
        <v>1514</v>
      </c>
      <c r="C356" s="106" t="s">
        <v>1517</v>
      </c>
      <c r="D356" s="97"/>
      <c r="F356" s="97"/>
      <c r="G356" s="97"/>
      <c r="H356" s="96"/>
      <c r="I356" s="97"/>
      <c r="J356" s="97"/>
      <c r="K356" s="97"/>
      <c r="L356" s="97"/>
      <c r="M356" s="97"/>
      <c r="N356" s="97"/>
      <c r="O356" s="97"/>
      <c r="P356" s="99"/>
      <c r="Q356" s="97"/>
      <c r="R356" s="97"/>
      <c r="S356" s="97"/>
      <c r="T356" s="97"/>
      <c r="U356" s="97"/>
      <c r="V356" s="97"/>
      <c r="W356" s="97"/>
      <c r="X356" s="97"/>
      <c r="Y356" s="97"/>
      <c r="Z356" s="97"/>
      <c r="AA356" s="97"/>
      <c r="AB356" s="97"/>
      <c r="AC356" s="97"/>
      <c r="AD356" s="97"/>
      <c r="AE356" s="97"/>
      <c r="AF356" s="97"/>
      <c r="AG356" s="97"/>
      <c r="AH356" s="97"/>
      <c r="AI356" s="97"/>
      <c r="AJ356" s="97"/>
      <c r="AK356" s="97"/>
      <c r="AL356" s="97"/>
      <c r="AM356" s="97"/>
      <c r="AN356" s="97"/>
      <c r="AO356" s="97"/>
      <c r="AP356" s="97"/>
      <c r="AQ356" s="116">
        <f>+'Sys INPUT'!AQ171+INPUT!AQ331-AQ346-AQ376-AQ382-AQ384</f>
        <v>872198</v>
      </c>
      <c r="AR356" s="97"/>
      <c r="AU356" s="116">
        <f>+'Sys INPUT'!AU171+INPUT!AU331-AU346-AU376-AU382-AU384</f>
        <v>0</v>
      </c>
      <c r="AV356" s="116">
        <f>+'Sys INPUT'!AV171+INPUT!AV331-AV346-AV376-AV382-AV384</f>
        <v>0</v>
      </c>
      <c r="AW356" s="116"/>
      <c r="AX356" s="116">
        <f>+'Sys INPUT'!AX171+INPUT!AX331-AX346-AX376-AX382-AX384</f>
        <v>0</v>
      </c>
      <c r="AZ356" s="116">
        <f>+'Sys INPUT'!AZ171+INPUT!AZ331-AZ346-AZ376-AZ382-AZ384</f>
        <v>17572</v>
      </c>
      <c r="BC356" s="184">
        <f>+I460</f>
        <v>0</v>
      </c>
      <c r="BD356" s="97"/>
      <c r="BE356" s="97"/>
      <c r="BF356" s="97">
        <f t="shared" si="483"/>
        <v>889770</v>
      </c>
      <c r="BG356" s="1">
        <f t="shared" si="484"/>
        <v>889770</v>
      </c>
      <c r="BH356" s="97"/>
      <c r="BI356" s="97"/>
      <c r="BJ356" s="97"/>
      <c r="BK356" s="97"/>
      <c r="BL356" s="97"/>
      <c r="BM356" s="97"/>
      <c r="BN356" s="97"/>
      <c r="BO356" s="97"/>
      <c r="BP356" s="97">
        <f t="shared" si="485"/>
        <v>0</v>
      </c>
      <c r="BQ356" s="97">
        <f t="shared" si="486"/>
        <v>0</v>
      </c>
      <c r="BR356" s="97">
        <f>+I466</f>
        <v>0</v>
      </c>
      <c r="BS356" s="97"/>
      <c r="BT356" s="97"/>
      <c r="BU356" s="97"/>
      <c r="BV356" s="97"/>
      <c r="BW356" s="97"/>
      <c r="BX356" s="97"/>
      <c r="BY356" s="97">
        <f t="shared" si="487"/>
        <v>0</v>
      </c>
      <c r="BZ356" s="1">
        <f t="shared" si="488"/>
        <v>0</v>
      </c>
      <c r="CA356" s="1">
        <f t="shared" si="489"/>
        <v>889770</v>
      </c>
      <c r="CS356" s="1"/>
      <c r="EB356" s="97"/>
      <c r="ED356" s="1"/>
    </row>
    <row r="357" spans="2:134" ht="18.75">
      <c r="B357" s="114" t="s">
        <v>1515</v>
      </c>
      <c r="C357" s="106" t="s">
        <v>1448</v>
      </c>
      <c r="D357" s="97"/>
      <c r="E357" s="116">
        <f>+'Sys INPUT'!E171+INPUT!E331-E346-E376-E382-E384</f>
        <v>0</v>
      </c>
      <c r="F357" s="187"/>
      <c r="G357" s="166"/>
      <c r="H357" s="96"/>
      <c r="I357" s="97"/>
      <c r="J357" s="97"/>
      <c r="K357" s="97"/>
      <c r="L357" s="97"/>
      <c r="M357" s="97"/>
      <c r="N357" s="97"/>
      <c r="O357" s="97"/>
      <c r="P357" s="99"/>
      <c r="Q357" s="97"/>
      <c r="R357" s="97"/>
      <c r="S357" s="97"/>
      <c r="T357" s="97"/>
      <c r="U357" s="97"/>
      <c r="V357" s="97"/>
      <c r="W357" s="97"/>
      <c r="X357" s="97"/>
      <c r="Y357" s="97"/>
      <c r="Z357" s="97"/>
      <c r="AA357" s="97"/>
      <c r="AB357" s="97"/>
      <c r="AC357" s="97"/>
      <c r="AD357" s="97"/>
      <c r="AF357" s="97"/>
      <c r="AG357" s="97"/>
      <c r="AH357" s="97"/>
      <c r="AI357" s="97"/>
      <c r="AJ357" s="97"/>
      <c r="AK357" s="97"/>
      <c r="AL357" s="97"/>
      <c r="AM357" s="97"/>
      <c r="AN357" s="97"/>
      <c r="AO357" s="97"/>
      <c r="AP357" s="97"/>
      <c r="AQ357" s="97"/>
      <c r="AR357" s="116">
        <f>+'Sys INPUT'!AR171+INPUT!AR331-AR346-AR376-AR382-AR384</f>
        <v>104504</v>
      </c>
      <c r="AU357" s="97"/>
      <c r="AV357" s="97"/>
      <c r="AW357" s="97"/>
      <c r="AX357" s="97"/>
      <c r="AY357" s="97"/>
      <c r="BA357" s="97"/>
      <c r="BB357" s="97"/>
      <c r="BC357" s="97"/>
      <c r="BD357" s="97"/>
      <c r="BE357" s="97"/>
      <c r="BF357" s="97">
        <f t="shared" si="483"/>
        <v>104504</v>
      </c>
      <c r="BG357" s="1">
        <f t="shared" si="484"/>
        <v>104504</v>
      </c>
      <c r="BH357" s="97"/>
      <c r="BI357" s="97"/>
      <c r="BJ357" s="97"/>
      <c r="BK357" s="97"/>
      <c r="BL357" s="97"/>
      <c r="BM357" s="97"/>
      <c r="BN357" s="97"/>
      <c r="BO357" s="97"/>
      <c r="BP357" s="97">
        <f t="shared" si="485"/>
        <v>0</v>
      </c>
      <c r="BQ357" s="97">
        <f t="shared" si="486"/>
        <v>0</v>
      </c>
      <c r="BR357" s="97"/>
      <c r="BS357" s="97"/>
      <c r="BT357" s="97"/>
      <c r="BU357" s="97"/>
      <c r="BV357" s="97"/>
      <c r="BW357" s="97"/>
      <c r="BX357" s="97"/>
      <c r="BY357" s="97">
        <f t="shared" si="487"/>
        <v>0</v>
      </c>
      <c r="BZ357" s="1">
        <f t="shared" si="488"/>
        <v>0</v>
      </c>
      <c r="CA357" s="1">
        <f t="shared" si="489"/>
        <v>104504</v>
      </c>
      <c r="CS357" s="1"/>
      <c r="EB357" s="116">
        <f>+'Sys INPUT'!EC171+INPUT!EB331-EB346-EB349-EB376-EB382-EB384</f>
        <v>0</v>
      </c>
      <c r="ED357" s="1"/>
    </row>
    <row r="358" spans="2:134" ht="18.75">
      <c r="B358" s="132" t="s">
        <v>1719</v>
      </c>
      <c r="C358" s="106"/>
      <c r="D358" s="97"/>
      <c r="E358" s="97"/>
      <c r="F358" s="97"/>
      <c r="G358" s="166"/>
      <c r="H358" s="96"/>
      <c r="I358" s="97"/>
      <c r="J358" s="97"/>
      <c r="K358" s="97"/>
      <c r="L358" s="97"/>
      <c r="M358" s="97"/>
      <c r="N358" s="97"/>
      <c r="O358" s="97"/>
      <c r="P358" s="99"/>
      <c r="Q358" s="97"/>
      <c r="R358" s="97"/>
      <c r="S358" s="97"/>
      <c r="T358" s="97"/>
      <c r="U358" s="97"/>
      <c r="V358" s="97"/>
      <c r="W358" s="97"/>
      <c r="X358" s="97"/>
      <c r="Y358" s="97"/>
      <c r="Z358" s="97"/>
      <c r="AA358" s="97"/>
      <c r="AB358" s="97"/>
      <c r="AC358" s="97"/>
      <c r="AD358" s="97"/>
      <c r="AF358" s="97"/>
      <c r="AG358" s="97"/>
      <c r="AH358" s="97"/>
      <c r="AI358" s="97"/>
      <c r="AJ358" s="97"/>
      <c r="AK358" s="97"/>
      <c r="AL358" s="97"/>
      <c r="AM358" s="97"/>
      <c r="AN358" s="97"/>
      <c r="AO358" s="97"/>
      <c r="AQ358" s="97"/>
      <c r="AR358" s="116"/>
      <c r="AU358" s="97"/>
      <c r="AV358" s="97"/>
      <c r="AW358" s="97"/>
      <c r="AX358" s="97"/>
      <c r="AY358" s="97"/>
      <c r="BA358" s="97"/>
      <c r="BB358" s="97"/>
      <c r="BC358" s="97"/>
      <c r="BD358" s="97"/>
      <c r="BE358" s="97"/>
      <c r="BF358" s="97">
        <f t="shared" si="483"/>
        <v>0</v>
      </c>
      <c r="BG358" s="1">
        <f t="shared" si="484"/>
        <v>0</v>
      </c>
      <c r="BH358" s="97"/>
      <c r="BI358" s="97"/>
      <c r="BJ358" s="97"/>
      <c r="BK358" s="97"/>
      <c r="BL358" s="97"/>
      <c r="BM358" s="97"/>
      <c r="BN358" s="97"/>
      <c r="BO358" s="97"/>
      <c r="BP358" s="97">
        <f t="shared" si="485"/>
        <v>0</v>
      </c>
      <c r="BQ358" s="97">
        <f t="shared" si="486"/>
        <v>0</v>
      </c>
      <c r="BR358" s="97"/>
      <c r="BS358" s="97"/>
      <c r="BT358" s="97"/>
      <c r="BU358" s="97"/>
      <c r="BV358" s="97"/>
      <c r="BW358" s="97"/>
      <c r="BX358" s="97"/>
      <c r="BY358" s="97">
        <f t="shared" si="487"/>
        <v>0</v>
      </c>
      <c r="BZ358" s="1">
        <f t="shared" si="488"/>
        <v>0</v>
      </c>
      <c r="CA358" s="1">
        <f t="shared" si="489"/>
        <v>0</v>
      </c>
      <c r="CS358" s="1"/>
      <c r="EB358" s="97"/>
      <c r="ED358" s="1"/>
    </row>
    <row r="359" spans="2:134" ht="18.75">
      <c r="B359" s="114" t="s">
        <v>720</v>
      </c>
      <c r="C359" s="106" t="s">
        <v>1449</v>
      </c>
      <c r="D359" s="97"/>
      <c r="E359" s="97"/>
      <c r="F359" s="97"/>
      <c r="G359" s="97"/>
      <c r="H359" s="96"/>
      <c r="I359" s="97"/>
      <c r="J359" s="97"/>
      <c r="K359" s="97"/>
      <c r="L359" s="97"/>
      <c r="M359" s="97"/>
      <c r="N359" s="97"/>
      <c r="O359" s="97"/>
      <c r="P359" s="99"/>
      <c r="Q359" s="97"/>
      <c r="R359" s="97"/>
      <c r="S359" s="97"/>
      <c r="T359" s="97"/>
      <c r="U359" s="97"/>
      <c r="V359" s="97"/>
      <c r="W359" s="97"/>
      <c r="X359" s="97"/>
      <c r="Y359" s="97"/>
      <c r="Z359" s="97"/>
      <c r="AA359" s="97"/>
      <c r="AB359" s="97"/>
      <c r="AC359" s="97"/>
      <c r="AD359" s="97"/>
      <c r="AE359" s="97"/>
      <c r="AF359" s="97"/>
      <c r="AG359" s="97"/>
      <c r="AH359" s="97"/>
      <c r="AI359" s="97"/>
      <c r="AJ359" s="97"/>
      <c r="AK359" s="97"/>
      <c r="AL359" s="97"/>
      <c r="AM359" s="97"/>
      <c r="AN359" s="97"/>
      <c r="AO359" s="97"/>
      <c r="AP359" s="97"/>
      <c r="AQ359" s="97"/>
      <c r="AR359" s="97"/>
      <c r="AS359" s="97"/>
      <c r="AT359" s="97"/>
      <c r="AU359" s="97"/>
      <c r="AV359" s="97"/>
      <c r="AW359" s="97"/>
      <c r="AX359" s="97"/>
      <c r="AY359" s="97"/>
      <c r="AZ359" s="97"/>
      <c r="BA359" s="97"/>
      <c r="BB359" s="97"/>
      <c r="BC359" s="97"/>
      <c r="BD359" s="97"/>
      <c r="BE359" s="97"/>
      <c r="BF359" s="97">
        <f t="shared" si="483"/>
        <v>0</v>
      </c>
      <c r="BG359" s="1">
        <f t="shared" si="484"/>
        <v>0</v>
      </c>
      <c r="BH359" s="116">
        <f>+'Sys INPUT'!BH171+INPUT!BH331-BH346-BH376-BH382-BH384</f>
        <v>0</v>
      </c>
      <c r="BI359" s="116">
        <f>+'Sys INPUT'!BI171+INPUT!BI331-BI346-BI376-BI382-BI384</f>
        <v>41294</v>
      </c>
      <c r="BJ359" s="116">
        <f>+'Sys INPUT'!BJ171+INPUT!BJ331-BJ346-BJ376-BJ382-BJ384</f>
        <v>0</v>
      </c>
      <c r="BK359" s="116">
        <f>+'Sys INPUT'!BK171+INPUT!BK331-BK346-BK376-BK382-BK384</f>
        <v>387148</v>
      </c>
      <c r="BL359" s="116">
        <f>+'Sys INPUT'!BL171+INPUT!BL331-BL346-BL376-BL382-BL384</f>
        <v>55606</v>
      </c>
      <c r="BM359" s="116">
        <f>+'Sys INPUT'!BM171+INPUT!BM331-BM346-BM376-BM382-BM384</f>
        <v>19430</v>
      </c>
      <c r="BN359" s="116">
        <f>+'Sys INPUT'!BN171+INPUT!BN331-BN346-BN376-BN382-BN384</f>
        <v>121101</v>
      </c>
      <c r="BO359" s="97"/>
      <c r="BP359" s="97">
        <f t="shared" si="485"/>
        <v>624579</v>
      </c>
      <c r="BQ359" s="97">
        <f t="shared" si="486"/>
        <v>503478</v>
      </c>
      <c r="BR359" s="97"/>
      <c r="BX359" s="97"/>
      <c r="BY359" s="97">
        <f t="shared" si="487"/>
        <v>0</v>
      </c>
      <c r="BZ359" s="1">
        <f t="shared" si="488"/>
        <v>0</v>
      </c>
      <c r="CA359" s="1">
        <f t="shared" si="489"/>
        <v>503478</v>
      </c>
      <c r="CS359" s="1"/>
      <c r="EB359" s="97"/>
      <c r="ED359" s="1"/>
    </row>
    <row r="360" spans="2:134" ht="18.75">
      <c r="B360" s="96"/>
      <c r="C360" s="106"/>
      <c r="D360" s="97"/>
      <c r="E360" s="97"/>
      <c r="F360" s="97"/>
      <c r="G360" s="97"/>
      <c r="H360" s="97"/>
      <c r="I360" s="97"/>
      <c r="J360" s="97"/>
      <c r="K360" s="97"/>
      <c r="L360" s="97"/>
      <c r="M360" s="97"/>
      <c r="N360" s="97"/>
      <c r="O360" s="97"/>
      <c r="P360" s="99"/>
      <c r="Q360" s="97"/>
      <c r="R360" s="97"/>
      <c r="S360" s="97"/>
      <c r="T360" s="97"/>
      <c r="U360" s="97"/>
      <c r="V360" s="97"/>
      <c r="W360" s="97"/>
      <c r="X360" s="97"/>
      <c r="Y360" s="97"/>
      <c r="Z360" s="97"/>
      <c r="AA360" s="97"/>
      <c r="AB360" s="97"/>
      <c r="AC360" s="97"/>
      <c r="AD360" s="97"/>
      <c r="AE360" s="97"/>
      <c r="AF360" s="97"/>
      <c r="AG360" s="97"/>
      <c r="AH360" s="97"/>
      <c r="AI360" s="97"/>
      <c r="AJ360" s="97"/>
      <c r="AK360" s="97"/>
      <c r="AL360" s="97"/>
      <c r="AM360" s="97"/>
      <c r="AN360" s="97"/>
      <c r="AO360" s="97"/>
      <c r="AP360" s="97"/>
      <c r="AQ360" s="97"/>
      <c r="AR360" s="97"/>
      <c r="AS360" s="97"/>
      <c r="AT360" s="97"/>
      <c r="AU360" s="97"/>
      <c r="AV360" s="97"/>
      <c r="AW360" s="97"/>
      <c r="AX360" s="97"/>
      <c r="AY360" s="97"/>
      <c r="AZ360" s="97"/>
      <c r="BA360" s="97"/>
      <c r="BB360" s="97"/>
      <c r="BC360" s="97"/>
      <c r="BD360" s="97"/>
      <c r="BE360" s="97"/>
      <c r="BF360" s="97"/>
      <c r="BG360" s="97"/>
      <c r="BH360" s="97"/>
      <c r="BI360" s="97"/>
      <c r="BJ360" s="97"/>
      <c r="BK360" s="97"/>
      <c r="BL360" s="97"/>
      <c r="BM360" s="97"/>
      <c r="BN360" s="97"/>
      <c r="BO360" s="97"/>
      <c r="BP360" s="97"/>
      <c r="BQ360" s="97"/>
      <c r="BR360" s="97"/>
      <c r="BS360" s="97"/>
      <c r="BT360" s="97"/>
      <c r="BU360" s="97"/>
      <c r="BV360" s="97"/>
      <c r="BW360" s="97"/>
      <c r="BX360" s="97"/>
      <c r="BY360" s="97"/>
      <c r="BZ360" s="97"/>
      <c r="CA360" s="97"/>
      <c r="CS360" s="1"/>
      <c r="EB360" s="97"/>
      <c r="ED360" s="1"/>
    </row>
    <row r="361" spans="2:134" ht="15.75">
      <c r="B361" s="95" t="s">
        <v>1404</v>
      </c>
      <c r="C361" s="104"/>
      <c r="D361" s="98">
        <f t="shared" ref="D361:BD361" si="490">SUM(D349:D360)</f>
        <v>110000</v>
      </c>
      <c r="E361" s="98">
        <f t="shared" si="490"/>
        <v>0</v>
      </c>
      <c r="F361" s="98">
        <f t="shared" si="490"/>
        <v>0</v>
      </c>
      <c r="G361" s="98">
        <f t="shared" si="490"/>
        <v>0</v>
      </c>
      <c r="H361" s="98">
        <f t="shared" si="490"/>
        <v>0</v>
      </c>
      <c r="I361" s="98">
        <f t="shared" si="490"/>
        <v>0</v>
      </c>
      <c r="J361" s="98">
        <f t="shared" si="490"/>
        <v>0</v>
      </c>
      <c r="K361" s="98">
        <f t="shared" si="490"/>
        <v>0</v>
      </c>
      <c r="L361" s="98">
        <f>SUM(L349:L360)</f>
        <v>0</v>
      </c>
      <c r="M361" s="98">
        <f t="shared" si="490"/>
        <v>0</v>
      </c>
      <c r="N361" s="98">
        <f>SUM(N349:N360)</f>
        <v>0</v>
      </c>
      <c r="O361" s="98">
        <f t="shared" si="490"/>
        <v>0</v>
      </c>
      <c r="P361" s="98">
        <f t="shared" si="490"/>
        <v>0</v>
      </c>
      <c r="Q361" s="98">
        <f t="shared" si="490"/>
        <v>0</v>
      </c>
      <c r="R361" s="98">
        <f t="shared" si="490"/>
        <v>0</v>
      </c>
      <c r="S361" s="98">
        <f>SUM(S350:S360)</f>
        <v>0</v>
      </c>
      <c r="T361" s="98">
        <f>SUM(T350:T360)</f>
        <v>0</v>
      </c>
      <c r="U361" s="98">
        <f t="shared" si="490"/>
        <v>0</v>
      </c>
      <c r="V361" s="98">
        <f t="shared" si="490"/>
        <v>0</v>
      </c>
      <c r="W361" s="98">
        <f>SUM(W350:W360)</f>
        <v>0</v>
      </c>
      <c r="X361" s="98">
        <f t="shared" si="490"/>
        <v>0</v>
      </c>
      <c r="Y361" s="98">
        <f t="shared" si="490"/>
        <v>0</v>
      </c>
      <c r="Z361" s="98">
        <f t="shared" si="490"/>
        <v>0</v>
      </c>
      <c r="AA361" s="98">
        <f t="shared" si="490"/>
        <v>0</v>
      </c>
      <c r="AB361" s="98">
        <f>SUM(AB349:AB360)</f>
        <v>0</v>
      </c>
      <c r="AC361" s="98">
        <f t="shared" si="490"/>
        <v>0</v>
      </c>
      <c r="AD361" s="98">
        <f t="shared" si="490"/>
        <v>0</v>
      </c>
      <c r="AE361" s="98">
        <f t="shared" si="490"/>
        <v>82435</v>
      </c>
      <c r="AF361" s="98">
        <f t="shared" si="490"/>
        <v>0</v>
      </c>
      <c r="AG361" s="98">
        <f t="shared" si="490"/>
        <v>422641</v>
      </c>
      <c r="AH361" s="98">
        <f t="shared" si="490"/>
        <v>253738</v>
      </c>
      <c r="AI361" s="98">
        <f t="shared" si="490"/>
        <v>21826</v>
      </c>
      <c r="AJ361" s="98">
        <f t="shared" si="490"/>
        <v>62464</v>
      </c>
      <c r="AK361" s="98">
        <f t="shared" ref="AK361:AP361" si="491">SUM(AK349:AK360)</f>
        <v>0</v>
      </c>
      <c r="AL361" s="98">
        <f t="shared" si="491"/>
        <v>0</v>
      </c>
      <c r="AM361" s="98">
        <f t="shared" si="491"/>
        <v>0</v>
      </c>
      <c r="AN361" s="98">
        <f t="shared" si="491"/>
        <v>0</v>
      </c>
      <c r="AO361" s="98">
        <f t="shared" si="491"/>
        <v>0</v>
      </c>
      <c r="AP361" s="98">
        <f t="shared" si="491"/>
        <v>1675727</v>
      </c>
      <c r="AQ361" s="98">
        <f>SUM(AQ354:AQ360)</f>
        <v>872198</v>
      </c>
      <c r="AR361" s="98">
        <f t="shared" si="490"/>
        <v>104504</v>
      </c>
      <c r="AS361" s="98">
        <f t="shared" si="490"/>
        <v>96879</v>
      </c>
      <c r="AT361" s="98">
        <f>SUM(AT349:AT360)</f>
        <v>247580</v>
      </c>
      <c r="AU361" s="98">
        <f t="shared" si="490"/>
        <v>0</v>
      </c>
      <c r="AV361" s="98">
        <f t="shared" si="490"/>
        <v>0</v>
      </c>
      <c r="AW361" s="98"/>
      <c r="AX361" s="98">
        <f t="shared" si="490"/>
        <v>0</v>
      </c>
      <c r="AY361" s="98">
        <f>SUM(AY350:AY360)</f>
        <v>0</v>
      </c>
      <c r="AZ361" s="98">
        <f t="shared" si="490"/>
        <v>17572</v>
      </c>
      <c r="BA361" s="98">
        <f t="shared" si="490"/>
        <v>0</v>
      </c>
      <c r="BB361" s="98">
        <f>SUM(BB351:BB360)</f>
        <v>0</v>
      </c>
      <c r="BC361" s="98">
        <f t="shared" si="490"/>
        <v>0</v>
      </c>
      <c r="BD361" s="98">
        <f t="shared" si="490"/>
        <v>0</v>
      </c>
      <c r="BE361" s="1"/>
      <c r="BF361" s="98">
        <f>SUM(BF349:BF360)</f>
        <v>3857564</v>
      </c>
      <c r="BG361" s="98">
        <f>SUM(BG349:BG360)</f>
        <v>3857564</v>
      </c>
      <c r="BH361" s="98">
        <f>SUM(BH354:BH360)</f>
        <v>0</v>
      </c>
      <c r="BI361" s="98">
        <f>SUM(BI354:BI360)</f>
        <v>41294</v>
      </c>
      <c r="BJ361" s="98">
        <f>SUM(BJ349:BJ360)</f>
        <v>0</v>
      </c>
      <c r="BK361" s="98">
        <f>SUM(BK349:BK360)</f>
        <v>387148</v>
      </c>
      <c r="BL361" s="98">
        <f>SUM(BL349:BL360)</f>
        <v>55606</v>
      </c>
      <c r="BM361" s="98">
        <f>SUM(BM349:BM360)</f>
        <v>19430</v>
      </c>
      <c r="BN361" s="98">
        <f>SUM(BN349:BN360)</f>
        <v>121101</v>
      </c>
      <c r="BO361" s="1"/>
      <c r="BP361" s="98">
        <f>SUM(BP349:BP360)</f>
        <v>624579</v>
      </c>
      <c r="BQ361" s="98">
        <f>SUM(BQ349:BQ360)</f>
        <v>503478</v>
      </c>
      <c r="BR361" s="98">
        <f>SUM(BR349:BR360)</f>
        <v>0</v>
      </c>
      <c r="BS361" s="98">
        <f>SUM(BS350:BS360)</f>
        <v>0</v>
      </c>
      <c r="BT361" s="98">
        <f>SUM(BT350:BT360)</f>
        <v>0</v>
      </c>
      <c r="BU361" s="98">
        <f>SUM(BU350:BU360)</f>
        <v>0</v>
      </c>
      <c r="BV361" s="98">
        <f>SUM(BV351:BV360)</f>
        <v>0</v>
      </c>
      <c r="BW361" s="98">
        <f>SUM(BW350:BW360)</f>
        <v>-111170</v>
      </c>
      <c r="BX361" s="97"/>
      <c r="BY361" s="98">
        <f>SUM(BY349:BY360)</f>
        <v>-111170</v>
      </c>
      <c r="BZ361" s="98">
        <f>SUM(BZ349:BZ360)</f>
        <v>-111170</v>
      </c>
      <c r="CA361" s="98">
        <f>SUM(CA349:CA360)</f>
        <v>4249872</v>
      </c>
      <c r="CS361" s="1"/>
      <c r="EB361" s="98">
        <f>SUM(EB349:EB360)</f>
        <v>0</v>
      </c>
      <c r="ED361" s="1"/>
    </row>
    <row r="362" spans="2:134" ht="15.75">
      <c r="B362" s="95"/>
      <c r="C362" s="104"/>
      <c r="D362" s="99"/>
      <c r="E362" s="99"/>
      <c r="F362" s="99"/>
      <c r="G362" s="99"/>
      <c r="H362" s="99"/>
      <c r="I362" s="99"/>
      <c r="J362" s="99"/>
      <c r="K362" s="99"/>
      <c r="L362" s="99"/>
      <c r="M362" s="99"/>
      <c r="N362" s="1"/>
      <c r="O362" s="1"/>
      <c r="P362" s="99"/>
      <c r="Q362" s="99"/>
      <c r="BX362" s="97"/>
      <c r="CS362" s="1"/>
      <c r="ED362" s="1"/>
    </row>
    <row r="363" spans="2:134" ht="15.75">
      <c r="B363" s="95" t="s">
        <v>1393</v>
      </c>
      <c r="C363" s="105"/>
      <c r="D363" s="96"/>
      <c r="E363" s="96"/>
      <c r="F363" s="96"/>
      <c r="G363" s="96"/>
      <c r="H363" s="96"/>
      <c r="I363" s="96"/>
      <c r="J363" s="96"/>
      <c r="K363" s="96"/>
      <c r="L363" s="96"/>
      <c r="M363" s="96"/>
      <c r="N363" s="1"/>
      <c r="O363" s="1"/>
      <c r="P363" s="99"/>
      <c r="Q363" s="96"/>
      <c r="BX363" s="97"/>
      <c r="CS363" s="1"/>
      <c r="ED363" s="1"/>
    </row>
    <row r="364" spans="2:134" ht="18.75">
      <c r="B364" s="114" t="s">
        <v>1470</v>
      </c>
      <c r="C364" s="106" t="s">
        <v>1423</v>
      </c>
      <c r="D364" s="97"/>
      <c r="E364" s="97"/>
      <c r="P364" s="99"/>
      <c r="Q364" s="116">
        <f>+'Sys INPUT'!Q171+INPUT!Q331-Q346-Q361-Q382-Q384</f>
        <v>185629</v>
      </c>
      <c r="R364" s="97"/>
      <c r="S364" s="116">
        <f>+'Sys INPUT'!S171+INPUT!S331-S346-S361-S382-S384</f>
        <v>1022934</v>
      </c>
      <c r="T364" s="97"/>
      <c r="U364" s="97"/>
      <c r="V364" s="97"/>
      <c r="X364" s="97"/>
      <c r="Y364" s="97"/>
      <c r="Z364" s="97"/>
      <c r="AA364" s="116">
        <f>+'Sys INPUT'!AA171+INPUT!AA331-AA346-AA361-AA382-AA384</f>
        <v>100039</v>
      </c>
      <c r="AB364" s="116">
        <f>+'Sys INPUT'!AB171+INPUT!AB331-AB346-AB361-AB382-AB384</f>
        <v>1631376</v>
      </c>
      <c r="AC364" s="97"/>
      <c r="AD364" s="97"/>
      <c r="AE364" s="97"/>
      <c r="AF364" s="97"/>
      <c r="AG364" s="97"/>
      <c r="AH364" s="97"/>
      <c r="AI364" s="97"/>
      <c r="AJ364" s="97"/>
      <c r="AK364" s="97"/>
      <c r="AL364" s="97"/>
      <c r="AM364" s="97"/>
      <c r="AN364" s="97"/>
      <c r="AO364" s="97"/>
      <c r="AP364" s="97"/>
      <c r="AQ364" s="97"/>
      <c r="AR364" s="97"/>
      <c r="AS364" s="97"/>
      <c r="AT364" s="97"/>
      <c r="AU364" s="97"/>
      <c r="AV364" s="97"/>
      <c r="AW364" s="97"/>
      <c r="AX364" s="97"/>
      <c r="AY364" s="97"/>
      <c r="AZ364" s="97"/>
      <c r="BA364" s="97"/>
      <c r="BB364" s="97"/>
      <c r="BC364" s="97"/>
      <c r="BD364" s="97"/>
      <c r="BE364" s="97"/>
      <c r="BF364" s="97">
        <f t="shared" ref="BF364:BF374" si="492">SUM(E364:BE364)</f>
        <v>2939978</v>
      </c>
      <c r="BG364" s="1">
        <f t="shared" ref="BG364:BG374" si="493">+BF364-X364-P364-BB364-BC364</f>
        <v>2939978</v>
      </c>
      <c r="BH364" s="97"/>
      <c r="BI364" s="97"/>
      <c r="BJ364" s="97"/>
      <c r="BK364" s="97"/>
      <c r="BL364" s="97"/>
      <c r="BM364" s="97"/>
      <c r="BN364" s="97"/>
      <c r="BO364" s="97"/>
      <c r="BP364" s="97">
        <f t="shared" ref="BP364:BP374" si="494">SUM(BH364:BN364)</f>
        <v>0</v>
      </c>
      <c r="BQ364" s="97">
        <f t="shared" ref="BQ364:BQ374" si="495">+BP364-BN364</f>
        <v>0</v>
      </c>
      <c r="BR364" s="116">
        <f>+'Sys INPUT'!BR171+INPUT!BR331-BR346-BR361-BR382-BR384-SUM(BR365:BR374)</f>
        <v>7897869</v>
      </c>
      <c r="BS364" s="97"/>
      <c r="BT364" s="97"/>
      <c r="BU364" s="97"/>
      <c r="BV364" s="97"/>
      <c r="BW364" s="97"/>
      <c r="BX364" s="97"/>
      <c r="BY364" s="97">
        <f t="shared" ref="BY364:BY374" si="496">SUM(BR364:BX364)</f>
        <v>7897869</v>
      </c>
      <c r="BZ364" s="1">
        <f>+BY364-BR364</f>
        <v>0</v>
      </c>
      <c r="CA364" s="1">
        <f t="shared" ref="CA364:CA374" si="497">+BG364+BQ364+BZ364+EF364</f>
        <v>2939978</v>
      </c>
      <c r="CS364" s="1"/>
      <c r="ED364" s="1"/>
    </row>
    <row r="365" spans="2:134" ht="18.75">
      <c r="B365" s="114" t="s">
        <v>1491</v>
      </c>
      <c r="C365" s="106" t="s">
        <v>1423</v>
      </c>
      <c r="D365" s="97"/>
      <c r="E365" s="97"/>
      <c r="M365" s="116">
        <f>+'Sys INPUT'!M171+INPUT!M331-M346-M361-M382-M384</f>
        <v>660329</v>
      </c>
      <c r="P365" s="99"/>
      <c r="S365" s="97"/>
      <c r="T365" s="97"/>
      <c r="U365" s="97"/>
      <c r="V365" s="97"/>
      <c r="W365" s="97"/>
      <c r="X365" s="97"/>
      <c r="Y365" s="97"/>
      <c r="Z365" s="97"/>
      <c r="AC365" s="97"/>
      <c r="AD365" s="97"/>
      <c r="AE365" s="97"/>
      <c r="AF365" s="97"/>
      <c r="AG365" s="97"/>
      <c r="AH365" s="97"/>
      <c r="AI365" s="97"/>
      <c r="AJ365" s="97"/>
      <c r="AK365" s="97"/>
      <c r="AL365" s="97"/>
      <c r="AM365" s="97"/>
      <c r="AN365" s="97"/>
      <c r="AO365" s="97"/>
      <c r="AP365" s="97"/>
      <c r="AQ365" s="97"/>
      <c r="AR365" s="97"/>
      <c r="AS365" s="97"/>
      <c r="AT365" s="97"/>
      <c r="AU365" s="97"/>
      <c r="AV365" s="97"/>
      <c r="AW365" s="97"/>
      <c r="AX365" s="97"/>
      <c r="AY365" s="97"/>
      <c r="AZ365" s="97"/>
      <c r="BA365" s="97"/>
      <c r="BB365" s="97"/>
      <c r="BC365" s="97"/>
      <c r="BD365" s="97"/>
      <c r="BE365" s="97"/>
      <c r="BF365" s="97">
        <f t="shared" si="492"/>
        <v>660329</v>
      </c>
      <c r="BG365" s="1">
        <f t="shared" si="493"/>
        <v>660329</v>
      </c>
      <c r="BH365" s="97"/>
      <c r="BI365" s="97"/>
      <c r="BJ365" s="97"/>
      <c r="BK365" s="97"/>
      <c r="BL365" s="97"/>
      <c r="BM365" s="97"/>
      <c r="BN365" s="97"/>
      <c r="BO365" s="97"/>
      <c r="BP365" s="97">
        <f t="shared" si="494"/>
        <v>0</v>
      </c>
      <c r="BQ365" s="97">
        <f t="shared" si="495"/>
        <v>0</v>
      </c>
      <c r="BR365" s="97"/>
      <c r="BS365" s="97"/>
      <c r="BT365" s="97"/>
      <c r="BU365" s="97"/>
      <c r="BV365" s="97"/>
      <c r="BW365" s="97"/>
      <c r="BX365" s="97"/>
      <c r="BY365" s="97">
        <f t="shared" si="496"/>
        <v>0</v>
      </c>
      <c r="BZ365" s="1">
        <f t="shared" ref="BZ365:BZ374" si="498">+BY365-BR365</f>
        <v>0</v>
      </c>
      <c r="CA365" s="1">
        <f t="shared" si="497"/>
        <v>660329</v>
      </c>
      <c r="CS365" s="1"/>
      <c r="ED365" s="1"/>
    </row>
    <row r="366" spans="2:134" ht="18.75">
      <c r="B366" s="114" t="s">
        <v>1492</v>
      </c>
      <c r="C366" s="106" t="s">
        <v>1423</v>
      </c>
      <c r="D366" s="97"/>
      <c r="E366" s="97"/>
      <c r="N366" s="116">
        <f>+'Sys INPUT'!N171+INPUT!N331-N346-N361-N382-N384</f>
        <v>84305</v>
      </c>
      <c r="P366" s="99"/>
      <c r="R366" s="97"/>
      <c r="S366" s="97"/>
      <c r="T366" s="116">
        <f>+'Sys INPUT'!T171+INPUT!T331-T346-T361-T382-T384</f>
        <v>308</v>
      </c>
      <c r="U366" s="97"/>
      <c r="V366" s="97"/>
      <c r="W366" s="97"/>
      <c r="X366" s="116">
        <f>+'Sys INPUT'!X171+INPUT!X331-X346-X361-X382-X384</f>
        <v>4366091</v>
      </c>
      <c r="Y366" s="97"/>
      <c r="Z366" s="116">
        <f>+'Sys INPUT'!Z171+INPUT!Z331-Z346-Z361-Z382-Z384</f>
        <v>107003</v>
      </c>
      <c r="AA366" s="97"/>
      <c r="AB366" s="97"/>
      <c r="AC366" s="97"/>
      <c r="AD366" s="97"/>
      <c r="AE366" s="97"/>
      <c r="AF366" s="116">
        <f>+'Sys INPUT'!AF171+INPUT!AF331-AF346-AF361-AF382-AF384</f>
        <v>21202</v>
      </c>
      <c r="AG366" s="97"/>
      <c r="AH366" s="97"/>
      <c r="AI366" s="97"/>
      <c r="AJ366" s="97"/>
      <c r="AR366" s="97"/>
      <c r="AS366" s="97"/>
      <c r="AT366" s="97"/>
      <c r="AU366" s="97"/>
      <c r="AV366" s="97"/>
      <c r="AW366" s="97"/>
      <c r="AX366" s="97"/>
      <c r="AY366" s="97"/>
      <c r="AZ366" s="97"/>
      <c r="BA366" s="97"/>
      <c r="BB366" s="97"/>
      <c r="BC366" s="97"/>
      <c r="BD366" s="97"/>
      <c r="BE366" s="97"/>
      <c r="BF366" s="97">
        <f t="shared" si="492"/>
        <v>4578909</v>
      </c>
      <c r="BG366" s="1">
        <f t="shared" si="493"/>
        <v>212818</v>
      </c>
      <c r="BH366" s="97"/>
      <c r="BI366" s="97"/>
      <c r="BJ366" s="97"/>
      <c r="BK366" s="97"/>
      <c r="BL366" s="97"/>
      <c r="BM366" s="97"/>
      <c r="BN366" s="97"/>
      <c r="BO366" s="97"/>
      <c r="BP366" s="97">
        <f t="shared" si="494"/>
        <v>0</v>
      </c>
      <c r="BQ366" s="97">
        <f t="shared" si="495"/>
        <v>0</v>
      </c>
      <c r="BR366" s="116">
        <f>+I501</f>
        <v>1704914</v>
      </c>
      <c r="BS366" s="97"/>
      <c r="BT366" s="97"/>
      <c r="BU366" s="97"/>
      <c r="BV366" s="97"/>
      <c r="BW366" s="97"/>
      <c r="BX366" s="97"/>
      <c r="BY366" s="97">
        <f t="shared" si="496"/>
        <v>1704914</v>
      </c>
      <c r="BZ366" s="1">
        <f t="shared" si="498"/>
        <v>0</v>
      </c>
      <c r="CA366" s="1">
        <f t="shared" si="497"/>
        <v>212818</v>
      </c>
      <c r="CS366" s="1"/>
      <c r="ED366" s="1"/>
    </row>
    <row r="367" spans="2:134" ht="18.75">
      <c r="B367" s="114" t="s">
        <v>1494</v>
      </c>
      <c r="C367" s="106" t="s">
        <v>1423</v>
      </c>
      <c r="D367" s="97"/>
      <c r="E367" s="97"/>
      <c r="P367" s="99"/>
      <c r="R367" s="116">
        <f>+'Sys INPUT'!R171+INPUT!R331-R346-R361-R382-R384</f>
        <v>380215</v>
      </c>
      <c r="W367" s="97"/>
      <c r="X367" s="97"/>
      <c r="Y367" s="97"/>
      <c r="Z367" s="97"/>
      <c r="AA367" s="97"/>
      <c r="AB367" s="97"/>
      <c r="AC367" s="97"/>
      <c r="AD367" s="97"/>
      <c r="AE367" s="97"/>
      <c r="AF367" s="97"/>
      <c r="AG367" s="97"/>
      <c r="AH367" s="97"/>
      <c r="AI367" s="97"/>
      <c r="AJ367" s="97"/>
      <c r="AR367" s="97"/>
      <c r="AS367" s="97"/>
      <c r="AT367" s="97"/>
      <c r="AU367" s="97"/>
      <c r="AV367" s="97"/>
      <c r="AW367" s="97"/>
      <c r="AX367" s="97"/>
      <c r="AY367" s="97"/>
      <c r="AZ367" s="97"/>
      <c r="BA367" s="97"/>
      <c r="BB367" s="97"/>
      <c r="BD367" s="97"/>
      <c r="BE367" s="97"/>
      <c r="BF367" s="97">
        <f t="shared" si="492"/>
        <v>380215</v>
      </c>
      <c r="BG367" s="1">
        <f t="shared" si="493"/>
        <v>380215</v>
      </c>
      <c r="BH367" s="97"/>
      <c r="BI367" s="97"/>
      <c r="BJ367" s="97"/>
      <c r="BK367" s="97"/>
      <c r="BL367" s="97"/>
      <c r="BM367" s="97"/>
      <c r="BN367" s="97"/>
      <c r="BO367" s="97"/>
      <c r="BP367" s="97">
        <f t="shared" si="494"/>
        <v>0</v>
      </c>
      <c r="BQ367" s="97">
        <f t="shared" si="495"/>
        <v>0</v>
      </c>
      <c r="BR367" s="116">
        <f>+I502-BR356</f>
        <v>6861181</v>
      </c>
      <c r="BS367" s="97"/>
      <c r="BT367" s="97"/>
      <c r="BU367" s="97"/>
      <c r="BV367" s="97"/>
      <c r="BW367" s="97"/>
      <c r="BX367" s="97"/>
      <c r="BY367" s="97">
        <f t="shared" si="496"/>
        <v>6861181</v>
      </c>
      <c r="BZ367" s="1">
        <f t="shared" si="498"/>
        <v>0</v>
      </c>
      <c r="CA367" s="1">
        <f t="shared" si="497"/>
        <v>380215</v>
      </c>
      <c r="CS367" s="1"/>
      <c r="ED367" s="1"/>
    </row>
    <row r="368" spans="2:134" ht="18.75">
      <c r="B368" s="114" t="s">
        <v>1493</v>
      </c>
      <c r="C368" s="106" t="s">
        <v>1423</v>
      </c>
      <c r="D368" s="97"/>
      <c r="E368" s="97"/>
      <c r="J368" s="116">
        <f>+'Sys INPUT'!J171+INPUT!J331-J346-J361-J382-J384</f>
        <v>1699347</v>
      </c>
      <c r="P368" s="99"/>
      <c r="Q368" s="97"/>
      <c r="R368" s="97"/>
      <c r="S368" s="97"/>
      <c r="T368" s="97"/>
      <c r="U368" s="97"/>
      <c r="V368" s="97"/>
      <c r="W368" s="97"/>
      <c r="X368" s="97"/>
      <c r="Y368" s="97"/>
      <c r="Z368" s="97"/>
      <c r="AA368" s="97"/>
      <c r="AB368" s="97"/>
      <c r="AC368" s="97"/>
      <c r="AD368" s="97"/>
      <c r="AE368" s="97"/>
      <c r="AF368" s="97"/>
      <c r="AG368" s="97"/>
      <c r="AH368" s="97"/>
      <c r="AI368" s="97"/>
      <c r="AJ368" s="97"/>
      <c r="AK368" s="97"/>
      <c r="AL368" s="97"/>
      <c r="AM368" s="97"/>
      <c r="AN368" s="97"/>
      <c r="AO368" s="97"/>
      <c r="AP368" s="97"/>
      <c r="AQ368" s="97"/>
      <c r="AR368" s="97"/>
      <c r="AS368" s="97"/>
      <c r="AT368" s="97"/>
      <c r="AU368" s="97"/>
      <c r="AV368" s="97"/>
      <c r="AW368" s="97"/>
      <c r="AX368" s="97"/>
      <c r="AY368" s="97"/>
      <c r="AZ368" s="97"/>
      <c r="BA368" s="97"/>
      <c r="BB368" s="97"/>
      <c r="BC368" s="97"/>
      <c r="BD368" s="97"/>
      <c r="BE368" s="97"/>
      <c r="BF368" s="97">
        <f t="shared" si="492"/>
        <v>1699347</v>
      </c>
      <c r="BG368" s="1">
        <f t="shared" si="493"/>
        <v>1699347</v>
      </c>
      <c r="BH368" s="97"/>
      <c r="BI368" s="97"/>
      <c r="BJ368" s="97"/>
      <c r="BK368" s="97">
        <f>+BK103</f>
        <v>0</v>
      </c>
      <c r="BL368" s="97">
        <f>+BL103</f>
        <v>0</v>
      </c>
      <c r="BM368" s="97">
        <f>+BM103</f>
        <v>0</v>
      </c>
      <c r="BN368" s="97"/>
      <c r="BO368" s="97"/>
      <c r="BP368" s="97">
        <f t="shared" si="494"/>
        <v>0</v>
      </c>
      <c r="BQ368" s="97">
        <f t="shared" si="495"/>
        <v>0</v>
      </c>
      <c r="BR368" s="97"/>
      <c r="BS368" s="97"/>
      <c r="BT368" s="97"/>
      <c r="BU368" s="97"/>
      <c r="BV368" s="97"/>
      <c r="BW368" s="116">
        <f>+I511</f>
        <v>2453628</v>
      </c>
      <c r="BX368" s="97"/>
      <c r="BY368" s="97">
        <f t="shared" si="496"/>
        <v>2453628</v>
      </c>
      <c r="BZ368" s="1">
        <f t="shared" si="498"/>
        <v>2453628</v>
      </c>
      <c r="CA368" s="1">
        <f t="shared" si="497"/>
        <v>4152975</v>
      </c>
      <c r="CS368" s="1"/>
      <c r="ED368" s="1"/>
    </row>
    <row r="369" spans="2:134" ht="18.75">
      <c r="B369" s="114" t="s">
        <v>1468</v>
      </c>
      <c r="C369" s="106" t="s">
        <v>1423</v>
      </c>
      <c r="D369" s="97"/>
      <c r="E369" s="97"/>
      <c r="F369" s="116">
        <f>+'Sys INPUT'!F171+INPUT!F331-F346-F361-F382-F384</f>
        <v>3692</v>
      </c>
      <c r="G369" s="116">
        <f>+'Sys INPUT'!G171+INPUT!G331-G346-G361-G382-G384</f>
        <v>73809</v>
      </c>
      <c r="H369" s="116">
        <f>+'Sys INPUT'!H171+INPUT!H331-H346-H361-H382-H384</f>
        <v>357347</v>
      </c>
      <c r="I369" s="116">
        <f>+'Sys INPUT'!I171+INPUT!I331-I346-I361-I382-I384</f>
        <v>4500</v>
      </c>
      <c r="K369" s="116">
        <f>+'Sys INPUT'!K171+INPUT!K331-K346-K361-K382-K384</f>
        <v>1303</v>
      </c>
      <c r="L369" s="116">
        <f>+'Sys INPUT'!L171+INPUT!L331-L346-L361-L382-L384</f>
        <v>21640</v>
      </c>
      <c r="M369" s="97"/>
      <c r="P369" s="99"/>
      <c r="Q369" s="97"/>
      <c r="R369" s="97"/>
      <c r="S369" s="97"/>
      <c r="T369" s="97"/>
      <c r="U369" s="116">
        <f>+'Sys INPUT'!U171+INPUT!U331-U346-U361-U382-U384</f>
        <v>577048</v>
      </c>
      <c r="V369" s="97"/>
      <c r="W369" s="97"/>
      <c r="X369" s="97"/>
      <c r="Y369" s="97"/>
      <c r="Z369" s="97"/>
      <c r="AA369" s="97"/>
      <c r="AB369" s="97"/>
      <c r="AC369" s="97"/>
      <c r="AD369" s="97"/>
      <c r="AE369" s="97"/>
      <c r="AF369" s="97"/>
      <c r="AG369" s="97"/>
      <c r="AH369" s="97"/>
      <c r="AI369" s="97"/>
      <c r="AJ369" s="97"/>
      <c r="AK369" s="116">
        <f>+'Sys INPUT'!AK171+INPUT!AK331-AK346-AK361-AK382-AK384</f>
        <v>5768</v>
      </c>
      <c r="AL369" s="116">
        <f>+'Sys INPUT'!AL171+INPUT!AL331-AL346-AL361-AL382-AL384</f>
        <v>35534</v>
      </c>
      <c r="AM369" s="116">
        <f>+'Sys INPUT'!AM171+INPUT!AM331-AM346-AM361-AM382-AM384</f>
        <v>39899</v>
      </c>
      <c r="AN369" s="116">
        <f>+'Sys INPUT'!AN171+INPUT!AN331-AN346-AN361-AN382-AN384</f>
        <v>168446</v>
      </c>
      <c r="AO369" s="116">
        <f>+'Sys INPUT'!AO171+INPUT!AO331-AO346-AO361-AO382-AO384</f>
        <v>0</v>
      </c>
      <c r="AP369" s="97"/>
      <c r="AQ369" s="97"/>
      <c r="AR369" s="97"/>
      <c r="AS369" s="97"/>
      <c r="AT369" s="97"/>
      <c r="AU369" s="97"/>
      <c r="AV369" s="97"/>
      <c r="AW369" s="97"/>
      <c r="AX369" s="97"/>
      <c r="AY369" s="97"/>
      <c r="AZ369" s="97"/>
      <c r="BA369" s="97"/>
      <c r="BB369" s="97"/>
      <c r="BC369" s="97"/>
      <c r="BD369" s="97"/>
      <c r="BE369" s="97"/>
      <c r="BF369" s="97">
        <f t="shared" si="492"/>
        <v>1288986</v>
      </c>
      <c r="BG369" s="1">
        <f t="shared" si="493"/>
        <v>1288986</v>
      </c>
      <c r="BH369" s="97"/>
      <c r="BI369" s="97"/>
      <c r="BJ369" s="97"/>
      <c r="BK369" s="97"/>
      <c r="BL369" s="97"/>
      <c r="BM369" s="97"/>
      <c r="BN369" s="97"/>
      <c r="BO369" s="97"/>
      <c r="BP369" s="97">
        <f t="shared" si="494"/>
        <v>0</v>
      </c>
      <c r="BQ369" s="97">
        <f t="shared" si="495"/>
        <v>0</v>
      </c>
      <c r="BR369" s="116">
        <f>+I503</f>
        <v>273725</v>
      </c>
      <c r="BS369" s="97"/>
      <c r="BT369" s="97"/>
      <c r="BU369" s="97"/>
      <c r="BV369" s="97"/>
      <c r="BW369" s="97"/>
      <c r="BX369" s="97"/>
      <c r="BY369" s="97">
        <f t="shared" si="496"/>
        <v>273725</v>
      </c>
      <c r="BZ369" s="1">
        <f t="shared" si="498"/>
        <v>0</v>
      </c>
      <c r="CA369" s="1">
        <f t="shared" si="497"/>
        <v>1288986</v>
      </c>
      <c r="CS369" s="1"/>
      <c r="ED369" s="1"/>
    </row>
    <row r="370" spans="2:134" ht="18.75">
      <c r="B370" s="114" t="s">
        <v>1469</v>
      </c>
      <c r="C370" s="106" t="s">
        <v>1423</v>
      </c>
      <c r="D370" s="97"/>
      <c r="E370" s="97"/>
      <c r="M370" s="97"/>
      <c r="O370" s="116">
        <f>+'Sys INPUT'!O171+INPUT!O331-O346-O361-O382-O384</f>
        <v>60405</v>
      </c>
      <c r="P370" s="99"/>
      <c r="Q370" s="97"/>
      <c r="R370" s="97"/>
      <c r="S370" s="97"/>
      <c r="T370" s="97"/>
      <c r="U370" s="97"/>
      <c r="V370" s="97"/>
      <c r="W370" s="97"/>
      <c r="X370" s="97"/>
      <c r="Y370" s="97"/>
      <c r="Z370" s="97"/>
      <c r="AA370" s="97"/>
      <c r="AB370" s="97"/>
      <c r="AC370" s="116">
        <f>+'Sys INPUT'!AC171+INPUT!AC331-AC346-AC361-AC382-AC384</f>
        <v>238913</v>
      </c>
      <c r="AD370" s="97"/>
      <c r="AE370" s="97"/>
      <c r="AF370" s="97"/>
      <c r="AG370" s="97"/>
      <c r="AH370" s="97"/>
      <c r="AI370" s="97"/>
      <c r="AJ370" s="97"/>
      <c r="AK370" s="97"/>
      <c r="AL370" s="97"/>
      <c r="AM370" s="97"/>
      <c r="AN370" s="97"/>
      <c r="AO370" s="97"/>
      <c r="AP370" s="97"/>
      <c r="AQ370" s="97"/>
      <c r="AR370" s="97"/>
      <c r="AS370" s="97"/>
      <c r="AT370" s="97"/>
      <c r="AU370" s="97"/>
      <c r="AV370" s="97"/>
      <c r="AW370" s="97"/>
      <c r="AX370" s="97"/>
      <c r="AY370" s="97"/>
      <c r="AZ370" s="97"/>
      <c r="BA370" s="97"/>
      <c r="BB370" s="97"/>
      <c r="BC370" s="97"/>
      <c r="BD370" s="97"/>
      <c r="BE370" s="97"/>
      <c r="BF370" s="97">
        <f t="shared" si="492"/>
        <v>299318</v>
      </c>
      <c r="BG370" s="1">
        <f t="shared" si="493"/>
        <v>299318</v>
      </c>
      <c r="BH370" s="97"/>
      <c r="BI370" s="97"/>
      <c r="BJ370" s="97"/>
      <c r="BN370" s="97"/>
      <c r="BO370" s="97"/>
      <c r="BP370" s="97">
        <f t="shared" si="494"/>
        <v>0</v>
      </c>
      <c r="BQ370" s="97">
        <f t="shared" si="495"/>
        <v>0</v>
      </c>
      <c r="BR370" s="116">
        <f>+I505+BR103</f>
        <v>1127058</v>
      </c>
      <c r="BS370" s="97"/>
      <c r="BT370" s="97"/>
      <c r="BU370" s="97"/>
      <c r="BV370" s="97"/>
      <c r="BW370" s="97"/>
      <c r="BX370" s="97"/>
      <c r="BY370" s="97">
        <f t="shared" si="496"/>
        <v>1127058</v>
      </c>
      <c r="BZ370" s="1">
        <f t="shared" si="498"/>
        <v>0</v>
      </c>
      <c r="CA370" s="1">
        <f t="shared" si="497"/>
        <v>299318</v>
      </c>
      <c r="CS370" s="1"/>
      <c r="ED370" s="1"/>
    </row>
    <row r="371" spans="2:134" ht="18.75">
      <c r="B371" s="114" t="s">
        <v>1500</v>
      </c>
      <c r="C371" s="106" t="s">
        <v>1423</v>
      </c>
      <c r="D371" s="97"/>
      <c r="E371" s="97"/>
      <c r="M371" s="97"/>
      <c r="N371" s="97"/>
      <c r="O371" s="97"/>
      <c r="P371" s="99"/>
      <c r="Q371" s="97"/>
      <c r="R371" s="97"/>
      <c r="S371" s="97"/>
      <c r="T371" s="97"/>
      <c r="U371" s="97"/>
      <c r="V371" s="116">
        <f>+'Sys INPUT'!V171+INPUT!V331-V346-V361-V382-V384</f>
        <v>2517</v>
      </c>
      <c r="W371" s="116">
        <f>+'Sys INPUT'!W171+INPUT!W331-W346-W361-W382-W384</f>
        <v>255076</v>
      </c>
      <c r="X371" s="97"/>
      <c r="Y371" s="97"/>
      <c r="Z371" s="97"/>
      <c r="AA371" s="97"/>
      <c r="AB371" s="97"/>
      <c r="AC371" s="97"/>
      <c r="AD371" s="97"/>
      <c r="AE371" s="97"/>
      <c r="AF371" s="97"/>
      <c r="AG371" s="97"/>
      <c r="AH371" s="97"/>
      <c r="AI371" s="97"/>
      <c r="AJ371" s="97"/>
      <c r="AK371" s="97"/>
      <c r="AL371" s="97"/>
      <c r="AM371" s="97"/>
      <c r="AN371" s="97"/>
      <c r="AO371" s="97"/>
      <c r="AP371" s="97"/>
      <c r="AQ371" s="97"/>
      <c r="AR371" s="97"/>
      <c r="AS371" s="97"/>
      <c r="AT371" s="97"/>
      <c r="AU371" s="97"/>
      <c r="AV371" s="97"/>
      <c r="AW371" s="97"/>
      <c r="AX371" s="97"/>
      <c r="AY371" s="97"/>
      <c r="AZ371" s="97"/>
      <c r="BA371" s="97"/>
      <c r="BB371" s="97"/>
      <c r="BC371" s="97"/>
      <c r="BD371" s="97"/>
      <c r="BE371" s="97"/>
      <c r="BF371" s="97">
        <f t="shared" si="492"/>
        <v>257593</v>
      </c>
      <c r="BG371" s="1">
        <f t="shared" si="493"/>
        <v>257593</v>
      </c>
      <c r="BH371" s="97"/>
      <c r="BI371" s="97"/>
      <c r="BJ371" s="97"/>
      <c r="BK371" s="97"/>
      <c r="BL371" s="97"/>
      <c r="BM371" s="97"/>
      <c r="BN371" s="97"/>
      <c r="BO371" s="97"/>
      <c r="BP371" s="97">
        <f t="shared" si="494"/>
        <v>0</v>
      </c>
      <c r="BQ371" s="97">
        <f t="shared" si="495"/>
        <v>0</v>
      </c>
      <c r="BR371" s="116">
        <f>+I504</f>
        <v>41367</v>
      </c>
      <c r="BS371" s="97"/>
      <c r="BT371" s="97"/>
      <c r="BU371" s="97"/>
      <c r="BV371" s="97"/>
      <c r="BW371" s="97"/>
      <c r="BX371" s="97"/>
      <c r="BY371" s="97">
        <f t="shared" si="496"/>
        <v>41367</v>
      </c>
      <c r="BZ371" s="1">
        <f t="shared" si="498"/>
        <v>0</v>
      </c>
      <c r="CA371" s="1">
        <f t="shared" si="497"/>
        <v>257593</v>
      </c>
      <c r="CS371" s="1"/>
      <c r="ED371" s="1"/>
    </row>
    <row r="372" spans="2:134" ht="18.75">
      <c r="B372" s="114" t="s">
        <v>1511</v>
      </c>
      <c r="C372" s="106" t="s">
        <v>1423</v>
      </c>
      <c r="D372" s="97"/>
      <c r="E372" s="97"/>
      <c r="M372" s="97"/>
      <c r="N372" s="97"/>
      <c r="O372" s="97"/>
      <c r="P372" s="99"/>
      <c r="Q372" s="97"/>
      <c r="R372" s="97"/>
      <c r="S372" s="97"/>
      <c r="T372" s="97"/>
      <c r="U372" s="97"/>
      <c r="V372" s="97"/>
      <c r="W372" s="97"/>
      <c r="X372" s="97"/>
      <c r="Y372" s="97"/>
      <c r="Z372" s="97"/>
      <c r="AA372" s="97"/>
      <c r="AB372" s="97"/>
      <c r="AC372" s="97"/>
      <c r="AD372" s="97"/>
      <c r="AE372" s="97"/>
      <c r="AF372" s="97"/>
      <c r="AG372" s="97"/>
      <c r="AH372" s="97"/>
      <c r="AI372" s="97"/>
      <c r="AJ372" s="97"/>
      <c r="AK372" s="97"/>
      <c r="AL372" s="97"/>
      <c r="AM372" s="97"/>
      <c r="AN372" s="97"/>
      <c r="AO372" s="97"/>
      <c r="AP372" s="97"/>
      <c r="AQ372" s="97"/>
      <c r="AR372" s="97"/>
      <c r="AS372" s="97"/>
      <c r="AT372" s="97"/>
      <c r="AU372" s="97"/>
      <c r="AV372" s="97"/>
      <c r="AW372" s="97"/>
      <c r="AX372" s="97"/>
      <c r="AY372" s="97"/>
      <c r="AZ372" s="97"/>
      <c r="BA372" s="97"/>
      <c r="BB372" s="97"/>
      <c r="BC372" s="116">
        <f>+'Sys INPUT'!BC171+INPUT!BC331-BC346-BC361-BC382-BC384</f>
        <v>6813379</v>
      </c>
      <c r="BD372" s="97"/>
      <c r="BE372" s="97"/>
      <c r="BF372" s="97">
        <f t="shared" si="492"/>
        <v>6813379</v>
      </c>
      <c r="BG372" s="1">
        <f t="shared" si="493"/>
        <v>0</v>
      </c>
      <c r="BH372" s="97"/>
      <c r="BI372" s="97"/>
      <c r="BJ372" s="97"/>
      <c r="BK372" s="97"/>
      <c r="BL372" s="97"/>
      <c r="BM372" s="97"/>
      <c r="BN372" s="97"/>
      <c r="BO372" s="97"/>
      <c r="BP372" s="97">
        <f t="shared" si="494"/>
        <v>0</v>
      </c>
      <c r="BQ372" s="97">
        <f t="shared" si="495"/>
        <v>0</v>
      </c>
      <c r="BR372" s="97"/>
      <c r="BS372" s="97"/>
      <c r="BT372" s="97"/>
      <c r="BU372" s="97"/>
      <c r="BV372" s="97"/>
      <c r="BW372" s="97"/>
      <c r="BX372" s="97"/>
      <c r="BY372" s="97">
        <f t="shared" si="496"/>
        <v>0</v>
      </c>
      <c r="BZ372" s="1">
        <f t="shared" si="498"/>
        <v>0</v>
      </c>
      <c r="CA372" s="1">
        <f t="shared" si="497"/>
        <v>0</v>
      </c>
      <c r="CS372" s="1"/>
      <c r="ED372" s="1"/>
    </row>
    <row r="373" spans="2:134" ht="18.75">
      <c r="B373" s="114" t="s">
        <v>1412</v>
      </c>
      <c r="C373" s="106" t="s">
        <v>1424</v>
      </c>
      <c r="D373" s="97">
        <f>+I481+I482</f>
        <v>0</v>
      </c>
      <c r="E373" s="97"/>
      <c r="F373" s="97"/>
      <c r="G373" s="97"/>
      <c r="H373" s="97"/>
      <c r="I373" s="97"/>
      <c r="J373" s="97"/>
      <c r="K373" s="97"/>
      <c r="L373" s="97"/>
      <c r="M373" s="97"/>
      <c r="N373" s="97"/>
      <c r="O373" s="97"/>
      <c r="P373" s="99"/>
      <c r="Q373" s="97"/>
      <c r="R373" s="97"/>
      <c r="S373" s="97"/>
      <c r="T373" s="97"/>
      <c r="U373" s="97"/>
      <c r="V373" s="97"/>
      <c r="W373" s="97"/>
      <c r="X373" s="97"/>
      <c r="Y373" s="97"/>
      <c r="Z373" s="97"/>
      <c r="AA373" s="97"/>
      <c r="AB373" s="97"/>
      <c r="AC373" s="97"/>
      <c r="AD373" s="97"/>
      <c r="AE373" s="97"/>
      <c r="AF373" s="97"/>
      <c r="AG373" s="97"/>
      <c r="AH373" s="97"/>
      <c r="AI373" s="97"/>
      <c r="AJ373" s="97"/>
      <c r="AK373" s="97"/>
      <c r="AL373" s="97"/>
      <c r="AM373" s="97"/>
      <c r="AN373" s="97"/>
      <c r="AO373" s="97"/>
      <c r="AP373" s="97"/>
      <c r="AQ373" s="97"/>
      <c r="AR373" s="97"/>
      <c r="AS373" s="97"/>
      <c r="AT373" s="97"/>
      <c r="AU373" s="97"/>
      <c r="AV373" s="97"/>
      <c r="AW373" s="97"/>
      <c r="AX373" s="97"/>
      <c r="AY373" s="97"/>
      <c r="AZ373" s="97"/>
      <c r="BA373" s="97"/>
      <c r="BB373" s="97"/>
      <c r="BC373" s="97"/>
      <c r="BD373" s="97"/>
      <c r="BE373" s="97"/>
      <c r="BF373" s="97">
        <f t="shared" si="492"/>
        <v>0</v>
      </c>
      <c r="BG373" s="1">
        <f t="shared" si="493"/>
        <v>0</v>
      </c>
      <c r="BH373" s="97"/>
      <c r="BI373" s="97"/>
      <c r="BJ373" s="97"/>
      <c r="BK373" s="97"/>
      <c r="BL373" s="97"/>
      <c r="BM373" s="97"/>
      <c r="BN373" s="97"/>
      <c r="BO373" s="97"/>
      <c r="BP373" s="97">
        <f t="shared" si="494"/>
        <v>0</v>
      </c>
      <c r="BQ373" s="97">
        <f t="shared" si="495"/>
        <v>0</v>
      </c>
      <c r="BR373" s="97"/>
      <c r="BS373" s="97"/>
      <c r="BT373" s="97"/>
      <c r="BU373" s="97"/>
      <c r="BV373" s="97"/>
      <c r="BW373" s="97"/>
      <c r="BX373" s="97"/>
      <c r="BY373" s="97">
        <f t="shared" si="496"/>
        <v>0</v>
      </c>
      <c r="BZ373" s="1">
        <f t="shared" si="498"/>
        <v>0</v>
      </c>
      <c r="CA373" s="1">
        <f t="shared" si="497"/>
        <v>0</v>
      </c>
      <c r="CS373" s="1"/>
      <c r="ED373" s="1"/>
    </row>
    <row r="374" spans="2:134" ht="18.75">
      <c r="B374" s="132" t="s">
        <v>1597</v>
      </c>
      <c r="C374" s="106"/>
      <c r="D374" s="97"/>
      <c r="E374" s="97"/>
      <c r="F374" s="97"/>
      <c r="G374" s="97"/>
      <c r="H374" s="97"/>
      <c r="I374" s="97"/>
      <c r="J374" s="97"/>
      <c r="K374" s="97"/>
      <c r="L374" s="97"/>
      <c r="M374" s="97"/>
      <c r="N374" s="97"/>
      <c r="O374" s="97"/>
      <c r="P374" s="99"/>
      <c r="Q374" s="97"/>
      <c r="R374" s="97"/>
      <c r="S374" s="97"/>
      <c r="T374" s="97"/>
      <c r="U374" s="97"/>
      <c r="V374" s="97"/>
      <c r="W374" s="97"/>
      <c r="X374" s="97"/>
      <c r="Y374" s="97"/>
      <c r="Z374" s="97"/>
      <c r="AA374" s="97"/>
      <c r="AB374" s="97"/>
      <c r="AC374" s="97"/>
      <c r="AD374" s="97"/>
      <c r="AE374" s="97"/>
      <c r="AF374" s="97"/>
      <c r="AG374" s="97"/>
      <c r="AH374" s="97"/>
      <c r="AI374" s="97"/>
      <c r="AJ374" s="97"/>
      <c r="AK374" s="97"/>
      <c r="AL374" s="97"/>
      <c r="AM374" s="97"/>
      <c r="AN374" s="97"/>
      <c r="AO374" s="97"/>
      <c r="AP374" s="97"/>
      <c r="AQ374" s="97"/>
      <c r="AR374" s="97"/>
      <c r="AS374" s="97"/>
      <c r="AT374" s="97"/>
      <c r="AU374" s="97"/>
      <c r="AV374" s="97"/>
      <c r="AW374" s="97"/>
      <c r="AX374" s="97"/>
      <c r="AY374" s="97"/>
      <c r="AZ374" s="97"/>
      <c r="BA374" s="97"/>
      <c r="BB374" s="97"/>
      <c r="BC374" s="97"/>
      <c r="BD374" s="97"/>
      <c r="BE374" s="97"/>
      <c r="BF374" s="97">
        <f t="shared" si="492"/>
        <v>0</v>
      </c>
      <c r="BG374" s="1">
        <f t="shared" si="493"/>
        <v>0</v>
      </c>
      <c r="BH374" s="97"/>
      <c r="BI374" s="97"/>
      <c r="BJ374" s="97"/>
      <c r="BK374" s="97"/>
      <c r="BL374" s="97"/>
      <c r="BM374" s="97"/>
      <c r="BN374" s="97"/>
      <c r="BO374" s="97"/>
      <c r="BP374" s="97">
        <f t="shared" si="494"/>
        <v>0</v>
      </c>
      <c r="BQ374" s="97">
        <f t="shared" si="495"/>
        <v>0</v>
      </c>
      <c r="BR374" s="97"/>
      <c r="BS374" s="97"/>
      <c r="BT374" s="97"/>
      <c r="BU374" s="97"/>
      <c r="BV374" s="97"/>
      <c r="BW374" s="97"/>
      <c r="BX374" s="97"/>
      <c r="BY374" s="97">
        <f t="shared" si="496"/>
        <v>0</v>
      </c>
      <c r="BZ374" s="1">
        <f t="shared" si="498"/>
        <v>0</v>
      </c>
      <c r="CA374" s="1">
        <f t="shared" si="497"/>
        <v>0</v>
      </c>
      <c r="CS374" s="1"/>
      <c r="ED374" s="1"/>
    </row>
    <row r="375" spans="2:134" ht="18.75">
      <c r="B375" s="96"/>
      <c r="C375" s="106"/>
      <c r="D375" s="96"/>
      <c r="E375" s="96"/>
      <c r="F375" s="96"/>
      <c r="G375" s="96"/>
      <c r="H375" s="96"/>
      <c r="I375" s="96"/>
      <c r="J375" s="96"/>
      <c r="K375" s="96"/>
      <c r="L375" s="96"/>
      <c r="M375" s="96"/>
      <c r="N375" s="96"/>
      <c r="O375" s="96"/>
      <c r="P375" s="99"/>
      <c r="Q375" s="96"/>
      <c r="R375" s="96"/>
      <c r="S375" s="96"/>
      <c r="T375" s="96"/>
      <c r="U375" s="96"/>
      <c r="V375" s="96"/>
      <c r="W375" s="96"/>
      <c r="X375" s="96"/>
      <c r="Y375" s="96"/>
      <c r="Z375" s="96"/>
      <c r="AA375" s="96"/>
      <c r="AB375" s="96"/>
      <c r="AC375" s="96"/>
      <c r="AD375" s="96"/>
      <c r="AE375" s="96"/>
      <c r="AF375" s="96"/>
      <c r="AG375" s="96"/>
      <c r="AH375" s="96"/>
      <c r="AI375" s="96"/>
      <c r="AJ375" s="96"/>
      <c r="AK375" s="96"/>
      <c r="AL375" s="96"/>
      <c r="AM375" s="96"/>
      <c r="AN375" s="96"/>
      <c r="AO375" s="96"/>
      <c r="AP375" s="96"/>
      <c r="AQ375" s="96"/>
      <c r="AR375" s="96"/>
      <c r="AS375" s="96"/>
      <c r="AT375" s="96"/>
      <c r="AU375" s="96"/>
      <c r="AV375" s="96"/>
      <c r="AW375" s="96"/>
      <c r="AX375" s="96"/>
      <c r="AY375" s="96"/>
      <c r="AZ375" s="96"/>
      <c r="BA375" s="96"/>
      <c r="BB375" s="96"/>
      <c r="BC375" s="96"/>
      <c r="BD375" s="96"/>
      <c r="BE375" s="96"/>
      <c r="BF375" s="96"/>
      <c r="BG375" s="1"/>
      <c r="BH375" s="96"/>
      <c r="BI375" s="96"/>
      <c r="BJ375" s="96"/>
      <c r="BK375" s="96"/>
      <c r="BL375" s="96"/>
      <c r="BM375" s="96"/>
      <c r="BN375" s="96"/>
      <c r="BO375" s="96"/>
      <c r="BP375" s="96"/>
      <c r="BQ375" s="96"/>
      <c r="BR375" s="96"/>
      <c r="BS375" s="96"/>
      <c r="BT375" s="96"/>
      <c r="BU375" s="96"/>
      <c r="BV375" s="96"/>
      <c r="BW375" s="96"/>
      <c r="BX375" s="97"/>
      <c r="BY375" s="96"/>
      <c r="CS375" s="1"/>
      <c r="ED375" s="1"/>
    </row>
    <row r="376" spans="2:134" ht="15.75">
      <c r="B376" s="95" t="s">
        <v>1394</v>
      </c>
      <c r="C376" s="104"/>
      <c r="D376" s="98">
        <f t="shared" ref="D376:BD376" si="499">SUM(D364:D375)</f>
        <v>0</v>
      </c>
      <c r="E376" s="98">
        <f t="shared" si="499"/>
        <v>0</v>
      </c>
      <c r="F376" s="98">
        <f t="shared" si="499"/>
        <v>3692</v>
      </c>
      <c r="G376" s="98">
        <f t="shared" si="499"/>
        <v>73809</v>
      </c>
      <c r="H376" s="98">
        <f t="shared" si="499"/>
        <v>357347</v>
      </c>
      <c r="I376" s="98">
        <f t="shared" si="499"/>
        <v>4500</v>
      </c>
      <c r="J376" s="98">
        <f t="shared" si="499"/>
        <v>1699347</v>
      </c>
      <c r="K376" s="98">
        <f t="shared" si="499"/>
        <v>1303</v>
      </c>
      <c r="L376" s="98">
        <f>SUM(L364:L375)</f>
        <v>21640</v>
      </c>
      <c r="M376" s="98">
        <f t="shared" si="499"/>
        <v>660329</v>
      </c>
      <c r="N376" s="98">
        <f>SUM(N364:N375)</f>
        <v>84305</v>
      </c>
      <c r="O376" s="98">
        <f t="shared" si="499"/>
        <v>60405</v>
      </c>
      <c r="P376" s="98">
        <f t="shared" si="499"/>
        <v>0</v>
      </c>
      <c r="Q376" s="98">
        <f t="shared" si="499"/>
        <v>185629</v>
      </c>
      <c r="R376" s="98">
        <f t="shared" si="499"/>
        <v>380215</v>
      </c>
      <c r="S376" s="98">
        <f t="shared" si="499"/>
        <v>1022934</v>
      </c>
      <c r="T376" s="98">
        <f t="shared" si="499"/>
        <v>308</v>
      </c>
      <c r="U376" s="98">
        <f t="shared" si="499"/>
        <v>577048</v>
      </c>
      <c r="V376" s="98">
        <f t="shared" si="499"/>
        <v>2517</v>
      </c>
      <c r="W376" s="98">
        <f t="shared" si="499"/>
        <v>255076</v>
      </c>
      <c r="X376" s="98">
        <f t="shared" si="499"/>
        <v>4366091</v>
      </c>
      <c r="Y376" s="98">
        <f t="shared" si="499"/>
        <v>0</v>
      </c>
      <c r="Z376" s="98">
        <f t="shared" si="499"/>
        <v>107003</v>
      </c>
      <c r="AA376" s="98">
        <f t="shared" si="499"/>
        <v>100039</v>
      </c>
      <c r="AB376" s="98">
        <f>SUM(AB364:AB375)</f>
        <v>1631376</v>
      </c>
      <c r="AC376" s="98">
        <f t="shared" si="499"/>
        <v>238913</v>
      </c>
      <c r="AD376" s="98">
        <f t="shared" si="499"/>
        <v>0</v>
      </c>
      <c r="AE376" s="98">
        <f t="shared" si="499"/>
        <v>0</v>
      </c>
      <c r="AF376" s="98">
        <f t="shared" si="499"/>
        <v>21202</v>
      </c>
      <c r="AG376" s="98">
        <f t="shared" si="499"/>
        <v>0</v>
      </c>
      <c r="AH376" s="98">
        <f t="shared" si="499"/>
        <v>0</v>
      </c>
      <c r="AI376" s="98">
        <f t="shared" si="499"/>
        <v>0</v>
      </c>
      <c r="AJ376" s="98">
        <f t="shared" si="499"/>
        <v>0</v>
      </c>
      <c r="AK376" s="98">
        <f t="shared" ref="AK376:AQ376" si="500">SUM(AK364:AK375)</f>
        <v>5768</v>
      </c>
      <c r="AL376" s="98">
        <f t="shared" si="500"/>
        <v>35534</v>
      </c>
      <c r="AM376" s="98">
        <f t="shared" si="500"/>
        <v>39899</v>
      </c>
      <c r="AN376" s="98">
        <f t="shared" si="500"/>
        <v>168446</v>
      </c>
      <c r="AO376" s="98">
        <f t="shared" si="500"/>
        <v>0</v>
      </c>
      <c r="AP376" s="98">
        <f t="shared" si="500"/>
        <v>0</v>
      </c>
      <c r="AQ376" s="98">
        <f t="shared" si="500"/>
        <v>0</v>
      </c>
      <c r="AR376" s="98">
        <f t="shared" si="499"/>
        <v>0</v>
      </c>
      <c r="AS376" s="98">
        <f t="shared" si="499"/>
        <v>0</v>
      </c>
      <c r="AT376" s="98">
        <f>SUM(AT364:AT375)</f>
        <v>0</v>
      </c>
      <c r="AU376" s="98">
        <f t="shared" si="499"/>
        <v>0</v>
      </c>
      <c r="AV376" s="98">
        <f t="shared" si="499"/>
        <v>0</v>
      </c>
      <c r="AW376" s="98"/>
      <c r="AX376" s="98">
        <f t="shared" si="499"/>
        <v>0</v>
      </c>
      <c r="AY376" s="98">
        <f t="shared" si="499"/>
        <v>0</v>
      </c>
      <c r="AZ376" s="98">
        <f t="shared" si="499"/>
        <v>0</v>
      </c>
      <c r="BA376" s="98">
        <f t="shared" si="499"/>
        <v>0</v>
      </c>
      <c r="BB376" s="98">
        <f t="shared" si="499"/>
        <v>0</v>
      </c>
      <c r="BC376" s="98">
        <f t="shared" si="499"/>
        <v>6813379</v>
      </c>
      <c r="BD376" s="98">
        <f t="shared" si="499"/>
        <v>0</v>
      </c>
      <c r="BE376" s="1"/>
      <c r="BF376" s="98">
        <f t="shared" ref="BF376:BN376" si="501">SUM(BF364:BF375)</f>
        <v>18918054</v>
      </c>
      <c r="BG376" s="98">
        <f t="shared" si="501"/>
        <v>7738584</v>
      </c>
      <c r="BH376" s="98">
        <f t="shared" si="501"/>
        <v>0</v>
      </c>
      <c r="BI376" s="98">
        <f>SUM(BI364:BI375)</f>
        <v>0</v>
      </c>
      <c r="BJ376" s="98">
        <f t="shared" si="501"/>
        <v>0</v>
      </c>
      <c r="BK376" s="98">
        <f t="shared" si="501"/>
        <v>0</v>
      </c>
      <c r="BL376" s="98">
        <f>SUM(BL364:BL375)</f>
        <v>0</v>
      </c>
      <c r="BM376" s="98">
        <f>SUM(BM364:BM375)</f>
        <v>0</v>
      </c>
      <c r="BN376" s="98">
        <f t="shared" si="501"/>
        <v>0</v>
      </c>
      <c r="BO376" s="1"/>
      <c r="BP376" s="98">
        <f t="shared" ref="BP376:BW376" si="502">SUM(BP364:BP375)</f>
        <v>0</v>
      </c>
      <c r="BQ376" s="98">
        <f t="shared" si="502"/>
        <v>0</v>
      </c>
      <c r="BR376" s="98">
        <f t="shared" si="502"/>
        <v>17906114</v>
      </c>
      <c r="BS376" s="98">
        <f t="shared" si="502"/>
        <v>0</v>
      </c>
      <c r="BT376" s="98">
        <f t="shared" si="502"/>
        <v>0</v>
      </c>
      <c r="BU376" s="98">
        <f t="shared" si="502"/>
        <v>0</v>
      </c>
      <c r="BV376" s="98">
        <f>SUM(BV364:BV375)</f>
        <v>0</v>
      </c>
      <c r="BW376" s="98">
        <f t="shared" si="502"/>
        <v>2453628</v>
      </c>
      <c r="BX376" s="97"/>
      <c r="BY376" s="98">
        <f>SUM(BY364:BY375)</f>
        <v>20359742</v>
      </c>
      <c r="BZ376" s="98">
        <f>SUM(BZ364:BZ375)</f>
        <v>2453628</v>
      </c>
      <c r="CA376" s="98">
        <f>SUM(CA364:CA375)</f>
        <v>10192212</v>
      </c>
      <c r="CS376" s="1"/>
      <c r="CW376" s="98">
        <f>SUM(CW364:CW375)</f>
        <v>0</v>
      </c>
      <c r="EB376" s="98">
        <f>SUM(EB364:EB375)</f>
        <v>0</v>
      </c>
      <c r="ED376" s="1"/>
    </row>
    <row r="377" spans="2:134" ht="15.75">
      <c r="B377" s="95"/>
      <c r="C377" s="104"/>
      <c r="D377" s="99"/>
      <c r="E377" s="99"/>
      <c r="F377" s="99"/>
      <c r="G377" s="99"/>
      <c r="H377" s="99"/>
      <c r="I377" s="99"/>
      <c r="J377" s="99"/>
      <c r="K377" s="99"/>
      <c r="L377" s="99"/>
      <c r="M377" s="99"/>
      <c r="N377" s="99"/>
      <c r="O377" s="99"/>
      <c r="P377" s="99"/>
      <c r="Q377" s="99"/>
      <c r="R377" s="99"/>
      <c r="S377" s="99"/>
      <c r="T377" s="99"/>
      <c r="U377" s="99"/>
      <c r="V377" s="99"/>
      <c r="W377" s="99"/>
      <c r="X377" s="99"/>
      <c r="Y377" s="99"/>
      <c r="Z377" s="99"/>
      <c r="AA377" s="99"/>
      <c r="AB377" s="99"/>
      <c r="AC377" s="99"/>
      <c r="AD377" s="99"/>
      <c r="AE377" s="99"/>
      <c r="AF377" s="99"/>
      <c r="AG377" s="99"/>
      <c r="AH377" s="99"/>
      <c r="AI377" s="99"/>
      <c r="AJ377" s="99"/>
      <c r="AK377" s="99"/>
      <c r="AL377" s="99"/>
      <c r="AM377" s="99"/>
      <c r="AN377" s="99"/>
      <c r="AO377" s="99"/>
      <c r="AP377" s="99"/>
      <c r="AQ377" s="99"/>
      <c r="AR377" s="99"/>
      <c r="AS377" s="99"/>
      <c r="AT377" s="99"/>
      <c r="AU377" s="99"/>
      <c r="AV377" s="99"/>
      <c r="AW377" s="99"/>
      <c r="AX377" s="99"/>
      <c r="AY377" s="99"/>
      <c r="AZ377" s="99"/>
      <c r="BA377" s="99"/>
      <c r="BB377" s="99"/>
      <c r="BC377" s="99"/>
      <c r="BD377" s="99"/>
      <c r="BE377" s="99"/>
      <c r="BF377" s="99"/>
      <c r="BG377" s="99"/>
      <c r="BH377" s="99"/>
      <c r="BI377" s="99"/>
      <c r="BJ377" s="99"/>
      <c r="BK377" s="99"/>
      <c r="BL377" s="99"/>
      <c r="BM377" s="99"/>
      <c r="BN377" s="99"/>
      <c r="BO377" s="99"/>
      <c r="BP377" s="99"/>
      <c r="BQ377" s="99"/>
      <c r="BR377" s="99"/>
      <c r="BS377" s="99"/>
      <c r="BT377" s="99"/>
      <c r="BU377" s="99"/>
      <c r="BV377" s="99"/>
      <c r="BW377" s="99"/>
      <c r="BX377" s="97"/>
      <c r="BY377" s="99"/>
      <c r="CS377" s="1"/>
      <c r="ED377" s="1"/>
    </row>
    <row r="378" spans="2:134" ht="15.75">
      <c r="B378" s="95" t="s">
        <v>1395</v>
      </c>
      <c r="C378" s="105"/>
      <c r="D378" s="96"/>
      <c r="E378" s="96"/>
      <c r="F378" s="96"/>
      <c r="G378" s="96"/>
      <c r="H378" s="96"/>
      <c r="I378" s="96"/>
      <c r="J378" s="96"/>
      <c r="K378" s="96"/>
      <c r="L378" s="96"/>
      <c r="M378" s="96"/>
      <c r="N378" s="96"/>
      <c r="O378" s="96"/>
      <c r="P378" s="99"/>
      <c r="Q378" s="96"/>
      <c r="R378" s="96"/>
      <c r="S378" s="96"/>
      <c r="T378" s="96"/>
      <c r="U378" s="96"/>
      <c r="V378" s="96"/>
      <c r="W378" s="96"/>
      <c r="X378" s="96"/>
      <c r="Y378" s="96"/>
      <c r="Z378" s="96"/>
      <c r="AA378" s="96"/>
      <c r="AB378" s="96"/>
      <c r="AC378" s="96"/>
      <c r="AE378" s="96"/>
      <c r="AF378" s="96"/>
      <c r="AG378" s="96"/>
      <c r="AH378" s="96"/>
      <c r="AI378" s="96"/>
      <c r="AJ378" s="96"/>
      <c r="AK378" s="96"/>
      <c r="AL378" s="96"/>
      <c r="AM378" s="96"/>
      <c r="AN378" s="96"/>
      <c r="AO378" s="96"/>
      <c r="AP378" s="96"/>
      <c r="AQ378" s="96"/>
      <c r="AR378" s="96"/>
      <c r="AS378" s="96"/>
      <c r="AT378" s="96"/>
      <c r="AU378" s="96"/>
      <c r="AV378" s="96"/>
      <c r="AW378" s="96"/>
      <c r="AX378" s="96"/>
      <c r="AY378" s="96"/>
      <c r="AZ378" s="96"/>
      <c r="BA378" s="96"/>
      <c r="BB378" s="96"/>
      <c r="BC378" s="96"/>
      <c r="BD378" s="96"/>
      <c r="BE378" s="96"/>
      <c r="BF378" s="96"/>
      <c r="BG378" s="96"/>
      <c r="BH378" s="96"/>
      <c r="BI378" s="96"/>
      <c r="BJ378" s="96"/>
      <c r="BK378" s="96"/>
      <c r="BL378" s="96"/>
      <c r="BM378" s="96"/>
      <c r="BN378" s="96"/>
      <c r="BO378" s="96"/>
      <c r="BP378" s="96"/>
      <c r="BQ378" s="96"/>
      <c r="BR378" s="96"/>
      <c r="BS378" s="96"/>
      <c r="BT378" s="96"/>
      <c r="BU378" s="96"/>
      <c r="BV378" s="96"/>
      <c r="BW378" s="96"/>
      <c r="BX378" s="97"/>
      <c r="BY378" s="96"/>
      <c r="CS378" s="1"/>
      <c r="ED378" s="1"/>
    </row>
    <row r="379" spans="2:134" ht="18.75">
      <c r="B379" s="114" t="s">
        <v>1462</v>
      </c>
      <c r="C379" s="106" t="s">
        <v>1428</v>
      </c>
      <c r="D379" s="97">
        <f>+I517</f>
        <v>2877311</v>
      </c>
      <c r="E379" s="97"/>
      <c r="F379" s="97"/>
      <c r="G379" s="97"/>
      <c r="H379" s="97"/>
      <c r="I379" s="97"/>
      <c r="J379" s="97"/>
      <c r="K379" s="97"/>
      <c r="L379" s="97"/>
      <c r="M379" s="97"/>
      <c r="N379" s="97"/>
      <c r="O379" s="97"/>
      <c r="P379" s="99"/>
      <c r="Q379" s="97"/>
      <c r="R379" s="97"/>
      <c r="S379" s="97"/>
      <c r="T379" s="97"/>
      <c r="U379" s="97"/>
      <c r="V379" s="97"/>
      <c r="W379" s="97"/>
      <c r="X379" s="96"/>
      <c r="Y379" s="96"/>
      <c r="Z379" s="96"/>
      <c r="AA379" s="96"/>
      <c r="AB379" s="96"/>
      <c r="AC379" s="97"/>
      <c r="AD379" s="116">
        <f>+'Sys INPUT'!AD171+INPUT!AD331-AD346-AD361-AD376-AD384</f>
        <v>28133</v>
      </c>
      <c r="AE379" s="96"/>
      <c r="AF379" s="97"/>
      <c r="AG379" s="97"/>
      <c r="AH379" s="97"/>
      <c r="AI379" s="97"/>
      <c r="AJ379" s="97"/>
      <c r="AK379" s="96"/>
      <c r="AL379" s="96"/>
      <c r="AM379" s="96"/>
      <c r="AN379" s="96"/>
      <c r="AO379" s="96"/>
      <c r="AP379" s="96"/>
      <c r="AQ379" s="96"/>
      <c r="AR379" s="97"/>
      <c r="AS379" s="97"/>
      <c r="AT379" s="97"/>
      <c r="AU379" s="97"/>
      <c r="AV379" s="97"/>
      <c r="AW379" s="97"/>
      <c r="AX379" s="97"/>
      <c r="AY379" s="97"/>
      <c r="AZ379" s="97"/>
      <c r="BA379" s="97"/>
      <c r="BB379" s="97"/>
      <c r="BC379" s="96"/>
      <c r="BD379" s="97"/>
      <c r="BE379" s="97"/>
      <c r="BF379" s="97">
        <f>SUM(E379:BE379)</f>
        <v>28133</v>
      </c>
      <c r="BG379" s="1">
        <f t="shared" ref="BG379:BG380" si="503">+BF379-X379-P379-BB379-BC379</f>
        <v>28133</v>
      </c>
      <c r="BH379" s="97"/>
      <c r="BI379" s="97"/>
      <c r="BJ379" s="97"/>
      <c r="BK379" s="97"/>
      <c r="BL379" s="97"/>
      <c r="BM379" s="97"/>
      <c r="BN379" s="97"/>
      <c r="BO379" s="97"/>
      <c r="BP379" s="97">
        <f>SUM(BH379:BN379)</f>
        <v>0</v>
      </c>
      <c r="BQ379" s="97">
        <f>+BP379-BN379</f>
        <v>0</v>
      </c>
      <c r="BR379" s="97"/>
      <c r="BS379" s="97"/>
      <c r="BT379" s="97"/>
      <c r="BU379" s="97"/>
      <c r="BV379" s="97"/>
      <c r="BW379" s="97"/>
      <c r="BX379" s="97"/>
      <c r="BY379" s="97">
        <f>SUM(BR379:BX379)</f>
        <v>0</v>
      </c>
      <c r="BZ379" s="1">
        <f>+BY379-BR379</f>
        <v>0</v>
      </c>
      <c r="CA379" s="1">
        <f>+BG379+BQ379+BZ379+EF379</f>
        <v>28133</v>
      </c>
      <c r="CS379" s="1"/>
      <c r="ED379" s="1"/>
    </row>
    <row r="380" spans="2:134" ht="18.75">
      <c r="B380" s="114" t="s">
        <v>683</v>
      </c>
      <c r="C380" s="106"/>
      <c r="D380" s="97"/>
      <c r="E380" s="97"/>
      <c r="F380" s="97"/>
      <c r="G380" s="97"/>
      <c r="H380" s="97"/>
      <c r="I380" s="97"/>
      <c r="J380" s="97"/>
      <c r="K380" s="97"/>
      <c r="L380" s="97"/>
      <c r="M380" s="97"/>
      <c r="N380" s="97"/>
      <c r="O380" s="97"/>
      <c r="P380" s="99"/>
      <c r="Q380" s="97"/>
      <c r="R380" s="97"/>
      <c r="S380" s="97"/>
      <c r="T380" s="97"/>
      <c r="U380" s="97"/>
      <c r="V380" s="97"/>
      <c r="W380" s="97"/>
      <c r="X380" s="96"/>
      <c r="Y380" s="116">
        <f>+'Sys INPUT'!Y171+INPUT!Y331-Y346-Y361-Y376-Y384</f>
        <v>35779</v>
      </c>
      <c r="Z380" s="96"/>
      <c r="AC380" s="97"/>
      <c r="AE380" s="96"/>
      <c r="AF380" s="97"/>
      <c r="AG380" s="97"/>
      <c r="AH380" s="97"/>
      <c r="AI380" s="97"/>
      <c r="AJ380" s="97"/>
      <c r="AK380" s="97"/>
      <c r="AL380" s="97"/>
      <c r="AM380" s="97"/>
      <c r="AN380" s="97"/>
      <c r="AO380" s="97"/>
      <c r="AP380" s="97"/>
      <c r="AQ380" s="97"/>
      <c r="AR380" s="97"/>
      <c r="AS380" s="97"/>
      <c r="AT380" s="97"/>
      <c r="AU380" s="97"/>
      <c r="AV380" s="97"/>
      <c r="AW380" s="97"/>
      <c r="AX380" s="97"/>
      <c r="AY380" s="97"/>
      <c r="AZ380" s="97"/>
      <c r="BA380" s="97"/>
      <c r="BB380" s="97"/>
      <c r="BC380" s="97"/>
      <c r="BD380" s="97"/>
      <c r="BE380" s="97"/>
      <c r="BF380" s="97">
        <f>SUM(E380:BE380)</f>
        <v>35779</v>
      </c>
      <c r="BG380" s="1">
        <f t="shared" si="503"/>
        <v>35779</v>
      </c>
      <c r="BH380" s="97"/>
      <c r="BI380" s="97"/>
      <c r="BJ380" s="97"/>
      <c r="BK380" s="97"/>
      <c r="BL380" s="97"/>
      <c r="BM380" s="97"/>
      <c r="BN380" s="97"/>
      <c r="BO380" s="97"/>
      <c r="BP380" s="97">
        <f>SUM(BH380:BN380)</f>
        <v>0</v>
      </c>
      <c r="BQ380" s="97">
        <f>+BP380-BN380</f>
        <v>0</v>
      </c>
      <c r="BR380" s="97"/>
      <c r="BS380" s="97"/>
      <c r="BT380" s="97"/>
      <c r="BU380" s="97"/>
      <c r="BV380" s="97"/>
      <c r="BW380" s="97"/>
      <c r="BX380" s="97"/>
      <c r="BY380" s="97">
        <f>SUM(BR380:BX380)</f>
        <v>0</v>
      </c>
      <c r="BZ380" s="1">
        <f>+BY380-BR380</f>
        <v>0</v>
      </c>
      <c r="CA380" s="1">
        <f>+BG380+BQ380+BZ380+EF380</f>
        <v>35779</v>
      </c>
      <c r="CS380" s="1"/>
      <c r="ED380" s="1"/>
    </row>
    <row r="381" spans="2:134" ht="18.75">
      <c r="B381" s="96"/>
      <c r="C381" s="106"/>
      <c r="D381" s="96"/>
      <c r="E381" s="96"/>
      <c r="F381" s="96"/>
      <c r="G381" s="96"/>
      <c r="H381" s="96"/>
      <c r="I381" s="96"/>
      <c r="J381" s="96"/>
      <c r="K381" s="96"/>
      <c r="L381" s="96"/>
      <c r="M381" s="96"/>
      <c r="N381" s="96"/>
      <c r="O381" s="96"/>
      <c r="P381" s="99"/>
      <c r="Q381" s="96"/>
      <c r="R381" s="96"/>
      <c r="S381" s="96"/>
      <c r="T381" s="96"/>
      <c r="U381" s="96"/>
      <c r="V381" s="96"/>
      <c r="W381" s="96"/>
      <c r="X381" s="96"/>
      <c r="Y381" s="96"/>
      <c r="Z381" s="96"/>
      <c r="AA381" s="96"/>
      <c r="AB381" s="96"/>
      <c r="AC381" s="96"/>
      <c r="AD381" s="96"/>
      <c r="AE381" s="96"/>
      <c r="AF381" s="96"/>
      <c r="AG381" s="96"/>
      <c r="AH381" s="96"/>
      <c r="AI381" s="96"/>
      <c r="AJ381" s="96"/>
      <c r="AK381" s="96"/>
      <c r="AL381" s="96"/>
      <c r="AM381" s="96"/>
      <c r="AN381" s="96"/>
      <c r="AO381" s="96"/>
      <c r="AP381" s="96"/>
      <c r="AQ381" s="96"/>
      <c r="AR381" s="96"/>
      <c r="AS381" s="96"/>
      <c r="AT381" s="96"/>
      <c r="AU381" s="96"/>
      <c r="AV381" s="96"/>
      <c r="AW381" s="96"/>
      <c r="AX381" s="96"/>
      <c r="AY381" s="96"/>
      <c r="AZ381" s="96"/>
      <c r="BA381" s="96"/>
      <c r="BB381" s="96"/>
      <c r="BC381" s="96"/>
      <c r="BD381" s="96"/>
      <c r="BE381" s="96"/>
      <c r="BF381" s="96"/>
      <c r="BG381" s="96"/>
      <c r="BH381" s="96"/>
      <c r="BI381" s="96"/>
      <c r="BJ381" s="96"/>
      <c r="BK381" s="96"/>
      <c r="BL381" s="96"/>
      <c r="BM381" s="96"/>
      <c r="BN381" s="96"/>
      <c r="BO381" s="96"/>
      <c r="BP381" s="96"/>
      <c r="BQ381" s="96"/>
      <c r="BR381" s="96"/>
      <c r="BS381" s="96"/>
      <c r="BT381" s="96"/>
      <c r="BU381" s="96"/>
      <c r="BV381" s="96"/>
      <c r="BW381" s="96"/>
      <c r="BX381" s="97"/>
      <c r="BY381" s="96"/>
      <c r="CS381" s="1"/>
      <c r="ED381" s="1"/>
    </row>
    <row r="382" spans="2:134" ht="15.75">
      <c r="B382" s="95" t="s">
        <v>1396</v>
      </c>
      <c r="C382" s="104"/>
      <c r="D382" s="98">
        <f t="shared" ref="D382:BD382" si="504">SUM(D379:D381)</f>
        <v>2877311</v>
      </c>
      <c r="E382" s="98">
        <f t="shared" si="504"/>
        <v>0</v>
      </c>
      <c r="F382" s="98">
        <f t="shared" si="504"/>
        <v>0</v>
      </c>
      <c r="G382" s="98">
        <f t="shared" si="504"/>
        <v>0</v>
      </c>
      <c r="H382" s="98">
        <f t="shared" si="504"/>
        <v>0</v>
      </c>
      <c r="I382" s="98">
        <f t="shared" si="504"/>
        <v>0</v>
      </c>
      <c r="J382" s="98">
        <f t="shared" si="504"/>
        <v>0</v>
      </c>
      <c r="K382" s="98">
        <f t="shared" si="504"/>
        <v>0</v>
      </c>
      <c r="L382" s="98">
        <f>SUM(L379:L381)</f>
        <v>0</v>
      </c>
      <c r="M382" s="98">
        <f t="shared" si="504"/>
        <v>0</v>
      </c>
      <c r="N382" s="98">
        <f>SUM(N379:N381)</f>
        <v>0</v>
      </c>
      <c r="O382" s="98">
        <f t="shared" si="504"/>
        <v>0</v>
      </c>
      <c r="P382" s="98">
        <f t="shared" si="504"/>
        <v>0</v>
      </c>
      <c r="Q382" s="98">
        <f t="shared" si="504"/>
        <v>0</v>
      </c>
      <c r="R382" s="98">
        <f t="shared" si="504"/>
        <v>0</v>
      </c>
      <c r="S382" s="98">
        <f t="shared" si="504"/>
        <v>0</v>
      </c>
      <c r="T382" s="98">
        <f t="shared" si="504"/>
        <v>0</v>
      </c>
      <c r="U382" s="98">
        <f t="shared" si="504"/>
        <v>0</v>
      </c>
      <c r="V382" s="98">
        <f t="shared" si="504"/>
        <v>0</v>
      </c>
      <c r="W382" s="98">
        <f t="shared" si="504"/>
        <v>0</v>
      </c>
      <c r="X382" s="98">
        <f t="shared" si="504"/>
        <v>0</v>
      </c>
      <c r="Y382" s="98">
        <f t="shared" si="504"/>
        <v>35779</v>
      </c>
      <c r="Z382" s="98">
        <f t="shared" si="504"/>
        <v>0</v>
      </c>
      <c r="AA382" s="98">
        <f t="shared" si="504"/>
        <v>0</v>
      </c>
      <c r="AB382" s="98">
        <f>SUM(AB379:AB381)</f>
        <v>0</v>
      </c>
      <c r="AC382" s="98">
        <f t="shared" si="504"/>
        <v>0</v>
      </c>
      <c r="AD382" s="98">
        <f t="shared" si="504"/>
        <v>28133</v>
      </c>
      <c r="AE382" s="98">
        <f t="shared" si="504"/>
        <v>0</v>
      </c>
      <c r="AF382" s="98">
        <f t="shared" si="504"/>
        <v>0</v>
      </c>
      <c r="AG382" s="98">
        <f t="shared" si="504"/>
        <v>0</v>
      </c>
      <c r="AH382" s="98">
        <f t="shared" si="504"/>
        <v>0</v>
      </c>
      <c r="AI382" s="98">
        <f t="shared" si="504"/>
        <v>0</v>
      </c>
      <c r="AJ382" s="98">
        <f t="shared" si="504"/>
        <v>0</v>
      </c>
      <c r="AK382" s="98">
        <f t="shared" ref="AK382:AQ382" si="505">SUM(AK379:AK381)</f>
        <v>0</v>
      </c>
      <c r="AL382" s="98">
        <f t="shared" si="505"/>
        <v>0</v>
      </c>
      <c r="AM382" s="98">
        <f t="shared" si="505"/>
        <v>0</v>
      </c>
      <c r="AN382" s="98">
        <f t="shared" si="505"/>
        <v>0</v>
      </c>
      <c r="AO382" s="98">
        <f t="shared" si="505"/>
        <v>0</v>
      </c>
      <c r="AP382" s="98">
        <f t="shared" si="505"/>
        <v>0</v>
      </c>
      <c r="AQ382" s="98">
        <f t="shared" si="505"/>
        <v>0</v>
      </c>
      <c r="AR382" s="98">
        <f t="shared" si="504"/>
        <v>0</v>
      </c>
      <c r="AS382" s="98">
        <f t="shared" si="504"/>
        <v>0</v>
      </c>
      <c r="AT382" s="98">
        <f>SUM(AT379:AT381)</f>
        <v>0</v>
      </c>
      <c r="AU382" s="98">
        <f t="shared" si="504"/>
        <v>0</v>
      </c>
      <c r="AV382" s="98">
        <f t="shared" si="504"/>
        <v>0</v>
      </c>
      <c r="AW382" s="98"/>
      <c r="AX382" s="98">
        <f t="shared" si="504"/>
        <v>0</v>
      </c>
      <c r="AY382" s="98">
        <f t="shared" si="504"/>
        <v>0</v>
      </c>
      <c r="AZ382" s="98">
        <f t="shared" si="504"/>
        <v>0</v>
      </c>
      <c r="BA382" s="98">
        <f t="shared" si="504"/>
        <v>0</v>
      </c>
      <c r="BB382" s="98">
        <f t="shared" si="504"/>
        <v>0</v>
      </c>
      <c r="BC382" s="98">
        <f t="shared" si="504"/>
        <v>0</v>
      </c>
      <c r="BD382" s="98">
        <f t="shared" si="504"/>
        <v>0</v>
      </c>
      <c r="BE382" s="1"/>
      <c r="BF382" s="98">
        <f t="shared" ref="BF382:BN382" si="506">SUM(BF379:BF381)</f>
        <v>63912</v>
      </c>
      <c r="BG382" s="98">
        <f t="shared" si="506"/>
        <v>63912</v>
      </c>
      <c r="BH382" s="98">
        <f t="shared" si="506"/>
        <v>0</v>
      </c>
      <c r="BI382" s="98">
        <f>SUM(BI379:BI381)</f>
        <v>0</v>
      </c>
      <c r="BJ382" s="98">
        <f t="shared" si="506"/>
        <v>0</v>
      </c>
      <c r="BK382" s="98">
        <f t="shared" si="506"/>
        <v>0</v>
      </c>
      <c r="BL382" s="98">
        <f>SUM(BL379:BL381)</f>
        <v>0</v>
      </c>
      <c r="BM382" s="98">
        <f>SUM(BM379:BM381)</f>
        <v>0</v>
      </c>
      <c r="BN382" s="98">
        <f t="shared" si="506"/>
        <v>0</v>
      </c>
      <c r="BO382" s="1"/>
      <c r="BP382" s="98">
        <f t="shared" ref="BP382:BW382" si="507">SUM(BP379:BP381)</f>
        <v>0</v>
      </c>
      <c r="BQ382" s="98">
        <f t="shared" si="507"/>
        <v>0</v>
      </c>
      <c r="BR382" s="98">
        <f t="shared" si="507"/>
        <v>0</v>
      </c>
      <c r="BS382" s="98">
        <f t="shared" si="507"/>
        <v>0</v>
      </c>
      <c r="BT382" s="98">
        <f t="shared" si="507"/>
        <v>0</v>
      </c>
      <c r="BU382" s="98">
        <f t="shared" si="507"/>
        <v>0</v>
      </c>
      <c r="BV382" s="98">
        <f>SUM(BV379:BV381)</f>
        <v>0</v>
      </c>
      <c r="BW382" s="98">
        <f t="shared" si="507"/>
        <v>0</v>
      </c>
      <c r="BX382" s="97"/>
      <c r="BY382" s="98">
        <f>SUM(BY379:BY381)</f>
        <v>0</v>
      </c>
      <c r="BZ382" s="98">
        <f>SUM(BZ379:BZ381)</f>
        <v>0</v>
      </c>
      <c r="CA382" s="98">
        <f>SUM(CA379:CA381)</f>
        <v>63912</v>
      </c>
      <c r="CS382" s="1"/>
      <c r="CW382" s="98">
        <f>SUM(CW379:CW381)</f>
        <v>0</v>
      </c>
      <c r="EB382" s="98">
        <f>SUM(EB379:EB381)</f>
        <v>0</v>
      </c>
      <c r="ED382" s="1"/>
    </row>
    <row r="383" spans="2:134" ht="15.75">
      <c r="B383" s="95"/>
      <c r="C383" s="104"/>
      <c r="D383" s="99"/>
      <c r="E383" s="99"/>
      <c r="F383" s="99"/>
      <c r="G383" s="99"/>
      <c r="H383" s="99"/>
      <c r="I383" s="99"/>
      <c r="J383" s="99"/>
      <c r="K383" s="99"/>
      <c r="L383" s="99"/>
      <c r="M383" s="99"/>
      <c r="N383" s="1"/>
      <c r="O383" s="1"/>
      <c r="P383" s="99"/>
      <c r="Q383" s="99"/>
      <c r="BW383" s="143" t="s">
        <v>3169</v>
      </c>
      <c r="BX383" s="97"/>
      <c r="CS383" s="1"/>
      <c r="ED383" s="1"/>
    </row>
    <row r="384" spans="2:134" ht="18.75">
      <c r="B384" s="95" t="s">
        <v>1397</v>
      </c>
      <c r="C384" s="106">
        <v>5</v>
      </c>
      <c r="D384" s="116">
        <f>+'Sys INPUT'!D171+INPUT!D331-D346-D361-D376-D382</f>
        <v>7125018</v>
      </c>
      <c r="E384" s="99">
        <v>-102054</v>
      </c>
      <c r="F384" s="99"/>
      <c r="G384" s="99"/>
      <c r="H384" s="99"/>
      <c r="I384" s="99"/>
      <c r="J384" s="99"/>
      <c r="K384" s="99"/>
      <c r="L384" s="99"/>
      <c r="M384" s="99"/>
      <c r="N384" s="1"/>
      <c r="O384" s="1"/>
      <c r="P384" s="99"/>
      <c r="Q384" s="99"/>
      <c r="AU384">
        <v>-1287</v>
      </c>
      <c r="AV384">
        <v>-22045</v>
      </c>
      <c r="AX384">
        <v>-11972</v>
      </c>
      <c r="BA384">
        <v>-8728</v>
      </c>
      <c r="BB384">
        <v>-287714</v>
      </c>
      <c r="BF384" s="97">
        <f>SUM(E384:BE384)</f>
        <v>-433800</v>
      </c>
      <c r="BG384" s="1">
        <f>+BF384-X384-P384-BB384-BC384</f>
        <v>-146086</v>
      </c>
      <c r="BP384" s="97">
        <f>SUM(BH384:BN384)</f>
        <v>0</v>
      </c>
      <c r="BQ384" s="97">
        <f>+BP384-BN384</f>
        <v>0</v>
      </c>
      <c r="BT384">
        <v>-24383</v>
      </c>
      <c r="BX384" s="97"/>
      <c r="BY384" s="97">
        <f>SUM(BR384:BX384)</f>
        <v>-24383</v>
      </c>
      <c r="BZ384" s="1">
        <f>+BY384-BR384</f>
        <v>-24383</v>
      </c>
      <c r="CA384" s="1">
        <f>+BG384+BQ384+BZ384+EF384</f>
        <v>-170469</v>
      </c>
      <c r="CS384" s="1"/>
      <c r="ED384" s="1"/>
    </row>
    <row r="385" spans="2:134" ht="15">
      <c r="B385" s="1"/>
      <c r="C385" s="11"/>
      <c r="D385" s="1"/>
      <c r="E385" s="1"/>
      <c r="F385" s="1"/>
      <c r="G385" s="1"/>
      <c r="H385" s="1"/>
      <c r="I385" s="1"/>
      <c r="J385" s="1"/>
      <c r="K385" s="1"/>
      <c r="L385" s="1"/>
      <c r="M385" s="1"/>
      <c r="N385" s="1"/>
      <c r="O385" s="1"/>
      <c r="P385" s="1"/>
      <c r="Q385" s="1"/>
      <c r="BX385" s="97"/>
      <c r="CS385" s="1"/>
      <c r="ED385" s="1"/>
    </row>
    <row r="386" spans="2:134" ht="16.5" thickBot="1">
      <c r="B386" s="95" t="s">
        <v>1398</v>
      </c>
      <c r="C386" s="105"/>
      <c r="D386" s="100">
        <f t="shared" ref="D386:AI386" si="508">+D346+D361+D376+D382+D384</f>
        <v>10224732</v>
      </c>
      <c r="E386" s="100">
        <f t="shared" si="508"/>
        <v>-102054</v>
      </c>
      <c r="F386" s="100">
        <f t="shared" si="508"/>
        <v>3692</v>
      </c>
      <c r="G386" s="100">
        <f t="shared" si="508"/>
        <v>73809</v>
      </c>
      <c r="H386" s="100">
        <f t="shared" si="508"/>
        <v>357347</v>
      </c>
      <c r="I386" s="100">
        <f t="shared" si="508"/>
        <v>4500</v>
      </c>
      <c r="J386" s="100">
        <f t="shared" si="508"/>
        <v>2097057</v>
      </c>
      <c r="K386" s="100">
        <f t="shared" si="508"/>
        <v>1303</v>
      </c>
      <c r="L386" s="100">
        <f t="shared" si="508"/>
        <v>21640</v>
      </c>
      <c r="M386" s="100">
        <f t="shared" si="508"/>
        <v>660329</v>
      </c>
      <c r="N386" s="100">
        <f t="shared" si="508"/>
        <v>84305</v>
      </c>
      <c r="O386" s="100">
        <f t="shared" si="508"/>
        <v>60405</v>
      </c>
      <c r="P386" s="100">
        <f t="shared" si="508"/>
        <v>0</v>
      </c>
      <c r="Q386" s="100">
        <f t="shared" si="508"/>
        <v>185629</v>
      </c>
      <c r="R386" s="100">
        <f t="shared" si="508"/>
        <v>380215</v>
      </c>
      <c r="S386" s="100">
        <f t="shared" si="508"/>
        <v>1022934</v>
      </c>
      <c r="T386" s="100">
        <f t="shared" si="508"/>
        <v>308</v>
      </c>
      <c r="U386" s="100">
        <f t="shared" si="508"/>
        <v>653461</v>
      </c>
      <c r="V386" s="100">
        <f t="shared" si="508"/>
        <v>2517</v>
      </c>
      <c r="W386" s="100">
        <f t="shared" si="508"/>
        <v>255076</v>
      </c>
      <c r="X386" s="100">
        <f t="shared" si="508"/>
        <v>4366091</v>
      </c>
      <c r="Y386" s="100">
        <f t="shared" si="508"/>
        <v>35779</v>
      </c>
      <c r="Z386" s="100">
        <f t="shared" si="508"/>
        <v>107003</v>
      </c>
      <c r="AA386" s="100">
        <f t="shared" si="508"/>
        <v>100039</v>
      </c>
      <c r="AB386" s="100">
        <f>+AB346+AB361+AB376+AB382+AB384</f>
        <v>1631376</v>
      </c>
      <c r="AC386" s="100">
        <f t="shared" si="508"/>
        <v>238913</v>
      </c>
      <c r="AD386" s="100">
        <f t="shared" si="508"/>
        <v>28133</v>
      </c>
      <c r="AE386" s="100">
        <f t="shared" si="508"/>
        <v>82435</v>
      </c>
      <c r="AF386" s="100">
        <f t="shared" si="508"/>
        <v>21202</v>
      </c>
      <c r="AG386" s="100">
        <f t="shared" si="508"/>
        <v>422641</v>
      </c>
      <c r="AH386" s="100">
        <f t="shared" si="508"/>
        <v>253738</v>
      </c>
      <c r="AI386" s="100">
        <f t="shared" si="508"/>
        <v>21826</v>
      </c>
      <c r="AJ386" s="100">
        <f t="shared" ref="AJ386:BD386" si="509">+AJ346+AJ361+AJ376+AJ382+AJ384</f>
        <v>62464</v>
      </c>
      <c r="AK386" s="100">
        <f>+AK346+AK361+AK376+AK382+AK384</f>
        <v>5768</v>
      </c>
      <c r="AL386" s="100">
        <f t="shared" si="509"/>
        <v>35534</v>
      </c>
      <c r="AM386" s="100">
        <f t="shared" si="509"/>
        <v>39899</v>
      </c>
      <c r="AN386" s="100">
        <f t="shared" si="509"/>
        <v>168446</v>
      </c>
      <c r="AO386" s="100">
        <f t="shared" si="509"/>
        <v>0</v>
      </c>
      <c r="AP386" s="100">
        <f t="shared" si="509"/>
        <v>1675727</v>
      </c>
      <c r="AQ386" s="100">
        <f t="shared" si="509"/>
        <v>872198</v>
      </c>
      <c r="AR386" s="100">
        <f t="shared" si="509"/>
        <v>104504</v>
      </c>
      <c r="AS386" s="100">
        <f t="shared" si="509"/>
        <v>96879</v>
      </c>
      <c r="AT386" s="100">
        <f>+AT346+AT361+AT376+AT382+AT384</f>
        <v>247580</v>
      </c>
      <c r="AU386" s="100">
        <f t="shared" si="509"/>
        <v>-1287</v>
      </c>
      <c r="AV386" s="100">
        <f t="shared" si="509"/>
        <v>-22045</v>
      </c>
      <c r="AW386" s="100"/>
      <c r="AX386" s="100">
        <f t="shared" si="509"/>
        <v>-11972</v>
      </c>
      <c r="AY386" s="100">
        <f t="shared" si="509"/>
        <v>0</v>
      </c>
      <c r="AZ386" s="100">
        <f t="shared" si="509"/>
        <v>17572</v>
      </c>
      <c r="BA386" s="100">
        <f t="shared" si="509"/>
        <v>-8728</v>
      </c>
      <c r="BB386" s="100">
        <f t="shared" si="509"/>
        <v>-287714</v>
      </c>
      <c r="BC386" s="100">
        <f t="shared" si="509"/>
        <v>6813379</v>
      </c>
      <c r="BD386" s="100">
        <f t="shared" si="509"/>
        <v>371646</v>
      </c>
      <c r="BF386" s="100">
        <f>+BF346+BF361+BF376+BF382+BF384</f>
        <v>23251499</v>
      </c>
      <c r="BG386" s="100">
        <f>+BG346+BG361+BG376+BG382+BG384</f>
        <v>12359743</v>
      </c>
      <c r="BH386" s="100">
        <f t="shared" ref="BH386:BN386" si="510">+BH346+BH361+BH376+BH382+BH384</f>
        <v>0</v>
      </c>
      <c r="BI386" s="100">
        <f t="shared" si="510"/>
        <v>41294</v>
      </c>
      <c r="BJ386" s="100">
        <f t="shared" si="510"/>
        <v>0</v>
      </c>
      <c r="BK386" s="100">
        <f t="shared" si="510"/>
        <v>387148</v>
      </c>
      <c r="BL386" s="100">
        <f t="shared" si="510"/>
        <v>55606</v>
      </c>
      <c r="BM386" s="100">
        <f>+BM346+BM361+BM376+BM382+BM384</f>
        <v>19430</v>
      </c>
      <c r="BN386" s="100">
        <f t="shared" si="510"/>
        <v>121101</v>
      </c>
      <c r="BP386" s="100">
        <f t="shared" ref="BP386:BW386" si="511">+BP346+BP361+BP376+BP382+BP384</f>
        <v>624579</v>
      </c>
      <c r="BQ386" s="100">
        <f t="shared" si="511"/>
        <v>503478</v>
      </c>
      <c r="BR386" s="100">
        <f t="shared" si="511"/>
        <v>17906114</v>
      </c>
      <c r="BS386" s="100">
        <f t="shared" si="511"/>
        <v>0</v>
      </c>
      <c r="BT386" s="100">
        <f t="shared" si="511"/>
        <v>-24383</v>
      </c>
      <c r="BU386" s="100">
        <f t="shared" si="511"/>
        <v>0</v>
      </c>
      <c r="BV386" s="100">
        <f>+BV346+BV361+BV376+BV382+BV384</f>
        <v>0</v>
      </c>
      <c r="BW386" s="100">
        <f t="shared" si="511"/>
        <v>2342458</v>
      </c>
      <c r="BX386" s="97"/>
      <c r="BY386" s="100">
        <f>+BY346+BY361+BY376+BY382+BY384</f>
        <v>20224189</v>
      </c>
      <c r="BZ386" s="100">
        <f>+BZ346+BZ361+BZ376+BZ382+BZ384</f>
        <v>2318075</v>
      </c>
      <c r="CA386" s="100">
        <f>+CA346+CA361+CA376+CA382+CA384</f>
        <v>15547193</v>
      </c>
      <c r="CS386" s="1"/>
      <c r="CW386" s="100">
        <f>+CW346+CW361+CW376+CW382+CW384</f>
        <v>0</v>
      </c>
      <c r="EB386" s="100">
        <f>+EB346+EB361+EB376+EB382+EB384</f>
        <v>0</v>
      </c>
      <c r="ED386" s="1"/>
    </row>
    <row r="387" spans="2:134" ht="15.75" thickTop="1">
      <c r="B387" s="1"/>
      <c r="C387" s="11"/>
      <c r="D387" s="1">
        <f t="shared" ref="D387:O387" si="512">+D386-D73</f>
        <v>0</v>
      </c>
      <c r="E387" s="1">
        <f t="shared" si="512"/>
        <v>0</v>
      </c>
      <c r="F387" s="1">
        <f t="shared" si="512"/>
        <v>0</v>
      </c>
      <c r="G387" s="1">
        <f t="shared" si="512"/>
        <v>0</v>
      </c>
      <c r="H387" s="1">
        <f t="shared" si="512"/>
        <v>0</v>
      </c>
      <c r="I387" s="1">
        <f t="shared" si="512"/>
        <v>0</v>
      </c>
      <c r="J387" s="1">
        <f t="shared" si="512"/>
        <v>0</v>
      </c>
      <c r="K387" s="1">
        <f t="shared" si="512"/>
        <v>0</v>
      </c>
      <c r="L387" s="1">
        <f t="shared" si="512"/>
        <v>0</v>
      </c>
      <c r="M387" s="1">
        <f t="shared" si="512"/>
        <v>0</v>
      </c>
      <c r="N387" s="1">
        <f t="shared" si="512"/>
        <v>0</v>
      </c>
      <c r="O387" s="1">
        <f t="shared" si="512"/>
        <v>0</v>
      </c>
      <c r="P387" s="1"/>
      <c r="Q387" s="1">
        <f t="shared" ref="Q387:AV387" si="513">+Q386-Q73</f>
        <v>0</v>
      </c>
      <c r="R387" s="1">
        <f t="shared" si="513"/>
        <v>0</v>
      </c>
      <c r="S387" s="1">
        <f t="shared" si="513"/>
        <v>0</v>
      </c>
      <c r="T387" s="1">
        <f t="shared" si="513"/>
        <v>0</v>
      </c>
      <c r="U387" s="1">
        <f t="shared" si="513"/>
        <v>0</v>
      </c>
      <c r="V387" s="1">
        <f t="shared" si="513"/>
        <v>0</v>
      </c>
      <c r="W387" s="1">
        <f t="shared" si="513"/>
        <v>0</v>
      </c>
      <c r="X387" s="1">
        <f t="shared" si="513"/>
        <v>0</v>
      </c>
      <c r="Y387" s="1">
        <f t="shared" si="513"/>
        <v>0</v>
      </c>
      <c r="Z387" s="1">
        <f t="shared" si="513"/>
        <v>0</v>
      </c>
      <c r="AA387" s="1">
        <f t="shared" si="513"/>
        <v>0</v>
      </c>
      <c r="AB387" s="1">
        <f t="shared" si="513"/>
        <v>0</v>
      </c>
      <c r="AC387" s="1">
        <f t="shared" si="513"/>
        <v>0</v>
      </c>
      <c r="AD387" s="1">
        <f t="shared" si="513"/>
        <v>0</v>
      </c>
      <c r="AE387" s="1">
        <f t="shared" si="513"/>
        <v>0</v>
      </c>
      <c r="AF387" s="1">
        <f t="shared" si="513"/>
        <v>0</v>
      </c>
      <c r="AG387" s="1">
        <f t="shared" si="513"/>
        <v>0</v>
      </c>
      <c r="AH387" s="1">
        <f t="shared" si="513"/>
        <v>0</v>
      </c>
      <c r="AI387" s="1">
        <f t="shared" si="513"/>
        <v>0</v>
      </c>
      <c r="AJ387" s="1">
        <f t="shared" si="513"/>
        <v>0</v>
      </c>
      <c r="AK387" s="1">
        <f t="shared" si="513"/>
        <v>0</v>
      </c>
      <c r="AL387" s="1">
        <f t="shared" si="513"/>
        <v>0</v>
      </c>
      <c r="AM387" s="1">
        <f t="shared" si="513"/>
        <v>0</v>
      </c>
      <c r="AN387" s="1">
        <f t="shared" si="513"/>
        <v>0</v>
      </c>
      <c r="AO387" s="1">
        <f t="shared" si="513"/>
        <v>0</v>
      </c>
      <c r="AP387" s="1">
        <f t="shared" si="513"/>
        <v>0</v>
      </c>
      <c r="AQ387" s="1">
        <f t="shared" si="513"/>
        <v>0</v>
      </c>
      <c r="AR387" s="1">
        <f t="shared" si="513"/>
        <v>0</v>
      </c>
      <c r="AS387" s="1">
        <f t="shared" si="513"/>
        <v>0</v>
      </c>
      <c r="AT387" s="1">
        <f t="shared" si="513"/>
        <v>0</v>
      </c>
      <c r="AU387" s="1">
        <f t="shared" si="513"/>
        <v>0</v>
      </c>
      <c r="AV387" s="1">
        <f t="shared" si="513"/>
        <v>0</v>
      </c>
      <c r="AW387" s="1"/>
      <c r="AX387" s="1">
        <f t="shared" ref="AX387:BD387" si="514">+AX386-AX73</f>
        <v>0</v>
      </c>
      <c r="AY387" s="1">
        <f t="shared" si="514"/>
        <v>0</v>
      </c>
      <c r="AZ387" s="1">
        <f t="shared" si="514"/>
        <v>0</v>
      </c>
      <c r="BA387" s="1">
        <f t="shared" si="514"/>
        <v>0</v>
      </c>
      <c r="BB387" s="1">
        <f t="shared" si="514"/>
        <v>0</v>
      </c>
      <c r="BC387" s="1">
        <f t="shared" si="514"/>
        <v>0</v>
      </c>
      <c r="BD387" s="1">
        <f t="shared" si="514"/>
        <v>0</v>
      </c>
      <c r="BF387" s="1">
        <f>+BF386-BF73</f>
        <v>0</v>
      </c>
      <c r="BG387" s="1"/>
      <c r="BH387" s="1">
        <f t="shared" ref="BH387:BN387" si="515">+BH386-BH73</f>
        <v>0</v>
      </c>
      <c r="BI387" s="1">
        <f t="shared" si="515"/>
        <v>0</v>
      </c>
      <c r="BJ387" s="1">
        <f t="shared" si="515"/>
        <v>0</v>
      </c>
      <c r="BK387" s="1">
        <f t="shared" si="515"/>
        <v>0</v>
      </c>
      <c r="BL387" s="1">
        <f t="shared" si="515"/>
        <v>0</v>
      </c>
      <c r="BM387" s="1">
        <f t="shared" si="515"/>
        <v>0</v>
      </c>
      <c r="BN387" s="1">
        <f t="shared" si="515"/>
        <v>0</v>
      </c>
      <c r="BP387" s="1">
        <f>+BP386-BP73</f>
        <v>0</v>
      </c>
      <c r="BR387" s="1">
        <f t="shared" ref="BR387:BW387" si="516">+BR386-BR73</f>
        <v>0</v>
      </c>
      <c r="BS387" s="1">
        <f t="shared" si="516"/>
        <v>0</v>
      </c>
      <c r="BT387" s="1">
        <f t="shared" si="516"/>
        <v>0</v>
      </c>
      <c r="BU387" s="1">
        <f t="shared" si="516"/>
        <v>0</v>
      </c>
      <c r="BV387" s="1">
        <f t="shared" si="516"/>
        <v>0</v>
      </c>
      <c r="BW387" s="1">
        <f t="shared" si="516"/>
        <v>0</v>
      </c>
      <c r="BX387" s="97"/>
      <c r="BY387" s="1">
        <f>+BY386-BY73</f>
        <v>0</v>
      </c>
      <c r="BZ387" s="1">
        <f>+BZ386-BZ75</f>
        <v>0</v>
      </c>
      <c r="CS387" s="1"/>
      <c r="CW387" s="1">
        <f>+CW386-CW73</f>
        <v>-3980305</v>
      </c>
      <c r="EB387" s="1">
        <f>+EB386-EB73</f>
        <v>0</v>
      </c>
      <c r="ED387" s="1"/>
    </row>
    <row r="388" spans="2:134" ht="15">
      <c r="B388" s="1"/>
      <c r="C388" s="11"/>
      <c r="D388" s="1"/>
      <c r="E388" s="1"/>
      <c r="F388" s="1"/>
      <c r="G388" s="1"/>
      <c r="H388" s="1"/>
      <c r="I388" s="1"/>
      <c r="J388" s="1"/>
      <c r="K388" s="1"/>
      <c r="L388" s="1"/>
      <c r="M388" s="1"/>
      <c r="N388" s="1"/>
      <c r="O388" s="1"/>
      <c r="P388" s="1"/>
      <c r="Q388" s="1"/>
      <c r="BG388">
        <f>+BG387+BF387</f>
        <v>0</v>
      </c>
      <c r="BX388" s="97"/>
      <c r="CS388" s="1"/>
      <c r="ED388" s="1"/>
    </row>
    <row r="389" spans="2:134" s="123" customFormat="1" ht="15">
      <c r="B389" s="122"/>
      <c r="C389" s="122"/>
      <c r="D389" s="122" t="s">
        <v>1465</v>
      </c>
      <c r="E389" s="122" t="s">
        <v>1466</v>
      </c>
      <c r="F389" s="122" t="s">
        <v>1467</v>
      </c>
      <c r="G389" s="122" t="s">
        <v>1467</v>
      </c>
      <c r="H389" s="122" t="s">
        <v>1467</v>
      </c>
      <c r="I389" s="122" t="s">
        <v>1467</v>
      </c>
      <c r="J389" s="122" t="s">
        <v>1467</v>
      </c>
      <c r="K389" s="122" t="s">
        <v>1467</v>
      </c>
      <c r="L389" s="122" t="s">
        <v>1467</v>
      </c>
      <c r="M389" s="122" t="s">
        <v>1467</v>
      </c>
      <c r="N389" s="122" t="s">
        <v>1467</v>
      </c>
      <c r="O389" s="122" t="s">
        <v>1467</v>
      </c>
      <c r="P389" s="122"/>
      <c r="Q389" s="124" t="s">
        <v>1489</v>
      </c>
      <c r="R389" s="122" t="s">
        <v>1467</v>
      </c>
      <c r="S389" s="122" t="s">
        <v>1467</v>
      </c>
      <c r="T389" s="122" t="s">
        <v>1467</v>
      </c>
      <c r="U389" s="122" t="s">
        <v>1467</v>
      </c>
      <c r="V389" s="122" t="s">
        <v>1467</v>
      </c>
      <c r="W389" s="122" t="s">
        <v>1467</v>
      </c>
      <c r="X389" s="122" t="s">
        <v>1465</v>
      </c>
      <c r="Y389" s="123" t="s">
        <v>1504</v>
      </c>
      <c r="Z389" s="122" t="s">
        <v>1467</v>
      </c>
      <c r="AA389" s="122" t="s">
        <v>1467</v>
      </c>
      <c r="AB389" s="122" t="s">
        <v>1467</v>
      </c>
      <c r="AC389" s="122" t="s">
        <v>1516</v>
      </c>
      <c r="AD389" s="123" t="s">
        <v>1504</v>
      </c>
      <c r="AE389" s="123" t="s">
        <v>1466</v>
      </c>
      <c r="AF389" s="122" t="s">
        <v>1467</v>
      </c>
      <c r="AG389" s="123" t="s">
        <v>1466</v>
      </c>
      <c r="AH389" s="123" t="s">
        <v>1466</v>
      </c>
      <c r="AI389" s="123" t="s">
        <v>1466</v>
      </c>
      <c r="AJ389" s="123" t="s">
        <v>1466</v>
      </c>
      <c r="AR389" s="123" t="s">
        <v>1466</v>
      </c>
      <c r="AS389" s="123" t="s">
        <v>1466</v>
      </c>
      <c r="AT389" s="123" t="s">
        <v>1466</v>
      </c>
      <c r="AU389" s="123" t="s">
        <v>1466</v>
      </c>
      <c r="AV389" s="123" t="s">
        <v>1466</v>
      </c>
      <c r="AX389" s="123" t="s">
        <v>1466</v>
      </c>
      <c r="AY389" s="123" t="s">
        <v>1466</v>
      </c>
      <c r="AZ389" s="123" t="s">
        <v>1466</v>
      </c>
      <c r="BA389" s="123" t="s">
        <v>1466</v>
      </c>
      <c r="BB389" s="123" t="s">
        <v>1466</v>
      </c>
      <c r="BC389" s="123" t="s">
        <v>1467</v>
      </c>
      <c r="BD389" s="123" t="s">
        <v>1466</v>
      </c>
      <c r="BX389" s="97"/>
      <c r="CS389" s="1"/>
      <c r="ED389" s="1"/>
    </row>
    <row r="390" spans="2:134" ht="15.75">
      <c r="B390" s="1"/>
      <c r="C390" s="119" t="s">
        <v>1401</v>
      </c>
      <c r="D390" s="1"/>
      <c r="E390" s="1"/>
      <c r="F390" s="1"/>
      <c r="G390" s="1"/>
      <c r="H390" s="1"/>
      <c r="I390" s="1"/>
      <c r="J390" s="1"/>
      <c r="K390" s="1"/>
      <c r="L390" s="1"/>
      <c r="M390" s="1"/>
      <c r="N390" s="1"/>
      <c r="O390" s="1"/>
      <c r="P390" s="1"/>
      <c r="Q390" s="124" t="s">
        <v>1490</v>
      </c>
      <c r="R390" s="117"/>
      <c r="BX390" s="97"/>
      <c r="CS390" s="1"/>
      <c r="ED390" s="1"/>
    </row>
    <row r="391" spans="2:134" ht="15.75">
      <c r="B391" s="1"/>
      <c r="C391" s="30"/>
      <c r="D391" s="7" t="s">
        <v>1407</v>
      </c>
      <c r="E391" s="1"/>
      <c r="F391" s="1"/>
      <c r="G391" s="1"/>
      <c r="H391" s="1"/>
      <c r="I391" s="1"/>
      <c r="J391" s="1"/>
      <c r="K391" s="1"/>
      <c r="L391" s="1"/>
      <c r="M391" s="1"/>
      <c r="N391" s="21"/>
      <c r="O391" s="21"/>
      <c r="P391" s="1"/>
      <c r="Q391" s="117"/>
      <c r="R391" s="117"/>
      <c r="BX391" s="97"/>
      <c r="CS391" s="1"/>
      <c r="ED391" s="1"/>
    </row>
    <row r="392" spans="2:134" ht="18">
      <c r="B392" s="1"/>
      <c r="C392" s="106" t="s">
        <v>379</v>
      </c>
      <c r="D392" s="113" t="s">
        <v>1390</v>
      </c>
      <c r="E392" s="1"/>
      <c r="F392" s="1"/>
      <c r="G392" s="1"/>
      <c r="H392" s="1"/>
      <c r="I392" s="1"/>
      <c r="J392" s="1"/>
      <c r="K392" s="1"/>
      <c r="L392" s="1"/>
      <c r="M392" s="1"/>
      <c r="N392" s="21"/>
      <c r="O392" s="21"/>
      <c r="P392" s="1"/>
      <c r="Q392" s="117"/>
      <c r="R392" s="117"/>
      <c r="BX392" s="97"/>
      <c r="CS392" s="1"/>
      <c r="ED392" s="1"/>
    </row>
    <row r="393" spans="2:134" ht="18.75">
      <c r="B393" s="1"/>
      <c r="C393" s="106"/>
      <c r="D393" s="164" t="s">
        <v>1714</v>
      </c>
      <c r="E393" s="117" t="s">
        <v>1416</v>
      </c>
      <c r="I393" s="99">
        <f>+D341</f>
        <v>112403</v>
      </c>
      <c r="J393" s="1"/>
      <c r="K393" s="1"/>
      <c r="L393" s="1"/>
      <c r="M393" s="1"/>
      <c r="N393" s="118" t="s">
        <v>3493</v>
      </c>
      <c r="O393" s="21" t="s">
        <v>2329</v>
      </c>
      <c r="P393" s="1"/>
      <c r="Q393" s="1"/>
      <c r="BX393" s="97"/>
      <c r="CS393" s="1"/>
      <c r="ED393" s="1"/>
    </row>
    <row r="394" spans="2:134" ht="15.75">
      <c r="B394" s="1"/>
      <c r="C394" s="30"/>
      <c r="D394" s="164" t="s">
        <v>1715</v>
      </c>
      <c r="E394" s="117" t="s">
        <v>1413</v>
      </c>
      <c r="I394" s="99">
        <f>+J341</f>
        <v>397710</v>
      </c>
      <c r="J394" s="1"/>
      <c r="K394" s="1"/>
      <c r="L394" s="1"/>
      <c r="M394" s="1"/>
      <c r="N394" s="118" t="s">
        <v>3493</v>
      </c>
      <c r="O394" s="21"/>
      <c r="P394" s="1"/>
      <c r="Q394" s="1"/>
      <c r="BX394" s="97"/>
      <c r="CS394" s="1"/>
      <c r="ED394" s="1"/>
    </row>
    <row r="395" spans="2:134" ht="15.75">
      <c r="B395" s="1"/>
      <c r="C395" s="30"/>
      <c r="D395" s="164" t="s">
        <v>1716</v>
      </c>
      <c r="E395" s="117" t="s">
        <v>1414</v>
      </c>
      <c r="I395" s="99">
        <f>+U341</f>
        <v>76413</v>
      </c>
      <c r="J395" s="1"/>
      <c r="K395" s="1"/>
      <c r="L395" s="1"/>
      <c r="M395" s="1"/>
      <c r="N395" s="118" t="s">
        <v>3493</v>
      </c>
      <c r="O395" s="21"/>
      <c r="P395" s="1"/>
      <c r="Q395" s="1"/>
      <c r="BX395" s="97"/>
      <c r="CS395" s="1"/>
      <c r="ED395" s="1"/>
    </row>
    <row r="396" spans="2:134" ht="15.75">
      <c r="B396" s="1"/>
      <c r="C396" s="30"/>
      <c r="D396" s="164"/>
      <c r="E396" s="117"/>
      <c r="I396" s="1"/>
      <c r="J396" s="1"/>
      <c r="K396" s="1"/>
      <c r="L396" s="1"/>
      <c r="M396" s="1"/>
      <c r="N396" s="1"/>
      <c r="O396" s="21"/>
      <c r="P396" s="1"/>
      <c r="Q396" s="1"/>
      <c r="BX396" s="97"/>
      <c r="CS396" s="1"/>
      <c r="ED396" s="1"/>
    </row>
    <row r="397" spans="2:134" ht="18">
      <c r="B397" s="1"/>
      <c r="C397" s="106" t="s">
        <v>1415</v>
      </c>
      <c r="D397" s="89" t="s">
        <v>1713</v>
      </c>
      <c r="E397" s="1"/>
      <c r="F397" s="1"/>
      <c r="G397" s="1"/>
      <c r="I397" s="1"/>
      <c r="J397" s="1"/>
      <c r="K397" s="1"/>
      <c r="L397" s="1"/>
      <c r="M397" s="1"/>
      <c r="N397" s="1"/>
      <c r="O397" s="21"/>
      <c r="P397" s="1"/>
      <c r="Q397" s="1"/>
      <c r="BX397" s="97"/>
      <c r="CS397" s="1"/>
      <c r="ED397" s="1"/>
    </row>
    <row r="398" spans="2:134" ht="18">
      <c r="B398" s="1"/>
      <c r="C398" s="106"/>
      <c r="D398" s="1"/>
      <c r="E398" s="117" t="s">
        <v>1416</v>
      </c>
      <c r="G398" s="1"/>
      <c r="J398" s="1"/>
      <c r="K398" s="1"/>
      <c r="L398" s="1"/>
      <c r="M398" s="1"/>
      <c r="N398" s="118" t="s">
        <v>2330</v>
      </c>
      <c r="O398" s="21"/>
      <c r="P398" s="1"/>
      <c r="Q398" s="1"/>
      <c r="BX398" s="97"/>
      <c r="BZ398" t="s">
        <v>2703</v>
      </c>
      <c r="CS398" s="1"/>
      <c r="ED398" s="1"/>
    </row>
    <row r="399" spans="2:134" ht="18">
      <c r="B399" s="1"/>
      <c r="C399" s="106"/>
      <c r="D399" s="1"/>
      <c r="E399" s="117"/>
      <c r="F399" s="1"/>
      <c r="G399" s="1"/>
      <c r="J399" s="1"/>
      <c r="K399" s="1"/>
      <c r="L399" s="1"/>
      <c r="M399" s="1"/>
      <c r="N399" s="1"/>
      <c r="O399" s="21"/>
      <c r="P399" s="1"/>
      <c r="Q399" s="1"/>
      <c r="BX399" s="97"/>
      <c r="CS399" s="1"/>
      <c r="ED399" s="1"/>
    </row>
    <row r="400" spans="2:134" ht="18">
      <c r="B400" s="1"/>
      <c r="C400" s="106"/>
      <c r="E400" s="1"/>
      <c r="F400" s="1"/>
      <c r="G400" s="1"/>
      <c r="H400" s="1"/>
      <c r="I400" s="1"/>
      <c r="J400" s="1"/>
      <c r="K400" s="1"/>
      <c r="L400" s="1"/>
      <c r="M400" s="1"/>
      <c r="N400" s="1"/>
      <c r="O400" s="21"/>
      <c r="P400" s="1"/>
      <c r="Q400" s="1"/>
      <c r="BX400" s="97"/>
      <c r="CS400" s="1"/>
      <c r="ED400" s="1"/>
    </row>
    <row r="401" spans="2:134" ht="18.75">
      <c r="B401" s="1"/>
      <c r="C401" s="106" t="s">
        <v>1421</v>
      </c>
      <c r="D401" s="1" t="s">
        <v>1402</v>
      </c>
      <c r="E401" s="1"/>
      <c r="F401" s="1"/>
      <c r="G401" s="1"/>
      <c r="H401" s="1"/>
      <c r="I401" s="99">
        <f>+BD344</f>
        <v>371646</v>
      </c>
      <c r="J401" s="1"/>
      <c r="K401" s="1"/>
      <c r="L401" s="1"/>
      <c r="M401" s="1"/>
      <c r="N401" s="118"/>
      <c r="O401" s="21"/>
      <c r="P401" s="1"/>
      <c r="Q401" s="1"/>
      <c r="BX401" s="97"/>
      <c r="CS401" s="1"/>
      <c r="ED401" s="1"/>
    </row>
    <row r="402" spans="2:134" ht="18.75">
      <c r="B402" s="1"/>
      <c r="C402" s="106"/>
      <c r="D402" s="117" t="s">
        <v>1400</v>
      </c>
      <c r="E402" s="1"/>
      <c r="F402" s="1"/>
      <c r="G402" s="1"/>
      <c r="H402" s="1"/>
      <c r="I402" s="99">
        <f>+EF344</f>
        <v>365897</v>
      </c>
      <c r="J402" s="1"/>
      <c r="K402" s="1"/>
      <c r="L402" s="1"/>
      <c r="M402" s="1"/>
      <c r="N402" s="118"/>
      <c r="O402" s="21"/>
      <c r="P402" s="1"/>
      <c r="Q402" s="1"/>
      <c r="BX402" s="97"/>
      <c r="CS402" s="1"/>
      <c r="ED402" s="1"/>
    </row>
    <row r="403" spans="2:134" ht="18">
      <c r="B403" s="1"/>
      <c r="C403" s="106"/>
      <c r="D403" s="1"/>
      <c r="E403" s="1"/>
      <c r="F403" s="1"/>
      <c r="G403" s="1"/>
      <c r="H403" s="1"/>
      <c r="I403" s="1"/>
      <c r="J403" s="1"/>
      <c r="K403" s="1"/>
      <c r="L403" s="1"/>
      <c r="M403" s="1"/>
      <c r="N403" s="1"/>
      <c r="O403" s="21"/>
      <c r="P403" s="1"/>
      <c r="Q403" s="1"/>
      <c r="BX403" s="97"/>
      <c r="CS403" s="1"/>
      <c r="ED403" s="1"/>
    </row>
    <row r="404" spans="2:134" ht="18.75">
      <c r="B404" s="1"/>
      <c r="C404" s="106"/>
      <c r="D404" s="7" t="s">
        <v>1406</v>
      </c>
      <c r="E404" s="1"/>
      <c r="F404" s="1"/>
      <c r="G404" s="1"/>
      <c r="H404" s="1"/>
      <c r="I404" s="1"/>
      <c r="J404" s="1"/>
      <c r="K404" s="1"/>
      <c r="L404" s="1"/>
      <c r="M404" s="1"/>
      <c r="N404" s="1"/>
      <c r="O404" s="21"/>
      <c r="P404" s="1"/>
      <c r="Q404" s="1"/>
      <c r="BX404" s="97"/>
      <c r="CS404" s="1"/>
      <c r="ED404" s="1"/>
    </row>
    <row r="405" spans="2:134" ht="18">
      <c r="B405" s="1"/>
      <c r="C405" s="106" t="s">
        <v>1448</v>
      </c>
      <c r="D405" s="89" t="s">
        <v>1463</v>
      </c>
      <c r="E405" s="1"/>
      <c r="F405" s="1"/>
      <c r="G405" s="1"/>
      <c r="H405" s="1"/>
      <c r="I405" s="1"/>
      <c r="J405" s="1"/>
      <c r="K405" s="1"/>
      <c r="L405" s="1"/>
      <c r="M405" s="1"/>
      <c r="N405" s="1"/>
      <c r="O405" s="21"/>
      <c r="P405" s="1"/>
      <c r="Q405" s="1"/>
      <c r="BX405" s="97"/>
      <c r="CS405" s="1"/>
      <c r="ED405" s="1"/>
    </row>
    <row r="406" spans="2:134" ht="18">
      <c r="B406" s="1"/>
      <c r="C406" s="106"/>
      <c r="D406" s="89"/>
      <c r="E406" s="22" t="s">
        <v>1416</v>
      </c>
      <c r="F406" s="1"/>
      <c r="G406" s="21"/>
      <c r="H406" s="1"/>
      <c r="I406" s="115">
        <f>+D351</f>
        <v>110000</v>
      </c>
      <c r="J406" s="89" t="s">
        <v>1792</v>
      </c>
      <c r="K406" s="1"/>
      <c r="L406" s="1"/>
      <c r="M406" s="1"/>
      <c r="N406" s="118"/>
      <c r="O406" s="21"/>
      <c r="P406" s="89"/>
      <c r="Q406" s="1"/>
      <c r="BX406" s="97"/>
      <c r="CS406" s="1"/>
      <c r="ED406" s="1"/>
    </row>
    <row r="407" spans="2:134" ht="18">
      <c r="B407" s="1"/>
      <c r="C407" s="106"/>
      <c r="D407" s="89"/>
      <c r="E407" s="188" t="s">
        <v>1791</v>
      </c>
      <c r="F407" s="1"/>
      <c r="G407" s="186">
        <v>0</v>
      </c>
      <c r="H407" s="107"/>
      <c r="I407" s="1"/>
      <c r="J407" s="142"/>
      <c r="K407" s="1"/>
      <c r="L407" s="1"/>
      <c r="M407" s="1"/>
      <c r="N407" s="1"/>
      <c r="O407" s="21"/>
      <c r="P407" s="1"/>
      <c r="Q407" s="1"/>
      <c r="BX407" s="97"/>
      <c r="CS407" s="1"/>
      <c r="ED407" s="1"/>
    </row>
    <row r="408" spans="2:134" ht="18">
      <c r="B408" s="1"/>
      <c r="C408" s="106"/>
      <c r="D408" s="89"/>
      <c r="E408" s="185" t="s">
        <v>1795</v>
      </c>
      <c r="F408" s="1"/>
      <c r="G408" s="186">
        <v>0</v>
      </c>
      <c r="H408" s="107"/>
      <c r="I408" s="1"/>
      <c r="J408" s="142"/>
      <c r="K408" s="1"/>
      <c r="L408" s="1"/>
      <c r="M408" s="1"/>
      <c r="N408" s="1"/>
      <c r="O408" s="21"/>
      <c r="P408" s="1"/>
      <c r="Q408" s="1"/>
      <c r="BX408" s="97"/>
      <c r="CS408" s="1"/>
      <c r="ED408" s="1"/>
    </row>
    <row r="409" spans="2:134" ht="18">
      <c r="B409" s="1"/>
      <c r="C409" s="106"/>
      <c r="D409" s="89"/>
      <c r="E409" s="1"/>
      <c r="F409" s="1"/>
      <c r="G409" s="1"/>
      <c r="H409" s="1"/>
      <c r="I409" s="1"/>
      <c r="J409" s="1"/>
      <c r="K409" s="1"/>
      <c r="L409" s="1"/>
      <c r="M409" s="1"/>
      <c r="N409" s="1"/>
      <c r="O409" s="21"/>
      <c r="P409" s="1"/>
      <c r="Q409" s="1"/>
      <c r="BX409" s="97"/>
      <c r="CS409" s="1"/>
      <c r="ED409" s="1"/>
    </row>
    <row r="410" spans="2:134" ht="18.75">
      <c r="B410" s="1"/>
      <c r="C410" s="106"/>
      <c r="E410" s="22" t="s">
        <v>1409</v>
      </c>
      <c r="F410" s="1"/>
      <c r="G410" s="1"/>
      <c r="H410" s="1"/>
      <c r="I410" s="99">
        <f>+E357</f>
        <v>0</v>
      </c>
      <c r="J410" s="89" t="s">
        <v>2333</v>
      </c>
      <c r="K410" s="1"/>
      <c r="L410" s="1"/>
      <c r="M410" s="1"/>
      <c r="N410" s="118" t="s">
        <v>3493</v>
      </c>
      <c r="O410" s="21"/>
      <c r="P410" s="1"/>
      <c r="Q410" s="1"/>
      <c r="BX410" s="97"/>
      <c r="CS410" s="1"/>
      <c r="ED410" s="1"/>
    </row>
    <row r="411" spans="2:134" ht="18">
      <c r="B411" s="1"/>
      <c r="C411" s="106"/>
      <c r="E411" s="110" t="s">
        <v>1710</v>
      </c>
      <c r="F411" s="1"/>
      <c r="G411" s="21"/>
      <c r="H411" s="139"/>
      <c r="I411" s="115"/>
      <c r="J411" s="117"/>
      <c r="K411" s="1"/>
      <c r="L411" s="1"/>
      <c r="M411" s="1"/>
      <c r="N411" s="118"/>
      <c r="O411" s="21"/>
      <c r="P411" s="1"/>
      <c r="Q411" s="1"/>
      <c r="BX411" s="97"/>
      <c r="CS411" s="1"/>
      <c r="ED411" s="1"/>
    </row>
    <row r="412" spans="2:134" ht="18">
      <c r="B412" s="1"/>
      <c r="C412" s="106"/>
      <c r="E412" s="110" t="s">
        <v>1712</v>
      </c>
      <c r="F412" s="1"/>
      <c r="G412" s="186">
        <v>0</v>
      </c>
      <c r="H412" s="1"/>
      <c r="I412" s="115"/>
      <c r="J412" s="117"/>
      <c r="K412" s="1"/>
      <c r="L412" s="1"/>
      <c r="M412" s="1"/>
      <c r="N412" s="118"/>
      <c r="O412" s="21"/>
      <c r="P412" s="1"/>
      <c r="Q412" s="1"/>
      <c r="BX412" s="97"/>
      <c r="CS412" s="1"/>
      <c r="ED412" s="1"/>
    </row>
    <row r="413" spans="2:134" ht="18">
      <c r="B413" s="1"/>
      <c r="C413" s="106"/>
      <c r="E413" s="110" t="s">
        <v>1711</v>
      </c>
      <c r="F413" s="1"/>
      <c r="G413" s="186"/>
      <c r="H413" s="139"/>
      <c r="I413" s="115"/>
      <c r="J413" s="117"/>
      <c r="K413" s="1"/>
      <c r="L413" s="1"/>
      <c r="M413" s="1"/>
      <c r="N413" s="118"/>
      <c r="O413" s="21"/>
      <c r="P413" s="1"/>
      <c r="Q413" s="1"/>
      <c r="BX413" s="97"/>
      <c r="CS413" s="1"/>
      <c r="ED413" s="1"/>
    </row>
    <row r="414" spans="2:134" ht="18">
      <c r="B414" s="1"/>
      <c r="C414" s="106"/>
      <c r="E414" s="110" t="s">
        <v>1702</v>
      </c>
      <c r="F414" s="1"/>
      <c r="G414" s="186"/>
      <c r="H414" s="1"/>
      <c r="I414" s="115"/>
      <c r="J414" s="117"/>
      <c r="K414" s="1"/>
      <c r="L414" s="1"/>
      <c r="M414" s="1"/>
      <c r="N414" s="118"/>
      <c r="O414" s="21"/>
      <c r="P414" s="1"/>
      <c r="Q414" s="1"/>
      <c r="BX414" s="97"/>
      <c r="CS414" s="1"/>
      <c r="ED414" s="1"/>
    </row>
    <row r="415" spans="2:134" ht="18">
      <c r="B415" s="1"/>
      <c r="C415" s="106"/>
      <c r="E415" s="110" t="s">
        <v>1703</v>
      </c>
      <c r="F415" s="1"/>
      <c r="G415" s="186"/>
      <c r="H415" s="139"/>
      <c r="I415" s="1"/>
      <c r="J415" s="117"/>
      <c r="K415" s="1"/>
      <c r="L415" s="1"/>
      <c r="M415" s="1"/>
      <c r="N415" s="1"/>
      <c r="O415" s="21"/>
      <c r="P415" s="1"/>
      <c r="Q415" s="1"/>
      <c r="BX415" s="97"/>
      <c r="CS415" s="1"/>
      <c r="ED415" s="1"/>
    </row>
    <row r="416" spans="2:134" ht="18">
      <c r="B416" s="1"/>
      <c r="C416" s="106"/>
      <c r="E416" s="110" t="s">
        <v>1790</v>
      </c>
      <c r="F416" s="1"/>
      <c r="G416" s="186">
        <v>0</v>
      </c>
      <c r="H416" s="139"/>
      <c r="I416" s="1"/>
      <c r="J416" s="117"/>
      <c r="K416" s="1"/>
      <c r="L416" s="1"/>
      <c r="M416" s="1"/>
      <c r="N416" s="1"/>
      <c r="O416" s="21"/>
      <c r="P416" s="1"/>
      <c r="Q416" s="1"/>
      <c r="BX416" s="97"/>
      <c r="CS416" s="1"/>
      <c r="ED416" s="1"/>
    </row>
    <row r="417" spans="2:134" ht="18">
      <c r="B417" s="1"/>
      <c r="C417" s="106"/>
      <c r="E417" s="110" t="s">
        <v>1789</v>
      </c>
      <c r="F417" s="1"/>
      <c r="G417" s="186">
        <v>0</v>
      </c>
      <c r="H417" s="139"/>
      <c r="I417" s="1"/>
      <c r="J417" s="117"/>
      <c r="K417" s="1"/>
      <c r="L417" s="1"/>
      <c r="M417" s="1"/>
      <c r="N417" s="1"/>
      <c r="O417" s="21"/>
      <c r="P417" s="1"/>
      <c r="Q417" s="1"/>
      <c r="BX417" s="97"/>
      <c r="CS417" s="1"/>
      <c r="ED417" s="1"/>
    </row>
    <row r="418" spans="2:134" ht="18">
      <c r="B418" s="1"/>
      <c r="C418" s="106"/>
      <c r="E418" s="110" t="s">
        <v>1704</v>
      </c>
      <c r="F418" s="1"/>
      <c r="G418" s="186">
        <v>0</v>
      </c>
      <c r="H418" s="139"/>
      <c r="I418" s="1"/>
      <c r="J418" s="117"/>
      <c r="K418" s="1"/>
      <c r="L418" s="1"/>
      <c r="M418" s="1"/>
      <c r="N418" s="1"/>
      <c r="O418" s="21"/>
      <c r="P418" s="1"/>
      <c r="Q418" s="1"/>
      <c r="BX418" s="97"/>
      <c r="CS418" s="1"/>
      <c r="ED418" s="1"/>
    </row>
    <row r="419" spans="2:134" ht="18">
      <c r="B419" s="1"/>
      <c r="C419" s="106"/>
      <c r="E419" s="110"/>
      <c r="F419" s="1"/>
      <c r="G419" s="165">
        <f>SUM(G411:G418)</f>
        <v>0</v>
      </c>
      <c r="H419" s="139"/>
      <c r="I419" s="1"/>
      <c r="J419" s="117"/>
      <c r="K419" s="1"/>
      <c r="L419" s="1"/>
      <c r="M419" s="1"/>
      <c r="N419" s="1"/>
      <c r="O419" s="21"/>
      <c r="P419" s="1"/>
      <c r="Q419" s="1"/>
      <c r="BX419" s="97"/>
      <c r="CS419" s="1"/>
      <c r="ED419" s="1"/>
    </row>
    <row r="420" spans="2:134" ht="18">
      <c r="B420" s="1"/>
      <c r="C420" s="106"/>
      <c r="E420" s="22" t="s">
        <v>1636</v>
      </c>
      <c r="F420" s="1"/>
      <c r="G420" s="21"/>
      <c r="H420" s="1"/>
      <c r="I420" s="97">
        <f>+T361</f>
        <v>0</v>
      </c>
      <c r="J420" s="89" t="s">
        <v>1706</v>
      </c>
      <c r="K420" s="1"/>
      <c r="L420" s="1"/>
      <c r="M420" s="1"/>
      <c r="N420" s="118"/>
      <c r="O420" s="21"/>
      <c r="P420" s="1"/>
      <c r="Q420" s="1"/>
      <c r="BX420" s="97"/>
      <c r="CS420" s="1"/>
      <c r="ED420" s="1"/>
    </row>
    <row r="421" spans="2:134" ht="18">
      <c r="B421" s="1"/>
      <c r="C421" s="106"/>
      <c r="E421" s="108" t="s">
        <v>1705</v>
      </c>
      <c r="F421" s="1"/>
      <c r="G421" s="186">
        <v>0</v>
      </c>
      <c r="H421" s="107"/>
      <c r="I421" s="157" t="s">
        <v>1801</v>
      </c>
      <c r="J421" s="142" t="s">
        <v>1709</v>
      </c>
      <c r="K421" s="1"/>
      <c r="L421" s="1"/>
      <c r="M421" s="1"/>
      <c r="N421" s="1"/>
      <c r="O421" s="21"/>
      <c r="P421" s="1"/>
      <c r="Q421" s="1"/>
      <c r="BX421" s="97"/>
      <c r="CS421" s="1"/>
      <c r="ED421" s="1"/>
    </row>
    <row r="422" spans="2:134" ht="18">
      <c r="B422" s="1"/>
      <c r="C422" s="106"/>
      <c r="E422" s="108"/>
      <c r="F422" s="1"/>
      <c r="G422" s="21"/>
      <c r="H422" s="107"/>
      <c r="I422" s="1"/>
      <c r="J422" s="1"/>
      <c r="K422" s="1"/>
      <c r="L422" s="1"/>
      <c r="M422" s="1"/>
      <c r="N422" s="1"/>
      <c r="O422" s="21"/>
      <c r="P422" s="1"/>
      <c r="Q422" s="1"/>
      <c r="BX422" s="97"/>
      <c r="CS422" s="1"/>
      <c r="ED422" s="1"/>
    </row>
    <row r="423" spans="2:134" ht="18">
      <c r="B423" s="1"/>
      <c r="C423" s="106"/>
      <c r="E423" s="22" t="s">
        <v>1780</v>
      </c>
      <c r="F423" s="1"/>
      <c r="G423" s="21"/>
      <c r="H423" s="1"/>
      <c r="I423" s="97">
        <f>+W351</f>
        <v>0</v>
      </c>
      <c r="J423" s="89" t="s">
        <v>1706</v>
      </c>
      <c r="K423" s="1"/>
      <c r="L423" s="1"/>
      <c r="M423" s="1"/>
      <c r="N423" s="118"/>
      <c r="O423" s="21"/>
      <c r="P423" s="1"/>
      <c r="Q423" s="1"/>
      <c r="BX423" s="97"/>
      <c r="CS423" s="1"/>
      <c r="ED423" s="1"/>
    </row>
    <row r="424" spans="2:134" ht="18">
      <c r="B424" s="1"/>
      <c r="C424" s="106"/>
      <c r="E424" s="108" t="s">
        <v>1781</v>
      </c>
      <c r="F424" s="1"/>
      <c r="G424" s="186">
        <v>0</v>
      </c>
      <c r="H424" s="107"/>
      <c r="I424" s="1"/>
      <c r="J424" s="142" t="s">
        <v>1709</v>
      </c>
      <c r="K424" s="1"/>
      <c r="L424" s="1"/>
      <c r="M424" s="1"/>
      <c r="N424" s="1"/>
      <c r="O424" s="21"/>
      <c r="P424" s="1"/>
      <c r="Q424" s="1"/>
      <c r="BX424" s="97"/>
      <c r="CS424" s="1"/>
      <c r="ED424" s="1"/>
    </row>
    <row r="425" spans="2:134" ht="18">
      <c r="B425" s="1"/>
      <c r="C425" s="106"/>
      <c r="E425" s="108"/>
      <c r="F425" s="1"/>
      <c r="G425" s="21"/>
      <c r="H425" s="107"/>
      <c r="I425" s="1"/>
      <c r="J425" s="1"/>
      <c r="K425" s="1"/>
      <c r="L425" s="1"/>
      <c r="M425" s="1"/>
      <c r="N425" s="1"/>
      <c r="O425" s="21"/>
      <c r="P425" s="1"/>
      <c r="Q425" s="1"/>
      <c r="BX425" s="97"/>
      <c r="CS425" s="1"/>
      <c r="ED425" s="1"/>
    </row>
    <row r="426" spans="2:134" ht="18">
      <c r="B426" s="1"/>
      <c r="C426" s="106"/>
      <c r="E426" s="22" t="s">
        <v>1785</v>
      </c>
      <c r="F426" s="1"/>
      <c r="G426" s="21"/>
      <c r="H426" s="1"/>
      <c r="I426" s="97">
        <f>+Y354</f>
        <v>0</v>
      </c>
      <c r="J426" s="89" t="s">
        <v>1788</v>
      </c>
      <c r="K426" s="1"/>
      <c r="L426" s="1"/>
      <c r="M426" s="1"/>
      <c r="N426" s="118"/>
      <c r="O426" s="21"/>
      <c r="P426" s="1"/>
      <c r="Q426" s="1"/>
      <c r="BX426" s="97"/>
      <c r="CS426" s="1"/>
      <c r="ED426" s="1"/>
    </row>
    <row r="427" spans="2:134" ht="18">
      <c r="B427" s="1"/>
      <c r="C427" s="106"/>
      <c r="E427" s="188" t="s">
        <v>1787</v>
      </c>
      <c r="F427" s="1"/>
      <c r="G427" s="186">
        <v>0</v>
      </c>
      <c r="H427" s="107"/>
      <c r="I427" s="1"/>
      <c r="J427" s="1"/>
      <c r="K427" s="1"/>
      <c r="L427" s="1"/>
      <c r="M427" s="1"/>
      <c r="N427" s="1"/>
      <c r="O427" s="21"/>
      <c r="P427" s="1"/>
      <c r="Q427" s="1"/>
      <c r="BX427" s="97"/>
      <c r="CS427" s="1"/>
      <c r="ED427" s="1"/>
    </row>
    <row r="428" spans="2:134" ht="18">
      <c r="B428" s="1"/>
      <c r="C428" s="106"/>
      <c r="E428" s="108"/>
      <c r="F428" s="1"/>
      <c r="G428" s="21"/>
      <c r="H428" s="107"/>
      <c r="I428" s="1"/>
      <c r="J428" s="1"/>
      <c r="K428" s="1"/>
      <c r="L428" s="1"/>
      <c r="M428" s="1"/>
      <c r="N428" s="1"/>
      <c r="O428" s="21"/>
      <c r="P428" s="1"/>
      <c r="Q428" s="1"/>
      <c r="BX428" s="97"/>
      <c r="CS428" s="1"/>
      <c r="ED428" s="1"/>
    </row>
    <row r="429" spans="2:134" ht="18">
      <c r="B429" s="1"/>
      <c r="C429" s="106"/>
      <c r="D429" s="22"/>
      <c r="E429" s="22" t="s">
        <v>1496</v>
      </c>
      <c r="F429" s="1"/>
      <c r="G429" s="21"/>
      <c r="H429" s="1"/>
      <c r="I429" s="97">
        <v>0</v>
      </c>
      <c r="J429" s="89" t="s">
        <v>1495</v>
      </c>
      <c r="K429" s="1"/>
      <c r="L429" s="1"/>
      <c r="M429" s="1"/>
      <c r="N429" s="118"/>
      <c r="O429" s="21"/>
      <c r="P429" s="1"/>
      <c r="Q429" s="1"/>
      <c r="BX429" s="97"/>
      <c r="CS429" s="1"/>
      <c r="ED429" s="1"/>
    </row>
    <row r="430" spans="2:134" ht="18">
      <c r="B430" s="1"/>
      <c r="C430" s="106"/>
      <c r="D430" s="22"/>
      <c r="E430" s="163" t="s">
        <v>1707</v>
      </c>
      <c r="F430" s="1"/>
      <c r="G430" s="186">
        <v>0</v>
      </c>
      <c r="H430" s="107"/>
      <c r="I430" s="1"/>
      <c r="J430" s="1"/>
      <c r="K430" s="1"/>
      <c r="L430" s="1"/>
      <c r="M430" s="1"/>
      <c r="N430" s="1"/>
      <c r="O430" s="21"/>
      <c r="P430" s="1"/>
      <c r="Q430" s="1"/>
      <c r="BX430" s="97"/>
      <c r="CS430" s="1"/>
      <c r="ED430" s="1"/>
    </row>
    <row r="431" spans="2:134" ht="18">
      <c r="B431" s="1"/>
      <c r="C431" s="106"/>
      <c r="D431" s="22"/>
      <c r="E431" s="108"/>
      <c r="F431" s="1"/>
      <c r="G431" s="21"/>
      <c r="H431" s="107"/>
      <c r="I431" s="1"/>
      <c r="J431" s="1"/>
      <c r="K431" s="1"/>
      <c r="L431" s="1"/>
      <c r="M431" s="1"/>
      <c r="N431" s="1"/>
      <c r="O431" s="21"/>
      <c r="P431" s="1"/>
      <c r="Q431" s="1"/>
      <c r="BX431" s="97"/>
      <c r="CS431" s="1"/>
      <c r="ED431" s="1"/>
    </row>
    <row r="432" spans="2:134" ht="18">
      <c r="B432" s="1"/>
      <c r="C432" s="106"/>
      <c r="D432" s="22"/>
      <c r="E432" s="22" t="s">
        <v>1793</v>
      </c>
      <c r="F432" s="1"/>
      <c r="G432" s="21"/>
      <c r="H432" s="1"/>
      <c r="I432" s="97">
        <v>0</v>
      </c>
      <c r="J432" s="117" t="s">
        <v>1495</v>
      </c>
      <c r="K432" s="1"/>
      <c r="L432" s="1"/>
      <c r="M432" s="1"/>
      <c r="N432" s="118"/>
      <c r="O432" s="21"/>
      <c r="P432" s="1"/>
      <c r="Q432" s="1"/>
      <c r="BX432" s="97"/>
      <c r="CS432" s="1"/>
      <c r="ED432" s="1"/>
    </row>
    <row r="433" spans="2:134" ht="18">
      <c r="B433" s="1"/>
      <c r="C433" s="106"/>
      <c r="D433" s="22"/>
      <c r="E433" s="185" t="s">
        <v>1794</v>
      </c>
      <c r="F433" s="1"/>
      <c r="G433" s="186">
        <v>0</v>
      </c>
      <c r="H433" s="107"/>
      <c r="I433" s="1"/>
      <c r="J433" s="1"/>
      <c r="K433" s="1"/>
      <c r="L433" s="1"/>
      <c r="M433" s="1"/>
      <c r="N433" s="1"/>
      <c r="O433" s="21"/>
      <c r="P433" s="1"/>
      <c r="Q433" s="1"/>
      <c r="BX433" s="97"/>
      <c r="CS433" s="1"/>
      <c r="ED433" s="1"/>
    </row>
    <row r="434" spans="2:134" ht="18">
      <c r="B434" s="1"/>
      <c r="C434" s="106"/>
      <c r="D434" s="22"/>
      <c r="E434" s="108"/>
      <c r="F434" s="1"/>
      <c r="G434" s="21"/>
      <c r="H434" s="107"/>
      <c r="I434" s="1"/>
      <c r="J434" s="1"/>
      <c r="K434" s="1"/>
      <c r="L434" s="1"/>
      <c r="M434" s="1"/>
      <c r="N434" s="1"/>
      <c r="O434" s="21"/>
      <c r="P434" s="1"/>
      <c r="Q434" s="1"/>
      <c r="BX434" s="97"/>
      <c r="CS434" s="1"/>
      <c r="ED434" s="1"/>
    </row>
    <row r="435" spans="2:134" ht="18">
      <c r="B435" s="1"/>
      <c r="C435" s="106"/>
      <c r="D435" s="22"/>
      <c r="E435" s="22" t="s">
        <v>1497</v>
      </c>
      <c r="F435" s="1"/>
      <c r="G435" s="21"/>
      <c r="H435" s="107"/>
      <c r="I435" s="97">
        <f>+AW356</f>
        <v>0</v>
      </c>
      <c r="J435" s="117" t="s">
        <v>1495</v>
      </c>
      <c r="K435" s="1"/>
      <c r="L435" s="1"/>
      <c r="M435" s="1"/>
      <c r="N435" s="118"/>
      <c r="O435" s="21"/>
      <c r="P435" s="1"/>
      <c r="Q435" s="1"/>
      <c r="BX435" s="97"/>
      <c r="CS435" s="1"/>
      <c r="ED435" s="1"/>
    </row>
    <row r="436" spans="2:134" ht="18">
      <c r="B436" s="1"/>
      <c r="C436" s="106"/>
      <c r="D436" s="22"/>
      <c r="E436" s="110" t="s">
        <v>1708</v>
      </c>
      <c r="F436" s="1"/>
      <c r="G436" s="186">
        <v>0</v>
      </c>
      <c r="H436" s="107"/>
      <c r="I436" s="1"/>
      <c r="J436" s="1"/>
      <c r="K436" s="1"/>
      <c r="L436" s="1"/>
      <c r="M436" s="1"/>
      <c r="N436" s="1"/>
      <c r="O436" s="21"/>
      <c r="P436" s="1"/>
      <c r="Q436" s="1"/>
      <c r="BX436" s="97"/>
      <c r="CS436" s="1"/>
      <c r="ED436" s="1"/>
    </row>
    <row r="437" spans="2:134" ht="18">
      <c r="B437" s="1"/>
      <c r="C437" s="106"/>
      <c r="D437" s="22"/>
      <c r="E437" s="110"/>
      <c r="F437" s="1"/>
      <c r="G437" s="21"/>
      <c r="H437" s="107"/>
      <c r="I437" s="1"/>
      <c r="J437" s="1"/>
      <c r="K437" s="1"/>
      <c r="L437" s="1"/>
      <c r="M437" s="1"/>
      <c r="N437" s="1"/>
      <c r="O437" s="21"/>
      <c r="P437" s="1"/>
      <c r="Q437" s="1"/>
      <c r="BX437" s="97"/>
      <c r="CS437" s="1"/>
      <c r="ED437" s="1"/>
    </row>
    <row r="438" spans="2:134" ht="18.75">
      <c r="B438" s="1"/>
      <c r="C438" s="106"/>
      <c r="D438" s="22"/>
      <c r="E438" s="22" t="s">
        <v>2335</v>
      </c>
      <c r="F438" s="1"/>
      <c r="G438" s="21"/>
      <c r="H438" s="107"/>
      <c r="I438" s="99">
        <f>+BB351</f>
        <v>0</v>
      </c>
      <c r="J438" s="117" t="s">
        <v>1495</v>
      </c>
      <c r="K438" s="1"/>
      <c r="L438" s="1"/>
      <c r="M438" s="1"/>
      <c r="N438" s="118" t="s">
        <v>3493</v>
      </c>
      <c r="O438" s="21"/>
      <c r="P438" s="1"/>
      <c r="Q438" s="1"/>
      <c r="BX438" s="97"/>
      <c r="CS438" s="1"/>
      <c r="ED438" s="1"/>
    </row>
    <row r="439" spans="2:134" ht="18">
      <c r="B439" s="1"/>
      <c r="C439" s="106"/>
      <c r="D439" s="22"/>
      <c r="E439" s="110" t="s">
        <v>2334</v>
      </c>
      <c r="F439" s="1"/>
      <c r="G439" s="21"/>
      <c r="H439" s="107"/>
      <c r="I439" s="1"/>
      <c r="J439" s="1"/>
      <c r="K439" s="1"/>
      <c r="L439" s="1"/>
      <c r="M439" s="1"/>
      <c r="N439" s="1"/>
      <c r="O439" s="21"/>
      <c r="P439" s="1"/>
      <c r="Q439" s="1"/>
      <c r="BX439" s="97"/>
      <c r="CS439" s="1"/>
      <c r="ED439" s="1"/>
    </row>
    <row r="440" spans="2:134" ht="18">
      <c r="B440" s="1"/>
      <c r="C440" s="106"/>
      <c r="D440" s="22"/>
      <c r="E440" s="110"/>
      <c r="F440" s="1"/>
      <c r="G440" s="21"/>
      <c r="H440" s="107"/>
      <c r="I440" s="1"/>
      <c r="J440" s="1"/>
      <c r="K440" s="1"/>
      <c r="L440" s="1"/>
      <c r="M440" s="1"/>
      <c r="N440" s="1"/>
      <c r="O440" s="21"/>
      <c r="P440" s="1"/>
      <c r="Q440" s="1"/>
      <c r="BX440" s="97"/>
      <c r="CS440" s="1"/>
      <c r="ED440" s="1"/>
    </row>
    <row r="441" spans="2:134" ht="18">
      <c r="B441" s="1"/>
      <c r="C441" s="106"/>
      <c r="D441" s="22"/>
      <c r="E441" s="22" t="s">
        <v>1786</v>
      </c>
      <c r="F441" s="1"/>
      <c r="G441" s="21"/>
      <c r="H441" s="107"/>
      <c r="I441" s="187">
        <v>0</v>
      </c>
      <c r="J441" s="89" t="s">
        <v>1783</v>
      </c>
      <c r="K441" s="1"/>
      <c r="L441" s="1"/>
      <c r="M441" s="1"/>
      <c r="N441" s="118"/>
      <c r="O441" s="21"/>
      <c r="P441" s="1"/>
      <c r="Q441" s="1"/>
      <c r="BX441" s="97"/>
      <c r="CS441" s="1"/>
      <c r="ED441" s="1"/>
    </row>
    <row r="442" spans="2:134" ht="18">
      <c r="B442" s="1"/>
      <c r="C442" s="106"/>
      <c r="D442" s="22"/>
      <c r="E442" s="185" t="s">
        <v>1782</v>
      </c>
      <c r="F442" s="1"/>
      <c r="G442" s="186">
        <v>0</v>
      </c>
      <c r="H442" s="107"/>
      <c r="I442" s="1"/>
      <c r="J442" s="89" t="s">
        <v>1784</v>
      </c>
      <c r="K442" s="1"/>
      <c r="L442" s="1"/>
      <c r="M442" s="1"/>
      <c r="N442" s="1"/>
      <c r="O442" s="21"/>
      <c r="P442" s="1"/>
      <c r="Q442" s="1"/>
      <c r="BX442" s="97"/>
      <c r="CS442" s="1"/>
      <c r="ED442" s="1"/>
    </row>
    <row r="443" spans="2:134" ht="18">
      <c r="B443" s="1"/>
      <c r="C443" s="106"/>
      <c r="D443" s="22"/>
      <c r="E443" s="110"/>
      <c r="F443" s="1"/>
      <c r="G443" s="21"/>
      <c r="H443" s="107"/>
      <c r="I443" s="1"/>
      <c r="J443" s="1"/>
      <c r="K443" s="1"/>
      <c r="L443" s="1"/>
      <c r="M443" s="1"/>
      <c r="N443" s="1"/>
      <c r="O443" s="21"/>
      <c r="P443" s="1"/>
      <c r="Q443" s="1"/>
      <c r="BX443" s="97"/>
      <c r="CS443" s="1"/>
      <c r="ED443" s="1"/>
    </row>
    <row r="444" spans="2:134" ht="15">
      <c r="B444" s="1"/>
      <c r="C444" s="11"/>
      <c r="D444" s="1"/>
      <c r="E444" s="22"/>
      <c r="F444" s="1"/>
      <c r="G444" s="1"/>
      <c r="H444" s="1"/>
      <c r="I444" s="115"/>
      <c r="J444" s="117"/>
      <c r="K444" s="1"/>
      <c r="L444" s="1"/>
      <c r="M444" s="1"/>
      <c r="N444" s="118"/>
      <c r="O444" s="21"/>
      <c r="BX444" s="97"/>
      <c r="CS444" s="1"/>
      <c r="ED444" s="1"/>
    </row>
    <row r="445" spans="2:134" ht="15">
      <c r="E445" s="111"/>
      <c r="O445" s="21"/>
      <c r="BX445" s="97"/>
      <c r="CS445" s="1"/>
      <c r="ED445" s="1"/>
    </row>
    <row r="446" spans="2:134" ht="15">
      <c r="E446" s="111"/>
      <c r="G446" s="186"/>
      <c r="O446" s="21"/>
      <c r="BX446" s="97"/>
      <c r="CS446" s="1"/>
      <c r="ED446" s="1"/>
    </row>
    <row r="447" spans="2:134" ht="15">
      <c r="E447" s="111"/>
      <c r="O447" s="21"/>
      <c r="BX447" s="97"/>
      <c r="CS447" s="1"/>
      <c r="ED447" s="1"/>
    </row>
    <row r="448" spans="2:134" ht="18">
      <c r="C448" s="106" t="s">
        <v>1449</v>
      </c>
      <c r="D448" s="114" t="s">
        <v>691</v>
      </c>
      <c r="E448" s="109"/>
      <c r="O448" s="21"/>
      <c r="BX448" s="97"/>
      <c r="CS448" s="1"/>
      <c r="ED448" s="1"/>
    </row>
    <row r="449" spans="3:134" ht="18">
      <c r="C449" s="106"/>
      <c r="O449" s="21"/>
      <c r="BX449" s="97"/>
      <c r="CS449" s="1"/>
      <c r="ED449" s="1"/>
    </row>
    <row r="450" spans="3:134" ht="18">
      <c r="C450" s="106" t="s">
        <v>1512</v>
      </c>
      <c r="D450" s="132" t="s">
        <v>2770</v>
      </c>
      <c r="O450" s="21"/>
      <c r="BX450" s="97"/>
      <c r="CS450" s="1"/>
      <c r="ED450" s="1"/>
    </row>
    <row r="451" spans="3:134" ht="18">
      <c r="C451" s="106"/>
      <c r="D451" s="114"/>
      <c r="E451" s="89" t="s">
        <v>1735</v>
      </c>
      <c r="I451" s="115">
        <v>0</v>
      </c>
      <c r="J451" s="89" t="s">
        <v>1730</v>
      </c>
      <c r="N451" s="118"/>
      <c r="O451" s="21"/>
      <c r="BX451" s="97"/>
      <c r="CS451" s="1"/>
      <c r="ED451" s="1"/>
    </row>
    <row r="452" spans="3:134" ht="18">
      <c r="C452" s="106"/>
      <c r="D452" s="114"/>
      <c r="E452" s="21" t="s">
        <v>1737</v>
      </c>
      <c r="F452" s="21"/>
      <c r="G452" s="21" t="s">
        <v>1538</v>
      </c>
      <c r="H452" s="21" t="s">
        <v>1733</v>
      </c>
      <c r="J452" s="89" t="s">
        <v>1729</v>
      </c>
      <c r="O452" s="21"/>
      <c r="BX452" s="97"/>
      <c r="CS452" s="1"/>
      <c r="ED452" s="1"/>
    </row>
    <row r="453" spans="3:134" ht="18">
      <c r="C453" s="106"/>
      <c r="D453" s="21"/>
      <c r="E453" s="89" t="s">
        <v>1798</v>
      </c>
      <c r="I453" s="115">
        <v>0</v>
      </c>
      <c r="J453" s="89" t="s">
        <v>1730</v>
      </c>
      <c r="K453" s="1"/>
      <c r="L453" s="1"/>
      <c r="M453" s="1"/>
      <c r="N453" s="118"/>
      <c r="O453" s="21"/>
      <c r="BX453" s="97"/>
      <c r="CS453" s="1"/>
      <c r="ED453" s="1"/>
    </row>
    <row r="454" spans="3:134" ht="18">
      <c r="C454" s="106"/>
      <c r="D454" s="21"/>
      <c r="E454" s="89"/>
      <c r="F454" s="21" t="s">
        <v>1799</v>
      </c>
      <c r="J454" s="89" t="s">
        <v>1729</v>
      </c>
      <c r="K454" s="1"/>
      <c r="L454" s="1"/>
      <c r="M454" s="1"/>
      <c r="O454" s="21"/>
      <c r="BX454" s="97"/>
      <c r="CS454" s="1"/>
      <c r="ED454" s="1"/>
    </row>
    <row r="455" spans="3:134" ht="18">
      <c r="C455" s="106"/>
      <c r="D455" s="21"/>
      <c r="E455" s="89" t="s">
        <v>1803</v>
      </c>
      <c r="I455" s="115">
        <v>0</v>
      </c>
      <c r="J455" s="89" t="s">
        <v>1804</v>
      </c>
      <c r="K455" s="1"/>
      <c r="L455" s="1"/>
      <c r="M455" s="1"/>
      <c r="N455" s="118"/>
      <c r="O455" s="21"/>
      <c r="BX455" s="97"/>
      <c r="CS455" s="1"/>
      <c r="ED455" s="1"/>
    </row>
    <row r="456" spans="3:134" ht="18">
      <c r="C456" s="106"/>
      <c r="D456" s="21"/>
      <c r="E456" s="89"/>
      <c r="F456" s="21"/>
      <c r="J456" s="89"/>
      <c r="K456" s="1"/>
      <c r="L456" s="1"/>
      <c r="M456" s="1"/>
      <c r="O456" s="21"/>
      <c r="BX456" s="97"/>
      <c r="CS456" s="1"/>
      <c r="ED456" s="1"/>
    </row>
    <row r="457" spans="3:134" ht="18">
      <c r="C457" s="106"/>
      <c r="D457" s="21"/>
      <c r="E457" s="89" t="s">
        <v>2336</v>
      </c>
      <c r="I457" s="115">
        <v>0</v>
      </c>
      <c r="J457" s="89" t="s">
        <v>1804</v>
      </c>
      <c r="K457" s="1"/>
      <c r="L457" s="1"/>
      <c r="M457" s="1"/>
      <c r="O457" s="21"/>
      <c r="BX457" s="97"/>
      <c r="CS457" s="1"/>
      <c r="ED457" s="1"/>
    </row>
    <row r="458" spans="3:134" ht="18">
      <c r="C458" s="106"/>
      <c r="D458" s="21"/>
      <c r="E458" s="89" t="s">
        <v>1587</v>
      </c>
      <c r="I458" s="115">
        <v>0</v>
      </c>
      <c r="J458" s="89" t="s">
        <v>1804</v>
      </c>
      <c r="K458" s="1"/>
      <c r="L458" s="1"/>
      <c r="M458" s="1"/>
      <c r="O458" s="21"/>
      <c r="BX458" s="97"/>
      <c r="CS458" s="1"/>
      <c r="ED458" s="1"/>
    </row>
    <row r="459" spans="3:134" ht="18">
      <c r="C459" s="106"/>
      <c r="D459" s="21"/>
      <c r="E459" s="89"/>
      <c r="F459" s="21"/>
      <c r="J459" s="89"/>
      <c r="K459" s="1"/>
      <c r="L459" s="1"/>
      <c r="M459" s="1"/>
      <c r="O459" s="21"/>
      <c r="BX459" s="97"/>
      <c r="CS459" s="1"/>
      <c r="ED459" s="1"/>
    </row>
    <row r="460" spans="3:134" ht="18">
      <c r="C460" s="106"/>
      <c r="D460" s="21"/>
      <c r="E460" s="89" t="s">
        <v>2033</v>
      </c>
      <c r="I460" s="115">
        <v>0</v>
      </c>
      <c r="J460" s="89" t="s">
        <v>1730</v>
      </c>
      <c r="K460" s="1"/>
      <c r="L460" s="1"/>
      <c r="M460" s="1"/>
      <c r="N460" s="118"/>
      <c r="O460" s="21"/>
      <c r="BX460" s="97"/>
      <c r="CS460" s="1"/>
      <c r="ED460" s="1"/>
    </row>
    <row r="461" spans="3:134" ht="18">
      <c r="C461" s="106"/>
      <c r="D461" s="21"/>
      <c r="E461" s="89"/>
      <c r="F461" s="21" t="s">
        <v>2034</v>
      </c>
      <c r="J461" s="89" t="s">
        <v>1729</v>
      </c>
      <c r="K461" s="1"/>
      <c r="L461" s="1"/>
      <c r="M461" s="1"/>
      <c r="O461" s="21"/>
      <c r="BX461" s="97"/>
      <c r="CS461" s="1"/>
      <c r="ED461" s="1"/>
    </row>
    <row r="462" spans="3:134" ht="18">
      <c r="C462" s="106"/>
      <c r="D462" s="21"/>
      <c r="E462" s="89"/>
      <c r="F462" s="21"/>
      <c r="J462" s="89"/>
      <c r="K462" s="1"/>
      <c r="L462" s="1"/>
      <c r="M462" s="1"/>
      <c r="O462" s="21"/>
      <c r="BX462" s="97"/>
      <c r="CS462" s="1"/>
      <c r="ED462" s="1"/>
    </row>
    <row r="463" spans="3:134" ht="18">
      <c r="C463" s="106"/>
      <c r="D463" s="21"/>
      <c r="E463" s="89" t="s">
        <v>1728</v>
      </c>
      <c r="I463" s="115"/>
      <c r="J463" s="89" t="s">
        <v>1730</v>
      </c>
      <c r="K463" s="1"/>
      <c r="L463" s="1"/>
      <c r="M463" s="1"/>
      <c r="O463" s="21"/>
      <c r="BX463" s="97"/>
      <c r="CS463" s="1"/>
      <c r="ED463" s="1"/>
    </row>
    <row r="464" spans="3:134" ht="18">
      <c r="C464" s="106"/>
      <c r="D464" s="21"/>
      <c r="E464" s="21"/>
      <c r="F464" s="21"/>
      <c r="G464" s="21" t="s">
        <v>1538</v>
      </c>
      <c r="H464" s="21" t="s">
        <v>1733</v>
      </c>
      <c r="I464" s="115"/>
      <c r="J464" s="89" t="s">
        <v>1729</v>
      </c>
      <c r="K464" s="1"/>
      <c r="L464" s="1"/>
      <c r="M464" s="1"/>
      <c r="N464" s="118"/>
      <c r="O464" s="21"/>
      <c r="BX464" s="97"/>
      <c r="CS464" s="1"/>
      <c r="ED464" s="1"/>
    </row>
    <row r="465" spans="3:134" ht="18">
      <c r="C465" s="106"/>
      <c r="D465" s="21"/>
      <c r="E465" s="21"/>
      <c r="F465" s="21" t="s">
        <v>2698</v>
      </c>
      <c r="G465" s="21" t="s">
        <v>1535</v>
      </c>
      <c r="H465" s="21" t="s">
        <v>1733</v>
      </c>
      <c r="I465" s="115"/>
      <c r="J465" s="117"/>
      <c r="K465" s="1"/>
      <c r="L465" s="1"/>
      <c r="M465" s="1"/>
      <c r="N465" s="118"/>
      <c r="O465" s="21"/>
      <c r="BX465" s="97"/>
      <c r="CS465" s="1"/>
      <c r="ED465" s="1"/>
    </row>
    <row r="466" spans="3:134" ht="18.75">
      <c r="C466" s="106"/>
      <c r="D466" s="21"/>
      <c r="E466" s="21"/>
      <c r="F466" s="21" t="s">
        <v>2699</v>
      </c>
      <c r="G466" s="21" t="s">
        <v>1345</v>
      </c>
      <c r="H466" s="21" t="s">
        <v>1733</v>
      </c>
      <c r="I466" s="752"/>
      <c r="J466" s="89"/>
      <c r="K466" s="1"/>
      <c r="L466" s="1"/>
      <c r="M466" s="1"/>
      <c r="N466" s="118"/>
      <c r="O466" s="21"/>
      <c r="BX466" s="97"/>
      <c r="CS466" s="1"/>
      <c r="ED466" s="1"/>
    </row>
    <row r="467" spans="3:134" ht="18">
      <c r="C467" s="106"/>
      <c r="D467" s="21"/>
      <c r="E467" s="89"/>
      <c r="F467" s="21"/>
      <c r="J467" s="89" t="s">
        <v>1739</v>
      </c>
      <c r="K467" s="1"/>
      <c r="L467" s="1"/>
      <c r="M467" s="1"/>
      <c r="O467" s="21"/>
      <c r="BX467" s="97"/>
      <c r="CS467" s="1"/>
      <c r="ED467" s="1"/>
    </row>
    <row r="468" spans="3:134" ht="18">
      <c r="C468" s="106"/>
      <c r="D468" s="21"/>
      <c r="E468" s="89" t="s">
        <v>1806</v>
      </c>
      <c r="I468" s="115">
        <v>0</v>
      </c>
      <c r="J468" s="89" t="s">
        <v>1734</v>
      </c>
      <c r="K468" s="1"/>
      <c r="L468" s="1"/>
      <c r="M468" s="1"/>
      <c r="N468" s="118"/>
      <c r="O468" s="21"/>
      <c r="BX468" s="97"/>
      <c r="CS468" s="1"/>
      <c r="ED468" s="1"/>
    </row>
    <row r="469" spans="3:134" ht="18">
      <c r="C469" s="106"/>
      <c r="D469" s="21"/>
      <c r="E469" s="89"/>
      <c r="F469" s="21"/>
      <c r="J469" s="89" t="s">
        <v>1739</v>
      </c>
      <c r="K469" s="1"/>
      <c r="L469" s="1"/>
      <c r="M469" s="1"/>
      <c r="O469" s="21"/>
      <c r="BX469" s="97"/>
      <c r="CS469" s="1"/>
      <c r="ED469" s="1"/>
    </row>
    <row r="470" spans="3:134" ht="18">
      <c r="C470" s="106"/>
      <c r="D470" s="21"/>
      <c r="E470" s="89" t="s">
        <v>1805</v>
      </c>
      <c r="I470" s="115">
        <v>0</v>
      </c>
      <c r="J470" s="89" t="s">
        <v>1734</v>
      </c>
      <c r="K470" s="1"/>
      <c r="L470" s="1"/>
      <c r="M470" s="1"/>
      <c r="N470" s="118"/>
      <c r="O470" s="21"/>
      <c r="BX470" s="97"/>
      <c r="CS470" s="1"/>
      <c r="ED470" s="1"/>
    </row>
    <row r="471" spans="3:134" ht="18">
      <c r="C471" s="106"/>
      <c r="D471" s="21"/>
      <c r="E471" s="89" t="s">
        <v>2337</v>
      </c>
      <c r="I471" s="115">
        <v>0</v>
      </c>
      <c r="J471" s="89" t="s">
        <v>1734</v>
      </c>
      <c r="K471" s="1"/>
      <c r="L471" s="1"/>
      <c r="M471" s="1"/>
      <c r="N471" s="118"/>
      <c r="O471" s="21"/>
      <c r="BX471" s="97"/>
      <c r="CS471" s="1"/>
      <c r="ED471" s="1"/>
    </row>
    <row r="472" spans="3:134" ht="18">
      <c r="C472" s="106"/>
      <c r="D472" s="21"/>
      <c r="E472" s="89" t="s">
        <v>1731</v>
      </c>
      <c r="I472" s="115">
        <v>0</v>
      </c>
      <c r="J472" s="89" t="s">
        <v>1734</v>
      </c>
      <c r="K472" s="1"/>
      <c r="L472" s="1"/>
      <c r="M472" s="1"/>
      <c r="N472" s="118"/>
      <c r="O472" s="21"/>
      <c r="BX472" s="97"/>
      <c r="CS472" s="1"/>
      <c r="ED472" s="1"/>
    </row>
    <row r="473" spans="3:134" ht="18">
      <c r="C473" s="106"/>
      <c r="D473" s="21"/>
      <c r="E473" s="89"/>
      <c r="F473" s="21" t="s">
        <v>1732</v>
      </c>
      <c r="J473" s="89"/>
      <c r="K473" s="1"/>
      <c r="L473" s="1"/>
      <c r="M473" s="1"/>
      <c r="O473" s="21"/>
      <c r="BX473" s="97"/>
      <c r="CS473" s="1"/>
      <c r="ED473" s="1"/>
    </row>
    <row r="474" spans="3:134" ht="18">
      <c r="C474" s="106"/>
      <c r="D474" s="21"/>
      <c r="E474" s="89"/>
      <c r="F474" s="21"/>
      <c r="J474" s="89"/>
      <c r="K474" s="1"/>
      <c r="L474" s="1"/>
      <c r="M474" s="1"/>
      <c r="O474" s="21"/>
      <c r="BX474" s="97"/>
      <c r="CS474" s="1"/>
      <c r="ED474" s="1"/>
    </row>
    <row r="475" spans="3:134" ht="18">
      <c r="C475" s="106"/>
      <c r="D475" s="21"/>
      <c r="E475" s="89"/>
      <c r="F475" s="21"/>
      <c r="J475" s="89"/>
      <c r="K475" s="1"/>
      <c r="L475" s="1"/>
      <c r="M475" s="1"/>
      <c r="O475" s="21"/>
      <c r="BX475" s="97"/>
      <c r="CS475" s="1"/>
      <c r="ED475" s="1"/>
    </row>
    <row r="476" spans="3:134" ht="18">
      <c r="C476" s="106"/>
      <c r="D476" s="21"/>
      <c r="E476" s="89"/>
      <c r="F476" s="21"/>
      <c r="J476" s="1"/>
      <c r="K476" s="1"/>
      <c r="L476" s="1"/>
      <c r="M476" s="1"/>
      <c r="O476" s="21"/>
      <c r="BX476" s="97"/>
      <c r="CS476" s="1"/>
      <c r="ED476" s="1"/>
    </row>
    <row r="477" spans="3:134" ht="15.75">
      <c r="D477" s="7" t="s">
        <v>1426</v>
      </c>
      <c r="BX477" s="97"/>
      <c r="CS477" s="1"/>
      <c r="ED477" s="1"/>
    </row>
    <row r="478" spans="3:134" ht="15">
      <c r="C478" s="70" t="s">
        <v>1423</v>
      </c>
      <c r="D478" s="1" t="s">
        <v>1410</v>
      </c>
      <c r="BX478" s="97"/>
      <c r="CS478" s="1"/>
      <c r="ED478" s="1"/>
    </row>
    <row r="479" spans="3:134" ht="15.75">
      <c r="D479" s="7"/>
      <c r="BX479" s="97"/>
      <c r="CS479" s="1"/>
      <c r="ED479" s="1"/>
    </row>
    <row r="480" spans="3:134" ht="18">
      <c r="C480" s="106" t="s">
        <v>1424</v>
      </c>
      <c r="D480" s="1" t="s">
        <v>1411</v>
      </c>
      <c r="BX480" s="97"/>
      <c r="CS480" s="1"/>
      <c r="ED480" s="1"/>
    </row>
    <row r="481" spans="5:134" ht="15.75">
      <c r="E481" s="117" t="s">
        <v>1425</v>
      </c>
      <c r="I481" s="752"/>
      <c r="J481" s="89" t="s">
        <v>2038</v>
      </c>
      <c r="K481" s="1"/>
      <c r="L481" s="1"/>
      <c r="M481" s="1"/>
      <c r="N481" s="118"/>
      <c r="BX481" s="97"/>
      <c r="CS481" s="1"/>
      <c r="ED481" s="1"/>
    </row>
    <row r="482" spans="5:134" ht="15">
      <c r="E482" s="21" t="s">
        <v>2039</v>
      </c>
      <c r="I482" s="115"/>
      <c r="J482" s="1"/>
      <c r="K482" s="1"/>
      <c r="L482" s="1"/>
      <c r="M482" s="1"/>
      <c r="BX482" s="97"/>
      <c r="CS482" s="1"/>
      <c r="ED482" s="1"/>
    </row>
    <row r="483" spans="5:134" ht="15.75">
      <c r="E483" s="89" t="s">
        <v>1796</v>
      </c>
      <c r="I483" s="752"/>
      <c r="J483" s="89" t="s">
        <v>1797</v>
      </c>
      <c r="N483" s="118" t="s">
        <v>3454</v>
      </c>
      <c r="BX483" s="97"/>
      <c r="CS483" s="1"/>
      <c r="ED483" s="1"/>
    </row>
    <row r="484" spans="5:134" ht="15">
      <c r="E484" s="21" t="s">
        <v>1738</v>
      </c>
      <c r="F484" s="21"/>
      <c r="G484" s="21" t="s">
        <v>1537</v>
      </c>
      <c r="H484" s="21" t="s">
        <v>1733</v>
      </c>
      <c r="J484" s="89"/>
      <c r="BX484" s="97"/>
      <c r="CS484" s="1"/>
      <c r="ED484" s="1"/>
    </row>
    <row r="485" spans="5:134" ht="15.75">
      <c r="E485" s="89" t="s">
        <v>1736</v>
      </c>
      <c r="I485" s="752">
        <v>134943</v>
      </c>
      <c r="J485" s="89" t="s">
        <v>1797</v>
      </c>
      <c r="N485" s="118" t="s">
        <v>3493</v>
      </c>
      <c r="BX485" s="97"/>
      <c r="CS485" s="1"/>
      <c r="ED485" s="1"/>
    </row>
    <row r="486" spans="5:134" ht="15">
      <c r="E486" s="21" t="s">
        <v>1738</v>
      </c>
      <c r="F486" s="21"/>
      <c r="G486" s="21" t="s">
        <v>1537</v>
      </c>
      <c r="H486" s="21" t="s">
        <v>1733</v>
      </c>
      <c r="J486" s="89"/>
      <c r="BX486" s="97"/>
      <c r="CS486" s="1"/>
      <c r="ED486" s="1"/>
    </row>
    <row r="487" spans="5:134" ht="15">
      <c r="E487" s="89" t="s">
        <v>1736</v>
      </c>
      <c r="I487" s="115"/>
      <c r="J487" s="89" t="s">
        <v>1797</v>
      </c>
      <c r="N487" s="118"/>
      <c r="BX487" s="97"/>
      <c r="CS487" s="1"/>
      <c r="ED487" s="1"/>
    </row>
    <row r="488" spans="5:134" ht="15">
      <c r="E488" s="21"/>
      <c r="F488" s="21"/>
      <c r="G488" s="21"/>
      <c r="H488" s="21"/>
      <c r="J488" s="89"/>
      <c r="BX488" s="97"/>
      <c r="CS488" s="1"/>
      <c r="ED488" s="1"/>
    </row>
    <row r="489" spans="5:134" ht="15">
      <c r="E489" s="89" t="s">
        <v>1802</v>
      </c>
      <c r="I489" s="115"/>
      <c r="J489" s="89" t="s">
        <v>1797</v>
      </c>
      <c r="N489" s="118"/>
      <c r="BX489" s="97"/>
      <c r="CS489" s="1"/>
      <c r="ED489" s="1"/>
    </row>
    <row r="490" spans="5:134" ht="15">
      <c r="E490" s="21" t="s">
        <v>1738</v>
      </c>
      <c r="F490" s="21"/>
      <c r="G490" s="21" t="s">
        <v>1537</v>
      </c>
      <c r="H490" s="21" t="s">
        <v>1733</v>
      </c>
      <c r="J490" s="89"/>
      <c r="BX490" s="97"/>
      <c r="CS490" s="1"/>
      <c r="ED490" s="1"/>
    </row>
    <row r="491" spans="5:134" ht="15">
      <c r="E491" s="89" t="s">
        <v>2035</v>
      </c>
      <c r="I491" s="115"/>
      <c r="J491" s="89" t="s">
        <v>1804</v>
      </c>
      <c r="N491" s="118"/>
      <c r="BX491" s="97"/>
      <c r="CS491" s="1"/>
      <c r="ED491" s="1"/>
    </row>
    <row r="492" spans="5:134" ht="15">
      <c r="E492" s="21"/>
      <c r="F492" s="21"/>
      <c r="G492" s="21" t="s">
        <v>1535</v>
      </c>
      <c r="H492" s="21" t="s">
        <v>1733</v>
      </c>
      <c r="J492" s="89"/>
      <c r="BX492" s="97"/>
      <c r="CS492" s="1"/>
      <c r="ED492" s="1"/>
    </row>
    <row r="493" spans="5:134" ht="15.75">
      <c r="E493" s="89" t="s">
        <v>2037</v>
      </c>
      <c r="I493" s="752"/>
      <c r="J493" s="89" t="s">
        <v>1804</v>
      </c>
      <c r="N493" s="118"/>
      <c r="BX493" s="97"/>
      <c r="CS493" s="1"/>
      <c r="ED493" s="1"/>
    </row>
    <row r="494" spans="5:134" ht="15">
      <c r="E494" s="21" t="s">
        <v>2338</v>
      </c>
      <c r="F494" s="21"/>
      <c r="G494" s="21" t="s">
        <v>1538</v>
      </c>
      <c r="H494" s="21" t="s">
        <v>1733</v>
      </c>
      <c r="J494" s="89"/>
      <c r="BX494" s="97"/>
      <c r="CS494" s="1"/>
      <c r="ED494" s="1"/>
    </row>
    <row r="495" spans="5:134" ht="15">
      <c r="E495" s="21"/>
      <c r="F495" s="21"/>
      <c r="G495" s="21"/>
      <c r="H495" s="21"/>
      <c r="J495" s="89"/>
      <c r="BX495" s="97"/>
      <c r="CS495" s="1"/>
      <c r="ED495" s="1"/>
    </row>
    <row r="496" spans="5:134" ht="15">
      <c r="E496" s="89" t="s">
        <v>2036</v>
      </c>
      <c r="I496" s="115"/>
      <c r="J496" s="89" t="s">
        <v>1797</v>
      </c>
      <c r="N496" s="118"/>
      <c r="BX496" s="97"/>
      <c r="CS496" s="1"/>
      <c r="ED496" s="1"/>
    </row>
    <row r="497" spans="3:134" ht="15">
      <c r="E497" s="21" t="s">
        <v>2339</v>
      </c>
      <c r="F497" s="21"/>
      <c r="G497" s="21" t="s">
        <v>1538</v>
      </c>
      <c r="H497" s="21" t="s">
        <v>1733</v>
      </c>
      <c r="J497" s="89"/>
      <c r="BX497" s="97"/>
      <c r="CS497" s="1"/>
      <c r="ED497" s="1"/>
    </row>
    <row r="498" spans="3:134" ht="15">
      <c r="E498" s="21"/>
      <c r="F498" s="21"/>
      <c r="G498" s="21"/>
      <c r="H498" s="21"/>
      <c r="J498" s="89"/>
      <c r="BX498" s="97"/>
      <c r="CS498" s="1"/>
      <c r="ED498" s="1"/>
    </row>
    <row r="499" spans="3:134" ht="18">
      <c r="C499" s="106" t="s">
        <v>1533</v>
      </c>
      <c r="D499" s="21" t="s">
        <v>1534</v>
      </c>
      <c r="BX499" s="97"/>
      <c r="CS499" s="1"/>
      <c r="ED499" s="1"/>
    </row>
    <row r="500" spans="3:134" ht="18">
      <c r="C500" s="106"/>
      <c r="D500" s="21"/>
      <c r="E500" s="89" t="s">
        <v>1538</v>
      </c>
      <c r="F500" t="s">
        <v>1539</v>
      </c>
      <c r="J500" s="1"/>
      <c r="K500" s="1"/>
      <c r="L500" s="1"/>
      <c r="M500" s="1"/>
      <c r="BX500" s="97"/>
      <c r="CS500" s="1"/>
      <c r="ED500" s="1"/>
    </row>
    <row r="501" spans="3:134" ht="15.75">
      <c r="E501" s="89" t="s">
        <v>1535</v>
      </c>
      <c r="I501" s="752">
        <v>1704914</v>
      </c>
      <c r="J501" s="1"/>
      <c r="K501" s="1"/>
      <c r="L501" s="1"/>
      <c r="M501" s="1"/>
      <c r="N501" s="118" t="s">
        <v>3493</v>
      </c>
      <c r="BX501" s="97"/>
      <c r="CS501" s="1"/>
      <c r="ED501" s="1"/>
    </row>
    <row r="502" spans="3:134" ht="15.75">
      <c r="E502" s="89" t="s">
        <v>1536</v>
      </c>
      <c r="I502" s="752">
        <v>6861181</v>
      </c>
      <c r="J502" s="1"/>
      <c r="K502" s="1"/>
      <c r="L502" s="1"/>
      <c r="M502" s="1"/>
      <c r="N502" s="118" t="s">
        <v>3493</v>
      </c>
      <c r="BX502" s="97"/>
      <c r="CS502" s="1"/>
      <c r="ED502" s="1"/>
    </row>
    <row r="503" spans="3:134" ht="15.75">
      <c r="E503" s="89" t="s">
        <v>1537</v>
      </c>
      <c r="I503" s="752">
        <v>273725</v>
      </c>
      <c r="J503" s="1"/>
      <c r="K503" s="1"/>
      <c r="L503" s="1"/>
      <c r="M503" s="1"/>
      <c r="N503" s="118" t="s">
        <v>3493</v>
      </c>
      <c r="CS503" s="1"/>
      <c r="ED503" s="1"/>
    </row>
    <row r="504" spans="3:134" ht="15.75">
      <c r="E504" s="89" t="s">
        <v>1890</v>
      </c>
      <c r="I504" s="752">
        <v>41367</v>
      </c>
      <c r="J504" s="1"/>
      <c r="K504" s="1"/>
      <c r="L504" s="1"/>
      <c r="M504" s="1"/>
      <c r="N504" s="118" t="s">
        <v>3493</v>
      </c>
      <c r="CS504" s="1"/>
      <c r="ED504" s="1"/>
    </row>
    <row r="505" spans="3:134" ht="15.75">
      <c r="E505" s="89" t="s">
        <v>1583</v>
      </c>
      <c r="I505" s="752">
        <v>3333</v>
      </c>
      <c r="CS505" s="1"/>
      <c r="ED505" s="1"/>
    </row>
    <row r="506" spans="3:134" ht="15">
      <c r="CS506" s="1"/>
      <c r="ED506" s="1"/>
    </row>
    <row r="507" spans="3:134" ht="18">
      <c r="C507" s="106" t="s">
        <v>1717</v>
      </c>
      <c r="D507" s="89" t="s">
        <v>2331</v>
      </c>
      <c r="E507" s="1"/>
      <c r="F507" s="1"/>
      <c r="G507" s="1"/>
      <c r="I507" s="1"/>
      <c r="J507" s="1"/>
      <c r="K507" s="1"/>
      <c r="L507" s="1"/>
      <c r="M507" s="1"/>
      <c r="N507" s="1"/>
      <c r="CS507" s="1"/>
      <c r="ED507" s="1"/>
    </row>
    <row r="508" spans="3:134" ht="18.75">
      <c r="C508" s="106"/>
      <c r="D508" s="1"/>
      <c r="E508" s="117" t="s">
        <v>1417</v>
      </c>
      <c r="G508" s="1"/>
      <c r="I508" s="99">
        <f>+BK103</f>
        <v>0</v>
      </c>
      <c r="J508" s="1" t="s">
        <v>1418</v>
      </c>
      <c r="K508" s="1"/>
      <c r="L508" s="1"/>
      <c r="M508" s="1"/>
      <c r="N508" s="118"/>
      <c r="O508" s="21" t="s">
        <v>2332</v>
      </c>
      <c r="CS508" s="1"/>
      <c r="ED508" s="1"/>
    </row>
    <row r="509" spans="3:134" ht="18.75">
      <c r="C509" s="106"/>
      <c r="D509" s="1"/>
      <c r="E509" s="117" t="s">
        <v>1419</v>
      </c>
      <c r="F509" s="1"/>
      <c r="G509" s="1"/>
      <c r="I509" s="99">
        <f>+BR103</f>
        <v>1123725</v>
      </c>
      <c r="J509" s="1" t="s">
        <v>1420</v>
      </c>
      <c r="K509" s="1"/>
      <c r="L509" s="1"/>
      <c r="M509" s="1"/>
      <c r="N509" s="118"/>
      <c r="CS509" s="1"/>
      <c r="ED509" s="1"/>
    </row>
    <row r="510" spans="3:134" ht="18.75">
      <c r="C510" s="106"/>
      <c r="D510" s="1"/>
      <c r="E510" s="117"/>
      <c r="F510" s="1"/>
      <c r="G510" s="1"/>
      <c r="I510" s="99"/>
      <c r="J510" s="1"/>
      <c r="K510" s="1"/>
      <c r="L510" s="1"/>
      <c r="M510" s="1"/>
      <c r="N510" s="118"/>
      <c r="CS510" s="1"/>
      <c r="ED510" s="1"/>
    </row>
    <row r="511" spans="3:134" ht="15.75">
      <c r="C511" s="70" t="s">
        <v>2721</v>
      </c>
      <c r="D511" s="89" t="s">
        <v>2722</v>
      </c>
      <c r="I511" s="752">
        <v>2453628</v>
      </c>
      <c r="J511" s="1"/>
      <c r="K511" s="1"/>
      <c r="L511" s="1"/>
      <c r="M511" s="1"/>
      <c r="N511" s="118" t="s">
        <v>3493</v>
      </c>
      <c r="CS511" s="1"/>
      <c r="ED511" s="1"/>
    </row>
    <row r="512" spans="3:134" ht="15">
      <c r="CS512" s="1"/>
      <c r="ED512" s="1"/>
    </row>
    <row r="513" spans="3:134" ht="15.75">
      <c r="D513" s="7" t="s">
        <v>1447</v>
      </c>
      <c r="CS513" s="1"/>
      <c r="ED513" s="1"/>
    </row>
    <row r="514" spans="3:134" ht="15">
      <c r="CS514" s="1"/>
      <c r="ED514" s="1"/>
    </row>
    <row r="515" spans="3:134" ht="15">
      <c r="C515" s="70" t="s">
        <v>1428</v>
      </c>
      <c r="D515" s="114" t="s">
        <v>1462</v>
      </c>
      <c r="ED515" s="1"/>
    </row>
    <row r="516" spans="3:134" ht="15">
      <c r="D516" s="113" t="s">
        <v>1464</v>
      </c>
    </row>
    <row r="517" spans="3:134" ht="15.75">
      <c r="D517" s="113"/>
      <c r="E517" s="117" t="s">
        <v>1416</v>
      </c>
      <c r="I517" s="752">
        <v>2877311</v>
      </c>
      <c r="N517" s="118" t="s">
        <v>3493</v>
      </c>
    </row>
    <row r="518" spans="3:134" ht="18">
      <c r="C518" s="106" t="s">
        <v>1427</v>
      </c>
      <c r="D518" t="s">
        <v>1540</v>
      </c>
    </row>
    <row r="519" spans="3:134" ht="15">
      <c r="D519" s="89"/>
      <c r="I519" s="140"/>
      <c r="J519" s="117"/>
      <c r="N519" s="118"/>
      <c r="O519" s="118"/>
    </row>
    <row r="520" spans="3:134" ht="15">
      <c r="D520" s="89" t="s">
        <v>3494</v>
      </c>
      <c r="I520" s="140">
        <f>+E384</f>
        <v>-102054</v>
      </c>
      <c r="J520" s="117"/>
      <c r="N520" s="118" t="s">
        <v>3493</v>
      </c>
      <c r="O520" s="118"/>
    </row>
    <row r="521" spans="3:134" ht="15">
      <c r="D521" s="89" t="s">
        <v>3290</v>
      </c>
      <c r="I521" s="140">
        <f>+AU384</f>
        <v>-1287</v>
      </c>
      <c r="J521" s="117"/>
      <c r="N521" s="118" t="s">
        <v>3493</v>
      </c>
      <c r="O521" s="118"/>
    </row>
    <row r="522" spans="3:134" ht="15">
      <c r="D522" s="89" t="s">
        <v>3495</v>
      </c>
      <c r="I522" s="140">
        <f>+AV384</f>
        <v>-22045</v>
      </c>
      <c r="J522" s="117"/>
      <c r="N522" s="118" t="s">
        <v>3493</v>
      </c>
      <c r="O522" s="118"/>
    </row>
    <row r="523" spans="3:134" ht="15">
      <c r="D523" s="89" t="s">
        <v>3168</v>
      </c>
      <c r="I523" s="140">
        <f>+AX384</f>
        <v>-11972</v>
      </c>
      <c r="J523" s="117"/>
      <c r="N523" s="118" t="s">
        <v>3493</v>
      </c>
      <c r="O523" s="118"/>
    </row>
    <row r="524" spans="3:134" ht="15">
      <c r="D524" s="89" t="s">
        <v>3291</v>
      </c>
      <c r="I524" s="140">
        <f>+BA384</f>
        <v>-8728</v>
      </c>
      <c r="J524" s="117"/>
      <c r="N524" s="118" t="s">
        <v>3493</v>
      </c>
      <c r="O524" s="118"/>
    </row>
    <row r="525" spans="3:134" ht="15">
      <c r="D525" s="89" t="s">
        <v>3496</v>
      </c>
      <c r="I525" s="140">
        <f>+BB384</f>
        <v>-287714</v>
      </c>
      <c r="J525" s="117"/>
      <c r="N525" s="118" t="s">
        <v>3493</v>
      </c>
      <c r="O525" s="118"/>
    </row>
    <row r="526" spans="3:134" ht="15">
      <c r="D526" s="89" t="s">
        <v>2771</v>
      </c>
      <c r="E526" s="89"/>
      <c r="I526" s="140">
        <f>+BT384</f>
        <v>-24383</v>
      </c>
      <c r="N526" s="118" t="s">
        <v>3493</v>
      </c>
    </row>
    <row r="527" spans="3:134" s="267" customFormat="1" ht="15.75" thickBot="1">
      <c r="C527" s="268"/>
      <c r="D527" s="89"/>
      <c r="E527" s="269"/>
      <c r="I527" s="140"/>
      <c r="N527" s="118"/>
    </row>
  </sheetData>
  <phoneticPr fontId="0" type="noConversion"/>
  <pageMargins left="0.25" right="0.25" top="0.25" bottom="0.25" header="0.25" footer="0.19"/>
  <pageSetup scale="61" fitToWidth="0" pageOrder="overThenDown" orientation="landscape" r:id="rId1"/>
  <headerFooter alignWithMargins="0">
    <oddFooter>&amp;L&amp;D  &amp;T&amp;CPage: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locked="0" defaultSize="0" autoFill="0" autoLine="0" autoPict="0">
                <anchor moveWithCells="1" sizeWithCells="1">
                  <from>
                    <xdr:col>1</xdr:col>
                    <xdr:colOff>2486025</xdr:colOff>
                    <xdr:row>0</xdr:row>
                    <xdr:rowOff>0</xdr:rowOff>
                  </from>
                  <to>
                    <xdr:col>1</xdr:col>
                    <xdr:colOff>2486025</xdr:colOff>
                    <xdr:row>0</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codeName="Sheet12"/>
  <dimension ref="A1:BB197"/>
  <sheetViews>
    <sheetView showGridLines="0" topLeftCell="A7" zoomScale="73" zoomScaleNormal="73" workbookViewId="0">
      <selection activeCell="G37" sqref="G37"/>
    </sheetView>
  </sheetViews>
  <sheetFormatPr defaultColWidth="9.7109375" defaultRowHeight="12.75"/>
  <cols>
    <col min="1" max="1" width="2.7109375" style="288" customWidth="1"/>
    <col min="2" max="2" width="34.28515625" style="288" hidden="1" customWidth="1"/>
    <col min="3" max="3" width="66.28515625" style="288" customWidth="1"/>
    <col min="4" max="4" width="2.7109375" style="288" customWidth="1"/>
    <col min="5" max="5" width="18.7109375" style="288" customWidth="1"/>
    <col min="6" max="6" width="2.7109375" style="288" customWidth="1"/>
    <col min="7" max="7" width="18.7109375" style="288" customWidth="1"/>
    <col min="8" max="8" width="2.7109375" style="288" customWidth="1"/>
    <col min="9" max="9" width="16.5703125" style="288" bestFit="1" customWidth="1"/>
    <col min="10" max="10" width="2.85546875" style="288" hidden="1" customWidth="1"/>
    <col min="11" max="11" width="23.28515625" style="304" hidden="1" customWidth="1"/>
    <col min="12" max="12" width="14.28515625" style="288" bestFit="1" customWidth="1"/>
    <col min="13" max="13" width="20.42578125" style="288" customWidth="1"/>
    <col min="14" max="14" width="20.5703125" style="288" customWidth="1"/>
    <col min="15" max="15" width="18.140625" style="288" customWidth="1"/>
    <col min="16" max="16" width="15.85546875" style="288" customWidth="1"/>
    <col min="17" max="17" width="16.85546875" style="288" bestFit="1" customWidth="1"/>
    <col min="18" max="18" width="16.7109375" style="288" customWidth="1"/>
    <col min="19" max="19" width="4.7109375" style="288" customWidth="1"/>
    <col min="20" max="20" width="12.140625" style="288" customWidth="1"/>
    <col min="21" max="21" width="25" style="288" bestFit="1" customWidth="1"/>
    <col min="22" max="22" width="17.140625" style="288" customWidth="1"/>
    <col min="23" max="24" width="14.42578125" style="288" customWidth="1"/>
    <col min="25" max="25" width="16.42578125" style="288" bestFit="1" customWidth="1"/>
    <col min="26" max="26" width="11.28515625" style="288" bestFit="1" customWidth="1"/>
    <col min="27" max="27" width="10" style="288" bestFit="1" customWidth="1"/>
    <col min="28" max="28" width="9.7109375" style="288"/>
    <col min="29" max="32" width="10.7109375" style="288" bestFit="1" customWidth="1"/>
    <col min="33" max="33" width="9.7109375" style="288"/>
    <col min="34" max="34" width="14.28515625" style="288" bestFit="1" customWidth="1"/>
    <col min="35" max="37" width="9.7109375" style="288"/>
    <col min="38" max="38" width="33" style="288" bestFit="1" customWidth="1"/>
    <col min="39" max="39" width="3.42578125" style="288" customWidth="1"/>
    <col min="40" max="40" width="21.28515625" style="288" bestFit="1" customWidth="1"/>
    <col min="41" max="41" width="3.42578125" style="288" customWidth="1"/>
    <col min="42" max="42" width="20.85546875" style="288" bestFit="1" customWidth="1"/>
    <col min="43" max="43" width="3.42578125" style="288" customWidth="1"/>
    <col min="44" max="44" width="19" style="288" bestFit="1" customWidth="1"/>
    <col min="45" max="45" width="3.42578125" style="288" customWidth="1"/>
    <col min="46" max="46" width="19" style="288" bestFit="1" customWidth="1"/>
    <col min="47" max="47" width="3.42578125" style="288" customWidth="1"/>
    <col min="48" max="48" width="20" style="288" bestFit="1" customWidth="1"/>
    <col min="49" max="49" width="3.42578125" style="288" customWidth="1"/>
    <col min="50" max="50" width="17.5703125" style="288" customWidth="1"/>
    <col min="51" max="51" width="9.85546875" style="288" bestFit="1" customWidth="1"/>
    <col min="52" max="52" width="12.85546875" style="288" bestFit="1" customWidth="1"/>
    <col min="53" max="53" width="12" style="288" bestFit="1" customWidth="1"/>
    <col min="54" max="16384" width="9.7109375" style="288"/>
  </cols>
  <sheetData>
    <row r="1" spans="1:34" hidden="1"/>
    <row r="2" spans="1:34" ht="15.75" hidden="1">
      <c r="B2" s="305"/>
      <c r="C2" s="1313" t="s">
        <v>1049</v>
      </c>
      <c r="D2" s="1307"/>
      <c r="E2" s="1307"/>
      <c r="F2" s="1307"/>
      <c r="G2" s="1307"/>
      <c r="H2" s="1307"/>
      <c r="I2" s="1307"/>
      <c r="J2" s="1307"/>
      <c r="K2" s="1307"/>
      <c r="Q2" s="276"/>
      <c r="R2" s="276"/>
      <c r="S2" s="276"/>
    </row>
    <row r="3" spans="1:34" ht="15.75">
      <c r="B3" s="305"/>
      <c r="C3" s="1313" t="s">
        <v>1672</v>
      </c>
      <c r="D3" s="1307"/>
      <c r="E3" s="1307"/>
      <c r="F3" s="1307"/>
      <c r="G3" s="1307"/>
      <c r="H3" s="1307"/>
      <c r="I3" s="1307"/>
      <c r="J3" s="1307"/>
      <c r="K3" s="1307"/>
      <c r="Q3" s="276"/>
      <c r="R3" s="276"/>
      <c r="S3" s="276"/>
    </row>
    <row r="4" spans="1:34" ht="15.75">
      <c r="B4" s="307"/>
      <c r="C4" s="1314">
        <f>+'Sys INPUT'!B1</f>
        <v>45107</v>
      </c>
      <c r="D4" s="1315"/>
      <c r="E4" s="1315"/>
      <c r="F4" s="1315"/>
      <c r="G4" s="1315"/>
      <c r="H4" s="1315"/>
      <c r="I4" s="1315"/>
      <c r="J4" s="1315"/>
      <c r="K4" s="1315"/>
      <c r="Q4" s="276"/>
      <c r="R4" s="276"/>
      <c r="S4" s="276"/>
    </row>
    <row r="5" spans="1:34" ht="15.75" hidden="1">
      <c r="A5" s="307"/>
      <c r="B5" s="307"/>
      <c r="C5" s="305"/>
      <c r="D5" s="277"/>
      <c r="E5" s="277"/>
      <c r="F5" s="277"/>
      <c r="G5" s="277"/>
      <c r="H5" s="277"/>
      <c r="I5" s="277"/>
      <c r="J5" s="289"/>
      <c r="K5" s="972"/>
      <c r="L5" s="289"/>
      <c r="M5" s="289"/>
      <c r="N5" s="289"/>
      <c r="O5" s="289"/>
      <c r="P5" s="276"/>
      <c r="Q5" s="276"/>
      <c r="R5" s="276"/>
      <c r="S5" s="276"/>
    </row>
    <row r="6" spans="1:34" ht="15.75" hidden="1">
      <c r="A6" s="277"/>
      <c r="B6" s="277"/>
      <c r="C6" s="277"/>
      <c r="D6" s="277"/>
      <c r="E6" s="277"/>
      <c r="F6" s="277"/>
      <c r="G6" s="277"/>
      <c r="H6" s="277"/>
      <c r="I6" s="277"/>
      <c r="J6" s="289"/>
      <c r="K6" s="972"/>
      <c r="L6" s="289"/>
      <c r="M6" s="277"/>
      <c r="N6" s="277"/>
      <c r="O6" s="289"/>
      <c r="P6" s="276"/>
      <c r="Q6" s="276"/>
      <c r="R6" s="276"/>
      <c r="S6" s="276"/>
    </row>
    <row r="7" spans="1:34" ht="15.75">
      <c r="A7" s="276"/>
      <c r="B7" s="276"/>
      <c r="C7" s="320"/>
      <c r="D7" s="308"/>
      <c r="E7" s="308"/>
      <c r="F7" s="308"/>
      <c r="G7" s="308"/>
      <c r="H7" s="308"/>
      <c r="I7" s="308"/>
      <c r="J7" s="308"/>
      <c r="K7" s="973"/>
      <c r="L7" s="308"/>
      <c r="M7" s="320"/>
      <c r="N7" s="320"/>
      <c r="O7" s="308"/>
      <c r="P7" s="276"/>
      <c r="Q7" s="276"/>
      <c r="R7" s="276"/>
      <c r="S7" s="276"/>
      <c r="V7" s="327"/>
      <c r="W7" s="327" t="s">
        <v>1753</v>
      </c>
      <c r="X7" s="327"/>
    </row>
    <row r="8" spans="1:34" ht="15.75" hidden="1">
      <c r="A8" s="276"/>
      <c r="B8" s="276"/>
      <c r="C8" s="308"/>
      <c r="D8" s="308"/>
      <c r="E8" s="305"/>
      <c r="F8" s="305"/>
      <c r="G8" s="466"/>
      <c r="H8" s="305"/>
      <c r="I8" s="305"/>
      <c r="J8" s="308"/>
      <c r="K8" s="974" t="s">
        <v>1696</v>
      </c>
      <c r="L8" s="308"/>
      <c r="M8" s="308"/>
      <c r="N8" s="287" t="s">
        <v>338</v>
      </c>
      <c r="O8" s="305"/>
      <c r="P8" s="276"/>
      <c r="Q8" s="287" t="s">
        <v>315</v>
      </c>
      <c r="R8" s="287"/>
      <c r="S8" s="287"/>
      <c r="T8" s="288" t="s">
        <v>547</v>
      </c>
      <c r="U8" s="329"/>
      <c r="W8" s="330" t="s">
        <v>754</v>
      </c>
      <c r="X8" s="330"/>
      <c r="Y8" s="327"/>
    </row>
    <row r="9" spans="1:34" ht="15.75">
      <c r="A9" s="276"/>
      <c r="B9" s="276"/>
      <c r="C9" s="308"/>
      <c r="D9" s="308"/>
      <c r="E9" s="308"/>
      <c r="F9" s="308"/>
      <c r="G9" s="308"/>
      <c r="H9" s="308"/>
      <c r="I9" s="308"/>
      <c r="J9" s="308"/>
      <c r="K9" s="975" t="s">
        <v>2279</v>
      </c>
      <c r="L9" s="308"/>
      <c r="M9" s="287" t="s">
        <v>315</v>
      </c>
      <c r="N9" s="287" t="s">
        <v>211</v>
      </c>
      <c r="O9" s="287" t="s">
        <v>792</v>
      </c>
      <c r="P9" s="287" t="s">
        <v>315</v>
      </c>
      <c r="Q9" s="287" t="s">
        <v>889</v>
      </c>
      <c r="R9" s="287"/>
      <c r="S9" s="287"/>
      <c r="T9" s="330"/>
      <c r="U9" s="331" t="s">
        <v>2952</v>
      </c>
      <c r="V9" s="610" t="s">
        <v>3019</v>
      </c>
      <c r="W9" s="332" t="s">
        <v>1053</v>
      </c>
      <c r="X9" s="610" t="s">
        <v>3019</v>
      </c>
      <c r="Y9" s="610" t="s">
        <v>3233</v>
      </c>
      <c r="AA9" s="288" t="s">
        <v>830</v>
      </c>
      <c r="AH9" s="287"/>
    </row>
    <row r="10" spans="1:34" ht="15.75">
      <c r="A10" s="276"/>
      <c r="B10" s="276"/>
      <c r="C10" s="308"/>
      <c r="D10" s="308"/>
      <c r="E10" s="308" t="s">
        <v>338</v>
      </c>
      <c r="F10" s="308"/>
      <c r="G10" s="287" t="s">
        <v>1206</v>
      </c>
      <c r="H10" s="308"/>
      <c r="I10" s="287"/>
      <c r="J10" s="308"/>
      <c r="K10" s="975" t="s">
        <v>1298</v>
      </c>
      <c r="L10" s="287"/>
      <c r="M10" s="287" t="s">
        <v>338</v>
      </c>
      <c r="N10" s="287" t="s">
        <v>534</v>
      </c>
      <c r="O10" s="287" t="s">
        <v>1206</v>
      </c>
      <c r="P10" s="287" t="s">
        <v>1055</v>
      </c>
      <c r="Q10" s="287" t="s">
        <v>584</v>
      </c>
      <c r="R10" s="287"/>
      <c r="S10" s="287"/>
      <c r="T10" s="330" t="s">
        <v>830</v>
      </c>
      <c r="U10" s="330" t="s">
        <v>497</v>
      </c>
      <c r="V10" s="330" t="s">
        <v>501</v>
      </c>
      <c r="W10" s="330" t="s">
        <v>1051</v>
      </c>
      <c r="X10" s="330" t="s">
        <v>2953</v>
      </c>
      <c r="Y10" s="330" t="s">
        <v>595</v>
      </c>
      <c r="AA10" s="288" t="s">
        <v>117</v>
      </c>
      <c r="AH10" s="287"/>
    </row>
    <row r="11" spans="1:34" ht="15.75">
      <c r="A11" s="276"/>
      <c r="B11" s="276"/>
      <c r="C11" s="308"/>
      <c r="D11" s="308"/>
      <c r="E11" s="290" t="s">
        <v>154</v>
      </c>
      <c r="F11" s="308"/>
      <c r="G11" s="290" t="s">
        <v>154</v>
      </c>
      <c r="H11" s="308"/>
      <c r="I11" s="290" t="s">
        <v>315</v>
      </c>
      <c r="J11" s="308"/>
      <c r="K11" s="976" t="s">
        <v>577</v>
      </c>
      <c r="L11" s="287"/>
      <c r="M11" s="290" t="s">
        <v>540</v>
      </c>
      <c r="N11" s="290" t="s">
        <v>210</v>
      </c>
      <c r="O11" s="290" t="s">
        <v>154</v>
      </c>
      <c r="P11" s="290" t="s">
        <v>540</v>
      </c>
      <c r="Q11" s="290" t="s">
        <v>540</v>
      </c>
      <c r="R11" s="290" t="s">
        <v>315</v>
      </c>
      <c r="S11" s="287"/>
      <c r="T11" s="330" t="s">
        <v>116</v>
      </c>
      <c r="U11" s="330" t="s">
        <v>116</v>
      </c>
      <c r="V11" s="330" t="s">
        <v>1545</v>
      </c>
      <c r="W11" s="330" t="s">
        <v>1766</v>
      </c>
      <c r="X11" s="330"/>
      <c r="Y11" s="330" t="s">
        <v>628</v>
      </c>
      <c r="Z11" s="330" t="s">
        <v>504</v>
      </c>
      <c r="AA11" s="288" t="s">
        <v>830</v>
      </c>
      <c r="AH11" s="290" t="s">
        <v>316</v>
      </c>
    </row>
    <row r="12" spans="1:34" ht="15.75" hidden="1">
      <c r="A12" s="276"/>
      <c r="B12" s="276" t="str">
        <f>INPUT!B83</f>
        <v>ASSETS</v>
      </c>
      <c r="C12" s="308"/>
      <c r="D12" s="276"/>
      <c r="E12" s="333"/>
      <c r="F12" s="276"/>
      <c r="G12" s="333"/>
      <c r="H12" s="276"/>
      <c r="I12" s="333"/>
      <c r="J12" s="276"/>
      <c r="K12" s="977"/>
      <c r="L12" s="333"/>
      <c r="M12" s="308"/>
      <c r="N12" s="308"/>
      <c r="O12" s="333"/>
      <c r="P12" s="276"/>
      <c r="Q12" s="276"/>
      <c r="R12" s="276"/>
      <c r="S12" s="276"/>
      <c r="T12" s="330" t="s">
        <v>498</v>
      </c>
      <c r="U12" s="330" t="s">
        <v>499</v>
      </c>
      <c r="V12" s="330" t="s">
        <v>502</v>
      </c>
      <c r="W12" s="330" t="s">
        <v>496</v>
      </c>
      <c r="X12" s="330" t="s">
        <v>1052</v>
      </c>
      <c r="Y12" s="330" t="s">
        <v>1052</v>
      </c>
      <c r="Z12" s="330" t="s">
        <v>500</v>
      </c>
      <c r="AH12" s="333"/>
    </row>
    <row r="13" spans="1:34" ht="15.75">
      <c r="A13" s="276"/>
      <c r="B13" s="276" t="str">
        <f>INPUT!B84</f>
        <v>Current assets:</v>
      </c>
      <c r="C13" s="308" t="str">
        <f>+INPUT!B83</f>
        <v>ASSETS</v>
      </c>
      <c r="D13" s="276"/>
      <c r="E13" s="276"/>
      <c r="F13" s="276"/>
      <c r="G13" s="276"/>
      <c r="H13" s="276"/>
      <c r="I13" s="276"/>
      <c r="J13" s="276"/>
      <c r="K13" s="654"/>
      <c r="L13" s="276"/>
      <c r="M13" s="276">
        <f t="shared" ref="M13:R13" si="0">+M14+M15+M28+M29</f>
        <v>65344842</v>
      </c>
      <c r="N13" s="276">
        <f t="shared" si="0"/>
        <v>5442115</v>
      </c>
      <c r="O13" s="276">
        <f t="shared" si="0"/>
        <v>6304627</v>
      </c>
      <c r="P13" s="276">
        <f t="shared" si="0"/>
        <v>8078646</v>
      </c>
      <c r="Q13" s="276">
        <f t="shared" si="0"/>
        <v>63162882</v>
      </c>
      <c r="R13" s="276">
        <f t="shared" si="0"/>
        <v>148333112</v>
      </c>
      <c r="S13" s="276"/>
      <c r="T13" s="288">
        <f>+R13-U14</f>
        <v>7720171</v>
      </c>
      <c r="X13" s="288">
        <f>SUM(X14:X15)</f>
        <v>25108</v>
      </c>
      <c r="Y13" s="288">
        <f>SUM(Y14:Y15)</f>
        <v>721255</v>
      </c>
      <c r="Z13" s="330"/>
      <c r="AH13" s="334"/>
    </row>
    <row r="14" spans="1:34" ht="15.75">
      <c r="A14" s="276"/>
      <c r="B14" s="276" t="str">
        <f>INPUT!B85</f>
        <v xml:space="preserve">     Cash and cash equivalents</v>
      </c>
      <c r="C14" s="276" t="s">
        <v>773</v>
      </c>
      <c r="D14" s="303"/>
      <c r="E14" s="292">
        <f>+'Govt BS'!AG14</f>
        <v>58815528</v>
      </c>
      <c r="F14" s="292"/>
      <c r="G14" s="292">
        <f>+O14</f>
        <v>5293547</v>
      </c>
      <c r="H14" s="292"/>
      <c r="I14" s="292">
        <f>SUM(E14:H14)</f>
        <v>64109075</v>
      </c>
      <c r="J14" s="294"/>
      <c r="K14" s="978"/>
      <c r="L14" s="294"/>
      <c r="M14" s="296">
        <f>+'Govt BS'!T14</f>
        <v>54246170</v>
      </c>
      <c r="N14" s="296">
        <f>+PROPNA!N15</f>
        <v>4569358</v>
      </c>
      <c r="O14" s="292">
        <f>+PROPNA!L15</f>
        <v>5293547</v>
      </c>
      <c r="P14" s="292">
        <f>+'Cust Funds NP'!AO16</f>
        <v>6807929</v>
      </c>
      <c r="Q14" s="292">
        <f>+'FIDCOMBIT NP'!H14</f>
        <v>53787862</v>
      </c>
      <c r="R14" s="292">
        <f>SUM(K14:Q14)</f>
        <v>124704866</v>
      </c>
      <c r="S14" s="292"/>
      <c r="T14" s="288">
        <f>+R14+R28</f>
        <v>124746495</v>
      </c>
      <c r="U14" s="331">
        <f>154662185-U15</f>
        <v>140612941</v>
      </c>
      <c r="V14" s="331">
        <v>77737</v>
      </c>
      <c r="X14" s="611">
        <v>25108</v>
      </c>
      <c r="Y14" s="331">
        <v>13373</v>
      </c>
      <c r="Z14" s="288">
        <f>+SUM(U14:Y14)-T14</f>
        <v>15982664</v>
      </c>
      <c r="AC14" s="288">
        <f>+T14-AD14</f>
        <v>64150704</v>
      </c>
      <c r="AD14" s="288">
        <f>+P14+Q14</f>
        <v>60595791</v>
      </c>
      <c r="AE14" s="288">
        <f>+AD14+AC14</f>
        <v>124746495</v>
      </c>
      <c r="AF14" s="288">
        <f>+AE14+AE15</f>
        <v>148333112</v>
      </c>
      <c r="AH14" s="292" t="e">
        <f>+'CU BS Don''t Use FY21'!#REF!</f>
        <v>#REF!</v>
      </c>
    </row>
    <row r="15" spans="1:34" ht="15.75">
      <c r="A15" s="276"/>
      <c r="B15" s="276" t="str">
        <f>INPUT!B86</f>
        <v xml:space="preserve">     Investments </v>
      </c>
      <c r="C15" s="276" t="s">
        <v>233</v>
      </c>
      <c r="D15" s="276"/>
      <c r="E15" s="294">
        <f>+'Govt BS'!AG15</f>
        <v>11233886</v>
      </c>
      <c r="F15" s="296"/>
      <c r="G15" s="294">
        <f>+O15</f>
        <v>1011080</v>
      </c>
      <c r="H15" s="296"/>
      <c r="I15" s="294">
        <f>SUM(E15:H15)</f>
        <v>12244966</v>
      </c>
      <c r="J15" s="296"/>
      <c r="K15" s="341"/>
      <c r="L15" s="294"/>
      <c r="M15" s="296">
        <f>+'Govt BS'!T15</f>
        <v>10361129</v>
      </c>
      <c r="N15" s="296">
        <f>+PROPNA!N16</f>
        <v>872757</v>
      </c>
      <c r="O15" s="294">
        <f>+PROPNA!L16</f>
        <v>1011080</v>
      </c>
      <c r="P15" s="294">
        <f>+'Cust Funds NP'!AO17</f>
        <v>1270717</v>
      </c>
      <c r="Q15" s="294">
        <f>+'FIDCOMBIT NP'!H15</f>
        <v>9375020</v>
      </c>
      <c r="R15" s="294">
        <f>SUM(K15:Q15)</f>
        <v>22890703</v>
      </c>
      <c r="S15" s="294"/>
      <c r="T15" s="288">
        <f>+R15+R29</f>
        <v>23586617</v>
      </c>
      <c r="U15" s="331">
        <v>14049244</v>
      </c>
      <c r="V15" s="331">
        <v>135146</v>
      </c>
      <c r="Y15" s="331">
        <v>707882</v>
      </c>
      <c r="Z15" s="288">
        <f>+SUM(U15:Y15)-T15</f>
        <v>-8694345</v>
      </c>
      <c r="AA15" s="288">
        <f>+Z15+Z14</f>
        <v>7288319</v>
      </c>
      <c r="AC15" s="288">
        <f>+T15-AD15</f>
        <v>12940880</v>
      </c>
      <c r="AD15" s="288">
        <f>+P15+Q15</f>
        <v>10645737</v>
      </c>
      <c r="AE15" s="288">
        <f>+AD15+AC15</f>
        <v>23586617</v>
      </c>
      <c r="AH15" s="294" t="e">
        <f>+'CU BS Don''t Use FY21'!#REF!</f>
        <v>#REF!</v>
      </c>
    </row>
    <row r="16" spans="1:34" ht="15.75">
      <c r="A16" s="276"/>
      <c r="B16" s="276" t="str">
        <f>INPUT!B87</f>
        <v xml:space="preserve">     Receivables (net of allowance):</v>
      </c>
      <c r="C16" s="276" t="s">
        <v>3258</v>
      </c>
      <c r="D16" s="276"/>
      <c r="E16" s="294"/>
      <c r="F16" s="296"/>
      <c r="G16" s="294"/>
      <c r="H16" s="296"/>
      <c r="I16" s="294"/>
      <c r="J16" s="296"/>
      <c r="K16" s="341"/>
      <c r="L16" s="294"/>
      <c r="M16" s="296"/>
      <c r="N16" s="296"/>
      <c r="O16" s="294"/>
      <c r="P16" s="294"/>
      <c r="Q16" s="294"/>
      <c r="R16" s="294"/>
      <c r="S16" s="294"/>
      <c r="U16" s="335"/>
      <c r="V16" s="335"/>
      <c r="Y16" s="335"/>
      <c r="AH16" s="294">
        <v>0</v>
      </c>
    </row>
    <row r="17" spans="1:34" ht="15.75" hidden="1">
      <c r="A17" s="276"/>
      <c r="B17" s="276"/>
      <c r="C17" s="276"/>
      <c r="D17" s="276"/>
      <c r="E17" s="294"/>
      <c r="F17" s="296"/>
      <c r="G17" s="294"/>
      <c r="H17" s="296"/>
      <c r="I17" s="294"/>
      <c r="J17" s="296"/>
      <c r="K17" s="341"/>
      <c r="L17" s="294"/>
      <c r="M17" s="296"/>
      <c r="N17" s="296"/>
      <c r="O17" s="294"/>
      <c r="P17" s="294"/>
      <c r="Q17" s="294"/>
      <c r="R17" s="294"/>
      <c r="S17" s="294"/>
      <c r="AH17" s="294"/>
    </row>
    <row r="18" spans="1:34" ht="15.75">
      <c r="A18" s="276"/>
      <c r="B18" s="276" t="str">
        <f>INPUT!B88</f>
        <v xml:space="preserve">          Taxes/assessments</v>
      </c>
      <c r="C18" s="276" t="s">
        <v>3254</v>
      </c>
      <c r="D18" s="276"/>
      <c r="E18" s="294">
        <f>+'Govt BS'!AG17</f>
        <v>1429835</v>
      </c>
      <c r="F18" s="296"/>
      <c r="G18" s="294">
        <f>+O18</f>
        <v>14685</v>
      </c>
      <c r="H18" s="296"/>
      <c r="I18" s="294">
        <f t="shared" ref="I18:I40" si="1">SUM(E18:H18)</f>
        <v>1444520</v>
      </c>
      <c r="J18" s="296"/>
      <c r="K18" s="341"/>
      <c r="L18" s="294"/>
      <c r="M18" s="296">
        <f>+'Govt BS'!T17</f>
        <v>1429835</v>
      </c>
      <c r="N18" s="296">
        <f>+PROPNA!N18</f>
        <v>0</v>
      </c>
      <c r="O18" s="294">
        <f>+PROPNA!L18</f>
        <v>14685</v>
      </c>
      <c r="P18" s="294">
        <f>+'Cust Funds NP'!AO19</f>
        <v>2771480</v>
      </c>
      <c r="Q18" s="294"/>
      <c r="R18" s="294">
        <f t="shared" ref="R18:R32" si="2">SUM(K18:Q18)</f>
        <v>4216000</v>
      </c>
      <c r="S18" s="294"/>
      <c r="T18" s="288">
        <f>+R18+R19+R31-0</f>
        <v>4993842</v>
      </c>
      <c r="U18" s="331">
        <v>6612981</v>
      </c>
      <c r="V18" s="335" t="s">
        <v>1635</v>
      </c>
      <c r="Z18" s="288">
        <f>+SUM(U18:Y18)-T18</f>
        <v>1619139</v>
      </c>
      <c r="AH18" s="294" t="e">
        <f>+'CU BS Don''t Use FY21'!#REF!</f>
        <v>#REF!</v>
      </c>
    </row>
    <row r="19" spans="1:34" ht="15.75">
      <c r="A19" s="276"/>
      <c r="B19" s="276" t="str">
        <f>INPUT!B89</f>
        <v xml:space="preserve">          Accounts/contracts</v>
      </c>
      <c r="C19" s="276" t="s">
        <v>3252</v>
      </c>
      <c r="D19" s="276"/>
      <c r="E19" s="294">
        <f>+'Govt BS'!AG18</f>
        <v>469973</v>
      </c>
      <c r="F19" s="296"/>
      <c r="G19" s="294">
        <f>+O19</f>
        <v>307869</v>
      </c>
      <c r="H19" s="296"/>
      <c r="I19" s="294">
        <f t="shared" si="1"/>
        <v>777842</v>
      </c>
      <c r="J19" s="296"/>
      <c r="K19" s="341"/>
      <c r="L19" s="294"/>
      <c r="M19" s="296">
        <f>+'Govt BS'!T18</f>
        <v>207823</v>
      </c>
      <c r="N19" s="296">
        <f>+PROPNA!N19</f>
        <v>262150</v>
      </c>
      <c r="O19" s="294">
        <f>+PROPNA!L19</f>
        <v>307869</v>
      </c>
      <c r="P19" s="294">
        <v>0</v>
      </c>
      <c r="Q19" s="294"/>
      <c r="R19" s="294">
        <f t="shared" si="2"/>
        <v>777842</v>
      </c>
      <c r="S19" s="294"/>
      <c r="T19" s="288" t="s">
        <v>54</v>
      </c>
      <c r="AH19" s="294" t="e">
        <f>+'CU BS Don''t Use FY21'!#REF!</f>
        <v>#REF!</v>
      </c>
    </row>
    <row r="20" spans="1:34" ht="15.75" hidden="1">
      <c r="A20" s="276"/>
      <c r="B20" s="276"/>
      <c r="C20" s="276" t="s">
        <v>3255</v>
      </c>
      <c r="D20" s="276"/>
      <c r="E20" s="294">
        <f>+'Govt BS'!AG19</f>
        <v>0</v>
      </c>
      <c r="F20" s="296"/>
      <c r="G20" s="294">
        <f>+O20</f>
        <v>0</v>
      </c>
      <c r="H20" s="296"/>
      <c r="I20" s="294">
        <f>SUM(E20:H20)</f>
        <v>0</v>
      </c>
      <c r="J20" s="296"/>
      <c r="K20" s="341"/>
      <c r="L20" s="294"/>
      <c r="M20" s="296">
        <f>+'Govt BS'!T19</f>
        <v>0</v>
      </c>
      <c r="N20" s="296">
        <f>+PROPNA!N20</f>
        <v>0</v>
      </c>
      <c r="O20" s="294">
        <f>+PROPNA!L20</f>
        <v>0</v>
      </c>
      <c r="P20" s="294">
        <v>0</v>
      </c>
      <c r="Q20" s="294"/>
      <c r="R20" s="294">
        <f t="shared" si="2"/>
        <v>0</v>
      </c>
      <c r="S20" s="294"/>
      <c r="T20" s="288">
        <f>+R20+R32</f>
        <v>0</v>
      </c>
      <c r="U20" s="331">
        <v>1894325</v>
      </c>
      <c r="Z20" s="288">
        <f>+SUM(U20:Y20)-T20</f>
        <v>1894325</v>
      </c>
      <c r="AH20" s="294">
        <v>0</v>
      </c>
    </row>
    <row r="21" spans="1:34" ht="15.75">
      <c r="A21" s="276"/>
      <c r="B21" s="276"/>
      <c r="C21" s="276" t="s">
        <v>3253</v>
      </c>
      <c r="D21" s="276"/>
      <c r="E21" s="294">
        <f>+'Govt BS'!AG20</f>
        <v>422140</v>
      </c>
      <c r="F21" s="296"/>
      <c r="G21" s="294">
        <f>+O21</f>
        <v>0</v>
      </c>
      <c r="H21" s="296"/>
      <c r="I21" s="294">
        <f>SUM(E21:H21)</f>
        <v>422140</v>
      </c>
      <c r="J21" s="296"/>
      <c r="K21" s="341"/>
      <c r="L21" s="294"/>
      <c r="M21" s="296">
        <f>+'Govt BS'!T20</f>
        <v>0</v>
      </c>
      <c r="N21" s="296">
        <f>+PROPNA!N21</f>
        <v>422140</v>
      </c>
      <c r="O21" s="294">
        <f>+PROPNA!L21</f>
        <v>0</v>
      </c>
      <c r="P21" s="294"/>
      <c r="Q21" s="294"/>
      <c r="R21" s="294">
        <f t="shared" ref="R21" si="3">SUM(K21:Q21)</f>
        <v>422140</v>
      </c>
      <c r="S21" s="294"/>
      <c r="T21" s="288">
        <f>+R21+R33</f>
        <v>1552467</v>
      </c>
      <c r="U21" s="331"/>
      <c r="Z21" s="288">
        <f>+SUM(U21:Y21)-T21</f>
        <v>-1552467</v>
      </c>
      <c r="AH21" s="294"/>
    </row>
    <row r="22" spans="1:34" ht="15.75" hidden="1">
      <c r="A22" s="276"/>
      <c r="B22" s="276" t="str">
        <f>INPUT!B92</f>
        <v xml:space="preserve">     Due from other funds</v>
      </c>
      <c r="C22" s="276" t="s">
        <v>1081</v>
      </c>
      <c r="D22" s="276"/>
      <c r="E22" s="294">
        <v>0</v>
      </c>
      <c r="F22" s="296"/>
      <c r="G22" s="294">
        <f t="shared" ref="G22:G39" si="4">+O22</f>
        <v>0</v>
      </c>
      <c r="H22" s="296"/>
      <c r="I22" s="294">
        <f t="shared" si="1"/>
        <v>0</v>
      </c>
      <c r="J22" s="296"/>
      <c r="K22" s="341"/>
      <c r="L22" s="294"/>
      <c r="M22" s="296">
        <f>+'Govt BS'!T21</f>
        <v>811024</v>
      </c>
      <c r="N22" s="296">
        <f>+PROPNA!N22</f>
        <v>0</v>
      </c>
      <c r="O22" s="294">
        <f>+PROPNA!L22</f>
        <v>0</v>
      </c>
      <c r="P22" s="294">
        <v>0</v>
      </c>
      <c r="Q22" s="294"/>
      <c r="R22" s="294">
        <f t="shared" si="2"/>
        <v>811024</v>
      </c>
      <c r="S22" s="294"/>
      <c r="T22" s="288">
        <f>+R22</f>
        <v>811024</v>
      </c>
      <c r="U22" s="336">
        <f>79+526031</f>
        <v>526110</v>
      </c>
      <c r="Z22" s="288">
        <f>+SUM(U22:Y22)-T22</f>
        <v>-284914</v>
      </c>
      <c r="AH22" s="294">
        <v>0</v>
      </c>
    </row>
    <row r="23" spans="1:34" ht="15.75">
      <c r="A23" s="276"/>
      <c r="B23" s="276" t="str">
        <f>INPUT!B93</f>
        <v xml:space="preserve">     Due from other governments</v>
      </c>
      <c r="C23" s="276" t="s">
        <v>159</v>
      </c>
      <c r="D23" s="276"/>
      <c r="E23" s="294">
        <f>+'Govt BS'!AG22</f>
        <v>578284</v>
      </c>
      <c r="F23" s="296"/>
      <c r="G23" s="294">
        <f t="shared" si="4"/>
        <v>0</v>
      </c>
      <c r="H23" s="296"/>
      <c r="I23" s="294">
        <f t="shared" si="1"/>
        <v>578284</v>
      </c>
      <c r="J23" s="296"/>
      <c r="K23" s="341"/>
      <c r="L23" s="294"/>
      <c r="M23" s="296">
        <f>+'Govt BS'!T22</f>
        <v>578284</v>
      </c>
      <c r="N23" s="296">
        <f>+PROPNA!N23</f>
        <v>0</v>
      </c>
      <c r="O23" s="294">
        <f>+PROPNA!L23</f>
        <v>0</v>
      </c>
      <c r="P23" s="294">
        <v>0</v>
      </c>
      <c r="Q23" s="294"/>
      <c r="R23" s="294">
        <f>SUM(K23:Q23)</f>
        <v>578284</v>
      </c>
      <c r="S23" s="294"/>
      <c r="T23" s="288">
        <f>+R23</f>
        <v>578284</v>
      </c>
      <c r="W23" s="331">
        <v>0</v>
      </c>
      <c r="Z23" s="288">
        <f>+SUM(U23:Y23)-T23</f>
        <v>-578284</v>
      </c>
      <c r="AH23" s="294">
        <v>0</v>
      </c>
    </row>
    <row r="24" spans="1:34" ht="15.75">
      <c r="A24" s="276"/>
      <c r="B24" s="276" t="str">
        <f>INPUT!B94</f>
        <v xml:space="preserve">     Inventories</v>
      </c>
      <c r="C24" s="276" t="s">
        <v>160</v>
      </c>
      <c r="D24" s="276"/>
      <c r="E24" s="294">
        <f>+'Govt BS'!AG23</f>
        <v>622318</v>
      </c>
      <c r="F24" s="296"/>
      <c r="G24" s="294">
        <f t="shared" si="4"/>
        <v>12261</v>
      </c>
      <c r="H24" s="296"/>
      <c r="I24" s="294">
        <f t="shared" si="1"/>
        <v>634579</v>
      </c>
      <c r="J24" s="296"/>
      <c r="K24" s="341"/>
      <c r="L24" s="294"/>
      <c r="M24" s="296">
        <f>+'Govt BS'!T23</f>
        <v>586526</v>
      </c>
      <c r="N24" s="296">
        <f>+PROPNA!N24</f>
        <v>35792</v>
      </c>
      <c r="O24" s="294">
        <f>+PROPNA!L24</f>
        <v>12261</v>
      </c>
      <c r="P24" s="294">
        <v>0</v>
      </c>
      <c r="Q24" s="294"/>
      <c r="R24" s="294">
        <f t="shared" si="2"/>
        <v>634579</v>
      </c>
      <c r="S24" s="294"/>
      <c r="T24" s="288">
        <f>+R24</f>
        <v>634579</v>
      </c>
      <c r="U24" s="329">
        <v>634579</v>
      </c>
      <c r="Z24" s="288">
        <f>+SUM(U24:Y24)-T24</f>
        <v>0</v>
      </c>
      <c r="AH24" s="294">
        <v>0</v>
      </c>
    </row>
    <row r="25" spans="1:34" ht="15.75" hidden="1">
      <c r="A25" s="276"/>
      <c r="B25" s="276" t="s">
        <v>344</v>
      </c>
      <c r="C25" s="276" t="s">
        <v>1818</v>
      </c>
      <c r="D25" s="276"/>
      <c r="E25" s="294">
        <v>0</v>
      </c>
      <c r="F25" s="296"/>
      <c r="G25" s="294">
        <f t="shared" si="4"/>
        <v>0</v>
      </c>
      <c r="H25" s="296"/>
      <c r="I25" s="294">
        <f t="shared" si="1"/>
        <v>0</v>
      </c>
      <c r="J25" s="296"/>
      <c r="K25" s="341"/>
      <c r="L25" s="294"/>
      <c r="M25" s="296"/>
      <c r="N25" s="296">
        <f>+PROPNA!N25</f>
        <v>0</v>
      </c>
      <c r="O25" s="294">
        <f>+PROPNA!L25</f>
        <v>0</v>
      </c>
      <c r="P25" s="294">
        <v>0</v>
      </c>
      <c r="Q25" s="294"/>
      <c r="R25" s="294">
        <f t="shared" si="2"/>
        <v>0</v>
      </c>
      <c r="S25" s="294"/>
      <c r="U25" s="759" t="s">
        <v>2625</v>
      </c>
      <c r="AH25" s="294">
        <v>0</v>
      </c>
    </row>
    <row r="26" spans="1:34" ht="15.75" hidden="1">
      <c r="A26" s="276"/>
      <c r="B26" s="276" t="str">
        <f>INPUT!B96</f>
        <v>Noncurrent assets:</v>
      </c>
      <c r="C26" s="276" t="s">
        <v>1333</v>
      </c>
      <c r="D26" s="276"/>
      <c r="E26" s="294">
        <v>0</v>
      </c>
      <c r="F26" s="296"/>
      <c r="G26" s="294">
        <f t="shared" si="4"/>
        <v>0</v>
      </c>
      <c r="H26" s="296"/>
      <c r="I26" s="294">
        <f t="shared" si="1"/>
        <v>0</v>
      </c>
      <c r="J26" s="296"/>
      <c r="K26" s="341"/>
      <c r="L26" s="294"/>
      <c r="M26" s="296">
        <f>+'Govt BS'!T24</f>
        <v>0</v>
      </c>
      <c r="N26" s="296"/>
      <c r="O26" s="294"/>
      <c r="P26" s="294">
        <v>0</v>
      </c>
      <c r="Q26" s="294"/>
      <c r="R26" s="294">
        <f t="shared" si="2"/>
        <v>0</v>
      </c>
      <c r="S26" s="294"/>
      <c r="AH26" s="294">
        <v>0</v>
      </c>
    </row>
    <row r="27" spans="1:34" ht="15.75">
      <c r="A27" s="276"/>
      <c r="B27" s="276" t="str">
        <f>INPUT!B97</f>
        <v xml:space="preserve">     Restricted assets:</v>
      </c>
      <c r="C27" s="276" t="s">
        <v>877</v>
      </c>
      <c r="D27" s="276"/>
      <c r="E27" s="294">
        <f>+'Govt BS'!AG27</f>
        <v>737543</v>
      </c>
      <c r="F27" s="296"/>
      <c r="G27" s="294">
        <f>+O28+O29</f>
        <v>0</v>
      </c>
      <c r="H27" s="296"/>
      <c r="I27" s="294">
        <f t="shared" si="1"/>
        <v>737543</v>
      </c>
      <c r="J27" s="296"/>
      <c r="K27" s="341"/>
      <c r="L27" s="294"/>
      <c r="M27" s="296">
        <f>+'Govt BS'!T25</f>
        <v>0</v>
      </c>
      <c r="N27" s="296"/>
      <c r="O27" s="294"/>
      <c r="P27" s="294">
        <v>0</v>
      </c>
      <c r="Q27" s="294"/>
      <c r="R27" s="294">
        <f t="shared" si="2"/>
        <v>0</v>
      </c>
      <c r="S27" s="294"/>
      <c r="V27" s="329" t="s">
        <v>3312</v>
      </c>
      <c r="AH27" s="294">
        <v>0</v>
      </c>
    </row>
    <row r="28" spans="1:34" ht="15" hidden="1" customHeight="1">
      <c r="A28" s="276"/>
      <c r="B28" s="276" t="str">
        <f>INPUT!B98</f>
        <v xml:space="preserve">          Cash and cash equivalents</v>
      </c>
      <c r="C28" s="276" t="s">
        <v>273</v>
      </c>
      <c r="D28" s="276"/>
      <c r="E28" s="294"/>
      <c r="F28" s="296"/>
      <c r="G28" s="294">
        <v>0</v>
      </c>
      <c r="H28" s="296"/>
      <c r="I28" s="294">
        <f t="shared" si="1"/>
        <v>0</v>
      </c>
      <c r="J28" s="296"/>
      <c r="K28" s="341"/>
      <c r="L28" s="294"/>
      <c r="M28" s="296">
        <f>+'Govt BS'!T26</f>
        <v>41629</v>
      </c>
      <c r="N28" s="296">
        <f>+PROPNA!N30</f>
        <v>0</v>
      </c>
      <c r="O28" s="294">
        <f>+PROPNA!L30</f>
        <v>0</v>
      </c>
      <c r="P28" s="294">
        <v>0</v>
      </c>
      <c r="Q28" s="294"/>
      <c r="R28" s="294">
        <f t="shared" si="2"/>
        <v>41629</v>
      </c>
      <c r="S28" s="294"/>
      <c r="T28" s="288" t="s">
        <v>179</v>
      </c>
      <c r="AH28" s="294"/>
    </row>
    <row r="29" spans="1:34" ht="15" hidden="1" customHeight="1">
      <c r="A29" s="276"/>
      <c r="B29" s="276" t="str">
        <f>INPUT!B99</f>
        <v xml:space="preserve">          Investments</v>
      </c>
      <c r="C29" s="276" t="s">
        <v>232</v>
      </c>
      <c r="D29" s="276"/>
      <c r="E29" s="294"/>
      <c r="F29" s="296"/>
      <c r="G29" s="294">
        <v>0</v>
      </c>
      <c r="H29" s="296"/>
      <c r="I29" s="294">
        <f t="shared" si="1"/>
        <v>0</v>
      </c>
      <c r="J29" s="296"/>
      <c r="K29" s="341"/>
      <c r="L29" s="294"/>
      <c r="M29" s="296">
        <f>+'Govt BS'!T27</f>
        <v>695914</v>
      </c>
      <c r="N29" s="296">
        <f>+PROPNA!N31</f>
        <v>0</v>
      </c>
      <c r="O29" s="294">
        <f>+PROPNA!L31</f>
        <v>0</v>
      </c>
      <c r="P29" s="294">
        <v>0</v>
      </c>
      <c r="Q29" s="294"/>
      <c r="R29" s="294">
        <f t="shared" si="2"/>
        <v>695914</v>
      </c>
      <c r="S29" s="294"/>
      <c r="T29" s="288" t="s">
        <v>53</v>
      </c>
      <c r="AH29" s="294"/>
    </row>
    <row r="30" spans="1:34" ht="15" hidden="1" customHeight="1">
      <c r="A30" s="276"/>
      <c r="B30" s="276" t="str">
        <f>INPUT!B100</f>
        <v xml:space="preserve">     Valuation of investments to fair value</v>
      </c>
      <c r="C30" s="276" t="s">
        <v>15</v>
      </c>
      <c r="D30" s="276"/>
      <c r="E30" s="294"/>
      <c r="F30" s="296"/>
      <c r="G30" s="294"/>
      <c r="H30" s="296"/>
      <c r="I30" s="294">
        <f t="shared" si="1"/>
        <v>0</v>
      </c>
      <c r="J30" s="296"/>
      <c r="K30" s="341"/>
      <c r="L30" s="294"/>
      <c r="M30" s="296">
        <f>+'Govt BS'!T28</f>
        <v>0</v>
      </c>
      <c r="N30" s="296">
        <f>+PROPNA!N32</f>
        <v>0</v>
      </c>
      <c r="O30" s="294">
        <f>+PROPNA!L32</f>
        <v>0</v>
      </c>
      <c r="P30" s="294">
        <v>0</v>
      </c>
      <c r="Q30" s="294"/>
      <c r="R30" s="294">
        <f t="shared" si="2"/>
        <v>0</v>
      </c>
      <c r="S30" s="294"/>
      <c r="AH30" s="294"/>
    </row>
    <row r="31" spans="1:34" ht="15" hidden="1" customHeight="1">
      <c r="A31" s="276"/>
      <c r="B31" s="276"/>
      <c r="C31" s="276" t="s">
        <v>1653</v>
      </c>
      <c r="D31" s="276"/>
      <c r="E31" s="294">
        <f>+'Govt BS'!AG29</f>
        <v>0</v>
      </c>
      <c r="F31" s="296"/>
      <c r="G31" s="294">
        <f>+O31</f>
        <v>0</v>
      </c>
      <c r="H31" s="296"/>
      <c r="I31" s="294">
        <f t="shared" si="1"/>
        <v>0</v>
      </c>
      <c r="J31" s="296"/>
      <c r="K31" s="341"/>
      <c r="L31" s="294"/>
      <c r="M31" s="296">
        <f>+'Govt BS'!T29</f>
        <v>0</v>
      </c>
      <c r="N31" s="296"/>
      <c r="O31" s="294">
        <f>+PROPNA!L33</f>
        <v>0</v>
      </c>
      <c r="P31" s="294"/>
      <c r="Q31" s="294"/>
      <c r="R31" s="294">
        <f t="shared" si="2"/>
        <v>0</v>
      </c>
      <c r="S31" s="294"/>
      <c r="AH31" s="294">
        <v>0</v>
      </c>
    </row>
    <row r="32" spans="1:34" ht="15" hidden="1" customHeight="1">
      <c r="A32" s="276"/>
      <c r="B32" s="276"/>
      <c r="C32" s="276" t="s">
        <v>1652</v>
      </c>
      <c r="D32" s="276"/>
      <c r="E32" s="294">
        <f>+'Govt BS'!AG30</f>
        <v>0</v>
      </c>
      <c r="F32" s="296"/>
      <c r="G32" s="294">
        <f>+O32</f>
        <v>0</v>
      </c>
      <c r="H32" s="296"/>
      <c r="I32" s="294">
        <f t="shared" si="1"/>
        <v>0</v>
      </c>
      <c r="J32" s="296"/>
      <c r="K32" s="341"/>
      <c r="L32" s="294"/>
      <c r="M32" s="296">
        <f>+'Govt BS'!T30</f>
        <v>0</v>
      </c>
      <c r="N32" s="296"/>
      <c r="O32" s="294">
        <f>+PROPNA!L34</f>
        <v>0</v>
      </c>
      <c r="P32" s="294"/>
      <c r="Q32" s="294"/>
      <c r="R32" s="294">
        <f t="shared" si="2"/>
        <v>0</v>
      </c>
      <c r="S32" s="294"/>
      <c r="AH32" s="294">
        <v>0</v>
      </c>
    </row>
    <row r="33" spans="1:34" ht="15" customHeight="1">
      <c r="A33" s="276"/>
      <c r="B33" s="276" t="str">
        <f>INPUT!B103</f>
        <v xml:space="preserve">     Advances to other funds</v>
      </c>
      <c r="C33" s="276" t="s">
        <v>359</v>
      </c>
      <c r="D33" s="276"/>
      <c r="E33" s="294">
        <f>+'Govt BS'!AG31</f>
        <v>1123725</v>
      </c>
      <c r="F33" s="296"/>
      <c r="G33" s="294">
        <f>-O63-O80</f>
        <v>-1123725</v>
      </c>
      <c r="H33" s="296"/>
      <c r="I33" s="294">
        <f t="shared" si="1"/>
        <v>0</v>
      </c>
      <c r="J33" s="296"/>
      <c r="K33" s="341"/>
      <c r="L33" s="294"/>
      <c r="M33" s="296">
        <f>+'Govt BS'!T31</f>
        <v>1130327</v>
      </c>
      <c r="N33" s="296">
        <f>+PROPNA!N35</f>
        <v>0</v>
      </c>
      <c r="O33" s="294">
        <f>+PROPNA!L35</f>
        <v>0</v>
      </c>
      <c r="P33" s="294">
        <v>0</v>
      </c>
      <c r="Q33" s="294"/>
      <c r="R33" s="294">
        <f>SUM(K33:Q33)</f>
        <v>1130327</v>
      </c>
      <c r="S33" s="294"/>
      <c r="T33" s="288">
        <f>+R33</f>
        <v>1130327</v>
      </c>
      <c r="U33" s="331">
        <v>181119</v>
      </c>
      <c r="V33" s="288" t="s">
        <v>1767</v>
      </c>
      <c r="Z33" s="288">
        <f>+SUM(U33:Y33)-T33</f>
        <v>-949208</v>
      </c>
      <c r="AH33" s="294">
        <v>0</v>
      </c>
    </row>
    <row r="34" spans="1:34" ht="15" hidden="1" customHeight="1">
      <c r="A34" s="276"/>
      <c r="B34" s="276" t="str">
        <f>INPUT!B118</f>
        <v xml:space="preserve">     Deferred charges - Revenue bond issuance costs</v>
      </c>
      <c r="C34" s="276" t="s">
        <v>564</v>
      </c>
      <c r="D34" s="276"/>
      <c r="E34" s="294">
        <v>0</v>
      </c>
      <c r="F34" s="296"/>
      <c r="G34" s="294">
        <f t="shared" si="4"/>
        <v>0</v>
      </c>
      <c r="H34" s="296"/>
      <c r="I34" s="294">
        <f t="shared" si="1"/>
        <v>0</v>
      </c>
      <c r="J34" s="296"/>
      <c r="K34" s="341"/>
      <c r="L34" s="294"/>
      <c r="M34" s="296"/>
      <c r="N34" s="296"/>
      <c r="O34" s="294"/>
      <c r="P34" s="294">
        <v>0</v>
      </c>
      <c r="Q34" s="294"/>
      <c r="R34" s="294">
        <f>SUM(K34:Q34)</f>
        <v>0</v>
      </c>
      <c r="S34" s="294"/>
      <c r="AH34" s="294">
        <v>0</v>
      </c>
    </row>
    <row r="35" spans="1:34" ht="15" hidden="1" customHeight="1">
      <c r="A35" s="276"/>
      <c r="B35" s="276" t="str">
        <f>INPUT!B104</f>
        <v xml:space="preserve">     Capital Assets:</v>
      </c>
      <c r="C35" s="276" t="s">
        <v>583</v>
      </c>
      <c r="D35" s="276"/>
      <c r="E35" s="294"/>
      <c r="F35" s="296"/>
      <c r="G35" s="294"/>
      <c r="H35" s="296"/>
      <c r="I35" s="294"/>
      <c r="J35" s="296"/>
      <c r="K35" s="341"/>
      <c r="L35" s="294"/>
      <c r="M35" s="296"/>
      <c r="N35" s="296"/>
      <c r="O35" s="294"/>
      <c r="P35" s="294"/>
      <c r="Q35" s="294"/>
      <c r="R35" s="294"/>
      <c r="S35" s="294"/>
      <c r="AH35" s="294"/>
    </row>
    <row r="36" spans="1:34" ht="15" hidden="1" customHeight="1">
      <c r="A36" s="276"/>
      <c r="B36" s="276" t="str">
        <f>INPUT!B105</f>
        <v xml:space="preserve">     Land held for resale</v>
      </c>
      <c r="C36" s="276" t="s">
        <v>1352</v>
      </c>
      <c r="D36" s="276"/>
      <c r="E36" s="294">
        <v>0</v>
      </c>
      <c r="F36" s="296"/>
      <c r="G36" s="294">
        <f t="shared" si="4"/>
        <v>0</v>
      </c>
      <c r="H36" s="296"/>
      <c r="I36" s="294">
        <f t="shared" si="1"/>
        <v>0</v>
      </c>
      <c r="J36" s="296"/>
      <c r="K36" s="341"/>
      <c r="L36" s="294"/>
      <c r="M36" s="296">
        <f>+'Govt BS'!T32</f>
        <v>0</v>
      </c>
      <c r="N36" s="296">
        <f>+PROPNA!N37</f>
        <v>0</v>
      </c>
      <c r="O36" s="294">
        <f>+PROPNA!L37</f>
        <v>0</v>
      </c>
      <c r="P36" s="294">
        <f>+'Cust Funds NP'!AO21</f>
        <v>15629</v>
      </c>
      <c r="Q36" s="294"/>
      <c r="R36" s="294">
        <f>SUM(K36:Q36)</f>
        <v>15629</v>
      </c>
      <c r="S36" s="294"/>
      <c r="AH36" s="294"/>
    </row>
    <row r="37" spans="1:34" ht="15.75">
      <c r="A37" s="276"/>
      <c r="B37" s="276" t="e">
        <f>INPUT!#REF!</f>
        <v>#REF!</v>
      </c>
      <c r="C37" s="276" t="s">
        <v>1284</v>
      </c>
      <c r="D37" s="276"/>
      <c r="E37" s="294">
        <f>+'Govt BS'!AG33</f>
        <v>7282026</v>
      </c>
      <c r="F37" s="296"/>
      <c r="G37" s="294">
        <f t="shared" si="4"/>
        <v>243648</v>
      </c>
      <c r="H37" s="296"/>
      <c r="I37" s="294">
        <f t="shared" si="1"/>
        <v>7525674</v>
      </c>
      <c r="J37" s="296"/>
      <c r="K37" s="341"/>
      <c r="L37" s="294"/>
      <c r="M37" s="296">
        <f>+'Govt BS'!T33</f>
        <v>0</v>
      </c>
      <c r="N37" s="296">
        <f>+PROPNA!N38</f>
        <v>212844</v>
      </c>
      <c r="O37" s="294">
        <f>+PROPNA!L38</f>
        <v>243648</v>
      </c>
      <c r="P37" s="294">
        <v>0</v>
      </c>
      <c r="Q37" s="294"/>
      <c r="R37" s="294">
        <f>SUM(K37:Q37)</f>
        <v>456492</v>
      </c>
      <c r="S37" s="294"/>
      <c r="U37" s="288" t="s">
        <v>1634</v>
      </c>
      <c r="AH37" s="294" t="e">
        <f>+'CU BS Don''t Use FY21'!#REF!</f>
        <v>#REF!</v>
      </c>
    </row>
    <row r="38" spans="1:34" ht="15.75">
      <c r="A38" s="276"/>
      <c r="C38" s="276" t="s">
        <v>3272</v>
      </c>
      <c r="D38" s="276"/>
      <c r="E38" s="294">
        <f>+'Govt BS'!AG34</f>
        <v>28491521</v>
      </c>
      <c r="F38" s="296"/>
      <c r="G38" s="294">
        <f t="shared" si="4"/>
        <v>12196598</v>
      </c>
      <c r="H38" s="296"/>
      <c r="I38" s="294">
        <f t="shared" si="1"/>
        <v>40688119</v>
      </c>
      <c r="J38" s="296"/>
      <c r="K38" s="341"/>
      <c r="L38" s="294"/>
      <c r="M38" s="296">
        <f>+'Govt BS'!T34</f>
        <v>0</v>
      </c>
      <c r="N38" s="296">
        <f>+PROPNA!N39</f>
        <v>424842</v>
      </c>
      <c r="O38" s="294">
        <f>+PROPNA!L39</f>
        <v>12196598</v>
      </c>
      <c r="P38" s="294">
        <v>0</v>
      </c>
      <c r="Q38" s="294"/>
      <c r="R38" s="294">
        <f>SUM(K38:Q38)</f>
        <v>12621440</v>
      </c>
      <c r="S38" s="294"/>
      <c r="AH38" s="294" t="e">
        <f>+'CU BS Don''t Use FY21'!#REF!</f>
        <v>#REF!</v>
      </c>
    </row>
    <row r="39" spans="1:34" ht="15.75">
      <c r="A39" s="276"/>
      <c r="C39" s="276" t="s">
        <v>3271</v>
      </c>
      <c r="D39" s="276"/>
      <c r="E39" s="294">
        <f>+'Govt BS'!AG35</f>
        <v>15030926</v>
      </c>
      <c r="F39" s="296"/>
      <c r="G39" s="294">
        <f t="shared" si="4"/>
        <v>0</v>
      </c>
      <c r="H39" s="296"/>
      <c r="I39" s="294">
        <f t="shared" si="1"/>
        <v>15030926</v>
      </c>
      <c r="J39" s="296"/>
      <c r="K39" s="341"/>
      <c r="L39" s="294"/>
      <c r="M39" s="294"/>
      <c r="N39" s="294"/>
      <c r="O39" s="294">
        <v>0</v>
      </c>
      <c r="P39" s="294"/>
      <c r="Q39" s="294"/>
      <c r="R39" s="294">
        <f>SUM(K39:Q39)</f>
        <v>0</v>
      </c>
      <c r="S39" s="294"/>
      <c r="AH39" s="294">
        <v>0</v>
      </c>
    </row>
    <row r="40" spans="1:34" ht="15.75">
      <c r="A40" s="276"/>
      <c r="C40" s="276" t="s">
        <v>3459</v>
      </c>
      <c r="D40" s="276"/>
      <c r="E40" s="294">
        <f>+'Govt BS'!AG36</f>
        <v>275443</v>
      </c>
      <c r="F40" s="296"/>
      <c r="G40" s="294">
        <v>0</v>
      </c>
      <c r="H40" s="296"/>
      <c r="I40" s="294">
        <f t="shared" si="1"/>
        <v>275443</v>
      </c>
      <c r="J40" s="296"/>
      <c r="K40" s="341"/>
      <c r="L40" s="294"/>
      <c r="M40" s="294"/>
      <c r="N40" s="294"/>
      <c r="O40" s="294"/>
      <c r="P40" s="294"/>
      <c r="Q40" s="294"/>
      <c r="R40" s="294"/>
      <c r="S40" s="294"/>
      <c r="AH40" s="294"/>
    </row>
    <row r="41" spans="1:34" ht="15" customHeight="1">
      <c r="A41" s="276"/>
      <c r="B41" s="276"/>
      <c r="C41" s="276" t="s">
        <v>3526</v>
      </c>
      <c r="D41" s="276"/>
      <c r="E41" s="294">
        <f>+'Govt BS'!AG37</f>
        <v>832768</v>
      </c>
      <c r="F41" s="296"/>
      <c r="G41" s="294">
        <v>0</v>
      </c>
      <c r="H41" s="296"/>
      <c r="I41" s="294">
        <f t="shared" ref="I41" si="5">SUM(E41:H41)</f>
        <v>832768</v>
      </c>
      <c r="J41" s="296"/>
      <c r="K41" s="341"/>
      <c r="L41" s="294"/>
      <c r="M41" s="294"/>
      <c r="N41" s="294"/>
      <c r="O41" s="294"/>
      <c r="P41" s="294"/>
      <c r="Q41" s="294"/>
      <c r="R41" s="294"/>
      <c r="S41" s="294"/>
      <c r="AH41" s="337"/>
    </row>
    <row r="42" spans="1:34" ht="15.75">
      <c r="A42" s="276"/>
      <c r="B42" s="308" t="s">
        <v>346</v>
      </c>
      <c r="C42" s="308" t="s">
        <v>1194</v>
      </c>
      <c r="D42" s="319"/>
      <c r="E42" s="696">
        <f>SUM(E14:E41)</f>
        <v>127345916</v>
      </c>
      <c r="F42" s="338"/>
      <c r="G42" s="696">
        <f>SUM(G14:G41)</f>
        <v>17955963</v>
      </c>
      <c r="H42" s="338"/>
      <c r="I42" s="696">
        <f>SUM(I14:I41)</f>
        <v>145301879</v>
      </c>
      <c r="J42" s="338"/>
      <c r="K42" s="980"/>
      <c r="L42" s="339"/>
      <c r="M42" s="340">
        <f t="shared" ref="M42:R42" si="6">SUM(M14:M41)</f>
        <v>70088661</v>
      </c>
      <c r="N42" s="340">
        <f t="shared" si="6"/>
        <v>6799883</v>
      </c>
      <c r="O42" s="340">
        <f t="shared" si="6"/>
        <v>19079688</v>
      </c>
      <c r="P42" s="340">
        <f t="shared" si="6"/>
        <v>10865755</v>
      </c>
      <c r="Q42" s="340">
        <f t="shared" si="6"/>
        <v>63162882</v>
      </c>
      <c r="R42" s="340">
        <f t="shared" si="6"/>
        <v>169996869</v>
      </c>
      <c r="S42" s="300"/>
      <c r="AH42" s="339" t="e">
        <f>SUM(AH14:AH41)</f>
        <v>#REF!</v>
      </c>
    </row>
    <row r="43" spans="1:34" ht="15.75">
      <c r="A43" s="276"/>
      <c r="B43" s="276"/>
      <c r="C43" s="276"/>
      <c r="D43" s="276"/>
      <c r="E43" s="294"/>
      <c r="F43" s="294"/>
      <c r="G43" s="294"/>
      <c r="H43" s="294"/>
      <c r="I43" s="294"/>
      <c r="J43" s="296"/>
      <c r="K43" s="341"/>
      <c r="L43" s="296"/>
      <c r="M43" s="337"/>
      <c r="N43" s="337"/>
      <c r="O43" s="337">
        <f>+O42+G33</f>
        <v>17955963</v>
      </c>
      <c r="P43" s="337"/>
      <c r="Q43" s="337"/>
      <c r="R43" s="337"/>
      <c r="S43" s="294"/>
      <c r="AH43" s="337"/>
    </row>
    <row r="44" spans="1:34" ht="15.75">
      <c r="A44" s="276"/>
      <c r="B44" s="276"/>
      <c r="C44" s="308" t="str">
        <f>+INPUT!B116</f>
        <v>DEFERRED OUTFLOWS OF RESOURCES</v>
      </c>
      <c r="D44" s="276"/>
      <c r="E44" s="294"/>
      <c r="F44" s="276"/>
      <c r="G44" s="294"/>
      <c r="H44" s="276"/>
      <c r="I44" s="294"/>
      <c r="J44" s="296"/>
      <c r="K44" s="341"/>
      <c r="L44" s="296"/>
      <c r="M44" s="294"/>
      <c r="N44" s="294"/>
      <c r="O44" s="341">
        <f>+O63+O80</f>
        <v>1123725</v>
      </c>
      <c r="P44" s="294"/>
      <c r="Q44" s="294"/>
      <c r="R44" s="294"/>
      <c r="S44" s="294"/>
      <c r="AH44" s="294"/>
    </row>
    <row r="45" spans="1:34" ht="15.75">
      <c r="A45" s="276"/>
      <c r="B45" s="276"/>
      <c r="C45" s="276" t="str">
        <f>+INPUT!B117</f>
        <v xml:space="preserve">     Prepayments of costs</v>
      </c>
      <c r="D45" s="276"/>
      <c r="E45" s="294">
        <f>+'Govt BS'!AG44</f>
        <v>4635</v>
      </c>
      <c r="F45" s="303"/>
      <c r="G45" s="294">
        <v>0</v>
      </c>
      <c r="H45" s="319"/>
      <c r="I45" s="294">
        <f>SUM(E45:H45)</f>
        <v>4635</v>
      </c>
      <c r="J45" s="319"/>
      <c r="K45" s="341"/>
      <c r="L45" s="296"/>
      <c r="M45" s="294"/>
      <c r="N45" s="294"/>
      <c r="O45" s="294"/>
      <c r="P45" s="294"/>
      <c r="Q45" s="294"/>
      <c r="R45" s="294"/>
      <c r="S45" s="294"/>
      <c r="V45" s="613">
        <f>Q15/R15</f>
        <v>0.40955579214845433</v>
      </c>
      <c r="AH45" s="294"/>
    </row>
    <row r="46" spans="1:34" ht="15.75" hidden="1">
      <c r="A46" s="276"/>
      <c r="B46" s="276"/>
      <c r="C46" s="276" t="str">
        <f>+INPUT!B118</f>
        <v xml:space="preserve">     Deferred charges - Revenue bond issuance costs</v>
      </c>
      <c r="D46" s="276"/>
      <c r="E46" s="294">
        <f>+'Govt BS'!AG45</f>
        <v>0</v>
      </c>
      <c r="F46" s="303"/>
      <c r="G46" s="294"/>
      <c r="H46" s="319"/>
      <c r="I46" s="294"/>
      <c r="J46" s="319"/>
      <c r="K46" s="341"/>
      <c r="L46" s="296"/>
      <c r="M46" s="296"/>
      <c r="N46" s="294"/>
      <c r="O46" s="294"/>
      <c r="P46" s="294"/>
      <c r="Q46" s="294"/>
      <c r="R46" s="294"/>
      <c r="S46" s="294"/>
      <c r="AH46" s="294"/>
    </row>
    <row r="47" spans="1:34" ht="15.75" hidden="1">
      <c r="A47" s="276"/>
      <c r="B47" s="276"/>
      <c r="C47" s="276">
        <f>+INPUT!B119</f>
        <v>0</v>
      </c>
      <c r="D47" s="276"/>
      <c r="E47" s="294">
        <f>+'Govt BS'!AG46</f>
        <v>0</v>
      </c>
      <c r="F47" s="303"/>
      <c r="G47" s="294"/>
      <c r="H47" s="319"/>
      <c r="I47" s="294"/>
      <c r="J47" s="319"/>
      <c r="K47" s="341"/>
      <c r="L47" s="296"/>
      <c r="M47" s="294"/>
      <c r="N47" s="294"/>
      <c r="O47" s="294"/>
      <c r="P47" s="294"/>
      <c r="Q47" s="294"/>
      <c r="R47" s="294">
        <f t="shared" ref="R47:R56" si="7">SUM(I47:K47)</f>
        <v>0</v>
      </c>
      <c r="S47" s="294"/>
      <c r="AH47" s="294"/>
    </row>
    <row r="48" spans="1:34" ht="15.75">
      <c r="A48" s="276"/>
      <c r="B48" s="276"/>
      <c r="C48" s="276" t="str">
        <f>+INPUT!B120</f>
        <v xml:space="preserve">     Deferred outflows related to pensions</v>
      </c>
      <c r="D48" s="276"/>
      <c r="E48" s="294">
        <f>+'Govt BS'!AG47</f>
        <v>7814355</v>
      </c>
      <c r="F48" s="303"/>
      <c r="G48" s="294">
        <f>+O48</f>
        <v>0</v>
      </c>
      <c r="H48" s="319"/>
      <c r="I48" s="294">
        <f>SUM(E48:H48)</f>
        <v>7814355</v>
      </c>
      <c r="J48" s="319"/>
      <c r="K48" s="341"/>
      <c r="L48" s="296"/>
      <c r="M48" s="294"/>
      <c r="N48" s="294"/>
      <c r="O48" s="294">
        <f>+PROPNA!L47</f>
        <v>0</v>
      </c>
      <c r="P48" s="294"/>
      <c r="Q48" s="294"/>
      <c r="R48" s="294">
        <f>SUM(I48:K48)</f>
        <v>7814355</v>
      </c>
      <c r="S48" s="294"/>
      <c r="T48" s="288">
        <f>+Pension!Q23</f>
        <v>2281409</v>
      </c>
      <c r="U48" s="288">
        <f>+T48-R48</f>
        <v>-5532946</v>
      </c>
      <c r="AH48" s="294"/>
    </row>
    <row r="49" spans="1:34" ht="15.75" hidden="1">
      <c r="A49" s="276"/>
      <c r="B49" s="276"/>
      <c r="C49" s="276">
        <f>+INPUT!B121</f>
        <v>0</v>
      </c>
      <c r="D49" s="276"/>
      <c r="E49" s="294">
        <f>+'Govt BS'!AG48</f>
        <v>0</v>
      </c>
      <c r="F49" s="303"/>
      <c r="G49" s="294"/>
      <c r="H49" s="319"/>
      <c r="I49" s="294"/>
      <c r="J49" s="319"/>
      <c r="K49" s="341"/>
      <c r="L49" s="296"/>
      <c r="M49" s="294"/>
      <c r="N49" s="294"/>
      <c r="O49" s="294">
        <f>+PROPNA!L48</f>
        <v>0</v>
      </c>
      <c r="P49" s="294"/>
      <c r="Q49" s="294"/>
      <c r="R49" s="294"/>
      <c r="S49" s="294"/>
      <c r="AH49" s="294"/>
    </row>
    <row r="50" spans="1:34" ht="15.75">
      <c r="A50" s="276"/>
      <c r="B50" s="276"/>
      <c r="C50" s="276" t="str">
        <f>+INPUT!B122</f>
        <v xml:space="preserve">     Deferred outflows related to other </v>
      </c>
      <c r="D50" s="276"/>
      <c r="E50" s="294"/>
      <c r="F50" s="303"/>
      <c r="G50" s="294"/>
      <c r="H50" s="319"/>
      <c r="I50" s="294"/>
      <c r="J50" s="319"/>
      <c r="L50" s="296"/>
      <c r="M50" s="294"/>
      <c r="N50" s="294"/>
      <c r="O50" s="294">
        <f>+PROPNA!L49</f>
        <v>0</v>
      </c>
      <c r="P50" s="294"/>
      <c r="Q50" s="294"/>
      <c r="R50" s="294">
        <f t="shared" si="7"/>
        <v>0</v>
      </c>
      <c r="S50" s="294"/>
      <c r="T50" s="288">
        <f>+Pension!Q24</f>
        <v>1587708</v>
      </c>
      <c r="U50" s="288">
        <f>+T50-R50</f>
        <v>1587708</v>
      </c>
      <c r="AH50" s="294"/>
    </row>
    <row r="51" spans="1:34" ht="15.75">
      <c r="A51" s="276"/>
      <c r="B51" s="276"/>
      <c r="C51" s="276" t="str">
        <f>+INPUT!B123</f>
        <v xml:space="preserve">        postemployment benefits</v>
      </c>
      <c r="D51" s="276"/>
      <c r="E51" s="294">
        <f>+'Govt BS'!AG50</f>
        <v>1013809</v>
      </c>
      <c r="F51" s="303"/>
      <c r="G51" s="294">
        <f>+O51</f>
        <v>0</v>
      </c>
      <c r="H51" s="319"/>
      <c r="I51" s="294">
        <f>SUM(E51:H51)</f>
        <v>1013809</v>
      </c>
      <c r="J51" s="319"/>
      <c r="K51" s="341"/>
      <c r="L51" s="296"/>
      <c r="M51" s="294"/>
      <c r="N51" s="294"/>
      <c r="O51" s="294">
        <f>+PROPNA!L50</f>
        <v>0</v>
      </c>
      <c r="P51" s="294"/>
      <c r="Q51" s="294"/>
      <c r="R51" s="294">
        <f>SUM(I51:K51)</f>
        <v>1013809</v>
      </c>
      <c r="S51" s="294"/>
      <c r="AH51" s="294"/>
    </row>
    <row r="52" spans="1:34" ht="15.75" hidden="1" customHeight="1">
      <c r="A52" s="276"/>
      <c r="B52" s="276"/>
      <c r="C52" s="276">
        <f>+INPUT!B124</f>
        <v>0</v>
      </c>
      <c r="D52" s="276"/>
      <c r="E52" s="294">
        <f>+'Govt BS'!AG51</f>
        <v>0</v>
      </c>
      <c r="F52" s="303"/>
      <c r="G52" s="294">
        <f>+O52</f>
        <v>0</v>
      </c>
      <c r="H52" s="319"/>
      <c r="I52" s="294">
        <f>SUM(E52:H52)</f>
        <v>0</v>
      </c>
      <c r="J52" s="319"/>
      <c r="K52" s="341"/>
      <c r="L52" s="296"/>
      <c r="M52" s="294"/>
      <c r="N52" s="294"/>
      <c r="O52" s="294">
        <f>+PROPNA!L51</f>
        <v>0</v>
      </c>
      <c r="P52" s="294"/>
      <c r="Q52" s="294"/>
      <c r="R52" s="294">
        <f t="shared" si="7"/>
        <v>0</v>
      </c>
      <c r="S52" s="294"/>
      <c r="T52" s="288">
        <f>+Pension!Q25</f>
        <v>986010</v>
      </c>
      <c r="U52" s="288">
        <f>+T52-R52</f>
        <v>986010</v>
      </c>
      <c r="AH52" s="294"/>
    </row>
    <row r="53" spans="1:34" ht="15.75" hidden="1" customHeight="1">
      <c r="A53" s="276"/>
      <c r="B53" s="276"/>
      <c r="C53" s="276">
        <f>+INPUT!B125</f>
        <v>0</v>
      </c>
      <c r="D53" s="276"/>
      <c r="E53" s="294">
        <f>+'Govt BS'!AG52</f>
        <v>0</v>
      </c>
      <c r="F53" s="303"/>
      <c r="G53" s="294"/>
      <c r="H53" s="319"/>
      <c r="I53" s="294"/>
      <c r="J53" s="319"/>
      <c r="K53" s="341"/>
      <c r="L53" s="296"/>
      <c r="M53" s="294"/>
      <c r="N53" s="294"/>
      <c r="O53" s="294"/>
      <c r="P53" s="294"/>
      <c r="Q53" s="294"/>
      <c r="R53" s="294"/>
      <c r="S53" s="294"/>
      <c r="AH53" s="294"/>
    </row>
    <row r="54" spans="1:34" ht="15.75" hidden="1" customHeight="1">
      <c r="A54" s="276"/>
      <c r="B54" s="276"/>
      <c r="C54" s="334">
        <f>+INPUT!B126</f>
        <v>0</v>
      </c>
      <c r="D54" s="276"/>
      <c r="E54" s="294">
        <f>+'Govt BS'!AG53</f>
        <v>0</v>
      </c>
      <c r="F54" s="303"/>
      <c r="G54" s="294">
        <f>+O54</f>
        <v>0</v>
      </c>
      <c r="H54" s="319"/>
      <c r="I54" s="294">
        <f>SUM(E54:H54)</f>
        <v>0</v>
      </c>
      <c r="J54" s="319"/>
      <c r="K54" s="341"/>
      <c r="L54" s="296"/>
      <c r="M54" s="294"/>
      <c r="N54" s="294"/>
      <c r="O54" s="294">
        <f>+PROPNA!L53</f>
        <v>0</v>
      </c>
      <c r="P54" s="294"/>
      <c r="Q54" s="294"/>
      <c r="R54" s="294">
        <f>SUM(I54:K54)</f>
        <v>0</v>
      </c>
      <c r="S54" s="294"/>
      <c r="AH54" s="294"/>
    </row>
    <row r="55" spans="1:34" ht="15.75" hidden="1" customHeight="1">
      <c r="A55" s="276"/>
      <c r="B55" s="276"/>
      <c r="C55" s="334">
        <f>+INPUT!B127</f>
        <v>0</v>
      </c>
      <c r="D55" s="276"/>
      <c r="E55" s="294">
        <f>+'Govt BS'!AG54</f>
        <v>0</v>
      </c>
      <c r="F55" s="303"/>
      <c r="G55" s="294">
        <f>+O55</f>
        <v>0</v>
      </c>
      <c r="H55" s="319"/>
      <c r="I55" s="294">
        <f>SUM(E55:H55)</f>
        <v>0</v>
      </c>
      <c r="J55" s="319"/>
      <c r="K55" s="341"/>
      <c r="L55" s="296"/>
      <c r="M55" s="294"/>
      <c r="N55" s="294"/>
      <c r="O55" s="294">
        <f>+PROPNA!L54</f>
        <v>0</v>
      </c>
      <c r="P55" s="294"/>
      <c r="Q55" s="294"/>
      <c r="R55" s="294">
        <f t="shared" si="7"/>
        <v>0</v>
      </c>
      <c r="S55" s="294"/>
      <c r="T55" s="288">
        <f>+Pension!Q27</f>
        <v>2122784</v>
      </c>
      <c r="U55" s="288">
        <f>+T55-R55</f>
        <v>2122784</v>
      </c>
      <c r="AH55" s="294"/>
    </row>
    <row r="56" spans="1:34" ht="15.75" hidden="1">
      <c r="A56" s="276"/>
      <c r="B56" s="308"/>
      <c r="C56" s="308"/>
      <c r="D56" s="276"/>
      <c r="E56" s="337"/>
      <c r="F56" s="276"/>
      <c r="G56" s="337"/>
      <c r="H56" s="276"/>
      <c r="I56" s="337"/>
      <c r="J56" s="296"/>
      <c r="K56" s="979"/>
      <c r="L56" s="296"/>
      <c r="M56" s="314"/>
      <c r="N56" s="314"/>
      <c r="O56" s="296"/>
      <c r="P56" s="296"/>
      <c r="Q56" s="296"/>
      <c r="R56" s="294">
        <f t="shared" si="7"/>
        <v>0</v>
      </c>
      <c r="S56" s="296"/>
      <c r="U56" s="288">
        <f>+T56-R56</f>
        <v>0</v>
      </c>
      <c r="AH56" s="296"/>
    </row>
    <row r="57" spans="1:34" ht="15.75">
      <c r="A57" s="276"/>
      <c r="B57" s="308"/>
      <c r="C57" s="308" t="s">
        <v>2027</v>
      </c>
      <c r="D57" s="276"/>
      <c r="E57" s="696">
        <f>SUM(E45:E56)</f>
        <v>8832799</v>
      </c>
      <c r="F57" s="342"/>
      <c r="G57" s="696">
        <f>SUM(G45:G56)</f>
        <v>0</v>
      </c>
      <c r="H57" s="342"/>
      <c r="I57" s="696">
        <f>SUM(I45:I56)</f>
        <v>8832799</v>
      </c>
      <c r="J57" s="342"/>
      <c r="K57" s="980"/>
      <c r="L57" s="296"/>
      <c r="M57" s="314"/>
      <c r="N57" s="314"/>
      <c r="O57" s="296"/>
      <c r="P57" s="296"/>
      <c r="Q57" s="296"/>
      <c r="R57" s="294"/>
      <c r="S57" s="296"/>
      <c r="AH57" s="296"/>
    </row>
    <row r="58" spans="1:34" ht="15.75">
      <c r="A58" s="276"/>
      <c r="B58" s="308"/>
      <c r="C58" s="308"/>
      <c r="D58" s="276"/>
      <c r="E58" s="294"/>
      <c r="F58" s="276"/>
      <c r="G58" s="294"/>
      <c r="H58" s="276"/>
      <c r="I58" s="294"/>
      <c r="J58" s="296"/>
      <c r="K58" s="341"/>
      <c r="L58" s="296"/>
      <c r="M58" s="314"/>
      <c r="N58" s="314"/>
      <c r="O58" s="296"/>
      <c r="P58" s="296"/>
      <c r="Q58" s="296"/>
      <c r="R58" s="294"/>
      <c r="S58" s="296"/>
      <c r="AH58" s="296"/>
    </row>
    <row r="59" spans="1:34" ht="15.75">
      <c r="A59" s="276"/>
      <c r="B59" s="276" t="str">
        <f>INPUT!B130</f>
        <v>LIABILITIES</v>
      </c>
      <c r="C59" s="308" t="str">
        <f>INPUT!B129</f>
        <v>LIABILITIES</v>
      </c>
      <c r="D59" s="276"/>
      <c r="E59" s="294"/>
      <c r="F59" s="296"/>
      <c r="G59" s="296"/>
      <c r="H59" s="296"/>
      <c r="I59" s="296"/>
      <c r="J59" s="296"/>
      <c r="K59" s="981"/>
      <c r="L59" s="296"/>
      <c r="M59" s="296"/>
      <c r="N59" s="296"/>
      <c r="O59" s="296"/>
      <c r="P59" s="296"/>
      <c r="Q59" s="296"/>
      <c r="R59" s="296"/>
      <c r="S59" s="296"/>
      <c r="AH59" s="296"/>
    </row>
    <row r="60" spans="1:34" ht="15.75" hidden="1">
      <c r="A60" s="276" t="s">
        <v>299</v>
      </c>
      <c r="B60" s="276" t="str">
        <f>INPUT!B131</f>
        <v>Current liabilities:</v>
      </c>
      <c r="C60" s="276" t="s">
        <v>710</v>
      </c>
      <c r="D60" s="276"/>
      <c r="E60" s="294">
        <f>SUM(M60:N60)</f>
        <v>0</v>
      </c>
      <c r="F60" s="296"/>
      <c r="G60" s="294">
        <f>+O60</f>
        <v>0</v>
      </c>
      <c r="H60" s="296"/>
      <c r="I60" s="294">
        <f t="shared" ref="I60:I90" si="8">SUM(E60:H60)</f>
        <v>0</v>
      </c>
      <c r="J60" s="296"/>
      <c r="K60" s="341"/>
      <c r="L60" s="294"/>
      <c r="M60" s="296"/>
      <c r="N60" s="296"/>
      <c r="O60" s="294"/>
      <c r="P60" s="294"/>
      <c r="Q60" s="294"/>
      <c r="R60" s="294">
        <f>SUM(K60:Q60)</f>
        <v>0</v>
      </c>
      <c r="S60" s="294"/>
      <c r="AH60" s="294"/>
    </row>
    <row r="61" spans="1:34" ht="15.75">
      <c r="A61" s="276"/>
      <c r="B61" s="276" t="str">
        <f>INPUT!B132</f>
        <v xml:space="preserve">     Accounts payable</v>
      </c>
      <c r="C61" s="276" t="s">
        <v>556</v>
      </c>
      <c r="D61" s="303"/>
      <c r="E61" s="294">
        <f>+'Govt BS'!AG62</f>
        <v>2822925</v>
      </c>
      <c r="F61" s="296"/>
      <c r="G61" s="294">
        <f>+O61</f>
        <v>153476</v>
      </c>
      <c r="H61" s="294"/>
      <c r="I61" s="294">
        <f t="shared" si="8"/>
        <v>2976401</v>
      </c>
      <c r="J61" s="294"/>
      <c r="K61" s="341"/>
      <c r="L61" s="294"/>
      <c r="M61" s="296">
        <f>+'Govt BS'!T62</f>
        <v>2774736</v>
      </c>
      <c r="N61" s="296">
        <f>+PROPNA!N60</f>
        <v>48189</v>
      </c>
      <c r="O61" s="294">
        <f>+PROPNA!L60</f>
        <v>153476</v>
      </c>
      <c r="P61" s="294">
        <f>+'Cust Funds NP'!AO26</f>
        <v>2809208</v>
      </c>
      <c r="Q61" s="294"/>
      <c r="R61" s="294">
        <f>SUM(K61:Q61)</f>
        <v>5785609</v>
      </c>
      <c r="S61" s="294"/>
      <c r="AH61" s="294" t="e">
        <f>+'CU BS Don''t Use FY21'!#REF!+'CU BS Don''t Use FY21'!#REF!</f>
        <v>#REF!</v>
      </c>
    </row>
    <row r="62" spans="1:34" ht="15.75">
      <c r="A62" s="276"/>
      <c r="C62" s="276" t="s">
        <v>555</v>
      </c>
      <c r="D62" s="276"/>
      <c r="E62" s="294">
        <f>SUM(M62:N62)</f>
        <v>388366</v>
      </c>
      <c r="F62" s="296"/>
      <c r="G62" s="294">
        <f>+O62</f>
        <v>0</v>
      </c>
      <c r="H62" s="296"/>
      <c r="I62" s="294">
        <f t="shared" si="8"/>
        <v>388366</v>
      </c>
      <c r="J62" s="296"/>
      <c r="K62" s="341"/>
      <c r="L62" s="294"/>
      <c r="M62" s="296">
        <f>+'Govt BS'!T64</f>
        <v>388366</v>
      </c>
      <c r="N62" s="296"/>
      <c r="O62" s="294"/>
      <c r="P62" s="294">
        <f>+'Cust Funds NP'!AO27</f>
        <v>0</v>
      </c>
      <c r="Q62" s="294"/>
      <c r="R62" s="294">
        <f>SUM(K62:Q62)</f>
        <v>388366</v>
      </c>
      <c r="S62" s="294"/>
      <c r="AH62" s="294">
        <v>0</v>
      </c>
    </row>
    <row r="63" spans="1:34" ht="15.75" hidden="1">
      <c r="A63" s="276"/>
      <c r="B63" s="276" t="str">
        <f>INPUT!B135</f>
        <v xml:space="preserve">     Due to other funds</v>
      </c>
      <c r="C63" s="276" t="s">
        <v>1125</v>
      </c>
      <c r="D63" s="276"/>
      <c r="E63" s="294">
        <v>0</v>
      </c>
      <c r="F63" s="296"/>
      <c r="G63" s="294">
        <f>+O63+O80-E33</f>
        <v>0</v>
      </c>
      <c r="H63" s="296"/>
      <c r="I63" s="294">
        <f t="shared" si="8"/>
        <v>0</v>
      </c>
      <c r="J63" s="296"/>
      <c r="K63" s="341"/>
      <c r="L63" s="294"/>
      <c r="M63" s="296">
        <f>+'Govt BS'!T65</f>
        <v>817626</v>
      </c>
      <c r="N63" s="296">
        <f>+PROPNA!N62</f>
        <v>0</v>
      </c>
      <c r="O63" s="294">
        <f>+PROPNA!L62</f>
        <v>0</v>
      </c>
      <c r="P63" s="294">
        <v>0</v>
      </c>
      <c r="Q63" s="294"/>
      <c r="R63" s="294">
        <f>SUM(K63:Q63)</f>
        <v>817626</v>
      </c>
      <c r="S63" s="294"/>
      <c r="T63" s="288">
        <f>+R63</f>
        <v>817626</v>
      </c>
      <c r="U63" s="288">
        <f>+U22</f>
        <v>526110</v>
      </c>
      <c r="Z63" s="288">
        <f>+SUM(U63:Y63)-T63</f>
        <v>-291516</v>
      </c>
      <c r="AH63" s="294">
        <v>0</v>
      </c>
    </row>
    <row r="64" spans="1:34" ht="15.75" hidden="1">
      <c r="A64" s="276"/>
      <c r="B64" s="276" t="str">
        <f>INPUT!B157</f>
        <v xml:space="preserve">     Deferred inflows of tax revenues</v>
      </c>
      <c r="C64" s="276" t="s">
        <v>1223</v>
      </c>
      <c r="D64" s="276"/>
      <c r="F64" s="296"/>
      <c r="G64" s="294"/>
      <c r="H64" s="296"/>
      <c r="I64" s="294"/>
      <c r="J64" s="296"/>
      <c r="K64" s="341"/>
      <c r="L64" s="294"/>
      <c r="M64" s="296">
        <f>+'Govt BS'!T93</f>
        <v>1040630</v>
      </c>
      <c r="N64" s="296">
        <f>+PROPNA!N63</f>
        <v>0</v>
      </c>
      <c r="O64" s="294">
        <f>+PROPNA!L63</f>
        <v>0</v>
      </c>
      <c r="P64" s="294">
        <v>0</v>
      </c>
      <c r="Q64" s="294"/>
      <c r="R64" s="294">
        <f>SUM(K64:Q64)</f>
        <v>1040630</v>
      </c>
      <c r="S64" s="294"/>
      <c r="AH64" s="294">
        <v>0</v>
      </c>
    </row>
    <row r="65" spans="1:34" ht="15.75">
      <c r="A65" s="276"/>
      <c r="B65" s="276"/>
      <c r="C65" s="276" t="s">
        <v>1308</v>
      </c>
      <c r="D65" s="276"/>
      <c r="E65" s="294">
        <f>+'Govt BS'!AG67</f>
        <v>28985</v>
      </c>
      <c r="F65" s="296"/>
      <c r="G65" s="294">
        <v>0</v>
      </c>
      <c r="H65" s="296"/>
      <c r="I65" s="294">
        <f t="shared" si="8"/>
        <v>28985</v>
      </c>
      <c r="J65" s="296"/>
      <c r="K65" s="341"/>
      <c r="L65" s="294"/>
      <c r="M65" s="296"/>
      <c r="N65" s="296"/>
      <c r="O65" s="294"/>
      <c r="P65" s="294"/>
      <c r="Q65" s="294"/>
      <c r="R65" s="294"/>
      <c r="S65" s="294"/>
      <c r="AH65" s="294">
        <v>0</v>
      </c>
    </row>
    <row r="66" spans="1:34" ht="15.75" hidden="1">
      <c r="A66" s="276"/>
      <c r="B66" s="276"/>
      <c r="C66" s="308" t="s">
        <v>3261</v>
      </c>
      <c r="D66" s="276"/>
      <c r="E66" s="294"/>
      <c r="F66" s="296"/>
      <c r="G66" s="294"/>
      <c r="H66" s="296"/>
      <c r="I66" s="294"/>
      <c r="J66" s="296"/>
      <c r="K66" s="341"/>
      <c r="L66" s="294"/>
      <c r="M66" s="296"/>
      <c r="N66" s="296"/>
      <c r="O66" s="294"/>
      <c r="P66" s="294"/>
      <c r="Q66" s="294"/>
      <c r="R66" s="294"/>
      <c r="S66" s="294"/>
      <c r="AH66" s="294"/>
    </row>
    <row r="67" spans="1:34" ht="15.75" hidden="1">
      <c r="A67" s="276"/>
      <c r="B67" s="276"/>
      <c r="S67" s="294"/>
      <c r="AH67" s="294"/>
    </row>
    <row r="68" spans="1:34" ht="15.75">
      <c r="A68" s="276"/>
      <c r="B68" s="276"/>
      <c r="C68" s="308" t="s">
        <v>1740</v>
      </c>
      <c r="D68" s="276"/>
      <c r="E68" s="294"/>
      <c r="F68" s="296"/>
      <c r="G68" s="294"/>
      <c r="H68" s="296"/>
      <c r="I68" s="294"/>
      <c r="J68" s="296"/>
      <c r="K68" s="341"/>
      <c r="L68" s="294"/>
      <c r="M68" s="296"/>
      <c r="N68" s="296"/>
      <c r="O68" s="294"/>
      <c r="P68" s="294"/>
      <c r="Q68" s="294"/>
      <c r="R68" s="294"/>
      <c r="S68" s="294"/>
      <c r="AH68" s="294"/>
    </row>
    <row r="69" spans="1:34" ht="15.75">
      <c r="A69" s="276"/>
      <c r="B69" s="276"/>
      <c r="C69" s="308" t="s">
        <v>1376</v>
      </c>
      <c r="D69" s="276"/>
      <c r="E69" s="294"/>
      <c r="F69" s="296"/>
      <c r="G69" s="294"/>
      <c r="H69" s="296"/>
      <c r="I69" s="294"/>
      <c r="J69" s="296"/>
      <c r="K69" s="341"/>
      <c r="L69" s="294"/>
      <c r="M69" s="296"/>
      <c r="N69" s="296"/>
      <c r="O69" s="294"/>
      <c r="P69" s="294"/>
      <c r="Q69" s="294"/>
      <c r="R69" s="294"/>
      <c r="S69" s="294"/>
      <c r="AH69" s="294"/>
    </row>
    <row r="70" spans="1:34" ht="15.75">
      <c r="A70" s="276"/>
      <c r="B70" s="276"/>
      <c r="C70" s="276" t="s">
        <v>1378</v>
      </c>
      <c r="D70" s="276"/>
      <c r="E70" s="294">
        <f>+'Govt BS'!AG71</f>
        <v>48965</v>
      </c>
      <c r="F70" s="296"/>
      <c r="G70" s="294">
        <v>0</v>
      </c>
      <c r="H70" s="296"/>
      <c r="I70" s="294">
        <f t="shared" si="8"/>
        <v>48965</v>
      </c>
      <c r="J70" s="296"/>
      <c r="K70" s="341"/>
      <c r="L70" s="294"/>
      <c r="M70" s="296">
        <f>+'Govt BS'!AG71</f>
        <v>48965</v>
      </c>
      <c r="N70" s="296"/>
      <c r="O70" s="294"/>
      <c r="P70" s="294"/>
      <c r="Q70" s="294"/>
      <c r="R70" s="294">
        <f>SUM(K70:Q70)-N70</f>
        <v>48965</v>
      </c>
      <c r="S70" s="294"/>
      <c r="AH70" s="294">
        <v>0</v>
      </c>
    </row>
    <row r="71" spans="1:34" ht="15.75">
      <c r="A71" s="276"/>
      <c r="B71" s="276" t="str">
        <f>INPUT!B133</f>
        <v xml:space="preserve">     Contracts/loans payable - current</v>
      </c>
      <c r="C71" s="276" t="s">
        <v>1205</v>
      </c>
      <c r="D71" s="276"/>
      <c r="E71" s="294">
        <f>+'Govt BS'!AG63</f>
        <v>100379</v>
      </c>
      <c r="F71" s="296"/>
      <c r="G71" s="294">
        <f>+O71</f>
        <v>0</v>
      </c>
      <c r="H71" s="296"/>
      <c r="I71" s="294">
        <f t="shared" si="8"/>
        <v>100379</v>
      </c>
      <c r="J71" s="296"/>
      <c r="K71" s="341"/>
      <c r="L71" s="294"/>
      <c r="M71" s="296">
        <f>+'Govt BS'!AG63</f>
        <v>100379</v>
      </c>
      <c r="N71" s="296">
        <f>+PROPNA!N61</f>
        <v>0</v>
      </c>
      <c r="O71" s="294">
        <f>+PROPNA!L61</f>
        <v>0</v>
      </c>
      <c r="P71" s="294"/>
      <c r="Q71" s="294"/>
      <c r="R71" s="294">
        <f>SUM(K71:Q71)-N71</f>
        <v>100379</v>
      </c>
      <c r="S71" s="294"/>
      <c r="T71" s="288" t="s">
        <v>665</v>
      </c>
      <c r="AH71" s="294">
        <v>0</v>
      </c>
    </row>
    <row r="72" spans="1:34" ht="15.75" hidden="1">
      <c r="A72" s="276"/>
      <c r="B72" s="276" t="str">
        <f>INPUT!B136</f>
        <v xml:space="preserve">     Advanced lease payments - current</v>
      </c>
      <c r="K72" s="288"/>
      <c r="S72" s="294"/>
      <c r="AH72" s="294">
        <v>0</v>
      </c>
    </row>
    <row r="73" spans="1:34" ht="15.75">
      <c r="A73" s="276"/>
      <c r="B73" s="276"/>
      <c r="C73" s="276" t="s">
        <v>1591</v>
      </c>
      <c r="D73" s="276"/>
      <c r="E73" s="294">
        <f>+'Govt BS'!AG69</f>
        <v>1202813</v>
      </c>
      <c r="F73" s="296"/>
      <c r="G73" s="294">
        <v>0</v>
      </c>
      <c r="H73" s="296"/>
      <c r="I73" s="294">
        <f>SUM(E73:H73)</f>
        <v>1202813</v>
      </c>
      <c r="J73" s="296"/>
      <c r="K73" s="341"/>
      <c r="L73" s="294"/>
      <c r="M73" s="296"/>
      <c r="N73" s="296"/>
      <c r="O73" s="294"/>
      <c r="P73" s="294"/>
      <c r="Q73" s="294"/>
      <c r="R73" s="294"/>
      <c r="S73" s="294"/>
      <c r="AH73" s="294">
        <v>0</v>
      </c>
    </row>
    <row r="74" spans="1:34" ht="15.75" hidden="1">
      <c r="A74" s="276"/>
      <c r="B74" s="276" t="str">
        <f>INPUT!B138</f>
        <v xml:space="preserve">     Revenue bonds payable</v>
      </c>
      <c r="C74" s="276" t="s">
        <v>1377</v>
      </c>
      <c r="D74" s="276"/>
      <c r="E74" s="294">
        <f>+'Govt BS'!AG70</f>
        <v>0</v>
      </c>
      <c r="F74" s="296"/>
      <c r="G74" s="294">
        <f t="shared" ref="G74:G79" si="9">+O74</f>
        <v>0</v>
      </c>
      <c r="H74" s="296"/>
      <c r="I74" s="294">
        <f t="shared" si="8"/>
        <v>0</v>
      </c>
      <c r="J74" s="296"/>
      <c r="K74" s="341"/>
      <c r="L74" s="294"/>
      <c r="M74" s="296">
        <f>+'Govt BS'!T70</f>
        <v>0</v>
      </c>
      <c r="N74" s="296">
        <f>+PROPNA!N66</f>
        <v>0</v>
      </c>
      <c r="O74" s="294">
        <f>+PROPNA!L66</f>
        <v>0</v>
      </c>
      <c r="P74" s="294">
        <v>0</v>
      </c>
      <c r="Q74" s="294"/>
      <c r="R74" s="294">
        <f t="shared" ref="R74:R81" si="10">SUM(K74:Q74)</f>
        <v>0</v>
      </c>
      <c r="S74" s="294"/>
      <c r="T74" s="288" t="s">
        <v>503</v>
      </c>
      <c r="AH74" s="294">
        <v>0</v>
      </c>
    </row>
    <row r="75" spans="1:34" ht="15.75">
      <c r="A75" s="276"/>
      <c r="B75" s="276" t="str">
        <f>INPUT!B139</f>
        <v xml:space="preserve">     Landfill postclosure costs payable - current</v>
      </c>
      <c r="C75" s="276" t="s">
        <v>1379</v>
      </c>
      <c r="D75" s="276"/>
      <c r="E75" s="294">
        <v>0</v>
      </c>
      <c r="F75" s="296"/>
      <c r="G75" s="294">
        <f t="shared" si="9"/>
        <v>15300</v>
      </c>
      <c r="H75" s="296"/>
      <c r="I75" s="294">
        <f t="shared" si="8"/>
        <v>15300</v>
      </c>
      <c r="J75" s="296"/>
      <c r="K75" s="341"/>
      <c r="L75" s="294"/>
      <c r="M75" s="296">
        <f>+'Govt BS'!T72</f>
        <v>0</v>
      </c>
      <c r="N75" s="296">
        <f>+PROPNA!N67</f>
        <v>0</v>
      </c>
      <c r="O75" s="294">
        <f>+PROPNA!L67</f>
        <v>15300</v>
      </c>
      <c r="P75" s="294">
        <v>0</v>
      </c>
      <c r="Q75" s="294"/>
      <c r="R75" s="294">
        <f t="shared" si="10"/>
        <v>15300</v>
      </c>
      <c r="S75" s="294"/>
      <c r="AH75" s="294">
        <v>0</v>
      </c>
    </row>
    <row r="76" spans="1:34" ht="15.75">
      <c r="A76" s="276"/>
      <c r="B76" s="276" t="str">
        <f>INPUT!B140</f>
        <v xml:space="preserve">     Claims payable</v>
      </c>
      <c r="C76" s="276" t="s">
        <v>1204</v>
      </c>
      <c r="D76" s="276"/>
      <c r="E76" s="294">
        <f>+'Govt BS'!AG73</f>
        <v>482991</v>
      </c>
      <c r="F76" s="296"/>
      <c r="G76" s="294">
        <f t="shared" si="9"/>
        <v>0</v>
      </c>
      <c r="H76" s="296"/>
      <c r="I76" s="294">
        <f t="shared" si="8"/>
        <v>482991</v>
      </c>
      <c r="J76" s="296"/>
      <c r="K76" s="341"/>
      <c r="L76" s="294"/>
      <c r="M76" s="296">
        <f>+'Govt BS'!T73</f>
        <v>0</v>
      </c>
      <c r="N76" s="296">
        <f>+PROPNA!N68</f>
        <v>482991</v>
      </c>
      <c r="O76" s="294">
        <f>+PROPNA!L68</f>
        <v>0</v>
      </c>
      <c r="P76" s="294">
        <v>0</v>
      </c>
      <c r="Q76" s="294"/>
      <c r="R76" s="294">
        <f t="shared" si="10"/>
        <v>482991</v>
      </c>
      <c r="S76" s="294"/>
      <c r="AH76" s="294">
        <v>0</v>
      </c>
    </row>
    <row r="77" spans="1:34" ht="15.75">
      <c r="A77" s="276"/>
      <c r="B77" s="276"/>
      <c r="C77" s="276" t="s">
        <v>1307</v>
      </c>
      <c r="D77" s="276"/>
      <c r="E77" s="294">
        <f>+'Govt BS'!AG74</f>
        <v>262244</v>
      </c>
      <c r="F77" s="296"/>
      <c r="G77" s="294">
        <f t="shared" si="9"/>
        <v>7637</v>
      </c>
      <c r="H77" s="296"/>
      <c r="I77" s="294">
        <f t="shared" si="8"/>
        <v>269881</v>
      </c>
      <c r="J77" s="296"/>
      <c r="K77" s="341"/>
      <c r="L77" s="294"/>
      <c r="M77" s="296">
        <f>+'Govt BS'!AG74</f>
        <v>262244</v>
      </c>
      <c r="N77" s="296"/>
      <c r="O77" s="294">
        <f>+PROPNA!L70</f>
        <v>7637</v>
      </c>
      <c r="P77" s="294">
        <v>0</v>
      </c>
      <c r="Q77" s="294"/>
      <c r="R77" s="294">
        <f t="shared" si="10"/>
        <v>269881</v>
      </c>
      <c r="S77" s="294"/>
      <c r="AH77" s="294" t="e">
        <f>ROUND(-'CU BS Don''t Use FY21'!#REF!*0.1,0)</f>
        <v>#REF!</v>
      </c>
    </row>
    <row r="78" spans="1:34" ht="15.75">
      <c r="A78" s="276"/>
      <c r="B78" s="276"/>
      <c r="C78" s="276" t="s">
        <v>3347</v>
      </c>
      <c r="D78" s="276"/>
      <c r="E78" s="294">
        <f>+'Govt BS'!AG75</f>
        <v>121600</v>
      </c>
      <c r="F78" s="296"/>
      <c r="G78" s="294">
        <f t="shared" si="9"/>
        <v>0</v>
      </c>
      <c r="H78" s="296"/>
      <c r="I78" s="294">
        <f t="shared" si="8"/>
        <v>121600</v>
      </c>
      <c r="J78" s="296"/>
      <c r="K78" s="341"/>
      <c r="L78" s="294"/>
      <c r="M78" s="296"/>
      <c r="N78" s="296"/>
      <c r="O78" s="294"/>
      <c r="P78" s="294"/>
      <c r="Q78" s="294"/>
      <c r="R78" s="294"/>
      <c r="S78" s="294"/>
      <c r="AH78" s="294"/>
    </row>
    <row r="79" spans="1:34" ht="15.75">
      <c r="A79" s="276"/>
      <c r="B79" s="276"/>
      <c r="C79" s="276" t="s">
        <v>3527</v>
      </c>
      <c r="D79" s="276"/>
      <c r="E79" s="294">
        <f>+'Govt BS'!AG76</f>
        <v>456762</v>
      </c>
      <c r="F79" s="296"/>
      <c r="G79" s="294">
        <f t="shared" si="9"/>
        <v>0</v>
      </c>
      <c r="H79" s="296"/>
      <c r="I79" s="294">
        <f>SUM(E79:H79)</f>
        <v>456762</v>
      </c>
      <c r="J79" s="296"/>
      <c r="K79" s="341"/>
      <c r="L79" s="294"/>
      <c r="M79" s="296"/>
      <c r="N79" s="296"/>
      <c r="O79" s="294"/>
      <c r="P79" s="294"/>
      <c r="Q79" s="294"/>
      <c r="R79" s="294"/>
      <c r="S79" s="294"/>
      <c r="AH79" s="294"/>
    </row>
    <row r="80" spans="1:34" ht="15.75" hidden="1">
      <c r="A80" s="276"/>
      <c r="B80" s="276" t="str">
        <f>INPUT!B141</f>
        <v xml:space="preserve">     Advances from other funds</v>
      </c>
      <c r="C80" s="276" t="s">
        <v>1016</v>
      </c>
      <c r="D80" s="276"/>
      <c r="E80" s="294"/>
      <c r="F80" s="296"/>
      <c r="G80" s="294">
        <f>+O63+O80-E33</f>
        <v>0</v>
      </c>
      <c r="H80" s="296"/>
      <c r="I80" s="294">
        <f t="shared" si="8"/>
        <v>0</v>
      </c>
      <c r="J80" s="296"/>
      <c r="K80" s="341"/>
      <c r="L80" s="294"/>
      <c r="M80" s="296">
        <f>+'Govt BS'!T77</f>
        <v>0</v>
      </c>
      <c r="N80" s="296">
        <f>+PROPNA!N69</f>
        <v>0</v>
      </c>
      <c r="O80" s="297">
        <f>+PROPNA!L69-0</f>
        <v>1123725</v>
      </c>
      <c r="P80" s="294">
        <v>0</v>
      </c>
      <c r="Q80" s="294"/>
      <c r="R80" s="294">
        <f t="shared" si="10"/>
        <v>1123725</v>
      </c>
      <c r="S80" s="294"/>
      <c r="T80" s="288">
        <f>+R80</f>
        <v>1123725</v>
      </c>
      <c r="U80" s="288">
        <f>+U33</f>
        <v>181119</v>
      </c>
      <c r="Z80" s="288">
        <f>+SUM(U80:Y80)-T80</f>
        <v>-942606</v>
      </c>
      <c r="AH80" s="294">
        <v>0</v>
      </c>
    </row>
    <row r="81" spans="1:34" ht="15.75">
      <c r="A81" s="276"/>
      <c r="B81" s="276"/>
      <c r="C81" s="308" t="s">
        <v>337</v>
      </c>
      <c r="D81" s="276"/>
      <c r="E81" s="294"/>
      <c r="F81" s="296"/>
      <c r="G81" s="294"/>
      <c r="H81" s="296"/>
      <c r="I81" s="294"/>
      <c r="J81" s="296"/>
      <c r="K81" s="341"/>
      <c r="L81" s="294"/>
      <c r="M81" s="296">
        <f>+'Govt BS'!T81</f>
        <v>0</v>
      </c>
      <c r="N81" s="296"/>
      <c r="O81" s="294"/>
      <c r="P81" s="294"/>
      <c r="Q81" s="294"/>
      <c r="R81" s="294">
        <f t="shared" si="10"/>
        <v>0</v>
      </c>
      <c r="S81" s="294"/>
      <c r="AH81" s="294"/>
    </row>
    <row r="82" spans="1:34" ht="15.75">
      <c r="A82" s="276"/>
      <c r="B82" s="276"/>
      <c r="C82" s="276" t="s">
        <v>1378</v>
      </c>
      <c r="D82" s="276"/>
      <c r="E82" s="294">
        <f>+'Govt BS'!AG79</f>
        <v>315733</v>
      </c>
      <c r="F82" s="296"/>
      <c r="G82" s="294">
        <v>0</v>
      </c>
      <c r="H82" s="296"/>
      <c r="I82" s="294">
        <f t="shared" si="8"/>
        <v>315733</v>
      </c>
      <c r="J82" s="296"/>
      <c r="K82" s="341"/>
      <c r="L82" s="294"/>
      <c r="M82" s="296">
        <f>+'Govt BS'!AG79</f>
        <v>315733</v>
      </c>
      <c r="N82" s="294"/>
      <c r="O82" s="294"/>
      <c r="P82" s="294"/>
      <c r="Q82" s="294"/>
      <c r="R82" s="294">
        <f>SUM(K82:Q82)-N82</f>
        <v>315733</v>
      </c>
      <c r="S82" s="294"/>
      <c r="T82" s="288">
        <f>+R82+R70</f>
        <v>364698</v>
      </c>
      <c r="U82" s="343">
        <v>968846</v>
      </c>
      <c r="V82" s="288">
        <f>+U82-T82-R70</f>
        <v>555183</v>
      </c>
      <c r="Y82" s="288" t="s">
        <v>755</v>
      </c>
      <c r="Z82" s="288">
        <f>+SUM(U82:Y82)-T82</f>
        <v>1159331</v>
      </c>
      <c r="AH82" s="294">
        <v>0</v>
      </c>
    </row>
    <row r="83" spans="1:34" ht="15.75">
      <c r="A83" s="276"/>
      <c r="B83" s="276" t="str">
        <f>INPUT!B145</f>
        <v xml:space="preserve">     Contracts/loans payable</v>
      </c>
      <c r="C83" s="276" t="s">
        <v>1205</v>
      </c>
      <c r="D83" s="276"/>
      <c r="E83" s="294">
        <f>+'Govt BS'!AG81</f>
        <v>743358</v>
      </c>
      <c r="F83" s="296"/>
      <c r="G83" s="294">
        <f t="shared" ref="G83:G90" si="11">+O83</f>
        <v>0</v>
      </c>
      <c r="H83" s="296"/>
      <c r="I83" s="294">
        <f t="shared" si="8"/>
        <v>743358</v>
      </c>
      <c r="J83" s="296"/>
      <c r="K83" s="341"/>
      <c r="L83" s="294"/>
      <c r="M83" s="296">
        <f>+'Govt BS'!AG81</f>
        <v>743358</v>
      </c>
      <c r="N83" s="296">
        <f>+PROPNA!N74</f>
        <v>0</v>
      </c>
      <c r="O83" s="294">
        <f>+PROPNA!L74</f>
        <v>0</v>
      </c>
      <c r="P83" s="294">
        <f>+'Cust Funds NP'!AO28</f>
        <v>0</v>
      </c>
      <c r="Q83" s="294"/>
      <c r="R83" s="294">
        <f>SUM(K83:Q83)-N83</f>
        <v>743358</v>
      </c>
      <c r="S83" s="294"/>
      <c r="T83" s="288">
        <f>+R83+R71</f>
        <v>843737</v>
      </c>
      <c r="U83" s="343">
        <v>805035</v>
      </c>
      <c r="Y83" s="343">
        <v>0</v>
      </c>
      <c r="Z83" s="288">
        <f>+SUM(U83:Y83)-T83</f>
        <v>-38702</v>
      </c>
      <c r="AH83" s="294">
        <v>0</v>
      </c>
    </row>
    <row r="84" spans="1:34" ht="15.75" hidden="1">
      <c r="A84" s="276"/>
      <c r="B84" s="276">
        <f>INPUT!B147</f>
        <v>0</v>
      </c>
      <c r="C84" s="276"/>
      <c r="D84" s="276"/>
      <c r="E84" s="294">
        <f>+'Govt BS'!AG83</f>
        <v>0</v>
      </c>
      <c r="F84" s="296"/>
      <c r="G84" s="294">
        <f>+O84</f>
        <v>0</v>
      </c>
      <c r="H84" s="296"/>
      <c r="I84" s="294">
        <f>SUM(E84:H84)</f>
        <v>0</v>
      </c>
      <c r="J84" s="296"/>
      <c r="K84" s="341"/>
      <c r="L84" s="294"/>
      <c r="M84" s="296">
        <f>+'Govt BS'!T83</f>
        <v>0</v>
      </c>
      <c r="N84" s="296">
        <f>+PROPNA!N76</f>
        <v>0</v>
      </c>
      <c r="O84" s="294">
        <f>+PROPNA!L76</f>
        <v>0</v>
      </c>
      <c r="P84" s="294">
        <v>0</v>
      </c>
      <c r="Q84" s="294"/>
      <c r="R84" s="294">
        <f>SUM(K84:Q84)</f>
        <v>0</v>
      </c>
      <c r="S84" s="294"/>
      <c r="T84" s="288">
        <f>+R84+R91</f>
        <v>0</v>
      </c>
      <c r="U84" s="343">
        <v>0</v>
      </c>
      <c r="Z84" s="288">
        <f>+SUM(U84:Y84)-T84</f>
        <v>0</v>
      </c>
      <c r="AH84" s="294">
        <v>0</v>
      </c>
    </row>
    <row r="85" spans="1:34" ht="15.75">
      <c r="A85" s="276"/>
      <c r="B85" s="276"/>
      <c r="C85" s="276" t="s">
        <v>1591</v>
      </c>
      <c r="D85" s="276"/>
      <c r="E85" s="294">
        <f>+'Govt BS'!AG78</f>
        <v>9835000</v>
      </c>
      <c r="F85" s="296"/>
      <c r="G85" s="294">
        <f t="shared" si="11"/>
        <v>0</v>
      </c>
      <c r="H85" s="296"/>
      <c r="I85" s="294">
        <f>SUM(E85:H85)</f>
        <v>9835000</v>
      </c>
      <c r="J85" s="296"/>
      <c r="K85" s="341"/>
      <c r="L85" s="294"/>
      <c r="M85" s="296">
        <f>+'Govt BS'!T78</f>
        <v>0</v>
      </c>
      <c r="N85" s="296"/>
      <c r="O85" s="294"/>
      <c r="P85" s="294">
        <v>0</v>
      </c>
      <c r="Q85" s="294"/>
      <c r="R85" s="294">
        <f t="shared" ref="R85:R90" si="12">SUM(K85:Q85)</f>
        <v>0</v>
      </c>
      <c r="S85" s="294"/>
      <c r="AH85" s="294">
        <v>0</v>
      </c>
    </row>
    <row r="86" spans="1:34" ht="15.75" hidden="1">
      <c r="A86" s="276"/>
      <c r="B86" s="276" t="str">
        <f>INPUT!B146</f>
        <v xml:space="preserve">     Revenue bonds payable</v>
      </c>
      <c r="C86" s="276" t="s">
        <v>1377</v>
      </c>
      <c r="D86" s="276"/>
      <c r="E86" s="294">
        <f>+'Govt BS'!AG82</f>
        <v>0</v>
      </c>
      <c r="F86" s="296"/>
      <c r="G86" s="294">
        <f t="shared" si="11"/>
        <v>0</v>
      </c>
      <c r="H86" s="296"/>
      <c r="I86" s="294">
        <f t="shared" si="8"/>
        <v>0</v>
      </c>
      <c r="J86" s="296"/>
      <c r="K86" s="341"/>
      <c r="L86" s="294"/>
      <c r="M86" s="296">
        <f>+'Govt BS'!T82</f>
        <v>0</v>
      </c>
      <c r="N86" s="296">
        <f>+PROPNA!N75</f>
        <v>0</v>
      </c>
      <c r="O86" s="294">
        <f>+PROPNA!L75</f>
        <v>0</v>
      </c>
      <c r="P86" s="294">
        <v>0</v>
      </c>
      <c r="Q86" s="294"/>
      <c r="R86" s="294">
        <f t="shared" si="12"/>
        <v>0</v>
      </c>
      <c r="S86" s="294"/>
      <c r="T86" s="288">
        <f>+R86+R74</f>
        <v>0</v>
      </c>
      <c r="U86" s="343">
        <v>5559913</v>
      </c>
      <c r="Z86" s="288">
        <f>+SUM(U86:Y86)-T86</f>
        <v>5559913</v>
      </c>
      <c r="AH86" s="294">
        <v>0</v>
      </c>
    </row>
    <row r="87" spans="1:34" ht="15.75">
      <c r="A87" s="276"/>
      <c r="B87" s="276" t="str">
        <f>INPUT!B148</f>
        <v xml:space="preserve">     Landfill postclosure costs payable</v>
      </c>
      <c r="C87" s="276" t="s">
        <v>1379</v>
      </c>
      <c r="D87" s="276"/>
      <c r="E87" s="294">
        <v>0</v>
      </c>
      <c r="F87" s="296"/>
      <c r="G87" s="294">
        <f t="shared" si="11"/>
        <v>1110041</v>
      </c>
      <c r="H87" s="296"/>
      <c r="I87" s="294">
        <f t="shared" si="8"/>
        <v>1110041</v>
      </c>
      <c r="J87" s="296"/>
      <c r="K87" s="341"/>
      <c r="L87" s="294"/>
      <c r="M87" s="296">
        <f>+'Govt BS'!T83</f>
        <v>0</v>
      </c>
      <c r="N87" s="296">
        <f>+PROPNA!N77</f>
        <v>0</v>
      </c>
      <c r="O87" s="294">
        <f>+PROPNA!L77</f>
        <v>1110041</v>
      </c>
      <c r="P87" s="294">
        <v>0</v>
      </c>
      <c r="Q87" s="294"/>
      <c r="R87" s="294">
        <f t="shared" si="12"/>
        <v>1110041</v>
      </c>
      <c r="S87" s="294"/>
      <c r="AH87" s="294">
        <v>0</v>
      </c>
    </row>
    <row r="88" spans="1:34" ht="15.75">
      <c r="A88" s="276"/>
      <c r="B88" s="276" t="str">
        <f>INPUT!B149</f>
        <v xml:space="preserve">     Compensated absences payable</v>
      </c>
      <c r="C88" s="276" t="s">
        <v>1307</v>
      </c>
      <c r="D88" s="276"/>
      <c r="E88" s="294">
        <f>+'Govt BS'!AG84</f>
        <v>2360198</v>
      </c>
      <c r="F88" s="296"/>
      <c r="G88" s="294">
        <f t="shared" si="11"/>
        <v>68725</v>
      </c>
      <c r="H88" s="296"/>
      <c r="I88" s="294">
        <f t="shared" si="8"/>
        <v>2428923</v>
      </c>
      <c r="J88" s="296"/>
      <c r="K88" s="341"/>
      <c r="L88" s="294"/>
      <c r="M88" s="296">
        <f>+'Govt BS'!AG84</f>
        <v>2360198</v>
      </c>
      <c r="N88" s="296"/>
      <c r="O88" s="294">
        <f>+PROPNA!L78</f>
        <v>68725</v>
      </c>
      <c r="P88" s="294">
        <v>0</v>
      </c>
      <c r="Q88" s="294"/>
      <c r="R88" s="294">
        <f t="shared" si="12"/>
        <v>2428923</v>
      </c>
      <c r="S88" s="294"/>
      <c r="T88" s="288">
        <f>+R88+R77</f>
        <v>2698804</v>
      </c>
      <c r="U88" s="343">
        <v>2280175</v>
      </c>
      <c r="Y88" s="288">
        <v>88020</v>
      </c>
      <c r="Z88" s="288">
        <f>+SUM(U88:Y88)-T88</f>
        <v>-330609</v>
      </c>
      <c r="AH88" s="294" t="e">
        <f>-'CU BS Don''t Use FY21'!#REF!-AH77</f>
        <v>#REF!</v>
      </c>
    </row>
    <row r="89" spans="1:34" ht="15.75">
      <c r="A89" s="276"/>
      <c r="B89" s="276"/>
      <c r="C89" s="276" t="s">
        <v>2050</v>
      </c>
      <c r="D89" s="276"/>
      <c r="E89" s="294">
        <f>+'Govt BS'!AG85</f>
        <v>29286469</v>
      </c>
      <c r="F89" s="296"/>
      <c r="G89" s="294">
        <f t="shared" si="11"/>
        <v>0</v>
      </c>
      <c r="H89" s="296"/>
      <c r="I89" s="294">
        <f t="shared" si="8"/>
        <v>29286469</v>
      </c>
      <c r="J89" s="296"/>
      <c r="K89" s="341"/>
      <c r="L89" s="294"/>
      <c r="M89" s="296"/>
      <c r="N89" s="296"/>
      <c r="O89" s="294">
        <f>+PROPNA!L79</f>
        <v>0</v>
      </c>
      <c r="P89" s="294"/>
      <c r="Q89" s="294"/>
      <c r="R89" s="294">
        <f t="shared" si="12"/>
        <v>0</v>
      </c>
      <c r="S89" s="294"/>
      <c r="U89" s="343">
        <v>2280176</v>
      </c>
      <c r="AH89" s="294"/>
    </row>
    <row r="90" spans="1:34" ht="15.75">
      <c r="A90" s="276"/>
      <c r="B90" s="276"/>
      <c r="C90" s="276" t="s">
        <v>568</v>
      </c>
      <c r="D90" s="276"/>
      <c r="E90" s="294">
        <f>+'Govt BS'!AG86</f>
        <v>804106</v>
      </c>
      <c r="F90" s="296"/>
      <c r="G90" s="294">
        <f t="shared" si="11"/>
        <v>0</v>
      </c>
      <c r="H90" s="296"/>
      <c r="I90" s="294">
        <f t="shared" si="8"/>
        <v>804106</v>
      </c>
      <c r="J90" s="296"/>
      <c r="K90" s="341"/>
      <c r="L90" s="294"/>
      <c r="M90" s="296"/>
      <c r="N90" s="296"/>
      <c r="O90" s="294">
        <f>+PROPNA!L80</f>
        <v>0</v>
      </c>
      <c r="P90" s="294"/>
      <c r="Q90" s="294"/>
      <c r="R90" s="294">
        <f t="shared" si="12"/>
        <v>0</v>
      </c>
      <c r="S90" s="294"/>
      <c r="T90" s="288">
        <f>SUM(I90:K90)</f>
        <v>804106</v>
      </c>
      <c r="U90" s="343">
        <f>+'OPEB, note 14'!G7</f>
        <v>804106</v>
      </c>
      <c r="V90" s="288">
        <f>+U90-T90</f>
        <v>0</v>
      </c>
      <c r="AH90" s="294">
        <v>0</v>
      </c>
    </row>
    <row r="91" spans="1:34" ht="15.75">
      <c r="A91" s="276"/>
      <c r="B91" s="276"/>
      <c r="C91" s="276" t="s">
        <v>3347</v>
      </c>
      <c r="D91" s="276"/>
      <c r="E91" s="294">
        <f>+'Govt BS'!AG87</f>
        <v>141058</v>
      </c>
      <c r="F91" s="296"/>
      <c r="G91" s="294">
        <f>+O91</f>
        <v>0</v>
      </c>
      <c r="H91" s="296"/>
      <c r="I91" s="294">
        <f>SUM(E91:H91)</f>
        <v>141058</v>
      </c>
      <c r="J91" s="296"/>
      <c r="K91" s="341"/>
      <c r="L91" s="294"/>
      <c r="M91" s="296">
        <f>+'Govt BS'!T87</f>
        <v>0</v>
      </c>
      <c r="N91" s="296">
        <f>+PROPNA!N64</f>
        <v>0</v>
      </c>
      <c r="O91" s="294">
        <f>+PROPNA!L64</f>
        <v>0</v>
      </c>
      <c r="P91" s="294">
        <v>0</v>
      </c>
      <c r="Q91" s="294"/>
      <c r="R91" s="294">
        <f>SUM(K91:Q91)-N91</f>
        <v>0</v>
      </c>
      <c r="S91" s="294"/>
      <c r="U91" s="343"/>
      <c r="AH91" s="294"/>
    </row>
    <row r="92" spans="1:34" ht="15.75">
      <c r="A92" s="276"/>
      <c r="B92" s="276"/>
      <c r="C92" s="276" t="s">
        <v>3527</v>
      </c>
      <c r="D92" s="276"/>
      <c r="E92" s="294">
        <f>+'Govt BS'!AG88</f>
        <v>168256</v>
      </c>
      <c r="F92" s="296"/>
      <c r="G92" s="294">
        <f>+O92</f>
        <v>0</v>
      </c>
      <c r="H92" s="296"/>
      <c r="I92" s="294">
        <f>SUM(E92:H92)</f>
        <v>168256</v>
      </c>
      <c r="J92" s="296"/>
      <c r="K92" s="341"/>
      <c r="L92" s="294"/>
      <c r="M92" s="296">
        <f>+'Govt BS'!T88</f>
        <v>0</v>
      </c>
      <c r="N92" s="296">
        <f>+PROPNA!N66</f>
        <v>0</v>
      </c>
      <c r="O92" s="294">
        <f>+PROPNA!L66</f>
        <v>0</v>
      </c>
      <c r="P92" s="294">
        <v>0</v>
      </c>
      <c r="Q92" s="294"/>
      <c r="R92" s="294">
        <f>SUM(K92:Q92)-N92</f>
        <v>0</v>
      </c>
      <c r="S92" s="294"/>
      <c r="U92" s="343"/>
      <c r="AH92" s="294"/>
    </row>
    <row r="93" spans="1:34" ht="15.75" hidden="1">
      <c r="A93" s="276"/>
      <c r="B93" s="276"/>
      <c r="C93" s="276"/>
      <c r="D93" s="276"/>
      <c r="E93" s="337"/>
      <c r="F93" s="296"/>
      <c r="G93" s="337"/>
      <c r="H93" s="296"/>
      <c r="I93" s="337"/>
      <c r="J93" s="296"/>
      <c r="K93" s="979"/>
      <c r="L93" s="294"/>
      <c r="M93" s="337"/>
      <c r="N93" s="337">
        <f>+N88+N77</f>
        <v>0</v>
      </c>
      <c r="O93" s="337"/>
      <c r="P93" s="337"/>
      <c r="Q93" s="337"/>
      <c r="R93" s="337"/>
      <c r="S93" s="294"/>
      <c r="AH93" s="337"/>
    </row>
    <row r="94" spans="1:34" ht="15.75">
      <c r="A94" s="276"/>
      <c r="C94" s="308" t="s">
        <v>1195</v>
      </c>
      <c r="D94" s="308"/>
      <c r="E94" s="696">
        <f>SUM(E60:E93)</f>
        <v>49570208</v>
      </c>
      <c r="F94" s="342"/>
      <c r="G94" s="696">
        <f>SUM(G60:G93)</f>
        <v>1355179</v>
      </c>
      <c r="H94" s="342"/>
      <c r="I94" s="696">
        <f>SUM(I60:I93)</f>
        <v>50925387</v>
      </c>
      <c r="J94" s="342"/>
      <c r="K94" s="980"/>
      <c r="L94" s="339"/>
      <c r="M94" s="344">
        <f t="shared" ref="M94:R94" si="13">SUM(M60:M93)</f>
        <v>8852235</v>
      </c>
      <c r="N94" s="344">
        <f t="shared" si="13"/>
        <v>531180</v>
      </c>
      <c r="O94" s="344">
        <f t="shared" si="13"/>
        <v>2478904</v>
      </c>
      <c r="P94" s="344">
        <f t="shared" si="13"/>
        <v>2809208</v>
      </c>
      <c r="Q94" s="344">
        <f t="shared" si="13"/>
        <v>0</v>
      </c>
      <c r="R94" s="344">
        <f t="shared" si="13"/>
        <v>14671527</v>
      </c>
      <c r="S94" s="300"/>
      <c r="AH94" s="345" t="e">
        <f>SUM(AH60:AH93)</f>
        <v>#REF!</v>
      </c>
    </row>
    <row r="95" spans="1:34" ht="15.75">
      <c r="A95" s="276"/>
      <c r="C95" s="276"/>
      <c r="D95" s="276"/>
      <c r="E95" s="697"/>
      <c r="F95" s="697"/>
      <c r="G95" s="697"/>
      <c r="H95" s="697"/>
      <c r="I95" s="697"/>
      <c r="J95" s="296"/>
      <c r="K95" s="341"/>
      <c r="L95" s="294"/>
      <c r="M95" s="294"/>
      <c r="N95" s="294"/>
      <c r="O95" s="294">
        <f>+O94-O44</f>
        <v>1355179</v>
      </c>
      <c r="P95" s="294"/>
      <c r="Q95" s="294"/>
      <c r="R95" s="294"/>
      <c r="S95" s="294"/>
      <c r="AH95" s="294"/>
    </row>
    <row r="96" spans="1:34" ht="15.75">
      <c r="A96" s="276"/>
      <c r="C96" s="308" t="s">
        <v>1815</v>
      </c>
      <c r="D96" s="276"/>
      <c r="E96" s="294"/>
      <c r="F96" s="276"/>
      <c r="G96" s="294"/>
      <c r="H96" s="276"/>
      <c r="I96" s="294"/>
      <c r="J96" s="296"/>
      <c r="K96" s="341"/>
      <c r="L96" s="294"/>
      <c r="M96" s="294"/>
      <c r="N96" s="294"/>
      <c r="O96" s="294"/>
      <c r="P96" s="294"/>
      <c r="Q96" s="294"/>
      <c r="R96" s="294"/>
      <c r="S96" s="294"/>
      <c r="AH96" s="294"/>
    </row>
    <row r="97" spans="1:34" ht="15.75">
      <c r="A97" s="276"/>
      <c r="C97" s="276" t="str">
        <f>+INPUT!B158</f>
        <v xml:space="preserve">     Deferred inflows related to leases</v>
      </c>
      <c r="D97" s="276"/>
      <c r="E97" s="294">
        <f>+'Govt BS'!AG94</f>
        <v>405009</v>
      </c>
      <c r="F97" s="296"/>
      <c r="G97" s="294">
        <v>0</v>
      </c>
      <c r="H97" s="296"/>
      <c r="I97" s="294">
        <f>SUM(E97:H97)</f>
        <v>405009</v>
      </c>
      <c r="J97" s="296"/>
      <c r="K97" s="341"/>
      <c r="L97" s="294"/>
      <c r="M97" s="294"/>
      <c r="N97" s="296">
        <f>+PROPNA!N91</f>
        <v>405009</v>
      </c>
      <c r="O97" s="294">
        <f>+PROPNA!L91</f>
        <v>0</v>
      </c>
      <c r="P97" s="294"/>
      <c r="Q97" s="294"/>
      <c r="R97" s="294">
        <f t="shared" ref="R97:R105" si="14">SUM(I97:K97)</f>
        <v>405009</v>
      </c>
      <c r="S97" s="294"/>
      <c r="AH97" s="294"/>
    </row>
    <row r="98" spans="1:34" ht="15.75" customHeight="1">
      <c r="A98" s="276"/>
      <c r="C98" s="276" t="str">
        <f>+INPUT!B159</f>
        <v xml:space="preserve">     Deferred inflows related to grant revenue</v>
      </c>
      <c r="D98" s="276"/>
      <c r="E98" s="294">
        <f>+'Govt BS'!AG95</f>
        <v>10381042</v>
      </c>
      <c r="F98" s="296"/>
      <c r="G98" s="294">
        <v>0</v>
      </c>
      <c r="H98" s="296"/>
      <c r="I98" s="294">
        <f>SUM(E98:H98)</f>
        <v>10381042</v>
      </c>
      <c r="J98" s="296"/>
      <c r="K98" s="341"/>
      <c r="L98" s="294"/>
      <c r="M98" s="294"/>
      <c r="N98" s="294"/>
      <c r="O98" s="294"/>
      <c r="P98" s="294"/>
      <c r="Q98" s="294"/>
      <c r="R98" s="294">
        <f t="shared" si="14"/>
        <v>10381042</v>
      </c>
      <c r="S98" s="294"/>
      <c r="AH98" s="294"/>
    </row>
    <row r="99" spans="1:34" ht="15.75">
      <c r="A99" s="276"/>
      <c r="C99" s="276" t="str">
        <f>+INPUT!B160</f>
        <v xml:space="preserve">     Deferred inflows related to pensions</v>
      </c>
      <c r="D99" s="276"/>
      <c r="E99" s="294">
        <f>+'Govt BS'!AG96</f>
        <v>1673431</v>
      </c>
      <c r="F99" s="296"/>
      <c r="G99" s="294">
        <f>+O99</f>
        <v>0</v>
      </c>
      <c r="H99" s="342"/>
      <c r="I99" s="294">
        <f>SUM(E99:H99)</f>
        <v>1673431</v>
      </c>
      <c r="J99" s="342"/>
      <c r="K99" s="341"/>
      <c r="L99" s="294"/>
      <c r="M99" s="294"/>
      <c r="N99" s="294"/>
      <c r="O99" s="294">
        <f>+PROPNA!L93</f>
        <v>0</v>
      </c>
      <c r="P99" s="294"/>
      <c r="Q99" s="294"/>
      <c r="R99" s="294">
        <f t="shared" si="14"/>
        <v>1673431</v>
      </c>
      <c r="S99" s="294"/>
      <c r="T99" s="288">
        <f>+Pension!Q31</f>
        <v>0</v>
      </c>
      <c r="U99" s="288">
        <f t="shared" ref="U99:U105" si="15">+T99-R99</f>
        <v>-1673431</v>
      </c>
      <c r="AH99" s="294"/>
    </row>
    <row r="100" spans="1:34" ht="15.75" hidden="1" customHeight="1">
      <c r="A100" s="276"/>
      <c r="C100" s="276">
        <f>+INPUT!B161</f>
        <v>0</v>
      </c>
      <c r="D100" s="276"/>
      <c r="E100" s="294">
        <f>+'Govt BS'!AG97</f>
        <v>0</v>
      </c>
      <c r="F100" s="296"/>
      <c r="G100" s="294"/>
      <c r="H100" s="342"/>
      <c r="I100" s="294"/>
      <c r="J100" s="342"/>
      <c r="K100" s="341"/>
      <c r="L100" s="294"/>
      <c r="M100" s="294"/>
      <c r="N100" s="294"/>
      <c r="O100" s="294"/>
      <c r="P100" s="294"/>
      <c r="Q100" s="294"/>
      <c r="R100" s="294"/>
      <c r="S100" s="294"/>
      <c r="AH100" s="294"/>
    </row>
    <row r="101" spans="1:34" ht="15.75" hidden="1">
      <c r="A101" s="276"/>
      <c r="C101" s="334" t="e">
        <f>+INPUT!#REF!</f>
        <v>#REF!</v>
      </c>
      <c r="D101" s="276"/>
      <c r="E101" s="294">
        <f>+'Govt BS'!AG98</f>
        <v>0</v>
      </c>
      <c r="F101" s="296"/>
      <c r="G101" s="294">
        <f>+O101</f>
        <v>0</v>
      </c>
      <c r="H101" s="342"/>
      <c r="I101" s="294">
        <f>SUM(E101:H101)</f>
        <v>0</v>
      </c>
      <c r="J101" s="342"/>
      <c r="K101" s="341"/>
      <c r="L101" s="294"/>
      <c r="M101" s="294"/>
      <c r="N101" s="294"/>
      <c r="O101" s="294">
        <f>+PROPNA!L95</f>
        <v>0</v>
      </c>
      <c r="P101" s="294"/>
      <c r="Q101" s="294"/>
      <c r="R101" s="294">
        <f t="shared" si="14"/>
        <v>0</v>
      </c>
      <c r="S101" s="294"/>
      <c r="T101" s="288">
        <f>+Pension!Q32</f>
        <v>0</v>
      </c>
      <c r="U101" s="288">
        <f t="shared" si="15"/>
        <v>0</v>
      </c>
      <c r="AH101" s="294"/>
    </row>
    <row r="102" spans="1:34" ht="15.75" hidden="1" customHeight="1">
      <c r="A102" s="276"/>
      <c r="C102" s="276" t="e">
        <f>+INPUT!#REF!</f>
        <v>#REF!</v>
      </c>
      <c r="D102" s="276"/>
      <c r="E102" s="294">
        <f>+'Govt BS'!AG99</f>
        <v>0</v>
      </c>
      <c r="F102" s="296"/>
      <c r="G102" s="294"/>
      <c r="H102" s="342"/>
      <c r="I102" s="294"/>
      <c r="J102" s="342"/>
      <c r="K102" s="341"/>
      <c r="L102" s="294"/>
      <c r="M102" s="294"/>
      <c r="N102" s="294"/>
      <c r="O102" s="294"/>
      <c r="P102" s="294"/>
      <c r="Q102" s="294"/>
      <c r="R102" s="294"/>
      <c r="S102" s="294"/>
      <c r="AH102" s="294"/>
    </row>
    <row r="103" spans="1:34" ht="15.75" hidden="1" customHeight="1">
      <c r="A103" s="276"/>
      <c r="C103" s="276">
        <f>+INPUT!B164</f>
        <v>0</v>
      </c>
      <c r="D103" s="276"/>
      <c r="E103" s="294">
        <f>+'Govt BS'!AG100</f>
        <v>0</v>
      </c>
      <c r="F103" s="296"/>
      <c r="G103" s="294">
        <f>+O103</f>
        <v>0</v>
      </c>
      <c r="H103" s="342"/>
      <c r="I103" s="294">
        <f>SUM(E103:H103)</f>
        <v>0</v>
      </c>
      <c r="J103" s="342"/>
      <c r="K103" s="341"/>
      <c r="L103" s="294"/>
      <c r="M103" s="294"/>
      <c r="N103" s="294"/>
      <c r="O103" s="294">
        <f>+PROPNA!L97</f>
        <v>0</v>
      </c>
      <c r="P103" s="294"/>
      <c r="Q103" s="294"/>
      <c r="R103" s="294">
        <f t="shared" si="14"/>
        <v>0</v>
      </c>
      <c r="S103" s="294"/>
      <c r="U103" s="288">
        <f t="shared" si="15"/>
        <v>0</v>
      </c>
      <c r="AH103" s="294"/>
    </row>
    <row r="104" spans="1:34" ht="15.75" hidden="1" customHeight="1">
      <c r="A104" s="276"/>
      <c r="C104" s="276">
        <f>+INPUT!B165</f>
        <v>0</v>
      </c>
      <c r="D104" s="276"/>
      <c r="E104" s="294">
        <f>+'Govt BS'!AG101</f>
        <v>0</v>
      </c>
      <c r="F104" s="296"/>
      <c r="G104" s="294"/>
      <c r="H104" s="342"/>
      <c r="I104" s="339"/>
      <c r="J104" s="342"/>
      <c r="K104" s="341"/>
      <c r="L104" s="294"/>
      <c r="M104" s="294"/>
      <c r="N104" s="294"/>
      <c r="O104" s="294"/>
      <c r="P104" s="294"/>
      <c r="Q104" s="294"/>
      <c r="R104" s="294"/>
      <c r="S104" s="294"/>
      <c r="AH104" s="294"/>
    </row>
    <row r="105" spans="1:34" ht="15.75" hidden="1" customHeight="1">
      <c r="A105" s="276"/>
      <c r="C105" s="276">
        <f>+INPUT!B166</f>
        <v>0</v>
      </c>
      <c r="D105" s="276"/>
      <c r="E105" s="294">
        <f>+'Govt BS'!AG102</f>
        <v>0</v>
      </c>
      <c r="F105" s="296"/>
      <c r="G105" s="294">
        <f>+O105</f>
        <v>0</v>
      </c>
      <c r="H105" s="296"/>
      <c r="I105" s="294">
        <f>SUM(E105:H105)</f>
        <v>0</v>
      </c>
      <c r="J105" s="296"/>
      <c r="K105" s="341"/>
      <c r="L105" s="294"/>
      <c r="M105" s="294"/>
      <c r="N105" s="294"/>
      <c r="O105" s="294">
        <f>+PROPNA!L99</f>
        <v>0</v>
      </c>
      <c r="P105" s="294"/>
      <c r="Q105" s="294"/>
      <c r="R105" s="294">
        <f t="shared" si="14"/>
        <v>0</v>
      </c>
      <c r="S105" s="294"/>
      <c r="T105" s="288">
        <f>+Pension!Q34</f>
        <v>0</v>
      </c>
      <c r="U105" s="288">
        <f t="shared" si="15"/>
        <v>0</v>
      </c>
      <c r="AH105" s="294"/>
    </row>
    <row r="106" spans="1:34" ht="15.75" hidden="1" customHeight="1">
      <c r="A106" s="276"/>
      <c r="C106" s="308">
        <f>+INPUT!B167</f>
        <v>0</v>
      </c>
      <c r="D106" s="276"/>
      <c r="E106" s="294">
        <f>+'Govt BS'!AG103</f>
        <v>0</v>
      </c>
      <c r="F106" s="296"/>
      <c r="G106" s="294"/>
      <c r="H106" s="296"/>
      <c r="I106" s="294"/>
      <c r="J106" s="296"/>
      <c r="K106" s="341"/>
      <c r="L106" s="294"/>
      <c r="M106" s="294"/>
      <c r="N106" s="294"/>
      <c r="O106" s="294"/>
      <c r="P106" s="294"/>
      <c r="Q106" s="294"/>
      <c r="R106" s="294"/>
      <c r="S106" s="294"/>
      <c r="AH106" s="294"/>
    </row>
    <row r="107" spans="1:34" ht="15.75" hidden="1" customHeight="1">
      <c r="A107" s="276"/>
      <c r="C107" s="276">
        <f>+INPUT!B168</f>
        <v>0</v>
      </c>
      <c r="D107" s="276"/>
      <c r="E107" s="294">
        <f>+'Govt BS'!AG104</f>
        <v>0</v>
      </c>
      <c r="F107" s="296"/>
      <c r="G107" s="294"/>
      <c r="H107" s="296"/>
      <c r="I107" s="294"/>
      <c r="J107" s="296"/>
      <c r="K107" s="341"/>
      <c r="L107" s="294"/>
      <c r="M107" s="294"/>
      <c r="N107" s="294"/>
      <c r="O107" s="294"/>
      <c r="P107" s="294"/>
      <c r="Q107" s="294"/>
      <c r="R107" s="294"/>
      <c r="S107" s="294"/>
      <c r="AH107" s="294"/>
    </row>
    <row r="108" spans="1:34" ht="15.75">
      <c r="A108" s="276"/>
      <c r="C108" s="276" t="str">
        <f>+INPUT!B162</f>
        <v xml:space="preserve">     Deferred inflows related to other </v>
      </c>
      <c r="D108" s="276"/>
      <c r="E108" s="294"/>
      <c r="F108" s="296"/>
      <c r="G108" s="294"/>
      <c r="H108" s="296"/>
      <c r="I108" s="294"/>
      <c r="J108" s="296"/>
      <c r="K108" s="341"/>
      <c r="L108" s="294"/>
      <c r="M108" s="294"/>
      <c r="N108" s="294"/>
      <c r="O108" s="294">
        <f>+PROPNA!L102</f>
        <v>0</v>
      </c>
      <c r="P108" s="294"/>
      <c r="Q108" s="294"/>
      <c r="R108" s="294"/>
      <c r="S108" s="294"/>
      <c r="AH108" s="294"/>
    </row>
    <row r="109" spans="1:34" ht="15.75">
      <c r="A109" s="276"/>
      <c r="C109" s="276" t="str">
        <f>+INPUT!B163</f>
        <v xml:space="preserve">          postemployment benefits</v>
      </c>
      <c r="D109" s="276"/>
      <c r="E109" s="294">
        <f>+'Govt BS'!AG106</f>
        <v>1249375</v>
      </c>
      <c r="F109" s="296"/>
      <c r="G109" s="294">
        <f>+O109</f>
        <v>0</v>
      </c>
      <c r="H109" s="296"/>
      <c r="I109" s="294">
        <f>SUM(E109:H109)</f>
        <v>1249375</v>
      </c>
      <c r="J109" s="296"/>
      <c r="K109" s="341"/>
      <c r="L109" s="294"/>
      <c r="M109" s="294"/>
      <c r="N109" s="294"/>
      <c r="O109" s="294">
        <f>+PROPNA!L103</f>
        <v>0</v>
      </c>
      <c r="P109" s="294"/>
      <c r="Q109" s="294"/>
      <c r="R109" s="294"/>
      <c r="S109" s="294"/>
      <c r="AH109" s="294"/>
    </row>
    <row r="110" spans="1:34" ht="15.75" hidden="1">
      <c r="A110" s="276"/>
      <c r="C110" s="276"/>
      <c r="D110" s="276"/>
      <c r="E110" s="337"/>
      <c r="F110" s="296"/>
      <c r="G110" s="337"/>
      <c r="H110" s="296"/>
      <c r="I110" s="337"/>
      <c r="J110" s="296"/>
      <c r="K110" s="979"/>
      <c r="L110" s="294"/>
      <c r="M110" s="294"/>
      <c r="N110" s="294"/>
      <c r="O110" s="294"/>
      <c r="P110" s="294"/>
      <c r="Q110" s="294"/>
      <c r="R110" s="294"/>
      <c r="S110" s="294"/>
      <c r="AH110" s="294"/>
    </row>
    <row r="111" spans="1:34" ht="15.75">
      <c r="A111" s="276"/>
      <c r="C111" s="308" t="s">
        <v>2028</v>
      </c>
      <c r="D111" s="276"/>
      <c r="E111" s="696">
        <f>SUM(E97:E110)</f>
        <v>13708857</v>
      </c>
      <c r="F111" s="342"/>
      <c r="G111" s="696">
        <f>SUM(G97:G110)</f>
        <v>0</v>
      </c>
      <c r="H111" s="342"/>
      <c r="I111" s="696">
        <f>SUM(I97:I110)</f>
        <v>13708857</v>
      </c>
      <c r="J111" s="342"/>
      <c r="K111" s="980"/>
      <c r="L111" s="294"/>
      <c r="M111" s="294"/>
      <c r="N111" s="294"/>
      <c r="O111" s="294"/>
      <c r="P111" s="294"/>
      <c r="Q111" s="294"/>
      <c r="R111" s="294"/>
      <c r="S111" s="294"/>
      <c r="AH111" s="294"/>
    </row>
    <row r="112" spans="1:34" ht="15.75">
      <c r="A112" s="276"/>
      <c r="C112" s="308"/>
      <c r="D112" s="276"/>
      <c r="E112" s="294"/>
      <c r="F112" s="296"/>
      <c r="G112" s="294"/>
      <c r="H112" s="296"/>
      <c r="I112" s="294"/>
      <c r="J112" s="296"/>
      <c r="K112" s="341"/>
      <c r="L112" s="294"/>
      <c r="M112" s="294"/>
      <c r="N112" s="294"/>
      <c r="O112" s="294"/>
      <c r="P112" s="294"/>
      <c r="Q112" s="294"/>
      <c r="R112" s="294"/>
      <c r="S112" s="294"/>
      <c r="AH112" s="294"/>
    </row>
    <row r="113" spans="1:34" ht="15.75">
      <c r="A113" s="276"/>
      <c r="B113" s="308" t="str">
        <f>+INPUT!B175</f>
        <v>NET POSITION</v>
      </c>
      <c r="C113" s="308" t="s">
        <v>1673</v>
      </c>
      <c r="D113" s="276"/>
      <c r="E113" s="346"/>
      <c r="F113" s="296"/>
      <c r="G113" s="294"/>
      <c r="H113" s="296"/>
      <c r="I113" s="294"/>
      <c r="J113" s="296"/>
      <c r="K113" s="341"/>
      <c r="L113" s="347"/>
      <c r="M113" s="296"/>
      <c r="N113" s="296"/>
      <c r="O113" s="294"/>
      <c r="P113" s="294"/>
      <c r="Q113" s="294"/>
      <c r="R113" s="294"/>
      <c r="S113" s="294"/>
      <c r="AH113" s="294"/>
    </row>
    <row r="114" spans="1:34" ht="15.75" hidden="1">
      <c r="A114" s="276"/>
      <c r="B114" s="276" t="str">
        <f>INPUT!B178</f>
        <v xml:space="preserve">     Contributed capital</v>
      </c>
      <c r="C114" s="276" t="s">
        <v>1042</v>
      </c>
      <c r="D114" s="276"/>
      <c r="E114" s="294">
        <v>0</v>
      </c>
      <c r="F114" s="296"/>
      <c r="G114" s="294">
        <f t="shared" ref="G114:G129" si="16">+O114</f>
        <v>0</v>
      </c>
      <c r="H114" s="296"/>
      <c r="I114" s="294">
        <f t="shared" ref="I114:I130" si="17">SUM(E114:H114)</f>
        <v>0</v>
      </c>
      <c r="J114" s="296"/>
      <c r="K114" s="341"/>
      <c r="L114" s="348"/>
      <c r="M114" s="296"/>
      <c r="N114" s="296">
        <f>+PROPNA!N108</f>
        <v>0</v>
      </c>
      <c r="O114" s="294">
        <f>+PROPNA!L108</f>
        <v>0</v>
      </c>
      <c r="P114" s="294"/>
      <c r="Q114" s="294"/>
      <c r="R114" s="294">
        <f>SUM(K114:Q114)</f>
        <v>0</v>
      </c>
      <c r="S114" s="294"/>
      <c r="AH114" s="294"/>
    </row>
    <row r="115" spans="1:34" ht="15.75">
      <c r="A115" s="276"/>
      <c r="B115" s="321" t="s">
        <v>702</v>
      </c>
      <c r="C115" s="321" t="s">
        <v>1674</v>
      </c>
      <c r="D115" s="276"/>
      <c r="E115" s="294">
        <f>+'CALC NA'!O44</f>
        <v>45901374</v>
      </c>
      <c r="F115" s="296"/>
      <c r="G115" s="294">
        <f>+O115</f>
        <v>12440246</v>
      </c>
      <c r="H115" s="296"/>
      <c r="I115" s="294">
        <f>SUM(E115:H115)</f>
        <v>58341620</v>
      </c>
      <c r="J115" s="296"/>
      <c r="K115" s="341"/>
      <c r="L115" s="347"/>
      <c r="M115" s="296"/>
      <c r="N115" s="296">
        <f>+PROPNA!N109</f>
        <v>1083329</v>
      </c>
      <c r="O115" s="294">
        <f>+PROPNA!L109</f>
        <v>12440246</v>
      </c>
      <c r="P115" s="294"/>
      <c r="Q115" s="294"/>
      <c r="R115" s="294">
        <f>SUM(K115:Q115)</f>
        <v>13523575</v>
      </c>
      <c r="S115" s="294"/>
      <c r="AH115" s="294" t="e">
        <f>+'CU BS Don''t Use FY21'!#REF!+'CU BS Don''t Use FY21'!#REF!</f>
        <v>#REF!</v>
      </c>
    </row>
    <row r="116" spans="1:34" ht="15.75">
      <c r="A116" s="276"/>
      <c r="B116" s="321"/>
      <c r="C116" s="276" t="s">
        <v>1045</v>
      </c>
      <c r="D116" s="276"/>
      <c r="E116" s="294"/>
      <c r="F116" s="296"/>
      <c r="G116" s="294"/>
      <c r="H116" s="296"/>
      <c r="I116" s="294"/>
      <c r="J116" s="296"/>
      <c r="K116" s="341"/>
      <c r="L116" s="294"/>
      <c r="M116" s="296"/>
      <c r="N116" s="296"/>
      <c r="O116" s="294"/>
      <c r="P116" s="294"/>
      <c r="Q116" s="294"/>
      <c r="R116" s="294"/>
      <c r="S116" s="294"/>
      <c r="AH116" s="294"/>
    </row>
    <row r="117" spans="1:34" ht="15.75">
      <c r="A117" s="276"/>
      <c r="B117" s="321"/>
      <c r="C117" s="321" t="s">
        <v>1532</v>
      </c>
      <c r="D117" s="276"/>
      <c r="E117" s="294">
        <f>+'CALC NA'!C44</f>
        <v>0</v>
      </c>
      <c r="F117" s="296"/>
      <c r="G117" s="294">
        <v>0</v>
      </c>
      <c r="H117" s="296"/>
      <c r="I117" s="294">
        <f>SUM(E117:H117)</f>
        <v>0</v>
      </c>
      <c r="J117" s="296"/>
      <c r="K117" s="341"/>
      <c r="L117" s="294"/>
      <c r="M117" s="296"/>
      <c r="N117" s="296"/>
      <c r="O117" s="294"/>
      <c r="P117" s="294"/>
      <c r="Q117" s="294"/>
      <c r="R117" s="294"/>
      <c r="S117" s="294"/>
      <c r="AH117" s="294"/>
    </row>
    <row r="118" spans="1:34" ht="15.75">
      <c r="A118" s="276"/>
      <c r="B118" s="321"/>
      <c r="C118" s="321" t="s">
        <v>1180</v>
      </c>
      <c r="D118" s="276"/>
      <c r="E118" s="294">
        <f>+'CALC NA'!D44</f>
        <v>843104</v>
      </c>
      <c r="F118" s="296"/>
      <c r="G118" s="294">
        <v>0</v>
      </c>
      <c r="H118" s="296"/>
      <c r="I118" s="294">
        <f t="shared" si="17"/>
        <v>843104</v>
      </c>
      <c r="J118" s="296"/>
      <c r="K118" s="341"/>
      <c r="L118" s="294"/>
      <c r="M118" s="296"/>
      <c r="N118" s="296"/>
      <c r="O118" s="294"/>
      <c r="P118" s="294"/>
      <c r="Q118" s="294"/>
      <c r="R118" s="294"/>
      <c r="S118" s="294"/>
      <c r="AH118" s="294">
        <v>0</v>
      </c>
    </row>
    <row r="119" spans="1:34" ht="15.75">
      <c r="A119" s="276"/>
      <c r="B119" s="321"/>
      <c r="C119" s="321" t="s">
        <v>1181</v>
      </c>
      <c r="D119" s="276"/>
      <c r="E119" s="294">
        <f>+'CALC NA'!E44</f>
        <v>1633172</v>
      </c>
      <c r="F119" s="296"/>
      <c r="G119" s="294">
        <v>0</v>
      </c>
      <c r="H119" s="296"/>
      <c r="I119" s="294">
        <f t="shared" si="17"/>
        <v>1633172</v>
      </c>
      <c r="J119" s="296"/>
      <c r="K119" s="341"/>
      <c r="L119" s="294"/>
      <c r="M119" s="296"/>
      <c r="N119" s="296"/>
      <c r="O119" s="294"/>
      <c r="P119" s="294"/>
      <c r="Q119" s="294"/>
      <c r="R119" s="294"/>
      <c r="S119" s="294"/>
      <c r="AH119" s="294">
        <v>0</v>
      </c>
    </row>
    <row r="120" spans="1:34" ht="15.75">
      <c r="A120" s="276"/>
      <c r="B120" s="321"/>
      <c r="C120" s="321" t="s">
        <v>2567</v>
      </c>
      <c r="D120" s="276"/>
      <c r="E120" s="294">
        <f>+'CALC NA'!F44</f>
        <v>180917</v>
      </c>
      <c r="F120" s="296"/>
      <c r="G120" s="294">
        <v>0</v>
      </c>
      <c r="H120" s="296"/>
      <c r="I120" s="294">
        <f t="shared" si="17"/>
        <v>180917</v>
      </c>
      <c r="J120" s="296"/>
      <c r="K120" s="341"/>
      <c r="L120" s="294"/>
      <c r="M120" s="296"/>
      <c r="N120" s="296"/>
      <c r="O120" s="294"/>
      <c r="P120" s="294"/>
      <c r="Q120" s="294"/>
      <c r="R120" s="294"/>
      <c r="S120" s="294"/>
      <c r="AH120" s="294">
        <v>0</v>
      </c>
    </row>
    <row r="121" spans="1:34" ht="15.75" hidden="1">
      <c r="A121" s="276"/>
      <c r="B121" s="321"/>
      <c r="C121" s="321" t="s">
        <v>1586</v>
      </c>
      <c r="D121" s="276"/>
      <c r="E121" s="294">
        <f>+'CALC NA'!G44</f>
        <v>0</v>
      </c>
      <c r="F121" s="296"/>
      <c r="G121" s="294">
        <v>0</v>
      </c>
      <c r="H121" s="296"/>
      <c r="I121" s="294">
        <f t="shared" si="17"/>
        <v>0</v>
      </c>
      <c r="J121" s="296"/>
      <c r="K121" s="341"/>
      <c r="L121" s="294"/>
      <c r="M121" s="296"/>
      <c r="N121" s="296"/>
      <c r="O121" s="294"/>
      <c r="P121" s="294"/>
      <c r="Q121" s="294"/>
      <c r="R121" s="294"/>
      <c r="S121" s="294"/>
      <c r="AH121" s="294">
        <v>0</v>
      </c>
    </row>
    <row r="122" spans="1:34" ht="15.75" hidden="1">
      <c r="A122" s="276"/>
      <c r="B122" s="276" t="str">
        <f>INPUT!B181</f>
        <v xml:space="preserve">     Restricted for bond reserve</v>
      </c>
      <c r="C122" s="276" t="s">
        <v>421</v>
      </c>
      <c r="D122" s="276"/>
      <c r="E122" s="294">
        <f>+'CALC NA'!H44</f>
        <v>0</v>
      </c>
      <c r="F122" s="296"/>
      <c r="G122" s="294">
        <f t="shared" si="16"/>
        <v>0</v>
      </c>
      <c r="H122" s="296"/>
      <c r="I122" s="294">
        <f t="shared" si="17"/>
        <v>0</v>
      </c>
      <c r="J122" s="296"/>
      <c r="K122" s="341"/>
      <c r="L122" s="294"/>
      <c r="M122" s="296"/>
      <c r="N122" s="296">
        <f>+PROPNA!N110</f>
        <v>0</v>
      </c>
      <c r="O122" s="294">
        <f>+PROPNA!L110</f>
        <v>0</v>
      </c>
      <c r="P122" s="294"/>
      <c r="Q122" s="294"/>
      <c r="R122" s="294">
        <f>SUM(K122:Q122)</f>
        <v>0</v>
      </c>
      <c r="S122" s="294"/>
      <c r="AH122" s="294">
        <v>0</v>
      </c>
    </row>
    <row r="123" spans="1:34" ht="15.75">
      <c r="A123" s="276"/>
      <c r="B123" s="276" t="str">
        <f>INPUT!B182</f>
        <v xml:space="preserve">     Restricted for debt service</v>
      </c>
      <c r="C123" s="276" t="s">
        <v>1182</v>
      </c>
      <c r="D123" s="276"/>
      <c r="E123" s="294">
        <f>+'CALC NA'!I44</f>
        <v>116330</v>
      </c>
      <c r="F123" s="296"/>
      <c r="G123" s="294">
        <f t="shared" si="16"/>
        <v>0</v>
      </c>
      <c r="H123" s="296"/>
      <c r="I123" s="294">
        <f t="shared" si="17"/>
        <v>116330</v>
      </c>
      <c r="J123" s="296"/>
      <c r="K123" s="341"/>
      <c r="L123" s="294"/>
      <c r="M123" s="296">
        <f>+'Govt BS'!T111</f>
        <v>1324069</v>
      </c>
      <c r="N123" s="296">
        <f>+PROPNA!N111</f>
        <v>0</v>
      </c>
      <c r="O123" s="294">
        <f>+PROPNA!L111</f>
        <v>0</v>
      </c>
      <c r="P123" s="294"/>
      <c r="Q123" s="294"/>
      <c r="R123" s="294">
        <f>SUM(K123:Q123)</f>
        <v>1324069</v>
      </c>
      <c r="S123" s="294"/>
      <c r="AH123" s="294">
        <v>0</v>
      </c>
    </row>
    <row r="124" spans="1:34" ht="15.75" hidden="1">
      <c r="A124" s="276"/>
      <c r="B124" s="276"/>
      <c r="C124" s="276" t="s">
        <v>1530</v>
      </c>
      <c r="D124" s="276"/>
      <c r="E124" s="294">
        <f>+'CALC NA'!J44</f>
        <v>0</v>
      </c>
      <c r="F124" s="296"/>
      <c r="G124" s="294">
        <f t="shared" si="16"/>
        <v>0</v>
      </c>
      <c r="H124" s="296"/>
      <c r="I124" s="294">
        <f t="shared" si="17"/>
        <v>0</v>
      </c>
      <c r="J124" s="296"/>
      <c r="K124" s="341"/>
      <c r="L124" s="294"/>
      <c r="M124" s="296"/>
      <c r="N124" s="296"/>
      <c r="O124" s="294"/>
      <c r="P124" s="294"/>
      <c r="Q124" s="294"/>
      <c r="R124" s="294"/>
      <c r="S124" s="294"/>
      <c r="AH124" s="294">
        <v>0</v>
      </c>
    </row>
    <row r="125" spans="1:34" ht="15.75">
      <c r="A125" s="276"/>
      <c r="B125" s="276"/>
      <c r="C125" s="276" t="s">
        <v>1757</v>
      </c>
      <c r="D125" s="276"/>
      <c r="E125" s="294">
        <f>+'CALC NA'!K44</f>
        <v>737543</v>
      </c>
      <c r="F125" s="296"/>
      <c r="G125" s="294">
        <f t="shared" si="16"/>
        <v>0</v>
      </c>
      <c r="H125" s="296"/>
      <c r="I125" s="294">
        <f t="shared" si="17"/>
        <v>737543</v>
      </c>
      <c r="J125" s="296"/>
      <c r="K125" s="341"/>
      <c r="L125" s="294"/>
      <c r="M125" s="296"/>
      <c r="N125" s="296"/>
      <c r="O125" s="294"/>
      <c r="P125" s="294"/>
      <c r="Q125" s="294"/>
      <c r="R125" s="294"/>
      <c r="S125" s="294"/>
      <c r="AH125" s="294"/>
    </row>
    <row r="126" spans="1:34" ht="15.75" hidden="1" customHeight="1">
      <c r="A126" s="276"/>
      <c r="B126" s="276"/>
      <c r="C126" s="276" t="s">
        <v>420</v>
      </c>
      <c r="D126" s="276"/>
      <c r="E126" s="294">
        <f>+'CALC NA'!L44</f>
        <v>0</v>
      </c>
      <c r="F126" s="296"/>
      <c r="G126" s="294">
        <f t="shared" si="16"/>
        <v>0</v>
      </c>
      <c r="H126" s="296"/>
      <c r="I126" s="294">
        <f>SUM(E126:H126)</f>
        <v>0</v>
      </c>
      <c r="J126" s="296"/>
      <c r="K126" s="341"/>
      <c r="L126" s="294"/>
      <c r="M126" s="296"/>
      <c r="N126" s="296">
        <f>+PROPNA!N113</f>
        <v>0</v>
      </c>
      <c r="O126" s="294">
        <f>+PROPNA!L113</f>
        <v>0</v>
      </c>
      <c r="P126" s="294"/>
      <c r="Q126" s="294"/>
      <c r="R126" s="294"/>
      <c r="S126" s="294"/>
      <c r="AH126" s="294" t="e">
        <f>+'CU BS Don''t Use FY21'!#REF!</f>
        <v>#REF!</v>
      </c>
    </row>
    <row r="127" spans="1:34" ht="15.75" hidden="1" customHeight="1">
      <c r="A127" s="276"/>
      <c r="B127" s="276" t="str">
        <f>INPUT!B184</f>
        <v xml:space="preserve">     Restricted for other purposes</v>
      </c>
      <c r="C127" s="276"/>
      <c r="D127" s="276"/>
      <c r="E127" s="294"/>
      <c r="F127" s="296"/>
      <c r="G127" s="294"/>
      <c r="H127" s="296"/>
      <c r="I127" s="294"/>
      <c r="J127" s="296"/>
      <c r="K127" s="341"/>
      <c r="L127" s="294"/>
      <c r="M127" s="296"/>
      <c r="N127" s="296"/>
      <c r="O127" s="294"/>
      <c r="P127" s="294"/>
      <c r="Q127" s="294"/>
      <c r="R127" s="294">
        <f>SUM(K127:Q127)</f>
        <v>0</v>
      </c>
      <c r="S127" s="294"/>
      <c r="AH127" s="294"/>
    </row>
    <row r="128" spans="1:34" ht="15.75" hidden="1" customHeight="1">
      <c r="A128" s="276"/>
      <c r="B128" s="276"/>
      <c r="C128" s="276" t="s">
        <v>969</v>
      </c>
      <c r="D128" s="276"/>
      <c r="E128" s="294">
        <v>0</v>
      </c>
      <c r="F128" s="296"/>
      <c r="G128" s="294">
        <f t="shared" si="16"/>
        <v>0</v>
      </c>
      <c r="H128" s="296"/>
      <c r="I128" s="294">
        <f t="shared" si="17"/>
        <v>0</v>
      </c>
      <c r="J128" s="296"/>
      <c r="K128" s="341"/>
      <c r="L128" s="294"/>
      <c r="M128" s="296"/>
      <c r="N128" s="296"/>
      <c r="O128" s="294"/>
      <c r="P128" s="294"/>
      <c r="Q128" s="294">
        <f>+'FIDCOMBIT NP'!H29</f>
        <v>58458361</v>
      </c>
      <c r="R128" s="294">
        <f>SUM(K128:Q128)</f>
        <v>58458361</v>
      </c>
      <c r="S128" s="294"/>
      <c r="AH128" s="294"/>
    </row>
    <row r="129" spans="1:51" ht="15.75" hidden="1" customHeight="1">
      <c r="A129" s="276"/>
      <c r="B129" s="276"/>
      <c r="C129" s="276" t="s">
        <v>788</v>
      </c>
      <c r="D129" s="276"/>
      <c r="E129" s="294">
        <v>0</v>
      </c>
      <c r="F129" s="296"/>
      <c r="G129" s="294">
        <f t="shared" si="16"/>
        <v>0</v>
      </c>
      <c r="H129" s="296"/>
      <c r="I129" s="294">
        <f t="shared" si="17"/>
        <v>0</v>
      </c>
      <c r="J129" s="296"/>
      <c r="K129" s="341"/>
      <c r="L129" s="294"/>
      <c r="M129" s="296"/>
      <c r="N129" s="296"/>
      <c r="O129" s="294"/>
      <c r="P129" s="294"/>
      <c r="Q129" s="294">
        <f>+'FIDCOMBIT NP'!H30</f>
        <v>4704521</v>
      </c>
      <c r="R129" s="294">
        <f>SUM(K129:Q129)</f>
        <v>4704521</v>
      </c>
      <c r="S129" s="294"/>
      <c r="AH129" s="294"/>
    </row>
    <row r="130" spans="1:51" ht="15.75">
      <c r="A130" s="276"/>
      <c r="B130" s="276" t="str">
        <f>INPUT!B185</f>
        <v xml:space="preserve">     Unrestricted</v>
      </c>
      <c r="C130" s="276" t="s">
        <v>235</v>
      </c>
      <c r="D130" s="276"/>
      <c r="E130" s="294">
        <f>+'CALC NA'!M44</f>
        <v>23487210</v>
      </c>
      <c r="F130" s="296"/>
      <c r="G130" s="294">
        <f>+O130</f>
        <v>4160538</v>
      </c>
      <c r="H130" s="296"/>
      <c r="I130" s="294">
        <f t="shared" si="17"/>
        <v>27647748</v>
      </c>
      <c r="J130" s="296"/>
      <c r="K130" s="341"/>
      <c r="L130" s="294"/>
      <c r="M130" s="296">
        <f>+'Govt BS'!T121-SUM(M114:M127)</f>
        <v>53366827</v>
      </c>
      <c r="N130" s="294">
        <f>+PROPNA!N114</f>
        <v>4716531</v>
      </c>
      <c r="O130" s="294">
        <f>+PROPNA!L114</f>
        <v>4160538</v>
      </c>
      <c r="P130" s="294">
        <f>+'FIDCH NA'!H42</f>
        <v>8056547</v>
      </c>
      <c r="Q130" s="294"/>
      <c r="R130" s="294">
        <f>SUM(K130:Q130)</f>
        <v>70300443</v>
      </c>
      <c r="S130" s="294"/>
      <c r="AH130" s="294" t="e">
        <f>'CU BS Don''t Use FY21'!#REF!-'Stmt of Net Pos'!AH126-AH115</f>
        <v>#REF!</v>
      </c>
    </row>
    <row r="131" spans="1:51" ht="15.75" hidden="1" customHeight="1">
      <c r="A131" s="276"/>
      <c r="B131" s="276"/>
      <c r="C131" s="276"/>
      <c r="D131" s="276"/>
      <c r="E131" s="337"/>
      <c r="F131" s="296"/>
      <c r="G131" s="337"/>
      <c r="H131" s="296"/>
      <c r="I131" s="337"/>
      <c r="J131" s="296"/>
      <c r="K131" s="979"/>
      <c r="L131" s="294"/>
      <c r="M131" s="337"/>
      <c r="N131" s="337"/>
      <c r="O131" s="337"/>
      <c r="P131" s="337"/>
      <c r="Q131" s="337"/>
      <c r="R131" s="337"/>
      <c r="S131" s="294"/>
      <c r="AH131" s="337"/>
    </row>
    <row r="132" spans="1:51" ht="16.5" thickBot="1">
      <c r="A132" s="276"/>
      <c r="B132" s="308" t="s">
        <v>236</v>
      </c>
      <c r="C132" s="308" t="s">
        <v>1675</v>
      </c>
      <c r="D132" s="308"/>
      <c r="E132" s="698">
        <f>SUM(E114:E130)</f>
        <v>72899650</v>
      </c>
      <c r="F132" s="342"/>
      <c r="G132" s="698">
        <f>SUM(G114:G130)</f>
        <v>16600784</v>
      </c>
      <c r="H132" s="342"/>
      <c r="I132" s="698">
        <f>SUM(I114:I131)</f>
        <v>89500434</v>
      </c>
      <c r="J132" s="342"/>
      <c r="K132" s="982"/>
      <c r="L132" s="339"/>
      <c r="M132" s="344">
        <f>IF(SUM(M114:M130)&lt;&gt;0,SUM(M114:M130),"-")</f>
        <v>54690896</v>
      </c>
      <c r="N132" s="344">
        <f>SUM(N114:N131)</f>
        <v>5799860</v>
      </c>
      <c r="O132" s="344">
        <f>IF(SUM(O114:O130)&lt;&gt;0,SUM(O114:O130),"-")</f>
        <v>16600784</v>
      </c>
      <c r="P132" s="344">
        <f>IF(SUM(P114:P130)&lt;&gt;0,SUM(P114:P130),"-")</f>
        <v>8056547</v>
      </c>
      <c r="Q132" s="344">
        <f>IF(SUM(Q114:Q130)&lt;&gt;0,SUM(Q114:Q130),"-")</f>
        <v>63162882</v>
      </c>
      <c r="R132" s="344">
        <f>IF(SUM(R114:R130)&lt;&gt;0,SUM(R114:R130),"-")</f>
        <v>148310969</v>
      </c>
      <c r="S132" s="300"/>
      <c r="AH132" s="349" t="e">
        <f>SUM(AH114:AH130)</f>
        <v>#REF!</v>
      </c>
    </row>
    <row r="133" spans="1:51" ht="50.1" customHeight="1" thickTop="1">
      <c r="A133" s="276"/>
      <c r="B133" s="276"/>
      <c r="C133" s="350"/>
      <c r="D133" s="276"/>
      <c r="E133" s="294"/>
      <c r="F133" s="294"/>
      <c r="G133" s="294"/>
      <c r="H133" s="294"/>
      <c r="I133" s="294"/>
      <c r="J133" s="296"/>
      <c r="K133" s="341"/>
      <c r="L133" s="294"/>
      <c r="M133" s="294"/>
      <c r="N133" s="303"/>
      <c r="O133" s="294"/>
      <c r="P133" s="294"/>
      <c r="Q133" s="294"/>
      <c r="R133" s="294"/>
      <c r="S133" s="294"/>
      <c r="AH133" s="294"/>
    </row>
    <row r="134" spans="1:51" ht="16.5" thickBot="1">
      <c r="A134" s="276"/>
      <c r="B134" s="308" t="s">
        <v>237</v>
      </c>
      <c r="C134" s="308" t="s">
        <v>2447</v>
      </c>
      <c r="D134" s="319"/>
      <c r="E134" s="299">
        <f>+E132+E111+E94</f>
        <v>136178715</v>
      </c>
      <c r="F134" s="300"/>
      <c r="G134" s="299">
        <f>+G132+G111+G94</f>
        <v>17955963</v>
      </c>
      <c r="H134" s="300"/>
      <c r="I134" s="299">
        <f>+I132+I111+I94</f>
        <v>154134678</v>
      </c>
      <c r="J134" s="300"/>
      <c r="K134" s="983"/>
      <c r="L134" s="300"/>
      <c r="M134" s="299">
        <f>IF(SUM(M94+M132)&lt;&gt;0,SUM(M94+M132),"-")</f>
        <v>63543131</v>
      </c>
      <c r="N134" s="302">
        <f>SUM(N94+N132)</f>
        <v>6331040</v>
      </c>
      <c r="O134" s="299">
        <f>IF(SUM(O94+O132)&lt;&gt;0,SUM(O94+O132),"-")</f>
        <v>19079688</v>
      </c>
      <c r="P134" s="299">
        <f>IF(SUM(P94+P132)&lt;&gt;0,SUM(P94+P132),"-")</f>
        <v>10865755</v>
      </c>
      <c r="Q134" s="299">
        <f>IF(SUM(Q94+Q132)&lt;&gt;0,SUM(Q94+Q132),"-")</f>
        <v>63162882</v>
      </c>
      <c r="R134" s="299">
        <f>IF(SUM(R94+R132)&lt;&gt;0,SUM(R94+R132),"-")</f>
        <v>162982496</v>
      </c>
      <c r="S134" s="300"/>
      <c r="AH134" s="299" t="e">
        <f>IF(SUM(AH94+AH132)&lt;&gt;0,SUM(AH94+AH132),"-")</f>
        <v>#REF!</v>
      </c>
    </row>
    <row r="135" spans="1:51" ht="16.5" thickTop="1">
      <c r="A135" s="276"/>
      <c r="B135" s="276"/>
      <c r="C135" s="276"/>
      <c r="D135" s="276"/>
      <c r="E135" s="303"/>
      <c r="F135" s="276"/>
      <c r="G135" s="276"/>
      <c r="H135" s="276"/>
      <c r="I135" s="276"/>
      <c r="J135" s="276"/>
      <c r="K135" s="654"/>
      <c r="L135" s="276"/>
      <c r="M135" s="296"/>
      <c r="N135" s="296">
        <f>+M134+N134</f>
        <v>69874171</v>
      </c>
      <c r="O135" s="276"/>
      <c r="P135" s="276"/>
      <c r="Q135" s="303"/>
      <c r="R135" s="303"/>
      <c r="S135" s="303"/>
      <c r="AH135" s="276"/>
    </row>
    <row r="136" spans="1:51" ht="15.75">
      <c r="A136" s="276"/>
      <c r="B136" s="276"/>
      <c r="C136" s="276"/>
      <c r="D136" s="276"/>
      <c r="E136" s="303"/>
      <c r="F136" s="276"/>
      <c r="G136" s="276"/>
      <c r="H136" s="276"/>
      <c r="I136" s="276"/>
      <c r="J136" s="276"/>
      <c r="K136" s="654"/>
      <c r="L136" s="276"/>
      <c r="M136" s="296"/>
      <c r="N136" s="296"/>
      <c r="O136" s="276"/>
      <c r="P136" s="303"/>
      <c r="Q136" s="303"/>
      <c r="R136" s="303"/>
      <c r="S136" s="303"/>
      <c r="AH136" s="276"/>
    </row>
    <row r="137" spans="1:51" ht="15.75">
      <c r="A137" s="276"/>
      <c r="B137" s="276"/>
      <c r="C137" s="276"/>
      <c r="D137" s="277"/>
      <c r="E137" s="277"/>
      <c r="F137" s="277"/>
      <c r="G137" s="277"/>
      <c r="H137" s="277"/>
      <c r="I137" s="277"/>
      <c r="K137" s="984"/>
      <c r="L137" s="277"/>
      <c r="M137" s="296"/>
      <c r="N137" s="296"/>
      <c r="O137" s="277"/>
      <c r="P137" s="303"/>
      <c r="Q137" s="303"/>
      <c r="R137" s="303"/>
      <c r="S137" s="303"/>
      <c r="AH137" s="277"/>
      <c r="AP137" s="757" t="s">
        <v>3382</v>
      </c>
    </row>
    <row r="138" spans="1:51" ht="15.75">
      <c r="A138" s="276"/>
      <c r="D138" s="277"/>
      <c r="E138" s="277">
        <f>+E134-E57-E42</f>
        <v>0</v>
      </c>
      <c r="F138" s="277"/>
      <c r="G138" s="277">
        <f>+G134-G57-G42</f>
        <v>0</v>
      </c>
      <c r="H138" s="277"/>
      <c r="I138" s="277">
        <f>+I134-I57-I42</f>
        <v>0</v>
      </c>
      <c r="K138" s="984"/>
      <c r="L138" s="277"/>
      <c r="M138" s="277">
        <f t="shared" ref="M138:R138" si="18">+M134-M42</f>
        <v>-6545530</v>
      </c>
      <c r="N138" s="277">
        <f t="shared" si="18"/>
        <v>-468843</v>
      </c>
      <c r="O138" s="277">
        <f t="shared" si="18"/>
        <v>0</v>
      </c>
      <c r="P138" s="277">
        <f t="shared" si="18"/>
        <v>0</v>
      </c>
      <c r="Q138" s="277">
        <f t="shared" si="18"/>
        <v>0</v>
      </c>
      <c r="R138" s="277">
        <f t="shared" si="18"/>
        <v>-7014373</v>
      </c>
      <c r="S138" s="277"/>
      <c r="AH138" s="310" t="e">
        <f>+AH134-AH42</f>
        <v>#REF!</v>
      </c>
      <c r="AP138" s="757">
        <v>6724351</v>
      </c>
      <c r="AR138" s="288" t="s">
        <v>3383</v>
      </c>
    </row>
    <row r="139" spans="1:51" ht="15.75">
      <c r="B139" s="276"/>
      <c r="E139" s="277">
        <f>+'Stmet of Actvty'!I56</f>
        <v>72899650</v>
      </c>
      <c r="F139" s="277"/>
      <c r="G139" s="277">
        <f>+'Stmet of Actvty'!J56</f>
        <v>16600784</v>
      </c>
      <c r="I139" s="284">
        <f>+'Stmet of Actvty'!K56</f>
        <v>89500434</v>
      </c>
      <c r="K139" s="984"/>
      <c r="L139" s="277"/>
      <c r="M139" s="351"/>
      <c r="N139" s="351"/>
      <c r="O139" s="288">
        <f>+'Stmet of Actvty'!J56</f>
        <v>16600784</v>
      </c>
      <c r="AH139" s="288">
        <f>+'Stmet of Actvty'!AL56</f>
        <v>5023898</v>
      </c>
    </row>
    <row r="140" spans="1:51" ht="15.75">
      <c r="B140" s="276"/>
      <c r="E140" s="277">
        <f>+E139-E132</f>
        <v>0</v>
      </c>
      <c r="F140" s="277"/>
      <c r="G140" s="277">
        <f>+G139-G132</f>
        <v>0</v>
      </c>
      <c r="I140" s="277">
        <f>+I139-I132</f>
        <v>0</v>
      </c>
      <c r="K140" s="984"/>
      <c r="M140" s="351"/>
      <c r="N140" s="351"/>
      <c r="O140" s="288">
        <f>+O139-O132</f>
        <v>0</v>
      </c>
      <c r="AH140" s="288" t="e">
        <f>+AH139-AH132</f>
        <v>#REF!</v>
      </c>
    </row>
    <row r="141" spans="1:51" ht="15.75">
      <c r="E141" s="277"/>
      <c r="F141" s="277"/>
      <c r="G141" s="277"/>
      <c r="AP141" s="288" t="s">
        <v>3385</v>
      </c>
      <c r="AY141" s="288">
        <f>+AX152-64536010</f>
        <v>-26</v>
      </c>
    </row>
    <row r="142" spans="1:51" ht="15.75">
      <c r="E142" s="277"/>
      <c r="F142" s="277"/>
      <c r="G142" s="277"/>
      <c r="AN142" s="286">
        <v>2023</v>
      </c>
      <c r="AP142" s="286" t="s">
        <v>3381</v>
      </c>
    </row>
    <row r="143" spans="1:51" ht="15.75">
      <c r="E143" s="352"/>
      <c r="F143" s="353"/>
      <c r="G143" s="353"/>
      <c r="H143" s="354"/>
      <c r="I143" s="354"/>
    </row>
    <row r="145" spans="14:52" ht="15.75">
      <c r="AN145" s="1313" t="s">
        <v>1673</v>
      </c>
      <c r="AO145" s="1313"/>
      <c r="AP145" s="1313"/>
      <c r="AQ145" s="1313"/>
      <c r="AR145" s="1313"/>
      <c r="AS145" s="1313"/>
      <c r="AT145" s="1313"/>
      <c r="AU145" s="330"/>
      <c r="AW145" s="330"/>
    </row>
    <row r="146" spans="14:52" ht="8.25" customHeight="1">
      <c r="AM146" s="287"/>
      <c r="AN146" s="287"/>
      <c r="AO146" s="287"/>
      <c r="AP146" s="287"/>
      <c r="AQ146" s="287"/>
      <c r="AR146" s="287"/>
      <c r="AS146" s="287"/>
      <c r="AT146" s="287"/>
      <c r="AU146" s="330"/>
      <c r="AW146" s="330"/>
    </row>
    <row r="147" spans="14:52" ht="15.75">
      <c r="N147" s="693">
        <f>I115/I132</f>
        <v>0.65185851501010594</v>
      </c>
      <c r="AL147" s="276"/>
      <c r="AM147" s="284"/>
      <c r="AN147" s="1317" t="s">
        <v>338</v>
      </c>
      <c r="AO147" s="1317"/>
      <c r="AP147" s="1317"/>
      <c r="AQ147" s="284"/>
      <c r="AR147" s="1317" t="s">
        <v>1206</v>
      </c>
      <c r="AS147" s="1317"/>
      <c r="AT147" s="1317"/>
      <c r="AU147" s="284"/>
      <c r="AV147" s="276"/>
      <c r="AW147" s="284"/>
      <c r="AX147" s="276"/>
      <c r="AY147" s="276"/>
      <c r="AZ147" s="276"/>
    </row>
    <row r="148" spans="14:52" ht="15.75">
      <c r="AL148" s="276"/>
      <c r="AM148" s="284"/>
      <c r="AN148" s="1316" t="s">
        <v>154</v>
      </c>
      <c r="AO148" s="1316"/>
      <c r="AP148" s="1316"/>
      <c r="AQ148" s="284"/>
      <c r="AR148" s="1316" t="s">
        <v>154</v>
      </c>
      <c r="AS148" s="1316"/>
      <c r="AT148" s="1316"/>
      <c r="AU148" s="284"/>
      <c r="AV148" s="1316" t="s">
        <v>315</v>
      </c>
      <c r="AW148" s="1316"/>
      <c r="AX148" s="1316"/>
      <c r="AY148" s="276"/>
      <c r="AZ148" s="276"/>
    </row>
    <row r="149" spans="14:52" ht="15.75">
      <c r="AL149" s="276"/>
      <c r="AM149" s="277"/>
      <c r="AN149" s="277"/>
      <c r="AO149" s="277"/>
      <c r="AP149" s="277"/>
      <c r="AQ149" s="277"/>
      <c r="AR149" s="277"/>
      <c r="AS149" s="277"/>
      <c r="AT149" s="277"/>
      <c r="AU149" s="277"/>
      <c r="AV149" s="276"/>
      <c r="AW149" s="277"/>
      <c r="AX149" s="276"/>
      <c r="AY149" s="276"/>
      <c r="AZ149" s="276"/>
    </row>
    <row r="150" spans="14:52" ht="15.75">
      <c r="AL150" s="276"/>
      <c r="AM150" s="277"/>
      <c r="AN150" s="285">
        <f>+AN142</f>
        <v>2023</v>
      </c>
      <c r="AO150" s="277"/>
      <c r="AP150" s="285" t="str">
        <f>+AP142</f>
        <v>2022- Restated</v>
      </c>
      <c r="AQ150" s="277"/>
      <c r="AR150" s="285">
        <f>+AN150</f>
        <v>2023</v>
      </c>
      <c r="AS150" s="277"/>
      <c r="AT150" s="285">
        <v>2022</v>
      </c>
      <c r="AU150" s="277"/>
      <c r="AV150" s="285">
        <f>+AR150</f>
        <v>2023</v>
      </c>
      <c r="AW150" s="277"/>
      <c r="AX150" s="285" t="str">
        <f>+AP150</f>
        <v>2022- Restated</v>
      </c>
      <c r="AY150" s="276"/>
      <c r="AZ150" s="276"/>
    </row>
    <row r="151" spans="14:52" ht="15.75">
      <c r="AL151" s="281" t="s">
        <v>1592</v>
      </c>
      <c r="AM151" s="277"/>
      <c r="AN151" s="874">
        <f>+AN153-AN152</f>
        <v>75433232</v>
      </c>
      <c r="AO151" s="322"/>
      <c r="AP151" s="874">
        <f>71055770-321758</f>
        <v>70734012</v>
      </c>
      <c r="AQ151" s="322" t="s">
        <v>246</v>
      </c>
      <c r="AR151" s="874">
        <f>+AR153-AR152</f>
        <v>5515717</v>
      </c>
      <c r="AS151" s="322"/>
      <c r="AT151" s="874">
        <v>4687306</v>
      </c>
      <c r="AU151" s="322"/>
      <c r="AV151" s="874">
        <f>+AN151+AR151</f>
        <v>80948949</v>
      </c>
      <c r="AW151" s="322"/>
      <c r="AX151" s="874">
        <f>+AP151+AT151</f>
        <v>75421318</v>
      </c>
      <c r="AY151" s="276"/>
      <c r="AZ151" s="276"/>
    </row>
    <row r="152" spans="14:52" ht="15.75">
      <c r="AL152" s="281" t="s">
        <v>1593</v>
      </c>
      <c r="AM152" s="276"/>
      <c r="AN152" s="278">
        <f>+E37+E38+E39+E40+E41</f>
        <v>51912684</v>
      </c>
      <c r="AO152" s="322"/>
      <c r="AP152" s="278">
        <f>51129293+321758</f>
        <v>51451051</v>
      </c>
      <c r="AQ152" s="322" t="s">
        <v>246</v>
      </c>
      <c r="AR152" s="278">
        <f>+G37+G38+G39+G40+G41</f>
        <v>12440246</v>
      </c>
      <c r="AS152" s="276"/>
      <c r="AT152" s="278">
        <v>13084933</v>
      </c>
      <c r="AU152" s="276"/>
      <c r="AV152" s="278">
        <f>+AN152+AR152</f>
        <v>64352930</v>
      </c>
      <c r="AW152" s="276"/>
      <c r="AX152" s="278">
        <f>+AP152+AT152</f>
        <v>64535984</v>
      </c>
      <c r="AY152" s="276"/>
      <c r="AZ152" s="276">
        <f>AX152-AV152</f>
        <v>183054</v>
      </c>
    </row>
    <row r="153" spans="14:52" ht="15.75">
      <c r="AL153" s="282" t="s">
        <v>940</v>
      </c>
      <c r="AM153" s="276"/>
      <c r="AN153" s="296">
        <f>+E42</f>
        <v>127345916</v>
      </c>
      <c r="AO153" s="296"/>
      <c r="AP153" s="296">
        <f>SUM(AP151:AP152)</f>
        <v>122185063</v>
      </c>
      <c r="AQ153" s="296"/>
      <c r="AR153" s="296">
        <f>+G42</f>
        <v>17955963</v>
      </c>
      <c r="AS153" s="296"/>
      <c r="AT153" s="296">
        <f>SUM(AT151:AT152)</f>
        <v>17772239</v>
      </c>
      <c r="AU153" s="296"/>
      <c r="AV153" s="296">
        <f>SUM(AV151:AV152)</f>
        <v>145301879</v>
      </c>
      <c r="AW153" s="296"/>
      <c r="AX153" s="296">
        <f>SUM(AX151:AX152)</f>
        <v>139957302</v>
      </c>
      <c r="AY153" s="276"/>
      <c r="AZ153" s="276"/>
    </row>
    <row r="154" spans="14:52" ht="15.75">
      <c r="AL154" s="281"/>
      <c r="AM154" s="276"/>
      <c r="AN154" s="276"/>
      <c r="AO154" s="276"/>
      <c r="AP154" s="276"/>
      <c r="AQ154" s="276"/>
      <c r="AR154" s="276"/>
      <c r="AS154" s="276"/>
      <c r="AT154" s="276"/>
      <c r="AU154" s="276"/>
      <c r="AV154" s="276"/>
      <c r="AW154" s="276"/>
      <c r="AX154" s="276"/>
      <c r="AY154" s="276"/>
      <c r="AZ154" s="276"/>
    </row>
    <row r="155" spans="14:52" ht="15.75">
      <c r="AL155" s="276" t="s">
        <v>1698</v>
      </c>
      <c r="AM155" s="276"/>
      <c r="AN155" s="296">
        <f>+E57</f>
        <v>8832799</v>
      </c>
      <c r="AO155" s="296"/>
      <c r="AP155" s="296">
        <v>7524958</v>
      </c>
      <c r="AQ155" s="296"/>
      <c r="AR155" s="296">
        <f>+G57</f>
        <v>0</v>
      </c>
      <c r="AS155" s="296"/>
      <c r="AT155" s="296">
        <v>0</v>
      </c>
      <c r="AU155" s="296"/>
      <c r="AV155" s="296">
        <f>+AN155+AR155</f>
        <v>8832799</v>
      </c>
      <c r="AW155" s="296"/>
      <c r="AX155" s="296">
        <f>+AP155+AT155</f>
        <v>7524958</v>
      </c>
      <c r="AY155" s="276"/>
      <c r="AZ155" s="276"/>
    </row>
    <row r="156" spans="14:52" ht="15.75">
      <c r="AL156" s="281"/>
      <c r="AM156" s="276"/>
      <c r="AN156" s="296"/>
      <c r="AO156" s="296"/>
      <c r="AP156" s="296"/>
      <c r="AQ156" s="296"/>
      <c r="AR156" s="296"/>
      <c r="AS156" s="296"/>
      <c r="AT156" s="351"/>
      <c r="AU156" s="296"/>
      <c r="AV156" s="296"/>
      <c r="AW156" s="296"/>
      <c r="AX156" s="296"/>
      <c r="AY156" s="276"/>
      <c r="AZ156" s="276"/>
    </row>
    <row r="157" spans="14:52" ht="15.75">
      <c r="AL157" s="281" t="s">
        <v>1594</v>
      </c>
      <c r="AM157" s="277"/>
      <c r="AN157" s="296">
        <f>+AN159-AN158</f>
        <v>46329932</v>
      </c>
      <c r="AO157" s="875"/>
      <c r="AP157" s="296">
        <v>33691903</v>
      </c>
      <c r="AQ157" s="875"/>
      <c r="AR157" s="296">
        <f>+AR159-AR158</f>
        <v>1201703</v>
      </c>
      <c r="AS157" s="875"/>
      <c r="AT157" s="296">
        <v>1186806</v>
      </c>
      <c r="AU157" s="875"/>
      <c r="AV157" s="296">
        <f>+AN157+AR157</f>
        <v>47531635</v>
      </c>
      <c r="AW157" s="875"/>
      <c r="AX157" s="296">
        <f>+AP157+AT157</f>
        <v>34878709</v>
      </c>
      <c r="AY157" s="276"/>
      <c r="AZ157" s="276"/>
    </row>
    <row r="158" spans="14:52" ht="15.75">
      <c r="AL158" s="281" t="s">
        <v>1595</v>
      </c>
      <c r="AM158" s="276"/>
      <c r="AN158" s="369">
        <f>SUM(E59:E65)</f>
        <v>3240276</v>
      </c>
      <c r="AO158" s="296"/>
      <c r="AP158" s="369">
        <v>2104260</v>
      </c>
      <c r="AQ158" s="296"/>
      <c r="AR158" s="369">
        <f>SUM(G59:G65)</f>
        <v>153476</v>
      </c>
      <c r="AS158" s="296"/>
      <c r="AT158" s="369">
        <v>127463</v>
      </c>
      <c r="AU158" s="296"/>
      <c r="AV158" s="369">
        <f>+AN158+AR158</f>
        <v>3393752</v>
      </c>
      <c r="AW158" s="296"/>
      <c r="AX158" s="369">
        <f>+AP158+AT158</f>
        <v>2231723</v>
      </c>
      <c r="AY158" s="276"/>
      <c r="AZ158" s="276"/>
    </row>
    <row r="159" spans="14:52" ht="15.75">
      <c r="AL159" s="282" t="s">
        <v>681</v>
      </c>
      <c r="AM159" s="276"/>
      <c r="AN159" s="296">
        <f>+E94</f>
        <v>49570208</v>
      </c>
      <c r="AO159" s="296"/>
      <c r="AP159" s="296">
        <f>SUM(AP157:AP158)</f>
        <v>35796163</v>
      </c>
      <c r="AQ159" s="296"/>
      <c r="AR159" s="296">
        <f>+G94</f>
        <v>1355179</v>
      </c>
      <c r="AS159" s="296"/>
      <c r="AT159" s="296">
        <f>SUM(AT157:AT158)</f>
        <v>1314269</v>
      </c>
      <c r="AU159" s="296"/>
      <c r="AV159" s="296">
        <f>SUM(AV157:AV158)</f>
        <v>50925387</v>
      </c>
      <c r="AW159" s="296"/>
      <c r="AX159" s="296">
        <f>SUM(AX157:AX158)</f>
        <v>37110432</v>
      </c>
      <c r="AY159" s="276"/>
      <c r="AZ159" s="276"/>
    </row>
    <row r="160" spans="14:52" ht="15.75">
      <c r="AL160" s="283"/>
      <c r="AM160" s="276"/>
      <c r="AN160" s="296"/>
      <c r="AO160" s="296"/>
      <c r="AP160" s="296"/>
      <c r="AQ160" s="296"/>
      <c r="AR160" s="296"/>
      <c r="AS160" s="296"/>
      <c r="AT160" s="296"/>
      <c r="AU160" s="296"/>
      <c r="AV160" s="296"/>
      <c r="AW160" s="296"/>
      <c r="AX160" s="296"/>
      <c r="AY160" s="276"/>
      <c r="AZ160" s="276"/>
    </row>
    <row r="161" spans="5:54" ht="15.75">
      <c r="AL161" s="276" t="s">
        <v>3384</v>
      </c>
      <c r="AM161" s="276"/>
      <c r="AN161" s="296">
        <f>+E111</f>
        <v>13708857</v>
      </c>
      <c r="AO161" s="296"/>
      <c r="AP161" s="296">
        <v>23084559</v>
      </c>
      <c r="AQ161" s="322" t="s">
        <v>246</v>
      </c>
      <c r="AR161" s="296">
        <f>+G111</f>
        <v>0</v>
      </c>
      <c r="AS161" s="296"/>
      <c r="AT161" s="296">
        <v>0</v>
      </c>
      <c r="AU161" s="296"/>
      <c r="AV161" s="296">
        <f>+AN161+AR161</f>
        <v>13708857</v>
      </c>
      <c r="AW161" s="296"/>
      <c r="AX161" s="296">
        <f>+AP161+AT161</f>
        <v>23084559</v>
      </c>
      <c r="AY161" s="276"/>
      <c r="AZ161" s="276"/>
    </row>
    <row r="162" spans="5:54" ht="15.75">
      <c r="AL162" s="283"/>
      <c r="AM162" s="276"/>
      <c r="AN162" s="296"/>
      <c r="AO162" s="296"/>
      <c r="AP162" s="296"/>
      <c r="AQ162" s="322"/>
      <c r="AR162" s="296"/>
      <c r="AS162" s="296"/>
      <c r="AT162" s="296"/>
      <c r="AU162" s="296"/>
      <c r="AV162" s="296"/>
      <c r="AW162" s="296"/>
      <c r="AX162" s="296"/>
      <c r="AY162" s="276"/>
      <c r="AZ162" s="276"/>
    </row>
    <row r="163" spans="5:54" ht="15.75">
      <c r="AL163" s="281" t="s">
        <v>1726</v>
      </c>
      <c r="AM163" s="276"/>
      <c r="AN163" s="296"/>
      <c r="AO163" s="296"/>
      <c r="AP163" s="296"/>
      <c r="AQ163" s="296"/>
      <c r="AR163" s="296"/>
      <c r="AS163" s="296"/>
      <c r="AT163" s="296"/>
      <c r="AU163" s="296"/>
      <c r="AV163" s="296"/>
      <c r="AW163" s="296"/>
      <c r="AX163" s="296"/>
      <c r="AY163" s="276"/>
      <c r="AZ163" s="276"/>
    </row>
    <row r="164" spans="5:54" ht="15.75">
      <c r="AL164" s="281" t="s">
        <v>1682</v>
      </c>
      <c r="AM164" s="276"/>
      <c r="AN164" s="296">
        <f>+E115</f>
        <v>45901374</v>
      </c>
      <c r="AO164" s="296"/>
      <c r="AP164" s="296">
        <v>45311791</v>
      </c>
      <c r="AQ164" s="322" t="s">
        <v>246</v>
      </c>
      <c r="AR164" s="296">
        <f>+G115</f>
        <v>12440246</v>
      </c>
      <c r="AS164" s="296"/>
      <c r="AT164" s="296">
        <v>13084933</v>
      </c>
      <c r="AU164" s="296"/>
      <c r="AV164" s="296">
        <f>+AN164+AR164</f>
        <v>58341620</v>
      </c>
      <c r="AW164" s="296"/>
      <c r="AX164" s="296">
        <f>+AP164+AT164</f>
        <v>58396724</v>
      </c>
      <c r="AY164" s="279">
        <f>ROUND(+AV164/AV167,3)</f>
        <v>0.65200000000000002</v>
      </c>
      <c r="AZ164" s="276"/>
      <c r="BA164" s="288">
        <f>AX164-AV164</f>
        <v>55104</v>
      </c>
    </row>
    <row r="165" spans="5:54" ht="15.75">
      <c r="AL165" s="281" t="s">
        <v>1406</v>
      </c>
      <c r="AM165" s="276"/>
      <c r="AN165" s="296">
        <f>+AN167-AN166-AN164</f>
        <v>3511066</v>
      </c>
      <c r="AO165" s="296"/>
      <c r="AP165" s="296">
        <v>4102034</v>
      </c>
      <c r="AQ165" s="322" t="s">
        <v>246</v>
      </c>
      <c r="AR165" s="296">
        <f>+AR167-AR166-AR164</f>
        <v>0</v>
      </c>
      <c r="AS165" s="296"/>
      <c r="AT165" s="296">
        <v>0</v>
      </c>
      <c r="AU165" s="296"/>
      <c r="AV165" s="296">
        <f>+AN165+AR165</f>
        <v>3511066</v>
      </c>
      <c r="AW165" s="296"/>
      <c r="AX165" s="296">
        <f>+AP165+AT165</f>
        <v>4102034</v>
      </c>
      <c r="AY165" s="279">
        <f>ROUND(+AV165/AV167,3)</f>
        <v>3.9E-2</v>
      </c>
      <c r="AZ165" s="276"/>
    </row>
    <row r="166" spans="5:54" ht="15.75">
      <c r="AL166" s="281" t="s">
        <v>1369</v>
      </c>
      <c r="AM166" s="276"/>
      <c r="AN166" s="369">
        <f>+E130</f>
        <v>23487210</v>
      </c>
      <c r="AO166" s="296"/>
      <c r="AP166" s="369">
        <v>21415474</v>
      </c>
      <c r="AQ166" s="322" t="s">
        <v>246</v>
      </c>
      <c r="AR166" s="369">
        <f>+G130</f>
        <v>4160538</v>
      </c>
      <c r="AS166" s="296"/>
      <c r="AT166" s="369">
        <v>3373037</v>
      </c>
      <c r="AU166" s="296"/>
      <c r="AV166" s="369">
        <f>+AN166+AR166</f>
        <v>27647748</v>
      </c>
      <c r="AW166" s="296"/>
      <c r="AX166" s="369">
        <f>+AP166+AT166</f>
        <v>24788511</v>
      </c>
      <c r="AY166" s="279">
        <f>+AY167-AY164-AY165</f>
        <v>0.309</v>
      </c>
      <c r="AZ166" s="280">
        <f>+AV166/AV167</f>
        <v>0.30891188751107063</v>
      </c>
    </row>
    <row r="167" spans="5:54" ht="16.5" thickBot="1">
      <c r="AL167" s="282" t="s">
        <v>1727</v>
      </c>
      <c r="AM167" s="276"/>
      <c r="AN167" s="873">
        <f>+E132</f>
        <v>72899650</v>
      </c>
      <c r="AO167" s="293"/>
      <c r="AP167" s="873">
        <f>SUM(AP164:AP166)</f>
        <v>70829299</v>
      </c>
      <c r="AQ167" s="293"/>
      <c r="AR167" s="873">
        <f>+G132</f>
        <v>16600784</v>
      </c>
      <c r="AS167" s="293"/>
      <c r="AT167" s="873">
        <f>SUM(AT164:AT166)</f>
        <v>16457970</v>
      </c>
      <c r="AU167" s="293"/>
      <c r="AV167" s="873">
        <f>SUM(AV164:AV166)</f>
        <v>89500434</v>
      </c>
      <c r="AW167" s="293"/>
      <c r="AX167" s="873">
        <f>SUM(AX164:AX166)</f>
        <v>87287269</v>
      </c>
      <c r="AY167" s="279">
        <v>1</v>
      </c>
      <c r="AZ167" s="276"/>
    </row>
    <row r="168" spans="5:54" ht="16.5" thickTop="1">
      <c r="AL168" s="288" t="s">
        <v>3350</v>
      </c>
      <c r="AM168" s="276"/>
      <c r="AN168" s="276"/>
      <c r="AO168" s="276"/>
      <c r="AP168" s="276"/>
      <c r="AQ168" s="276"/>
      <c r="AR168" s="276"/>
      <c r="AS168" s="276"/>
      <c r="AT168" s="276"/>
      <c r="AU168" s="276"/>
      <c r="AV168" s="276"/>
      <c r="AW168" s="276"/>
      <c r="AX168" s="276"/>
      <c r="AY168" s="276"/>
      <c r="AZ168" s="276"/>
      <c r="BA168" s="288">
        <f>+AV167-AX167</f>
        <v>2213165</v>
      </c>
    </row>
    <row r="169" spans="5:54" ht="15.75">
      <c r="AL169" s="276"/>
      <c r="AM169" s="276"/>
      <c r="AN169" s="276">
        <f>+AN153+AN155-AN159-AN161-AN167</f>
        <v>0</v>
      </c>
      <c r="AO169" s="276"/>
      <c r="AP169" s="276">
        <f>+AP153+AP155-AP159-AP161-AP167</f>
        <v>0</v>
      </c>
      <c r="AQ169" s="276"/>
      <c r="AR169" s="276">
        <f>+AR153+AR155-AR159-AR161-AR167</f>
        <v>0</v>
      </c>
      <c r="AS169" s="276"/>
      <c r="AT169" s="276">
        <f>+AT153+AT155-AT159-AT161-AT167</f>
        <v>0</v>
      </c>
      <c r="AU169" s="276"/>
      <c r="AV169" s="276"/>
      <c r="AW169" s="276"/>
      <c r="AX169" s="276"/>
      <c r="AY169" s="276"/>
      <c r="AZ169" s="276"/>
    </row>
    <row r="170" spans="5:54" ht="15.75">
      <c r="E170" s="352" t="s">
        <v>2362</v>
      </c>
      <c r="F170" s="353"/>
      <c r="G170" s="353"/>
      <c r="H170" s="354"/>
      <c r="I170" s="354"/>
      <c r="AD170" s="288">
        <f>+AN167-AP167</f>
        <v>2070351</v>
      </c>
      <c r="BA170" s="288">
        <f>+AN167-AP167</f>
        <v>2070351</v>
      </c>
      <c r="BB170" s="1046">
        <f>+BA170/BA168</f>
        <v>0.93547069468385768</v>
      </c>
    </row>
    <row r="171" spans="5:54" ht="15.75">
      <c r="E171" s="308" t="s">
        <v>338</v>
      </c>
      <c r="F171" s="308"/>
      <c r="G171" s="287" t="s">
        <v>1206</v>
      </c>
      <c r="H171" s="308"/>
      <c r="I171" s="287"/>
      <c r="AD171" s="288">
        <f>+AR167-AT167</f>
        <v>142814</v>
      </c>
    </row>
    <row r="172" spans="5:54" ht="15.75">
      <c r="E172" s="308"/>
      <c r="F172" s="308"/>
      <c r="G172" s="287"/>
      <c r="H172" s="308"/>
      <c r="I172" s="287"/>
    </row>
    <row r="173" spans="5:54" ht="15.75">
      <c r="E173" s="308"/>
      <c r="F173" s="308"/>
      <c r="G173" s="287"/>
      <c r="H173" s="308"/>
      <c r="I173" s="287"/>
    </row>
    <row r="174" spans="5:54" ht="18.75">
      <c r="E174" s="290" t="s">
        <v>154</v>
      </c>
      <c r="F174" s="308"/>
      <c r="G174" s="290" t="s">
        <v>154</v>
      </c>
      <c r="H174" s="308"/>
      <c r="I174" s="290" t="s">
        <v>315</v>
      </c>
      <c r="AL174" s="1318" t="s">
        <v>1828</v>
      </c>
      <c r="AM174" s="1318"/>
      <c r="AN174" s="1318"/>
      <c r="AO174" s="1318"/>
      <c r="AP174" s="1318"/>
      <c r="AQ174" s="1318"/>
      <c r="AR174" s="1318"/>
      <c r="AS174" s="1318"/>
      <c r="AT174" s="1318"/>
      <c r="AU174" s="1318"/>
      <c r="AV174" s="1318"/>
      <c r="AW174" s="1318"/>
      <c r="AX174" s="1318"/>
    </row>
    <row r="175" spans="5:54" ht="15.75">
      <c r="E175" s="277"/>
      <c r="F175" s="277"/>
      <c r="G175" s="277"/>
      <c r="H175" s="276"/>
      <c r="I175" s="276"/>
      <c r="AL175" s="1319" t="s">
        <v>2508</v>
      </c>
      <c r="AM175" s="1319"/>
      <c r="AN175" s="1319"/>
      <c r="AO175" s="1319"/>
      <c r="AP175" s="1319"/>
      <c r="AQ175" s="1319"/>
      <c r="AR175" s="1319"/>
      <c r="AS175" s="1319"/>
      <c r="AT175" s="1319"/>
      <c r="AU175" s="1319"/>
      <c r="AV175" s="1319"/>
      <c r="AW175" s="1319"/>
      <c r="AX175" s="1319"/>
    </row>
    <row r="176" spans="5:54" ht="15.75">
      <c r="E176" s="276">
        <v>38082021</v>
      </c>
      <c r="F176" s="277"/>
      <c r="G176" s="276">
        <v>3456856</v>
      </c>
      <c r="H176" s="276"/>
      <c r="I176" s="276">
        <f>+E176+G176</f>
        <v>41538877</v>
      </c>
      <c r="AK176" s="288" t="s">
        <v>3521</v>
      </c>
    </row>
    <row r="177" spans="5:53" ht="15.75">
      <c r="E177" s="278">
        <v>35868069</v>
      </c>
      <c r="F177" s="276"/>
      <c r="G177" s="278">
        <v>15028973</v>
      </c>
      <c r="H177" s="276"/>
      <c r="I177" s="278">
        <f>+E177+G177</f>
        <v>50897042</v>
      </c>
      <c r="AK177" s="288" t="s">
        <v>3522</v>
      </c>
      <c r="AN177" s="1317" t="s">
        <v>338</v>
      </c>
      <c r="AO177" s="1317"/>
      <c r="AP177" s="1317"/>
      <c r="AQ177" s="284"/>
      <c r="AR177" s="1317" t="s">
        <v>1206</v>
      </c>
      <c r="AS177" s="1317"/>
      <c r="AT177" s="1317"/>
      <c r="AU177" s="284"/>
      <c r="AV177" s="276"/>
      <c r="AW177" s="284"/>
      <c r="AX177" s="276"/>
    </row>
    <row r="178" spans="5:53" ht="15.75">
      <c r="E178" s="276">
        <f>SUM(E176:E177)</f>
        <v>73950090</v>
      </c>
      <c r="F178" s="276"/>
      <c r="G178" s="276">
        <f>SUM(G176:G177)</f>
        <v>18485829</v>
      </c>
      <c r="H178" s="276"/>
      <c r="I178" s="276">
        <f>SUM(I176:I177)</f>
        <v>92435919</v>
      </c>
      <c r="AN178" s="1316" t="s">
        <v>154</v>
      </c>
      <c r="AO178" s="1316"/>
      <c r="AP178" s="1316"/>
      <c r="AQ178" s="284"/>
      <c r="AR178" s="1316" t="s">
        <v>154</v>
      </c>
      <c r="AS178" s="1316"/>
      <c r="AT178" s="1316"/>
      <c r="AU178" s="284"/>
      <c r="AV178" s="1316" t="s">
        <v>315</v>
      </c>
      <c r="AW178" s="1316"/>
      <c r="AX178" s="1316"/>
    </row>
    <row r="179" spans="5:53" ht="15.75">
      <c r="E179" s="276"/>
      <c r="F179" s="276"/>
      <c r="G179" s="276"/>
      <c r="H179" s="276"/>
      <c r="I179" s="276"/>
      <c r="AN179" s="277"/>
      <c r="AO179" s="277"/>
      <c r="AP179" s="277"/>
      <c r="AQ179" s="277"/>
      <c r="AR179" s="277"/>
      <c r="AS179" s="277"/>
      <c r="AT179" s="277"/>
      <c r="AU179" s="277"/>
      <c r="AV179" s="276"/>
      <c r="AW179" s="277"/>
      <c r="AX179" s="276"/>
    </row>
    <row r="180" spans="5:53" ht="15.75">
      <c r="E180" s="334">
        <f>803004+412538+6568</f>
        <v>1222110</v>
      </c>
      <c r="F180" s="276"/>
      <c r="G180" s="334">
        <f>20619+23137</f>
        <v>43756</v>
      </c>
      <c r="H180" s="276"/>
      <c r="I180" s="276">
        <f>+E180+G180</f>
        <v>1265866</v>
      </c>
      <c r="AN180" s="285">
        <f>AN150</f>
        <v>2023</v>
      </c>
      <c r="AO180" s="277"/>
      <c r="AP180" s="285" t="str">
        <f>AP150</f>
        <v>2022- Restated</v>
      </c>
      <c r="AQ180" s="277"/>
      <c r="AR180" s="285">
        <f>+AN180</f>
        <v>2023</v>
      </c>
      <c r="AS180" s="277"/>
      <c r="AT180" s="285" t="str">
        <f>+AP180</f>
        <v>2022- Restated</v>
      </c>
      <c r="AU180" s="277"/>
      <c r="AV180" s="285">
        <f>+AR180</f>
        <v>2023</v>
      </c>
      <c r="AW180" s="277"/>
      <c r="AX180" s="285" t="str">
        <f>+AT180</f>
        <v>2022- Restated</v>
      </c>
    </row>
    <row r="181" spans="5:53" ht="15.75">
      <c r="E181" s="276"/>
      <c r="F181" s="276"/>
      <c r="G181" s="276"/>
      <c r="H181" s="276"/>
      <c r="I181" s="276"/>
    </row>
    <row r="182" spans="5:53" ht="15.75">
      <c r="E182" s="276">
        <v>7018381</v>
      </c>
      <c r="F182" s="277"/>
      <c r="G182" s="276">
        <v>4405252</v>
      </c>
      <c r="H182" s="276"/>
      <c r="I182" s="276">
        <f>+E182+G182</f>
        <v>11423633</v>
      </c>
      <c r="AL182" s="281" t="s">
        <v>2502</v>
      </c>
      <c r="AN182" s="1144"/>
      <c r="AO182" s="293"/>
      <c r="AP182" s="1144">
        <v>5571349</v>
      </c>
      <c r="AQ182" s="293"/>
      <c r="AR182" s="1144"/>
      <c r="AS182" s="293"/>
      <c r="AT182" s="1144">
        <v>243648</v>
      </c>
      <c r="AU182" s="293"/>
      <c r="AV182" s="1144">
        <f>AN182+AR182</f>
        <v>0</v>
      </c>
      <c r="AW182" s="293"/>
      <c r="AX182" s="1144">
        <f t="shared" ref="AX182:AX187" si="19">AP182+AT182</f>
        <v>5814997</v>
      </c>
    </row>
    <row r="183" spans="5:53" ht="15.75">
      <c r="E183" s="355">
        <f>5612094+13963236+6585738+109373</f>
        <v>26270441</v>
      </c>
      <c r="F183" s="276"/>
      <c r="G183" s="355">
        <f>180108+358544+402322</f>
        <v>940974</v>
      </c>
      <c r="H183" s="276"/>
      <c r="I183" s="278">
        <f>+E183+G183</f>
        <v>27211415</v>
      </c>
      <c r="AL183" s="281" t="s">
        <v>2503</v>
      </c>
      <c r="AN183" s="296"/>
      <c r="AO183" s="296"/>
      <c r="AP183" s="296">
        <v>19490428</v>
      </c>
      <c r="AQ183" s="296"/>
      <c r="AR183" s="296"/>
      <c r="AS183" s="296"/>
      <c r="AT183" s="296">
        <v>7416810</v>
      </c>
      <c r="AU183" s="296"/>
      <c r="AV183" s="296">
        <f t="shared" ref="AV183:AV188" si="20">AN183+AR183</f>
        <v>0</v>
      </c>
      <c r="AW183" s="296"/>
      <c r="AX183" s="296">
        <f t="shared" si="19"/>
        <v>26907238</v>
      </c>
    </row>
    <row r="184" spans="5:53" ht="15.75">
      <c r="E184" s="276">
        <f>SUM(E182:E183)</f>
        <v>33288822</v>
      </c>
      <c r="F184" s="276"/>
      <c r="G184" s="276">
        <f>SUM(G182:G183)</f>
        <v>5346226</v>
      </c>
      <c r="H184" s="276"/>
      <c r="I184" s="276">
        <f>SUM(I182:I183)</f>
        <v>38635048</v>
      </c>
      <c r="AL184" s="281" t="s">
        <v>2504</v>
      </c>
      <c r="AN184" s="296"/>
      <c r="AO184" s="296"/>
      <c r="AP184" s="296">
        <v>5559992</v>
      </c>
      <c r="AQ184" s="296"/>
      <c r="AR184" s="296"/>
      <c r="AS184" s="296"/>
      <c r="AT184" s="296">
        <v>4862905</v>
      </c>
      <c r="AU184" s="296"/>
      <c r="AV184" s="296">
        <f t="shared" si="20"/>
        <v>0</v>
      </c>
      <c r="AW184" s="296"/>
      <c r="AX184" s="296">
        <f t="shared" si="19"/>
        <v>10422897</v>
      </c>
    </row>
    <row r="185" spans="5:53" ht="15.75">
      <c r="E185" s="276"/>
      <c r="F185" s="276"/>
      <c r="G185" s="276"/>
      <c r="H185" s="276"/>
      <c r="I185" s="276"/>
      <c r="AL185" s="281" t="s">
        <v>2505</v>
      </c>
      <c r="AN185" s="296"/>
      <c r="AO185" s="296"/>
      <c r="AP185" s="296">
        <v>5094647</v>
      </c>
      <c r="AQ185" s="296"/>
      <c r="AR185" s="296"/>
      <c r="AS185" s="296"/>
      <c r="AT185" s="296">
        <v>561570</v>
      </c>
      <c r="AU185" s="296"/>
      <c r="AV185" s="296">
        <f t="shared" si="20"/>
        <v>0</v>
      </c>
      <c r="AW185" s="296"/>
      <c r="AX185" s="296">
        <f t="shared" si="19"/>
        <v>5656217</v>
      </c>
    </row>
    <row r="186" spans="5:53" ht="15.75">
      <c r="E186" s="276">
        <f>+E136</f>
        <v>0</v>
      </c>
      <c r="F186" s="276"/>
      <c r="G186" s="276">
        <f>+G136</f>
        <v>0</v>
      </c>
      <c r="H186" s="276"/>
      <c r="I186" s="276">
        <f>+E186+G186</f>
        <v>0</v>
      </c>
      <c r="AL186" s="281" t="s">
        <v>2420</v>
      </c>
      <c r="AN186" s="296"/>
      <c r="AO186" s="296"/>
      <c r="AP186" s="296">
        <v>14217284</v>
      </c>
      <c r="AQ186" s="296"/>
      <c r="AR186" s="1145"/>
      <c r="AS186" s="296"/>
      <c r="AT186" s="1145">
        <v>0</v>
      </c>
      <c r="AU186" s="296"/>
      <c r="AV186" s="296">
        <f t="shared" si="20"/>
        <v>0</v>
      </c>
      <c r="AW186" s="296"/>
      <c r="AX186" s="296">
        <f t="shared" si="19"/>
        <v>14217284</v>
      </c>
    </row>
    <row r="187" spans="5:53" ht="15.75">
      <c r="E187" s="276"/>
      <c r="F187" s="276"/>
      <c r="G187" s="276"/>
      <c r="H187" s="276"/>
      <c r="I187" s="276"/>
      <c r="AL187" s="281" t="s">
        <v>2506</v>
      </c>
      <c r="AN187" s="369"/>
      <c r="AO187" s="296"/>
      <c r="AP187" s="369">
        <v>142073</v>
      </c>
      <c r="AQ187" s="296"/>
      <c r="AR187" s="1145"/>
      <c r="AS187" s="296"/>
      <c r="AT187" s="1145">
        <v>0</v>
      </c>
      <c r="AU187" s="296"/>
      <c r="AV187" s="369">
        <f t="shared" si="20"/>
        <v>0</v>
      </c>
      <c r="AW187" s="296"/>
      <c r="AX187" s="369">
        <f t="shared" si="19"/>
        <v>142073</v>
      </c>
    </row>
    <row r="188" spans="5:53" ht="16.5" thickBot="1">
      <c r="AL188" s="281" t="s">
        <v>2507</v>
      </c>
      <c r="AN188" s="873">
        <f>SUM(AN182:AN187)</f>
        <v>0</v>
      </c>
      <c r="AO188" s="361"/>
      <c r="AP188" s="873">
        <f>SUM(AP182:AP187)</f>
        <v>50075773</v>
      </c>
      <c r="AQ188" s="361"/>
      <c r="AR188" s="873">
        <f>SUM(AR182:AR187)</f>
        <v>0</v>
      </c>
      <c r="AS188" s="361"/>
      <c r="AT188" s="873">
        <f>SUM(AT182:AT187)</f>
        <v>13084933</v>
      </c>
      <c r="AU188" s="361"/>
      <c r="AV188" s="873">
        <f t="shared" si="20"/>
        <v>0</v>
      </c>
      <c r="AW188" s="361"/>
      <c r="AX188" s="873">
        <f>SUM(AX182:AX187)</f>
        <v>63160706</v>
      </c>
    </row>
    <row r="189" spans="5:53" ht="16.5" thickTop="1">
      <c r="E189" s="276">
        <v>33891513</v>
      </c>
      <c r="F189" s="276"/>
      <c r="G189" s="276">
        <v>11779807</v>
      </c>
      <c r="H189" s="276"/>
      <c r="I189" s="276">
        <f>+E189+G189</f>
        <v>45671320</v>
      </c>
    </row>
    <row r="190" spans="5:53" ht="15.75">
      <c r="E190" s="276">
        <v>4551439</v>
      </c>
      <c r="F190" s="276"/>
      <c r="G190" s="276">
        <v>886341</v>
      </c>
      <c r="H190" s="276"/>
      <c r="I190" s="276">
        <f>+E190+G190</f>
        <v>5437780</v>
      </c>
    </row>
    <row r="191" spans="5:53" ht="15.75">
      <c r="E191" s="355">
        <f>22876663+803004-13963236+412538-6585738+6568-109373</f>
        <v>3440426</v>
      </c>
      <c r="F191" s="276"/>
      <c r="G191" s="355">
        <f>1234321+20619+23137-358544-402322</f>
        <v>517211</v>
      </c>
      <c r="H191" s="276"/>
      <c r="I191" s="278">
        <f>+E191+G191</f>
        <v>3957637</v>
      </c>
      <c r="L191" s="280">
        <f>+I191/I192</f>
        <v>7.1869829512505895E-2</v>
      </c>
      <c r="BA191" s="276"/>
    </row>
    <row r="192" spans="5:53" ht="15.75">
      <c r="E192" s="276">
        <f>SUM(E189:E191)</f>
        <v>41883378</v>
      </c>
      <c r="F192" s="276"/>
      <c r="G192" s="276">
        <f>SUM(G189:G191)</f>
        <v>13183359</v>
      </c>
      <c r="H192" s="276"/>
      <c r="I192" s="276">
        <f>SUM(I189:I191)</f>
        <v>55066737</v>
      </c>
      <c r="AR192" s="288">
        <f>G37+G38</f>
        <v>12440246</v>
      </c>
      <c r="BA192" s="276"/>
    </row>
    <row r="193" spans="5:53" ht="15.75">
      <c r="AR193" s="288">
        <f>AR188-AR192</f>
        <v>-12440246</v>
      </c>
      <c r="BA193" s="276"/>
    </row>
    <row r="194" spans="5:53">
      <c r="E194" s="288">
        <f>+E178+E180-E184-E186-E192</f>
        <v>0</v>
      </c>
      <c r="G194" s="288">
        <f>+G178+G180-G184-G186-G192</f>
        <v>0</v>
      </c>
    </row>
    <row r="197" spans="5:53">
      <c r="AP197" s="288" t="s">
        <v>2728</v>
      </c>
      <c r="AR197" s="288">
        <f>AV188-AX188</f>
        <v>-63160706</v>
      </c>
    </row>
  </sheetData>
  <mergeCells count="16">
    <mergeCell ref="AV178:AX178"/>
    <mergeCell ref="AN147:AP147"/>
    <mergeCell ref="AN148:AP148"/>
    <mergeCell ref="AR147:AT147"/>
    <mergeCell ref="AR148:AT148"/>
    <mergeCell ref="AN177:AP177"/>
    <mergeCell ref="AR177:AT177"/>
    <mergeCell ref="AN178:AP178"/>
    <mergeCell ref="AR178:AT178"/>
    <mergeCell ref="AL174:AX174"/>
    <mergeCell ref="AL175:AX175"/>
    <mergeCell ref="C2:K2"/>
    <mergeCell ref="C3:K3"/>
    <mergeCell ref="C4:K4"/>
    <mergeCell ref="AV148:AX148"/>
    <mergeCell ref="AN145:AT145"/>
  </mergeCells>
  <phoneticPr fontId="0" type="noConversion"/>
  <printOptions horizontalCentered="1"/>
  <pageMargins left="0.5" right="0.5" top="0.5" bottom="0.5" header="0.25" footer="0.35"/>
  <pageSetup scale="54" firstPageNumber="15" orientation="portrait" useFirstPageNumber="1" r:id="rId1"/>
  <headerFooter alignWithMargins="0">
    <oddFooter xml:space="preserve">&amp;C&amp;12
</oddFooter>
  </headerFooter>
  <ignoredErrors>
    <ignoredError sqref="AP153 AT153" formulaRange="1"/>
    <ignoredError sqref="G33 E6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B1:AL256"/>
  <sheetViews>
    <sheetView showGridLines="0" zoomScaleNormal="80" workbookViewId="0">
      <selection activeCell="O54" sqref="O54"/>
    </sheetView>
  </sheetViews>
  <sheetFormatPr defaultColWidth="9.140625" defaultRowHeight="12.75"/>
  <cols>
    <col min="1" max="1" width="3.28515625" style="288" customWidth="1"/>
    <col min="2" max="2" width="37.28515625" style="288" customWidth="1"/>
    <col min="3" max="3" width="16.7109375" style="288" customWidth="1"/>
    <col min="4" max="4" width="1.42578125" style="288" customWidth="1"/>
    <col min="5" max="5" width="19.5703125" style="288" customWidth="1"/>
    <col min="6" max="6" width="19.85546875" style="288" customWidth="1"/>
    <col min="7" max="7" width="20" style="288" customWidth="1"/>
    <col min="8" max="8" width="2.7109375" style="288" customWidth="1"/>
    <col min="9" max="9" width="19.140625" style="288" customWidth="1"/>
    <col min="10" max="10" width="15.42578125" style="288" customWidth="1"/>
    <col min="11" max="11" width="16.5703125" style="288" bestFit="1" customWidth="1"/>
    <col min="12" max="12" width="1.42578125" style="288" customWidth="1"/>
    <col min="13" max="13" width="21.7109375" style="288" hidden="1" customWidth="1"/>
    <col min="14" max="14" width="9.140625" style="288"/>
    <col min="15" max="15" width="5" style="288" customWidth="1"/>
    <col min="16" max="16" width="4" style="288" customWidth="1"/>
    <col min="17" max="17" width="44.42578125" style="288" bestFit="1" customWidth="1"/>
    <col min="18" max="18" width="2" style="288" customWidth="1"/>
    <col min="19" max="19" width="17.42578125" style="288" customWidth="1"/>
    <col min="20" max="20" width="1.85546875" style="288" customWidth="1"/>
    <col min="21" max="21" width="17.42578125" style="288" customWidth="1"/>
    <col min="22" max="22" width="3.42578125" style="288" customWidth="1"/>
    <col min="23" max="23" width="16.42578125" style="288" customWidth="1"/>
    <col min="24" max="24" width="2" style="288" customWidth="1"/>
    <col min="25" max="25" width="16.42578125" style="288" customWidth="1"/>
    <col min="26" max="26" width="2" style="288" customWidth="1"/>
    <col min="27" max="27" width="17.140625" style="288" customWidth="1"/>
    <col min="28" max="28" width="2" style="288" customWidth="1"/>
    <col min="29" max="29" width="17.140625" style="288" customWidth="1"/>
    <col min="30" max="37" width="9.140625" style="288"/>
    <col min="38" max="38" width="15" style="288" bestFit="1" customWidth="1"/>
    <col min="39" max="16384" width="9.140625" style="288"/>
  </cols>
  <sheetData>
    <row r="1" spans="2:38" ht="15.75">
      <c r="B1" s="305" t="s">
        <v>1049</v>
      </c>
      <c r="C1" s="289"/>
      <c r="D1" s="289"/>
      <c r="E1" s="289"/>
      <c r="F1" s="289"/>
      <c r="G1" s="289"/>
      <c r="H1" s="289"/>
      <c r="I1" s="289"/>
      <c r="J1" s="289"/>
      <c r="K1" s="289"/>
      <c r="L1" s="289"/>
      <c r="M1" s="289"/>
    </row>
    <row r="2" spans="2:38" ht="15.75">
      <c r="B2" s="305" t="s">
        <v>632</v>
      </c>
      <c r="C2" s="289"/>
      <c r="D2" s="289"/>
      <c r="E2" s="289"/>
      <c r="F2" s="289"/>
      <c r="G2" s="289"/>
      <c r="H2" s="289"/>
      <c r="I2" s="289"/>
      <c r="J2" s="289"/>
      <c r="K2" s="289"/>
      <c r="L2" s="289"/>
      <c r="M2" s="289"/>
    </row>
    <row r="3" spans="2:38" ht="15.75">
      <c r="B3" s="307" t="str">
        <f>+INPUT!B2</f>
        <v>For the  Fiscal Year Ended June 30, 2023</v>
      </c>
      <c r="C3" s="289"/>
      <c r="D3" s="289"/>
      <c r="E3" s="289"/>
      <c r="F3" s="289"/>
      <c r="G3" s="289"/>
      <c r="H3" s="289"/>
      <c r="I3" s="289"/>
      <c r="J3" s="289"/>
      <c r="K3" s="289"/>
      <c r="L3" s="289"/>
      <c r="M3" s="289"/>
    </row>
    <row r="4" spans="2:38" ht="15.75">
      <c r="B4" s="356"/>
      <c r="I4" s="305"/>
      <c r="J4" s="289"/>
      <c r="K4" s="289"/>
      <c r="L4" s="289"/>
      <c r="M4" s="289"/>
    </row>
    <row r="5" spans="2:38" ht="15.75">
      <c r="B5" s="356"/>
      <c r="L5" s="289"/>
      <c r="M5" s="289"/>
    </row>
    <row r="6" spans="2:38" ht="15.75">
      <c r="I6" s="305" t="s">
        <v>1246</v>
      </c>
      <c r="J6" s="289"/>
      <c r="K6" s="289"/>
      <c r="L6" s="289"/>
      <c r="M6" s="354"/>
    </row>
    <row r="7" spans="2:38" ht="15.75">
      <c r="E7" s="357" t="s">
        <v>1275</v>
      </c>
      <c r="F7" s="354"/>
      <c r="G7" s="354"/>
      <c r="I7" s="357" t="s">
        <v>1677</v>
      </c>
      <c r="J7" s="354"/>
      <c r="K7" s="354"/>
      <c r="L7" s="289"/>
      <c r="M7" s="328" t="s">
        <v>1696</v>
      </c>
    </row>
    <row r="8" spans="2:38" ht="15.75">
      <c r="B8" s="287"/>
      <c r="C8" s="287"/>
      <c r="E8" s="287" t="s">
        <v>391</v>
      </c>
      <c r="F8" s="287" t="s">
        <v>645</v>
      </c>
      <c r="G8" s="287" t="s">
        <v>67</v>
      </c>
      <c r="H8" s="287"/>
      <c r="J8" s="287" t="s">
        <v>1030</v>
      </c>
      <c r="L8" s="289"/>
      <c r="M8" s="287" t="s">
        <v>2279</v>
      </c>
      <c r="Q8" s="287"/>
    </row>
    <row r="9" spans="2:38" ht="15.75">
      <c r="B9" s="287"/>
      <c r="C9" s="287"/>
      <c r="E9" s="287" t="s">
        <v>644</v>
      </c>
      <c r="F9" s="287" t="s">
        <v>1273</v>
      </c>
      <c r="G9" s="287" t="s">
        <v>1273</v>
      </c>
      <c r="H9" s="287"/>
      <c r="I9" s="287" t="s">
        <v>338</v>
      </c>
      <c r="J9" s="287" t="s">
        <v>1031</v>
      </c>
      <c r="K9" s="287"/>
      <c r="L9" s="287"/>
      <c r="M9" s="287" t="s">
        <v>1298</v>
      </c>
      <c r="Q9" s="287"/>
      <c r="AL9" s="287"/>
    </row>
    <row r="10" spans="2:38" ht="15.75">
      <c r="B10" s="358" t="s">
        <v>633</v>
      </c>
      <c r="C10" s="359" t="s">
        <v>634</v>
      </c>
      <c r="E10" s="359" t="s">
        <v>1267</v>
      </c>
      <c r="F10" s="359" t="s">
        <v>1274</v>
      </c>
      <c r="G10" s="359" t="s">
        <v>1274</v>
      </c>
      <c r="H10" s="359"/>
      <c r="I10" s="359" t="s">
        <v>154</v>
      </c>
      <c r="J10" s="359" t="s">
        <v>154</v>
      </c>
      <c r="K10" s="359" t="s">
        <v>315</v>
      </c>
      <c r="L10" s="359"/>
      <c r="M10" s="359" t="s">
        <v>577</v>
      </c>
      <c r="AL10" s="359" t="s">
        <v>316</v>
      </c>
    </row>
    <row r="11" spans="2:38" ht="12.75" customHeight="1">
      <c r="B11" s="320"/>
    </row>
    <row r="12" spans="2:38" ht="15.75">
      <c r="B12" s="276" t="s">
        <v>1247</v>
      </c>
      <c r="C12" s="361"/>
      <c r="E12" s="361"/>
      <c r="F12" s="361"/>
      <c r="G12" s="361"/>
      <c r="H12" s="361"/>
      <c r="I12" s="361"/>
      <c r="J12" s="361"/>
      <c r="K12" s="361"/>
      <c r="L12" s="361"/>
      <c r="M12" s="361"/>
      <c r="AL12" s="361"/>
    </row>
    <row r="13" spans="2:38" ht="15.75">
      <c r="B13" s="276" t="s">
        <v>204</v>
      </c>
      <c r="C13" s="293">
        <f>+'Govt IS'!AL28</f>
        <v>19685231</v>
      </c>
      <c r="E13" s="293">
        <f>+'Govt IS'!AL17+'Govt IS'!AL19+'Govt IS'!AL20-E14-E15-E16-E17-E239-E18</f>
        <v>1785147</v>
      </c>
      <c r="F13" s="293">
        <v>455027</v>
      </c>
      <c r="G13" s="293">
        <v>196856</v>
      </c>
      <c r="H13" s="293"/>
      <c r="I13" s="293">
        <f>SUM(E13:G13)-C13</f>
        <v>-17248201</v>
      </c>
      <c r="J13" s="293"/>
      <c r="K13" s="293">
        <f t="shared" ref="K13:K19" si="0">+I13+J13</f>
        <v>-17248201</v>
      </c>
      <c r="L13" s="293"/>
      <c r="M13" s="361"/>
      <c r="AL13" s="361"/>
    </row>
    <row r="14" spans="2:38" ht="15.75">
      <c r="B14" s="276" t="s">
        <v>205</v>
      </c>
      <c r="C14" s="296">
        <f>+'Govt IS'!AL29</f>
        <v>22106905</v>
      </c>
      <c r="E14" s="296">
        <v>1239352</v>
      </c>
      <c r="F14" s="296">
        <v>2707436</v>
      </c>
      <c r="G14" s="296">
        <v>98168</v>
      </c>
      <c r="H14" s="296"/>
      <c r="I14" s="296">
        <f t="shared" ref="I14:I19" si="1">SUM(E14:G14)-C14</f>
        <v>-18061949</v>
      </c>
      <c r="J14" s="296"/>
      <c r="K14" s="296">
        <f t="shared" si="0"/>
        <v>-18061949</v>
      </c>
      <c r="L14" s="296"/>
      <c r="M14" s="361"/>
      <c r="AL14" s="361"/>
    </row>
    <row r="15" spans="2:38" ht="15.75">
      <c r="B15" s="276" t="s">
        <v>206</v>
      </c>
      <c r="C15" s="296">
        <f>+'Govt IS'!AL30</f>
        <v>9013169</v>
      </c>
      <c r="E15" s="296">
        <v>396222</v>
      </c>
      <c r="F15" s="296">
        <v>813868</v>
      </c>
      <c r="G15" s="296">
        <v>25534</v>
      </c>
      <c r="H15" s="296"/>
      <c r="I15" s="296">
        <f t="shared" si="1"/>
        <v>-7777545</v>
      </c>
      <c r="J15" s="296"/>
      <c r="K15" s="296">
        <f t="shared" si="0"/>
        <v>-7777545</v>
      </c>
      <c r="L15" s="296"/>
      <c r="M15" s="361"/>
      <c r="AL15" s="361"/>
    </row>
    <row r="16" spans="2:38" ht="15.75">
      <c r="B16" s="276" t="s">
        <v>207</v>
      </c>
      <c r="C16" s="296">
        <f>+'Govt IS'!AL31</f>
        <v>6447650</v>
      </c>
      <c r="E16" s="296">
        <v>690099</v>
      </c>
      <c r="F16" s="296">
        <v>1652692</v>
      </c>
      <c r="G16" s="296">
        <v>0</v>
      </c>
      <c r="H16" s="296"/>
      <c r="I16" s="296">
        <f t="shared" si="1"/>
        <v>-4104859</v>
      </c>
      <c r="J16" s="296"/>
      <c r="K16" s="296">
        <f t="shared" si="0"/>
        <v>-4104859</v>
      </c>
      <c r="L16" s="296"/>
      <c r="M16" s="361"/>
      <c r="Q16" s="288">
        <f>784-3653</f>
        <v>-2869</v>
      </c>
      <c r="AL16" s="361"/>
    </row>
    <row r="17" spans="2:38" ht="15.75">
      <c r="B17" s="276" t="s">
        <v>350</v>
      </c>
      <c r="C17" s="296">
        <f>+'Govt IS'!AL32</f>
        <v>1033036</v>
      </c>
      <c r="E17" s="296">
        <v>3085</v>
      </c>
      <c r="F17" s="296">
        <v>100801</v>
      </c>
      <c r="G17" s="296">
        <v>0</v>
      </c>
      <c r="H17" s="296"/>
      <c r="I17" s="296">
        <f t="shared" si="1"/>
        <v>-929150</v>
      </c>
      <c r="J17" s="296"/>
      <c r="K17" s="296">
        <f t="shared" si="0"/>
        <v>-929150</v>
      </c>
      <c r="L17" s="296"/>
      <c r="M17" s="361"/>
      <c r="Q17" s="288">
        <f>257-388</f>
        <v>-131</v>
      </c>
      <c r="AL17" s="361"/>
    </row>
    <row r="18" spans="2:38" ht="15.75">
      <c r="B18" s="276" t="s">
        <v>351</v>
      </c>
      <c r="C18" s="296">
        <f>+'Govt IS'!AL33</f>
        <v>143769</v>
      </c>
      <c r="E18" s="296">
        <v>0</v>
      </c>
      <c r="F18" s="296">
        <v>360585</v>
      </c>
      <c r="G18" s="296">
        <v>0</v>
      </c>
      <c r="H18" s="296"/>
      <c r="I18" s="296">
        <f t="shared" si="1"/>
        <v>216816</v>
      </c>
      <c r="J18" s="296"/>
      <c r="K18" s="296">
        <f t="shared" si="0"/>
        <v>216816</v>
      </c>
      <c r="L18" s="296"/>
      <c r="M18" s="361"/>
      <c r="AL18" s="361"/>
    </row>
    <row r="19" spans="2:38" ht="15.75">
      <c r="B19" s="276" t="s">
        <v>1207</v>
      </c>
      <c r="C19" s="296">
        <f>+'Govt IS'!AL34</f>
        <v>471210</v>
      </c>
      <c r="E19" s="296">
        <v>0</v>
      </c>
      <c r="F19" s="296">
        <v>0</v>
      </c>
      <c r="G19" s="296">
        <v>0</v>
      </c>
      <c r="H19" s="296"/>
      <c r="I19" s="296">
        <f t="shared" si="1"/>
        <v>-471210</v>
      </c>
      <c r="J19" s="296"/>
      <c r="K19" s="296">
        <f t="shared" si="0"/>
        <v>-471210</v>
      </c>
      <c r="L19" s="296"/>
      <c r="M19" s="361"/>
      <c r="AL19" s="361"/>
    </row>
    <row r="20" spans="2:38" ht="15.75">
      <c r="B20" s="276" t="s">
        <v>408</v>
      </c>
      <c r="C20" s="699">
        <f>SUM(C13:C19)</f>
        <v>58900970</v>
      </c>
      <c r="D20" s="364"/>
      <c r="E20" s="699">
        <f>SUM(E13:E19)</f>
        <v>4113905</v>
      </c>
      <c r="F20" s="699">
        <f>SUM(F13:F19)</f>
        <v>6090409</v>
      </c>
      <c r="G20" s="699">
        <f>SUM(G13:G19)</f>
        <v>320558</v>
      </c>
      <c r="H20" s="365"/>
      <c r="I20" s="699">
        <f>SUM(I13:I19)</f>
        <v>-48376098</v>
      </c>
      <c r="J20" s="699"/>
      <c r="K20" s="699">
        <f>SUM(K13:K19)</f>
        <v>-48376098</v>
      </c>
      <c r="L20" s="296"/>
      <c r="M20" s="361"/>
      <c r="AL20" s="361"/>
    </row>
    <row r="21" spans="2:38" ht="15.75">
      <c r="B21" s="276"/>
      <c r="C21" s="296"/>
      <c r="D21" s="296"/>
      <c r="E21" s="296"/>
      <c r="F21" s="296"/>
      <c r="G21" s="296"/>
      <c r="H21" s="296"/>
      <c r="I21" s="296"/>
      <c r="J21" s="296"/>
      <c r="K21" s="296"/>
      <c r="L21" s="296"/>
      <c r="M21" s="361"/>
      <c r="AL21" s="361"/>
    </row>
    <row r="22" spans="2:38" ht="15.75">
      <c r="B22" s="276" t="s">
        <v>1154</v>
      </c>
      <c r="C22" s="296"/>
      <c r="E22" s="296"/>
      <c r="F22" s="296"/>
      <c r="G22" s="296"/>
      <c r="H22" s="296"/>
      <c r="I22" s="296"/>
      <c r="J22" s="296"/>
      <c r="K22" s="296"/>
      <c r="L22" s="296"/>
      <c r="M22" s="361"/>
      <c r="AL22" s="361"/>
    </row>
    <row r="23" spans="2:38" ht="15.75">
      <c r="B23" s="276" t="s">
        <v>876</v>
      </c>
      <c r="C23" s="296">
        <f>+PROPREV!F28+PROPREV!J28-PROPREV!F36-PROPREV!J36</f>
        <v>2993812</v>
      </c>
      <c r="E23" s="296">
        <f>SUM(PROPREV!F16)+SUM(PROPREV!J16)</f>
        <v>3099442</v>
      </c>
      <c r="F23" s="296">
        <f>+PROPREV!F33+PROPREV!J33</f>
        <v>0</v>
      </c>
      <c r="G23" s="296">
        <v>0</v>
      </c>
      <c r="H23" s="296"/>
      <c r="I23" s="296"/>
      <c r="J23" s="293">
        <f>SUM(E23:G23)-C23</f>
        <v>105630</v>
      </c>
      <c r="K23" s="296">
        <f>+I23+J23</f>
        <v>105630</v>
      </c>
      <c r="L23" s="296"/>
      <c r="M23" s="361"/>
      <c r="AL23" s="361"/>
    </row>
    <row r="24" spans="2:38" ht="15.75" hidden="1">
      <c r="B24" s="276"/>
      <c r="C24" s="296"/>
      <c r="E24" s="296"/>
      <c r="F24" s="296"/>
      <c r="G24" s="296"/>
      <c r="H24" s="296"/>
      <c r="I24" s="296"/>
      <c r="J24" s="296"/>
      <c r="K24" s="296"/>
      <c r="L24" s="296"/>
      <c r="M24" s="361"/>
      <c r="AL24" s="361"/>
    </row>
    <row r="25" spans="2:38" ht="15.75">
      <c r="B25" s="276" t="s">
        <v>407</v>
      </c>
      <c r="C25" s="296">
        <f>+PROPREV!H28-PROPREV!H36</f>
        <v>2021354</v>
      </c>
      <c r="E25" s="296">
        <f>SUM(PROPREV!H16)</f>
        <v>1257477</v>
      </c>
      <c r="F25" s="296">
        <f>+PROPREV!H33</f>
        <v>19350</v>
      </c>
      <c r="G25" s="296">
        <f>+PROPREV!H49</f>
        <v>0</v>
      </c>
      <c r="H25" s="296"/>
      <c r="I25" s="296"/>
      <c r="J25" s="296">
        <f>SUM(E25:G25)-C25</f>
        <v>-744527</v>
      </c>
      <c r="K25" s="296">
        <f>+I25+J25</f>
        <v>-744527</v>
      </c>
      <c r="L25" s="296"/>
      <c r="M25" s="361"/>
      <c r="AL25" s="361"/>
    </row>
    <row r="26" spans="2:38" ht="15.75">
      <c r="B26" s="276" t="s">
        <v>244</v>
      </c>
      <c r="C26" s="699">
        <f>SUM(C23:C25)</f>
        <v>5015166</v>
      </c>
      <c r="D26" s="364"/>
      <c r="E26" s="699">
        <f>SUM(E23:E25)</f>
        <v>4356919</v>
      </c>
      <c r="F26" s="699">
        <f>SUM(F23:F25)</f>
        <v>19350</v>
      </c>
      <c r="G26" s="699">
        <f>SUM(G23:G25)</f>
        <v>0</v>
      </c>
      <c r="H26" s="365"/>
      <c r="I26" s="363"/>
      <c r="J26" s="699">
        <f>SUM(J23:J25)</f>
        <v>-638897</v>
      </c>
      <c r="K26" s="699">
        <f>SUM(K23:K25)</f>
        <v>-638897</v>
      </c>
      <c r="L26" s="296"/>
      <c r="M26" s="361"/>
      <c r="AL26" s="361"/>
    </row>
    <row r="27" spans="2:38" ht="15.75">
      <c r="C27" s="296"/>
      <c r="D27" s="296"/>
      <c r="E27" s="296"/>
      <c r="F27" s="296"/>
      <c r="G27" s="296"/>
      <c r="H27" s="296"/>
      <c r="I27" s="296"/>
      <c r="J27" s="296"/>
      <c r="K27" s="296"/>
      <c r="L27" s="296"/>
      <c r="M27" s="361"/>
      <c r="AL27" s="361"/>
    </row>
    <row r="28" spans="2:38" ht="16.5" thickBot="1">
      <c r="B28" s="321" t="s">
        <v>3047</v>
      </c>
      <c r="C28" s="700">
        <f>+C26+C20</f>
        <v>63916136</v>
      </c>
      <c r="D28" s="701"/>
      <c r="E28" s="700">
        <f>+E26+E20</f>
        <v>8470824</v>
      </c>
      <c r="F28" s="700">
        <f>+F26+F20</f>
        <v>6109759</v>
      </c>
      <c r="G28" s="700">
        <f>+G26+G20</f>
        <v>320558</v>
      </c>
      <c r="H28" s="702"/>
      <c r="I28" s="1110">
        <f>+I26+I20</f>
        <v>-48376098</v>
      </c>
      <c r="J28" s="1110">
        <f>+J26+J20</f>
        <v>-638897</v>
      </c>
      <c r="K28" s="1110">
        <f>+K26+K20</f>
        <v>-49014995</v>
      </c>
      <c r="L28" s="296"/>
      <c r="M28" s="361"/>
      <c r="AL28" s="361"/>
    </row>
    <row r="29" spans="2:38" ht="16.5" thickTop="1">
      <c r="C29" s="276"/>
      <c r="E29" s="276"/>
      <c r="F29" s="276"/>
      <c r="G29" s="276"/>
      <c r="H29" s="276"/>
      <c r="I29" s="276"/>
      <c r="J29" s="276"/>
      <c r="K29" s="276"/>
      <c r="L29" s="276"/>
      <c r="M29" s="276"/>
      <c r="AL29" s="276"/>
    </row>
    <row r="30" spans="2:38" ht="15.75" hidden="1">
      <c r="B30" s="320" t="s">
        <v>875</v>
      </c>
      <c r="C30" s="276"/>
      <c r="E30" s="276"/>
      <c r="F30" s="276"/>
      <c r="G30" s="276"/>
      <c r="H30" s="276"/>
      <c r="I30" s="276"/>
      <c r="J30" s="276"/>
      <c r="K30" s="276"/>
      <c r="L30" s="276"/>
      <c r="M30" s="276"/>
      <c r="AL30" s="276"/>
    </row>
    <row r="31" spans="2:38" ht="15.75" hidden="1">
      <c r="H31" s="293"/>
      <c r="I31" s="276"/>
      <c r="J31" s="276"/>
      <c r="K31" s="276"/>
      <c r="L31" s="296"/>
      <c r="M31" s="293"/>
      <c r="AL31" s="293">
        <f>SUM(E256:G256)-C256</f>
        <v>-1314779</v>
      </c>
    </row>
    <row r="32" spans="2:38" ht="16.5" hidden="1" thickBot="1">
      <c r="B32" s="276" t="s">
        <v>2280</v>
      </c>
      <c r="C32" s="700">
        <f>+'COMP UNIT IS Don''t Use FY21'!H30</f>
        <v>0</v>
      </c>
      <c r="D32" s="701"/>
      <c r="E32" s="700">
        <f>+'COMP UNIT IS Don''t Use FY21'!H16+'COMP UNIT IS Don''t Use FY21'!H18</f>
        <v>0</v>
      </c>
      <c r="F32" s="700">
        <f>+'COMP UNIT IS Don''t Use FY21'!H15-G32</f>
        <v>0</v>
      </c>
      <c r="G32" s="700">
        <v>0</v>
      </c>
      <c r="H32" s="276"/>
      <c r="I32" s="276"/>
      <c r="J32" s="276"/>
      <c r="K32" s="276"/>
      <c r="L32" s="296"/>
      <c r="M32" s="293">
        <f>SUM(E32:G32)-C32</f>
        <v>0</v>
      </c>
      <c r="AL32" s="369">
        <v>0</v>
      </c>
    </row>
    <row r="33" spans="2:38" ht="16.5" hidden="1" thickTop="1">
      <c r="B33" s="276"/>
      <c r="C33" s="296"/>
      <c r="E33" s="296"/>
      <c r="F33" s="296"/>
      <c r="G33" s="296"/>
      <c r="H33" s="276"/>
      <c r="I33" s="276"/>
      <c r="J33" s="276"/>
      <c r="K33" s="276"/>
      <c r="L33" s="296"/>
      <c r="M33" s="296"/>
      <c r="AL33" s="296"/>
    </row>
    <row r="34" spans="2:38" ht="16.5" hidden="1" customHeight="1" thickBot="1">
      <c r="B34" s="321" t="s">
        <v>183</v>
      </c>
      <c r="C34" s="366">
        <f>SUM(C31:C32)</f>
        <v>0</v>
      </c>
      <c r="D34" s="367"/>
      <c r="E34" s="366">
        <f>SUM(E31:E32)</f>
        <v>0</v>
      </c>
      <c r="F34" s="366">
        <f>SUM(F31:F32)</f>
        <v>0</v>
      </c>
      <c r="G34" s="366">
        <f>SUM(G31:G32)</f>
        <v>0</v>
      </c>
      <c r="H34" s="293"/>
      <c r="I34" s="276"/>
      <c r="J34" s="276"/>
      <c r="K34" s="276"/>
      <c r="L34" s="296"/>
      <c r="M34" s="368">
        <f>SUM(M31:M32)</f>
        <v>0</v>
      </c>
      <c r="AL34" s="368">
        <f>SUM(AL31:AL32)</f>
        <v>-1314779</v>
      </c>
    </row>
    <row r="35" spans="2:38" ht="15.75" hidden="1" customHeight="1" thickTop="1">
      <c r="C35" s="276"/>
      <c r="E35" s="276"/>
      <c r="F35" s="276"/>
      <c r="G35" s="276"/>
      <c r="H35" s="276"/>
      <c r="I35" s="276"/>
      <c r="J35" s="276"/>
      <c r="K35" s="276"/>
      <c r="L35" s="276"/>
      <c r="M35" s="276"/>
      <c r="AL35" s="276"/>
    </row>
    <row r="36" spans="2:38" ht="15.75">
      <c r="C36" s="321" t="s">
        <v>317</v>
      </c>
      <c r="D36" s="321"/>
      <c r="E36" s="276"/>
      <c r="F36" s="276"/>
      <c r="G36" s="276"/>
      <c r="H36" s="276"/>
      <c r="I36" s="296"/>
      <c r="J36" s="296"/>
      <c r="K36" s="296"/>
      <c r="L36" s="296"/>
      <c r="M36" s="296"/>
      <c r="AL36" s="296"/>
    </row>
    <row r="37" spans="2:38" ht="15.75">
      <c r="C37" s="321" t="s">
        <v>1152</v>
      </c>
      <c r="D37" s="321"/>
      <c r="E37" s="276"/>
      <c r="F37" s="276"/>
      <c r="G37" s="276"/>
      <c r="H37" s="276"/>
      <c r="I37" s="296">
        <f>+'Govt IS'!AL16-'Stmet of Actvty'!I38</f>
        <v>34955535</v>
      </c>
      <c r="J37" s="296">
        <f>+PROPREV!L15</f>
        <v>552792</v>
      </c>
      <c r="K37" s="296">
        <f t="shared" ref="K37:K54" si="2">+I37+J37</f>
        <v>35508327</v>
      </c>
      <c r="L37" s="296"/>
      <c r="M37" s="296">
        <v>0</v>
      </c>
      <c r="Q37" s="288">
        <f>30848917+3243994</f>
        <v>34092911</v>
      </c>
      <c r="AL37" s="296">
        <v>1673330</v>
      </c>
    </row>
    <row r="38" spans="2:38" ht="15.75">
      <c r="C38" s="321" t="s">
        <v>1153</v>
      </c>
      <c r="D38" s="321"/>
      <c r="E38" s="276"/>
      <c r="F38" s="276"/>
      <c r="G38" s="276"/>
      <c r="H38" s="276"/>
      <c r="I38" s="296">
        <v>4715589</v>
      </c>
      <c r="J38" s="296">
        <v>0</v>
      </c>
      <c r="K38" s="296">
        <f>+I38+J38</f>
        <v>4715589</v>
      </c>
      <c r="L38" s="296"/>
      <c r="M38" s="296">
        <v>0</v>
      </c>
      <c r="AL38" s="296">
        <v>0</v>
      </c>
    </row>
    <row r="39" spans="2:38" ht="15.75" hidden="1">
      <c r="C39" s="321" t="s">
        <v>1120</v>
      </c>
      <c r="D39" s="321"/>
      <c r="E39" s="276"/>
      <c r="F39" s="276"/>
      <c r="G39" s="276"/>
      <c r="H39" s="276"/>
      <c r="I39" s="296">
        <f>+'Govt IS'!AL16-'Stmet of Actvty'!I37-'Stmet of Actvty'!I38</f>
        <v>0</v>
      </c>
      <c r="J39" s="296">
        <v>0</v>
      </c>
      <c r="K39" s="296">
        <f t="shared" si="2"/>
        <v>0</v>
      </c>
      <c r="L39" s="296"/>
      <c r="M39" s="296">
        <v>0</v>
      </c>
      <c r="AL39" s="296">
        <v>0</v>
      </c>
    </row>
    <row r="40" spans="2:38" ht="15.75">
      <c r="C40" s="321" t="s">
        <v>990</v>
      </c>
      <c r="D40" s="321"/>
      <c r="E40" s="276"/>
      <c r="F40" s="276"/>
      <c r="G40" s="276"/>
      <c r="H40" s="276"/>
      <c r="I40" s="296">
        <f>+'Govt IS'!AL18+'Govt IS'!AL54-F20-G20</f>
        <v>6993408</v>
      </c>
      <c r="J40" s="296">
        <v>0</v>
      </c>
      <c r="K40" s="296">
        <f t="shared" si="2"/>
        <v>6993408</v>
      </c>
      <c r="L40" s="296"/>
      <c r="M40" s="296">
        <v>0</v>
      </c>
      <c r="AL40" s="296">
        <v>0</v>
      </c>
    </row>
    <row r="41" spans="2:38" ht="15.75">
      <c r="C41" s="321" t="s">
        <v>992</v>
      </c>
      <c r="D41" s="321"/>
      <c r="E41" s="276"/>
      <c r="F41" s="276"/>
      <c r="G41" s="276"/>
      <c r="H41" s="276"/>
      <c r="I41" s="296">
        <f>+'Govt IS'!AL22</f>
        <v>2461224</v>
      </c>
      <c r="J41" s="296">
        <f>+PROPREV!L35</f>
        <v>181464</v>
      </c>
      <c r="K41" s="296">
        <f t="shared" si="2"/>
        <v>2642688</v>
      </c>
      <c r="L41" s="296"/>
      <c r="M41" s="296">
        <f>+'COMP UNIT IS Don''t Use FY21'!H19</f>
        <v>0</v>
      </c>
      <c r="AL41" s="296">
        <v>8450</v>
      </c>
    </row>
    <row r="42" spans="2:38" ht="18" hidden="1" customHeight="1">
      <c r="C42" s="321" t="s">
        <v>1277</v>
      </c>
      <c r="D42" s="321"/>
      <c r="E42" s="276"/>
      <c r="F42" s="276"/>
      <c r="G42" s="276"/>
      <c r="H42" s="276"/>
      <c r="I42" s="296">
        <v>0</v>
      </c>
      <c r="J42" s="296">
        <v>0</v>
      </c>
      <c r="K42" s="296">
        <f t="shared" si="2"/>
        <v>0</v>
      </c>
      <c r="L42" s="296"/>
      <c r="M42" s="296">
        <v>0</v>
      </c>
      <c r="AL42" s="296">
        <v>0</v>
      </c>
    </row>
    <row r="43" spans="2:38" ht="15.75">
      <c r="C43" s="321" t="s">
        <v>974</v>
      </c>
      <c r="D43" s="321"/>
      <c r="E43" s="276"/>
      <c r="F43" s="276"/>
      <c r="G43" s="276"/>
      <c r="H43" s="276"/>
      <c r="I43" s="296">
        <f>+'Govt IS'!AL21+'Govt IS'!AL46+'Govt IS'!AL47+'Govt IS'!AL51</f>
        <v>1368148</v>
      </c>
      <c r="J43" s="296">
        <f>+PROPREV!L37+PROPREV!L41+PROPREV!L17-E24</f>
        <v>0</v>
      </c>
      <c r="K43" s="296">
        <f t="shared" si="2"/>
        <v>1368148</v>
      </c>
      <c r="L43" s="296"/>
      <c r="M43" s="296">
        <v>0</v>
      </c>
      <c r="AL43" s="296">
        <v>22697</v>
      </c>
    </row>
    <row r="44" spans="2:38" ht="15.75" hidden="1">
      <c r="C44" s="321" t="s">
        <v>721</v>
      </c>
      <c r="D44" s="321"/>
      <c r="E44" s="276"/>
      <c r="F44" s="276"/>
      <c r="G44" s="276"/>
      <c r="H44" s="276"/>
      <c r="I44" s="296">
        <f>'Govt IS'!AL53</f>
        <v>0</v>
      </c>
      <c r="J44" s="296">
        <v>0</v>
      </c>
      <c r="K44" s="296">
        <f t="shared" si="2"/>
        <v>0</v>
      </c>
      <c r="L44" s="296"/>
      <c r="M44" s="296">
        <f>+'COMP UNIT IS Don''t Use FY21'!H39</f>
        <v>0</v>
      </c>
      <c r="AL44" s="296">
        <v>0</v>
      </c>
    </row>
    <row r="45" spans="2:38" ht="15.75">
      <c r="C45" s="321" t="s">
        <v>993</v>
      </c>
      <c r="D45" s="321"/>
      <c r="E45" s="276"/>
      <c r="F45" s="276"/>
      <c r="G45" s="276"/>
      <c r="H45" s="276"/>
      <c r="I45" s="296">
        <f>+'Govt IS'!AL42+'Govt IS'!AL43</f>
        <v>-47455</v>
      </c>
      <c r="J45" s="296">
        <f>+PROPREV!L50+PROPREV!L51</f>
        <v>47455</v>
      </c>
      <c r="K45" s="296">
        <f t="shared" si="2"/>
        <v>0</v>
      </c>
      <c r="L45" s="296"/>
      <c r="M45" s="296">
        <v>0</v>
      </c>
      <c r="AL45" s="296">
        <v>0</v>
      </c>
    </row>
    <row r="46" spans="2:38" ht="15.75">
      <c r="C46" s="321" t="s">
        <v>995</v>
      </c>
      <c r="D46" s="321"/>
      <c r="E46" s="276"/>
      <c r="F46" s="276"/>
      <c r="G46" s="276"/>
      <c r="H46" s="276"/>
      <c r="I46" s="699">
        <f>SUM(I37:I45)</f>
        <v>50446449</v>
      </c>
      <c r="J46" s="699">
        <f>SUM(J37:J45)</f>
        <v>781711</v>
      </c>
      <c r="K46" s="699">
        <f>SUM(K37:K45)</f>
        <v>51228160</v>
      </c>
      <c r="L46" s="702"/>
      <c r="M46" s="699">
        <f>SUM(M37:M45)</f>
        <v>0</v>
      </c>
      <c r="AL46" s="363">
        <f>SUM(AL37:AL45)</f>
        <v>1704477</v>
      </c>
    </row>
    <row r="47" spans="2:38" ht="15" customHeight="1">
      <c r="C47" s="321"/>
      <c r="D47" s="321"/>
      <c r="E47" s="276"/>
      <c r="F47" s="276"/>
      <c r="G47" s="276"/>
      <c r="H47" s="276"/>
      <c r="I47" s="296"/>
      <c r="J47" s="296"/>
      <c r="K47" s="296"/>
      <c r="L47" s="296"/>
      <c r="M47" s="296"/>
      <c r="AL47" s="296"/>
    </row>
    <row r="48" spans="2:38" ht="15.75" customHeight="1">
      <c r="C48" s="321" t="s">
        <v>1684</v>
      </c>
      <c r="D48" s="321"/>
      <c r="E48" s="276"/>
      <c r="F48" s="276"/>
      <c r="G48" s="276"/>
      <c r="H48" s="276"/>
      <c r="I48" s="369">
        <f>+I28+I46</f>
        <v>2070351</v>
      </c>
      <c r="J48" s="369">
        <f>+J28+J46</f>
        <v>142814</v>
      </c>
      <c r="K48" s="369">
        <f t="shared" si="2"/>
        <v>2213165</v>
      </c>
      <c r="L48" s="296"/>
      <c r="M48" s="296">
        <f>+M34+M46</f>
        <v>0</v>
      </c>
      <c r="AL48" s="296">
        <f>+AL34+AL46</f>
        <v>389698</v>
      </c>
    </row>
    <row r="49" spans="2:38" ht="6.75" customHeight="1">
      <c r="C49" s="321"/>
      <c r="D49" s="321"/>
      <c r="E49" s="276"/>
      <c r="F49" s="276"/>
      <c r="G49" s="276"/>
      <c r="H49" s="276"/>
      <c r="I49" s="296"/>
      <c r="J49" s="296"/>
      <c r="K49" s="296"/>
      <c r="L49" s="296"/>
      <c r="M49" s="296"/>
      <c r="AL49" s="296"/>
    </row>
    <row r="50" spans="2:38" ht="15.75">
      <c r="C50" s="321" t="s">
        <v>1686</v>
      </c>
      <c r="D50" s="321"/>
      <c r="E50" s="276"/>
      <c r="F50" s="276"/>
      <c r="G50" s="276"/>
      <c r="H50" s="276"/>
      <c r="I50" s="296">
        <f>+'Govt IS'!AL62</f>
        <v>77553650</v>
      </c>
      <c r="J50" s="296">
        <f>+PROPREV!L57</f>
        <v>16457970</v>
      </c>
      <c r="K50" s="296">
        <f t="shared" si="2"/>
        <v>94011620</v>
      </c>
      <c r="L50" s="296"/>
      <c r="M50" s="369">
        <f>+'COMP UNIT IS Don''t Use FY21'!H48</f>
        <v>0</v>
      </c>
      <c r="AL50" s="296">
        <v>4634200</v>
      </c>
    </row>
    <row r="51" spans="2:38" ht="15.75" customHeight="1">
      <c r="C51" s="321"/>
      <c r="D51" s="321"/>
      <c r="E51" s="276"/>
      <c r="F51" s="276"/>
      <c r="G51" s="276"/>
      <c r="H51" s="276"/>
      <c r="I51" s="296"/>
      <c r="J51" s="296"/>
      <c r="K51" s="296"/>
      <c r="L51" s="296"/>
      <c r="M51" s="296"/>
      <c r="AL51" s="296"/>
    </row>
    <row r="52" spans="2:38" ht="15.75">
      <c r="C52" s="276" t="str">
        <f>INPUT!B66</f>
        <v xml:space="preserve">     Prior period adjustments</v>
      </c>
      <c r="D52" s="321"/>
      <c r="E52" s="276"/>
      <c r="F52" s="276"/>
      <c r="G52" s="276"/>
      <c r="H52" s="276"/>
      <c r="I52" s="369">
        <f>+'Govt IS'!AL64</f>
        <v>-6724351</v>
      </c>
      <c r="J52" s="369">
        <f>+PROPREV!L59</f>
        <v>0</v>
      </c>
      <c r="K52" s="369">
        <f t="shared" si="2"/>
        <v>-6724351</v>
      </c>
      <c r="L52" s="296"/>
      <c r="M52" s="369">
        <f>+'COMP UNIT IS Don''t Use FY21'!H50</f>
        <v>0</v>
      </c>
      <c r="AL52" s="296"/>
    </row>
    <row r="53" spans="2:38" ht="15.75">
      <c r="C53" s="276"/>
      <c r="D53" s="321"/>
      <c r="E53" s="276"/>
      <c r="F53" s="276"/>
      <c r="G53" s="276"/>
      <c r="H53" s="276"/>
      <c r="I53" s="296"/>
      <c r="J53" s="296"/>
      <c r="K53" s="296"/>
      <c r="L53" s="296"/>
      <c r="M53" s="296"/>
      <c r="AL53" s="296"/>
    </row>
    <row r="54" spans="2:38" ht="15.75">
      <c r="C54" s="308" t="str">
        <f>INPUT!B69</f>
        <v xml:space="preserve">     Total net position, beginning, as restated</v>
      </c>
      <c r="D54" s="321"/>
      <c r="E54" s="276"/>
      <c r="F54" s="276"/>
      <c r="G54" s="276"/>
      <c r="H54" s="276"/>
      <c r="I54" s="369">
        <f>SUM(I50:I53)</f>
        <v>70829299</v>
      </c>
      <c r="J54" s="369">
        <f>SUM(J50:J53)</f>
        <v>16457970</v>
      </c>
      <c r="K54" s="369">
        <f t="shared" si="2"/>
        <v>87287269</v>
      </c>
      <c r="L54" s="296"/>
      <c r="M54" s="296">
        <f>SUM(M50:M53)</f>
        <v>0</v>
      </c>
      <c r="AL54" s="296"/>
    </row>
    <row r="55" spans="2:38" ht="9.75" customHeight="1">
      <c r="C55" s="321"/>
      <c r="D55" s="321"/>
      <c r="E55" s="276"/>
      <c r="F55" s="276"/>
      <c r="G55" s="276"/>
      <c r="H55" s="276"/>
      <c r="I55" s="296"/>
      <c r="J55" s="296"/>
      <c r="K55" s="296"/>
      <c r="L55" s="296"/>
      <c r="M55" s="296"/>
      <c r="AL55" s="369"/>
    </row>
    <row r="56" spans="2:38" ht="16.5" thickBot="1">
      <c r="C56" s="321" t="s">
        <v>1687</v>
      </c>
      <c r="D56" s="321"/>
      <c r="E56" s="276"/>
      <c r="F56" s="276"/>
      <c r="G56" s="276"/>
      <c r="H56" s="276"/>
      <c r="I56" s="700">
        <f>+I54+I48</f>
        <v>72899650</v>
      </c>
      <c r="J56" s="700">
        <f>+J54+J48</f>
        <v>16600784</v>
      </c>
      <c r="K56" s="700">
        <f>+K54+K48</f>
        <v>89500434</v>
      </c>
      <c r="L56" s="702"/>
      <c r="M56" s="700">
        <f>+M54+M48</f>
        <v>0</v>
      </c>
      <c r="AL56" s="366">
        <f>SUM(AL48:AL55)</f>
        <v>5023898</v>
      </c>
    </row>
    <row r="57" spans="2:38" ht="16.5" thickTop="1">
      <c r="B57" s="350"/>
      <c r="C57" s="276"/>
      <c r="D57" s="276"/>
      <c r="E57" s="276"/>
      <c r="F57" s="276"/>
      <c r="G57" s="276"/>
      <c r="H57" s="276"/>
      <c r="I57" s="276"/>
      <c r="J57" s="276"/>
      <c r="K57" s="276"/>
      <c r="L57" s="296"/>
      <c r="M57" s="276"/>
      <c r="AL57" s="276"/>
    </row>
    <row r="58" spans="2:38" ht="15.75">
      <c r="C58" s="276"/>
      <c r="D58" s="276"/>
      <c r="E58" s="276"/>
      <c r="F58" s="276"/>
      <c r="G58" s="276"/>
      <c r="H58" s="276"/>
      <c r="I58" s="276"/>
      <c r="J58" s="276"/>
      <c r="K58" s="276"/>
      <c r="L58" s="296"/>
      <c r="M58" s="276"/>
      <c r="AL58" s="276"/>
    </row>
    <row r="59" spans="2:38" ht="15.75">
      <c r="C59" s="276"/>
      <c r="D59" s="276"/>
      <c r="E59" s="276"/>
      <c r="F59" s="276"/>
      <c r="G59" s="276"/>
      <c r="H59" s="276"/>
      <c r="I59" s="276">
        <f>+I56-'Stmt of Net Pos'!E132</f>
        <v>0</v>
      </c>
      <c r="J59" s="276">
        <f>+J56-'Stmt of Net Pos'!G132</f>
        <v>0</v>
      </c>
      <c r="K59" s="276">
        <f>+K56-'Stmt of Net Pos'!I132</f>
        <v>0</v>
      </c>
      <c r="L59" s="296"/>
      <c r="M59" s="276">
        <f>+M56-'Stmt of Net Pos'!K132</f>
        <v>0</v>
      </c>
      <c r="AL59" s="276" t="e">
        <f>+AL56-'Stmt of Net Pos'!AH132</f>
        <v>#REF!</v>
      </c>
    </row>
    <row r="60" spans="2:38" ht="15.75">
      <c r="I60" s="288">
        <f>+'Govt IS'!AL70</f>
        <v>72899650</v>
      </c>
      <c r="J60" s="288">
        <f>+PROPREV!L65</f>
        <v>16600784</v>
      </c>
      <c r="L60" s="296"/>
      <c r="M60" s="288">
        <f>+'COMP UNIT IS Don''t Use FY21'!D96</f>
        <v>0</v>
      </c>
      <c r="AL60" s="288">
        <f>+'COMP UNIT IS Don''t Use FY21'!AD96</f>
        <v>389698</v>
      </c>
    </row>
    <row r="61" spans="2:38" ht="15.75">
      <c r="I61" s="288">
        <f>+I60-I56</f>
        <v>0</v>
      </c>
      <c r="J61" s="288">
        <f>+J60-J56</f>
        <v>0</v>
      </c>
      <c r="L61" s="296"/>
      <c r="M61" s="288">
        <f>+M60-M48</f>
        <v>0</v>
      </c>
      <c r="AL61" s="288">
        <f>+AL60-AL48</f>
        <v>0</v>
      </c>
    </row>
    <row r="62" spans="2:38" ht="15.75">
      <c r="L62" s="296"/>
    </row>
    <row r="69" spans="7:32">
      <c r="G69" s="288" t="s">
        <v>818</v>
      </c>
      <c r="I69" s="371">
        <f>+E20/($E$20+$F$20+$G$20+$I$37+$I$38+$I$39+$I$40+$I$41+$I$42+$I$43)</f>
        <v>6.7420313380261845E-2</v>
      </c>
    </row>
    <row r="70" spans="7:32">
      <c r="G70" s="288" t="s">
        <v>819</v>
      </c>
      <c r="I70" s="371">
        <f>+F20/($E$20+$F$20+$G$20+$I$37+$I$38+$I$39+$I$40+$I$41+$I$42+$I$43)</f>
        <v>9.9812048016171287E-2</v>
      </c>
    </row>
    <row r="71" spans="7:32">
      <c r="G71" s="288" t="s">
        <v>820</v>
      </c>
      <c r="I71" s="371">
        <f>+G20/($E$20+$F$20+$G$20+$I$37+$I$38+$I$39+$I$40+$I$41+$I$42+$I$43)</f>
        <v>5.2534321566856737E-3</v>
      </c>
      <c r="U71" s="288" t="s">
        <v>3378</v>
      </c>
    </row>
    <row r="72" spans="7:32" ht="15.75">
      <c r="G72" s="288" t="s">
        <v>821</v>
      </c>
      <c r="I72" s="371">
        <f>(+I37+I38+I39)/($E$20+$F$20+$G$20+$I$37+$I$38+$I$39+$I$40+$I$41+$I$42+$I$43)</f>
        <v>0.65014617795676533</v>
      </c>
      <c r="S72" s="286">
        <v>2023</v>
      </c>
      <c r="U72" s="286">
        <v>2022</v>
      </c>
    </row>
    <row r="73" spans="7:32">
      <c r="G73" s="288" t="s">
        <v>822</v>
      </c>
      <c r="I73" s="371">
        <f>(+I40)/($E$20+$F$20+$G$20+$I$37+$I$38+$I$39+$I$40+$I$41+$I$42+$I$43)</f>
        <v>0.11461075522065536</v>
      </c>
    </row>
    <row r="74" spans="7:32">
      <c r="I74" s="371">
        <f>+I75-SUM(I69:I73)</f>
        <v>6.2757273269460567E-2</v>
      </c>
    </row>
    <row r="75" spans="7:32">
      <c r="I75" s="371">
        <v>1</v>
      </c>
    </row>
    <row r="76" spans="7:32">
      <c r="I76" s="371"/>
    </row>
    <row r="77" spans="7:32" ht="26.25" customHeight="1">
      <c r="I77" s="371"/>
      <c r="Q77" s="1321" t="s">
        <v>2414</v>
      </c>
      <c r="R77" s="1321"/>
      <c r="S77" s="1321"/>
      <c r="T77" s="1321"/>
      <c r="U77" s="1321"/>
      <c r="V77" s="1321"/>
      <c r="W77" s="1321"/>
      <c r="X77" s="1321"/>
      <c r="Y77" s="1321"/>
      <c r="Z77" s="1321"/>
      <c r="AA77" s="1321"/>
      <c r="AB77" s="1321"/>
      <c r="AC77" s="1321"/>
    </row>
    <row r="78" spans="7:32" ht="23.25" customHeight="1">
      <c r="I78" s="371"/>
      <c r="R78" s="612"/>
      <c r="S78" s="1320" t="s">
        <v>2413</v>
      </c>
      <c r="T78" s="1320"/>
      <c r="U78" s="1320"/>
      <c r="W78" s="1320" t="s">
        <v>2417</v>
      </c>
      <c r="X78" s="1320"/>
      <c r="Y78" s="1320"/>
      <c r="AA78" s="1320" t="s">
        <v>792</v>
      </c>
      <c r="AB78" s="1320"/>
      <c r="AC78" s="1320"/>
    </row>
    <row r="79" spans="7:32" ht="12" customHeight="1">
      <c r="I79" s="371"/>
      <c r="R79" s="284"/>
      <c r="S79" s="284"/>
      <c r="T79" s="284"/>
      <c r="U79" s="284"/>
    </row>
    <row r="80" spans="7:32" ht="15.75">
      <c r="I80" s="371"/>
      <c r="Q80" s="287"/>
      <c r="R80" s="601"/>
      <c r="S80" s="602">
        <f>+S72</f>
        <v>2023</v>
      </c>
      <c r="T80" s="601"/>
      <c r="U80" s="602">
        <f>+U72</f>
        <v>2022</v>
      </c>
      <c r="V80" s="601"/>
      <c r="W80" s="602">
        <f>+S72</f>
        <v>2023</v>
      </c>
      <c r="X80" s="601"/>
      <c r="Y80" s="602">
        <f>+U72</f>
        <v>2022</v>
      </c>
      <c r="Z80" s="601"/>
      <c r="AA80" s="602">
        <f>+S72</f>
        <v>2023</v>
      </c>
      <c r="AB80" s="601"/>
      <c r="AC80" s="602">
        <f>+U72</f>
        <v>2022</v>
      </c>
      <c r="AD80" s="276"/>
      <c r="AE80" s="276"/>
      <c r="AF80" s="276"/>
    </row>
    <row r="81" spans="9:34" ht="15.75">
      <c r="I81" s="371"/>
      <c r="Q81" s="276" t="s">
        <v>2390</v>
      </c>
      <c r="R81" s="276"/>
      <c r="S81" s="276"/>
      <c r="T81" s="276"/>
      <c r="U81" s="276"/>
      <c r="V81" s="276"/>
      <c r="W81" s="276"/>
      <c r="X81" s="276"/>
      <c r="Y81" s="276"/>
      <c r="Z81" s="276"/>
      <c r="AA81" s="276"/>
      <c r="AB81" s="276"/>
      <c r="AC81" s="276"/>
      <c r="AD81" s="276"/>
      <c r="AE81" s="276"/>
      <c r="AF81" s="276"/>
    </row>
    <row r="82" spans="9:34" ht="15.75">
      <c r="I82" s="371"/>
      <c r="M82" s="597"/>
      <c r="Q82" s="276" t="s">
        <v>2391</v>
      </c>
      <c r="R82" s="276"/>
      <c r="S82" s="276"/>
      <c r="T82" s="276"/>
      <c r="U82" s="276"/>
      <c r="V82" s="276"/>
      <c r="W82" s="276"/>
      <c r="X82" s="276"/>
      <c r="Y82" s="276"/>
      <c r="Z82" s="276"/>
      <c r="AA82" s="276"/>
      <c r="AB82" s="276"/>
      <c r="AC82" s="276"/>
      <c r="AD82" s="276"/>
      <c r="AE82" s="276"/>
      <c r="AF82" s="276"/>
    </row>
    <row r="83" spans="9:34" ht="18.75">
      <c r="I83" s="371"/>
      <c r="M83" s="296"/>
      <c r="Q83" s="276" t="s">
        <v>2392</v>
      </c>
      <c r="R83" s="597"/>
      <c r="S83" s="596">
        <f>+E20</f>
        <v>4113905</v>
      </c>
      <c r="T83" s="597"/>
      <c r="U83" s="596">
        <v>4283510</v>
      </c>
      <c r="V83" s="597"/>
      <c r="W83" s="596">
        <f>+E26</f>
        <v>4356919</v>
      </c>
      <c r="X83" s="597"/>
      <c r="Y83" s="596">
        <v>4300800</v>
      </c>
      <c r="Z83" s="597"/>
      <c r="AA83" s="596">
        <f>S83+W83</f>
        <v>8470824</v>
      </c>
      <c r="AB83" s="596"/>
      <c r="AC83" s="596">
        <f>U83+Y83</f>
        <v>8584310</v>
      </c>
      <c r="AD83" s="296"/>
      <c r="AE83" s="276"/>
      <c r="AF83" s="598">
        <f>+S83/S$92</f>
        <v>6.7420313380261845E-2</v>
      </c>
      <c r="AG83" s="360"/>
      <c r="AH83" s="362">
        <f t="shared" ref="AH83:AH89" si="3">+W83/W$92</f>
        <v>0.85253843783172967</v>
      </c>
    </row>
    <row r="84" spans="9:34" ht="18.75">
      <c r="I84" s="371"/>
      <c r="M84" s="296"/>
      <c r="Q84" s="276" t="s">
        <v>2393</v>
      </c>
      <c r="R84" s="296"/>
      <c r="S84" s="296">
        <f>+F20</f>
        <v>6090409</v>
      </c>
      <c r="T84" s="296"/>
      <c r="U84" s="296">
        <f>13243492-6724351</f>
        <v>6519141</v>
      </c>
      <c r="V84" s="1299" t="s">
        <v>354</v>
      </c>
      <c r="W84" s="296">
        <f>+F26</f>
        <v>19350</v>
      </c>
      <c r="X84" s="296"/>
      <c r="Y84" s="296">
        <v>19547</v>
      </c>
      <c r="Z84" s="296"/>
      <c r="AA84" s="296">
        <f>S84+W84</f>
        <v>6109759</v>
      </c>
      <c r="AB84" s="276"/>
      <c r="AC84" s="296">
        <f>U84+Y84</f>
        <v>6538688</v>
      </c>
      <c r="AD84" s="296"/>
      <c r="AE84" s="276"/>
      <c r="AF84" s="598">
        <f t="shared" ref="AF84:AF89" si="4">+S84/S$92</f>
        <v>9.9812048016171287E-2</v>
      </c>
      <c r="AG84" s="360"/>
      <c r="AH84" s="362">
        <f t="shared" si="3"/>
        <v>3.786303755485004E-3</v>
      </c>
    </row>
    <row r="85" spans="9:34" ht="18.75">
      <c r="I85" s="371"/>
      <c r="M85" s="276"/>
      <c r="Q85" s="276" t="s">
        <v>1157</v>
      </c>
      <c r="R85" s="296"/>
      <c r="S85" s="369">
        <f>+G20</f>
        <v>320558</v>
      </c>
      <c r="T85" s="296"/>
      <c r="U85" s="369">
        <v>1034712</v>
      </c>
      <c r="V85" s="296"/>
      <c r="W85" s="369">
        <f>+G26</f>
        <v>0</v>
      </c>
      <c r="X85" s="296"/>
      <c r="Y85" s="369">
        <v>0</v>
      </c>
      <c r="Z85" s="296"/>
      <c r="AA85" s="369">
        <f>S85+W85</f>
        <v>320558</v>
      </c>
      <c r="AB85" s="276"/>
      <c r="AC85" s="369">
        <f>U85+Y85</f>
        <v>1034712</v>
      </c>
      <c r="AD85" s="296"/>
      <c r="AE85" s="276"/>
      <c r="AF85" s="598">
        <f t="shared" si="4"/>
        <v>5.2534321566856737E-3</v>
      </c>
      <c r="AG85" s="360"/>
      <c r="AH85" s="362">
        <f t="shared" si="3"/>
        <v>0</v>
      </c>
    </row>
    <row r="86" spans="9:34" ht="18.75">
      <c r="I86" s="371"/>
      <c r="M86" s="296"/>
      <c r="Q86" s="276" t="s">
        <v>2394</v>
      </c>
      <c r="R86" s="276"/>
      <c r="S86" s="276">
        <f>SUM(S83:S85)</f>
        <v>10524872</v>
      </c>
      <c r="T86" s="276"/>
      <c r="U86" s="276">
        <f>SUM(U83:U85)</f>
        <v>11837363</v>
      </c>
      <c r="V86" s="276"/>
      <c r="W86" s="296">
        <f>SUM(W83:W85)</f>
        <v>4376269</v>
      </c>
      <c r="X86" s="296"/>
      <c r="Y86" s="296">
        <f>SUM(Y83:Y85)</f>
        <v>4320347</v>
      </c>
      <c r="Z86" s="276"/>
      <c r="AA86" s="296">
        <f>SUM(AA83:AA85)</f>
        <v>14901141</v>
      </c>
      <c r="AB86" s="276"/>
      <c r="AC86" s="296">
        <f>SUM(AC83:AC85)</f>
        <v>16157710</v>
      </c>
      <c r="AD86" s="276"/>
      <c r="AE86" s="276"/>
      <c r="AF86" s="598">
        <f t="shared" si="4"/>
        <v>0.1724857935531188</v>
      </c>
      <c r="AG86" s="360"/>
      <c r="AH86" s="362">
        <f t="shared" si="3"/>
        <v>0.85632474158721461</v>
      </c>
    </row>
    <row r="87" spans="9:34" ht="18.75">
      <c r="I87" s="371"/>
      <c r="M87" s="296"/>
      <c r="Q87" s="276" t="s">
        <v>2395</v>
      </c>
      <c r="R87" s="296"/>
      <c r="S87" s="296"/>
      <c r="T87" s="296"/>
      <c r="U87" s="296"/>
      <c r="V87" s="296"/>
      <c r="W87" s="296"/>
      <c r="X87" s="296"/>
      <c r="Y87" s="296"/>
      <c r="Z87" s="296"/>
      <c r="AA87" s="296"/>
      <c r="AB87" s="276"/>
      <c r="AC87" s="296"/>
      <c r="AD87" s="296"/>
      <c r="AE87" s="276"/>
      <c r="AF87" s="598">
        <f t="shared" si="4"/>
        <v>0</v>
      </c>
      <c r="AG87" s="360"/>
      <c r="AH87" s="362">
        <f t="shared" si="3"/>
        <v>0</v>
      </c>
    </row>
    <row r="88" spans="9:34" ht="18.75">
      <c r="I88" s="371"/>
      <c r="M88" s="296"/>
      <c r="Q88" s="276" t="s">
        <v>2396</v>
      </c>
      <c r="R88" s="296"/>
      <c r="S88" s="296">
        <f>+I37+I39+I38</f>
        <v>39671124</v>
      </c>
      <c r="T88" s="296"/>
      <c r="U88" s="296">
        <v>36419711</v>
      </c>
      <c r="V88" s="296"/>
      <c r="W88" s="296">
        <f>+J37+J39+J38</f>
        <v>552792</v>
      </c>
      <c r="X88" s="296"/>
      <c r="Y88" s="296">
        <v>514395</v>
      </c>
      <c r="Z88" s="296"/>
      <c r="AA88" s="296">
        <f>S88+W88</f>
        <v>40223916</v>
      </c>
      <c r="AB88" s="276"/>
      <c r="AC88" s="296">
        <f>U88+Y88</f>
        <v>36934106</v>
      </c>
      <c r="AD88" s="296"/>
      <c r="AE88" s="276"/>
      <c r="AF88" s="598">
        <f t="shared" si="4"/>
        <v>0.65014617795676533</v>
      </c>
      <c r="AG88" s="360"/>
      <c r="AH88" s="362">
        <f t="shared" si="3"/>
        <v>0.10816736049623082</v>
      </c>
    </row>
    <row r="89" spans="9:34" ht="18.75">
      <c r="I89" s="371"/>
      <c r="M89" s="296"/>
      <c r="Q89" s="276" t="s">
        <v>2410</v>
      </c>
      <c r="R89" s="296"/>
      <c r="S89" s="296"/>
      <c r="T89" s="296"/>
      <c r="U89" s="296"/>
      <c r="V89" s="296"/>
      <c r="W89" s="296"/>
      <c r="X89" s="296"/>
      <c r="Y89" s="296"/>
      <c r="Z89" s="296"/>
      <c r="AA89" s="296"/>
      <c r="AB89" s="276"/>
      <c r="AC89" s="296"/>
      <c r="AD89" s="296"/>
      <c r="AE89" s="276"/>
      <c r="AF89" s="598">
        <f t="shared" si="4"/>
        <v>0</v>
      </c>
      <c r="AG89" s="360"/>
      <c r="AH89" s="362">
        <f t="shared" si="3"/>
        <v>0</v>
      </c>
    </row>
    <row r="90" spans="9:34" ht="15" customHeight="1">
      <c r="I90" s="371"/>
      <c r="M90" s="296"/>
      <c r="Q90" s="276" t="s">
        <v>2411</v>
      </c>
      <c r="R90" s="296"/>
      <c r="S90" s="296">
        <f>+I40</f>
        <v>6993408</v>
      </c>
      <c r="T90" s="296"/>
      <c r="U90" s="296">
        <f>2094561</f>
        <v>2094561</v>
      </c>
      <c r="V90" s="296"/>
      <c r="W90" s="296">
        <f>+J40</f>
        <v>0</v>
      </c>
      <c r="X90" s="296"/>
      <c r="Y90" s="296">
        <v>0</v>
      </c>
      <c r="Z90" s="296"/>
      <c r="AA90" s="296">
        <f>S90+W90</f>
        <v>6993408</v>
      </c>
      <c r="AB90" s="276"/>
      <c r="AC90" s="296">
        <f>U90+Y90</f>
        <v>2094561</v>
      </c>
      <c r="AD90" s="296"/>
      <c r="AE90" s="276"/>
      <c r="AF90" s="598"/>
      <c r="AG90" s="360"/>
      <c r="AH90" s="362"/>
    </row>
    <row r="91" spans="9:34" ht="18.75">
      <c r="I91" s="371"/>
      <c r="M91" s="296"/>
      <c r="Q91" s="276" t="s">
        <v>411</v>
      </c>
      <c r="R91" s="296"/>
      <c r="S91" s="369">
        <f>+I41+I42+I43</f>
        <v>3829372</v>
      </c>
      <c r="T91" s="296"/>
      <c r="U91" s="369">
        <v>1302724</v>
      </c>
      <c r="V91" s="296"/>
      <c r="W91" s="369">
        <f>+J41+J42+J43</f>
        <v>181464</v>
      </c>
      <c r="X91" s="296"/>
      <c r="Y91" s="369">
        <v>13717</v>
      </c>
      <c r="Z91" s="296"/>
      <c r="AA91" s="369">
        <f>S91+W91</f>
        <v>4010836</v>
      </c>
      <c r="AB91" s="276"/>
      <c r="AC91" s="369">
        <f>U91+Y91</f>
        <v>1316441</v>
      </c>
      <c r="AD91" s="296"/>
      <c r="AE91" s="276"/>
      <c r="AF91" s="598">
        <f>+S91/S$92</f>
        <v>6.275727326946054E-2</v>
      </c>
      <c r="AG91" s="360"/>
      <c r="AH91" s="362">
        <f>+W91/W$92</f>
        <v>3.5507897916554558E-2</v>
      </c>
    </row>
    <row r="92" spans="9:34" ht="18.75">
      <c r="I92" s="371"/>
      <c r="M92" s="276"/>
      <c r="Q92" s="276" t="s">
        <v>2397</v>
      </c>
      <c r="R92" s="296"/>
      <c r="S92" s="296">
        <f>SUM(S86:S91)</f>
        <v>61018776</v>
      </c>
      <c r="T92" s="296"/>
      <c r="U92" s="296">
        <f>SUM(U86:U91)</f>
        <v>51654359</v>
      </c>
      <c r="V92" s="296"/>
      <c r="W92" s="296">
        <f>SUM(W86:W91)</f>
        <v>5110525</v>
      </c>
      <c r="X92" s="296"/>
      <c r="Y92" s="296">
        <f>SUM(Y86:Y91)</f>
        <v>4848459</v>
      </c>
      <c r="Z92" s="296"/>
      <c r="AA92" s="296">
        <f>SUM(AA86:AA91)</f>
        <v>66129301</v>
      </c>
      <c r="AB92" s="276"/>
      <c r="AC92" s="296">
        <f>SUM(AC86:AC91)</f>
        <v>56502818</v>
      </c>
      <c r="AD92" s="296"/>
      <c r="AE92" s="276"/>
      <c r="AF92" s="598">
        <f>SUM(AF83:AF91)</f>
        <v>1.0578750383324635</v>
      </c>
      <c r="AG92" s="360"/>
      <c r="AH92" s="362">
        <f>SUM(AH83:AH91)</f>
        <v>1.8563247415872146</v>
      </c>
    </row>
    <row r="93" spans="9:34" ht="6.75" customHeight="1">
      <c r="I93" s="371"/>
      <c r="M93" s="296"/>
      <c r="Q93" s="276"/>
      <c r="R93" s="276"/>
      <c r="S93" s="276"/>
      <c r="T93" s="276"/>
      <c r="U93" s="276"/>
      <c r="V93" s="276"/>
      <c r="W93" s="276"/>
      <c r="X93" s="276"/>
      <c r="Y93" s="276"/>
      <c r="Z93" s="276"/>
      <c r="AA93" s="276"/>
      <c r="AB93" s="276"/>
      <c r="AC93" s="276"/>
      <c r="AD93" s="276"/>
      <c r="AE93" s="276"/>
      <c r="AF93" s="276"/>
    </row>
    <row r="94" spans="9:34" ht="15.75">
      <c r="I94" s="371"/>
      <c r="M94" s="296"/>
      <c r="Q94" s="276" t="s">
        <v>2398</v>
      </c>
      <c r="R94" s="296"/>
      <c r="S94" s="296"/>
      <c r="T94" s="296"/>
      <c r="U94" s="296"/>
      <c r="V94" s="296"/>
      <c r="W94" s="296"/>
      <c r="X94" s="296"/>
      <c r="Y94" s="296"/>
      <c r="Z94" s="296"/>
      <c r="AA94" s="296"/>
      <c r="AB94" s="276"/>
      <c r="AC94" s="296"/>
      <c r="AD94" s="296"/>
      <c r="AE94" s="276"/>
      <c r="AF94" s="276"/>
    </row>
    <row r="95" spans="9:34" ht="15.75">
      <c r="I95" s="371"/>
      <c r="M95" s="296"/>
      <c r="Q95" s="276" t="s">
        <v>823</v>
      </c>
      <c r="R95" s="296"/>
      <c r="S95" s="296">
        <f t="shared" ref="S95:S101" si="5">+C13</f>
        <v>19685231</v>
      </c>
      <c r="T95" s="296"/>
      <c r="U95" s="296">
        <v>13473906</v>
      </c>
      <c r="V95" s="296"/>
      <c r="W95" s="296">
        <v>0</v>
      </c>
      <c r="X95" s="296"/>
      <c r="Y95" s="296">
        <v>0</v>
      </c>
      <c r="Z95" s="296"/>
      <c r="AA95" s="296">
        <f t="shared" ref="AA95:AA104" si="6">S95+W95</f>
        <v>19685231</v>
      </c>
      <c r="AB95" s="276"/>
      <c r="AC95" s="296">
        <f>U95+Y95</f>
        <v>13473906</v>
      </c>
      <c r="AD95" s="296"/>
      <c r="AE95" s="276"/>
      <c r="AF95" s="276"/>
    </row>
    <row r="96" spans="9:34" ht="15.75">
      <c r="I96" s="371"/>
      <c r="M96" s="296"/>
      <c r="Q96" s="276" t="s">
        <v>824</v>
      </c>
      <c r="R96" s="296"/>
      <c r="S96" s="296">
        <f t="shared" si="5"/>
        <v>22106905</v>
      </c>
      <c r="T96" s="296"/>
      <c r="U96" s="296">
        <v>22378402</v>
      </c>
      <c r="V96" s="296"/>
      <c r="W96" s="296">
        <v>0</v>
      </c>
      <c r="X96" s="296"/>
      <c r="Y96" s="296">
        <v>0</v>
      </c>
      <c r="Z96" s="296"/>
      <c r="AA96" s="296">
        <f t="shared" si="6"/>
        <v>22106905</v>
      </c>
      <c r="AB96" s="276"/>
      <c r="AC96" s="296">
        <f t="shared" ref="AC96:AC104" si="7">U96+Y96</f>
        <v>22378402</v>
      </c>
      <c r="AD96" s="296"/>
      <c r="AE96" s="276"/>
      <c r="AF96" s="276"/>
    </row>
    <row r="97" spans="9:32" ht="15.75">
      <c r="I97" s="371"/>
      <c r="M97" s="296"/>
      <c r="Q97" s="276" t="s">
        <v>825</v>
      </c>
      <c r="R97" s="296"/>
      <c r="S97" s="296">
        <f t="shared" si="5"/>
        <v>9013169</v>
      </c>
      <c r="T97" s="296"/>
      <c r="U97" s="296">
        <v>9172413</v>
      </c>
      <c r="V97" s="296"/>
      <c r="W97" s="296">
        <v>0</v>
      </c>
      <c r="X97" s="296"/>
      <c r="Y97" s="296">
        <v>0</v>
      </c>
      <c r="Z97" s="296"/>
      <c r="AA97" s="296">
        <f t="shared" si="6"/>
        <v>9013169</v>
      </c>
      <c r="AB97" s="276"/>
      <c r="AC97" s="296">
        <f t="shared" si="7"/>
        <v>9172413</v>
      </c>
      <c r="AD97" s="296"/>
      <c r="AE97" s="276"/>
      <c r="AF97" s="276"/>
    </row>
    <row r="98" spans="9:32" ht="15.75">
      <c r="I98" s="371"/>
      <c r="M98" s="296"/>
      <c r="Q98" s="276" t="s">
        <v>2399</v>
      </c>
      <c r="R98" s="296"/>
      <c r="S98" s="296">
        <f t="shared" si="5"/>
        <v>6447650</v>
      </c>
      <c r="T98" s="296"/>
      <c r="U98" s="296">
        <v>6825721</v>
      </c>
      <c r="V98" s="296"/>
      <c r="W98" s="296">
        <v>0</v>
      </c>
      <c r="X98" s="296"/>
      <c r="Y98" s="296">
        <v>0</v>
      </c>
      <c r="Z98" s="296"/>
      <c r="AA98" s="296">
        <f t="shared" si="6"/>
        <v>6447650</v>
      </c>
      <c r="AB98" s="276"/>
      <c r="AC98" s="296">
        <f t="shared" si="7"/>
        <v>6825721</v>
      </c>
      <c r="AD98" s="296"/>
      <c r="AE98" s="276"/>
      <c r="AF98" s="276"/>
    </row>
    <row r="99" spans="9:32" ht="15.75">
      <c r="I99" s="371"/>
      <c r="M99" s="296"/>
      <c r="Q99" s="276" t="s">
        <v>2400</v>
      </c>
      <c r="R99" s="296"/>
      <c r="S99" s="296">
        <f t="shared" si="5"/>
        <v>1033036</v>
      </c>
      <c r="T99" s="296"/>
      <c r="U99" s="296">
        <v>2215273</v>
      </c>
      <c r="V99" s="296"/>
      <c r="W99" s="296">
        <v>0</v>
      </c>
      <c r="X99" s="296"/>
      <c r="Z99" s="296"/>
      <c r="AA99" s="296">
        <f t="shared" si="6"/>
        <v>1033036</v>
      </c>
      <c r="AB99" s="276"/>
      <c r="AC99" s="296">
        <f>U99+Y98</f>
        <v>2215273</v>
      </c>
      <c r="AD99" s="296"/>
      <c r="AE99" s="276"/>
      <c r="AF99" s="276"/>
    </row>
    <row r="100" spans="9:32" ht="15.75">
      <c r="I100" s="371"/>
      <c r="M100" s="296"/>
      <c r="Q100" s="276" t="s">
        <v>2401</v>
      </c>
      <c r="R100" s="296"/>
      <c r="S100" s="296">
        <f t="shared" si="5"/>
        <v>143769</v>
      </c>
      <c r="T100" s="296"/>
      <c r="U100" s="296">
        <v>117644</v>
      </c>
      <c r="V100" s="296"/>
      <c r="W100" s="296">
        <v>0</v>
      </c>
      <c r="X100" s="296"/>
      <c r="Y100" s="296">
        <v>0</v>
      </c>
      <c r="Z100" s="296"/>
      <c r="AA100" s="296">
        <f t="shared" si="6"/>
        <v>143769</v>
      </c>
      <c r="AB100" s="276"/>
      <c r="AC100" s="296">
        <f t="shared" si="7"/>
        <v>117644</v>
      </c>
      <c r="AD100" s="296"/>
      <c r="AE100" s="276"/>
      <c r="AF100" s="276"/>
    </row>
    <row r="101" spans="9:32" ht="15.75">
      <c r="I101" s="371"/>
      <c r="M101" s="296"/>
      <c r="Q101" s="276" t="s">
        <v>2402</v>
      </c>
      <c r="R101" s="296"/>
      <c r="S101" s="296">
        <f t="shared" si="5"/>
        <v>471210</v>
      </c>
      <c r="T101" s="296"/>
      <c r="U101" s="296">
        <v>418498</v>
      </c>
      <c r="V101" s="296"/>
      <c r="W101" s="296">
        <v>0</v>
      </c>
      <c r="X101" s="296"/>
      <c r="Y101" s="296">
        <v>0</v>
      </c>
      <c r="Z101" s="296"/>
      <c r="AA101" s="296">
        <f t="shared" si="6"/>
        <v>471210</v>
      </c>
      <c r="AB101" s="276"/>
      <c r="AC101" s="296">
        <f t="shared" si="7"/>
        <v>418498</v>
      </c>
      <c r="AD101" s="296"/>
      <c r="AE101" s="276"/>
      <c r="AF101" s="276"/>
    </row>
    <row r="102" spans="9:32" ht="15.75">
      <c r="I102" s="371"/>
      <c r="M102" s="296"/>
      <c r="Q102" s="276" t="s">
        <v>2403</v>
      </c>
      <c r="R102" s="296"/>
      <c r="S102" s="296">
        <v>0</v>
      </c>
      <c r="T102" s="296"/>
      <c r="U102" s="296">
        <v>0</v>
      </c>
      <c r="V102" s="296"/>
      <c r="W102" s="296">
        <f>+C23</f>
        <v>2993812</v>
      </c>
      <c r="X102" s="296"/>
      <c r="Y102" s="296">
        <v>2829558</v>
      </c>
      <c r="Z102" s="296"/>
      <c r="AA102" s="296">
        <f t="shared" si="6"/>
        <v>2993812</v>
      </c>
      <c r="AB102" s="276"/>
      <c r="AC102" s="296">
        <f>U102+Y102</f>
        <v>2829558</v>
      </c>
      <c r="AD102" s="296"/>
      <c r="AE102" s="276"/>
      <c r="AF102" s="276"/>
    </row>
    <row r="103" spans="9:32" ht="15.75" hidden="1" customHeight="1">
      <c r="I103" s="371"/>
      <c r="M103" s="296" t="s">
        <v>2605</v>
      </c>
      <c r="Q103" s="276" t="s">
        <v>2404</v>
      </c>
      <c r="R103" s="296"/>
      <c r="S103" s="296">
        <v>0</v>
      </c>
      <c r="T103" s="296"/>
      <c r="U103" s="369">
        <v>0</v>
      </c>
      <c r="V103" s="296"/>
      <c r="W103" s="296">
        <f>+C24</f>
        <v>0</v>
      </c>
      <c r="X103" s="296"/>
      <c r="Y103" s="296">
        <v>0</v>
      </c>
      <c r="Z103" s="296"/>
      <c r="AA103" s="296">
        <f t="shared" si="6"/>
        <v>0</v>
      </c>
      <c r="AB103" s="276"/>
      <c r="AC103" s="296">
        <f t="shared" si="7"/>
        <v>0</v>
      </c>
      <c r="AD103" s="296"/>
      <c r="AE103" s="276"/>
      <c r="AF103" s="276"/>
    </row>
    <row r="104" spans="9:32" ht="15.75">
      <c r="I104" s="371"/>
      <c r="M104" s="296"/>
      <c r="Q104" s="276" t="s">
        <v>2405</v>
      </c>
      <c r="R104" s="296"/>
      <c r="S104" s="369">
        <v>0</v>
      </c>
      <c r="T104" s="296"/>
      <c r="U104" s="369">
        <v>0</v>
      </c>
      <c r="V104" s="296"/>
      <c r="W104" s="369">
        <f>+C25</f>
        <v>2021354</v>
      </c>
      <c r="X104" s="296"/>
      <c r="Y104" s="369">
        <v>1887096</v>
      </c>
      <c r="Z104" s="296"/>
      <c r="AA104" s="369">
        <f t="shared" si="6"/>
        <v>2021354</v>
      </c>
      <c r="AB104" s="276"/>
      <c r="AC104" s="369">
        <f t="shared" si="7"/>
        <v>1887096</v>
      </c>
      <c r="AD104" s="296"/>
      <c r="AE104" s="276"/>
      <c r="AF104" s="276"/>
    </row>
    <row r="105" spans="9:32" ht="15.75">
      <c r="I105" s="371"/>
      <c r="M105" s="276"/>
      <c r="Q105" s="276" t="s">
        <v>2412</v>
      </c>
      <c r="R105" s="296"/>
      <c r="S105" s="296">
        <f>SUM(S95:S104)</f>
        <v>58900970</v>
      </c>
      <c r="T105" s="296"/>
      <c r="U105" s="296">
        <f>SUM(U95:U104)</f>
        <v>54601857</v>
      </c>
      <c r="V105" s="296"/>
      <c r="W105" s="296">
        <f>SUM(W95:W104)</f>
        <v>5015166</v>
      </c>
      <c r="X105" s="296"/>
      <c r="Y105" s="296">
        <f>SUM(Y95:Y104)</f>
        <v>4716654</v>
      </c>
      <c r="Z105" s="296"/>
      <c r="AA105" s="296">
        <f>SUM(AA95:AA104)</f>
        <v>63916136</v>
      </c>
      <c r="AB105" s="276"/>
      <c r="AC105" s="296">
        <f>SUM(AC95:AC104)</f>
        <v>59318511</v>
      </c>
      <c r="AD105" s="296"/>
      <c r="AE105" s="276"/>
      <c r="AF105" s="276"/>
    </row>
    <row r="106" spans="9:32" ht="15.75">
      <c r="I106" s="371"/>
      <c r="M106" s="296"/>
      <c r="Q106" s="276"/>
      <c r="R106" s="276"/>
      <c r="S106" s="276"/>
      <c r="T106" s="276"/>
      <c r="U106" s="276"/>
      <c r="V106" s="276"/>
      <c r="W106" s="276"/>
      <c r="X106" s="276"/>
      <c r="Y106" s="276"/>
      <c r="Z106" s="276"/>
      <c r="AA106" s="276"/>
      <c r="AB106" s="276"/>
      <c r="AC106" s="276"/>
      <c r="AD106" s="276"/>
      <c r="AE106" s="276"/>
      <c r="AF106" s="276"/>
    </row>
    <row r="107" spans="9:32" ht="15.75">
      <c r="I107" s="371"/>
      <c r="M107" s="296"/>
      <c r="Q107" s="276" t="s">
        <v>2406</v>
      </c>
      <c r="R107" s="296"/>
      <c r="S107" s="296">
        <f>+S92-S105</f>
        <v>2117806</v>
      </c>
      <c r="T107" s="296"/>
      <c r="U107" s="296">
        <f>+U92-U105</f>
        <v>-2947498</v>
      </c>
      <c r="V107" s="296"/>
      <c r="W107" s="296">
        <f>+W92-W105</f>
        <v>95359</v>
      </c>
      <c r="X107" s="296"/>
      <c r="Y107" s="296">
        <f>+Y92-Y105</f>
        <v>131805</v>
      </c>
      <c r="Z107" s="296"/>
      <c r="AA107" s="296">
        <f>S107+W107</f>
        <v>2213165</v>
      </c>
      <c r="AB107" s="276"/>
      <c r="AC107" s="296">
        <f>U107+Y107</f>
        <v>-2815693</v>
      </c>
      <c r="AD107" s="296"/>
      <c r="AE107" s="276"/>
      <c r="AF107" s="276"/>
    </row>
    <row r="108" spans="9:32" ht="15.75" hidden="1" customHeight="1">
      <c r="I108" s="371"/>
      <c r="M108" s="296"/>
      <c r="Q108" s="321" t="s">
        <v>0</v>
      </c>
      <c r="R108" s="296"/>
      <c r="S108" s="296">
        <f>+I44</f>
        <v>0</v>
      </c>
      <c r="T108" s="296"/>
      <c r="U108" s="296"/>
      <c r="V108" s="296"/>
      <c r="W108" s="296">
        <f>+J44</f>
        <v>0</v>
      </c>
      <c r="X108" s="296"/>
      <c r="Y108" s="296"/>
      <c r="Z108" s="296"/>
      <c r="AA108" s="296">
        <f>S108+W108</f>
        <v>0</v>
      </c>
      <c r="AB108" s="276"/>
      <c r="AC108" s="296">
        <f>U108+Y108</f>
        <v>0</v>
      </c>
      <c r="AD108" s="296"/>
      <c r="AE108" s="276"/>
      <c r="AF108" s="276"/>
    </row>
    <row r="109" spans="9:32" ht="15.75">
      <c r="I109" s="371"/>
      <c r="M109" s="276"/>
      <c r="Q109" s="276" t="s">
        <v>993</v>
      </c>
      <c r="R109" s="296"/>
      <c r="S109" s="369">
        <f>+I45</f>
        <v>-47455</v>
      </c>
      <c r="T109" s="296"/>
      <c r="U109" s="369">
        <v>-51261</v>
      </c>
      <c r="V109" s="296"/>
      <c r="W109" s="369">
        <f>+J45</f>
        <v>47455</v>
      </c>
      <c r="X109" s="296"/>
      <c r="Y109" s="369">
        <v>51261</v>
      </c>
      <c r="Z109" s="296"/>
      <c r="AA109" s="369">
        <f>S109+W109</f>
        <v>0</v>
      </c>
      <c r="AB109" s="276"/>
      <c r="AC109" s="369">
        <f>U109+Y109</f>
        <v>0</v>
      </c>
      <c r="AD109" s="296"/>
      <c r="AE109" s="276"/>
      <c r="AF109" s="276"/>
    </row>
    <row r="110" spans="9:32" ht="15.75">
      <c r="I110" s="371"/>
      <c r="M110" s="276"/>
      <c r="Q110" s="276" t="s">
        <v>2407</v>
      </c>
      <c r="R110" s="276"/>
      <c r="S110" s="276">
        <f>SUM(S107:S109)</f>
        <v>2070351</v>
      </c>
      <c r="T110" s="276"/>
      <c r="U110" s="276">
        <f>SUM(U107:U109)</f>
        <v>-2998759</v>
      </c>
      <c r="V110" s="276"/>
      <c r="W110" s="276">
        <f>SUM(W107:W109)</f>
        <v>142814</v>
      </c>
      <c r="X110" s="276"/>
      <c r="Y110" s="276">
        <f>SUM(Y107:Y109)</f>
        <v>183066</v>
      </c>
      <c r="Z110" s="276"/>
      <c r="AA110" s="276">
        <f>SUM(AA107:AA109)</f>
        <v>2213165</v>
      </c>
      <c r="AB110" s="276"/>
      <c r="AC110" s="276">
        <f>SUM(AC107:AC109)</f>
        <v>-2815693</v>
      </c>
      <c r="AD110" s="276"/>
      <c r="AE110" s="276"/>
      <c r="AF110" s="276"/>
    </row>
    <row r="111" spans="9:32" ht="15.75">
      <c r="I111" s="371"/>
      <c r="M111" s="276"/>
      <c r="Q111" s="276"/>
      <c r="R111" s="276"/>
      <c r="S111" s="276"/>
      <c r="T111" s="276"/>
      <c r="U111" s="276"/>
      <c r="V111" s="276"/>
      <c r="W111" s="276"/>
      <c r="X111" s="276"/>
      <c r="Y111" s="276"/>
      <c r="Z111" s="276"/>
      <c r="AA111" s="276"/>
      <c r="AB111" s="276"/>
      <c r="AC111" s="276"/>
      <c r="AD111" s="276"/>
      <c r="AE111" s="276"/>
      <c r="AF111" s="276"/>
    </row>
    <row r="112" spans="9:32" ht="15.75">
      <c r="I112" s="371"/>
      <c r="M112" s="296"/>
      <c r="Q112" s="276" t="s">
        <v>2408</v>
      </c>
      <c r="R112" s="276"/>
      <c r="S112" s="276">
        <f>+I50</f>
        <v>77553650</v>
      </c>
      <c r="T112" s="276"/>
      <c r="U112" s="276">
        <v>73828058</v>
      </c>
      <c r="V112" s="276"/>
      <c r="W112" s="276">
        <f>+J50</f>
        <v>16457970</v>
      </c>
      <c r="X112" s="276"/>
      <c r="Y112" s="276">
        <v>16274904</v>
      </c>
      <c r="Z112" s="276"/>
      <c r="AA112" s="276">
        <f>S112+W112</f>
        <v>94011620</v>
      </c>
      <c r="AB112" s="276"/>
      <c r="AC112" s="276">
        <f>U112+Y112</f>
        <v>90102962</v>
      </c>
      <c r="AD112" s="276"/>
      <c r="AE112" s="276"/>
      <c r="AF112" s="276"/>
    </row>
    <row r="113" spans="2:32" ht="15.75">
      <c r="I113" s="371"/>
      <c r="M113" s="296"/>
      <c r="Q113" s="276" t="s">
        <v>3380</v>
      </c>
      <c r="R113" s="296"/>
      <c r="S113" s="296">
        <f>+I52</f>
        <v>-6724351</v>
      </c>
      <c r="T113" s="296"/>
      <c r="U113" s="296">
        <v>0</v>
      </c>
      <c r="V113" s="296"/>
      <c r="W113" s="296">
        <f>+J52</f>
        <v>0</v>
      </c>
      <c r="X113" s="296"/>
      <c r="Y113" s="296">
        <v>0</v>
      </c>
      <c r="Z113" s="296"/>
      <c r="AA113" s="296">
        <f>S113+W113</f>
        <v>-6724351</v>
      </c>
      <c r="AB113" s="276"/>
      <c r="AC113" s="369">
        <f>U113+Y113</f>
        <v>0</v>
      </c>
      <c r="AD113" s="296"/>
      <c r="AE113" s="276"/>
      <c r="AF113" s="276"/>
    </row>
    <row r="114" spans="2:32" ht="15.75">
      <c r="I114" s="371"/>
      <c r="M114" s="296"/>
      <c r="Q114" s="276" t="s">
        <v>2501</v>
      </c>
      <c r="R114" s="296"/>
      <c r="S114" s="599">
        <f>S112+S113</f>
        <v>70829299</v>
      </c>
      <c r="T114" s="296"/>
      <c r="U114" s="599">
        <f>SUM(U112:U113)</f>
        <v>73828058</v>
      </c>
      <c r="V114" s="296"/>
      <c r="W114" s="599">
        <f>W112+W113</f>
        <v>16457970</v>
      </c>
      <c r="X114" s="296"/>
      <c r="Y114" s="599">
        <f>SUM(Y112:Y113)</f>
        <v>16274904</v>
      </c>
      <c r="Z114" s="296"/>
      <c r="AA114" s="599">
        <f>SUM(AA112:AA113)</f>
        <v>87287269</v>
      </c>
      <c r="AB114" s="276"/>
      <c r="AC114" s="276">
        <f>SUM(AC111:AC113)</f>
        <v>90102962</v>
      </c>
      <c r="AD114" s="296"/>
      <c r="AE114" s="276"/>
      <c r="AF114" s="276"/>
    </row>
    <row r="115" spans="2:32" ht="6" customHeight="1">
      <c r="I115" s="371"/>
      <c r="M115" s="597"/>
      <c r="Q115" s="276"/>
      <c r="R115" s="296"/>
      <c r="S115" s="296"/>
      <c r="T115" s="296"/>
      <c r="U115" s="296"/>
      <c r="V115" s="296"/>
      <c r="W115" s="296"/>
      <c r="X115" s="296"/>
      <c r="Y115" s="296"/>
      <c r="Z115" s="296"/>
      <c r="AA115" s="296"/>
      <c r="AB115" s="276"/>
      <c r="AC115" s="296"/>
      <c r="AD115" s="296"/>
      <c r="AE115" s="276"/>
      <c r="AF115" s="276"/>
    </row>
    <row r="116" spans="2:32" ht="16.5" thickBot="1">
      <c r="I116" s="371"/>
      <c r="Q116" s="276" t="s">
        <v>2409</v>
      </c>
      <c r="R116" s="597"/>
      <c r="S116" s="600">
        <f>+I56</f>
        <v>72899650</v>
      </c>
      <c r="T116" s="597"/>
      <c r="U116" s="600">
        <f>U110+U114</f>
        <v>70829299</v>
      </c>
      <c r="V116" s="597"/>
      <c r="W116" s="600">
        <f>+J56</f>
        <v>16600784</v>
      </c>
      <c r="X116" s="597"/>
      <c r="Y116" s="600">
        <f>Y114+Y110</f>
        <v>16457970</v>
      </c>
      <c r="Z116" s="597"/>
      <c r="AA116" s="600">
        <f>K56</f>
        <v>89500434</v>
      </c>
      <c r="AB116" s="596"/>
      <c r="AC116" s="600">
        <f>U116+Y116</f>
        <v>87287269</v>
      </c>
      <c r="AD116" s="276"/>
      <c r="AE116" s="276"/>
      <c r="AF116" s="276"/>
    </row>
    <row r="117" spans="2:32" ht="16.5" thickTop="1">
      <c r="I117" s="371"/>
      <c r="Q117" s="431" t="s">
        <v>3379</v>
      </c>
      <c r="R117" s="276"/>
      <c r="S117" s="276"/>
      <c r="T117" s="276"/>
      <c r="U117" s="276"/>
      <c r="V117" s="276"/>
      <c r="W117" s="276"/>
      <c r="X117" s="276"/>
      <c r="Y117" s="276"/>
      <c r="Z117" s="276"/>
      <c r="AA117" s="276"/>
      <c r="AB117" s="276"/>
      <c r="AC117" s="276"/>
      <c r="AD117" s="276"/>
      <c r="AE117" s="276"/>
      <c r="AF117" s="276"/>
    </row>
    <row r="118" spans="2:32" ht="15.75">
      <c r="I118" s="371"/>
      <c r="Q118" s="276"/>
      <c r="R118" s="276"/>
      <c r="S118" s="276">
        <f>+S116-S114</f>
        <v>2070351</v>
      </c>
      <c r="T118" s="276"/>
      <c r="U118" s="276"/>
      <c r="V118" s="276"/>
      <c r="W118" s="276">
        <f>+W116-W114</f>
        <v>142814</v>
      </c>
      <c r="X118" s="276"/>
      <c r="Y118" s="276"/>
      <c r="Z118" s="276"/>
      <c r="AA118" s="276">
        <f>+AA116-AA114</f>
        <v>2213165</v>
      </c>
      <c r="AB118" s="276"/>
      <c r="AC118" s="276">
        <f>+AC116-AC114</f>
        <v>-2815693</v>
      </c>
      <c r="AD118" s="276"/>
      <c r="AE118" s="276"/>
      <c r="AF118" s="276"/>
    </row>
    <row r="119" spans="2:32" ht="15.75">
      <c r="I119" s="371"/>
      <c r="Q119" s="276"/>
      <c r="R119" s="276"/>
      <c r="S119" s="276"/>
      <c r="T119" s="276"/>
      <c r="U119" s="276"/>
      <c r="V119" s="276"/>
      <c r="W119" s="276"/>
      <c r="X119" s="276"/>
      <c r="Y119" s="276"/>
      <c r="Z119" s="276"/>
      <c r="AA119" s="276"/>
      <c r="AB119" s="276"/>
      <c r="AC119" s="276"/>
      <c r="AD119" s="276"/>
      <c r="AE119" s="276"/>
      <c r="AF119" s="276"/>
    </row>
    <row r="120" spans="2:32" ht="15.75">
      <c r="I120" s="371"/>
      <c r="R120" s="370"/>
      <c r="S120" s="370">
        <f>+S118/AA118</f>
        <v>0.93547069468385768</v>
      </c>
      <c r="T120" s="370"/>
      <c r="U120" s="370"/>
      <c r="V120" s="370"/>
      <c r="W120" s="370">
        <f>+W118/AA118</f>
        <v>6.452930531614226E-2</v>
      </c>
      <c r="X120" s="370"/>
      <c r="Y120" s="370"/>
      <c r="Z120" s="370"/>
      <c r="AB120" s="370"/>
    </row>
    <row r="121" spans="2:32" ht="15.75">
      <c r="I121" s="371"/>
      <c r="Q121" s="288">
        <f>+K52+K48</f>
        <v>-4511186</v>
      </c>
      <c r="R121" s="370"/>
      <c r="S121" s="296"/>
      <c r="T121" s="370"/>
      <c r="U121" s="370"/>
      <c r="V121" s="370"/>
      <c r="W121" s="694">
        <f>W110/AA110</f>
        <v>6.452930531614226E-2</v>
      </c>
      <c r="X121" s="370"/>
      <c r="Y121" s="370"/>
      <c r="Z121" s="370"/>
      <c r="AB121" s="370"/>
    </row>
    <row r="123" spans="2:32">
      <c r="U123" s="330" t="s">
        <v>3523</v>
      </c>
      <c r="V123" s="330"/>
      <c r="W123" s="330" t="s">
        <v>185</v>
      </c>
    </row>
    <row r="124" spans="2:32" ht="15.75">
      <c r="B124" s="320"/>
      <c r="S124" s="288">
        <f>S116-U116</f>
        <v>2070351</v>
      </c>
      <c r="U124" s="288">
        <f>S92-U92</f>
        <v>9364417</v>
      </c>
      <c r="W124" s="288">
        <f>U105-S105</f>
        <v>-4299113</v>
      </c>
      <c r="AA124" s="695"/>
    </row>
    <row r="125" spans="2:32" ht="15.75">
      <c r="B125" s="276"/>
      <c r="S125" s="693">
        <f>S124/AA110</f>
        <v>0.93547069468385768</v>
      </c>
      <c r="U125" s="693">
        <f>U124/U92</f>
        <v>0.18128996625434846</v>
      </c>
      <c r="W125" s="693">
        <f>W124/U105</f>
        <v>-7.8735655455820855E-2</v>
      </c>
    </row>
    <row r="126" spans="2:32" ht="15.75">
      <c r="B126" s="276"/>
    </row>
    <row r="127" spans="2:32" ht="15.75">
      <c r="B127" s="321"/>
    </row>
    <row r="143" spans="2:2">
      <c r="B143" s="288" t="s">
        <v>813</v>
      </c>
    </row>
    <row r="145" spans="2:5">
      <c r="C145" s="288" t="s">
        <v>811</v>
      </c>
      <c r="E145" s="288" t="s">
        <v>812</v>
      </c>
    </row>
    <row r="147" spans="2:5">
      <c r="B147" s="288" t="s">
        <v>714</v>
      </c>
      <c r="C147" s="288">
        <f>+C13</f>
        <v>19685231</v>
      </c>
      <c r="E147" s="288">
        <f t="shared" ref="E147:E154" si="8">+G13+E13+F13</f>
        <v>2437030</v>
      </c>
    </row>
    <row r="148" spans="2:5">
      <c r="B148" s="288" t="s">
        <v>715</v>
      </c>
      <c r="C148" s="288">
        <f t="shared" ref="C148:C153" si="9">+C14</f>
        <v>22106905</v>
      </c>
      <c r="E148" s="288">
        <f t="shared" si="8"/>
        <v>4044956</v>
      </c>
    </row>
    <row r="149" spans="2:5">
      <c r="B149" s="288" t="s">
        <v>716</v>
      </c>
      <c r="C149" s="288">
        <f t="shared" si="9"/>
        <v>9013169</v>
      </c>
      <c r="E149" s="288">
        <f t="shared" si="8"/>
        <v>1235624</v>
      </c>
    </row>
    <row r="150" spans="2:5">
      <c r="B150" s="288" t="s">
        <v>717</v>
      </c>
      <c r="C150" s="288">
        <f t="shared" si="9"/>
        <v>6447650</v>
      </c>
      <c r="E150" s="288">
        <f t="shared" si="8"/>
        <v>2342791</v>
      </c>
    </row>
    <row r="151" spans="2:5">
      <c r="B151" s="288" t="s">
        <v>718</v>
      </c>
      <c r="C151" s="288">
        <f t="shared" si="9"/>
        <v>1033036</v>
      </c>
      <c r="E151" s="288">
        <f t="shared" si="8"/>
        <v>103886</v>
      </c>
    </row>
    <row r="152" spans="2:5">
      <c r="B152" s="288" t="s">
        <v>719</v>
      </c>
      <c r="C152" s="288">
        <f t="shared" si="9"/>
        <v>143769</v>
      </c>
      <c r="E152" s="288">
        <f t="shared" si="8"/>
        <v>360585</v>
      </c>
    </row>
    <row r="153" spans="2:5">
      <c r="B153" s="288" t="s">
        <v>814</v>
      </c>
      <c r="C153" s="288">
        <f t="shared" si="9"/>
        <v>471210</v>
      </c>
      <c r="E153" s="288">
        <f t="shared" si="8"/>
        <v>0</v>
      </c>
    </row>
    <row r="154" spans="2:5">
      <c r="B154" s="288" t="s">
        <v>408</v>
      </c>
      <c r="C154" s="288">
        <f>SUM(C147:C153)</f>
        <v>58900970</v>
      </c>
      <c r="E154" s="288">
        <f t="shared" si="8"/>
        <v>10524872</v>
      </c>
    </row>
    <row r="156" spans="2:5">
      <c r="E156" s="288">
        <f>3156736+2726171+1126435</f>
        <v>7009342</v>
      </c>
    </row>
    <row r="159" spans="2:5">
      <c r="B159" s="288" t="s">
        <v>261</v>
      </c>
    </row>
    <row r="161" spans="2:3">
      <c r="B161" s="288" t="s">
        <v>258</v>
      </c>
      <c r="C161" s="288">
        <f>+E20</f>
        <v>4113905</v>
      </c>
    </row>
    <row r="162" spans="2:3">
      <c r="B162" s="288" t="s">
        <v>259</v>
      </c>
      <c r="C162" s="288">
        <f>+F20</f>
        <v>6090409</v>
      </c>
    </row>
    <row r="163" spans="2:3">
      <c r="B163" s="288" t="s">
        <v>260</v>
      </c>
      <c r="C163" s="288">
        <f>+G20</f>
        <v>320558</v>
      </c>
    </row>
    <row r="164" spans="2:3">
      <c r="B164" s="288" t="s">
        <v>815</v>
      </c>
      <c r="C164" s="288">
        <f>+I38+I39+I37</f>
        <v>39671124</v>
      </c>
    </row>
    <row r="165" spans="2:3">
      <c r="B165" s="288" t="s">
        <v>257</v>
      </c>
      <c r="C165" s="288">
        <f>+I40</f>
        <v>6993408</v>
      </c>
    </row>
    <row r="166" spans="2:3">
      <c r="B166" s="288" t="s">
        <v>109</v>
      </c>
      <c r="C166" s="288">
        <f>+I43+I41</f>
        <v>3829372</v>
      </c>
    </row>
    <row r="168" spans="2:3">
      <c r="C168" s="288">
        <f>SUM(C161:C167)</f>
        <v>61018776</v>
      </c>
    </row>
    <row r="188" spans="2:5">
      <c r="B188" s="288" t="s">
        <v>843</v>
      </c>
    </row>
    <row r="190" spans="2:5">
      <c r="C190" s="288" t="s">
        <v>811</v>
      </c>
      <c r="E190" s="288" t="s">
        <v>812</v>
      </c>
    </row>
    <row r="192" spans="2:5">
      <c r="B192" s="288" t="s">
        <v>844</v>
      </c>
      <c r="C192" s="288">
        <f>+C23</f>
        <v>2993812</v>
      </c>
      <c r="E192" s="288">
        <f>+G23+E23+F23</f>
        <v>3099442</v>
      </c>
    </row>
    <row r="193" spans="2:5">
      <c r="B193" s="288" t="s">
        <v>669</v>
      </c>
      <c r="C193" s="288">
        <f>+C25</f>
        <v>2021354</v>
      </c>
      <c r="E193" s="288">
        <f>+G25+E25+F25</f>
        <v>1276827</v>
      </c>
    </row>
    <row r="195" spans="2:5">
      <c r="C195" s="288">
        <f>SUM(C192:C193)</f>
        <v>5015166</v>
      </c>
      <c r="E195" s="288">
        <f>SUM(E192:E193)</f>
        <v>4376269</v>
      </c>
    </row>
    <row r="216" spans="2:3">
      <c r="B216" s="288" t="s">
        <v>668</v>
      </c>
    </row>
    <row r="219" spans="2:3">
      <c r="B219" s="288" t="str">
        <f>+B161</f>
        <v>Charges for Services</v>
      </c>
      <c r="C219" s="288">
        <f>+E26</f>
        <v>4356919</v>
      </c>
    </row>
    <row r="220" spans="2:3">
      <c r="B220" s="288" t="s">
        <v>815</v>
      </c>
      <c r="C220" s="288">
        <f>+J38+J39+J37</f>
        <v>552792</v>
      </c>
    </row>
    <row r="221" spans="2:3">
      <c r="B221" s="288" t="str">
        <f>+C43</f>
        <v xml:space="preserve">     Miscellaneous</v>
      </c>
      <c r="C221" s="288">
        <f>+J43+J41</f>
        <v>181464</v>
      </c>
    </row>
    <row r="228" spans="2:2">
      <c r="B228" s="613"/>
    </row>
    <row r="256" spans="2:7" ht="15.75">
      <c r="B256" s="276" t="s">
        <v>970</v>
      </c>
      <c r="C256" s="293">
        <v>2549477</v>
      </c>
      <c r="E256" s="293">
        <v>119709</v>
      </c>
      <c r="F256" s="293">
        <v>1094487</v>
      </c>
      <c r="G256" s="293">
        <v>20502</v>
      </c>
    </row>
  </sheetData>
  <mergeCells count="4">
    <mergeCell ref="W78:Y78"/>
    <mergeCell ref="AA78:AC78"/>
    <mergeCell ref="Q77:AC77"/>
    <mergeCell ref="S78:U78"/>
  </mergeCells>
  <phoneticPr fontId="0" type="noConversion"/>
  <printOptions horizontalCentered="1"/>
  <pageMargins left="0.25" right="0.25" top="0.5" bottom="0.5" header="0.25" footer="0.35"/>
  <pageSetup scale="51" orientation="portrait" r:id="rId1"/>
  <headerFooter alignWithMargins="0"/>
  <ignoredErrors>
    <ignoredError sqref="AC99" formula="1"/>
    <ignoredError sqref="V84"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T65"/>
  <sheetViews>
    <sheetView tabSelected="1" zoomScaleNormal="100" workbookViewId="0">
      <pane xSplit="1" ySplit="5" topLeftCell="C6" activePane="bottomRight" state="frozen"/>
      <selection activeCell="K211" sqref="K211"/>
      <selection pane="topRight" activeCell="K211" sqref="K211"/>
      <selection pane="bottomLeft" activeCell="K211" sqref="K211"/>
      <selection pane="bottomRight" activeCell="K19" sqref="K19"/>
    </sheetView>
  </sheetViews>
  <sheetFormatPr defaultColWidth="9.140625" defaultRowHeight="12.75"/>
  <cols>
    <col min="1" max="1" width="32.7109375" style="288" customWidth="1"/>
    <col min="2" max="2" width="1.85546875" style="288" customWidth="1"/>
    <col min="3" max="3" width="14" style="288" bestFit="1" customWidth="1"/>
    <col min="4" max="4" width="10.42578125" style="288" bestFit="1" customWidth="1"/>
    <col min="5" max="5" width="12.7109375" style="288" customWidth="1"/>
    <col min="6" max="6" width="12.5703125" style="288" bestFit="1" customWidth="1"/>
    <col min="7" max="7" width="12.140625" style="288" bestFit="1" customWidth="1"/>
    <col min="8" max="8" width="12.140625" style="288" customWidth="1"/>
    <col min="9" max="9" width="11.42578125" style="288" customWidth="1"/>
    <col min="10" max="10" width="11.28515625" style="288" bestFit="1" customWidth="1"/>
    <col min="11" max="11" width="11.28515625" style="288" customWidth="1"/>
    <col min="12" max="12" width="10.5703125" style="288" bestFit="1" customWidth="1"/>
    <col min="13" max="13" width="12.85546875" style="288" bestFit="1" customWidth="1"/>
    <col min="14" max="14" width="2.85546875" style="288" customWidth="1"/>
    <col min="15" max="15" width="18.28515625" style="288" bestFit="1" customWidth="1"/>
    <col min="16" max="16" width="2.85546875" style="288" customWidth="1"/>
    <col min="17" max="17" width="12.28515625" style="288" bestFit="1" customWidth="1"/>
    <col min="18" max="18" width="12" style="288" customWidth="1"/>
    <col min="19" max="19" width="12.85546875" style="288" customWidth="1"/>
    <col min="20" max="20" width="9.7109375" style="288" bestFit="1" customWidth="1"/>
    <col min="21" max="16384" width="9.140625" style="288"/>
  </cols>
  <sheetData>
    <row r="1" spans="1:20" ht="15.75">
      <c r="A1" s="305" t="s">
        <v>1685</v>
      </c>
      <c r="B1" s="305"/>
      <c r="C1" s="305"/>
      <c r="D1" s="305"/>
      <c r="E1" s="305"/>
      <c r="F1" s="305"/>
      <c r="G1" s="305"/>
      <c r="H1" s="305"/>
      <c r="I1" s="305"/>
      <c r="J1" s="305"/>
      <c r="K1" s="305"/>
      <c r="L1" s="305"/>
      <c r="M1" s="305"/>
      <c r="N1" s="305"/>
      <c r="O1" s="305"/>
      <c r="P1" s="305"/>
      <c r="Q1" s="305"/>
    </row>
    <row r="2" spans="1:20" ht="15.75">
      <c r="A2" s="305" t="s">
        <v>3386</v>
      </c>
      <c r="B2" s="305"/>
      <c r="C2" s="305"/>
      <c r="D2" s="305"/>
      <c r="E2" s="305"/>
      <c r="F2" s="305"/>
      <c r="G2" s="305"/>
      <c r="H2" s="305"/>
      <c r="I2" s="305"/>
      <c r="J2" s="305"/>
      <c r="K2" s="305"/>
      <c r="L2" s="305"/>
      <c r="M2" s="305"/>
      <c r="N2" s="305"/>
      <c r="O2" s="305"/>
      <c r="P2" s="305"/>
      <c r="Q2" s="305"/>
    </row>
    <row r="3" spans="1:20" ht="15.75">
      <c r="E3" s="276"/>
      <c r="K3" s="372" t="s">
        <v>1755</v>
      </c>
      <c r="O3" s="372" t="s">
        <v>799</v>
      </c>
    </row>
    <row r="4" spans="1:20">
      <c r="C4" s="372" t="s">
        <v>1235</v>
      </c>
      <c r="D4" s="372" t="s">
        <v>392</v>
      </c>
      <c r="E4" s="372" t="s">
        <v>392</v>
      </c>
      <c r="F4" s="372" t="s">
        <v>392</v>
      </c>
      <c r="G4" s="372" t="s">
        <v>1584</v>
      </c>
      <c r="H4" s="372" t="s">
        <v>2070</v>
      </c>
      <c r="I4" s="372" t="s">
        <v>1224</v>
      </c>
      <c r="J4" s="372" t="s">
        <v>798</v>
      </c>
      <c r="K4" s="372" t="s">
        <v>1756</v>
      </c>
      <c r="L4" s="372" t="s">
        <v>696</v>
      </c>
      <c r="M4" s="372"/>
      <c r="O4" s="372" t="s">
        <v>800</v>
      </c>
    </row>
    <row r="5" spans="1:20">
      <c r="C5" s="373" t="s">
        <v>1531</v>
      </c>
      <c r="D5" s="373" t="s">
        <v>393</v>
      </c>
      <c r="E5" s="373" t="s">
        <v>394</v>
      </c>
      <c r="F5" s="373" t="s">
        <v>395</v>
      </c>
      <c r="G5" s="373" t="s">
        <v>1585</v>
      </c>
      <c r="H5" s="373" t="s">
        <v>2071</v>
      </c>
      <c r="I5" s="373" t="s">
        <v>1523</v>
      </c>
      <c r="J5" s="373" t="s">
        <v>612</v>
      </c>
      <c r="K5" s="373" t="s">
        <v>1754</v>
      </c>
      <c r="L5" s="373" t="s">
        <v>922</v>
      </c>
      <c r="M5" s="373" t="s">
        <v>1369</v>
      </c>
      <c r="O5" s="373" t="s">
        <v>921</v>
      </c>
      <c r="Q5" s="373" t="s">
        <v>792</v>
      </c>
    </row>
    <row r="6" spans="1:20">
      <c r="A6" s="374" t="s">
        <v>1234</v>
      </c>
    </row>
    <row r="7" spans="1:20">
      <c r="A7" s="288" t="s">
        <v>1235</v>
      </c>
      <c r="B7" s="361"/>
      <c r="C7" s="361">
        <f>+INPUT!D189</f>
        <v>110000</v>
      </c>
      <c r="D7" s="361"/>
      <c r="E7" s="351">
        <f>+'Govt BS'!D111</f>
        <v>112403</v>
      </c>
      <c r="F7" s="361"/>
      <c r="G7" s="361"/>
      <c r="H7" s="361"/>
      <c r="I7" s="361"/>
      <c r="J7" s="361"/>
      <c r="K7" s="361"/>
      <c r="M7" s="361">
        <f>+'Govt BS'!D114+'Govt BS'!D115+'Govt BS'!D116</f>
        <v>10002329</v>
      </c>
      <c r="N7" s="361"/>
      <c r="O7" s="361"/>
      <c r="P7" s="361"/>
      <c r="Q7" s="361">
        <f>SUM(B7:P7)</f>
        <v>10224732</v>
      </c>
      <c r="S7" s="288">
        <f>+'Govt BS'!D121</f>
        <v>10224732</v>
      </c>
      <c r="T7" s="288">
        <f>+S7-Q7</f>
        <v>0</v>
      </c>
    </row>
    <row r="8" spans="1:20">
      <c r="A8" s="288" t="s">
        <v>683</v>
      </c>
      <c r="B8" s="351"/>
      <c r="C8" s="351"/>
      <c r="D8" s="351">
        <f>+'Govt BS'!F111+'Govt BS'!F112</f>
        <v>0</v>
      </c>
      <c r="E8" s="351"/>
      <c r="F8" s="351"/>
      <c r="G8" s="351"/>
      <c r="H8" s="351"/>
      <c r="I8" s="351"/>
      <c r="J8" s="351"/>
      <c r="K8" s="351"/>
      <c r="L8" s="351"/>
      <c r="M8" s="351">
        <f>+'Govt BS'!F114+'Govt BS'!F115+'Govt BS'!F116</f>
        <v>4366091</v>
      </c>
      <c r="N8" s="351"/>
      <c r="O8" s="351"/>
      <c r="P8" s="351"/>
      <c r="Q8" s="351">
        <f t="shared" ref="Q8:Q11" si="0">SUM(B8:P8)</f>
        <v>4366091</v>
      </c>
      <c r="S8" s="288">
        <f>+'Govt BS'!F121</f>
        <v>4366091</v>
      </c>
      <c r="T8" s="288">
        <f>+S8-Q8</f>
        <v>0</v>
      </c>
    </row>
    <row r="9" spans="1:20">
      <c r="A9" s="288" t="s">
        <v>3157</v>
      </c>
      <c r="B9" s="351"/>
      <c r="C9" s="351">
        <f>+'Govt BS'!G114</f>
        <v>0</v>
      </c>
      <c r="D9" s="351"/>
      <c r="E9" s="351"/>
      <c r="F9" s="351"/>
      <c r="G9" s="351"/>
      <c r="H9" s="351"/>
      <c r="I9" s="351"/>
      <c r="J9" s="351"/>
      <c r="K9" s="351"/>
      <c r="L9" s="351"/>
      <c r="M9" s="351">
        <f>+'Govt BS'!G114+'Govt BS'!G115+'Govt BS'!G116</f>
        <v>-287714</v>
      </c>
      <c r="N9" s="351"/>
      <c r="O9" s="351"/>
      <c r="P9" s="351"/>
      <c r="Q9" s="351">
        <f t="shared" si="0"/>
        <v>-287714</v>
      </c>
    </row>
    <row r="10" spans="1:20">
      <c r="A10" s="288" t="s">
        <v>2040</v>
      </c>
      <c r="B10" s="351"/>
      <c r="C10" s="351"/>
      <c r="D10" s="351"/>
      <c r="E10" s="351"/>
      <c r="F10" s="351"/>
      <c r="G10" s="351"/>
      <c r="H10" s="351"/>
      <c r="I10" s="351"/>
      <c r="J10" s="351"/>
      <c r="K10" s="351"/>
      <c r="L10" s="351"/>
      <c r="M10" s="351">
        <f>+'Govt BS'!H114+'Govt BS'!H115+'Govt BS'!H116</f>
        <v>6813379</v>
      </c>
      <c r="N10" s="351"/>
      <c r="O10" s="351"/>
      <c r="P10" s="351"/>
      <c r="Q10" s="351">
        <f t="shared" si="0"/>
        <v>6813379</v>
      </c>
    </row>
    <row r="11" spans="1:20">
      <c r="A11" s="288" t="s">
        <v>753</v>
      </c>
      <c r="B11" s="351"/>
      <c r="C11" s="351"/>
      <c r="D11" s="351"/>
      <c r="E11" s="351"/>
      <c r="F11" s="351"/>
      <c r="G11" s="351"/>
      <c r="H11" s="351"/>
      <c r="I11" s="351">
        <f>+'Govt BS'!J112</f>
        <v>121101</v>
      </c>
      <c r="J11" s="351"/>
      <c r="K11" s="351"/>
      <c r="L11" s="351"/>
      <c r="M11" s="351">
        <f>+'Govt BS'!J114+'Govt BS'!J115+'Govt BS'!J116</f>
        <v>0</v>
      </c>
      <c r="N11" s="351"/>
      <c r="O11" s="351"/>
      <c r="P11" s="351"/>
      <c r="Q11" s="351">
        <f t="shared" si="0"/>
        <v>121101</v>
      </c>
      <c r="S11" s="288">
        <f>+'Govt BS'!J121</f>
        <v>121101</v>
      </c>
      <c r="T11" s="288">
        <f>+S11-Q11</f>
        <v>0</v>
      </c>
    </row>
    <row r="12" spans="1:20">
      <c r="A12" s="288" t="s">
        <v>611</v>
      </c>
      <c r="B12" s="351"/>
      <c r="C12" s="351"/>
      <c r="D12" s="351"/>
      <c r="E12" s="351">
        <f>+'Govt BS'!N111</f>
        <v>0</v>
      </c>
      <c r="F12" s="351"/>
      <c r="G12" s="351"/>
      <c r="H12" s="351"/>
      <c r="I12" s="351"/>
      <c r="J12" s="351">
        <f>+'Govt BS'!N112</f>
        <v>0</v>
      </c>
      <c r="K12" s="351"/>
      <c r="L12" s="351"/>
      <c r="M12" s="351">
        <f>+'Govt BS'!N114+'Govt BS'!N115+'Govt BS'!N116</f>
        <v>17906114</v>
      </c>
      <c r="N12" s="351"/>
      <c r="O12" s="351"/>
      <c r="P12" s="351"/>
      <c r="Q12" s="351">
        <f>SUM(B12:P12)</f>
        <v>17906114</v>
      </c>
      <c r="S12" s="288">
        <f>+'Govt BS'!N121</f>
        <v>17906114</v>
      </c>
      <c r="T12" s="288">
        <f>+S12-Q12</f>
        <v>0</v>
      </c>
    </row>
    <row r="13" spans="1:20">
      <c r="B13" s="351"/>
      <c r="C13" s="351"/>
      <c r="D13" s="351"/>
      <c r="E13" s="351"/>
      <c r="F13" s="351"/>
      <c r="G13" s="351"/>
      <c r="H13" s="351"/>
      <c r="I13" s="351"/>
      <c r="J13" s="351"/>
      <c r="K13" s="351"/>
      <c r="L13" s="351"/>
      <c r="M13" s="351"/>
      <c r="N13" s="351"/>
      <c r="O13" s="351"/>
      <c r="P13" s="351"/>
      <c r="Q13" s="351"/>
    </row>
    <row r="14" spans="1:20">
      <c r="B14" s="351"/>
      <c r="C14" s="351"/>
      <c r="D14" s="351"/>
      <c r="E14" s="351"/>
      <c r="F14" s="351"/>
      <c r="G14" s="351"/>
      <c r="H14" s="351"/>
      <c r="I14" s="351"/>
      <c r="J14" s="351"/>
      <c r="K14" s="351"/>
      <c r="L14" s="351"/>
      <c r="M14" s="351"/>
      <c r="N14" s="351"/>
      <c r="O14" s="351"/>
      <c r="P14" s="351"/>
      <c r="Q14" s="351"/>
    </row>
    <row r="15" spans="1:20">
      <c r="A15" s="374" t="s">
        <v>1529</v>
      </c>
      <c r="B15" s="351"/>
      <c r="C15" s="351"/>
      <c r="D15" s="351"/>
      <c r="E15" s="351"/>
      <c r="F15" s="351"/>
      <c r="G15" s="351"/>
      <c r="H15" s="351"/>
      <c r="I15" s="351"/>
      <c r="J15" s="351"/>
      <c r="K15" s="351"/>
      <c r="L15" s="351"/>
      <c r="M15" s="351"/>
      <c r="N15" s="351"/>
      <c r="O15" s="351"/>
      <c r="P15" s="351"/>
      <c r="Q15" s="351"/>
    </row>
    <row r="16" spans="1:20">
      <c r="A16" s="288" t="s">
        <v>1524</v>
      </c>
      <c r="E16" s="351">
        <f>+INPUT!J341</f>
        <v>397710</v>
      </c>
      <c r="F16" s="351">
        <f>+INPUT!U341</f>
        <v>76413</v>
      </c>
      <c r="G16" s="351">
        <f>+INPUT!V341</f>
        <v>0</v>
      </c>
      <c r="H16" s="351"/>
      <c r="Q16" s="351">
        <f>SUM(B16:P16)</f>
        <v>474123</v>
      </c>
      <c r="S16" s="351"/>
    </row>
    <row r="17" spans="1:20">
      <c r="A17" s="288" t="s">
        <v>1525</v>
      </c>
      <c r="B17" s="351"/>
      <c r="C17" s="351"/>
      <c r="D17" s="351"/>
      <c r="E17" s="351">
        <f>+INPUT!CA343</f>
        <v>0</v>
      </c>
      <c r="F17" s="351"/>
      <c r="G17" s="351"/>
      <c r="H17" s="351"/>
      <c r="I17" s="351"/>
      <c r="J17" s="351"/>
      <c r="K17" s="351"/>
      <c r="L17" s="351"/>
      <c r="M17" s="351"/>
      <c r="N17" s="351"/>
      <c r="O17" s="351"/>
      <c r="P17" s="351"/>
      <c r="Q17" s="351"/>
      <c r="S17" s="351"/>
    </row>
    <row r="18" spans="1:20">
      <c r="A18" s="288" t="s">
        <v>1526</v>
      </c>
      <c r="B18" s="351"/>
      <c r="C18" s="351"/>
      <c r="D18" s="351"/>
      <c r="E18" s="351"/>
      <c r="F18" s="351"/>
      <c r="G18" s="351"/>
      <c r="H18" s="351"/>
      <c r="I18" s="351"/>
      <c r="J18" s="351"/>
      <c r="K18" s="351">
        <f>+INPUT!CA344</f>
        <v>737543</v>
      </c>
      <c r="M18" s="351"/>
      <c r="N18" s="351"/>
      <c r="O18" s="351"/>
      <c r="P18" s="351"/>
      <c r="Q18" s="351">
        <f>SUM(C18:L18)</f>
        <v>737543</v>
      </c>
      <c r="S18" s="351">
        <f>+INPUT!CA344</f>
        <v>737543</v>
      </c>
    </row>
    <row r="19" spans="1:20">
      <c r="A19" s="288" t="s">
        <v>1527</v>
      </c>
      <c r="B19" s="351"/>
      <c r="C19" s="351">
        <f>+INPUT!CA351+INPUT!CA352</f>
        <v>1675727</v>
      </c>
      <c r="D19" s="351">
        <f>+INPUT!CA354+INPUT!CA355</f>
        <v>843104</v>
      </c>
      <c r="E19" s="351">
        <f>+INPUT!CA356+INPUT!CA350</f>
        <v>1123059</v>
      </c>
      <c r="F19" s="351">
        <f>+INPUT!CA357</f>
        <v>104504</v>
      </c>
      <c r="G19" s="351">
        <f>+INPUT!CA358</f>
        <v>0</v>
      </c>
      <c r="H19" s="351"/>
      <c r="I19" s="351">
        <f>+INPUT!CA359</f>
        <v>503478</v>
      </c>
      <c r="J19" s="351">
        <f>+INPUT!CA353</f>
        <v>0</v>
      </c>
      <c r="K19" s="351"/>
      <c r="L19" s="351"/>
      <c r="M19" s="351"/>
      <c r="N19" s="351"/>
      <c r="O19" s="351"/>
      <c r="P19" s="351"/>
      <c r="Q19" s="351">
        <f>SUM(C19:L19)</f>
        <v>4249872</v>
      </c>
      <c r="S19" s="288">
        <f>+'Govt BS'!R111+'Govt BS'!R112</f>
        <v>5461538</v>
      </c>
      <c r="T19" s="288">
        <f>+S19-Q19-Q18-Q17-Q16</f>
        <v>0</v>
      </c>
    </row>
    <row r="20" spans="1:20">
      <c r="A20" s="374" t="s">
        <v>1528</v>
      </c>
      <c r="B20" s="351"/>
      <c r="C20" s="351"/>
      <c r="D20" s="351"/>
      <c r="E20" s="351"/>
      <c r="F20" s="351"/>
      <c r="G20" s="351"/>
      <c r="H20" s="351"/>
      <c r="I20" s="351"/>
      <c r="J20" s="351"/>
      <c r="K20" s="351"/>
      <c r="L20" s="351"/>
      <c r="M20" s="351">
        <f>+INPUT!CA376+INPUT!CA382+INPUT!CA384</f>
        <v>10085655</v>
      </c>
      <c r="N20" s="351"/>
      <c r="O20" s="351"/>
      <c r="P20" s="351"/>
      <c r="Q20" s="351">
        <f>SUM(B20:P20)</f>
        <v>10085655</v>
      </c>
      <c r="S20" s="288">
        <f>+'Govt BS'!R114+'Govt BS'!R115+'Govt BS'!R116</f>
        <v>10085655</v>
      </c>
      <c r="T20" s="288">
        <f>+S20-Q20</f>
        <v>0</v>
      </c>
    </row>
    <row r="21" spans="1:20">
      <c r="B21" s="351"/>
      <c r="C21" s="351"/>
      <c r="D21" s="351"/>
      <c r="E21" s="351"/>
      <c r="F21" s="351"/>
      <c r="G21" s="351"/>
      <c r="H21" s="351"/>
      <c r="I21" s="351"/>
      <c r="J21" s="351"/>
      <c r="K21" s="351"/>
      <c r="L21" s="351"/>
      <c r="M21" s="351"/>
      <c r="N21" s="351"/>
      <c r="O21" s="351"/>
      <c r="P21" s="351"/>
      <c r="Q21" s="351"/>
    </row>
    <row r="22" spans="1:20">
      <c r="B22" s="351"/>
      <c r="C22" s="351"/>
      <c r="D22" s="351"/>
      <c r="E22" s="351"/>
      <c r="F22" s="351"/>
      <c r="G22" s="351"/>
      <c r="H22" s="351"/>
      <c r="I22" s="351"/>
      <c r="J22" s="351"/>
      <c r="K22" s="351"/>
      <c r="L22" s="351"/>
      <c r="M22" s="351"/>
      <c r="N22" s="351"/>
      <c r="O22" s="351"/>
      <c r="P22" s="351"/>
      <c r="Q22" s="351">
        <f>SUM(B22:P22)</f>
        <v>0</v>
      </c>
    </row>
    <row r="23" spans="1:20">
      <c r="A23" s="288" t="s">
        <v>396</v>
      </c>
      <c r="B23" s="351"/>
      <c r="C23" s="375">
        <f>SUM(C7:C22)</f>
        <v>1785727</v>
      </c>
      <c r="D23" s="375">
        <f>SUM(D7:D22)</f>
        <v>843104</v>
      </c>
      <c r="E23" s="375">
        <f>SUM(E7:E22)</f>
        <v>1633172</v>
      </c>
      <c r="F23" s="375">
        <f>SUM(F7:F22)</f>
        <v>180917</v>
      </c>
      <c r="G23" s="375">
        <f>SUM(G7:G22)</f>
        <v>0</v>
      </c>
      <c r="H23" s="375"/>
      <c r="I23" s="375">
        <f>SUM(I7:I22)</f>
        <v>624579</v>
      </c>
      <c r="J23" s="375">
        <f>SUM(J7:J22)</f>
        <v>0</v>
      </c>
      <c r="K23" s="375">
        <f>SUM(K7:K22)</f>
        <v>737543</v>
      </c>
      <c r="L23" s="375">
        <f>SUM(L7:L22)</f>
        <v>0</v>
      </c>
      <c r="M23" s="375">
        <f>SUM(M7:M22)</f>
        <v>48885854</v>
      </c>
      <c r="N23" s="351"/>
      <c r="O23" s="375">
        <f>SUM(O7:O22)</f>
        <v>0</v>
      </c>
      <c r="P23" s="351"/>
      <c r="Q23" s="375">
        <f>SUM(Q7:Q22)</f>
        <v>54690896</v>
      </c>
    </row>
    <row r="24" spans="1:20">
      <c r="B24" s="351"/>
      <c r="C24" s="351"/>
      <c r="D24" s="351"/>
      <c r="E24" s="351"/>
      <c r="F24" s="351"/>
      <c r="G24" s="351"/>
      <c r="H24" s="351"/>
      <c r="I24" s="351"/>
      <c r="J24" s="351"/>
      <c r="K24" s="351"/>
      <c r="L24" s="351"/>
      <c r="M24" s="351"/>
      <c r="N24" s="351"/>
      <c r="O24" s="351"/>
      <c r="P24" s="351"/>
      <c r="Q24" s="351"/>
    </row>
    <row r="25" spans="1:20">
      <c r="A25" s="374" t="s">
        <v>397</v>
      </c>
      <c r="B25" s="351"/>
      <c r="C25" s="351"/>
      <c r="D25" s="351"/>
      <c r="E25" s="351"/>
      <c r="F25" s="351"/>
      <c r="G25" s="351"/>
      <c r="H25" s="351"/>
      <c r="I25" s="351"/>
      <c r="J25" s="351"/>
      <c r="K25" s="351"/>
      <c r="L25" s="351"/>
      <c r="M25" s="351"/>
      <c r="N25" s="351"/>
      <c r="O25" s="351"/>
      <c r="P25" s="351"/>
      <c r="Q25" s="351"/>
    </row>
    <row r="26" spans="1:20">
      <c r="A26" s="288" t="s">
        <v>398</v>
      </c>
      <c r="B26" s="351"/>
      <c r="C26" s="351"/>
      <c r="D26" s="351"/>
      <c r="E26" s="351"/>
      <c r="F26" s="351"/>
      <c r="G26" s="351"/>
      <c r="H26" s="351"/>
      <c r="I26" s="351"/>
      <c r="J26" s="351"/>
      <c r="K26" s="351"/>
      <c r="L26" s="351"/>
      <c r="M26" s="351">
        <f>+'Govt BS'!R166</f>
        <v>-28985</v>
      </c>
      <c r="N26" s="351"/>
      <c r="O26" s="351"/>
      <c r="P26" s="351" t="s">
        <v>479</v>
      </c>
      <c r="Q26" s="351">
        <f>SUM(B26:P26)</f>
        <v>-28985</v>
      </c>
    </row>
    <row r="27" spans="1:20">
      <c r="A27" s="288" t="s">
        <v>399</v>
      </c>
      <c r="B27" s="351"/>
      <c r="C27" s="351"/>
      <c r="D27" s="351"/>
      <c r="E27" s="351"/>
      <c r="F27" s="351"/>
      <c r="G27" s="351"/>
      <c r="H27" s="351"/>
      <c r="I27" s="351">
        <f>+INPUT!BP157</f>
        <v>540579</v>
      </c>
      <c r="J27" s="351"/>
      <c r="K27" s="351"/>
      <c r="L27" s="351"/>
      <c r="M27" s="351">
        <f>+'Govt BS'!R151-I27</f>
        <v>500051</v>
      </c>
      <c r="N27" s="351"/>
      <c r="O27" s="351"/>
      <c r="P27" s="351" t="s">
        <v>479</v>
      </c>
      <c r="Q27" s="351">
        <f>SUM(B27:P27)</f>
        <v>1040630</v>
      </c>
    </row>
    <row r="28" spans="1:20">
      <c r="A28" s="288" t="s">
        <v>400</v>
      </c>
      <c r="B28" s="351"/>
      <c r="C28" s="351"/>
      <c r="D28" s="351"/>
      <c r="E28" s="351"/>
      <c r="F28" s="351"/>
      <c r="G28" s="351"/>
      <c r="H28" s="351"/>
      <c r="I28" s="351"/>
      <c r="J28" s="351"/>
      <c r="K28" s="351"/>
      <c r="L28" s="351"/>
      <c r="M28" s="351">
        <f>+'Govt BS'!N171</f>
        <v>-2347144</v>
      </c>
      <c r="N28" s="351"/>
      <c r="O28" s="351"/>
      <c r="P28" s="351"/>
      <c r="Q28" s="351">
        <f t="shared" ref="Q28:Q37" si="1">SUM(B28:P28)</f>
        <v>-2347144</v>
      </c>
    </row>
    <row r="29" spans="1:20">
      <c r="B29" s="351"/>
      <c r="C29" s="351"/>
      <c r="D29" s="351"/>
      <c r="E29" s="351"/>
      <c r="F29" s="351"/>
      <c r="G29" s="351"/>
      <c r="H29" s="351"/>
      <c r="I29" s="351"/>
      <c r="J29" s="351"/>
      <c r="K29" s="351"/>
      <c r="L29" s="351"/>
      <c r="M29" s="351"/>
      <c r="N29" s="351"/>
      <c r="O29" s="351"/>
      <c r="P29" s="351"/>
      <c r="Q29" s="351"/>
    </row>
    <row r="30" spans="1:20">
      <c r="B30" s="351"/>
      <c r="C30" s="351"/>
      <c r="D30" s="351"/>
      <c r="E30" s="351"/>
      <c r="F30" s="351"/>
      <c r="G30" s="351"/>
      <c r="H30" s="351"/>
      <c r="I30" s="351"/>
      <c r="J30" s="351"/>
      <c r="K30" s="351"/>
      <c r="L30" s="351"/>
      <c r="M30" s="351"/>
      <c r="N30" s="351"/>
      <c r="O30" s="351"/>
      <c r="P30" s="351"/>
      <c r="Q30" s="351"/>
    </row>
    <row r="31" spans="1:20">
      <c r="A31" s="288" t="s">
        <v>401</v>
      </c>
      <c r="C31" s="351"/>
      <c r="D31" s="351"/>
      <c r="E31" s="351"/>
      <c r="F31" s="351"/>
      <c r="G31" s="351"/>
      <c r="H31" s="351">
        <f>+PROPNA!N110</f>
        <v>0</v>
      </c>
      <c r="J31" s="351"/>
      <c r="K31" s="351"/>
      <c r="L31" s="351">
        <f>+PROPNA!N113</f>
        <v>0</v>
      </c>
      <c r="M31" s="351">
        <f>+PROPNA!N114</f>
        <v>4716531</v>
      </c>
      <c r="N31" s="351"/>
      <c r="O31" s="351">
        <f>+PROPNA!N109</f>
        <v>1083329</v>
      </c>
      <c r="P31" s="351"/>
      <c r="Q31" s="351">
        <f t="shared" si="1"/>
        <v>5799860</v>
      </c>
      <c r="R31" s="288">
        <f>+PROPNA!N116</f>
        <v>5799860</v>
      </c>
      <c r="S31" s="288">
        <f>+R31-Q31</f>
        <v>0</v>
      </c>
    </row>
    <row r="32" spans="1:20">
      <c r="A32" s="288" t="s">
        <v>3487</v>
      </c>
      <c r="C32" s="351"/>
      <c r="D32" s="351"/>
      <c r="E32" s="351"/>
      <c r="F32" s="351"/>
      <c r="G32" s="351"/>
      <c r="H32" s="351"/>
      <c r="I32" s="351"/>
      <c r="J32" s="351"/>
      <c r="K32" s="351"/>
      <c r="L32" s="351"/>
      <c r="M32" s="351"/>
      <c r="N32" s="351"/>
      <c r="O32" s="351">
        <f>SUM('Govt BS'!R142:R149)</f>
        <v>50754771</v>
      </c>
      <c r="P32" s="351"/>
      <c r="Q32" s="351">
        <f t="shared" si="1"/>
        <v>50754771</v>
      </c>
    </row>
    <row r="33" spans="1:19">
      <c r="A33" s="288" t="s">
        <v>542</v>
      </c>
      <c r="C33" s="351"/>
      <c r="D33" s="351"/>
      <c r="E33" s="351"/>
      <c r="F33" s="351"/>
      <c r="I33" s="351"/>
      <c r="J33" s="351"/>
      <c r="K33" s="351"/>
      <c r="L33" s="351"/>
      <c r="M33" s="351"/>
      <c r="N33" s="351"/>
      <c r="O33" s="351"/>
      <c r="P33" s="351"/>
      <c r="Q33" s="351">
        <f t="shared" si="1"/>
        <v>0</v>
      </c>
    </row>
    <row r="34" spans="1:19">
      <c r="A34" s="288" t="s">
        <v>543</v>
      </c>
      <c r="C34" s="376">
        <f>-11037813+9252086</f>
        <v>-1785727</v>
      </c>
      <c r="D34" s="351"/>
      <c r="E34" s="351"/>
      <c r="F34" s="351"/>
      <c r="G34" s="351"/>
      <c r="H34" s="351"/>
      <c r="I34" s="351">
        <f>+INPUT!BI207+INPUT!BL207+INPUT!BM207</f>
        <v>116330</v>
      </c>
      <c r="J34" s="351"/>
      <c r="K34" s="351"/>
      <c r="L34" s="351"/>
      <c r="M34" s="376">
        <f>-9252086-I34</f>
        <v>-9368416</v>
      </c>
      <c r="N34" s="351" t="s">
        <v>379</v>
      </c>
      <c r="P34" s="351"/>
      <c r="Q34" s="351">
        <f>SUM(B34:P34)</f>
        <v>-11037813</v>
      </c>
      <c r="S34" s="376" t="s">
        <v>3478</v>
      </c>
    </row>
    <row r="35" spans="1:19">
      <c r="A35" s="288" t="s">
        <v>3009</v>
      </c>
      <c r="C35" s="351"/>
      <c r="D35" s="351"/>
      <c r="E35" s="351"/>
      <c r="F35" s="351"/>
      <c r="G35" s="351"/>
      <c r="H35" s="351"/>
      <c r="I35" s="351"/>
      <c r="J35" s="351"/>
      <c r="K35" s="351"/>
      <c r="L35" s="351"/>
      <c r="M35" s="1102">
        <f>-O35</f>
        <v>5357813</v>
      </c>
      <c r="N35" s="351" t="s">
        <v>1423</v>
      </c>
      <c r="O35" s="376">
        <f>-47813-5310000</f>
        <v>-5357813</v>
      </c>
      <c r="P35" s="351"/>
      <c r="Q35" s="351">
        <f t="shared" si="1"/>
        <v>0</v>
      </c>
      <c r="S35" s="376" t="s">
        <v>3387</v>
      </c>
    </row>
    <row r="36" spans="1:19">
      <c r="A36" s="288" t="s">
        <v>2072</v>
      </c>
      <c r="C36" s="351"/>
      <c r="D36" s="351"/>
      <c r="E36" s="351"/>
      <c r="F36" s="351"/>
      <c r="G36" s="351"/>
      <c r="H36" s="351"/>
      <c r="I36" s="351">
        <f>IF((+I23+I27)&lt;(+'Govt BS'!N169+'Govt BS'!N168),+'Govt BS'!N169+'Govt BS'!N168,-I23-I27)</f>
        <v>-1165158</v>
      </c>
      <c r="J36" s="351"/>
      <c r="K36" s="351"/>
      <c r="L36" s="351"/>
      <c r="M36" s="351">
        <f>+'Govt BS'!N168+'Govt BS'!N169-I36</f>
        <v>-43277</v>
      </c>
      <c r="N36" s="351" t="s">
        <v>1448</v>
      </c>
      <c r="O36" s="351"/>
      <c r="P36" s="351"/>
      <c r="Q36" s="351">
        <f>SUM(B36:P36)</f>
        <v>-1208435</v>
      </c>
    </row>
    <row r="37" spans="1:19">
      <c r="A37" s="288" t="s">
        <v>544</v>
      </c>
      <c r="C37" s="351"/>
      <c r="D37" s="351"/>
      <c r="E37" s="351"/>
      <c r="F37" s="351"/>
      <c r="G37" s="351"/>
      <c r="H37" s="351"/>
      <c r="I37" s="351"/>
      <c r="J37" s="351"/>
      <c r="K37" s="351"/>
      <c r="L37" s="351"/>
      <c r="M37" s="351"/>
      <c r="N37" s="351"/>
      <c r="O37" s="351">
        <f>+'Govt BS'!N170</f>
        <v>0</v>
      </c>
      <c r="P37" s="351"/>
      <c r="Q37" s="351">
        <f t="shared" si="1"/>
        <v>0</v>
      </c>
    </row>
    <row r="38" spans="1:19">
      <c r="A38" s="288" t="s">
        <v>2671</v>
      </c>
      <c r="C38" s="351"/>
      <c r="D38" s="351"/>
      <c r="E38" s="351"/>
      <c r="F38" s="351"/>
      <c r="G38" s="351"/>
      <c r="H38" s="351"/>
      <c r="I38" s="351"/>
      <c r="J38" s="351"/>
      <c r="K38" s="351"/>
      <c r="L38" s="351"/>
      <c r="M38" s="351">
        <f>+Pension!F51</f>
        <v>-23145545</v>
      </c>
      <c r="N38" s="351"/>
      <c r="O38" s="351"/>
      <c r="P38" s="351"/>
      <c r="Q38" s="351">
        <f t="shared" ref="Q38:Q43" si="2">SUM(B38:P38)</f>
        <v>-23145545</v>
      </c>
    </row>
    <row r="39" spans="1:19">
      <c r="A39" s="288" t="s">
        <v>2672</v>
      </c>
      <c r="C39" s="351"/>
      <c r="D39" s="351"/>
      <c r="E39" s="351"/>
      <c r="F39" s="351"/>
      <c r="G39" s="351"/>
      <c r="H39" s="351"/>
      <c r="I39" s="351"/>
      <c r="J39" s="351"/>
      <c r="K39" s="351"/>
      <c r="L39" s="351"/>
      <c r="M39" s="351">
        <f>+OPEB!F41</f>
        <v>-1039672</v>
      </c>
      <c r="N39" s="351"/>
      <c r="O39" s="351"/>
      <c r="P39" s="351"/>
      <c r="Q39" s="351">
        <f t="shared" si="2"/>
        <v>-1039672</v>
      </c>
    </row>
    <row r="40" spans="1:19">
      <c r="A40" s="288" t="s">
        <v>3289</v>
      </c>
      <c r="C40" s="351"/>
      <c r="D40" s="351"/>
      <c r="E40" s="351"/>
      <c r="F40" s="351"/>
      <c r="G40" s="351"/>
      <c r="H40" s="351"/>
      <c r="I40" s="351"/>
      <c r="J40" s="351"/>
      <c r="K40" s="351"/>
      <c r="L40" s="351"/>
      <c r="M40" s="351"/>
      <c r="N40" s="351"/>
      <c r="O40" s="1148">
        <f>'Govt BS'!N174</f>
        <v>-262658</v>
      </c>
      <c r="P40" s="351"/>
      <c r="Q40" s="351">
        <f t="shared" si="2"/>
        <v>-262658</v>
      </c>
    </row>
    <row r="41" spans="1:19">
      <c r="A41" s="288" t="s">
        <v>3466</v>
      </c>
      <c r="C41" s="351"/>
      <c r="D41" s="351"/>
      <c r="E41" s="351"/>
      <c r="F41" s="351"/>
      <c r="G41" s="351"/>
      <c r="H41" s="351"/>
      <c r="I41" s="351"/>
      <c r="J41" s="351"/>
      <c r="K41" s="351"/>
      <c r="L41" s="351"/>
      <c r="M41" s="351"/>
      <c r="N41" s="351"/>
      <c r="O41" s="1148">
        <f>'Govt BS'!N175</f>
        <v>-316255</v>
      </c>
      <c r="P41" s="351"/>
      <c r="Q41" s="351">
        <f t="shared" si="2"/>
        <v>-316255</v>
      </c>
    </row>
    <row r="42" spans="1:19">
      <c r="A42" s="288" t="s">
        <v>404</v>
      </c>
      <c r="C42" s="351"/>
      <c r="D42" s="351"/>
      <c r="E42" s="351"/>
      <c r="F42" s="351"/>
      <c r="G42" s="351"/>
      <c r="H42" s="351"/>
      <c r="I42" s="351"/>
      <c r="J42" s="351"/>
      <c r="K42" s="351"/>
      <c r="L42" s="351"/>
      <c r="M42" s="351"/>
      <c r="N42" s="351"/>
      <c r="O42" s="351"/>
      <c r="P42" s="351"/>
      <c r="Q42" s="351">
        <f t="shared" si="2"/>
        <v>0</v>
      </c>
    </row>
    <row r="43" spans="1:19">
      <c r="A43" s="288" t="s">
        <v>2496</v>
      </c>
      <c r="C43" s="351"/>
      <c r="D43" s="351"/>
      <c r="E43" s="351"/>
      <c r="F43" s="351"/>
      <c r="G43" s="351"/>
      <c r="H43" s="351"/>
      <c r="I43" s="351"/>
      <c r="J43" s="351"/>
      <c r="K43" s="351"/>
      <c r="L43" s="351"/>
      <c r="M43" s="692">
        <v>0</v>
      </c>
      <c r="N43" s="351"/>
      <c r="O43" s="351"/>
      <c r="P43" s="351"/>
      <c r="Q43" s="351">
        <f t="shared" si="2"/>
        <v>0</v>
      </c>
    </row>
    <row r="44" spans="1:19" ht="13.5" thickBot="1">
      <c r="C44" s="377">
        <f>SUM(C23:C43)</f>
        <v>0</v>
      </c>
      <c r="D44" s="377">
        <f>SUM(D23:D43)</f>
        <v>843104</v>
      </c>
      <c r="E44" s="377">
        <f t="shared" ref="E44:O44" si="3">SUM(E23:E43)</f>
        <v>1633172</v>
      </c>
      <c r="F44" s="377">
        <f>SUM(F23:F43)</f>
        <v>180917</v>
      </c>
      <c r="G44" s="377">
        <f>SUM(G23:G43)</f>
        <v>0</v>
      </c>
      <c r="H44" s="377">
        <f t="shared" si="3"/>
        <v>0</v>
      </c>
      <c r="I44" s="377">
        <f>SUM(I23:I43)</f>
        <v>116330</v>
      </c>
      <c r="J44" s="377">
        <f t="shared" si="3"/>
        <v>0</v>
      </c>
      <c r="K44" s="377">
        <f t="shared" si="3"/>
        <v>737543</v>
      </c>
      <c r="L44" s="377">
        <f t="shared" si="3"/>
        <v>0</v>
      </c>
      <c r="M44" s="377">
        <f>SUM(M23:M43)</f>
        <v>23487210</v>
      </c>
      <c r="N44" s="361"/>
      <c r="O44" s="377">
        <f t="shared" si="3"/>
        <v>45901374</v>
      </c>
      <c r="P44" s="361"/>
      <c r="Q44" s="377">
        <f>SUM(Q23:Q43)</f>
        <v>72899650</v>
      </c>
      <c r="R44" s="288">
        <f>+Q44-'Govt IS'!AL70</f>
        <v>0</v>
      </c>
    </row>
    <row r="45" spans="1:19" ht="13.5" thickTop="1">
      <c r="R45" s="288">
        <f>SUM(C44:O44)</f>
        <v>72899650</v>
      </c>
    </row>
    <row r="46" spans="1:19" ht="15.75">
      <c r="C46" s="378">
        <v>-1</v>
      </c>
      <c r="F46" s="379"/>
      <c r="I46" s="378">
        <v>-2</v>
      </c>
      <c r="M46" s="378" t="s">
        <v>1769</v>
      </c>
      <c r="R46" s="288">
        <f>+R45-Q44</f>
        <v>0</v>
      </c>
    </row>
    <row r="47" spans="1:19" ht="15.75">
      <c r="A47" s="288" t="s">
        <v>1651</v>
      </c>
      <c r="F47" s="379"/>
      <c r="L47" s="288">
        <f>SUM(C44:L44)</f>
        <v>3511066</v>
      </c>
    </row>
    <row r="48" spans="1:19">
      <c r="C48" s="853" t="s">
        <v>1768</v>
      </c>
      <c r="D48" s="854"/>
      <c r="E48" s="854"/>
      <c r="I48" s="380" t="s">
        <v>2323</v>
      </c>
      <c r="M48" s="381" t="s">
        <v>2321</v>
      </c>
      <c r="Q48" s="376" t="s">
        <v>3292</v>
      </c>
    </row>
    <row r="49" spans="3:17">
      <c r="C49" s="853" t="s">
        <v>2320</v>
      </c>
      <c r="D49" s="854"/>
      <c r="E49" s="854"/>
      <c r="I49" s="288" t="s">
        <v>2324</v>
      </c>
      <c r="M49" s="381" t="s">
        <v>2322</v>
      </c>
      <c r="Q49" s="376" t="s">
        <v>3292</v>
      </c>
    </row>
    <row r="50" spans="3:17">
      <c r="C50" s="853" t="s">
        <v>2313</v>
      </c>
      <c r="D50" s="854"/>
      <c r="E50" s="854"/>
      <c r="M50" s="1103" t="s">
        <v>3156</v>
      </c>
      <c r="Q50" s="376" t="s">
        <v>3292</v>
      </c>
    </row>
    <row r="51" spans="3:17">
      <c r="C51" s="853" t="s">
        <v>2314</v>
      </c>
      <c r="D51" s="854"/>
      <c r="E51" s="854"/>
    </row>
    <row r="52" spans="3:17">
      <c r="C52" s="376" t="s">
        <v>3478</v>
      </c>
    </row>
    <row r="54" spans="3:17">
      <c r="C54" s="288" t="s">
        <v>2990</v>
      </c>
      <c r="E54" s="288" t="s">
        <v>2988</v>
      </c>
      <c r="F54" s="288" t="s">
        <v>2989</v>
      </c>
      <c r="G54" s="288" t="s">
        <v>792</v>
      </c>
    </row>
    <row r="55" spans="3:17">
      <c r="D55" s="288" t="s">
        <v>2985</v>
      </c>
      <c r="E55" s="288">
        <v>1078435</v>
      </c>
      <c r="F55" s="288">
        <v>101749</v>
      </c>
      <c r="G55" s="288">
        <f>SUM(E55:F55)</f>
        <v>1180184</v>
      </c>
    </row>
    <row r="56" spans="3:17">
      <c r="D56" s="288" t="s">
        <v>2986</v>
      </c>
      <c r="E56" s="288">
        <v>5534796</v>
      </c>
      <c r="G56" s="288">
        <f t="shared" ref="G56:G57" si="4">SUM(E56:F56)</f>
        <v>5534796</v>
      </c>
    </row>
    <row r="57" spans="3:17">
      <c r="D57" s="288" t="s">
        <v>2987</v>
      </c>
      <c r="G57" s="288">
        <f t="shared" si="4"/>
        <v>0</v>
      </c>
    </row>
    <row r="58" spans="3:17">
      <c r="E58" s="288">
        <f t="shared" ref="E58:F58" si="5">SUM(E55:E57)</f>
        <v>6613231</v>
      </c>
      <c r="F58" s="288">
        <f t="shared" si="5"/>
        <v>101749</v>
      </c>
      <c r="G58" s="288">
        <f>SUM(G55:G57)</f>
        <v>6714980</v>
      </c>
    </row>
    <row r="60" spans="3:17">
      <c r="C60" s="288" t="s">
        <v>2991</v>
      </c>
      <c r="D60" s="288">
        <v>6500000</v>
      </c>
    </row>
    <row r="61" spans="3:17">
      <c r="C61" s="288" t="s">
        <v>2992</v>
      </c>
      <c r="D61" s="467"/>
    </row>
    <row r="62" spans="3:17">
      <c r="C62" s="288" t="s">
        <v>792</v>
      </c>
      <c r="D62" s="288">
        <f>SUM(D60:D61)</f>
        <v>6500000</v>
      </c>
      <c r="G62" s="288">
        <f>+D62-G55</f>
        <v>5319816</v>
      </c>
    </row>
    <row r="63" spans="3:17">
      <c r="D63" s="467">
        <f>+G58</f>
        <v>6714980</v>
      </c>
    </row>
    <row r="64" spans="3:17" ht="40.5" customHeight="1" thickBot="1">
      <c r="C64" s="1036" t="s">
        <v>2993</v>
      </c>
      <c r="D64" s="943">
        <f>+D62-D63</f>
        <v>-214980</v>
      </c>
    </row>
    <row r="65" s="288" customFormat="1" ht="13.5" thickTop="1"/>
  </sheetData>
  <phoneticPr fontId="0" type="noConversion"/>
  <dataValidations count="1">
    <dataValidation type="whole" allowBlank="1" showInputMessage="1" showErrorMessage="1" error="This number muwt be negative" sqref="O35" xr:uid="{1E4849B7-FDAE-4E75-A93D-410E906B140F}">
      <formula1>-55000000</formula1>
      <formula2>0</formula2>
    </dataValidation>
  </dataValidations>
  <pageMargins left="0.25" right="0.25" top="1" bottom="1" header="0.5" footer="0.5"/>
  <pageSetup scale="67" orientation="landscape" r:id="rId1"/>
  <headerFooter alignWithMargins="0">
    <oddFooter>&amp;L&amp;D&amp;C&amp;P&amp;R&amp;F  &amp;A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codeName="Sheet14">
    <pageSetUpPr fitToPage="1"/>
  </sheetPr>
  <dimension ref="A3:AL204"/>
  <sheetViews>
    <sheetView showGridLines="0" topLeftCell="A10" zoomScale="77" zoomScaleNormal="77" workbookViewId="0">
      <selection activeCell="B58" sqref="B58"/>
    </sheetView>
  </sheetViews>
  <sheetFormatPr defaultColWidth="9.7109375" defaultRowHeight="12.75"/>
  <cols>
    <col min="1" max="1" width="2.7109375" style="288" customWidth="1"/>
    <col min="2" max="2" width="46.7109375" style="288" customWidth="1"/>
    <col min="3" max="3" width="2.7109375" style="288" customWidth="1"/>
    <col min="4" max="4" width="18.5703125" style="288" customWidth="1"/>
    <col min="5" max="5" width="1.7109375" style="288" customWidth="1"/>
    <col min="6" max="8" width="18.5703125" style="288" customWidth="1"/>
    <col min="9" max="9" width="1.7109375" style="288" customWidth="1"/>
    <col min="10" max="10" width="18.7109375" style="288" customWidth="1"/>
    <col min="11" max="11" width="4.85546875" style="288" customWidth="1"/>
    <col min="12" max="12" width="45.7109375" style="288" customWidth="1"/>
    <col min="13" max="13" width="1.7109375" style="288" customWidth="1"/>
    <col min="14" max="14" width="24" style="288" customWidth="1"/>
    <col min="15" max="15" width="18.5703125" style="288" hidden="1" customWidth="1"/>
    <col min="16" max="16" width="20.7109375" style="288" hidden="1" customWidth="1"/>
    <col min="17" max="17" width="2.7109375" style="288" customWidth="1"/>
    <col min="18" max="18" width="23.5703125" style="288" customWidth="1"/>
    <col min="19" max="19" width="1.7109375" style="288" customWidth="1"/>
    <col min="20" max="20" width="21" style="288" customWidth="1"/>
    <col min="21" max="21" width="2.85546875" style="288" customWidth="1"/>
    <col min="22" max="22" width="3.5703125" style="288" customWidth="1"/>
    <col min="23" max="23" width="19" style="288" customWidth="1"/>
    <col min="24" max="24" width="3.7109375" style="288" customWidth="1"/>
    <col min="25" max="25" width="20" style="288" customWidth="1"/>
    <col min="26" max="26" width="10.28515625" style="288" customWidth="1"/>
    <col min="27" max="27" width="14.5703125" style="288" customWidth="1"/>
    <col min="28" max="28" width="5.28515625" style="288" customWidth="1"/>
    <col min="29" max="29" width="17.42578125" style="288" customWidth="1"/>
    <col min="30" max="30" width="7.28515625" style="288" customWidth="1"/>
    <col min="31" max="31" width="17.42578125" style="288" customWidth="1"/>
    <col min="32" max="32" width="10.85546875" style="288" customWidth="1"/>
    <col min="33" max="33" width="19" style="288" bestFit="1" customWidth="1"/>
    <col min="34" max="34" width="6.140625" style="288" customWidth="1"/>
    <col min="35" max="35" width="26.5703125" style="288" customWidth="1"/>
    <col min="36" max="36" width="20" style="288" bestFit="1" customWidth="1"/>
    <col min="37" max="37" width="21" style="288" customWidth="1"/>
    <col min="38" max="38" width="14.28515625" style="288" bestFit="1" customWidth="1"/>
    <col min="39" max="39" width="10.28515625" style="288" bestFit="1" customWidth="1"/>
    <col min="40" max="40" width="15.42578125" style="288" customWidth="1"/>
    <col min="41" max="41" width="9.7109375" style="288"/>
    <col min="42" max="42" width="14.140625" style="288" customWidth="1"/>
    <col min="43" max="16384" width="9.7109375" style="288"/>
  </cols>
  <sheetData>
    <row r="3" spans="1:33" ht="15.75">
      <c r="B3" s="1313" t="s">
        <v>418</v>
      </c>
      <c r="C3" s="1313"/>
      <c r="D3" s="1313"/>
      <c r="E3" s="1313"/>
      <c r="F3" s="1313"/>
      <c r="G3" s="1313"/>
      <c r="H3" s="1313"/>
      <c r="I3" s="1313"/>
      <c r="J3" s="1313"/>
      <c r="K3" s="277"/>
      <c r="L3" s="1313" t="str">
        <f>+B3</f>
        <v>BALANCE SHEET</v>
      </c>
      <c r="M3" s="1313"/>
      <c r="N3" s="1313"/>
      <c r="O3" s="1313"/>
      <c r="P3" s="1313"/>
      <c r="Q3" s="1313"/>
      <c r="R3" s="1313"/>
      <c r="S3" s="1313"/>
      <c r="T3" s="1313"/>
      <c r="U3" s="289"/>
    </row>
    <row r="4" spans="1:33" ht="15.75">
      <c r="B4" s="1313" t="s">
        <v>335</v>
      </c>
      <c r="C4" s="1313"/>
      <c r="D4" s="1313"/>
      <c r="E4" s="1313"/>
      <c r="F4" s="1313"/>
      <c r="G4" s="1313"/>
      <c r="H4" s="1313"/>
      <c r="I4" s="1313"/>
      <c r="J4" s="1313"/>
      <c r="K4" s="277"/>
      <c r="L4" s="1313" t="str">
        <f t="shared" ref="L4" si="0">+B4</f>
        <v>GOVERNMENTAL FUNDS</v>
      </c>
      <c r="M4" s="1313"/>
      <c r="N4" s="1313"/>
      <c r="O4" s="1313"/>
      <c r="P4" s="1313"/>
      <c r="Q4" s="1313"/>
      <c r="R4" s="1313"/>
      <c r="S4" s="1313"/>
      <c r="T4" s="1313"/>
      <c r="U4" s="289"/>
      <c r="Y4" s="305" t="s">
        <v>708</v>
      </c>
    </row>
    <row r="5" spans="1:33" ht="15.75">
      <c r="B5" s="1314">
        <f>+'Sys INPUT'!B1</f>
        <v>45107</v>
      </c>
      <c r="C5" s="1314"/>
      <c r="D5" s="1314"/>
      <c r="E5" s="1314"/>
      <c r="F5" s="1314"/>
      <c r="G5" s="1314"/>
      <c r="H5" s="1314"/>
      <c r="I5" s="1314"/>
      <c r="J5" s="1314"/>
      <c r="K5" s="277"/>
      <c r="L5" s="1323">
        <f>+'Sys INPUT'!B1</f>
        <v>45107</v>
      </c>
      <c r="M5" s="1323"/>
      <c r="N5" s="1323"/>
      <c r="O5" s="1323"/>
      <c r="P5" s="1323"/>
      <c r="Q5" s="1323"/>
      <c r="R5" s="1323"/>
      <c r="S5" s="1323"/>
      <c r="T5" s="1323"/>
      <c r="U5" s="289"/>
    </row>
    <row r="6" spans="1:33" ht="15.75">
      <c r="B6" s="1314" t="s">
        <v>3529</v>
      </c>
      <c r="C6" s="1314"/>
      <c r="D6" s="1314"/>
      <c r="E6" s="1314"/>
      <c r="F6" s="1314"/>
      <c r="G6" s="1314"/>
      <c r="H6" s="1314"/>
      <c r="I6" s="1314"/>
      <c r="J6" s="1314"/>
      <c r="K6" s="277"/>
      <c r="L6" s="1313" t="s">
        <v>3530</v>
      </c>
      <c r="M6" s="1313"/>
      <c r="N6" s="1313"/>
      <c r="O6" s="1313"/>
      <c r="P6" s="1313"/>
      <c r="Q6" s="1313"/>
      <c r="R6" s="1313"/>
      <c r="S6" s="1313"/>
      <c r="T6" s="1313"/>
      <c r="U6" s="289"/>
    </row>
    <row r="7" spans="1:33" ht="15.75">
      <c r="A7" s="307"/>
      <c r="B7" s="305"/>
      <c r="C7" s="277"/>
      <c r="D7" s="277"/>
      <c r="E7" s="277"/>
      <c r="F7" s="277"/>
      <c r="G7" s="277"/>
      <c r="H7" s="277"/>
      <c r="I7" s="277"/>
      <c r="J7" s="277"/>
      <c r="K7" s="277"/>
      <c r="L7" s="277"/>
      <c r="M7" s="277"/>
      <c r="N7" s="277"/>
      <c r="O7" s="277"/>
      <c r="P7" s="277"/>
      <c r="Q7" s="308"/>
      <c r="R7" s="287"/>
      <c r="S7" s="308"/>
      <c r="T7" s="287"/>
      <c r="U7" s="287"/>
    </row>
    <row r="8" spans="1:33" ht="15.75">
      <c r="A8" s="307"/>
      <c r="B8" s="305"/>
      <c r="C8" s="277"/>
      <c r="D8" s="277"/>
      <c r="E8" s="308"/>
      <c r="F8" s="305" t="s">
        <v>1297</v>
      </c>
      <c r="G8" s="305"/>
      <c r="H8" s="305"/>
      <c r="I8" s="308"/>
      <c r="J8" s="287" t="s">
        <v>65</v>
      </c>
      <c r="K8" s="305"/>
      <c r="L8" s="305"/>
      <c r="M8" s="308"/>
      <c r="N8" s="305" t="s">
        <v>67</v>
      </c>
      <c r="O8" s="305"/>
      <c r="P8" s="305"/>
      <c r="Q8" s="308"/>
      <c r="R8" s="287"/>
      <c r="S8" s="308"/>
      <c r="T8" s="287"/>
      <c r="U8" s="287"/>
    </row>
    <row r="9" spans="1:33" ht="15.75">
      <c r="A9" s="277"/>
      <c r="B9" s="277"/>
      <c r="C9" s="277"/>
      <c r="D9" s="277"/>
      <c r="E9" s="308"/>
      <c r="F9" s="357" t="s">
        <v>221</v>
      </c>
      <c r="G9" s="357"/>
      <c r="H9" s="357"/>
      <c r="I9" s="308"/>
      <c r="J9" s="1109" t="s">
        <v>223</v>
      </c>
      <c r="K9" s="305"/>
      <c r="L9" s="305"/>
      <c r="M9" s="308"/>
      <c r="N9" s="357" t="s">
        <v>224</v>
      </c>
      <c r="O9" s="357"/>
      <c r="P9" s="357"/>
      <c r="Q9" s="308"/>
      <c r="R9" s="287"/>
      <c r="S9" s="308"/>
      <c r="T9" s="287"/>
      <c r="U9" s="287"/>
    </row>
    <row r="10" spans="1:33" ht="15.75">
      <c r="A10" s="276"/>
      <c r="B10" s="308"/>
      <c r="C10" s="308"/>
      <c r="D10" s="308"/>
      <c r="E10" s="308"/>
      <c r="F10" s="308"/>
      <c r="G10" s="287"/>
      <c r="H10" s="287" t="str">
        <f>INPUT!BC5</f>
        <v>SPECIAL</v>
      </c>
      <c r="I10" s="308"/>
      <c r="J10" s="287" t="str">
        <f>INPUT!BN5</f>
        <v>RURAL SPECIAL</v>
      </c>
      <c r="K10" s="287"/>
      <c r="L10" s="287"/>
      <c r="M10" s="308"/>
      <c r="N10" s="287"/>
      <c r="O10" s="287" t="s">
        <v>2595</v>
      </c>
      <c r="P10" s="287" t="str">
        <f>INPUT!BW5</f>
        <v>ROAD/BRIDGE</v>
      </c>
      <c r="Q10" s="308"/>
      <c r="R10" s="287" t="s">
        <v>956</v>
      </c>
      <c r="S10" s="308"/>
      <c r="T10" s="287" t="s">
        <v>315</v>
      </c>
      <c r="U10" s="287"/>
      <c r="W10" s="287" t="s">
        <v>534</v>
      </c>
      <c r="Y10" s="287" t="s">
        <v>355</v>
      </c>
      <c r="AA10" s="287"/>
      <c r="AC10" s="287"/>
      <c r="AE10" s="287"/>
      <c r="AG10" s="287" t="s">
        <v>304</v>
      </c>
    </row>
    <row r="11" spans="1:33" ht="15.75">
      <c r="A11" s="276"/>
      <c r="B11" s="308"/>
      <c r="C11" s="308"/>
      <c r="D11" s="308"/>
      <c r="E11" s="308"/>
      <c r="F11" s="287" t="s">
        <v>249</v>
      </c>
      <c r="G11" s="287" t="str">
        <f>INPUT!BB6</f>
        <v>OTHER</v>
      </c>
      <c r="H11" s="287" t="str">
        <f>INPUT!BC6</f>
        <v>ASSESSMENT</v>
      </c>
      <c r="I11" s="308"/>
      <c r="J11" s="287" t="str">
        <f>INPUT!BN6</f>
        <v>IMPROVEMENT</v>
      </c>
      <c r="K11" s="287"/>
      <c r="L11" s="287"/>
      <c r="M11" s="287"/>
      <c r="N11" s="287" t="str">
        <f>INPUT!BR6</f>
        <v>CAPITAL</v>
      </c>
      <c r="O11" s="287" t="s">
        <v>577</v>
      </c>
      <c r="P11" s="287" t="str">
        <f>INPUT!BW6</f>
        <v>INFRASTRUCTURE</v>
      </c>
      <c r="Q11" s="308"/>
      <c r="R11" s="287" t="s">
        <v>338</v>
      </c>
      <c r="S11" s="308"/>
      <c r="T11" s="287" t="s">
        <v>338</v>
      </c>
      <c r="U11" s="287"/>
      <c r="W11" s="287" t="s">
        <v>223</v>
      </c>
      <c r="Y11" s="287" t="s">
        <v>302</v>
      </c>
      <c r="AA11" s="287" t="s">
        <v>645</v>
      </c>
      <c r="AC11" s="287" t="s">
        <v>2673</v>
      </c>
      <c r="AE11" s="287" t="s">
        <v>956</v>
      </c>
      <c r="AG11" s="287" t="s">
        <v>305</v>
      </c>
    </row>
    <row r="12" spans="1:33" ht="15.75">
      <c r="A12" s="276"/>
      <c r="B12" s="308"/>
      <c r="C12" s="308"/>
      <c r="D12" s="290" t="s">
        <v>890</v>
      </c>
      <c r="E12" s="308"/>
      <c r="F12" s="290" t="s">
        <v>250</v>
      </c>
      <c r="G12" s="290" t="str">
        <f>INPUT!BB7</f>
        <v>GRANTS</v>
      </c>
      <c r="H12" s="290" t="str">
        <f>INPUT!BC7</f>
        <v>DISTRICTS</v>
      </c>
      <c r="I12" s="308"/>
      <c r="J12" s="290" t="str">
        <f>INPUT!BN7</f>
        <v>DISTRICTS DEBT</v>
      </c>
      <c r="K12" s="287"/>
      <c r="L12" s="287"/>
      <c r="M12" s="287"/>
      <c r="N12" s="290" t="str">
        <f>INPUT!BR7</f>
        <v>DEVELOPMENT</v>
      </c>
      <c r="O12" s="290" t="s">
        <v>2603</v>
      </c>
      <c r="P12" s="290" t="str">
        <f>INPUT!BW7</f>
        <v>PROJECTS</v>
      </c>
      <c r="Q12" s="308"/>
      <c r="R12" s="290" t="s">
        <v>540</v>
      </c>
      <c r="S12" s="308"/>
      <c r="T12" s="290" t="s">
        <v>540</v>
      </c>
      <c r="U12" s="287"/>
      <c r="W12" s="290" t="s">
        <v>540</v>
      </c>
      <c r="Y12" s="290" t="s">
        <v>65</v>
      </c>
      <c r="AA12" s="290" t="s">
        <v>303</v>
      </c>
      <c r="AC12" s="290" t="s">
        <v>306</v>
      </c>
      <c r="AE12" s="290" t="s">
        <v>306</v>
      </c>
      <c r="AG12" s="290" t="s">
        <v>701</v>
      </c>
    </row>
    <row r="13" spans="1:33" ht="15.75">
      <c r="A13" s="276"/>
      <c r="B13" s="308" t="str">
        <f>INPUT!B83</f>
        <v>ASSETS</v>
      </c>
      <c r="C13" s="276"/>
      <c r="D13" s="333"/>
      <c r="E13" s="276"/>
      <c r="F13" s="333"/>
      <c r="G13" s="333"/>
      <c r="H13" s="333"/>
      <c r="I13" s="276"/>
      <c r="J13" s="276"/>
      <c r="K13" s="276"/>
      <c r="L13" s="308" t="s">
        <v>937</v>
      </c>
      <c r="M13" s="276"/>
      <c r="N13" s="276"/>
      <c r="O13" s="276"/>
      <c r="P13" s="276"/>
      <c r="Q13" s="276"/>
      <c r="R13" s="333"/>
      <c r="S13" s="276"/>
      <c r="T13" s="333"/>
      <c r="U13" s="333"/>
      <c r="W13" s="333"/>
      <c r="Y13" s="333"/>
      <c r="AA13" s="333"/>
      <c r="AC13" s="333"/>
      <c r="AE13" s="333"/>
      <c r="AG13" s="333"/>
    </row>
    <row r="14" spans="1:33" ht="15.75">
      <c r="A14" s="276"/>
      <c r="B14" s="276" t="str">
        <f>INPUT!B85</f>
        <v xml:space="preserve">     Cash and cash equivalents</v>
      </c>
      <c r="C14" s="303"/>
      <c r="D14" s="292">
        <f>+INPUT!D85</f>
        <v>9810987</v>
      </c>
      <c r="E14" s="292"/>
      <c r="F14" s="292">
        <f>INPUT!X85</f>
        <v>3709334</v>
      </c>
      <c r="G14" s="292">
        <f>INPUT!BB85</f>
        <v>7896408</v>
      </c>
      <c r="H14" s="292">
        <f>INPUT!BC85</f>
        <v>5729439</v>
      </c>
      <c r="I14" s="292"/>
      <c r="J14" s="292">
        <f>+INPUT!BN85</f>
        <v>101680</v>
      </c>
      <c r="K14" s="292"/>
      <c r="L14" s="276" t="str">
        <f>+B14</f>
        <v xml:space="preserve">     Cash and cash equivalents</v>
      </c>
      <c r="M14" s="292"/>
      <c r="N14" s="292">
        <f>+INPUT!BR85</f>
        <v>14134623</v>
      </c>
      <c r="Q14" s="292"/>
      <c r="R14" s="292">
        <f>+'SR BS'!DZ14+'DS BS'!P14+'CP BS'!N14+'PERM BS'!D16</f>
        <v>12863699</v>
      </c>
      <c r="S14" s="292"/>
      <c r="T14" s="292">
        <f>SUM(D14:R14)</f>
        <v>54246170</v>
      </c>
      <c r="U14" s="292"/>
      <c r="W14" s="292">
        <f>+PROPNA!N15</f>
        <v>4569358</v>
      </c>
      <c r="Y14" s="292">
        <v>0</v>
      </c>
      <c r="AA14" s="292">
        <v>0</v>
      </c>
      <c r="AC14" s="292"/>
      <c r="AE14" s="292"/>
      <c r="AF14" s="382">
        <v>-1</v>
      </c>
      <c r="AG14" s="292">
        <f>SUM(T14:AE14)</f>
        <v>58815528</v>
      </c>
    </row>
    <row r="15" spans="1:33" ht="15.75">
      <c r="A15" s="276"/>
      <c r="B15" s="276" t="str">
        <f>INPUT!B86</f>
        <v xml:space="preserve">     Investments </v>
      </c>
      <c r="C15" s="276"/>
      <c r="D15" s="294">
        <f>+INPUT!D86</f>
        <v>1873919</v>
      </c>
      <c r="E15" s="296"/>
      <c r="F15" s="294">
        <f>INPUT!X86+INPUT!X100</f>
        <v>708491</v>
      </c>
      <c r="G15" s="294">
        <f>INPUT!BB86+INPUT!BB100</f>
        <v>1508230</v>
      </c>
      <c r="H15" s="294">
        <f>INPUT!BC86+INPUT!BC100</f>
        <v>1094335</v>
      </c>
      <c r="I15" s="296"/>
      <c r="J15" s="294">
        <f>+INPUT!BN86+INPUT!BN100</f>
        <v>19421</v>
      </c>
      <c r="K15" s="294"/>
      <c r="L15" s="276" t="str">
        <f t="shared" ref="L15:L36" si="1">+B15</f>
        <v xml:space="preserve">     Investments </v>
      </c>
      <c r="M15" s="294"/>
      <c r="N15" s="294">
        <f>+INPUT!BR86+INPUT!BR100</f>
        <v>2699742</v>
      </c>
      <c r="Q15" s="296"/>
      <c r="R15" s="294">
        <f>+'SR BS'!DZ15+'DS BS'!P15+'CP BS'!N15+'PERM BS'!D17+'SR BS'!DZ28+'DS BS'!P28+'CP BS'!N28</f>
        <v>2456991</v>
      </c>
      <c r="S15" s="296"/>
      <c r="T15" s="294">
        <f>SUM(D15:R15)</f>
        <v>10361129</v>
      </c>
      <c r="U15" s="294"/>
      <c r="W15" s="296">
        <f>+PROPNA!N16</f>
        <v>872757</v>
      </c>
      <c r="Y15" s="296">
        <v>0</v>
      </c>
      <c r="AA15" s="296">
        <v>0</v>
      </c>
      <c r="AC15" s="296"/>
      <c r="AE15" s="296"/>
      <c r="AF15" s="382">
        <v>-1</v>
      </c>
      <c r="AG15" s="296">
        <f>SUM(T15:AE15)</f>
        <v>11233886</v>
      </c>
    </row>
    <row r="16" spans="1:33" ht="15.75">
      <c r="A16" s="276"/>
      <c r="B16" s="276" t="str">
        <f>INPUT!B87</f>
        <v xml:space="preserve">     Receivables (net of allowance):</v>
      </c>
      <c r="C16" s="276"/>
      <c r="D16" s="294"/>
      <c r="E16" s="296"/>
      <c r="F16" s="294"/>
      <c r="G16" s="294"/>
      <c r="H16" s="294"/>
      <c r="I16" s="296"/>
      <c r="J16" s="294"/>
      <c r="K16" s="294"/>
      <c r="L16" s="276" t="str">
        <f t="shared" si="1"/>
        <v xml:space="preserve">     Receivables (net of allowance):</v>
      </c>
      <c r="M16" s="294"/>
      <c r="N16" s="294"/>
      <c r="Q16" s="296"/>
      <c r="R16" s="294"/>
      <c r="S16" s="296"/>
      <c r="T16" s="294"/>
      <c r="U16" s="294"/>
      <c r="W16" s="296"/>
      <c r="Y16" s="296"/>
      <c r="AA16" s="296"/>
      <c r="AC16" s="296"/>
      <c r="AE16" s="296"/>
      <c r="AF16" s="382"/>
      <c r="AG16" s="296"/>
    </row>
    <row r="17" spans="1:35" ht="15.75">
      <c r="A17" s="276"/>
      <c r="B17" s="276" t="str">
        <f>INPUT!B88</f>
        <v xml:space="preserve">          Taxes/assessments</v>
      </c>
      <c r="C17" s="276"/>
      <c r="D17" s="294">
        <f>+INPUT!D88</f>
        <v>217898</v>
      </c>
      <c r="E17" s="296"/>
      <c r="F17" s="294">
        <f>INPUT!X88</f>
        <v>258529</v>
      </c>
      <c r="G17" s="294">
        <f>INPUT!BB88</f>
        <v>0</v>
      </c>
      <c r="H17" s="294">
        <f>INPUT!BC88</f>
        <v>51569</v>
      </c>
      <c r="I17" s="296"/>
      <c r="J17" s="294">
        <f>+INPUT!BN88</f>
        <v>500937</v>
      </c>
      <c r="K17" s="294"/>
      <c r="L17" s="276" t="str">
        <f t="shared" si="1"/>
        <v xml:space="preserve">          Taxes/assessments</v>
      </c>
      <c r="M17" s="294"/>
      <c r="N17" s="294">
        <f>+INPUT!BR88</f>
        <v>0</v>
      </c>
      <c r="Q17" s="296"/>
      <c r="R17" s="294">
        <f>+'SR BS'!DZ17+'DS BS'!P17+'CP BS'!N17+'PERM BS'!D19</f>
        <v>400902</v>
      </c>
      <c r="S17" s="296"/>
      <c r="T17" s="294">
        <f>SUM(D17:R17)</f>
        <v>1429835</v>
      </c>
      <c r="U17" s="294"/>
      <c r="W17" s="296">
        <f>+PROPNA!N18</f>
        <v>0</v>
      </c>
      <c r="Y17" s="296">
        <v>0</v>
      </c>
      <c r="AA17" s="296">
        <v>0</v>
      </c>
      <c r="AC17" s="296"/>
      <c r="AE17" s="296">
        <f>-AE19</f>
        <v>0</v>
      </c>
      <c r="AF17" s="382">
        <v>-3</v>
      </c>
      <c r="AG17" s="296">
        <f t="shared" ref="AG17:AG23" si="2">SUM(T17:AE17)</f>
        <v>1429835</v>
      </c>
    </row>
    <row r="18" spans="1:35" ht="15.75">
      <c r="A18" s="276"/>
      <c r="B18" s="276" t="str">
        <f>INPUT!B89</f>
        <v xml:space="preserve">          Accounts/contracts</v>
      </c>
      <c r="C18" s="276"/>
      <c r="D18" s="294">
        <f>+INPUT!D89</f>
        <v>123805</v>
      </c>
      <c r="E18" s="296"/>
      <c r="F18" s="294">
        <f>INPUT!X89</f>
        <v>79518</v>
      </c>
      <c r="G18" s="294">
        <f>INPUT!BB89</f>
        <v>0</v>
      </c>
      <c r="H18" s="294">
        <f>INPUT!BC89</f>
        <v>0</v>
      </c>
      <c r="I18" s="296"/>
      <c r="J18" s="294">
        <f>+INPUT!BN89</f>
        <v>0</v>
      </c>
      <c r="K18" s="294"/>
      <c r="L18" s="276" t="str">
        <f t="shared" si="1"/>
        <v xml:space="preserve">          Accounts/contracts</v>
      </c>
      <c r="M18" s="294"/>
      <c r="N18" s="294">
        <f>+INPUT!BR89</f>
        <v>0</v>
      </c>
      <c r="Q18" s="296"/>
      <c r="R18" s="294">
        <f>+'SR BS'!DZ18+'DS BS'!P18+'CP BS'!N18</f>
        <v>4500</v>
      </c>
      <c r="S18" s="296"/>
      <c r="T18" s="294">
        <f t="shared" ref="T18:T23" si="3">SUM(D18:R18)</f>
        <v>207823</v>
      </c>
      <c r="U18" s="294"/>
      <c r="W18" s="296">
        <f>+PROPNA!N19</f>
        <v>262150</v>
      </c>
      <c r="Y18" s="296">
        <v>0</v>
      </c>
      <c r="AA18" s="296">
        <v>0</v>
      </c>
      <c r="AC18" s="296"/>
      <c r="AE18" s="296"/>
      <c r="AF18" s="382"/>
      <c r="AG18" s="296">
        <f t="shared" si="2"/>
        <v>469973</v>
      </c>
    </row>
    <row r="19" spans="1:35" ht="15.75" hidden="1">
      <c r="A19" s="276"/>
      <c r="B19" s="276" t="str">
        <f>INPUT!B90</f>
        <v xml:space="preserve">          Notes receivable</v>
      </c>
      <c r="C19" s="276"/>
      <c r="D19" s="294">
        <f>+INPUT!D90</f>
        <v>0</v>
      </c>
      <c r="E19" s="296"/>
      <c r="F19" s="294">
        <f>INPUT!X90</f>
        <v>0</v>
      </c>
      <c r="G19" s="294">
        <f>INPUT!BB90</f>
        <v>0</v>
      </c>
      <c r="H19" s="294">
        <f>INPUT!BC90</f>
        <v>0</v>
      </c>
      <c r="I19" s="296"/>
      <c r="J19" s="294">
        <f>+INPUT!BN90</f>
        <v>0</v>
      </c>
      <c r="K19" s="294"/>
      <c r="L19" s="276" t="str">
        <f t="shared" si="1"/>
        <v xml:space="preserve">          Notes receivable</v>
      </c>
      <c r="M19" s="294"/>
      <c r="N19" s="294">
        <f>+INPUT!BR90</f>
        <v>0</v>
      </c>
      <c r="Q19" s="296"/>
      <c r="R19" s="294">
        <f>+'SR BS'!DZ19+'DS BS'!P19+'CP BS'!N19</f>
        <v>0</v>
      </c>
      <c r="S19" s="296"/>
      <c r="T19" s="294">
        <f t="shared" si="3"/>
        <v>0</v>
      </c>
      <c r="U19" s="294"/>
      <c r="W19" s="296">
        <f>+PROPNA!N20</f>
        <v>0</v>
      </c>
      <c r="Y19" s="296">
        <v>0</v>
      </c>
      <c r="AA19" s="296">
        <v>0</v>
      </c>
      <c r="AC19" s="296">
        <f>+R19</f>
        <v>0</v>
      </c>
      <c r="AE19" s="296">
        <f>+T19</f>
        <v>0</v>
      </c>
      <c r="AF19" s="382">
        <v>-3</v>
      </c>
      <c r="AG19" s="296">
        <f t="shared" si="2"/>
        <v>0</v>
      </c>
    </row>
    <row r="20" spans="1:35" ht="15.75" hidden="1">
      <c r="A20" s="276"/>
      <c r="B20" s="276" t="str">
        <f>INPUT!B91</f>
        <v xml:space="preserve">          Leases</v>
      </c>
      <c r="C20" s="276"/>
      <c r="D20" s="294">
        <f>+INPUT!D91</f>
        <v>0</v>
      </c>
      <c r="E20" s="296"/>
      <c r="F20" s="294">
        <f>INPUT!X91</f>
        <v>0</v>
      </c>
      <c r="G20" s="294">
        <f>INPUT!BB91</f>
        <v>0</v>
      </c>
      <c r="H20" s="294">
        <f>INPUT!BC91</f>
        <v>0</v>
      </c>
      <c r="I20" s="296"/>
      <c r="J20" s="294">
        <f>+INPUT!BN91</f>
        <v>0</v>
      </c>
      <c r="K20" s="294"/>
      <c r="L20" s="276" t="str">
        <f t="shared" si="1"/>
        <v xml:space="preserve">          Leases</v>
      </c>
      <c r="M20" s="294"/>
      <c r="N20" s="294">
        <f>+INPUT!BR91</f>
        <v>0</v>
      </c>
      <c r="Q20" s="296"/>
      <c r="R20" s="294">
        <f>+'SR BS'!DZ20+'DS BS'!P20+'CP BS'!N20</f>
        <v>0</v>
      </c>
      <c r="S20" s="296"/>
      <c r="T20" s="294">
        <f t="shared" ref="T20" si="4">SUM(D20:R20)</f>
        <v>0</v>
      </c>
      <c r="U20" s="294"/>
      <c r="W20" s="296">
        <f>+PROPNA!N21</f>
        <v>422140</v>
      </c>
      <c r="Y20" s="296">
        <v>0</v>
      </c>
      <c r="AA20" s="296">
        <v>0</v>
      </c>
      <c r="AC20" s="296">
        <f>+R20</f>
        <v>0</v>
      </c>
      <c r="AE20" s="296">
        <f>+T20</f>
        <v>0</v>
      </c>
      <c r="AF20" s="382"/>
      <c r="AG20" s="296">
        <f t="shared" ref="AG20" si="5">SUM(T20:AE20)</f>
        <v>422140</v>
      </c>
    </row>
    <row r="21" spans="1:35" ht="15.75">
      <c r="A21" s="276"/>
      <c r="B21" s="276" t="str">
        <f>INPUT!B92</f>
        <v xml:space="preserve">     Due from other funds</v>
      </c>
      <c r="C21" s="276"/>
      <c r="D21" s="294">
        <f>+INPUT!D92</f>
        <v>701024</v>
      </c>
      <c r="E21" s="296"/>
      <c r="F21" s="294">
        <f>INPUT!X92</f>
        <v>0</v>
      </c>
      <c r="G21" s="294">
        <f>INPUT!BB92</f>
        <v>110000</v>
      </c>
      <c r="H21" s="294">
        <f>INPUT!BC92</f>
        <v>0</v>
      </c>
      <c r="I21" s="296"/>
      <c r="J21" s="294">
        <f>+INPUT!BN92</f>
        <v>0</v>
      </c>
      <c r="K21" s="294"/>
      <c r="L21" s="276" t="str">
        <f t="shared" si="1"/>
        <v xml:space="preserve">     Due from other funds</v>
      </c>
      <c r="M21" s="294"/>
      <c r="N21" s="294">
        <f>+INPUT!BR92</f>
        <v>0</v>
      </c>
      <c r="Q21" s="296"/>
      <c r="R21" s="294">
        <f>+'SR BS'!DZ21+'DS BS'!P21+'CP BS'!N21+'PERM BS'!D20</f>
        <v>0</v>
      </c>
      <c r="S21" s="296"/>
      <c r="T21" s="294">
        <f t="shared" si="3"/>
        <v>811024</v>
      </c>
      <c r="U21" s="294"/>
      <c r="W21" s="296">
        <f>+PROPNA!N22</f>
        <v>0</v>
      </c>
      <c r="Y21" s="296">
        <v>0</v>
      </c>
      <c r="AA21" s="296">
        <v>0</v>
      </c>
      <c r="AC21" s="294"/>
      <c r="AE21" s="294">
        <f>-T21-W21</f>
        <v>-811024</v>
      </c>
      <c r="AF21" s="382">
        <v>-2</v>
      </c>
      <c r="AG21" s="296">
        <f t="shared" si="2"/>
        <v>0</v>
      </c>
    </row>
    <row r="22" spans="1:35" ht="15.75">
      <c r="A22" s="276"/>
      <c r="B22" s="276" t="str">
        <f>INPUT!B93</f>
        <v xml:space="preserve">     Due from other governments</v>
      </c>
      <c r="C22" s="276"/>
      <c r="D22" s="294">
        <f>+INPUT!D93</f>
        <v>0</v>
      </c>
      <c r="E22" s="296"/>
      <c r="F22" s="294">
        <f>INPUT!X93</f>
        <v>87014</v>
      </c>
      <c r="G22" s="294">
        <f>INPUT!BB93</f>
        <v>0</v>
      </c>
      <c r="H22" s="294">
        <f>INPUT!BC93</f>
        <v>0</v>
      </c>
      <c r="I22" s="296"/>
      <c r="J22" s="294">
        <f>+INPUT!BN93</f>
        <v>0</v>
      </c>
      <c r="K22" s="294"/>
      <c r="L22" s="276" t="str">
        <f t="shared" si="1"/>
        <v xml:space="preserve">     Due from other governments</v>
      </c>
      <c r="M22" s="294"/>
      <c r="N22" s="294">
        <f>+INPUT!BR93</f>
        <v>0</v>
      </c>
      <c r="Q22" s="296"/>
      <c r="R22" s="294">
        <f>+'SR BS'!DZ22+'DS BS'!P22+'CP BS'!N22</f>
        <v>491270</v>
      </c>
      <c r="S22" s="296"/>
      <c r="T22" s="294">
        <f t="shared" si="3"/>
        <v>578284</v>
      </c>
      <c r="U22" s="294"/>
      <c r="W22" s="296">
        <f>+PROPNA!N23</f>
        <v>0</v>
      </c>
      <c r="Y22" s="296">
        <v>0</v>
      </c>
      <c r="AA22" s="296">
        <v>0</v>
      </c>
      <c r="AC22" s="296"/>
      <c r="AE22" s="296">
        <v>0</v>
      </c>
      <c r="AG22" s="296">
        <f t="shared" si="2"/>
        <v>578284</v>
      </c>
    </row>
    <row r="23" spans="1:35" ht="15.75">
      <c r="A23" s="276"/>
      <c r="B23" s="276" t="str">
        <f>INPUT!B94</f>
        <v xml:space="preserve">     Inventories</v>
      </c>
      <c r="C23" s="276"/>
      <c r="D23" s="294">
        <f>+INPUT!D94</f>
        <v>112403</v>
      </c>
      <c r="E23" s="296"/>
      <c r="F23" s="294">
        <f>INPUT!X94</f>
        <v>0</v>
      </c>
      <c r="G23" s="294">
        <f>INPUT!BB94</f>
        <v>0</v>
      </c>
      <c r="H23" s="294">
        <f>INPUT!BC94</f>
        <v>0</v>
      </c>
      <c r="I23" s="296"/>
      <c r="J23" s="294">
        <f>+INPUT!BN94</f>
        <v>0</v>
      </c>
      <c r="K23" s="294"/>
      <c r="L23" s="276" t="str">
        <f t="shared" si="1"/>
        <v xml:space="preserve">     Inventories</v>
      </c>
      <c r="M23" s="294"/>
      <c r="N23" s="294">
        <f>+INPUT!BR94</f>
        <v>0</v>
      </c>
      <c r="Q23" s="296"/>
      <c r="R23" s="294">
        <f>+'SR BS'!DZ23+'DS BS'!P23+'CP BS'!N23</f>
        <v>474123</v>
      </c>
      <c r="S23" s="296"/>
      <c r="T23" s="294">
        <f t="shared" si="3"/>
        <v>586526</v>
      </c>
      <c r="U23" s="294"/>
      <c r="W23" s="296">
        <f>+PROPNA!N24</f>
        <v>35792</v>
      </c>
      <c r="Y23" s="296">
        <v>0</v>
      </c>
      <c r="AA23" s="296">
        <v>0</v>
      </c>
      <c r="AC23" s="296"/>
      <c r="AE23" s="296">
        <v>0</v>
      </c>
      <c r="AG23" s="296">
        <f t="shared" si="2"/>
        <v>622318</v>
      </c>
    </row>
    <row r="24" spans="1:35" ht="15.75">
      <c r="A24" s="276"/>
      <c r="B24" s="276" t="str">
        <f>INPUT!B96</f>
        <v>Noncurrent assets:</v>
      </c>
      <c r="C24" s="276"/>
      <c r="D24" s="294"/>
      <c r="E24" s="296"/>
      <c r="F24" s="294"/>
      <c r="G24" s="294"/>
      <c r="H24" s="294"/>
      <c r="I24" s="296"/>
      <c r="J24" s="294"/>
      <c r="K24" s="294"/>
      <c r="L24" s="276" t="str">
        <f t="shared" si="1"/>
        <v>Noncurrent assets:</v>
      </c>
      <c r="M24" s="294"/>
      <c r="N24" s="294"/>
      <c r="Q24" s="296"/>
      <c r="R24" s="294"/>
      <c r="S24" s="296"/>
      <c r="T24" s="294"/>
      <c r="U24" s="294"/>
      <c r="W24" s="296"/>
      <c r="Y24" s="296"/>
      <c r="AA24" s="296"/>
      <c r="AC24" s="296"/>
      <c r="AE24" s="296"/>
      <c r="AG24" s="296"/>
    </row>
    <row r="25" spans="1:35" ht="15.75">
      <c r="A25" s="276"/>
      <c r="B25" s="276" t="str">
        <f>INPUT!B97</f>
        <v xml:space="preserve">     Restricted assets:</v>
      </c>
      <c r="C25" s="276"/>
      <c r="D25" s="294"/>
      <c r="E25" s="296"/>
      <c r="F25" s="294"/>
      <c r="G25" s="294"/>
      <c r="H25" s="294"/>
      <c r="I25" s="296"/>
      <c r="J25" s="294"/>
      <c r="K25" s="294"/>
      <c r="L25" s="276" t="str">
        <f t="shared" si="1"/>
        <v xml:space="preserve">     Restricted assets:</v>
      </c>
      <c r="M25" s="294"/>
      <c r="N25" s="294"/>
      <c r="Q25" s="296"/>
      <c r="R25" s="294"/>
      <c r="S25" s="296"/>
      <c r="T25" s="294"/>
      <c r="U25" s="294"/>
      <c r="W25" s="296"/>
      <c r="Y25" s="296"/>
      <c r="AA25" s="296"/>
      <c r="AC25" s="296"/>
      <c r="AE25" s="296"/>
      <c r="AG25" s="296"/>
    </row>
    <row r="26" spans="1:35" ht="15.75">
      <c r="A26" s="276"/>
      <c r="B26" s="276" t="str">
        <f>INPUT!B98</f>
        <v xml:space="preserve">          Cash and cash equivalents</v>
      </c>
      <c r="C26" s="276"/>
      <c r="D26" s="294">
        <f>+INPUT!D98</f>
        <v>0</v>
      </c>
      <c r="E26" s="296"/>
      <c r="F26" s="294">
        <f>INPUT!X98</f>
        <v>0</v>
      </c>
      <c r="G26" s="294">
        <f>INPUT!BB98</f>
        <v>0</v>
      </c>
      <c r="H26" s="294">
        <f>INPUT!BC98</f>
        <v>0</v>
      </c>
      <c r="I26" s="296"/>
      <c r="J26" s="294">
        <f>+INPUT!BN98</f>
        <v>0</v>
      </c>
      <c r="K26" s="294"/>
      <c r="L26" s="276" t="str">
        <f t="shared" si="1"/>
        <v xml:space="preserve">          Cash and cash equivalents</v>
      </c>
      <c r="M26" s="294"/>
      <c r="N26" s="294">
        <f>+INPUT!BR98</f>
        <v>0</v>
      </c>
      <c r="Q26" s="296"/>
      <c r="R26" s="294">
        <f>+'SR BS'!DZ26+'DS BS'!P26+'CP BS'!N26+'PERM BS'!D23</f>
        <v>41629</v>
      </c>
      <c r="S26" s="296"/>
      <c r="T26" s="294">
        <f>SUM(D26:R26)</f>
        <v>41629</v>
      </c>
      <c r="U26" s="294"/>
      <c r="W26" s="296">
        <f>+PROPNA!N30</f>
        <v>0</v>
      </c>
      <c r="Y26" s="296">
        <v>0</v>
      </c>
      <c r="AA26" s="296">
        <v>0</v>
      </c>
      <c r="AC26" s="294"/>
      <c r="AE26" s="294">
        <f>-W26-T26</f>
        <v>-41629</v>
      </c>
      <c r="AF26" s="382">
        <v>-1</v>
      </c>
      <c r="AG26" s="296">
        <f>SUM(T26:AE26)</f>
        <v>0</v>
      </c>
    </row>
    <row r="27" spans="1:35" ht="15.75">
      <c r="A27" s="276"/>
      <c r="B27" s="276" t="str">
        <f>INPUT!B99</f>
        <v xml:space="preserve">          Investments</v>
      </c>
      <c r="C27" s="276"/>
      <c r="D27" s="294">
        <f>+INPUT!D99</f>
        <v>0</v>
      </c>
      <c r="E27" s="296"/>
      <c r="F27" s="294">
        <f>INPUT!X99</f>
        <v>0</v>
      </c>
      <c r="G27" s="294">
        <f>INPUT!BB99</f>
        <v>0</v>
      </c>
      <c r="H27" s="294">
        <f>INPUT!BC99</f>
        <v>0</v>
      </c>
      <c r="I27" s="296"/>
      <c r="J27" s="294">
        <f>+INPUT!BN99</f>
        <v>0</v>
      </c>
      <c r="K27" s="294"/>
      <c r="L27" s="276" t="str">
        <f t="shared" si="1"/>
        <v xml:space="preserve">          Investments</v>
      </c>
      <c r="M27" s="294"/>
      <c r="N27" s="294">
        <f>+INPUT!BR99</f>
        <v>0</v>
      </c>
      <c r="Q27" s="296"/>
      <c r="R27" s="294">
        <f>+'SR BS'!DZ27+'DS BS'!P27+'CP BS'!N27+'PERM BS'!D24</f>
        <v>695914</v>
      </c>
      <c r="S27" s="296"/>
      <c r="T27" s="294">
        <f>SUM(D27:R27)</f>
        <v>695914</v>
      </c>
      <c r="U27" s="294"/>
      <c r="W27" s="296">
        <f>+PROPNA!N31</f>
        <v>0</v>
      </c>
      <c r="Y27" s="296">
        <v>0</v>
      </c>
      <c r="AA27" s="296">
        <v>0</v>
      </c>
      <c r="AC27" s="383"/>
      <c r="AE27" s="383">
        <f>+T26</f>
        <v>41629</v>
      </c>
      <c r="AF27" s="382">
        <v>-1</v>
      </c>
      <c r="AG27" s="296">
        <f>SUM(T27:AE27)</f>
        <v>737543</v>
      </c>
      <c r="AI27" s="288">
        <f>88543+173988</f>
        <v>262531</v>
      </c>
    </row>
    <row r="28" spans="1:35" ht="15.75" hidden="1">
      <c r="A28" s="276"/>
      <c r="B28" s="276" t="str">
        <f>INPUT!B100</f>
        <v xml:space="preserve">     Valuation of investments to fair value</v>
      </c>
      <c r="C28" s="276"/>
      <c r="D28" s="294"/>
      <c r="E28" s="296"/>
      <c r="F28" s="294"/>
      <c r="G28" s="294"/>
      <c r="H28" s="294"/>
      <c r="I28" s="296"/>
      <c r="J28" s="294"/>
      <c r="K28" s="294"/>
      <c r="L28" s="276" t="str">
        <f t="shared" si="1"/>
        <v xml:space="preserve">     Valuation of investments to fair value</v>
      </c>
      <c r="M28" s="294"/>
      <c r="N28" s="294"/>
      <c r="Q28" s="296"/>
      <c r="R28" s="294"/>
      <c r="S28" s="296"/>
      <c r="T28" s="294"/>
      <c r="U28" s="294"/>
      <c r="W28" s="296"/>
      <c r="Y28" s="296"/>
      <c r="AA28" s="296"/>
      <c r="AC28" s="296"/>
      <c r="AE28" s="296"/>
      <c r="AG28" s="296">
        <f t="shared" ref="AG28:AG36" si="6">SUM(T28:AE28)</f>
        <v>0</v>
      </c>
    </row>
    <row r="29" spans="1:35" ht="15.75" hidden="1">
      <c r="A29" s="276"/>
      <c r="B29" s="276" t="str">
        <f>INPUT!B101</f>
        <v xml:space="preserve">     Long-term accounts/contracts receivable</v>
      </c>
      <c r="C29" s="276"/>
      <c r="D29" s="294">
        <f>+INPUT!D101</f>
        <v>0</v>
      </c>
      <c r="E29" s="296"/>
      <c r="F29" s="294">
        <f>INPUT!X101</f>
        <v>0</v>
      </c>
      <c r="G29" s="294">
        <f>INPUT!BB101</f>
        <v>0</v>
      </c>
      <c r="H29" s="294">
        <f>INPUT!BC101</f>
        <v>0</v>
      </c>
      <c r="I29" s="296"/>
      <c r="J29" s="294">
        <f>+INPUT!BN101</f>
        <v>0</v>
      </c>
      <c r="K29" s="294"/>
      <c r="L29" s="276" t="str">
        <f t="shared" si="1"/>
        <v xml:space="preserve">     Long-term accounts/contracts receivable</v>
      </c>
      <c r="M29" s="294"/>
      <c r="N29" s="294">
        <f>+INPUT!BR101</f>
        <v>0</v>
      </c>
      <c r="Q29" s="296"/>
      <c r="R29" s="294">
        <f>+'SR BS'!DZ29+'DS BS'!P29+'CP BS'!N29</f>
        <v>0</v>
      </c>
      <c r="S29" s="296"/>
      <c r="T29" s="294">
        <f>SUM(D29:R29)</f>
        <v>0</v>
      </c>
      <c r="U29" s="294"/>
      <c r="W29" s="296">
        <f>+PROPNA!N33</f>
        <v>0</v>
      </c>
      <c r="Y29" s="296">
        <v>0</v>
      </c>
      <c r="AA29" s="296">
        <v>0</v>
      </c>
      <c r="AC29" s="294"/>
      <c r="AE29" s="294"/>
      <c r="AF29" s="382"/>
      <c r="AG29" s="296">
        <f>SUM(T29:AE29)</f>
        <v>0</v>
      </c>
    </row>
    <row r="30" spans="1:35" ht="15.75" hidden="1">
      <c r="A30" s="276"/>
      <c r="B30" s="276" t="str">
        <f>INPUT!B102</f>
        <v xml:space="preserve">     Long-term notes receivable</v>
      </c>
      <c r="C30" s="276"/>
      <c r="D30" s="294">
        <f>+INPUT!D102</f>
        <v>0</v>
      </c>
      <c r="E30" s="296"/>
      <c r="F30" s="294">
        <f>INPUT!X102</f>
        <v>0</v>
      </c>
      <c r="G30" s="294">
        <f>INPUT!BB102</f>
        <v>0</v>
      </c>
      <c r="H30" s="294">
        <f>INPUT!BC102</f>
        <v>0</v>
      </c>
      <c r="I30" s="296"/>
      <c r="J30" s="294">
        <f>+INPUT!BN102</f>
        <v>0</v>
      </c>
      <c r="K30" s="294"/>
      <c r="L30" s="276" t="str">
        <f t="shared" si="1"/>
        <v xml:space="preserve">     Long-term notes receivable</v>
      </c>
      <c r="M30" s="294"/>
      <c r="N30" s="294">
        <f>+INPUT!BR102</f>
        <v>0</v>
      </c>
      <c r="Q30" s="296"/>
      <c r="R30" s="294">
        <f>+'SR BS'!DZ30+'DS BS'!P30+'CP BS'!N30</f>
        <v>0</v>
      </c>
      <c r="S30" s="296"/>
      <c r="T30" s="294">
        <f>SUM(D30:R30)</f>
        <v>0</v>
      </c>
      <c r="U30" s="294"/>
      <c r="W30" s="296">
        <f>+PROPNA!N34</f>
        <v>0</v>
      </c>
      <c r="Y30" s="296">
        <v>0</v>
      </c>
      <c r="AA30" s="296">
        <v>0</v>
      </c>
      <c r="AC30" s="294"/>
      <c r="AE30" s="294"/>
      <c r="AF30" s="382"/>
      <c r="AG30" s="296">
        <f>SUM(T30:AE30)</f>
        <v>0</v>
      </c>
    </row>
    <row r="31" spans="1:35" ht="15.75">
      <c r="A31" s="276"/>
      <c r="B31" s="276" t="str">
        <f>INPUT!B103</f>
        <v xml:space="preserve">     Advances to other funds</v>
      </c>
      <c r="C31" s="276"/>
      <c r="D31" s="294">
        <f>+INPUT!D103</f>
        <v>0</v>
      </c>
      <c r="E31" s="296"/>
      <c r="F31" s="294">
        <f>INPUT!X103</f>
        <v>0</v>
      </c>
      <c r="G31" s="294">
        <f>INPUT!BB103</f>
        <v>0</v>
      </c>
      <c r="H31" s="294">
        <f>INPUT!BC103</f>
        <v>6602</v>
      </c>
      <c r="I31" s="296"/>
      <c r="J31" s="294">
        <f>+INPUT!BN103</f>
        <v>0</v>
      </c>
      <c r="K31" s="294"/>
      <c r="L31" s="276" t="str">
        <f t="shared" si="1"/>
        <v xml:space="preserve">     Advances to other funds</v>
      </c>
      <c r="M31" s="294"/>
      <c r="N31" s="294">
        <f>+INPUT!BR103</f>
        <v>1123725</v>
      </c>
      <c r="Q31" s="296"/>
      <c r="R31" s="294">
        <f>+'SR BS'!DZ31+'DS BS'!P31+'CP BS'!N31</f>
        <v>0</v>
      </c>
      <c r="S31" s="296"/>
      <c r="T31" s="294">
        <f>SUM(D31:R31)</f>
        <v>1130327</v>
      </c>
      <c r="U31" s="294"/>
      <c r="W31" s="296">
        <f>+PROPNA!N35</f>
        <v>0</v>
      </c>
      <c r="Y31" s="296">
        <v>0</v>
      </c>
      <c r="AA31" s="296">
        <v>0</v>
      </c>
      <c r="AC31" s="294"/>
      <c r="AE31" s="294">
        <f>-T31-W31-'Stmt of Net Pos'!G33</f>
        <v>-6602</v>
      </c>
      <c r="AF31" s="382">
        <v>-2</v>
      </c>
      <c r="AG31" s="296">
        <f>SUM(T31:AE31)</f>
        <v>1123725</v>
      </c>
      <c r="AI31" s="288">
        <f>+AI27-AG27</f>
        <v>-475012</v>
      </c>
    </row>
    <row r="32" spans="1:35" ht="15.75" hidden="1">
      <c r="A32" s="276"/>
      <c r="B32" s="276" t="str">
        <f>INPUT!B105</f>
        <v xml:space="preserve">     Land held for resale</v>
      </c>
      <c r="C32" s="276"/>
      <c r="D32" s="294">
        <f>+INPUT!D105</f>
        <v>0</v>
      </c>
      <c r="E32" s="296"/>
      <c r="F32" s="294"/>
      <c r="G32" s="294"/>
      <c r="H32" s="294"/>
      <c r="I32" s="296"/>
      <c r="J32" s="294"/>
      <c r="K32" s="294"/>
      <c r="L32" s="276" t="str">
        <f t="shared" si="1"/>
        <v xml:space="preserve">     Land held for resale</v>
      </c>
      <c r="M32" s="294"/>
      <c r="N32" s="294"/>
      <c r="Q32" s="296"/>
      <c r="R32" s="294"/>
      <c r="S32" s="296"/>
      <c r="T32" s="294">
        <f>SUM(D32:R32)</f>
        <v>0</v>
      </c>
      <c r="U32" s="294"/>
      <c r="W32" s="296"/>
      <c r="Y32" s="296">
        <v>0</v>
      </c>
      <c r="AA32" s="296">
        <v>0</v>
      </c>
      <c r="AC32" s="296"/>
      <c r="AE32" s="296">
        <v>0</v>
      </c>
      <c r="AG32" s="296">
        <f t="shared" si="6"/>
        <v>0</v>
      </c>
    </row>
    <row r="33" spans="1:36" ht="15.75" hidden="1">
      <c r="A33" s="276"/>
      <c r="B33" s="276" t="str">
        <f>INPUT!B107</f>
        <v xml:space="preserve">     Land and construction in progress</v>
      </c>
      <c r="C33" s="276"/>
      <c r="D33" s="294"/>
      <c r="E33" s="296"/>
      <c r="F33" s="294"/>
      <c r="G33" s="294"/>
      <c r="H33" s="294"/>
      <c r="I33" s="296"/>
      <c r="J33" s="294"/>
      <c r="K33" s="294"/>
      <c r="L33" s="276" t="str">
        <f t="shared" si="1"/>
        <v xml:space="preserve">     Land and construction in progress</v>
      </c>
      <c r="M33" s="294"/>
      <c r="N33" s="294"/>
      <c r="Q33" s="296"/>
      <c r="R33" s="294"/>
      <c r="S33" s="296"/>
      <c r="T33" s="294"/>
      <c r="U33" s="294"/>
      <c r="W33" s="296">
        <f>+PROPNA!N38</f>
        <v>212844</v>
      </c>
      <c r="Y33" s="296">
        <f>+R142</f>
        <v>7069182</v>
      </c>
      <c r="Z33" s="288" t="s">
        <v>763</v>
      </c>
      <c r="AA33" s="296">
        <v>0</v>
      </c>
      <c r="AC33" s="296"/>
      <c r="AE33" s="296">
        <v>0</v>
      </c>
      <c r="AG33" s="296">
        <f t="shared" si="6"/>
        <v>7282026</v>
      </c>
    </row>
    <row r="34" spans="1:36" ht="15.75" hidden="1">
      <c r="A34" s="276"/>
      <c r="B34" s="276" t="str">
        <f>INPUT!B108</f>
        <v xml:space="preserve">     Buildings, improvements, vehicles and equipment (net)</v>
      </c>
      <c r="C34" s="276"/>
      <c r="D34" s="294"/>
      <c r="E34" s="296"/>
      <c r="F34" s="294"/>
      <c r="G34" s="294"/>
      <c r="H34" s="294"/>
      <c r="I34" s="296"/>
      <c r="J34" s="294"/>
      <c r="K34" s="294"/>
      <c r="L34" s="276" t="str">
        <f t="shared" si="1"/>
        <v xml:space="preserve">     Buildings, improvements, vehicles and equipment (net)</v>
      </c>
      <c r="M34" s="294"/>
      <c r="N34" s="294"/>
      <c r="Q34" s="296"/>
      <c r="R34" s="294"/>
      <c r="S34" s="296"/>
      <c r="T34" s="294"/>
      <c r="U34" s="294"/>
      <c r="W34" s="296">
        <f>+PROPNA!N39</f>
        <v>424842</v>
      </c>
      <c r="Y34" s="296">
        <f>+R143</f>
        <v>28066679</v>
      </c>
      <c r="AA34" s="296">
        <v>0</v>
      </c>
      <c r="AC34" s="296"/>
      <c r="AE34" s="296">
        <v>0</v>
      </c>
      <c r="AG34" s="296">
        <f t="shared" si="6"/>
        <v>28491521</v>
      </c>
    </row>
    <row r="35" spans="1:36" ht="15.75" hidden="1">
      <c r="A35" s="276"/>
      <c r="B35" s="276" t="s">
        <v>1112</v>
      </c>
      <c r="C35" s="276"/>
      <c r="D35" s="294"/>
      <c r="E35" s="296"/>
      <c r="F35" s="294"/>
      <c r="G35" s="294"/>
      <c r="H35" s="294"/>
      <c r="I35" s="296"/>
      <c r="J35" s="294"/>
      <c r="K35" s="294"/>
      <c r="L35" s="276" t="str">
        <f t="shared" si="1"/>
        <v xml:space="preserve">     Infrastructure (net)</v>
      </c>
      <c r="M35" s="294"/>
      <c r="N35" s="294"/>
      <c r="Q35" s="296"/>
      <c r="R35" s="294"/>
      <c r="S35" s="296"/>
      <c r="T35" s="294"/>
      <c r="U35" s="294"/>
      <c r="W35" s="296">
        <v>0</v>
      </c>
      <c r="Y35" s="296">
        <f>+R144</f>
        <v>15030926</v>
      </c>
      <c r="AA35" s="296">
        <v>0</v>
      </c>
      <c r="AC35" s="296"/>
      <c r="AE35" s="296">
        <v>0</v>
      </c>
      <c r="AG35" s="296">
        <f>SUM(T35:AE35)</f>
        <v>15030926</v>
      </c>
      <c r="AI35" s="288">
        <f>SUM(AG33:AG35)</f>
        <v>50804473</v>
      </c>
    </row>
    <row r="36" spans="1:36" ht="15.75" hidden="1">
      <c r="A36" s="276"/>
      <c r="B36" s="276" t="s">
        <v>3461</v>
      </c>
      <c r="C36" s="276"/>
      <c r="D36" s="294"/>
      <c r="E36" s="296"/>
      <c r="F36" s="294"/>
      <c r="G36" s="294"/>
      <c r="H36" s="294"/>
      <c r="I36" s="296"/>
      <c r="J36" s="294"/>
      <c r="K36" s="294"/>
      <c r="L36" s="276" t="str">
        <f t="shared" si="1"/>
        <v xml:space="preserve">     Leased assets (net of accumulated amortization)</v>
      </c>
      <c r="M36" s="294"/>
      <c r="N36" s="294"/>
      <c r="Q36" s="296"/>
      <c r="R36" s="294"/>
      <c r="S36" s="296"/>
      <c r="T36" s="294"/>
      <c r="U36" s="294"/>
      <c r="W36" s="296"/>
      <c r="Y36" s="296"/>
      <c r="AA36" s="296"/>
      <c r="AC36" s="296"/>
      <c r="AE36" s="1140">
        <f>+Y145</f>
        <v>275443</v>
      </c>
      <c r="AF36" s="288" t="s">
        <v>3262</v>
      </c>
      <c r="AG36" s="296">
        <f t="shared" si="6"/>
        <v>275443</v>
      </c>
      <c r="AJ36" s="288">
        <f>+AE36-AE87</f>
        <v>134385</v>
      </c>
    </row>
    <row r="37" spans="1:36" ht="15.75" hidden="1">
      <c r="A37" s="276"/>
      <c r="B37" s="276" t="s">
        <v>3460</v>
      </c>
      <c r="C37" s="276"/>
      <c r="D37" s="294"/>
      <c r="E37" s="296"/>
      <c r="F37" s="294"/>
      <c r="G37" s="294"/>
      <c r="H37" s="294"/>
      <c r="I37" s="296"/>
      <c r="J37" s="294"/>
      <c r="K37" s="294"/>
      <c r="L37" s="276" t="str">
        <f t="shared" ref="L37" si="7">+B37</f>
        <v xml:space="preserve">     SBITA (net of accumulated amortization)</v>
      </c>
      <c r="M37" s="294"/>
      <c r="N37" s="294"/>
      <c r="Q37" s="296"/>
      <c r="R37" s="294"/>
      <c r="S37" s="296"/>
      <c r="T37" s="294"/>
      <c r="U37" s="294"/>
      <c r="W37" s="296">
        <f>+PROPNA!N40</f>
        <v>520227</v>
      </c>
      <c r="Y37" s="296"/>
      <c r="AA37" s="296"/>
      <c r="AC37" s="296"/>
      <c r="AE37" s="1140">
        <f>+Y146</f>
        <v>312541</v>
      </c>
      <c r="AF37" s="288" t="s">
        <v>3465</v>
      </c>
      <c r="AG37" s="296">
        <f>SUM(T37:AE37)</f>
        <v>832768</v>
      </c>
    </row>
    <row r="38" spans="1:36" s="391" customFormat="1" ht="15.75">
      <c r="A38" s="334"/>
      <c r="B38" s="334"/>
      <c r="C38" s="334"/>
      <c r="D38" s="1042"/>
      <c r="E38" s="1043"/>
      <c r="F38" s="1042"/>
      <c r="G38" s="1042"/>
      <c r="H38" s="1042"/>
      <c r="I38" s="1043"/>
      <c r="J38" s="1042"/>
      <c r="K38" s="346"/>
      <c r="L38" s="334"/>
      <c r="M38" s="346"/>
      <c r="N38" s="1042"/>
      <c r="Q38" s="1043"/>
      <c r="R38" s="1042"/>
      <c r="S38" s="1043"/>
      <c r="T38" s="1042"/>
      <c r="U38" s="346"/>
      <c r="W38" s="1042"/>
      <c r="Y38" s="1042"/>
      <c r="AA38" s="1042"/>
      <c r="AC38" s="1042"/>
      <c r="AE38" s="1042"/>
      <c r="AG38" s="1042"/>
    </row>
    <row r="39" spans="1:36" ht="16.5" thickBot="1">
      <c r="A39" s="276"/>
      <c r="B39" s="308" t="str">
        <f>INPUT!B114</f>
        <v xml:space="preserve">          Total assets</v>
      </c>
      <c r="C39" s="303"/>
      <c r="D39" s="706">
        <f>SUM(D14:D38)</f>
        <v>12840036</v>
      </c>
      <c r="E39" s="707"/>
      <c r="F39" s="706">
        <f>SUM(F14:F38)</f>
        <v>4842886</v>
      </c>
      <c r="G39" s="706">
        <f>SUM(G14:G38)</f>
        <v>9514638</v>
      </c>
      <c r="H39" s="706">
        <f>SUM(H14:H38)</f>
        <v>6881945</v>
      </c>
      <c r="I39" s="707"/>
      <c r="J39" s="706">
        <f>SUM(J14:J31)</f>
        <v>622038</v>
      </c>
      <c r="K39" s="705"/>
      <c r="L39" s="308" t="s">
        <v>1194</v>
      </c>
      <c r="M39" s="705"/>
      <c r="N39" s="706">
        <f>SUM(N14:N38)</f>
        <v>17958090</v>
      </c>
      <c r="Q39" s="707"/>
      <c r="R39" s="706">
        <f>SUM(R14:R38)</f>
        <v>17429028</v>
      </c>
      <c r="S39" s="707"/>
      <c r="T39" s="706">
        <f>SUM(T14:T38)</f>
        <v>70088661</v>
      </c>
      <c r="U39" s="385"/>
      <c r="W39" s="302">
        <f>SUM(W14:W38)</f>
        <v>7320110</v>
      </c>
      <c r="Y39" s="302">
        <f>SUM(Y14:Y38)</f>
        <v>50166787</v>
      </c>
      <c r="AA39" s="302">
        <f>SUM(AA14:AA38)</f>
        <v>0</v>
      </c>
      <c r="AC39" s="302">
        <f>SUM(AC14:AC38)</f>
        <v>0</v>
      </c>
      <c r="AE39" s="302">
        <f>SUM(AE14:AE38)</f>
        <v>-229642</v>
      </c>
      <c r="AG39" s="302">
        <f>SUM(AG14:AG38)</f>
        <v>127345916</v>
      </c>
    </row>
    <row r="40" spans="1:36" ht="16.5" thickTop="1">
      <c r="A40" s="276"/>
      <c r="B40" s="308"/>
      <c r="C40" s="303"/>
      <c r="D40" s="385"/>
      <c r="E40" s="384"/>
      <c r="F40" s="385"/>
      <c r="G40" s="385"/>
      <c r="H40" s="385"/>
      <c r="I40" s="384"/>
      <c r="J40" s="385"/>
      <c r="K40" s="385"/>
      <c r="L40" s="308"/>
      <c r="M40" s="385"/>
      <c r="N40" s="385"/>
      <c r="Q40" s="384"/>
      <c r="R40" s="385"/>
      <c r="S40" s="384"/>
      <c r="T40" s="385"/>
      <c r="U40" s="385"/>
      <c r="W40" s="326"/>
      <c r="Y40" s="326"/>
      <c r="AA40" s="326"/>
      <c r="AC40" s="326"/>
      <c r="AE40" s="326"/>
      <c r="AG40" s="326"/>
    </row>
    <row r="41" spans="1:36" ht="15.75" customHeight="1">
      <c r="A41" s="276"/>
      <c r="B41" s="308" t="str">
        <f>+INPUT!B116</f>
        <v>DEFERRED OUTFLOWS OF RESOURCES</v>
      </c>
      <c r="C41" s="303"/>
      <c r="D41" s="385"/>
      <c r="E41" s="384"/>
      <c r="F41" s="385"/>
      <c r="G41" s="385"/>
      <c r="H41" s="385"/>
      <c r="I41" s="384"/>
      <c r="J41" s="385"/>
      <c r="K41" s="385"/>
      <c r="L41" s="308" t="s">
        <v>1817</v>
      </c>
      <c r="M41" s="385"/>
      <c r="N41" s="385"/>
      <c r="Q41" s="384"/>
      <c r="R41" s="385"/>
      <c r="S41" s="384"/>
      <c r="T41" s="385"/>
      <c r="U41" s="385"/>
      <c r="W41" s="326"/>
      <c r="Y41" s="326"/>
      <c r="AA41" s="326"/>
      <c r="AC41" s="326"/>
      <c r="AE41" s="326"/>
      <c r="AG41" s="296"/>
    </row>
    <row r="42" spans="1:36" ht="15.75" hidden="1" customHeight="1">
      <c r="A42" s="276"/>
      <c r="B42" s="308"/>
      <c r="C42" s="303"/>
      <c r="D42" s="385"/>
      <c r="E42" s="384"/>
      <c r="F42" s="385"/>
      <c r="G42" s="385"/>
      <c r="H42" s="385"/>
      <c r="I42" s="384"/>
      <c r="J42" s="385"/>
      <c r="K42" s="385"/>
      <c r="L42" s="308"/>
      <c r="M42" s="385"/>
      <c r="N42" s="385"/>
      <c r="Q42" s="384"/>
      <c r="R42" s="385"/>
      <c r="S42" s="384"/>
      <c r="T42" s="385"/>
      <c r="U42" s="385"/>
      <c r="W42" s="326"/>
      <c r="Y42" s="326"/>
      <c r="AA42" s="326"/>
      <c r="AC42" s="326"/>
      <c r="AE42" s="326"/>
      <c r="AG42" s="296">
        <f t="shared" ref="AG42:AG46" si="8">SUM(T42:AE42)</f>
        <v>0</v>
      </c>
    </row>
    <row r="43" spans="1:36" ht="15.75" hidden="1" customHeight="1">
      <c r="A43" s="276"/>
      <c r="B43" s="308"/>
      <c r="C43" s="303"/>
      <c r="D43" s="385"/>
      <c r="E43" s="384"/>
      <c r="F43" s="385"/>
      <c r="G43" s="385"/>
      <c r="H43" s="385"/>
      <c r="I43" s="384"/>
      <c r="J43" s="385"/>
      <c r="K43" s="385"/>
      <c r="L43" s="308"/>
      <c r="M43" s="385"/>
      <c r="N43" s="385"/>
      <c r="Q43" s="384"/>
      <c r="R43" s="385"/>
      <c r="S43" s="384"/>
      <c r="T43" s="385"/>
      <c r="U43" s="385"/>
      <c r="W43" s="326"/>
      <c r="Y43" s="326"/>
      <c r="AA43" s="326"/>
      <c r="AC43" s="326"/>
      <c r="AE43" s="326"/>
      <c r="AG43" s="296">
        <f t="shared" si="8"/>
        <v>0</v>
      </c>
    </row>
    <row r="44" spans="1:36" ht="15.75" customHeight="1">
      <c r="A44" s="276"/>
      <c r="B44" s="276" t="str">
        <f>+INPUT!B117</f>
        <v xml:space="preserve">     Prepayments of costs</v>
      </c>
      <c r="C44" s="303"/>
      <c r="D44" s="706">
        <f>+INPUT!D117</f>
        <v>0</v>
      </c>
      <c r="E44" s="707"/>
      <c r="F44" s="706">
        <f>INPUT!X117</f>
        <v>0</v>
      </c>
      <c r="G44" s="706">
        <f>INPUT!BB117</f>
        <v>0</v>
      </c>
      <c r="H44" s="706">
        <f>INPUT!BC117</f>
        <v>0</v>
      </c>
      <c r="I44" s="707"/>
      <c r="J44" s="706">
        <f>+INPUT!BN117</f>
        <v>0</v>
      </c>
      <c r="K44" s="294"/>
      <c r="L44" s="276" t="str">
        <f t="shared" ref="L44" si="9">+B44</f>
        <v xml:space="preserve">     Prepayments of costs</v>
      </c>
      <c r="M44" s="294"/>
      <c r="N44" s="318">
        <f>+INPUT!BR117</f>
        <v>0</v>
      </c>
      <c r="Q44" s="276"/>
      <c r="R44" s="318">
        <f>+'COMBING BS'!L46</f>
        <v>4635</v>
      </c>
      <c r="S44" s="276"/>
      <c r="T44" s="318">
        <f>SUM(D44:R44)</f>
        <v>4635</v>
      </c>
      <c r="U44" s="294"/>
      <c r="W44" s="369">
        <f>+PROPNA!N46</f>
        <v>0</v>
      </c>
      <c r="Y44" s="1146">
        <v>0</v>
      </c>
      <c r="AA44" s="326"/>
      <c r="AC44" s="326"/>
      <c r="AE44" s="326"/>
      <c r="AG44" s="296">
        <f t="shared" si="8"/>
        <v>4635</v>
      </c>
    </row>
    <row r="45" spans="1:36" ht="15.75" hidden="1" customHeight="1">
      <c r="A45" s="276"/>
      <c r="B45" s="276" t="str">
        <f>+INPUT!B118</f>
        <v xml:space="preserve">     Deferred charges - Revenue bond issuance costs</v>
      </c>
      <c r="C45" s="303"/>
      <c r="D45" s="385"/>
      <c r="E45" s="384"/>
      <c r="F45" s="385"/>
      <c r="G45" s="385"/>
      <c r="H45" s="385"/>
      <c r="I45" s="384"/>
      <c r="J45" s="385"/>
      <c r="K45" s="385"/>
      <c r="L45" s="276" t="str">
        <f>+B45</f>
        <v xml:space="preserve">     Deferred charges - Revenue bond issuance costs</v>
      </c>
      <c r="M45" s="385"/>
      <c r="N45" s="385"/>
      <c r="Q45" s="384"/>
      <c r="R45" s="385"/>
      <c r="S45" s="384"/>
      <c r="T45" s="385"/>
      <c r="U45" s="385"/>
      <c r="W45" s="326"/>
      <c r="Y45" s="326"/>
      <c r="AA45" s="326"/>
      <c r="AC45" s="326"/>
      <c r="AE45" s="326"/>
      <c r="AG45" s="296">
        <f t="shared" si="8"/>
        <v>0</v>
      </c>
    </row>
    <row r="46" spans="1:36" ht="15.75" hidden="1" customHeight="1">
      <c r="A46" s="276"/>
      <c r="B46" s="276"/>
      <c r="C46" s="276"/>
      <c r="D46" s="294"/>
      <c r="E46" s="296"/>
      <c r="F46" s="294"/>
      <c r="G46" s="294"/>
      <c r="H46" s="294"/>
      <c r="I46" s="296"/>
      <c r="J46" s="294"/>
      <c r="K46" s="294"/>
      <c r="L46" s="276"/>
      <c r="M46" s="294"/>
      <c r="N46" s="294"/>
      <c r="Q46" s="296"/>
      <c r="R46" s="296"/>
      <c r="S46" s="296"/>
      <c r="T46" s="296"/>
      <c r="U46" s="296"/>
      <c r="W46" s="296"/>
      <c r="Y46" s="296"/>
      <c r="AA46" s="296"/>
      <c r="AC46" s="296"/>
      <c r="AE46" s="296"/>
      <c r="AG46" s="296">
        <f t="shared" si="8"/>
        <v>0</v>
      </c>
    </row>
    <row r="47" spans="1:36" ht="15.75" hidden="1" customHeight="1">
      <c r="A47" s="276"/>
      <c r="B47" s="276" t="str">
        <f>+INPUT!B120</f>
        <v xml:space="preserve">     Deferred outflows related to pensions</v>
      </c>
      <c r="C47" s="276"/>
      <c r="D47" s="294"/>
      <c r="E47" s="296"/>
      <c r="F47" s="294"/>
      <c r="G47" s="294"/>
      <c r="H47" s="294"/>
      <c r="I47" s="296"/>
      <c r="J47" s="294"/>
      <c r="K47" s="294"/>
      <c r="L47" s="276" t="str">
        <f>+B47</f>
        <v xml:space="preserve">     Deferred outflows related to pensions</v>
      </c>
      <c r="M47" s="294"/>
      <c r="N47" s="294"/>
      <c r="Q47" s="296"/>
      <c r="R47" s="296"/>
      <c r="S47" s="296"/>
      <c r="T47" s="296"/>
      <c r="U47" s="296"/>
      <c r="W47" s="296"/>
      <c r="AA47" s="296"/>
      <c r="AC47" s="1290">
        <f>+Pension!E28</f>
        <v>7814355</v>
      </c>
      <c r="AD47" s="288" t="s">
        <v>2041</v>
      </c>
      <c r="AE47" s="296"/>
      <c r="AG47" s="296">
        <f>SUM(T47:AE47)</f>
        <v>7814355</v>
      </c>
    </row>
    <row r="48" spans="1:36" ht="15.75" hidden="1" customHeight="1">
      <c r="A48" s="276"/>
      <c r="B48" s="276"/>
      <c r="C48" s="276"/>
      <c r="D48" s="294"/>
      <c r="E48" s="296"/>
      <c r="F48" s="294"/>
      <c r="G48" s="294"/>
      <c r="H48" s="294"/>
      <c r="I48" s="296"/>
      <c r="J48" s="294"/>
      <c r="K48" s="294"/>
      <c r="L48" s="276"/>
      <c r="M48" s="294"/>
      <c r="N48" s="294"/>
      <c r="Q48" s="296"/>
      <c r="R48" s="296"/>
      <c r="S48" s="296"/>
      <c r="T48" s="296"/>
      <c r="U48" s="296"/>
      <c r="W48" s="296"/>
      <c r="AA48" s="296"/>
      <c r="AC48" s="386"/>
      <c r="AE48" s="296"/>
      <c r="AG48" s="296">
        <f t="shared" ref="AG48:AG54" si="10">SUM(T48:AE48)</f>
        <v>0</v>
      </c>
    </row>
    <row r="49" spans="1:35" ht="15.75" hidden="1" customHeight="1">
      <c r="A49" s="276"/>
      <c r="B49" s="276" t="str">
        <f>+INPUT!B122</f>
        <v xml:space="preserve">     Deferred outflows related to other </v>
      </c>
      <c r="C49" s="276"/>
      <c r="D49" s="294"/>
      <c r="E49" s="296"/>
      <c r="F49" s="294"/>
      <c r="G49" s="294"/>
      <c r="H49" s="294"/>
      <c r="I49" s="296"/>
      <c r="J49" s="294"/>
      <c r="K49" s="294"/>
      <c r="L49" s="276" t="str">
        <f>+B49</f>
        <v xml:space="preserve">     Deferred outflows related to other </v>
      </c>
      <c r="M49" s="294"/>
      <c r="N49" s="294"/>
      <c r="Q49" s="296"/>
      <c r="R49" s="296"/>
      <c r="S49" s="296"/>
      <c r="T49" s="296"/>
      <c r="U49" s="296"/>
      <c r="W49" s="296"/>
      <c r="AA49" s="296"/>
      <c r="AC49" s="386">
        <f>+AI161</f>
        <v>0</v>
      </c>
      <c r="AD49" s="288" t="s">
        <v>2049</v>
      </c>
      <c r="AE49" s="296"/>
      <c r="AG49" s="296">
        <f t="shared" si="10"/>
        <v>0</v>
      </c>
    </row>
    <row r="50" spans="1:35" ht="15.75" hidden="1" customHeight="1">
      <c r="A50" s="276"/>
      <c r="B50" s="276" t="str">
        <f>+INPUT!B123</f>
        <v xml:space="preserve">        postemployment benefits</v>
      </c>
      <c r="C50" s="276"/>
      <c r="D50" s="294"/>
      <c r="E50" s="296"/>
      <c r="F50" s="294"/>
      <c r="G50" s="294"/>
      <c r="H50" s="294"/>
      <c r="I50" s="296"/>
      <c r="J50" s="294"/>
      <c r="K50" s="294"/>
      <c r="L50" s="276" t="str">
        <f>+B50</f>
        <v xml:space="preserve">        postemployment benefits</v>
      </c>
      <c r="M50" s="294"/>
      <c r="N50" s="294"/>
      <c r="Q50" s="296"/>
      <c r="R50" s="296"/>
      <c r="S50" s="296"/>
      <c r="T50" s="296"/>
      <c r="U50" s="296"/>
      <c r="W50" s="296"/>
      <c r="AA50" s="296"/>
      <c r="AC50" s="1282">
        <f>+'OPEB, note 14'!J7</f>
        <v>1013809</v>
      </c>
      <c r="AD50" s="288" t="s">
        <v>570</v>
      </c>
      <c r="AE50" s="296"/>
      <c r="AG50" s="296">
        <f t="shared" si="10"/>
        <v>1013809</v>
      </c>
    </row>
    <row r="51" spans="1:35" ht="15.75" hidden="1" customHeight="1">
      <c r="A51" s="276"/>
      <c r="B51" s="276"/>
      <c r="C51" s="276"/>
      <c r="D51" s="294"/>
      <c r="E51" s="296"/>
      <c r="F51" s="294"/>
      <c r="G51" s="294"/>
      <c r="H51" s="294"/>
      <c r="I51" s="296"/>
      <c r="J51" s="294"/>
      <c r="K51" s="294"/>
      <c r="L51" s="276"/>
      <c r="M51" s="294"/>
      <c r="N51" s="294"/>
      <c r="Q51" s="296"/>
      <c r="R51" s="296"/>
      <c r="S51" s="296"/>
      <c r="T51" s="296"/>
      <c r="U51" s="296"/>
      <c r="W51" s="296"/>
      <c r="AA51" s="296"/>
      <c r="AC51" s="386">
        <f>+AI174</f>
        <v>0</v>
      </c>
      <c r="AD51" s="288" t="s">
        <v>2049</v>
      </c>
      <c r="AE51" s="296"/>
      <c r="AG51" s="296">
        <f t="shared" si="10"/>
        <v>0</v>
      </c>
    </row>
    <row r="52" spans="1:35" ht="15.75" hidden="1" customHeight="1">
      <c r="A52" s="276"/>
      <c r="B52" s="276"/>
      <c r="C52" s="276"/>
      <c r="D52" s="294"/>
      <c r="E52" s="296"/>
      <c r="F52" s="294"/>
      <c r="G52" s="294"/>
      <c r="H52" s="294"/>
      <c r="I52" s="296"/>
      <c r="J52" s="294"/>
      <c r="K52" s="294"/>
      <c r="L52" s="276"/>
      <c r="M52" s="294"/>
      <c r="N52" s="294"/>
      <c r="Q52" s="296"/>
      <c r="R52" s="296"/>
      <c r="S52" s="296"/>
      <c r="T52" s="296"/>
      <c r="U52" s="296"/>
      <c r="W52" s="296"/>
      <c r="AA52" s="296"/>
      <c r="AC52" s="386"/>
      <c r="AE52" s="296"/>
      <c r="AG52" s="296">
        <f t="shared" si="10"/>
        <v>0</v>
      </c>
    </row>
    <row r="53" spans="1:35" ht="15.75" hidden="1" customHeight="1">
      <c r="A53" s="276"/>
      <c r="B53" s="276"/>
      <c r="C53" s="276"/>
      <c r="D53" s="294"/>
      <c r="E53" s="296"/>
      <c r="F53" s="294"/>
      <c r="G53" s="294"/>
      <c r="H53" s="294"/>
      <c r="I53" s="296"/>
      <c r="J53" s="294"/>
      <c r="K53" s="294"/>
      <c r="L53" s="276"/>
      <c r="M53" s="294"/>
      <c r="N53" s="294"/>
      <c r="Q53" s="296"/>
      <c r="R53" s="296"/>
      <c r="S53" s="296"/>
      <c r="T53" s="296"/>
      <c r="U53" s="296"/>
      <c r="W53" s="296"/>
      <c r="AA53" s="296"/>
      <c r="AC53" s="386"/>
      <c r="AE53" s="296"/>
      <c r="AG53" s="296">
        <f t="shared" si="10"/>
        <v>0</v>
      </c>
    </row>
    <row r="54" spans="1:35" ht="15.75" hidden="1" customHeight="1">
      <c r="A54" s="276"/>
      <c r="B54" s="276"/>
      <c r="C54" s="276"/>
      <c r="D54" s="294"/>
      <c r="E54" s="296"/>
      <c r="F54" s="294"/>
      <c r="G54" s="294"/>
      <c r="H54" s="294"/>
      <c r="I54" s="296"/>
      <c r="J54" s="294"/>
      <c r="K54" s="294"/>
      <c r="L54" s="276"/>
      <c r="M54" s="294"/>
      <c r="N54" s="294"/>
      <c r="Q54" s="296"/>
      <c r="R54" s="296"/>
      <c r="S54" s="296"/>
      <c r="T54" s="296"/>
      <c r="U54" s="296"/>
      <c r="W54" s="296"/>
      <c r="AA54" s="294"/>
      <c r="AC54" s="386">
        <f>+AI167</f>
        <v>0</v>
      </c>
      <c r="AD54" s="288" t="s">
        <v>2049</v>
      </c>
      <c r="AE54" s="294"/>
      <c r="AG54" s="296">
        <f t="shared" si="10"/>
        <v>0</v>
      </c>
    </row>
    <row r="55" spans="1:35" ht="15.75" hidden="1" customHeight="1">
      <c r="A55" s="276"/>
      <c r="B55" s="276"/>
      <c r="C55" s="276"/>
      <c r="D55" s="337"/>
      <c r="E55" s="296"/>
      <c r="F55" s="337"/>
      <c r="G55" s="337"/>
      <c r="H55" s="337"/>
      <c r="I55" s="296"/>
      <c r="J55" s="337"/>
      <c r="K55" s="294"/>
      <c r="L55" s="276"/>
      <c r="M55" s="294"/>
      <c r="N55" s="337"/>
      <c r="Q55" s="296"/>
      <c r="R55" s="337"/>
      <c r="S55" s="296"/>
      <c r="T55" s="337"/>
      <c r="U55" s="296"/>
      <c r="W55" s="337"/>
      <c r="AA55" s="294"/>
      <c r="AC55" s="337"/>
      <c r="AE55" s="294"/>
      <c r="AG55" s="337"/>
    </row>
    <row r="56" spans="1:35" ht="15.75" customHeight="1">
      <c r="A56" s="276"/>
      <c r="B56" s="308" t="s">
        <v>2027</v>
      </c>
      <c r="C56" s="276"/>
      <c r="D56" s="706">
        <f>SUM(D43:D55)</f>
        <v>0</v>
      </c>
      <c r="E56" s="707"/>
      <c r="F56" s="706">
        <f t="shared" ref="F56" si="11">SUM(F43:F55)</f>
        <v>0</v>
      </c>
      <c r="G56" s="706">
        <f t="shared" ref="G56" si="12">SUM(G43:G55)</f>
        <v>0</v>
      </c>
      <c r="H56" s="706">
        <f t="shared" ref="H56:J56" si="13">SUM(H43:H55)</f>
        <v>0</v>
      </c>
      <c r="I56" s="707"/>
      <c r="J56" s="706">
        <f t="shared" si="13"/>
        <v>0</v>
      </c>
      <c r="K56" s="294"/>
      <c r="L56" s="308" t="s">
        <v>2027</v>
      </c>
      <c r="M56" s="294"/>
      <c r="N56" s="706">
        <f>SUM(N43:P55)</f>
        <v>0</v>
      </c>
      <c r="O56" s="288">
        <f t="shared" ref="O56:AA56" si="14">SUM(O43:O54)</f>
        <v>0</v>
      </c>
      <c r="P56" s="288">
        <f t="shared" si="14"/>
        <v>0</v>
      </c>
      <c r="Q56" s="707"/>
      <c r="R56" s="706">
        <f>SUM(R44:R55)</f>
        <v>4635</v>
      </c>
      <c r="S56" s="707">
        <f t="shared" si="14"/>
        <v>0</v>
      </c>
      <c r="T56" s="706">
        <f>SUM(T44:T55)</f>
        <v>4635</v>
      </c>
      <c r="U56" s="301">
        <f t="shared" si="14"/>
        <v>0</v>
      </c>
      <c r="W56" s="706">
        <f>SUM(W44:W55)</f>
        <v>0</v>
      </c>
      <c r="Y56" s="301">
        <f t="shared" si="14"/>
        <v>0</v>
      </c>
      <c r="AA56" s="301">
        <f t="shared" si="14"/>
        <v>0</v>
      </c>
      <c r="AC56" s="301">
        <f>SUM(AC43:AC55)</f>
        <v>8828164</v>
      </c>
      <c r="AE56" s="294"/>
      <c r="AG56" s="301">
        <f>SUM(AG44:AG54)</f>
        <v>8832799</v>
      </c>
    </row>
    <row r="57" spans="1:35" ht="15.75" customHeight="1">
      <c r="A57" s="276"/>
      <c r="B57" s="308"/>
      <c r="C57" s="276"/>
      <c r="D57" s="697"/>
      <c r="E57" s="707"/>
      <c r="F57" s="697"/>
      <c r="G57" s="697"/>
      <c r="H57" s="697"/>
      <c r="I57" s="707"/>
      <c r="J57" s="697"/>
      <c r="K57" s="294"/>
      <c r="L57" s="308"/>
      <c r="M57" s="294"/>
      <c r="N57" s="697"/>
      <c r="Q57" s="707"/>
      <c r="R57" s="697"/>
      <c r="S57" s="707"/>
      <c r="T57" s="697"/>
      <c r="U57" s="300"/>
      <c r="W57" s="697"/>
      <c r="Y57" s="300"/>
      <c r="AA57" s="300"/>
      <c r="AC57" s="300"/>
      <c r="AE57" s="294"/>
      <c r="AG57" s="300"/>
    </row>
    <row r="58" spans="1:35" ht="15.75" customHeight="1" thickBot="1">
      <c r="A58" s="276"/>
      <c r="B58" s="308" t="s">
        <v>3528</v>
      </c>
      <c r="C58" s="276"/>
      <c r="D58" s="703">
        <f>+D39+D56</f>
        <v>12840036</v>
      </c>
      <c r="E58" s="704"/>
      <c r="F58" s="703">
        <f>+F39+F56</f>
        <v>4842886</v>
      </c>
      <c r="G58" s="703">
        <f>+G39+G56</f>
        <v>9514638</v>
      </c>
      <c r="H58" s="703">
        <f>+H39+H56</f>
        <v>6881945</v>
      </c>
      <c r="I58" s="704"/>
      <c r="J58" s="703">
        <f>+J39+J56</f>
        <v>622038</v>
      </c>
      <c r="K58" s="294"/>
      <c r="L58" s="308" t="str">
        <f>+B58</f>
        <v>Total assets and deferred outflows of resources</v>
      </c>
      <c r="M58" s="294"/>
      <c r="N58" s="703">
        <f>+N39+N56</f>
        <v>17958090</v>
      </c>
      <c r="Q58" s="704"/>
      <c r="R58" s="703">
        <f>+R39+R56</f>
        <v>17433663</v>
      </c>
      <c r="S58" s="704"/>
      <c r="T58" s="703">
        <f>+T39+T56</f>
        <v>70093296</v>
      </c>
      <c r="U58" s="300"/>
      <c r="W58" s="697"/>
      <c r="Y58" s="300"/>
      <c r="AA58" s="300"/>
      <c r="AC58" s="300"/>
      <c r="AE58" s="294"/>
      <c r="AG58" s="300"/>
    </row>
    <row r="59" spans="1:35" ht="15.75" customHeight="1" thickTop="1">
      <c r="A59" s="276"/>
      <c r="B59" s="276"/>
      <c r="C59" s="276"/>
      <c r="D59" s="294"/>
      <c r="E59" s="296"/>
      <c r="F59" s="294"/>
      <c r="G59" s="294"/>
      <c r="H59" s="294"/>
      <c r="I59" s="296"/>
      <c r="J59" s="294"/>
      <c r="K59" s="294"/>
      <c r="L59" s="276"/>
      <c r="M59" s="294"/>
      <c r="N59" s="294"/>
      <c r="Q59" s="296"/>
      <c r="R59" s="296"/>
      <c r="S59" s="296"/>
      <c r="T59" s="296"/>
      <c r="U59" s="296"/>
      <c r="W59" s="296"/>
      <c r="AA59" s="296"/>
      <c r="AC59" s="296"/>
      <c r="AE59" s="296"/>
      <c r="AG59" s="296"/>
    </row>
    <row r="60" spans="1:35" ht="15.75">
      <c r="A60" s="276"/>
      <c r="B60" s="308" t="str">
        <f>INPUT!B129</f>
        <v>LIABILITIES</v>
      </c>
      <c r="C60" s="276"/>
      <c r="D60" s="294"/>
      <c r="E60" s="296"/>
      <c r="F60" s="294"/>
      <c r="G60" s="294"/>
      <c r="H60" s="294"/>
      <c r="I60" s="296"/>
      <c r="J60" s="294"/>
      <c r="K60" s="294"/>
      <c r="L60" s="308" t="s">
        <v>941</v>
      </c>
      <c r="M60" s="294"/>
      <c r="N60" s="294"/>
      <c r="Q60" s="296"/>
      <c r="R60" s="296"/>
      <c r="S60" s="296"/>
      <c r="T60" s="296"/>
      <c r="U60" s="296"/>
      <c r="W60" s="296"/>
      <c r="Y60" s="296"/>
      <c r="AA60" s="296"/>
      <c r="AC60" s="296"/>
      <c r="AE60" s="296"/>
      <c r="AG60" s="296"/>
    </row>
    <row r="61" spans="1:35" ht="15.75" customHeight="1">
      <c r="A61" s="276"/>
      <c r="B61" s="276"/>
      <c r="C61" s="276"/>
      <c r="D61" s="294"/>
      <c r="E61" s="296"/>
      <c r="F61" s="294"/>
      <c r="G61" s="294"/>
      <c r="H61" s="294"/>
      <c r="I61" s="296"/>
      <c r="J61" s="294"/>
      <c r="K61" s="294"/>
      <c r="L61" s="276"/>
      <c r="M61" s="294"/>
      <c r="N61" s="294"/>
      <c r="Q61" s="296"/>
      <c r="R61" s="296"/>
      <c r="S61" s="296"/>
      <c r="T61" s="296"/>
      <c r="U61" s="296"/>
      <c r="W61" s="296"/>
      <c r="Y61" s="296"/>
      <c r="AA61" s="296"/>
      <c r="AC61" s="296"/>
      <c r="AE61" s="296"/>
      <c r="AG61" s="296"/>
    </row>
    <row r="62" spans="1:35" ht="15.75">
      <c r="A62" s="276"/>
      <c r="B62" s="276" t="str">
        <f>INPUT!B132</f>
        <v xml:space="preserve">     Accounts payable</v>
      </c>
      <c r="C62" s="303"/>
      <c r="D62" s="292">
        <f>+INPUT!D132</f>
        <v>1112456</v>
      </c>
      <c r="E62" s="292"/>
      <c r="F62" s="292">
        <f>+INPUT!X132</f>
        <v>364235</v>
      </c>
      <c r="G62" s="292">
        <f>+INPUT!BB132</f>
        <v>90586</v>
      </c>
      <c r="H62" s="292">
        <f>+INPUT!BC132</f>
        <v>36601</v>
      </c>
      <c r="I62" s="292"/>
      <c r="J62" s="292">
        <f>+INPUT!BN132</f>
        <v>0</v>
      </c>
      <c r="K62" s="292"/>
      <c r="L62" s="276" t="str">
        <f>+B62</f>
        <v xml:space="preserve">     Accounts payable</v>
      </c>
      <c r="M62" s="292"/>
      <c r="N62" s="292">
        <f>+INPUT!BR132</f>
        <v>51976</v>
      </c>
      <c r="Q62" s="292"/>
      <c r="R62" s="292">
        <f>+'SR BS'!DZ46+'DS BS'!P46+'CP BS'!N41+'PERM BS'!D36</f>
        <v>1118882</v>
      </c>
      <c r="S62" s="292"/>
      <c r="T62" s="292">
        <f>SUM(D62:R62)</f>
        <v>2774736</v>
      </c>
      <c r="U62" s="292"/>
      <c r="W62" s="292">
        <f>+PROPNA!N60</f>
        <v>48189</v>
      </c>
      <c r="Y62" s="292">
        <v>0</v>
      </c>
      <c r="AA62" s="292">
        <v>0</v>
      </c>
      <c r="AC62" s="292"/>
      <c r="AE62" s="1139"/>
      <c r="AG62" s="292">
        <f>SUM(T62:AE62)</f>
        <v>2822925</v>
      </c>
    </row>
    <row r="63" spans="1:35" ht="15.75" hidden="1">
      <c r="A63" s="276"/>
      <c r="B63" s="276" t="str">
        <f>INPUT!B133</f>
        <v xml:space="preserve">     Contracts/loans payable - current</v>
      </c>
      <c r="C63" s="276"/>
      <c r="D63" s="294">
        <f>+INPUT!D133</f>
        <v>0</v>
      </c>
      <c r="E63" s="296"/>
      <c r="F63" s="294">
        <f>+INPUT!X133</f>
        <v>0</v>
      </c>
      <c r="G63" s="294">
        <f>+INPUT!BB133</f>
        <v>0</v>
      </c>
      <c r="H63" s="294">
        <f>+INPUT!BC133</f>
        <v>0</v>
      </c>
      <c r="I63" s="296"/>
      <c r="J63" s="294">
        <f>+INPUT!BN133</f>
        <v>0</v>
      </c>
      <c r="K63" s="294"/>
      <c r="L63" s="276" t="str">
        <f t="shared" ref="L63:L86" si="15">+B63</f>
        <v xml:space="preserve">     Contracts/loans payable - current</v>
      </c>
      <c r="M63" s="294"/>
      <c r="N63" s="294">
        <f>INPUT!BR133</f>
        <v>0</v>
      </c>
      <c r="Q63" s="296"/>
      <c r="R63" s="294">
        <f>+'SR BS'!DZ47+'DS BS'!P47+'CP BS'!N42</f>
        <v>0</v>
      </c>
      <c r="S63" s="296"/>
      <c r="T63" s="294">
        <f>SUM(D63:R63)</f>
        <v>0</v>
      </c>
      <c r="U63" s="294"/>
      <c r="W63" s="294">
        <f>+PROPNA!N61</f>
        <v>0</v>
      </c>
      <c r="Y63" s="558">
        <v>100379</v>
      </c>
      <c r="Z63" s="288" t="s">
        <v>760</v>
      </c>
      <c r="AA63" s="294">
        <v>0</v>
      </c>
      <c r="AC63" s="294"/>
      <c r="AE63" s="294">
        <v>0</v>
      </c>
      <c r="AG63" s="296">
        <f>SUM(T63:AE63)</f>
        <v>100379</v>
      </c>
      <c r="AH63" s="288" t="s">
        <v>479</v>
      </c>
      <c r="AI63" s="288" t="s">
        <v>281</v>
      </c>
    </row>
    <row r="64" spans="1:35" ht="15.75">
      <c r="A64" s="276"/>
      <c r="B64" s="276" t="str">
        <f>INPUT!B134</f>
        <v xml:space="preserve">     Intergovernmental payable</v>
      </c>
      <c r="C64" s="276"/>
      <c r="D64" s="294">
        <f>+INPUT!D134</f>
        <v>388366</v>
      </c>
      <c r="E64" s="296"/>
      <c r="F64" s="294">
        <f>+INPUT!X134</f>
        <v>0</v>
      </c>
      <c r="G64" s="294">
        <f>+INPUT!BB134</f>
        <v>0</v>
      </c>
      <c r="H64" s="294">
        <f>+INPUT!BC134</f>
        <v>0</v>
      </c>
      <c r="I64" s="296"/>
      <c r="J64" s="294">
        <f>+INPUT!BN134</f>
        <v>0</v>
      </c>
      <c r="K64" s="294"/>
      <c r="L64" s="276" t="str">
        <f t="shared" si="15"/>
        <v xml:space="preserve">     Intergovernmental payable</v>
      </c>
      <c r="M64" s="294"/>
      <c r="N64" s="294">
        <f>INPUT!BR134</f>
        <v>0</v>
      </c>
      <c r="Q64" s="296"/>
      <c r="R64" s="294">
        <f>+'SR BS'!DZ48+'DS BS'!P48+'CP BS'!N43+'PERM BS'!D37</f>
        <v>0</v>
      </c>
      <c r="S64" s="296"/>
      <c r="T64" s="294">
        <f>SUM(D64:R64)</f>
        <v>388366</v>
      </c>
      <c r="U64" s="294"/>
      <c r="W64" s="294"/>
      <c r="Y64" s="294" t="s">
        <v>2492</v>
      </c>
      <c r="AA64" s="294">
        <v>0</v>
      </c>
      <c r="AC64" s="294"/>
      <c r="AE64" s="294">
        <v>0</v>
      </c>
      <c r="AG64" s="296">
        <f>SUM(T64:AE64)</f>
        <v>388366</v>
      </c>
    </row>
    <row r="65" spans="1:37" ht="15.75">
      <c r="A65" s="276"/>
      <c r="B65" s="276" t="str">
        <f>INPUT!B135</f>
        <v xml:space="preserve">     Due to other funds</v>
      </c>
      <c r="C65" s="276"/>
      <c r="D65" s="294">
        <f>+INPUT!D135</f>
        <v>110000</v>
      </c>
      <c r="E65" s="296"/>
      <c r="F65" s="294">
        <f>+INPUT!X135</f>
        <v>0</v>
      </c>
      <c r="G65" s="294">
        <f>+INPUT!BB135</f>
        <v>197128</v>
      </c>
      <c r="H65" s="294">
        <f>+INPUT!BC135</f>
        <v>6602</v>
      </c>
      <c r="I65" s="296"/>
      <c r="J65" s="294">
        <f>+INPUT!BN135</f>
        <v>0</v>
      </c>
      <c r="K65" s="294"/>
      <c r="L65" s="276" t="str">
        <f t="shared" si="15"/>
        <v xml:space="preserve">     Due to other funds</v>
      </c>
      <c r="M65" s="294"/>
      <c r="N65" s="294">
        <f>INPUT!BR135</f>
        <v>0</v>
      </c>
      <c r="Q65" s="296"/>
      <c r="R65" s="294">
        <f>+'SR BS'!DZ49+'DS BS'!P49+'CP BS'!N44+'PERM BS'!D38</f>
        <v>503896</v>
      </c>
      <c r="S65" s="296"/>
      <c r="T65" s="294">
        <f>SUM(D65:R65)</f>
        <v>817626</v>
      </c>
      <c r="U65" s="294"/>
      <c r="W65" s="294">
        <f>+PROPNA!N62</f>
        <v>0</v>
      </c>
      <c r="Y65" s="294" t="s">
        <v>2492</v>
      </c>
      <c r="AA65" s="294">
        <v>0</v>
      </c>
      <c r="AC65" s="294"/>
      <c r="AE65" s="294">
        <f>-T65-W65</f>
        <v>-817626</v>
      </c>
      <c r="AF65" s="382">
        <v>-2</v>
      </c>
      <c r="AG65" s="296">
        <f>SUM(T65:AE65)</f>
        <v>0</v>
      </c>
    </row>
    <row r="66" spans="1:37" ht="11.25" hidden="1" customHeight="1">
      <c r="A66" s="276"/>
      <c r="L66" s="276"/>
      <c r="AE66" s="294"/>
      <c r="AF66" s="288" t="s">
        <v>3262</v>
      </c>
      <c r="AG66" s="296">
        <f t="shared" ref="AG66:AG86" si="16">SUM(T66:AE66)</f>
        <v>0</v>
      </c>
    </row>
    <row r="67" spans="1:37" ht="15" hidden="1" customHeight="1">
      <c r="A67" s="276"/>
      <c r="B67" s="276" t="s">
        <v>1308</v>
      </c>
      <c r="C67" s="276"/>
      <c r="D67" s="294"/>
      <c r="E67" s="296"/>
      <c r="F67" s="294"/>
      <c r="G67" s="294"/>
      <c r="H67" s="294"/>
      <c r="I67" s="351"/>
      <c r="J67" s="294"/>
      <c r="K67" s="294"/>
      <c r="L67" s="276" t="str">
        <f t="shared" si="15"/>
        <v xml:space="preserve">     Accrued interest</v>
      </c>
      <c r="M67" s="294"/>
      <c r="N67" s="294"/>
      <c r="Q67" s="296"/>
      <c r="R67" s="294"/>
      <c r="S67" s="296"/>
      <c r="T67" s="294"/>
      <c r="U67" s="294"/>
      <c r="W67" s="294"/>
      <c r="Y67" s="1101">
        <v>24331</v>
      </c>
      <c r="Z67" s="288" t="s">
        <v>758</v>
      </c>
      <c r="AA67" s="294"/>
      <c r="AC67" s="294"/>
      <c r="AE67" s="1139">
        <f>113+1012+56+83+237+432+1915+806</f>
        <v>4654</v>
      </c>
      <c r="AF67" s="288" t="s">
        <v>3465</v>
      </c>
      <c r="AG67" s="296">
        <f t="shared" si="16"/>
        <v>28985</v>
      </c>
    </row>
    <row r="68" spans="1:37" ht="15" hidden="1" customHeight="1">
      <c r="A68" s="276"/>
      <c r="AE68" s="294"/>
    </row>
    <row r="69" spans="1:37" ht="15" hidden="1" customHeight="1">
      <c r="A69" s="276"/>
      <c r="B69" s="276" t="s">
        <v>1590</v>
      </c>
      <c r="C69" s="276"/>
      <c r="D69" s="294"/>
      <c r="E69" s="296"/>
      <c r="F69" s="294"/>
      <c r="G69" s="294"/>
      <c r="H69" s="294"/>
      <c r="I69" s="351"/>
      <c r="J69" s="294"/>
      <c r="K69" s="294"/>
      <c r="L69" s="276" t="str">
        <f t="shared" si="15"/>
        <v xml:space="preserve">     General obligation bonds payable - current</v>
      </c>
      <c r="M69" s="294"/>
      <c r="N69" s="294"/>
      <c r="Q69" s="296"/>
      <c r="R69" s="294"/>
      <c r="S69" s="296"/>
      <c r="T69" s="294"/>
      <c r="U69" s="294"/>
      <c r="W69" s="294"/>
      <c r="Y69" s="558">
        <v>1202813</v>
      </c>
      <c r="Z69" s="288" t="s">
        <v>1588</v>
      </c>
      <c r="AA69" s="294"/>
      <c r="AC69" s="294"/>
      <c r="AE69" s="294"/>
      <c r="AG69" s="296">
        <f t="shared" si="16"/>
        <v>1202813</v>
      </c>
    </row>
    <row r="70" spans="1:37" ht="15" hidden="1" customHeight="1">
      <c r="A70" s="276"/>
      <c r="B70" s="276" t="str">
        <f>INPUT!B138</f>
        <v xml:space="preserve">     Revenue bonds payable</v>
      </c>
      <c r="C70" s="276"/>
      <c r="D70" s="294">
        <f>+INPUT!D138</f>
        <v>0</v>
      </c>
      <c r="E70" s="296"/>
      <c r="F70" s="294">
        <f>+INPUT!X138</f>
        <v>0</v>
      </c>
      <c r="G70" s="294">
        <f>+INPUT!BB138</f>
        <v>0</v>
      </c>
      <c r="H70" s="294">
        <f>+INPUT!BC138</f>
        <v>0</v>
      </c>
      <c r="I70" s="351"/>
      <c r="J70" s="294" t="str">
        <f>IF(+INPUT!BN138&lt;&gt;0,+INPUT!BN138,"-")</f>
        <v>-</v>
      </c>
      <c r="K70" s="294"/>
      <c r="L70" s="276" t="str">
        <f t="shared" si="15"/>
        <v xml:space="preserve">     Revenue bonds payable</v>
      </c>
      <c r="M70" s="294"/>
      <c r="N70" s="294">
        <f>INPUT!BR138</f>
        <v>0</v>
      </c>
      <c r="Q70" s="296"/>
      <c r="R70" s="294">
        <f>+'SR BS'!DZ53+'DS BS'!P52+'CP BS'!N48</f>
        <v>0</v>
      </c>
      <c r="S70" s="296"/>
      <c r="T70" s="294">
        <f>SUM(D70:R70)</f>
        <v>0</v>
      </c>
      <c r="U70" s="294"/>
      <c r="W70" s="294">
        <f>+PROPNA!N66</f>
        <v>0</v>
      </c>
      <c r="Y70" s="656"/>
      <c r="AA70" s="294">
        <v>0</v>
      </c>
      <c r="AC70" s="294"/>
      <c r="AE70" s="294">
        <v>0</v>
      </c>
      <c r="AG70" s="296">
        <f>SUM(T70:AE70)</f>
        <v>0</v>
      </c>
      <c r="AH70" s="288" t="s">
        <v>479</v>
      </c>
      <c r="AI70" s="288" t="s">
        <v>281</v>
      </c>
    </row>
    <row r="71" spans="1:37" ht="15" hidden="1" customHeight="1">
      <c r="A71" s="276"/>
      <c r="B71" s="276" t="s">
        <v>486</v>
      </c>
      <c r="C71" s="276"/>
      <c r="D71" s="294"/>
      <c r="E71" s="296"/>
      <c r="F71" s="294"/>
      <c r="G71" s="294"/>
      <c r="H71" s="294"/>
      <c r="I71" s="351"/>
      <c r="J71" s="294"/>
      <c r="K71" s="294"/>
      <c r="L71" s="276" t="str">
        <f t="shared" si="15"/>
        <v xml:space="preserve">     Special assessment debt with government commitment</v>
      </c>
      <c r="M71" s="294"/>
      <c r="N71" s="294"/>
      <c r="Q71" s="296"/>
      <c r="R71" s="294"/>
      <c r="S71" s="296"/>
      <c r="T71" s="294"/>
      <c r="U71" s="294"/>
      <c r="W71" s="294"/>
      <c r="Y71" s="558">
        <v>48965</v>
      </c>
      <c r="Z71" s="288" t="s">
        <v>760</v>
      </c>
      <c r="AA71" s="294"/>
      <c r="AC71" s="294"/>
      <c r="AE71" s="294"/>
      <c r="AG71" s="296">
        <f t="shared" si="16"/>
        <v>48965</v>
      </c>
      <c r="AH71" s="288" t="s">
        <v>479</v>
      </c>
      <c r="AI71" s="288" t="s">
        <v>281</v>
      </c>
    </row>
    <row r="72" spans="1:37" ht="15" hidden="1" customHeight="1">
      <c r="A72" s="276"/>
      <c r="B72" s="276" t="str">
        <f>INPUT!B139</f>
        <v xml:space="preserve">     Landfill postclosure costs payable - current</v>
      </c>
      <c r="C72" s="276"/>
      <c r="D72" s="294">
        <f>+INPUT!D139</f>
        <v>0</v>
      </c>
      <c r="E72" s="296"/>
      <c r="F72" s="294">
        <f>+INPUT!X139</f>
        <v>0</v>
      </c>
      <c r="G72" s="294">
        <f>+INPUT!BB139</f>
        <v>0</v>
      </c>
      <c r="H72" s="294">
        <f>+INPUT!BC139</f>
        <v>0</v>
      </c>
      <c r="I72" s="351"/>
      <c r="J72" s="294" t="str">
        <f>IF(+INPUT!BN139&lt;&gt;0,+INPUT!BN139,"-")</f>
        <v>-</v>
      </c>
      <c r="K72" s="294"/>
      <c r="L72" s="276" t="str">
        <f t="shared" si="15"/>
        <v xml:space="preserve">     Landfill postclosure costs payable - current</v>
      </c>
      <c r="M72" s="294"/>
      <c r="N72" s="294">
        <f>INPUT!BR139</f>
        <v>0</v>
      </c>
      <c r="Q72" s="296"/>
      <c r="R72" s="294">
        <f>+'SR BS'!DZ55+'DS BS'!P53+'CP BS'!N50</f>
        <v>0</v>
      </c>
      <c r="S72" s="296"/>
      <c r="T72" s="294">
        <f>SUM(D72:R72)</f>
        <v>0</v>
      </c>
      <c r="U72" s="294"/>
      <c r="W72" s="294">
        <f>+PROPNA!N67</f>
        <v>0</v>
      </c>
      <c r="Y72" s="294"/>
      <c r="AA72" s="294">
        <v>0</v>
      </c>
      <c r="AC72" s="294"/>
      <c r="AE72" s="294">
        <v>0</v>
      </c>
      <c r="AG72" s="296">
        <f>SUM(T72:AE72)</f>
        <v>0</v>
      </c>
      <c r="AH72" s="288" t="s">
        <v>479</v>
      </c>
      <c r="AI72" s="288" t="s">
        <v>281</v>
      </c>
    </row>
    <row r="73" spans="1:37" ht="15" hidden="1" customHeight="1">
      <c r="A73" s="276"/>
      <c r="B73" s="276" t="str">
        <f>INPUT!B140</f>
        <v xml:space="preserve">     Claims payable</v>
      </c>
      <c r="C73" s="276"/>
      <c r="D73" s="294">
        <f>+INPUT!D140</f>
        <v>0</v>
      </c>
      <c r="E73" s="296"/>
      <c r="F73" s="294">
        <f>+INPUT!X140</f>
        <v>0</v>
      </c>
      <c r="G73" s="294">
        <f>+INPUT!BB140</f>
        <v>0</v>
      </c>
      <c r="H73" s="294">
        <f>+INPUT!BC140</f>
        <v>0</v>
      </c>
      <c r="I73" s="351"/>
      <c r="J73" s="294" t="str">
        <f>IF(+INPUT!BN140&lt;&gt;0,+INPUT!BN140,"-")</f>
        <v>-</v>
      </c>
      <c r="K73" s="294"/>
      <c r="L73" s="276" t="str">
        <f t="shared" si="15"/>
        <v xml:space="preserve">     Claims payable</v>
      </c>
      <c r="M73" s="294"/>
      <c r="N73" s="294">
        <f>INPUT!BR140</f>
        <v>0</v>
      </c>
      <c r="Q73" s="296"/>
      <c r="R73" s="294">
        <f>+'SR BS'!DZ56+'DS BS'!P54+'CP BS'!N51</f>
        <v>0</v>
      </c>
      <c r="S73" s="296"/>
      <c r="T73" s="294">
        <f>SUM(D73:R73)</f>
        <v>0</v>
      </c>
      <c r="U73" s="294"/>
      <c r="W73" s="294">
        <f>+PROPNA!N68</f>
        <v>482991</v>
      </c>
      <c r="Y73" s="294"/>
      <c r="AA73" s="294">
        <v>0</v>
      </c>
      <c r="AC73" s="294"/>
      <c r="AE73" s="294">
        <v>0</v>
      </c>
      <c r="AG73" s="296">
        <f>SUM(T73:AE73)</f>
        <v>482991</v>
      </c>
      <c r="AH73" s="288">
        <v>-1</v>
      </c>
      <c r="AI73" s="288" t="s">
        <v>281</v>
      </c>
    </row>
    <row r="74" spans="1:37" ht="15" hidden="1" customHeight="1">
      <c r="A74" s="276"/>
      <c r="B74" s="276" t="s">
        <v>219</v>
      </c>
      <c r="C74" s="276"/>
      <c r="D74" s="294"/>
      <c r="E74" s="296"/>
      <c r="F74" s="294"/>
      <c r="G74" s="294"/>
      <c r="H74" s="294"/>
      <c r="I74" s="351"/>
      <c r="J74" s="294"/>
      <c r="K74" s="294"/>
      <c r="L74" s="276" t="str">
        <f t="shared" si="15"/>
        <v xml:space="preserve">     Compensated absences payable - current</v>
      </c>
      <c r="M74" s="294"/>
      <c r="N74" s="294"/>
      <c r="Q74" s="296"/>
      <c r="R74" s="294"/>
      <c r="S74" s="296"/>
      <c r="T74" s="294"/>
      <c r="U74" s="294"/>
      <c r="W74" s="294">
        <f>+PROPNA!N70</f>
        <v>27530</v>
      </c>
      <c r="Y74" s="558">
        <v>234714</v>
      </c>
      <c r="Z74" s="288" t="s">
        <v>569</v>
      </c>
      <c r="AC74" s="294"/>
      <c r="AE74" s="294">
        <f>-AE84</f>
        <v>0</v>
      </c>
      <c r="AG74" s="296">
        <f t="shared" si="16"/>
        <v>262244</v>
      </c>
      <c r="AH74" s="288" t="s">
        <v>479</v>
      </c>
    </row>
    <row r="75" spans="1:37" ht="15" hidden="1" customHeight="1">
      <c r="A75" s="276"/>
      <c r="B75" s="276" t="str">
        <f>+INPUT!B136</f>
        <v xml:space="preserve">     Advanced lease payments - current</v>
      </c>
      <c r="C75" s="276"/>
      <c r="D75" s="294"/>
      <c r="E75" s="296"/>
      <c r="F75" s="294"/>
      <c r="G75" s="294"/>
      <c r="H75" s="294"/>
      <c r="I75" s="351"/>
      <c r="J75" s="294"/>
      <c r="K75" s="294"/>
      <c r="L75" s="276" t="str">
        <f>+B75</f>
        <v xml:space="preserve">     Advanced lease payments - current</v>
      </c>
      <c r="M75" s="294"/>
      <c r="N75" s="294"/>
      <c r="Q75" s="296"/>
      <c r="R75" s="294"/>
      <c r="S75" s="296"/>
      <c r="T75" s="294"/>
      <c r="U75" s="294"/>
      <c r="W75" s="294">
        <f>+PROPNA!N64</f>
        <v>0</v>
      </c>
      <c r="Y75" s="294"/>
      <c r="AA75" s="294"/>
      <c r="AC75" s="294"/>
      <c r="AE75" s="1139">
        <v>121600</v>
      </c>
      <c r="AF75" s="288" t="s">
        <v>3262</v>
      </c>
      <c r="AG75" s="296">
        <f>SUM(T75:AE75)</f>
        <v>121600</v>
      </c>
    </row>
    <row r="76" spans="1:37" ht="15" hidden="1" customHeight="1">
      <c r="A76" s="276"/>
      <c r="B76" s="276" t="str">
        <f>+INPUT!B137</f>
        <v xml:space="preserve">     SBITA payments - current</v>
      </c>
      <c r="C76" s="276"/>
      <c r="D76" s="294"/>
      <c r="E76" s="296"/>
      <c r="F76" s="294"/>
      <c r="G76" s="294"/>
      <c r="H76" s="294"/>
      <c r="I76" s="351"/>
      <c r="J76" s="294"/>
      <c r="K76" s="294"/>
      <c r="L76" s="276" t="str">
        <f>+B76</f>
        <v xml:space="preserve">     SBITA payments - current</v>
      </c>
      <c r="M76" s="294"/>
      <c r="N76" s="294"/>
      <c r="Q76" s="296"/>
      <c r="R76" s="294"/>
      <c r="S76" s="296"/>
      <c r="T76" s="294"/>
      <c r="U76" s="294"/>
      <c r="W76" s="294">
        <f>+PROPNA!N65</f>
        <v>234179</v>
      </c>
      <c r="Y76" s="294"/>
      <c r="AA76" s="294"/>
      <c r="AC76" s="294"/>
      <c r="AE76" s="1140">
        <v>222583</v>
      </c>
      <c r="AF76" s="288" t="s">
        <v>3465</v>
      </c>
      <c r="AG76" s="296">
        <f>SUM(T76:AE76)</f>
        <v>456762</v>
      </c>
    </row>
    <row r="77" spans="1:37" ht="15.75" hidden="1">
      <c r="A77" s="276"/>
      <c r="B77" s="276" t="str">
        <f>INPUT!B141</f>
        <v xml:space="preserve">     Advances from other funds</v>
      </c>
      <c r="C77" s="276"/>
      <c r="D77" s="294">
        <f>+INPUT!D141</f>
        <v>0</v>
      </c>
      <c r="E77" s="296"/>
      <c r="F77" s="294">
        <f>+INPUT!X141</f>
        <v>0</v>
      </c>
      <c r="G77" s="294">
        <f>+INPUT!BB141</f>
        <v>0</v>
      </c>
      <c r="H77" s="294">
        <f>+INPUT!BC141</f>
        <v>0</v>
      </c>
      <c r="I77" s="351"/>
      <c r="J77" s="294">
        <f>+INPUT!BN141</f>
        <v>0</v>
      </c>
      <c r="K77" s="294"/>
      <c r="L77" s="276" t="str">
        <f t="shared" si="15"/>
        <v xml:space="preserve">     Advances from other funds</v>
      </c>
      <c r="M77" s="294"/>
      <c r="N77" s="294">
        <f>INPUT!BR141</f>
        <v>0</v>
      </c>
      <c r="Q77" s="296"/>
      <c r="R77" s="294">
        <f>+'SR BS'!DZ58+'DS BS'!P55+'CP BS'!N53+'PERM BS'!D39</f>
        <v>0</v>
      </c>
      <c r="S77" s="296"/>
      <c r="T77" s="294">
        <f>SUM(D77:R77)</f>
        <v>0</v>
      </c>
      <c r="U77" s="294"/>
      <c r="W77" s="294">
        <f>+PROPNA!N69</f>
        <v>0</v>
      </c>
      <c r="Y77" s="294"/>
      <c r="AA77" s="294">
        <v>0</v>
      </c>
      <c r="AC77" s="294"/>
      <c r="AE77" s="294">
        <f>-T77-W77</f>
        <v>0</v>
      </c>
      <c r="AF77" s="382">
        <v>-2</v>
      </c>
      <c r="AG77" s="296">
        <f>SUM(T77:AE77)</f>
        <v>0</v>
      </c>
      <c r="AK77" s="288">
        <f>+Y74+Y84</f>
        <v>2347144</v>
      </c>
    </row>
    <row r="78" spans="1:37" ht="15" hidden="1" customHeight="1">
      <c r="A78" s="276"/>
      <c r="B78" s="276" t="s">
        <v>485</v>
      </c>
      <c r="C78" s="276"/>
      <c r="D78" s="294"/>
      <c r="E78" s="296"/>
      <c r="F78" s="294"/>
      <c r="G78" s="294"/>
      <c r="H78" s="294"/>
      <c r="I78" s="351"/>
      <c r="J78" s="294"/>
      <c r="K78" s="294"/>
      <c r="L78" s="276" t="str">
        <f t="shared" si="15"/>
        <v xml:space="preserve">     General obligation bonds payable</v>
      </c>
      <c r="M78" s="294"/>
      <c r="N78" s="294"/>
      <c r="Q78" s="296"/>
      <c r="R78" s="294"/>
      <c r="S78" s="296"/>
      <c r="T78" s="294"/>
      <c r="U78" s="294"/>
      <c r="W78" s="294"/>
      <c r="Y78" s="558">
        <v>9835000</v>
      </c>
      <c r="Z78" s="288" t="s">
        <v>1588</v>
      </c>
      <c r="AA78" s="294">
        <v>0</v>
      </c>
      <c r="AC78" s="294"/>
      <c r="AE78" s="294">
        <v>0</v>
      </c>
      <c r="AG78" s="296">
        <f t="shared" si="16"/>
        <v>9835000</v>
      </c>
    </row>
    <row r="79" spans="1:37" ht="15" hidden="1" customHeight="1">
      <c r="A79" s="276"/>
      <c r="B79" s="276" t="str">
        <f>INPUT!B143</f>
        <v xml:space="preserve">     Special assessment debt with government commitment</v>
      </c>
      <c r="C79" s="276"/>
      <c r="D79" s="294"/>
      <c r="E79" s="296"/>
      <c r="F79" s="294"/>
      <c r="G79" s="294"/>
      <c r="H79" s="294"/>
      <c r="I79" s="351"/>
      <c r="J79" s="294"/>
      <c r="K79" s="294"/>
      <c r="L79" s="276" t="str">
        <f t="shared" si="15"/>
        <v xml:space="preserve">     Special assessment debt with government commitment</v>
      </c>
      <c r="M79" s="294"/>
      <c r="N79" s="294"/>
      <c r="Q79" s="296"/>
      <c r="R79" s="294"/>
      <c r="S79" s="296"/>
      <c r="T79" s="294"/>
      <c r="U79" s="294"/>
      <c r="W79" s="294"/>
      <c r="Y79" s="558">
        <v>315733</v>
      </c>
      <c r="Z79" s="288" t="s">
        <v>760</v>
      </c>
      <c r="AA79" s="294">
        <v>0</v>
      </c>
      <c r="AC79" s="294"/>
      <c r="AE79" s="294">
        <v>0</v>
      </c>
      <c r="AG79" s="296">
        <f t="shared" si="16"/>
        <v>315733</v>
      </c>
      <c r="AH79" s="288" t="s">
        <v>479</v>
      </c>
    </row>
    <row r="80" spans="1:37" ht="15" hidden="1" customHeight="1">
      <c r="A80" s="276"/>
      <c r="B80" s="276"/>
      <c r="C80" s="276"/>
      <c r="D80" s="294"/>
      <c r="E80" s="296"/>
      <c r="F80" s="294"/>
      <c r="G80" s="294"/>
      <c r="H80" s="294"/>
      <c r="I80" s="351"/>
      <c r="J80" s="294"/>
      <c r="K80" s="294"/>
      <c r="L80" s="276"/>
      <c r="M80" s="294"/>
      <c r="N80" s="294"/>
      <c r="Q80" s="296"/>
      <c r="R80" s="294"/>
      <c r="S80" s="296"/>
      <c r="T80" s="294"/>
      <c r="U80" s="294"/>
      <c r="W80" s="294"/>
      <c r="Y80" s="656"/>
      <c r="AA80" s="294"/>
      <c r="AC80" s="294"/>
      <c r="AE80" s="294"/>
      <c r="AG80" s="296">
        <f t="shared" si="16"/>
        <v>0</v>
      </c>
    </row>
    <row r="81" spans="1:37" ht="15" hidden="1" customHeight="1">
      <c r="A81" s="276"/>
      <c r="B81" s="276" t="str">
        <f>INPUT!B145</f>
        <v xml:space="preserve">     Contracts/loans payable</v>
      </c>
      <c r="C81" s="276"/>
      <c r="D81" s="294"/>
      <c r="E81" s="296"/>
      <c r="F81" s="294"/>
      <c r="G81" s="294"/>
      <c r="H81" s="294"/>
      <c r="I81" s="351"/>
      <c r="J81" s="294"/>
      <c r="K81" s="294"/>
      <c r="L81" s="276" t="str">
        <f t="shared" si="15"/>
        <v xml:space="preserve">     Contracts/loans payable</v>
      </c>
      <c r="M81" s="294"/>
      <c r="N81" s="294"/>
      <c r="Q81" s="296"/>
      <c r="R81" s="294"/>
      <c r="S81" s="296"/>
      <c r="T81" s="294"/>
      <c r="U81" s="294"/>
      <c r="W81" s="294">
        <f>+PROPNA!N74</f>
        <v>0</v>
      </c>
      <c r="Y81" s="558">
        <v>743358</v>
      </c>
      <c r="Z81" s="288" t="s">
        <v>760</v>
      </c>
      <c r="AA81" s="294">
        <v>0</v>
      </c>
      <c r="AC81" s="294"/>
      <c r="AE81" s="294">
        <v>0</v>
      </c>
      <c r="AG81" s="296">
        <f t="shared" si="16"/>
        <v>743358</v>
      </c>
      <c r="AH81" s="288" t="s">
        <v>479</v>
      </c>
      <c r="AI81" s="288" t="s">
        <v>282</v>
      </c>
    </row>
    <row r="82" spans="1:37" ht="15" hidden="1" customHeight="1">
      <c r="A82" s="276"/>
      <c r="B82" s="276" t="str">
        <f>INPUT!B146</f>
        <v xml:space="preserve">     Revenue bonds payable</v>
      </c>
      <c r="C82" s="276"/>
      <c r="D82" s="294"/>
      <c r="E82" s="296"/>
      <c r="F82" s="294"/>
      <c r="G82" s="294"/>
      <c r="H82" s="294"/>
      <c r="I82" s="351"/>
      <c r="J82" s="294"/>
      <c r="K82" s="294"/>
      <c r="L82" s="276" t="str">
        <f t="shared" si="15"/>
        <v xml:space="preserve">     Revenue bonds payable</v>
      </c>
      <c r="M82" s="294"/>
      <c r="N82" s="294"/>
      <c r="Q82" s="296"/>
      <c r="R82" s="294"/>
      <c r="S82" s="296"/>
      <c r="T82" s="294"/>
      <c r="U82" s="294"/>
      <c r="W82" s="294">
        <f>+PROPNA!N75</f>
        <v>0</v>
      </c>
      <c r="Y82" s="656"/>
      <c r="AA82" s="294">
        <v>0</v>
      </c>
      <c r="AC82" s="294"/>
      <c r="AE82" s="294">
        <v>0</v>
      </c>
      <c r="AG82" s="296">
        <f t="shared" si="16"/>
        <v>0</v>
      </c>
      <c r="AH82" s="288" t="s">
        <v>479</v>
      </c>
      <c r="AI82" s="288" t="s">
        <v>282</v>
      </c>
    </row>
    <row r="83" spans="1:37" ht="15" hidden="1" customHeight="1">
      <c r="A83" s="276"/>
      <c r="B83" s="276"/>
      <c r="C83" s="276"/>
      <c r="D83" s="294"/>
      <c r="E83" s="296"/>
      <c r="F83" s="294"/>
      <c r="G83" s="294"/>
      <c r="H83" s="294"/>
      <c r="I83" s="351"/>
      <c r="J83" s="294"/>
      <c r="K83" s="294"/>
      <c r="L83" s="276">
        <f t="shared" si="15"/>
        <v>0</v>
      </c>
      <c r="M83" s="294"/>
      <c r="N83" s="294"/>
      <c r="Q83" s="296"/>
      <c r="R83" s="294"/>
      <c r="S83" s="296"/>
      <c r="T83" s="294"/>
      <c r="U83" s="294"/>
      <c r="W83" s="294">
        <f>+PROPNA!N76</f>
        <v>0</v>
      </c>
      <c r="Y83" s="297"/>
      <c r="Z83" s="288" t="s">
        <v>759</v>
      </c>
      <c r="AA83" s="294">
        <v>0</v>
      </c>
      <c r="AC83" s="294"/>
      <c r="AE83" s="294">
        <v>0</v>
      </c>
      <c r="AG83" s="296">
        <f t="shared" si="16"/>
        <v>0</v>
      </c>
      <c r="AH83" s="288" t="s">
        <v>479</v>
      </c>
      <c r="AI83" s="288" t="s">
        <v>282</v>
      </c>
      <c r="AK83" s="288">
        <f>+AG84+AG74</f>
        <v>2622442</v>
      </c>
    </row>
    <row r="84" spans="1:37" ht="15.75" hidden="1" customHeight="1">
      <c r="A84" s="276"/>
      <c r="B84" s="276" t="str">
        <f>INPUT!B149</f>
        <v xml:space="preserve">     Compensated absences payable</v>
      </c>
      <c r="C84" s="276"/>
      <c r="D84" s="294"/>
      <c r="E84" s="296"/>
      <c r="F84" s="294"/>
      <c r="G84" s="294"/>
      <c r="H84" s="294"/>
      <c r="I84" s="351"/>
      <c r="J84" s="294"/>
      <c r="K84" s="294"/>
      <c r="L84" s="276" t="str">
        <f t="shared" si="15"/>
        <v xml:space="preserve">     Compensated absences payable</v>
      </c>
      <c r="M84" s="294"/>
      <c r="N84" s="294"/>
      <c r="Q84" s="296"/>
      <c r="R84" s="294"/>
      <c r="S84" s="296"/>
      <c r="T84" s="294"/>
      <c r="U84" s="294"/>
      <c r="W84" s="294">
        <f>+PROPNA!N78</f>
        <v>247768</v>
      </c>
      <c r="Y84" s="558">
        <v>2112430</v>
      </c>
      <c r="Z84" s="288" t="s">
        <v>569</v>
      </c>
      <c r="AA84" s="294"/>
      <c r="AC84" s="294"/>
      <c r="AE84" s="294"/>
      <c r="AG84" s="296">
        <f t="shared" si="16"/>
        <v>2360198</v>
      </c>
      <c r="AH84" s="288" t="s">
        <v>479</v>
      </c>
      <c r="AI84" s="288" t="s">
        <v>283</v>
      </c>
    </row>
    <row r="85" spans="1:37" ht="15.75" hidden="1" customHeight="1">
      <c r="A85" s="276"/>
      <c r="B85" s="276" t="str">
        <f>INPUT!B150</f>
        <v xml:space="preserve">     Net pension liability</v>
      </c>
      <c r="C85" s="276"/>
      <c r="D85" s="294"/>
      <c r="E85" s="296"/>
      <c r="F85" s="294"/>
      <c r="G85" s="294"/>
      <c r="H85" s="294"/>
      <c r="I85" s="296"/>
      <c r="J85" s="294"/>
      <c r="K85" s="294"/>
      <c r="L85" s="276" t="str">
        <f t="shared" si="15"/>
        <v xml:space="preserve">     Net pension liability</v>
      </c>
      <c r="M85" s="294"/>
      <c r="N85" s="294"/>
      <c r="Q85" s="296"/>
      <c r="R85" s="294"/>
      <c r="S85" s="296"/>
      <c r="T85" s="294"/>
      <c r="U85" s="294"/>
      <c r="W85" s="294"/>
      <c r="Y85" s="294"/>
      <c r="AA85" s="294"/>
      <c r="AC85" s="1290">
        <f>+Pension!F20</f>
        <v>29286469</v>
      </c>
      <c r="AD85" s="288" t="s">
        <v>2041</v>
      </c>
      <c r="AE85" s="294"/>
      <c r="AG85" s="296">
        <f t="shared" si="16"/>
        <v>29286469</v>
      </c>
      <c r="AI85" s="288">
        <f>+AG85+AG96-AG47</f>
        <v>23145545</v>
      </c>
    </row>
    <row r="86" spans="1:37" ht="15" hidden="1" customHeight="1">
      <c r="A86" s="276"/>
      <c r="B86" s="276" t="str">
        <f>INPUT!B151</f>
        <v xml:space="preserve">     OPEB implicit rate subsidy</v>
      </c>
      <c r="C86" s="276"/>
      <c r="D86" s="294"/>
      <c r="E86" s="296"/>
      <c r="F86" s="294"/>
      <c r="G86" s="294"/>
      <c r="H86" s="294"/>
      <c r="I86" s="296"/>
      <c r="J86" s="294"/>
      <c r="K86" s="294"/>
      <c r="L86" s="276" t="str">
        <f t="shared" si="15"/>
        <v xml:space="preserve">     OPEB implicit rate subsidy</v>
      </c>
      <c r="M86" s="294"/>
      <c r="N86" s="294"/>
      <c r="Q86" s="296"/>
      <c r="R86" s="294"/>
      <c r="S86" s="296"/>
      <c r="T86" s="294"/>
      <c r="U86" s="294"/>
      <c r="W86" s="294">
        <f>+PROPNA!N63</f>
        <v>0</v>
      </c>
      <c r="Y86" s="294"/>
      <c r="AA86" s="294"/>
      <c r="AC86" s="1290">
        <f>+'OPEB, note 14'!G7</f>
        <v>804106</v>
      </c>
      <c r="AD86" s="288" t="s">
        <v>570</v>
      </c>
      <c r="AE86" s="318"/>
      <c r="AG86" s="296">
        <f t="shared" si="16"/>
        <v>804106</v>
      </c>
      <c r="AI86" s="288">
        <f>+AI85+Pension!F51</f>
        <v>0</v>
      </c>
    </row>
    <row r="87" spans="1:37" ht="15" hidden="1" customHeight="1">
      <c r="A87" s="276"/>
      <c r="B87" s="276" t="str">
        <f>INPUT!B152</f>
        <v xml:space="preserve">     Advanced lease payments</v>
      </c>
      <c r="C87" s="276"/>
      <c r="D87" s="294">
        <f>+INPUT!D152</f>
        <v>0</v>
      </c>
      <c r="E87" s="296"/>
      <c r="F87" s="294">
        <f>+INPUT!F152</f>
        <v>0</v>
      </c>
      <c r="G87" s="296"/>
      <c r="H87" s="294">
        <f>+INPUT!H152</f>
        <v>0</v>
      </c>
      <c r="I87" s="296"/>
      <c r="J87" s="294">
        <f>+INPUT!J152</f>
        <v>0</v>
      </c>
      <c r="K87" s="294"/>
      <c r="L87" s="276" t="str">
        <f>+B87</f>
        <v xml:space="preserve">     Advanced lease payments</v>
      </c>
      <c r="M87" s="294"/>
      <c r="N87" s="294">
        <f>INPUT!BR152</f>
        <v>0</v>
      </c>
      <c r="Q87" s="296"/>
      <c r="R87" s="294">
        <f>INPUT!BV152</f>
        <v>0</v>
      </c>
      <c r="T87" s="294">
        <f>SUM(D87:R87)</f>
        <v>0</v>
      </c>
      <c r="U87" s="294"/>
      <c r="W87" s="294">
        <f>+PROPNA!N81</f>
        <v>0</v>
      </c>
      <c r="Y87" s="294"/>
      <c r="AA87" s="294">
        <v>0</v>
      </c>
      <c r="AC87" s="294"/>
      <c r="AE87" s="559">
        <f>-N174-AE75</f>
        <v>141058</v>
      </c>
      <c r="AF87" s="288" t="s">
        <v>3262</v>
      </c>
      <c r="AG87" s="296">
        <f>SUM(T87:AE87)</f>
        <v>141058</v>
      </c>
      <c r="AH87" s="288" t="s">
        <v>479</v>
      </c>
      <c r="AI87" s="288" t="s">
        <v>281</v>
      </c>
    </row>
    <row r="88" spans="1:37" ht="15" hidden="1" customHeight="1">
      <c r="A88" s="276"/>
      <c r="B88" s="276" t="str">
        <f>INPUT!B153</f>
        <v xml:space="preserve">     SBITA payments</v>
      </c>
      <c r="C88" s="276"/>
      <c r="D88" s="294">
        <f>+INPUT!D153</f>
        <v>0</v>
      </c>
      <c r="E88" s="296"/>
      <c r="F88" s="294">
        <f>+INPUT!F153</f>
        <v>0</v>
      </c>
      <c r="G88" s="296"/>
      <c r="H88" s="294">
        <f>+INPUT!H153</f>
        <v>0</v>
      </c>
      <c r="I88" s="296"/>
      <c r="J88" s="294">
        <f>+INPUT!J153</f>
        <v>0</v>
      </c>
      <c r="K88" s="294"/>
      <c r="L88" s="276" t="str">
        <f>+B88</f>
        <v xml:space="preserve">     SBITA payments</v>
      </c>
      <c r="M88" s="294"/>
      <c r="N88" s="294">
        <v>0</v>
      </c>
      <c r="Q88" s="296"/>
      <c r="R88" s="294">
        <v>0</v>
      </c>
      <c r="T88" s="294">
        <v>0</v>
      </c>
      <c r="U88" s="294"/>
      <c r="W88" s="318">
        <f>+PROPNA!N82</f>
        <v>74584</v>
      </c>
      <c r="Y88" s="318"/>
      <c r="AA88" s="318"/>
      <c r="AC88" s="318"/>
      <c r="AE88" s="559">
        <f>-N175-AE76</f>
        <v>93672</v>
      </c>
      <c r="AF88" s="288" t="s">
        <v>3465</v>
      </c>
      <c r="AG88" s="296">
        <f>SUM(T88:AE88)</f>
        <v>168256</v>
      </c>
      <c r="AK88" s="288">
        <f>+AG87+AG75</f>
        <v>262658</v>
      </c>
    </row>
    <row r="89" spans="1:37" ht="15.75">
      <c r="A89" s="276"/>
      <c r="B89" s="276"/>
      <c r="C89" s="276"/>
      <c r="D89" s="337"/>
      <c r="E89" s="296"/>
      <c r="F89" s="337"/>
      <c r="G89" s="337"/>
      <c r="H89" s="337"/>
      <c r="I89" s="296"/>
      <c r="J89" s="337"/>
      <c r="K89" s="294"/>
      <c r="L89" s="276"/>
      <c r="M89" s="294"/>
      <c r="N89" s="337"/>
      <c r="Q89" s="296"/>
      <c r="R89" s="337"/>
      <c r="S89" s="296"/>
      <c r="T89" s="337"/>
      <c r="U89" s="294"/>
      <c r="W89" s="294"/>
      <c r="Y89" s="294"/>
      <c r="AA89" s="294"/>
      <c r="AC89" s="294"/>
      <c r="AE89" s="294"/>
      <c r="AG89" s="294"/>
    </row>
    <row r="90" spans="1:37" ht="15.75">
      <c r="A90" s="276"/>
      <c r="B90" s="308" t="str">
        <f>INPUT!B154</f>
        <v xml:space="preserve">          Total liabilities</v>
      </c>
      <c r="C90" s="308"/>
      <c r="D90" s="706">
        <f>SUM(D62:D89)</f>
        <v>1610822</v>
      </c>
      <c r="E90" s="707"/>
      <c r="F90" s="706">
        <f t="shared" ref="F90:G90" si="17">SUM(F62:F89)</f>
        <v>364235</v>
      </c>
      <c r="G90" s="706">
        <f t="shared" si="17"/>
        <v>287714</v>
      </c>
      <c r="H90" s="706">
        <f t="shared" ref="H90" si="18">SUM(H62:H89)</f>
        <v>43203</v>
      </c>
      <c r="I90" s="707"/>
      <c r="J90" s="706">
        <f t="shared" ref="J90" si="19">SUM(J62:J89)</f>
        <v>0</v>
      </c>
      <c r="K90" s="697"/>
      <c r="L90" s="308" t="s">
        <v>1195</v>
      </c>
      <c r="M90" s="697"/>
      <c r="N90" s="706">
        <f>SUM(N62:N87)</f>
        <v>51976</v>
      </c>
      <c r="Q90" s="707"/>
      <c r="R90" s="706">
        <f>SUM(R62:R87)</f>
        <v>1622778</v>
      </c>
      <c r="T90" s="706">
        <f>SUM(T62:T87)</f>
        <v>3980728</v>
      </c>
      <c r="U90" s="339"/>
      <c r="W90" s="301">
        <f>SUM(W62:W88)</f>
        <v>1115241</v>
      </c>
      <c r="Y90" s="301">
        <f>SUM(Y62:Y88)</f>
        <v>14617723</v>
      </c>
      <c r="AA90" s="301">
        <f>SUM(AA62:AA89)</f>
        <v>0</v>
      </c>
      <c r="AC90" s="301">
        <f>SUM(AC62:AC88)</f>
        <v>30090575</v>
      </c>
      <c r="AE90" s="301">
        <f>SUM(AE62:AE88)</f>
        <v>-234059</v>
      </c>
      <c r="AG90" s="301">
        <f>SUM(AG62:AG88)</f>
        <v>49570208</v>
      </c>
      <c r="AI90" s="288">
        <f>+AC56-AC85-AC108</f>
        <v>-23381111</v>
      </c>
    </row>
    <row r="91" spans="1:37" ht="15.75">
      <c r="A91" s="276"/>
      <c r="B91" s="276"/>
      <c r="C91" s="276"/>
      <c r="D91" s="294"/>
      <c r="E91" s="296"/>
      <c r="F91" s="294"/>
      <c r="G91" s="294"/>
      <c r="H91" s="294"/>
      <c r="I91" s="296"/>
      <c r="J91" s="294"/>
      <c r="K91" s="294"/>
      <c r="L91" s="276"/>
      <c r="M91" s="294"/>
      <c r="N91" s="294"/>
      <c r="Q91" s="296"/>
      <c r="R91" s="294"/>
      <c r="S91" s="296"/>
      <c r="T91" s="294"/>
      <c r="U91" s="294"/>
      <c r="W91" s="294"/>
      <c r="Y91" s="294"/>
      <c r="AA91" s="294"/>
      <c r="AC91" s="294"/>
      <c r="AE91" s="294"/>
      <c r="AG91" s="294"/>
      <c r="AI91" s="288">
        <f>+AI90+17824947</f>
        <v>-5556164</v>
      </c>
    </row>
    <row r="92" spans="1:37" ht="15.75">
      <c r="A92" s="276"/>
      <c r="B92" s="308" t="s">
        <v>1815</v>
      </c>
      <c r="C92" s="276"/>
      <c r="D92" s="294"/>
      <c r="E92" s="296"/>
      <c r="F92" s="294"/>
      <c r="G92" s="294"/>
      <c r="H92" s="294"/>
      <c r="I92" s="296"/>
      <c r="J92" s="294"/>
      <c r="K92" s="294"/>
      <c r="L92" s="308" t="s">
        <v>1815</v>
      </c>
      <c r="M92" s="294"/>
      <c r="N92" s="294"/>
      <c r="Q92" s="296"/>
      <c r="R92" s="294"/>
      <c r="S92" s="296"/>
      <c r="T92" s="294"/>
      <c r="U92" s="294"/>
      <c r="W92" s="294"/>
      <c r="Y92" s="294"/>
      <c r="AA92" s="558" t="s">
        <v>2639</v>
      </c>
      <c r="AC92" s="294"/>
      <c r="AE92" s="294"/>
      <c r="AG92" s="294"/>
    </row>
    <row r="93" spans="1:37" ht="15.75">
      <c r="A93" s="276"/>
      <c r="B93" s="276" t="str">
        <f>INPUT!B157</f>
        <v xml:space="preserve">     Deferred inflows of tax revenues</v>
      </c>
      <c r="C93" s="276"/>
      <c r="D93" s="294">
        <f>+INPUT!D157</f>
        <v>138078</v>
      </c>
      <c r="E93" s="276"/>
      <c r="F93" s="294">
        <f>+INPUT!X157</f>
        <v>112560</v>
      </c>
      <c r="G93" s="294">
        <f>+INPUT!BB157</f>
        <v>0</v>
      </c>
      <c r="H93" s="294">
        <f>+INPUT!BC157</f>
        <v>25363</v>
      </c>
      <c r="I93" s="276"/>
      <c r="J93" s="294">
        <f>+INPUT!BN157</f>
        <v>500937</v>
      </c>
      <c r="K93" s="294"/>
      <c r="L93" s="276" t="str">
        <f>+B93</f>
        <v xml:space="preserve">     Deferred inflows of tax revenues</v>
      </c>
      <c r="M93" s="697"/>
      <c r="N93" s="294">
        <f>INPUT!BR157</f>
        <v>0</v>
      </c>
      <c r="Q93" s="276"/>
      <c r="R93" s="294">
        <f>+'SR BS'!DZ71+'DS BS'!P65+'CP BS'!N66</f>
        <v>263692</v>
      </c>
      <c r="S93" s="276"/>
      <c r="T93" s="294">
        <f>SUM(D93:R93)</f>
        <v>1040630</v>
      </c>
      <c r="U93" s="339"/>
      <c r="W93" s="294">
        <f>+PROPNA!N63</f>
        <v>0</v>
      </c>
      <c r="Y93" s="294">
        <v>0</v>
      </c>
      <c r="AA93" s="558">
        <v>-1040630</v>
      </c>
      <c r="AB93" s="288" t="s">
        <v>1198</v>
      </c>
      <c r="AC93" s="294"/>
      <c r="AE93" s="294">
        <v>0</v>
      </c>
      <c r="AG93" s="296">
        <f>SUM(T93:AE93)</f>
        <v>0</v>
      </c>
    </row>
    <row r="94" spans="1:37" ht="15.75" hidden="1">
      <c r="A94" s="276"/>
      <c r="B94" s="276" t="str">
        <f>INPUT!B158</f>
        <v xml:space="preserve">     Deferred inflows related to leases</v>
      </c>
      <c r="C94" s="276"/>
      <c r="D94" s="294">
        <f>+INPUT!D158</f>
        <v>0</v>
      </c>
      <c r="E94" s="276"/>
      <c r="F94" s="294">
        <f>+INPUT!X158</f>
        <v>0</v>
      </c>
      <c r="G94" s="294">
        <f>+INPUT!BB158</f>
        <v>0</v>
      </c>
      <c r="H94" s="294">
        <f>+INPUT!BC158</f>
        <v>0</v>
      </c>
      <c r="I94" s="276"/>
      <c r="J94" s="294">
        <f>+INPUT!BN158</f>
        <v>0</v>
      </c>
      <c r="K94" s="294"/>
      <c r="L94" s="276" t="str">
        <f t="shared" ref="L94:L96" si="20">+B94</f>
        <v xml:space="preserve">     Deferred inflows related to leases</v>
      </c>
      <c r="M94" s="339"/>
      <c r="N94" s="294">
        <f>INPUT!BR158</f>
        <v>0</v>
      </c>
      <c r="Q94" s="276"/>
      <c r="R94" s="294">
        <f>+'SR BS'!DZ72+'DS BS'!P66+'CP BS'!N67</f>
        <v>0</v>
      </c>
      <c r="S94" s="276"/>
      <c r="T94" s="294">
        <f t="shared" ref="T94:T105" si="21">SUM(D94:R94)</f>
        <v>0</v>
      </c>
      <c r="U94" s="339"/>
      <c r="W94" s="294">
        <f>+PROPNA!N91</f>
        <v>405009</v>
      </c>
      <c r="Y94" s="294"/>
      <c r="AA94" s="656"/>
      <c r="AC94" s="319"/>
      <c r="AE94" s="294"/>
      <c r="AG94" s="296">
        <f>SUM(T94:AE94)</f>
        <v>405009</v>
      </c>
    </row>
    <row r="95" spans="1:37" ht="15.75">
      <c r="A95" s="276"/>
      <c r="B95" s="276" t="str">
        <f>INPUT!B159</f>
        <v xml:space="preserve">     Deferred inflows related to grant revenue</v>
      </c>
      <c r="C95" s="276"/>
      <c r="D95" s="294">
        <f>+INPUT!D159</f>
        <v>866404</v>
      </c>
      <c r="E95" s="276"/>
      <c r="F95" s="294">
        <f>+INPUT!X159</f>
        <v>0</v>
      </c>
      <c r="G95" s="294">
        <f>+INPUT!BB159</f>
        <v>9514638</v>
      </c>
      <c r="H95" s="294">
        <f>+INPUT!BC159</f>
        <v>0</v>
      </c>
      <c r="I95" s="276"/>
      <c r="J95" s="294">
        <f>+INPUT!BN159</f>
        <v>0</v>
      </c>
      <c r="K95" s="294"/>
      <c r="L95" s="276" t="str">
        <f t="shared" si="20"/>
        <v xml:space="preserve">     Deferred inflows related to grant revenue</v>
      </c>
      <c r="M95" s="339"/>
      <c r="N95" s="294">
        <f>INPUT!BR159</f>
        <v>0</v>
      </c>
      <c r="Q95" s="276"/>
      <c r="R95" s="294">
        <f>+'SR BS'!DZ73+'DS BS'!P67+'CP BS'!N68</f>
        <v>0</v>
      </c>
      <c r="S95" s="276"/>
      <c r="T95" s="294">
        <f t="shared" si="21"/>
        <v>10381042</v>
      </c>
      <c r="U95" s="339"/>
      <c r="W95" s="294"/>
      <c r="Y95" s="294"/>
      <c r="AA95" s="656"/>
      <c r="AC95" s="319"/>
      <c r="AE95" s="294"/>
      <c r="AG95" s="296">
        <f t="shared" ref="AG95" si="22">SUM(T95:AE95)</f>
        <v>10381042</v>
      </c>
    </row>
    <row r="96" spans="1:37" ht="15.75" hidden="1">
      <c r="A96" s="276"/>
      <c r="B96" s="276" t="str">
        <f>INPUT!B160</f>
        <v xml:space="preserve">     Deferred inflows related to pensions</v>
      </c>
      <c r="C96" s="276"/>
      <c r="D96" s="294"/>
      <c r="E96" s="296"/>
      <c r="F96" s="294"/>
      <c r="G96" s="294"/>
      <c r="H96" s="294"/>
      <c r="I96" s="351"/>
      <c r="J96" s="294"/>
      <c r="K96" s="294"/>
      <c r="L96" s="276" t="str">
        <f t="shared" si="20"/>
        <v xml:space="preserve">     Deferred inflows related to pensions</v>
      </c>
      <c r="M96" s="294"/>
      <c r="N96" s="294"/>
      <c r="Q96" s="296"/>
      <c r="R96" s="294"/>
      <c r="S96" s="296"/>
      <c r="T96" s="294">
        <f t="shared" si="21"/>
        <v>0</v>
      </c>
      <c r="U96" s="294"/>
      <c r="W96" s="294"/>
      <c r="Y96" s="294"/>
      <c r="AA96" s="656"/>
      <c r="AC96" s="1282">
        <f>+Pension!F35</f>
        <v>1673431</v>
      </c>
      <c r="AD96" s="288" t="s">
        <v>2041</v>
      </c>
      <c r="AE96" s="294"/>
      <c r="AG96" s="296">
        <f t="shared" ref="AG96:AG106" si="23">SUM(T96:AE96)</f>
        <v>1673431</v>
      </c>
      <c r="AI96" s="288" t="s">
        <v>2046</v>
      </c>
      <c r="AK96" s="288">
        <v>2153145</v>
      </c>
    </row>
    <row r="97" spans="1:37" ht="15.75" hidden="1">
      <c r="A97" s="276"/>
      <c r="B97" s="276"/>
      <c r="C97" s="276"/>
      <c r="D97" s="294"/>
      <c r="E97" s="296"/>
      <c r="F97" s="294"/>
      <c r="G97" s="294"/>
      <c r="H97" s="294"/>
      <c r="I97" s="351"/>
      <c r="J97" s="294"/>
      <c r="K97" s="294"/>
      <c r="L97" s="276"/>
      <c r="M97" s="294"/>
      <c r="N97" s="294"/>
      <c r="Q97" s="296"/>
      <c r="R97" s="294"/>
      <c r="S97" s="296"/>
      <c r="T97" s="294">
        <f t="shared" si="21"/>
        <v>0</v>
      </c>
      <c r="U97" s="294"/>
      <c r="W97" s="294"/>
      <c r="Y97" s="294"/>
      <c r="AA97" s="656"/>
      <c r="AC97" s="386"/>
      <c r="AE97" s="294"/>
      <c r="AG97" s="296">
        <f t="shared" si="23"/>
        <v>0</v>
      </c>
      <c r="AI97" s="288" t="s">
        <v>2298</v>
      </c>
    </row>
    <row r="98" spans="1:37" ht="15.75" hidden="1">
      <c r="A98" s="276"/>
      <c r="B98" s="276"/>
      <c r="C98" s="276"/>
      <c r="D98" s="294"/>
      <c r="E98" s="296"/>
      <c r="F98" s="294"/>
      <c r="G98" s="294"/>
      <c r="H98" s="294"/>
      <c r="I98" s="351"/>
      <c r="J98" s="294"/>
      <c r="K98" s="294"/>
      <c r="L98" s="276"/>
      <c r="M98" s="294"/>
      <c r="N98" s="294"/>
      <c r="Q98" s="296"/>
      <c r="R98" s="294"/>
      <c r="S98" s="296"/>
      <c r="T98" s="294">
        <f t="shared" si="21"/>
        <v>0</v>
      </c>
      <c r="U98" s="294"/>
      <c r="W98" s="294"/>
      <c r="Y98" s="294"/>
      <c r="AA98" s="656"/>
      <c r="AC98" s="386"/>
      <c r="AE98" s="294"/>
      <c r="AG98" s="296">
        <f t="shared" si="23"/>
        <v>0</v>
      </c>
      <c r="AI98" s="288" t="s">
        <v>2299</v>
      </c>
      <c r="AK98" s="288">
        <v>77422</v>
      </c>
    </row>
    <row r="99" spans="1:37" ht="15.75" hidden="1">
      <c r="A99" s="276"/>
      <c r="B99" s="276"/>
      <c r="C99" s="276"/>
      <c r="D99" s="294"/>
      <c r="E99" s="296"/>
      <c r="F99" s="294"/>
      <c r="G99" s="294"/>
      <c r="H99" s="294"/>
      <c r="I99" s="351"/>
      <c r="J99" s="294"/>
      <c r="K99" s="294"/>
      <c r="L99" s="276"/>
      <c r="M99" s="294"/>
      <c r="N99" s="294"/>
      <c r="Q99" s="296"/>
      <c r="R99" s="294"/>
      <c r="S99" s="296"/>
      <c r="T99" s="294">
        <f t="shared" si="21"/>
        <v>0</v>
      </c>
      <c r="U99" s="294"/>
      <c r="W99" s="294"/>
      <c r="Y99" s="294"/>
      <c r="AA99" s="294"/>
      <c r="AC99" s="386"/>
      <c r="AE99" s="294"/>
      <c r="AG99" s="296">
        <f t="shared" si="23"/>
        <v>0</v>
      </c>
      <c r="AI99" s="288" t="s">
        <v>2029</v>
      </c>
    </row>
    <row r="100" spans="1:37" ht="15.75" hidden="1">
      <c r="A100" s="276"/>
      <c r="B100" s="276"/>
      <c r="C100" s="276"/>
      <c r="D100" s="294"/>
      <c r="E100" s="296"/>
      <c r="F100" s="294"/>
      <c r="G100" s="294"/>
      <c r="H100" s="294"/>
      <c r="I100" s="296"/>
      <c r="J100" s="294"/>
      <c r="K100" s="294"/>
      <c r="L100" s="276"/>
      <c r="M100" s="294"/>
      <c r="N100" s="294"/>
      <c r="Q100" s="296"/>
      <c r="R100" s="294"/>
      <c r="S100" s="296"/>
      <c r="T100" s="294">
        <f t="shared" si="21"/>
        <v>0</v>
      </c>
      <c r="U100" s="294"/>
      <c r="W100" s="294"/>
      <c r="Y100" s="294"/>
      <c r="AA100" s="294"/>
      <c r="AC100" s="386"/>
      <c r="AE100" s="294"/>
      <c r="AG100" s="296">
        <f t="shared" si="23"/>
        <v>0</v>
      </c>
      <c r="AI100" s="288" t="s">
        <v>2047</v>
      </c>
      <c r="AK100" s="288">
        <v>1352108</v>
      </c>
    </row>
    <row r="101" spans="1:37" ht="15.75" hidden="1">
      <c r="A101" s="276"/>
      <c r="B101" s="276"/>
      <c r="C101" s="276"/>
      <c r="D101" s="294"/>
      <c r="E101" s="296"/>
      <c r="F101" s="294"/>
      <c r="G101" s="294"/>
      <c r="H101" s="294"/>
      <c r="I101" s="296"/>
      <c r="J101" s="294"/>
      <c r="K101" s="294"/>
      <c r="L101" s="276"/>
      <c r="M101" s="294"/>
      <c r="N101" s="294"/>
      <c r="Q101" s="296"/>
      <c r="R101" s="294"/>
      <c r="S101" s="296"/>
      <c r="T101" s="294">
        <f t="shared" si="21"/>
        <v>0</v>
      </c>
      <c r="U101" s="294"/>
      <c r="W101" s="294"/>
      <c r="Y101" s="294"/>
      <c r="AA101" s="294"/>
      <c r="AC101" s="386"/>
      <c r="AE101" s="294"/>
      <c r="AG101" s="296">
        <f t="shared" si="23"/>
        <v>0</v>
      </c>
      <c r="AI101" s="288" t="s">
        <v>2030</v>
      </c>
    </row>
    <row r="102" spans="1:37" ht="15.75" hidden="1">
      <c r="A102" s="276"/>
      <c r="B102" s="276"/>
      <c r="C102" s="276"/>
      <c r="D102" s="294"/>
      <c r="E102" s="296"/>
      <c r="F102" s="294"/>
      <c r="G102" s="294"/>
      <c r="H102" s="294"/>
      <c r="I102" s="296"/>
      <c r="J102" s="294"/>
      <c r="K102" s="294"/>
      <c r="L102" s="276"/>
      <c r="M102" s="294"/>
      <c r="N102" s="294"/>
      <c r="Q102" s="296"/>
      <c r="R102" s="294"/>
      <c r="S102" s="296"/>
      <c r="T102" s="294">
        <f t="shared" si="21"/>
        <v>0</v>
      </c>
      <c r="U102" s="294"/>
      <c r="W102" s="294"/>
      <c r="Y102" s="294"/>
      <c r="AA102" s="294"/>
      <c r="AC102" s="386"/>
      <c r="AE102" s="294"/>
      <c r="AG102" s="296">
        <f t="shared" si="23"/>
        <v>0</v>
      </c>
      <c r="AI102" s="288" t="s">
        <v>2048</v>
      </c>
      <c r="AK102" s="288">
        <v>580979</v>
      </c>
    </row>
    <row r="103" spans="1:37" ht="15.75" hidden="1">
      <c r="A103" s="276"/>
      <c r="B103" s="308"/>
      <c r="C103" s="276"/>
      <c r="D103" s="294"/>
      <c r="E103" s="296"/>
      <c r="F103" s="294"/>
      <c r="G103" s="294"/>
      <c r="H103" s="294"/>
      <c r="I103" s="296"/>
      <c r="J103" s="294"/>
      <c r="K103" s="294"/>
      <c r="L103" s="308"/>
      <c r="M103" s="294"/>
      <c r="N103" s="294"/>
      <c r="Q103" s="296"/>
      <c r="R103" s="294"/>
      <c r="S103" s="296"/>
      <c r="T103" s="294">
        <f t="shared" si="21"/>
        <v>0</v>
      </c>
      <c r="U103" s="294"/>
      <c r="W103" s="294"/>
      <c r="Y103" s="294"/>
      <c r="AA103" s="294"/>
      <c r="AC103" s="386"/>
      <c r="AE103" s="294"/>
      <c r="AG103" s="296">
        <f t="shared" si="23"/>
        <v>0</v>
      </c>
    </row>
    <row r="104" spans="1:37" ht="15.75" hidden="1">
      <c r="A104" s="276"/>
      <c r="B104" s="276"/>
      <c r="C104" s="276"/>
      <c r="D104" s="294"/>
      <c r="E104" s="296"/>
      <c r="F104" s="294"/>
      <c r="G104" s="294"/>
      <c r="H104" s="294"/>
      <c r="I104" s="296"/>
      <c r="J104" s="294"/>
      <c r="K104" s="294"/>
      <c r="L104" s="276"/>
      <c r="M104" s="294"/>
      <c r="N104" s="294"/>
      <c r="Q104" s="296"/>
      <c r="R104" s="294"/>
      <c r="S104" s="296"/>
      <c r="T104" s="294">
        <f t="shared" si="21"/>
        <v>0</v>
      </c>
      <c r="U104" s="294"/>
      <c r="W104" s="294"/>
      <c r="Y104" s="294"/>
      <c r="AA104" s="294"/>
      <c r="AC104" s="386"/>
      <c r="AE104" s="294"/>
      <c r="AG104" s="296">
        <f t="shared" si="23"/>
        <v>0</v>
      </c>
    </row>
    <row r="105" spans="1:37" ht="15.75" hidden="1">
      <c r="A105" s="276"/>
      <c r="B105" s="276" t="str">
        <f>INPUT!B162</f>
        <v xml:space="preserve">     Deferred inflows related to other </v>
      </c>
      <c r="C105" s="276"/>
      <c r="D105" s="294"/>
      <c r="E105" s="296"/>
      <c r="F105" s="294"/>
      <c r="G105" s="294"/>
      <c r="H105" s="294"/>
      <c r="I105" s="296"/>
      <c r="J105" s="294"/>
      <c r="K105" s="294"/>
      <c r="L105" s="276" t="str">
        <f>+B105</f>
        <v xml:space="preserve">     Deferred inflows related to other </v>
      </c>
      <c r="M105" s="294"/>
      <c r="N105" s="294"/>
      <c r="Q105" s="296"/>
      <c r="R105" s="294"/>
      <c r="S105" s="296"/>
      <c r="T105" s="294">
        <f t="shared" si="21"/>
        <v>0</v>
      </c>
      <c r="U105" s="294"/>
      <c r="W105" s="294"/>
      <c r="Y105" s="294"/>
      <c r="AA105" s="294"/>
      <c r="AC105" s="386"/>
      <c r="AE105" s="294"/>
      <c r="AG105" s="296">
        <f t="shared" si="23"/>
        <v>0</v>
      </c>
    </row>
    <row r="106" spans="1:37" ht="15.75" hidden="1">
      <c r="A106" s="276"/>
      <c r="B106" s="276" t="str">
        <f>INPUT!B163</f>
        <v xml:space="preserve">          postemployment benefits</v>
      </c>
      <c r="C106" s="276"/>
      <c r="D106" s="294"/>
      <c r="E106" s="296"/>
      <c r="F106" s="294"/>
      <c r="G106" s="294"/>
      <c r="H106" s="294"/>
      <c r="I106" s="296"/>
      <c r="J106" s="294"/>
      <c r="K106" s="294"/>
      <c r="L106" s="276" t="str">
        <f>+B106</f>
        <v xml:space="preserve">          postemployment benefits</v>
      </c>
      <c r="M106" s="294"/>
      <c r="N106" s="294"/>
      <c r="Q106" s="296"/>
      <c r="R106" s="294"/>
      <c r="S106" s="296"/>
      <c r="T106" s="294"/>
      <c r="U106" s="294"/>
      <c r="W106" s="294"/>
      <c r="Y106" s="294"/>
      <c r="AA106" s="294"/>
      <c r="AC106" s="1281">
        <f>+'OPEB, note 14'!L7</f>
        <v>1249375</v>
      </c>
      <c r="AD106" s="288" t="s">
        <v>570</v>
      </c>
      <c r="AE106" s="294"/>
      <c r="AG106" s="296">
        <f t="shared" si="23"/>
        <v>1249375</v>
      </c>
    </row>
    <row r="107" spans="1:37" ht="13.5" customHeight="1">
      <c r="A107" s="276"/>
      <c r="B107" s="276"/>
      <c r="C107" s="276"/>
      <c r="D107" s="337"/>
      <c r="E107" s="296"/>
      <c r="F107" s="337"/>
      <c r="G107" s="337"/>
      <c r="H107" s="337"/>
      <c r="I107" s="296"/>
      <c r="J107" s="337"/>
      <c r="K107" s="294"/>
      <c r="L107" s="276"/>
      <c r="M107" s="294"/>
      <c r="N107" s="337"/>
      <c r="Q107" s="296"/>
      <c r="R107" s="337"/>
      <c r="S107" s="296"/>
      <c r="T107" s="337"/>
      <c r="U107" s="337"/>
      <c r="W107" s="337"/>
      <c r="Y107" s="337"/>
      <c r="AA107" s="337"/>
      <c r="AC107" s="294"/>
      <c r="AE107" s="294"/>
      <c r="AG107" s="337"/>
    </row>
    <row r="108" spans="1:37" ht="15.75">
      <c r="A108" s="276"/>
      <c r="B108" s="308" t="s">
        <v>2028</v>
      </c>
      <c r="C108" s="276"/>
      <c r="D108" s="706">
        <f>SUM(D93:D107)</f>
        <v>1004482</v>
      </c>
      <c r="E108" s="707"/>
      <c r="F108" s="706">
        <f>SUM(F93:F107)</f>
        <v>112560</v>
      </c>
      <c r="G108" s="706">
        <f>SUM(G93:G107)</f>
        <v>9514638</v>
      </c>
      <c r="H108" s="706">
        <f t="shared" ref="H108" si="24">SUM(H93:H107)</f>
        <v>25363</v>
      </c>
      <c r="I108" s="707"/>
      <c r="J108" s="706">
        <f t="shared" ref="J108" si="25">SUM(J93:J107)</f>
        <v>500937</v>
      </c>
      <c r="K108" s="697"/>
      <c r="L108" s="308" t="s">
        <v>2028</v>
      </c>
      <c r="M108" s="697"/>
      <c r="N108" s="706">
        <f>SUM(N93:N107)</f>
        <v>0</v>
      </c>
      <c r="Q108" s="707"/>
      <c r="R108" s="706">
        <f>SUM(R93:R107)</f>
        <v>263692</v>
      </c>
      <c r="S108" s="707"/>
      <c r="T108" s="706">
        <f>SUM(T93:T107)</f>
        <v>11421672</v>
      </c>
      <c r="U108" s="706">
        <f t="shared" ref="U108" si="26">SUM(U93:U107)</f>
        <v>0</v>
      </c>
      <c r="W108" s="706">
        <f>SUM(W93:W107)</f>
        <v>405009</v>
      </c>
      <c r="Y108" s="301">
        <f>SUM(Y93:Y107)</f>
        <v>0</v>
      </c>
      <c r="AA108" s="301">
        <f>SUM(AA93:AA107)</f>
        <v>-1040630</v>
      </c>
      <c r="AC108" s="301">
        <f>SUM(AC93:AC107)</f>
        <v>2922806</v>
      </c>
      <c r="AE108" s="294"/>
      <c r="AG108" s="301">
        <f>SUM(AG93:AG106)</f>
        <v>13708857</v>
      </c>
    </row>
    <row r="109" spans="1:37" ht="15.75">
      <c r="A109" s="276"/>
      <c r="B109" s="276"/>
      <c r="C109" s="276"/>
      <c r="D109" s="294"/>
      <c r="E109" s="296"/>
      <c r="F109" s="294"/>
      <c r="G109" s="294"/>
      <c r="H109" s="294"/>
      <c r="I109" s="296"/>
      <c r="J109" s="294"/>
      <c r="K109" s="294"/>
      <c r="L109" s="276"/>
      <c r="M109" s="294"/>
      <c r="N109" s="294"/>
      <c r="Q109" s="296"/>
      <c r="R109" s="294"/>
      <c r="S109" s="296"/>
      <c r="T109" s="294"/>
      <c r="U109" s="294"/>
      <c r="W109" s="294"/>
      <c r="Y109" s="294"/>
      <c r="AA109" s="294"/>
      <c r="AC109" s="294"/>
      <c r="AE109" s="294"/>
      <c r="AG109" s="294"/>
    </row>
    <row r="110" spans="1:37" ht="15.75">
      <c r="A110" s="276"/>
      <c r="B110" s="308" t="str">
        <f>INPUT!B186</f>
        <v>FUND BALANCE</v>
      </c>
      <c r="C110" s="276"/>
      <c r="D110" s="294"/>
      <c r="E110" s="296"/>
      <c r="F110" s="294"/>
      <c r="G110" s="294"/>
      <c r="H110" s="294"/>
      <c r="I110" s="296"/>
      <c r="J110" s="294"/>
      <c r="K110" s="294"/>
      <c r="L110" s="308" t="s">
        <v>2589</v>
      </c>
      <c r="M110" s="294"/>
      <c r="N110" s="294"/>
      <c r="Q110" s="296"/>
      <c r="R110" s="294"/>
      <c r="S110" s="296"/>
      <c r="T110" s="294"/>
      <c r="U110" s="294"/>
      <c r="W110" s="294"/>
      <c r="Y110" s="294"/>
      <c r="AA110" s="294"/>
      <c r="AG110" s="294"/>
    </row>
    <row r="111" spans="1:37" ht="15.75">
      <c r="A111" s="276"/>
      <c r="B111" s="276" t="str">
        <f>INPUT!B188</f>
        <v xml:space="preserve">          Nonspendable</v>
      </c>
      <c r="C111" s="276"/>
      <c r="D111" s="294">
        <f>+INPUT!D188</f>
        <v>112403</v>
      </c>
      <c r="E111" s="296"/>
      <c r="F111" s="294">
        <f>+INPUT!X188</f>
        <v>0</v>
      </c>
      <c r="G111" s="294">
        <f>+INPUT!BB188</f>
        <v>0</v>
      </c>
      <c r="H111" s="294">
        <f>+INPUT!BC188</f>
        <v>0</v>
      </c>
      <c r="I111" s="296"/>
      <c r="J111" s="294">
        <f>+INPUT!BN188</f>
        <v>0</v>
      </c>
      <c r="K111" s="294"/>
      <c r="L111" s="276" t="str">
        <f>+B111</f>
        <v xml:space="preserve">          Nonspendable</v>
      </c>
      <c r="M111" s="294"/>
      <c r="N111" s="294">
        <f>+INPUT!BR188</f>
        <v>0</v>
      </c>
      <c r="Q111" s="296"/>
      <c r="R111" s="294">
        <f>+INPUT!CA188</f>
        <v>1211666</v>
      </c>
      <c r="S111" s="296"/>
      <c r="T111" s="294">
        <f>SUM(D111:R111)</f>
        <v>1324069</v>
      </c>
      <c r="U111" s="294"/>
      <c r="W111" s="294"/>
      <c r="Y111" s="294"/>
      <c r="AA111" s="294"/>
      <c r="AG111" s="296">
        <f>SUM(T111:AE111)</f>
        <v>1324069</v>
      </c>
    </row>
    <row r="112" spans="1:37" ht="15.75">
      <c r="A112" s="276"/>
      <c r="B112" s="276" t="str">
        <f>INPUT!B189</f>
        <v xml:space="preserve">          Restricted</v>
      </c>
      <c r="C112" s="276"/>
      <c r="D112" s="294">
        <f>+INPUT!D189</f>
        <v>110000</v>
      </c>
      <c r="E112" s="296"/>
      <c r="F112" s="294">
        <f>+INPUT!X189</f>
        <v>0</v>
      </c>
      <c r="G112" s="294">
        <v>0</v>
      </c>
      <c r="H112" s="294">
        <f>+INPUT!BC189</f>
        <v>0</v>
      </c>
      <c r="I112" s="296"/>
      <c r="J112" s="294">
        <f>+INPUT!BN189</f>
        <v>121101</v>
      </c>
      <c r="K112" s="294"/>
      <c r="L112" s="276" t="str">
        <f t="shared" ref="L112:L116" si="27">+B112</f>
        <v xml:space="preserve">          Restricted</v>
      </c>
      <c r="M112" s="294"/>
      <c r="N112" s="294">
        <f>+INPUT!BR189</f>
        <v>0</v>
      </c>
      <c r="Q112" s="296"/>
      <c r="R112" s="294">
        <f>+INPUT!CA189</f>
        <v>4249872</v>
      </c>
      <c r="S112" s="296"/>
      <c r="T112" s="294">
        <f>SUM(D112:R112)</f>
        <v>4480973</v>
      </c>
      <c r="U112" s="294"/>
      <c r="W112" s="294"/>
      <c r="Y112" s="294"/>
      <c r="AA112" s="294"/>
      <c r="AG112" s="296">
        <f>SUM(T112:AE112)</f>
        <v>4480973</v>
      </c>
      <c r="AI112" s="288">
        <f>SUM(AG111:AG112)</f>
        <v>5805042</v>
      </c>
    </row>
    <row r="113" spans="1:36" ht="15.75">
      <c r="A113" s="276"/>
      <c r="B113" s="276" t="str">
        <f>INPUT!B190</f>
        <v xml:space="preserve">          Unrestricted:</v>
      </c>
      <c r="C113" s="276"/>
      <c r="D113" s="294"/>
      <c r="E113" s="296"/>
      <c r="F113" s="294"/>
      <c r="G113" s="294"/>
      <c r="H113" s="294"/>
      <c r="I113" s="296"/>
      <c r="J113" s="294"/>
      <c r="K113" s="294"/>
      <c r="L113" s="276" t="str">
        <f t="shared" si="27"/>
        <v xml:space="preserve">          Unrestricted:</v>
      </c>
      <c r="M113" s="294"/>
      <c r="N113" s="294"/>
      <c r="Q113" s="296"/>
      <c r="R113" s="294"/>
      <c r="S113" s="296"/>
      <c r="T113" s="294"/>
      <c r="U113" s="294"/>
      <c r="W113" s="294"/>
      <c r="Y113" s="294"/>
      <c r="AA113" s="294"/>
      <c r="AG113" s="296"/>
    </row>
    <row r="114" spans="1:36" ht="15.75">
      <c r="A114" s="276"/>
      <c r="B114" s="276" t="str">
        <f>INPUT!B191</f>
        <v xml:space="preserve">               Committed</v>
      </c>
      <c r="C114" s="276"/>
      <c r="D114" s="294">
        <f>+INPUT!D191</f>
        <v>0</v>
      </c>
      <c r="E114" s="296"/>
      <c r="F114" s="294">
        <f>+INPUT!X191</f>
        <v>4366091</v>
      </c>
      <c r="G114" s="294">
        <f>+INPUT!BB189</f>
        <v>0</v>
      </c>
      <c r="H114" s="294">
        <f>+INPUT!BC191</f>
        <v>6813379</v>
      </c>
      <c r="I114" s="296"/>
      <c r="J114" s="294">
        <f>+INPUT!BN191</f>
        <v>0</v>
      </c>
      <c r="K114" s="294"/>
      <c r="L114" s="276" t="str">
        <f t="shared" si="27"/>
        <v xml:space="preserve">               Committed</v>
      </c>
      <c r="M114" s="294"/>
      <c r="N114" s="294">
        <f>+INPUT!BR191</f>
        <v>17906114</v>
      </c>
      <c r="Q114" s="296"/>
      <c r="R114" s="294">
        <f>+INPUT!CA191</f>
        <v>10192212</v>
      </c>
      <c r="S114" s="296"/>
      <c r="T114" s="294">
        <f>SUM(D114:R114)</f>
        <v>39277796</v>
      </c>
      <c r="U114" s="294"/>
      <c r="W114" s="294"/>
      <c r="Y114" s="294"/>
      <c r="AA114" s="294"/>
      <c r="AC114" s="294"/>
      <c r="AE114" s="294">
        <f>+AE31</f>
        <v>-6602</v>
      </c>
      <c r="AG114" s="296">
        <f>SUM(T114:AE114)</f>
        <v>39271194</v>
      </c>
    </row>
    <row r="115" spans="1:36" ht="15.75">
      <c r="A115" s="276"/>
      <c r="B115" s="276" t="str">
        <f>INPUT!B192</f>
        <v xml:space="preserve">               Assigned</v>
      </c>
      <c r="C115" s="276"/>
      <c r="D115" s="294">
        <f>+INPUT!D192</f>
        <v>2877311</v>
      </c>
      <c r="E115" s="296"/>
      <c r="F115" s="294">
        <f>+INPUT!X192</f>
        <v>0</v>
      </c>
      <c r="G115" s="294">
        <f>+INPUT!BB192</f>
        <v>0</v>
      </c>
      <c r="H115" s="294">
        <f>+INPUT!BC192</f>
        <v>0</v>
      </c>
      <c r="I115" s="296"/>
      <c r="J115" s="294">
        <f>+INPUT!BN192</f>
        <v>0</v>
      </c>
      <c r="K115" s="294"/>
      <c r="L115" s="276" t="str">
        <f t="shared" si="27"/>
        <v xml:space="preserve">               Assigned</v>
      </c>
      <c r="M115" s="294"/>
      <c r="N115" s="294">
        <f>+INPUT!BR192</f>
        <v>0</v>
      </c>
      <c r="Q115" s="296"/>
      <c r="R115" s="294">
        <f>+INPUT!CA192</f>
        <v>63912</v>
      </c>
      <c r="S115" s="296"/>
      <c r="T115" s="294">
        <f>SUM(D115:R115)</f>
        <v>2941223</v>
      </c>
      <c r="U115" s="294"/>
      <c r="W115" s="294">
        <f>+PROPNA!N113</f>
        <v>0</v>
      </c>
      <c r="Y115" s="294"/>
      <c r="AA115" s="294"/>
      <c r="AC115" s="294"/>
      <c r="AE115" s="294"/>
      <c r="AG115" s="296">
        <f>SUM(T115:AE115)</f>
        <v>2941223</v>
      </c>
      <c r="AI115" s="288">
        <f>SUM(T111:T117)</f>
        <v>54690896</v>
      </c>
    </row>
    <row r="116" spans="1:36" ht="15.75">
      <c r="A116" s="276"/>
      <c r="B116" s="276" t="str">
        <f>INPUT!B193</f>
        <v xml:space="preserve">               Unassigned</v>
      </c>
      <c r="C116" s="276"/>
      <c r="D116" s="294">
        <f>+INPUT!D193</f>
        <v>7125018</v>
      </c>
      <c r="E116" s="296"/>
      <c r="F116" s="294">
        <f>+INPUT!X193</f>
        <v>0</v>
      </c>
      <c r="G116" s="294">
        <f>+INPUT!BB193</f>
        <v>-287714</v>
      </c>
      <c r="H116" s="294">
        <f>+INPUT!BC193</f>
        <v>0</v>
      </c>
      <c r="I116" s="296"/>
      <c r="J116" s="294">
        <f>+INPUT!BN193</f>
        <v>0</v>
      </c>
      <c r="K116" s="294"/>
      <c r="L116" s="276" t="str">
        <f t="shared" si="27"/>
        <v xml:space="preserve">               Unassigned</v>
      </c>
      <c r="M116" s="294"/>
      <c r="N116" s="294">
        <f>+INPUT!BR193</f>
        <v>0</v>
      </c>
      <c r="Q116" s="296"/>
      <c r="R116" s="294">
        <f>+INPUT!CA193</f>
        <v>-170469</v>
      </c>
      <c r="S116" s="296"/>
      <c r="T116" s="294">
        <f>SUM(D116:R116)</f>
        <v>6666835</v>
      </c>
      <c r="U116" s="294"/>
      <c r="W116" s="294"/>
      <c r="Y116" s="294"/>
      <c r="AA116" s="294"/>
      <c r="AC116" s="294"/>
      <c r="AE116" s="294"/>
      <c r="AG116" s="296">
        <f>SUM(T116:AE116)</f>
        <v>6666835</v>
      </c>
    </row>
    <row r="117" spans="1:36" ht="15.75" hidden="1">
      <c r="A117" s="276"/>
      <c r="B117" s="276"/>
      <c r="C117" s="276"/>
      <c r="D117" s="294"/>
      <c r="E117" s="296"/>
      <c r="F117" s="294"/>
      <c r="G117" s="294"/>
      <c r="H117" s="294"/>
      <c r="I117" s="296"/>
      <c r="J117" s="294"/>
      <c r="K117" s="294"/>
      <c r="L117" s="276"/>
      <c r="M117" s="294"/>
      <c r="N117" s="294"/>
      <c r="Q117" s="296"/>
      <c r="R117" s="294"/>
      <c r="S117" s="296"/>
      <c r="T117" s="294"/>
      <c r="U117" s="294"/>
      <c r="W117" s="294"/>
      <c r="Y117" s="294"/>
      <c r="AA117" s="294"/>
      <c r="AC117" s="294"/>
      <c r="AE117" s="294"/>
      <c r="AG117" s="296"/>
    </row>
    <row r="118" spans="1:36" ht="15.75" hidden="1">
      <c r="A118" s="276"/>
      <c r="B118" s="276" t="s">
        <v>1721</v>
      </c>
      <c r="C118" s="276"/>
      <c r="D118" s="294"/>
      <c r="E118" s="296"/>
      <c r="F118" s="294"/>
      <c r="G118" s="294"/>
      <c r="H118" s="294"/>
      <c r="I118" s="296"/>
      <c r="J118" s="294"/>
      <c r="K118" s="294"/>
      <c r="L118" s="276" t="s">
        <v>1721</v>
      </c>
      <c r="M118" s="294"/>
      <c r="N118" s="294"/>
      <c r="Q118" s="296"/>
      <c r="R118" s="294"/>
      <c r="S118" s="296"/>
      <c r="T118" s="294"/>
      <c r="U118" s="294"/>
      <c r="W118" s="294">
        <f>+W39+W56-W90-W115-W108</f>
        <v>5799860</v>
      </c>
      <c r="Y118" s="294">
        <f>+Y39+Y56-Y90-Y108</f>
        <v>35549064</v>
      </c>
      <c r="AA118" s="294">
        <f>+AA39+AA56-AA90-AA108</f>
        <v>1040630</v>
      </c>
      <c r="AC118" s="294">
        <f>+AC39+AC56-AC90-AC108-AC114</f>
        <v>-24185217</v>
      </c>
      <c r="AE118" s="294">
        <f>+AE39-AE90-AE114</f>
        <v>11019</v>
      </c>
      <c r="AG118" s="296">
        <f>SUM(T118:AE118)</f>
        <v>18215356</v>
      </c>
    </row>
    <row r="119" spans="1:36" ht="15.75" hidden="1">
      <c r="A119" s="276"/>
      <c r="B119" s="296"/>
      <c r="C119" s="276"/>
      <c r="D119" s="294"/>
      <c r="E119" s="296"/>
      <c r="F119" s="294"/>
      <c r="G119" s="294"/>
      <c r="H119" s="294"/>
      <c r="J119" s="294"/>
      <c r="K119" s="294"/>
      <c r="L119" s="296"/>
      <c r="M119" s="294"/>
      <c r="N119" s="294"/>
      <c r="Q119" s="296"/>
      <c r="R119" s="294"/>
      <c r="S119" s="296"/>
      <c r="T119" s="294"/>
      <c r="U119" s="294"/>
      <c r="W119" s="294"/>
      <c r="Y119" s="294"/>
      <c r="AA119" s="294"/>
      <c r="AC119" s="294"/>
      <c r="AE119" s="294"/>
      <c r="AG119" s="294"/>
    </row>
    <row r="120" spans="1:36" ht="10.5" customHeight="1">
      <c r="A120" s="276"/>
      <c r="B120" s="276"/>
      <c r="C120" s="276"/>
      <c r="D120" s="337"/>
      <c r="E120" s="296"/>
      <c r="F120" s="337"/>
      <c r="G120" s="337"/>
      <c r="H120" s="337"/>
      <c r="I120" s="296"/>
      <c r="J120" s="337"/>
      <c r="K120" s="294"/>
      <c r="L120" s="276"/>
      <c r="M120" s="294"/>
      <c r="N120" s="337"/>
      <c r="Q120" s="296"/>
      <c r="R120" s="337"/>
      <c r="S120" s="296"/>
      <c r="T120" s="337"/>
      <c r="U120" s="294"/>
      <c r="W120" s="337"/>
      <c r="Y120" s="337"/>
      <c r="AA120" s="337"/>
      <c r="AC120" s="337"/>
      <c r="AE120" s="337"/>
      <c r="AG120" s="337"/>
    </row>
    <row r="121" spans="1:36" ht="15.75">
      <c r="A121" s="276"/>
      <c r="B121" s="308" t="str">
        <f>INPUT!B207</f>
        <v xml:space="preserve">          Total fund balance</v>
      </c>
      <c r="C121" s="308"/>
      <c r="D121" s="706">
        <f>SUM(D111:D119)</f>
        <v>10224732</v>
      </c>
      <c r="E121" s="707"/>
      <c r="F121" s="706">
        <f>SUM(F111:F119)</f>
        <v>4366091</v>
      </c>
      <c r="G121" s="706">
        <f>SUM(G111:G119)</f>
        <v>-287714</v>
      </c>
      <c r="H121" s="706">
        <f>SUM(H111:H119)</f>
        <v>6813379</v>
      </c>
      <c r="I121" s="707"/>
      <c r="J121" s="706">
        <f>SUM(J111:J119)</f>
        <v>121101</v>
      </c>
      <c r="K121" s="697"/>
      <c r="L121" s="308" t="s">
        <v>2469</v>
      </c>
      <c r="M121" s="697"/>
      <c r="N121" s="706">
        <f>SUM(N111:N119)</f>
        <v>17906114</v>
      </c>
      <c r="Q121" s="707"/>
      <c r="R121" s="706">
        <f>SUM(R111:R119)</f>
        <v>15547193</v>
      </c>
      <c r="S121" s="707"/>
      <c r="T121" s="706">
        <f>SUM(T111:T119)</f>
        <v>54690896</v>
      </c>
      <c r="U121" s="339"/>
      <c r="W121" s="301">
        <f>SUM(W111:W119)</f>
        <v>5799860</v>
      </c>
      <c r="Y121" s="301">
        <f>SUM(Y111:Y119)</f>
        <v>35549064</v>
      </c>
      <c r="AA121" s="301">
        <f>SUM(AA111:AA119)</f>
        <v>1040630</v>
      </c>
      <c r="AC121" s="301">
        <f>SUM(AC110:AC119)</f>
        <v>-24185217</v>
      </c>
      <c r="AE121" s="301">
        <f>SUM(AE110:AE119)</f>
        <v>4417</v>
      </c>
      <c r="AG121" s="301">
        <f>SUM(AG111:AG119)</f>
        <v>72899650</v>
      </c>
    </row>
    <row r="122" spans="1:36" ht="8.25" customHeight="1">
      <c r="A122" s="276"/>
      <c r="B122" s="276"/>
      <c r="C122" s="276"/>
      <c r="D122" s="294"/>
      <c r="E122" s="276"/>
      <c r="F122" s="294"/>
      <c r="G122" s="294"/>
      <c r="H122" s="294"/>
      <c r="I122" s="276"/>
      <c r="J122" s="294"/>
      <c r="K122" s="294"/>
      <c r="L122" s="276"/>
      <c r="M122" s="294"/>
      <c r="N122" s="294"/>
      <c r="Q122" s="276"/>
      <c r="R122" s="294"/>
      <c r="S122" s="276"/>
      <c r="T122" s="294"/>
      <c r="U122" s="294"/>
    </row>
    <row r="123" spans="1:36" ht="32.25" thickBot="1">
      <c r="A123" s="276"/>
      <c r="B123" s="388" t="str">
        <f>INPUT!B209</f>
        <v>Total liabilities, deferred inflows of resources, and fund balance</v>
      </c>
      <c r="C123" s="319"/>
      <c r="D123" s="703">
        <f>SUM(D90+D108+D121)</f>
        <v>12840036</v>
      </c>
      <c r="E123" s="708"/>
      <c r="F123" s="703">
        <f>SUM(F90+F108+F121)</f>
        <v>4842886</v>
      </c>
      <c r="G123" s="703">
        <f>SUM(G90+G108+G121)</f>
        <v>9514638</v>
      </c>
      <c r="H123" s="703">
        <f>SUM(H90+H108+H121)</f>
        <v>6881945</v>
      </c>
      <c r="I123" s="708"/>
      <c r="J123" s="703">
        <f>SUM(J90+J108+J121)</f>
        <v>622038</v>
      </c>
      <c r="K123" s="705"/>
      <c r="L123" s="388" t="s">
        <v>2349</v>
      </c>
      <c r="M123" s="705"/>
      <c r="N123" s="703">
        <f>SUM(N90+N108+N121)</f>
        <v>17958090</v>
      </c>
      <c r="Q123" s="708"/>
      <c r="R123" s="703">
        <f>SUM(R90+R108+R121)</f>
        <v>17433663</v>
      </c>
      <c r="S123" s="708"/>
      <c r="T123" s="703">
        <f>SUM(T90+T108+T121)</f>
        <v>70093296</v>
      </c>
      <c r="U123" s="385"/>
      <c r="W123" s="302">
        <f>SUM(W90+W108+W121)</f>
        <v>7320110</v>
      </c>
      <c r="AG123" s="302">
        <f>SUM(AG90+AG108+AG121)</f>
        <v>136178715</v>
      </c>
      <c r="AI123" s="288">
        <f>+AG39+AG56</f>
        <v>136178715</v>
      </c>
    </row>
    <row r="124" spans="1:36" ht="16.5" thickTop="1">
      <c r="A124" s="276"/>
      <c r="B124" s="388"/>
      <c r="C124" s="319"/>
      <c r="D124" s="385"/>
      <c r="E124" s="338"/>
      <c r="F124" s="385"/>
      <c r="G124" s="385"/>
      <c r="H124" s="385"/>
      <c r="I124" s="338"/>
      <c r="J124" s="385"/>
      <c r="K124" s="385"/>
      <c r="L124" s="385"/>
      <c r="M124" s="385"/>
      <c r="N124" s="385"/>
      <c r="P124" s="385"/>
      <c r="Q124" s="338"/>
      <c r="R124" s="385"/>
      <c r="S124" s="338"/>
      <c r="T124" s="385"/>
      <c r="U124" s="385"/>
      <c r="W124" s="326"/>
      <c r="AG124" s="326"/>
      <c r="AI124" s="288">
        <f>+AI123-AG123</f>
        <v>0</v>
      </c>
    </row>
    <row r="125" spans="1:36" ht="15.75">
      <c r="A125" s="276"/>
      <c r="B125" s="388"/>
      <c r="C125" s="319"/>
      <c r="D125" s="385"/>
      <c r="E125" s="338"/>
      <c r="F125" s="385"/>
      <c r="G125" s="385"/>
      <c r="H125" s="385"/>
      <c r="I125" s="338"/>
      <c r="J125" s="385"/>
      <c r="K125" s="385"/>
      <c r="L125" s="385"/>
      <c r="M125" s="385"/>
      <c r="N125" s="385"/>
      <c r="O125" s="385"/>
      <c r="P125" s="385"/>
      <c r="Q125" s="338"/>
      <c r="R125" s="385"/>
      <c r="S125" s="338"/>
      <c r="T125" s="385"/>
      <c r="U125" s="385"/>
      <c r="W125" s="326"/>
      <c r="AG125" s="326"/>
    </row>
    <row r="126" spans="1:36" ht="30" customHeight="1">
      <c r="A126" s="276"/>
      <c r="B126" s="350"/>
      <c r="C126" s="276"/>
      <c r="D126" s="303"/>
      <c r="E126" s="276"/>
      <c r="F126" s="276"/>
      <c r="G126" s="276"/>
      <c r="H126" s="276"/>
      <c r="I126" s="276"/>
      <c r="Q126" s="276"/>
      <c r="R126" s="276"/>
      <c r="S126" s="276"/>
      <c r="T126" s="276"/>
      <c r="U126" s="276"/>
    </row>
    <row r="127" spans="1:36" ht="15.75">
      <c r="A127" s="276"/>
      <c r="B127" s="276"/>
      <c r="C127" s="276"/>
      <c r="D127" s="303"/>
      <c r="E127" s="276"/>
      <c r="F127" s="303"/>
      <c r="G127" s="303"/>
      <c r="H127" s="303"/>
      <c r="I127" s="276"/>
      <c r="J127" s="276"/>
      <c r="K127" s="276"/>
      <c r="L127" s="276"/>
      <c r="M127" s="276"/>
      <c r="N127" s="276"/>
      <c r="O127" s="276"/>
      <c r="P127" s="276"/>
      <c r="Q127" s="276"/>
      <c r="R127" s="276"/>
      <c r="S127" s="276"/>
      <c r="T127" s="276"/>
      <c r="U127" s="276"/>
      <c r="AG127" s="288">
        <f>+AG121-R178</f>
        <v>0</v>
      </c>
      <c r="AI127" s="327"/>
      <c r="AJ127" s="327"/>
    </row>
    <row r="128" spans="1:36" ht="15.75">
      <c r="A128" s="276"/>
      <c r="B128" s="276"/>
      <c r="C128" s="276"/>
      <c r="D128" s="303"/>
      <c r="E128" s="276"/>
      <c r="F128" s="303"/>
      <c r="G128" s="303"/>
      <c r="H128" s="303"/>
      <c r="I128" s="276"/>
      <c r="J128" s="276"/>
      <c r="K128" s="276"/>
      <c r="L128" s="276"/>
      <c r="M128" s="276"/>
      <c r="N128" s="276"/>
      <c r="O128" s="276"/>
      <c r="P128" s="276"/>
      <c r="Q128" s="276"/>
      <c r="R128" s="276"/>
      <c r="S128" s="276"/>
      <c r="T128" s="276"/>
      <c r="U128" s="276"/>
      <c r="W128" s="1210">
        <f>+T111/T121</f>
        <v>2.4210044026340326E-2</v>
      </c>
      <c r="AI128" s="327"/>
      <c r="AJ128" s="327"/>
    </row>
    <row r="129" spans="1:38" ht="15.75" customHeight="1">
      <c r="A129" s="276"/>
      <c r="B129" s="305"/>
      <c r="C129" s="277"/>
      <c r="D129" s="277"/>
      <c r="E129" s="277"/>
      <c r="F129" s="277"/>
      <c r="G129" s="277"/>
      <c r="H129" s="277"/>
      <c r="I129" s="277"/>
      <c r="J129" s="277"/>
      <c r="K129" s="277"/>
      <c r="L129" s="277"/>
      <c r="M129" s="277"/>
      <c r="N129" s="277"/>
      <c r="O129" s="277"/>
      <c r="P129" s="277"/>
      <c r="Q129" s="277"/>
      <c r="R129" s="277"/>
      <c r="S129" s="289"/>
      <c r="T129" s="289"/>
      <c r="U129" s="289"/>
      <c r="W129" s="1210">
        <f>+T112/T121</f>
        <v>8.1932704119530242E-2</v>
      </c>
    </row>
    <row r="130" spans="1:38" ht="26.25" customHeight="1">
      <c r="A130" s="276"/>
      <c r="B130" s="1324" t="s">
        <v>377</v>
      </c>
      <c r="C130" s="1324"/>
      <c r="D130" s="1324"/>
      <c r="E130" s="1324"/>
      <c r="F130" s="1324"/>
      <c r="G130" s="1324"/>
      <c r="H130" s="1324"/>
      <c r="I130" s="1324"/>
      <c r="J130" s="1324"/>
      <c r="K130" s="1324"/>
      <c r="L130" s="1324"/>
      <c r="M130" s="1324"/>
      <c r="N130" s="1324"/>
      <c r="O130" s="1324"/>
      <c r="P130" s="1324"/>
      <c r="Q130" s="1324"/>
      <c r="R130" s="1324"/>
      <c r="S130" s="276"/>
      <c r="T130" s="276"/>
      <c r="U130" s="284"/>
      <c r="W130" s="1210">
        <f>+T114/T121</f>
        <v>0.71817795780855376</v>
      </c>
    </row>
    <row r="131" spans="1:38" ht="27" customHeight="1">
      <c r="A131" s="276"/>
      <c r="B131" s="1324" t="s">
        <v>1722</v>
      </c>
      <c r="C131" s="1324"/>
      <c r="D131" s="1324"/>
      <c r="E131" s="1324"/>
      <c r="F131" s="1324"/>
      <c r="G131" s="1324"/>
      <c r="H131" s="1324"/>
      <c r="I131" s="1324"/>
      <c r="J131" s="1324"/>
      <c r="K131" s="1324"/>
      <c r="L131" s="1324"/>
      <c r="M131" s="1324"/>
      <c r="N131" s="1324"/>
      <c r="O131" s="1324"/>
      <c r="P131" s="1324"/>
      <c r="Q131" s="1324"/>
      <c r="R131" s="1324"/>
      <c r="S131" s="276"/>
      <c r="T131" s="276"/>
      <c r="U131" s="284"/>
      <c r="W131" s="1210">
        <f>+T115/T121</f>
        <v>5.3779023843383365E-2</v>
      </c>
    </row>
    <row r="132" spans="1:38" ht="22.5">
      <c r="A132" s="276"/>
      <c r="B132" s="1322">
        <f>+'Sys INPUT'!B1</f>
        <v>45107</v>
      </c>
      <c r="C132" s="1322"/>
      <c r="D132" s="1322"/>
      <c r="E132" s="1322"/>
      <c r="F132" s="1322"/>
      <c r="G132" s="1322"/>
      <c r="H132" s="1322"/>
      <c r="I132" s="1322"/>
      <c r="J132" s="1322"/>
      <c r="K132" s="1322"/>
      <c r="L132" s="1322"/>
      <c r="M132" s="1322"/>
      <c r="N132" s="1322"/>
      <c r="O132" s="1322"/>
      <c r="P132" s="1322"/>
      <c r="Q132" s="1322"/>
      <c r="R132" s="1322"/>
      <c r="S132" s="289"/>
      <c r="T132" s="289"/>
      <c r="U132" s="289"/>
      <c r="W132" s="1210">
        <f>+T116/T121</f>
        <v>0.12190027020219234</v>
      </c>
    </row>
    <row r="133" spans="1:38" ht="22.5">
      <c r="A133" s="276"/>
      <c r="B133" s="1322"/>
      <c r="C133" s="1322"/>
      <c r="D133" s="1322"/>
      <c r="E133" s="1322"/>
      <c r="F133" s="1322"/>
      <c r="G133" s="1322"/>
      <c r="H133" s="1322"/>
      <c r="I133" s="1322"/>
      <c r="J133" s="1322"/>
      <c r="K133" s="1322"/>
      <c r="L133" s="1322"/>
      <c r="M133" s="1322"/>
      <c r="N133" s="1322"/>
      <c r="O133" s="1322"/>
      <c r="P133" s="1322"/>
      <c r="Q133" s="1322"/>
      <c r="R133" s="1322"/>
      <c r="S133" s="289"/>
      <c r="T133" s="289"/>
      <c r="U133" s="289"/>
      <c r="W133" s="389">
        <f>SUM(W128:W132)</f>
        <v>1</v>
      </c>
    </row>
    <row r="134" spans="1:38" ht="23.25">
      <c r="A134" s="276"/>
      <c r="B134" s="1154"/>
      <c r="C134" s="1155"/>
      <c r="D134" s="1155"/>
      <c r="E134" s="1155"/>
      <c r="F134" s="1155"/>
      <c r="G134" s="1155"/>
      <c r="H134" s="1155"/>
      <c r="I134" s="1155"/>
      <c r="J134" s="1155"/>
      <c r="K134" s="1155"/>
      <c r="L134" s="1155"/>
      <c r="M134" s="1155"/>
      <c r="N134" s="1155"/>
      <c r="O134" s="1155"/>
      <c r="P134" s="1155"/>
      <c r="Q134" s="1155"/>
      <c r="R134" s="1155"/>
      <c r="S134" s="289"/>
      <c r="T134" s="289"/>
      <c r="U134" s="289"/>
    </row>
    <row r="135" spans="1:38" ht="23.25">
      <c r="A135" s="276"/>
      <c r="B135" s="1156"/>
      <c r="C135" s="1155"/>
      <c r="D135" s="1155"/>
      <c r="E135" s="1155"/>
      <c r="F135" s="1155"/>
      <c r="G135" s="1155"/>
      <c r="H135" s="1155"/>
      <c r="I135" s="1155"/>
      <c r="J135" s="1155"/>
      <c r="K135" s="1155"/>
      <c r="L135" s="1155"/>
      <c r="M135" s="1155"/>
      <c r="N135" s="1155"/>
      <c r="O135" s="1155"/>
      <c r="P135" s="1155"/>
      <c r="Q135" s="1155"/>
      <c r="R135" s="1155"/>
      <c r="S135" s="289"/>
      <c r="T135" s="289"/>
      <c r="U135" s="289"/>
    </row>
    <row r="136" spans="1:38" ht="23.25">
      <c r="A136" s="276"/>
      <c r="B136" s="1156"/>
      <c r="C136" s="1155"/>
      <c r="D136" s="1155"/>
      <c r="E136" s="1155"/>
      <c r="F136" s="1155"/>
      <c r="G136" s="1155"/>
      <c r="H136" s="1155"/>
      <c r="I136" s="1155"/>
      <c r="J136" s="1155"/>
      <c r="K136" s="1155"/>
      <c r="L136" s="1155"/>
      <c r="M136" s="1155"/>
      <c r="N136" s="1155"/>
      <c r="O136" s="1155"/>
      <c r="P136" s="1155"/>
      <c r="Q136" s="1155"/>
      <c r="R136" s="1155"/>
      <c r="S136" s="289"/>
      <c r="T136" s="289"/>
      <c r="U136" s="289"/>
    </row>
    <row r="137" spans="1:38" ht="23.25">
      <c r="A137" s="276"/>
      <c r="B137" s="1157" t="s">
        <v>3295</v>
      </c>
      <c r="C137" s="1155"/>
      <c r="D137" s="1155"/>
      <c r="E137" s="1155"/>
      <c r="F137" s="1155"/>
      <c r="G137" s="1155"/>
      <c r="H137" s="1155"/>
      <c r="I137" s="1155"/>
      <c r="J137" s="1155"/>
      <c r="K137" s="1155"/>
      <c r="L137" s="1155"/>
      <c r="M137" s="1155"/>
      <c r="N137" s="1155"/>
      <c r="O137" s="1155"/>
      <c r="P137" s="1155"/>
      <c r="Q137" s="1155"/>
      <c r="R137" s="1158">
        <f>+T121</f>
        <v>54690896</v>
      </c>
      <c r="U137" s="322"/>
    </row>
    <row r="138" spans="1:38" ht="23.25">
      <c r="A138" s="276"/>
      <c r="B138" s="1157"/>
      <c r="C138" s="1155"/>
      <c r="D138" s="1155"/>
      <c r="E138" s="1155"/>
      <c r="F138" s="1155"/>
      <c r="G138" s="1155"/>
      <c r="H138" s="1155"/>
      <c r="I138" s="1155"/>
      <c r="J138" s="1155"/>
      <c r="K138" s="1155"/>
      <c r="L138" s="1155"/>
      <c r="M138" s="1155"/>
      <c r="N138" s="1155"/>
      <c r="O138" s="1155"/>
      <c r="P138" s="1155"/>
      <c r="Q138" s="1155"/>
      <c r="R138" s="1155"/>
      <c r="U138" s="289"/>
    </row>
    <row r="139" spans="1:38" ht="23.25">
      <c r="A139" s="276"/>
      <c r="B139" s="1157" t="s">
        <v>1723</v>
      </c>
      <c r="C139" s="1159"/>
      <c r="D139" s="1159"/>
      <c r="E139" s="1159"/>
      <c r="F139" s="1159"/>
      <c r="G139" s="1159"/>
      <c r="H139" s="1159"/>
      <c r="I139" s="1159"/>
      <c r="J139" s="1159"/>
      <c r="K139" s="1159"/>
      <c r="L139" s="1159"/>
      <c r="M139" s="1159"/>
      <c r="N139" s="1159"/>
      <c r="O139" s="1159"/>
      <c r="P139" s="1159"/>
      <c r="Q139" s="1159"/>
      <c r="R139" s="1159"/>
      <c r="U139" s="276"/>
      <c r="AE139" s="288">
        <f>+AA142-12495568</f>
        <v>-5941470</v>
      </c>
    </row>
    <row r="140" spans="1:38" ht="23.25">
      <c r="A140" s="276"/>
      <c r="B140" s="1157"/>
      <c r="C140" s="1157"/>
      <c r="D140" s="1159"/>
      <c r="E140" s="1159"/>
      <c r="F140" s="1159"/>
      <c r="G140" s="1159"/>
      <c r="H140" s="1159"/>
      <c r="I140" s="1159"/>
      <c r="J140" s="1159"/>
      <c r="K140" s="1159"/>
      <c r="L140" s="1159"/>
      <c r="M140" s="1159"/>
      <c r="N140" s="1159"/>
      <c r="O140" s="1159"/>
      <c r="P140" s="1159"/>
      <c r="Q140" s="1159"/>
      <c r="R140" s="1159"/>
      <c r="U140" s="276"/>
      <c r="Y140" s="288" t="s">
        <v>218</v>
      </c>
    </row>
    <row r="141" spans="1:38" ht="23.25">
      <c r="A141" s="276"/>
      <c r="B141" s="1157" t="s">
        <v>978</v>
      </c>
      <c r="C141" s="1159"/>
      <c r="D141" s="1159"/>
      <c r="E141" s="1159"/>
      <c r="F141" s="1157"/>
      <c r="G141" s="1157"/>
      <c r="H141" s="1157"/>
      <c r="I141" s="1159"/>
      <c r="J141" s="1159"/>
      <c r="K141" s="1159"/>
      <c r="L141" s="1159"/>
      <c r="M141" s="1159"/>
      <c r="N141" s="1159"/>
      <c r="O141" s="1159"/>
      <c r="P141" s="1159"/>
      <c r="Q141" s="1159"/>
      <c r="R141" s="1160"/>
      <c r="U141" s="294"/>
      <c r="Y141" s="359" t="s">
        <v>3269</v>
      </c>
      <c r="AA141" s="288" t="s">
        <v>1718</v>
      </c>
    </row>
    <row r="142" spans="1:38" ht="23.25">
      <c r="A142" s="276"/>
      <c r="B142" s="1157" t="s">
        <v>1304</v>
      </c>
      <c r="C142" s="1159"/>
      <c r="D142" s="1159"/>
      <c r="E142" s="1159"/>
      <c r="F142" s="1157"/>
      <c r="G142" s="1157"/>
      <c r="H142" s="1157"/>
      <c r="I142" s="1159"/>
      <c r="J142" s="1159"/>
      <c r="K142" s="1159"/>
      <c r="L142" s="1159"/>
      <c r="M142" s="1159"/>
      <c r="N142" s="1159"/>
      <c r="O142" s="1159"/>
      <c r="P142" s="1159"/>
      <c r="Q142" s="1159"/>
      <c r="R142" s="1160">
        <f>+Y142</f>
        <v>7069182</v>
      </c>
      <c r="U142" s="294"/>
      <c r="Y142" s="677">
        <v>7069182</v>
      </c>
      <c r="Z142" s="383"/>
      <c r="AA142" s="677">
        <v>6554098</v>
      </c>
      <c r="AB142" s="751" t="s">
        <v>3479</v>
      </c>
    </row>
    <row r="143" spans="1:38" ht="23.25">
      <c r="A143" s="276"/>
      <c r="B143" s="1157" t="s">
        <v>2060</v>
      </c>
      <c r="C143" s="1159"/>
      <c r="D143" s="1159"/>
      <c r="E143" s="1159"/>
      <c r="F143" s="1157"/>
      <c r="G143" s="1157"/>
      <c r="H143" s="1157"/>
      <c r="I143" s="1159"/>
      <c r="J143" s="1159"/>
      <c r="K143" s="1159"/>
      <c r="L143" s="1159"/>
      <c r="M143" s="1159"/>
      <c r="N143" s="1159"/>
      <c r="O143" s="1159"/>
      <c r="P143" s="1159"/>
      <c r="Q143" s="1159"/>
      <c r="R143" s="1160">
        <f>+Y143</f>
        <v>28066679</v>
      </c>
      <c r="U143" s="294"/>
      <c r="Y143" s="677">
        <f>83671371-40573766-27176335+12145409</f>
        <v>28066679</v>
      </c>
      <c r="AA143" s="677">
        <v>29651470</v>
      </c>
    </row>
    <row r="144" spans="1:38" ht="23.25">
      <c r="A144" s="276"/>
      <c r="B144" s="1157" t="s">
        <v>1112</v>
      </c>
      <c r="C144" s="1155"/>
      <c r="D144" s="1159"/>
      <c r="E144" s="1159"/>
      <c r="F144" s="1157"/>
      <c r="G144" s="1157"/>
      <c r="H144" s="1157"/>
      <c r="I144" s="1155"/>
      <c r="J144" s="1155"/>
      <c r="K144" s="1155"/>
      <c r="L144" s="1155"/>
      <c r="M144" s="1155"/>
      <c r="N144" s="1155"/>
      <c r="O144" s="1155"/>
      <c r="P144" s="1155"/>
      <c r="Q144" s="1155"/>
      <c r="R144" s="1160">
        <f>+Y144</f>
        <v>15030926</v>
      </c>
      <c r="U144" s="294"/>
      <c r="Y144" s="677">
        <f>27176335-12145409</f>
        <v>15030926</v>
      </c>
      <c r="AA144" s="677">
        <v>14217284</v>
      </c>
      <c r="AJ144" s="351"/>
      <c r="AK144" s="390"/>
      <c r="AL144" s="214"/>
    </row>
    <row r="145" spans="1:38" ht="23.25">
      <c r="A145" s="276"/>
      <c r="B145" s="1157"/>
      <c r="C145" s="1155"/>
      <c r="D145" s="1159"/>
      <c r="E145" s="1159"/>
      <c r="F145" s="1157"/>
      <c r="G145" s="1157"/>
      <c r="H145" s="1157"/>
      <c r="I145" s="1155"/>
      <c r="J145" s="1155"/>
      <c r="K145" s="1155"/>
      <c r="L145" s="1155"/>
      <c r="M145" s="1155"/>
      <c r="N145" s="1155"/>
      <c r="O145" s="1155"/>
      <c r="P145" s="1155"/>
      <c r="Q145" s="1155"/>
      <c r="R145" s="1159"/>
      <c r="U145" s="294"/>
      <c r="X145" s="1141" t="s">
        <v>3270</v>
      </c>
      <c r="Y145" s="677">
        <f>158396-70398+157932-13161+128019-85346+1</f>
        <v>275443</v>
      </c>
      <c r="AA145" s="677">
        <v>321784</v>
      </c>
      <c r="AJ145" s="351"/>
      <c r="AK145" s="390"/>
      <c r="AL145" s="214"/>
    </row>
    <row r="146" spans="1:38" ht="23.25">
      <c r="A146" s="276"/>
      <c r="B146" s="1157"/>
      <c r="C146" s="1155"/>
      <c r="D146" s="1159"/>
      <c r="E146" s="1159"/>
      <c r="F146" s="1157"/>
      <c r="G146" s="1157"/>
      <c r="H146" s="1157"/>
      <c r="I146" s="1155"/>
      <c r="J146" s="1155"/>
      <c r="K146" s="1155"/>
      <c r="L146" s="1155"/>
      <c r="M146" s="1155"/>
      <c r="N146" s="1155"/>
      <c r="O146" s="1155"/>
      <c r="P146" s="1155"/>
      <c r="Q146" s="1155"/>
      <c r="R146" s="1159"/>
      <c r="X146" s="1141" t="s">
        <v>3462</v>
      </c>
      <c r="Y146" s="677">
        <f>123084-60866+92495-30832+61328-49604+186828-62276+78576-26192</f>
        <v>312541</v>
      </c>
      <c r="AJ146" s="214"/>
      <c r="AK146" s="390"/>
      <c r="AL146" s="351"/>
    </row>
    <row r="147" spans="1:38" ht="23.25">
      <c r="A147" s="276"/>
      <c r="B147" s="1157" t="s">
        <v>3463</v>
      </c>
      <c r="C147" s="1155"/>
      <c r="D147" s="1159"/>
      <c r="E147" s="1159"/>
      <c r="F147" s="1157"/>
      <c r="G147" s="1157"/>
      <c r="H147" s="1157"/>
      <c r="I147" s="1155"/>
      <c r="J147" s="1155"/>
      <c r="K147" s="1155"/>
      <c r="L147" s="1155"/>
      <c r="M147" s="1155"/>
      <c r="N147" s="1155"/>
      <c r="O147" s="1155"/>
      <c r="P147" s="1155"/>
      <c r="Q147" s="1155"/>
      <c r="R147" s="1159"/>
      <c r="Y147" s="678">
        <f>SUM(Y142:Y146)</f>
        <v>50754771</v>
      </c>
      <c r="AA147" s="678">
        <f>SUM(AA142:AA146)</f>
        <v>50744636</v>
      </c>
      <c r="AC147" s="391" t="s">
        <v>2341</v>
      </c>
      <c r="AJ147" s="214"/>
      <c r="AK147" s="390"/>
      <c r="AL147" s="351"/>
    </row>
    <row r="148" spans="1:38" ht="23.25">
      <c r="A148" s="276"/>
      <c r="B148" s="1157" t="s">
        <v>3464</v>
      </c>
      <c r="C148" s="1155"/>
      <c r="D148" s="1159"/>
      <c r="E148" s="1159"/>
      <c r="F148" s="1157"/>
      <c r="G148" s="1157"/>
      <c r="H148" s="1157"/>
      <c r="I148" s="1155"/>
      <c r="J148" s="1155"/>
      <c r="K148" s="1155"/>
      <c r="L148" s="1155"/>
      <c r="M148" s="1155"/>
      <c r="N148" s="1155"/>
      <c r="O148" s="1155"/>
      <c r="P148" s="1155"/>
      <c r="Q148" s="1155"/>
      <c r="R148" s="1160">
        <f>+Y145</f>
        <v>275443</v>
      </c>
      <c r="Y148" s="1293">
        <f>+'Govt IS'!AN72</f>
        <v>-256065</v>
      </c>
      <c r="AA148" s="276"/>
      <c r="AC148" s="391"/>
      <c r="AJ148" s="214"/>
      <c r="AK148" s="390"/>
      <c r="AL148" s="351"/>
    </row>
    <row r="149" spans="1:38" ht="23.25">
      <c r="A149" s="276"/>
      <c r="B149" s="1157" t="s">
        <v>3531</v>
      </c>
      <c r="C149" s="1155"/>
      <c r="D149" s="1159"/>
      <c r="E149" s="1159"/>
      <c r="F149" s="1157"/>
      <c r="G149" s="1157"/>
      <c r="H149" s="1157"/>
      <c r="I149" s="1155"/>
      <c r="J149" s="1155"/>
      <c r="K149" s="1155"/>
      <c r="L149" s="1155"/>
      <c r="M149" s="1155"/>
      <c r="N149" s="1155"/>
      <c r="O149" s="1155"/>
      <c r="P149" s="1155"/>
      <c r="Q149" s="1155"/>
      <c r="R149" s="1160">
        <f>+Y146</f>
        <v>312541</v>
      </c>
      <c r="Y149" s="276" t="s">
        <v>3500</v>
      </c>
      <c r="AA149" s="276"/>
      <c r="AC149" s="391"/>
      <c r="AJ149" s="214"/>
      <c r="AK149" s="390"/>
      <c r="AL149" s="351"/>
    </row>
    <row r="150" spans="1:38" ht="23.25">
      <c r="A150" s="276"/>
      <c r="B150" s="1157"/>
      <c r="C150" s="1155"/>
      <c r="D150" s="1159"/>
      <c r="E150" s="1159"/>
      <c r="F150" s="1157"/>
      <c r="G150" s="1157"/>
      <c r="H150" s="1157"/>
      <c r="I150" s="1155"/>
      <c r="J150" s="1155"/>
      <c r="K150" s="1155"/>
      <c r="L150" s="1155"/>
      <c r="M150" s="1155"/>
      <c r="N150" s="1155"/>
      <c r="O150" s="1155"/>
      <c r="P150" s="1155"/>
      <c r="Q150" s="1155"/>
      <c r="R150" s="1159"/>
      <c r="Y150" s="276"/>
      <c r="AA150" s="276"/>
      <c r="AC150" s="391"/>
      <c r="AJ150" s="214"/>
      <c r="AK150" s="390"/>
      <c r="AL150" s="351"/>
    </row>
    <row r="151" spans="1:38" ht="23.25">
      <c r="A151" s="276"/>
      <c r="B151" s="1157" t="s">
        <v>979</v>
      </c>
      <c r="C151" s="1155"/>
      <c r="D151" s="1157"/>
      <c r="E151" s="1159"/>
      <c r="F151" s="1157"/>
      <c r="G151" s="1157"/>
      <c r="H151" s="1157"/>
      <c r="I151" s="1155"/>
      <c r="J151" s="1155"/>
      <c r="K151" s="1155"/>
      <c r="L151" s="1155"/>
      <c r="M151" s="1155"/>
      <c r="N151" s="1155"/>
      <c r="O151" s="1155"/>
      <c r="P151" s="1155"/>
      <c r="Q151" s="1155"/>
      <c r="R151" s="1160">
        <f>-AA93</f>
        <v>1040630</v>
      </c>
      <c r="U151" s="294"/>
      <c r="Y151" s="327">
        <f>+Y147-49369332-321784</f>
        <v>1063655</v>
      </c>
      <c r="AJ151" s="214"/>
      <c r="AK151" s="390"/>
      <c r="AL151" s="214"/>
    </row>
    <row r="152" spans="1:38" ht="23.25">
      <c r="A152" s="276"/>
      <c r="B152" s="1157"/>
      <c r="C152" s="1155"/>
      <c r="D152" s="1159"/>
      <c r="E152" s="1159"/>
      <c r="F152" s="1157"/>
      <c r="G152" s="1157"/>
      <c r="H152" s="1157"/>
      <c r="I152" s="1155"/>
      <c r="J152" s="1155"/>
      <c r="K152" s="1155"/>
      <c r="L152" s="1155"/>
      <c r="M152" s="1155"/>
      <c r="N152" s="1155"/>
      <c r="O152" s="1155"/>
      <c r="P152" s="1155"/>
      <c r="Q152" s="1155"/>
      <c r="R152" s="1159"/>
      <c r="W152" s="351"/>
      <c r="Y152" s="392" t="s">
        <v>3187</v>
      </c>
      <c r="AJ152" s="214"/>
      <c r="AK152" s="390"/>
      <c r="AL152" s="214"/>
    </row>
    <row r="153" spans="1:38" ht="23.25">
      <c r="A153" s="276"/>
      <c r="B153" s="1157" t="s">
        <v>2053</v>
      </c>
      <c r="C153" s="1155"/>
      <c r="D153" s="1159"/>
      <c r="E153" s="1159"/>
      <c r="F153" s="1157"/>
      <c r="G153" s="1157"/>
      <c r="H153" s="1157"/>
      <c r="I153" s="1155"/>
      <c r="J153" s="1155"/>
      <c r="K153" s="1155"/>
      <c r="L153" s="1155"/>
      <c r="M153" s="1155"/>
      <c r="N153" s="1155"/>
      <c r="O153" s="1155"/>
      <c r="P153" s="1155"/>
      <c r="Q153" s="1155"/>
      <c r="R153" s="1160">
        <f>+AC56</f>
        <v>8828164</v>
      </c>
      <c r="U153" s="294"/>
      <c r="W153" s="351"/>
      <c r="Y153" s="677">
        <f>12282724+4684024+1421793-395+2-9885-3039725</f>
        <v>15338538</v>
      </c>
      <c r="AJ153" s="214"/>
      <c r="AK153" s="390"/>
      <c r="AL153" s="214"/>
    </row>
    <row r="154" spans="1:38" ht="23.25">
      <c r="A154" s="276"/>
      <c r="B154" s="1157"/>
      <c r="C154" s="1155"/>
      <c r="D154" s="1159"/>
      <c r="E154" s="1159"/>
      <c r="F154" s="1157"/>
      <c r="G154" s="1157"/>
      <c r="H154" s="1157"/>
      <c r="I154" s="1155"/>
      <c r="J154" s="1155"/>
      <c r="K154" s="1155"/>
      <c r="L154" s="1155"/>
      <c r="M154" s="1155"/>
      <c r="N154" s="1155"/>
      <c r="O154" s="1155"/>
      <c r="P154" s="1155"/>
      <c r="Q154" s="1155"/>
      <c r="R154" s="1160"/>
      <c r="U154" s="294"/>
      <c r="W154" s="351"/>
      <c r="Y154" s="677">
        <f>73190371-26023096-35205854+10449319</f>
        <v>22410740</v>
      </c>
      <c r="AJ154" s="214"/>
      <c r="AK154" s="390"/>
      <c r="AL154" s="214"/>
    </row>
    <row r="155" spans="1:38" ht="23.25">
      <c r="A155" s="276"/>
      <c r="B155" s="1157" t="s">
        <v>2054</v>
      </c>
      <c r="C155" s="1155"/>
      <c r="D155" s="1159"/>
      <c r="E155" s="1159"/>
      <c r="F155" s="1157"/>
      <c r="G155" s="1157"/>
      <c r="H155" s="1157"/>
      <c r="I155" s="1155"/>
      <c r="J155" s="1155"/>
      <c r="K155" s="1155"/>
      <c r="L155" s="1155"/>
      <c r="M155" s="1155"/>
      <c r="N155" s="1155"/>
      <c r="O155" s="1155"/>
      <c r="P155" s="1155"/>
      <c r="Q155" s="1155"/>
      <c r="R155" s="1160">
        <f>-AG108+AG95+W94</f>
        <v>-2922806</v>
      </c>
      <c r="U155" s="294"/>
      <c r="W155" s="351"/>
      <c r="Y155" s="677">
        <f>26023096-10449319</f>
        <v>15573777</v>
      </c>
      <c r="AJ155" s="214"/>
      <c r="AK155" s="390"/>
      <c r="AL155" s="214"/>
    </row>
    <row r="156" spans="1:38" ht="23.25">
      <c r="A156" s="276"/>
      <c r="B156" s="1157"/>
      <c r="C156" s="1155"/>
      <c r="D156" s="1159"/>
      <c r="E156" s="1159"/>
      <c r="F156" s="1157"/>
      <c r="G156" s="1157"/>
      <c r="H156" s="1157"/>
      <c r="I156" s="1155"/>
      <c r="J156" s="1155"/>
      <c r="K156" s="1155"/>
      <c r="L156" s="1155"/>
      <c r="M156" s="1155"/>
      <c r="N156" s="1155"/>
      <c r="O156" s="1155"/>
      <c r="P156" s="1155"/>
      <c r="Q156" s="1155"/>
      <c r="R156" s="1160"/>
      <c r="U156" s="294"/>
      <c r="W156" s="351"/>
      <c r="AJ156" s="214"/>
      <c r="AK156" s="390"/>
      <c r="AL156" s="214"/>
    </row>
    <row r="157" spans="1:38" ht="23.25">
      <c r="A157" s="276"/>
      <c r="B157" s="1157" t="s">
        <v>980</v>
      </c>
      <c r="C157" s="1155"/>
      <c r="D157" s="1159"/>
      <c r="E157" s="1159"/>
      <c r="F157" s="1157"/>
      <c r="G157" s="1157"/>
      <c r="H157" s="1157"/>
      <c r="I157" s="1155"/>
      <c r="J157" s="1155"/>
      <c r="K157" s="1155"/>
      <c r="L157" s="1155"/>
      <c r="M157" s="1155"/>
      <c r="N157" s="1155"/>
      <c r="O157" s="1155"/>
      <c r="P157" s="1155"/>
      <c r="Q157" s="1155"/>
      <c r="R157" s="1160"/>
      <c r="U157" s="294"/>
      <c r="AJ157" s="214"/>
      <c r="AK157" s="390"/>
      <c r="AL157" s="214"/>
    </row>
    <row r="158" spans="1:38" ht="23.25">
      <c r="A158" s="276"/>
      <c r="B158" s="1157" t="s">
        <v>144</v>
      </c>
      <c r="C158" s="1155"/>
      <c r="D158" s="1159"/>
      <c r="E158" s="1159"/>
      <c r="F158" s="1157"/>
      <c r="G158" s="1157"/>
      <c r="H158" s="1157"/>
      <c r="I158" s="1155"/>
      <c r="J158" s="1155"/>
      <c r="K158" s="1155"/>
      <c r="L158" s="1155"/>
      <c r="M158" s="1155"/>
      <c r="N158" s="1155"/>
      <c r="O158" s="1155"/>
      <c r="P158" s="1155"/>
      <c r="Q158" s="1155"/>
      <c r="R158" s="1160"/>
      <c r="U158" s="294"/>
      <c r="AJ158" s="214"/>
      <c r="AK158" s="390"/>
      <c r="AL158" s="214"/>
    </row>
    <row r="159" spans="1:38" ht="23.25">
      <c r="A159" s="276"/>
      <c r="B159" s="1157" t="s">
        <v>878</v>
      </c>
      <c r="C159" s="1155"/>
      <c r="D159" s="1159"/>
      <c r="E159" s="1159"/>
      <c r="F159" s="1157"/>
      <c r="G159" s="1157"/>
      <c r="H159" s="1157"/>
      <c r="I159" s="1155"/>
      <c r="J159" s="1155"/>
      <c r="K159" s="1155"/>
      <c r="L159" s="1155"/>
      <c r="M159" s="1155"/>
      <c r="N159" s="1155"/>
      <c r="O159" s="1155"/>
      <c r="P159" s="1155"/>
      <c r="Q159" s="1155"/>
      <c r="R159" s="1160"/>
      <c r="U159" s="294"/>
      <c r="AJ159" s="214"/>
      <c r="AK159" s="390"/>
      <c r="AL159" s="214"/>
    </row>
    <row r="160" spans="1:38" ht="23.25">
      <c r="A160" s="276"/>
      <c r="B160" s="1157" t="s">
        <v>1008</v>
      </c>
      <c r="C160" s="1155"/>
      <c r="D160" s="1159"/>
      <c r="E160" s="1159"/>
      <c r="F160" s="1157"/>
      <c r="G160" s="1157"/>
      <c r="H160" s="1157"/>
      <c r="I160" s="1155"/>
      <c r="J160" s="1155"/>
      <c r="K160" s="1155"/>
      <c r="L160" s="1155"/>
      <c r="M160" s="1155"/>
      <c r="N160" s="1155"/>
      <c r="O160" s="1155"/>
      <c r="P160" s="1155"/>
      <c r="Q160" s="1155"/>
      <c r="R160" s="1160"/>
      <c r="U160" s="294"/>
      <c r="AJ160" s="214"/>
      <c r="AK160" s="390"/>
      <c r="AL160" s="214"/>
    </row>
    <row r="161" spans="1:38" ht="23.25">
      <c r="A161" s="276"/>
      <c r="B161" s="1157" t="s">
        <v>2342</v>
      </c>
      <c r="C161" s="1155"/>
      <c r="D161" s="1159"/>
      <c r="E161" s="1159"/>
      <c r="F161" s="1157"/>
      <c r="G161" s="1157"/>
      <c r="H161" s="1157"/>
      <c r="I161" s="1155"/>
      <c r="J161" s="1155"/>
      <c r="K161" s="1155"/>
      <c r="L161" s="1155"/>
      <c r="M161" s="1155"/>
      <c r="N161" s="1155"/>
      <c r="O161" s="1155"/>
      <c r="P161" s="1155"/>
      <c r="Q161" s="1155"/>
      <c r="R161" s="1159">
        <f>+W39+W56-W90-W108</f>
        <v>5799860</v>
      </c>
      <c r="U161" s="276"/>
      <c r="AJ161" s="214"/>
      <c r="AK161" s="390"/>
      <c r="AL161" s="214"/>
    </row>
    <row r="162" spans="1:38" ht="23.25">
      <c r="A162" s="276"/>
      <c r="B162" s="1157"/>
      <c r="C162" s="1155"/>
      <c r="D162" s="1159"/>
      <c r="E162" s="1159"/>
      <c r="F162" s="1157"/>
      <c r="G162" s="1157"/>
      <c r="H162" s="1157"/>
      <c r="I162" s="1155"/>
      <c r="J162" s="1155"/>
      <c r="K162" s="1155"/>
      <c r="L162" s="1155"/>
      <c r="M162" s="1155"/>
      <c r="N162" s="1155"/>
      <c r="O162" s="1155"/>
      <c r="P162" s="1155"/>
      <c r="Q162" s="1155"/>
      <c r="R162" s="1159"/>
      <c r="U162" s="276"/>
      <c r="AJ162" s="214"/>
      <c r="AK162" s="390"/>
      <c r="AL162" s="214"/>
    </row>
    <row r="163" spans="1:38" ht="23.25" hidden="1">
      <c r="A163" s="276"/>
      <c r="B163" s="1157"/>
      <c r="C163" s="1155"/>
      <c r="D163" s="1159"/>
      <c r="E163" s="1159"/>
      <c r="F163" s="1157"/>
      <c r="G163" s="1157"/>
      <c r="H163" s="1157"/>
      <c r="I163" s="1155"/>
      <c r="J163" s="1155"/>
      <c r="K163" s="1155"/>
      <c r="L163" s="1155"/>
      <c r="M163" s="1155"/>
      <c r="N163" s="1155"/>
      <c r="O163" s="1155"/>
      <c r="P163" s="1155"/>
      <c r="Q163" s="1155"/>
      <c r="R163" s="1159"/>
      <c r="U163" s="276"/>
      <c r="AJ163" s="214"/>
      <c r="AK163" s="390"/>
      <c r="AL163" s="214"/>
    </row>
    <row r="164" spans="1:38" ht="23.25" hidden="1">
      <c r="A164" s="276"/>
      <c r="B164" s="1157"/>
      <c r="C164" s="1155"/>
      <c r="D164" s="1159"/>
      <c r="E164" s="1159"/>
      <c r="F164" s="1157"/>
      <c r="G164" s="1157"/>
      <c r="H164" s="1157"/>
      <c r="I164" s="1155"/>
      <c r="J164" s="1155"/>
      <c r="K164" s="1155"/>
      <c r="L164" s="1155"/>
      <c r="M164" s="1155"/>
      <c r="N164" s="1155"/>
      <c r="O164" s="1155"/>
      <c r="P164" s="1155"/>
      <c r="Q164" s="1155"/>
      <c r="R164" s="1159"/>
      <c r="AJ164" s="214"/>
      <c r="AK164" s="390"/>
      <c r="AL164" s="214"/>
    </row>
    <row r="165" spans="1:38" ht="23.25">
      <c r="A165" s="276"/>
      <c r="B165" s="1157" t="s">
        <v>370</v>
      </c>
      <c r="C165" s="1155"/>
      <c r="D165" s="1159"/>
      <c r="E165" s="1159"/>
      <c r="F165" s="1157"/>
      <c r="G165" s="1157"/>
      <c r="H165" s="1157"/>
      <c r="I165" s="1155"/>
      <c r="J165" s="1155"/>
      <c r="K165" s="1155"/>
      <c r="L165" s="1155"/>
      <c r="M165" s="1155"/>
      <c r="N165" s="1155"/>
      <c r="O165" s="1155"/>
      <c r="P165" s="1155"/>
      <c r="Q165" s="1155"/>
      <c r="R165" s="1160"/>
      <c r="U165" s="294"/>
      <c r="AJ165" s="214"/>
      <c r="AK165" s="390"/>
      <c r="AL165" s="214"/>
    </row>
    <row r="166" spans="1:38" ht="23.25">
      <c r="A166" s="276"/>
      <c r="B166" s="1157" t="s">
        <v>1308</v>
      </c>
      <c r="C166" s="1155"/>
      <c r="D166" s="1159"/>
      <c r="E166" s="1159"/>
      <c r="F166" s="1157"/>
      <c r="G166" s="1157"/>
      <c r="H166" s="1157"/>
      <c r="I166" s="1155"/>
      <c r="J166" s="1155"/>
      <c r="K166" s="1155"/>
      <c r="L166" s="1155"/>
      <c r="M166" s="1155"/>
      <c r="N166" s="1155"/>
      <c r="O166" s="1155"/>
      <c r="P166" s="1155"/>
      <c r="Q166" s="1155"/>
      <c r="R166" s="1160">
        <f>-Y67-AE67</f>
        <v>-28985</v>
      </c>
      <c r="U166" s="294"/>
      <c r="AJ166" s="214"/>
      <c r="AK166" s="390"/>
      <c r="AL166" s="214"/>
    </row>
    <row r="167" spans="1:38" ht="23.25">
      <c r="A167" s="276"/>
      <c r="B167" s="1159" t="s">
        <v>3533</v>
      </c>
      <c r="C167" s="1155"/>
      <c r="D167" s="1159"/>
      <c r="E167" s="1159"/>
      <c r="F167" s="1157"/>
      <c r="G167" s="1157"/>
      <c r="H167" s="1157"/>
      <c r="I167" s="1155"/>
      <c r="J167" s="1155"/>
      <c r="K167" s="1155"/>
      <c r="L167" s="1155"/>
      <c r="M167" s="1155"/>
      <c r="N167" s="1161">
        <f>-(+Y69+Y78)</f>
        <v>-11037813</v>
      </c>
      <c r="O167" s="1155"/>
      <c r="P167" s="1159"/>
      <c r="Q167" s="1155"/>
      <c r="R167" s="1160"/>
      <c r="U167" s="294"/>
      <c r="AJ167" s="214"/>
      <c r="AK167" s="390"/>
      <c r="AL167" s="214"/>
    </row>
    <row r="168" spans="1:38" ht="23.25">
      <c r="A168" s="276"/>
      <c r="B168" s="1159" t="s">
        <v>2069</v>
      </c>
      <c r="C168" s="1155"/>
      <c r="D168" s="1159"/>
      <c r="E168" s="1159"/>
      <c r="F168" s="1157"/>
      <c r="G168" s="1157"/>
      <c r="H168" s="1157"/>
      <c r="I168" s="1155"/>
      <c r="J168" s="1155"/>
      <c r="K168" s="1155"/>
      <c r="L168" s="1155"/>
      <c r="M168" s="1155"/>
      <c r="N168" s="1160">
        <f>-(+Y71+Y79)</f>
        <v>-364698</v>
      </c>
      <c r="O168" s="1155"/>
      <c r="P168" s="1159"/>
      <c r="Q168" s="1155"/>
      <c r="R168" s="1160"/>
      <c r="U168" s="294"/>
      <c r="AJ168" s="214"/>
      <c r="AK168" s="390"/>
      <c r="AL168" s="214"/>
    </row>
    <row r="169" spans="1:38" ht="23.25">
      <c r="A169" s="276"/>
      <c r="B169" s="1159" t="s">
        <v>1159</v>
      </c>
      <c r="C169" s="1155"/>
      <c r="D169" s="1159"/>
      <c r="E169" s="1159"/>
      <c r="F169" s="1157"/>
      <c r="G169" s="1157"/>
      <c r="H169" s="1157"/>
      <c r="I169" s="1155"/>
      <c r="J169" s="1155"/>
      <c r="K169" s="1155"/>
      <c r="L169" s="1155"/>
      <c r="M169" s="1155"/>
      <c r="N169" s="1160">
        <f>-(+Y63+Y81)</f>
        <v>-843737</v>
      </c>
      <c r="O169" s="1155"/>
      <c r="P169" s="1159"/>
      <c r="Q169" s="1155"/>
      <c r="R169" s="1160"/>
      <c r="U169" s="294"/>
      <c r="AJ169" s="214"/>
      <c r="AK169" s="390"/>
      <c r="AL169" s="214"/>
    </row>
    <row r="170" spans="1:38" ht="23.25" hidden="1">
      <c r="A170" s="276"/>
      <c r="B170" s="1159" t="s">
        <v>1160</v>
      </c>
      <c r="C170" s="1155"/>
      <c r="D170" s="1159"/>
      <c r="E170" s="1159"/>
      <c r="F170" s="1157"/>
      <c r="G170" s="1157"/>
      <c r="H170" s="1157"/>
      <c r="I170" s="1155"/>
      <c r="J170" s="1155"/>
      <c r="K170" s="1155"/>
      <c r="L170" s="1155"/>
      <c r="M170" s="1155"/>
      <c r="N170" s="1160">
        <f>-(+Y87+Y83)</f>
        <v>0</v>
      </c>
      <c r="O170" s="1155"/>
      <c r="P170" s="1159"/>
      <c r="Q170" s="1155"/>
      <c r="R170" s="1160"/>
      <c r="U170" s="294"/>
      <c r="AJ170" s="214"/>
      <c r="AK170" s="390"/>
      <c r="AL170" s="214"/>
    </row>
    <row r="171" spans="1:38" ht="23.25">
      <c r="A171" s="276"/>
      <c r="B171" s="1159" t="s">
        <v>1027</v>
      </c>
      <c r="C171" s="1155"/>
      <c r="D171" s="1159"/>
      <c r="E171" s="1159"/>
      <c r="F171" s="1157"/>
      <c r="G171" s="1157"/>
      <c r="H171" s="1157"/>
      <c r="I171" s="1155"/>
      <c r="J171" s="1155"/>
      <c r="K171" s="1155"/>
      <c r="L171" s="1155"/>
      <c r="M171" s="1155"/>
      <c r="N171" s="1160">
        <f>-(+Y74+Y84)</f>
        <v>-2347144</v>
      </c>
      <c r="O171" s="1155"/>
      <c r="P171" s="1159"/>
      <c r="Q171" s="1155"/>
      <c r="R171" s="1160"/>
      <c r="U171" s="294"/>
      <c r="Y171" s="393"/>
      <c r="AJ171" s="214"/>
      <c r="AK171" s="390"/>
      <c r="AL171" s="214"/>
    </row>
    <row r="172" spans="1:38" ht="23.25">
      <c r="A172" s="276"/>
      <c r="B172" s="1159" t="s">
        <v>2042</v>
      </c>
      <c r="C172" s="1155"/>
      <c r="D172" s="1159"/>
      <c r="E172" s="1159"/>
      <c r="F172" s="1157"/>
      <c r="G172" s="1157"/>
      <c r="H172" s="1157"/>
      <c r="I172" s="1155"/>
      <c r="J172" s="1155"/>
      <c r="K172" s="1155"/>
      <c r="L172" s="1155"/>
      <c r="M172" s="1155"/>
      <c r="N172" s="1160">
        <f>-AC85</f>
        <v>-29286469</v>
      </c>
      <c r="O172" s="1155"/>
      <c r="P172" s="1159"/>
      <c r="Q172" s="1155"/>
      <c r="R172" s="1160"/>
      <c r="U172" s="294"/>
      <c r="AJ172" s="214"/>
      <c r="AK172" s="390"/>
      <c r="AL172" s="214"/>
    </row>
    <row r="173" spans="1:38" ht="23.25">
      <c r="A173" s="276"/>
      <c r="B173" s="1159" t="s">
        <v>566</v>
      </c>
      <c r="C173" s="1155"/>
      <c r="D173" s="1159"/>
      <c r="E173" s="1159"/>
      <c r="F173" s="1157"/>
      <c r="G173" s="1157"/>
      <c r="H173" s="1157"/>
      <c r="I173" s="1155"/>
      <c r="J173" s="1155"/>
      <c r="K173" s="1155"/>
      <c r="L173" s="1155"/>
      <c r="M173" s="1155"/>
      <c r="N173" s="1160">
        <f>-AC86</f>
        <v>-804106</v>
      </c>
      <c r="O173" s="1155"/>
      <c r="P173" s="1159"/>
      <c r="Q173" s="1155"/>
      <c r="R173" s="1160"/>
      <c r="U173" s="294"/>
      <c r="AJ173" s="214"/>
      <c r="AK173" s="390"/>
      <c r="AL173" s="214"/>
    </row>
    <row r="174" spans="1:38" ht="23.25">
      <c r="A174" s="276"/>
      <c r="B174" s="1157" t="s">
        <v>3349</v>
      </c>
      <c r="C174" s="1155"/>
      <c r="D174" s="1159"/>
      <c r="E174" s="1159"/>
      <c r="F174" s="1157"/>
      <c r="G174" s="1157"/>
      <c r="H174" s="1157"/>
      <c r="I174" s="1155"/>
      <c r="J174" s="1155"/>
      <c r="K174" s="1155"/>
      <c r="L174" s="1155"/>
      <c r="M174" s="1155"/>
      <c r="N174" s="1160">
        <f>-140979+52189-157932+27345-85894+42615-2</f>
        <v>-262658</v>
      </c>
      <c r="O174" s="1155"/>
      <c r="P174" s="1159"/>
      <c r="Q174" s="1155"/>
      <c r="R174" s="1160"/>
      <c r="U174" s="294"/>
      <c r="AJ174" s="214"/>
      <c r="AK174" s="390"/>
      <c r="AL174" s="214"/>
    </row>
    <row r="175" spans="1:38" ht="23.25">
      <c r="A175" s="276"/>
      <c r="B175" s="1157" t="s">
        <v>3532</v>
      </c>
      <c r="C175" s="1155"/>
      <c r="D175" s="1159"/>
      <c r="E175" s="1159"/>
      <c r="F175" s="1157"/>
      <c r="G175" s="1157"/>
      <c r="H175" s="1157"/>
      <c r="I175" s="1155"/>
      <c r="J175" s="1155"/>
      <c r="K175" s="1155"/>
      <c r="L175" s="1155"/>
      <c r="M175" s="1155"/>
      <c r="N175" s="1162">
        <f>-123084+58668-92495+46603-61328+30900-186828+63289-78576+26596</f>
        <v>-316255</v>
      </c>
      <c r="O175" s="1155"/>
      <c r="P175" s="1159"/>
      <c r="Q175" s="1155"/>
      <c r="R175" s="1160"/>
      <c r="U175" s="294"/>
      <c r="AJ175" s="214"/>
      <c r="AK175" s="390"/>
      <c r="AL175" s="214"/>
    </row>
    <row r="176" spans="1:38" ht="23.25">
      <c r="A176" s="276"/>
      <c r="B176" s="1159"/>
      <c r="C176" s="1155"/>
      <c r="D176" s="1157"/>
      <c r="E176" s="1159"/>
      <c r="F176" s="1157"/>
      <c r="G176" s="1157"/>
      <c r="H176" s="1157"/>
      <c r="I176" s="1155"/>
      <c r="J176" s="1155"/>
      <c r="K176" s="1155"/>
      <c r="L176" s="1155"/>
      <c r="M176" s="1155"/>
      <c r="N176" s="1155"/>
      <c r="O176" s="1155"/>
      <c r="P176" s="1159"/>
      <c r="Q176" s="1155"/>
      <c r="R176" s="1162">
        <f>SUM(N167:N176)</f>
        <v>-45262880</v>
      </c>
      <c r="U176" s="294"/>
      <c r="W176" s="288">
        <f>SUM(R142:R176)-R161</f>
        <v>12408894</v>
      </c>
      <c r="AJ176" s="214"/>
      <c r="AK176" s="390"/>
      <c r="AL176" s="214"/>
    </row>
    <row r="177" spans="1:38" ht="23.25">
      <c r="A177" s="276"/>
      <c r="B177" s="1159"/>
      <c r="C177" s="1155"/>
      <c r="D177" s="1157"/>
      <c r="E177" s="1159"/>
      <c r="F177" s="1157"/>
      <c r="G177" s="1157"/>
      <c r="H177" s="1157"/>
      <c r="I177" s="1155"/>
      <c r="J177" s="1155"/>
      <c r="K177" s="1155"/>
      <c r="L177" s="1155"/>
      <c r="M177" s="1155"/>
      <c r="N177" s="1155"/>
      <c r="O177" s="1155"/>
      <c r="P177" s="1155"/>
      <c r="Q177" s="1155"/>
      <c r="R177" s="1163"/>
      <c r="U177" s="300"/>
      <c r="AJ177" s="214"/>
      <c r="AK177" s="390"/>
      <c r="AL177" s="214"/>
    </row>
    <row r="178" spans="1:38" ht="24" thickBot="1">
      <c r="A178" s="276"/>
      <c r="B178" s="1157" t="s">
        <v>2344</v>
      </c>
      <c r="C178" s="1155"/>
      <c r="D178" s="1157"/>
      <c r="E178" s="1159"/>
      <c r="F178" s="1159"/>
      <c r="G178" s="1159"/>
      <c r="H178" s="1157"/>
      <c r="I178" s="1155"/>
      <c r="J178" s="1155"/>
      <c r="K178" s="1155"/>
      <c r="L178" s="1155"/>
      <c r="M178" s="1155"/>
      <c r="N178" s="1155"/>
      <c r="O178" s="1155"/>
      <c r="P178" s="1155"/>
      <c r="Q178" s="1163"/>
      <c r="R178" s="1164">
        <f>SUM(R137:R177)</f>
        <v>72899650</v>
      </c>
      <c r="U178" s="385"/>
      <c r="W178" s="288">
        <f>+AG39+AG56-AG90-AG108</f>
        <v>72899650</v>
      </c>
      <c r="AJ178" s="214"/>
      <c r="AK178" s="390"/>
      <c r="AL178" s="214"/>
    </row>
    <row r="179" spans="1:38" ht="24" thickTop="1">
      <c r="A179" s="276"/>
      <c r="B179" s="1165"/>
      <c r="C179" s="1155"/>
      <c r="D179" s="1155"/>
      <c r="E179" s="1155"/>
      <c r="F179" s="1155"/>
      <c r="G179" s="1155"/>
      <c r="H179" s="1155"/>
      <c r="I179" s="1155"/>
      <c r="J179" s="1155"/>
      <c r="K179" s="1155"/>
      <c r="L179" s="1155"/>
      <c r="M179" s="1155"/>
      <c r="N179" s="1155"/>
      <c r="O179" s="1155"/>
      <c r="P179" s="1155"/>
      <c r="Q179" s="1166"/>
      <c r="R179" s="1166"/>
      <c r="U179" s="394"/>
      <c r="W179" s="394">
        <f>+W178-R178</f>
        <v>0</v>
      </c>
      <c r="AJ179" s="214"/>
      <c r="AK179" s="390"/>
      <c r="AL179" s="214"/>
    </row>
    <row r="180" spans="1:38" ht="15.75">
      <c r="A180" s="276"/>
      <c r="B180" s="289"/>
      <c r="C180" s="277"/>
      <c r="D180" s="277"/>
      <c r="E180" s="277"/>
      <c r="F180" s="277"/>
      <c r="G180" s="277"/>
      <c r="H180" s="277"/>
      <c r="I180" s="277"/>
      <c r="J180" s="277"/>
      <c r="K180" s="277"/>
      <c r="L180" s="277"/>
      <c r="M180" s="277"/>
      <c r="N180" s="277"/>
      <c r="O180" s="277"/>
      <c r="P180" s="277"/>
      <c r="Q180" s="394"/>
      <c r="R180" s="394">
        <f>+'CALC NA'!Q44</f>
        <v>72899650</v>
      </c>
      <c r="U180" s="394"/>
      <c r="W180" s="394"/>
      <c r="AC180" s="351"/>
      <c r="AJ180" s="214"/>
      <c r="AK180" s="390"/>
      <c r="AL180" s="214"/>
    </row>
    <row r="181" spans="1:38" ht="15.75">
      <c r="A181" s="276"/>
      <c r="B181" s="276"/>
      <c r="C181" s="277"/>
      <c r="D181" s="277"/>
      <c r="E181" s="277"/>
      <c r="F181" s="277"/>
      <c r="G181" s="277"/>
      <c r="H181" s="277"/>
      <c r="I181" s="277"/>
      <c r="J181" s="277"/>
      <c r="K181" s="277"/>
      <c r="L181" s="277"/>
      <c r="M181" s="277"/>
      <c r="N181" s="277"/>
      <c r="O181" s="277"/>
      <c r="P181" s="277"/>
      <c r="Q181" s="277"/>
      <c r="R181" s="691">
        <f>+R180-R178</f>
        <v>0</v>
      </c>
      <c r="U181" s="277"/>
      <c r="W181" s="277"/>
      <c r="AJ181" s="214"/>
      <c r="AK181" s="390"/>
      <c r="AL181" s="214"/>
    </row>
    <row r="182" spans="1:38" ht="15.75">
      <c r="A182" s="276"/>
      <c r="B182" s="276"/>
      <c r="C182" s="277"/>
      <c r="D182" s="277"/>
      <c r="E182" s="321"/>
      <c r="F182" s="321"/>
      <c r="G182" s="321"/>
      <c r="H182" s="321"/>
      <c r="I182" s="277"/>
      <c r="J182" s="277"/>
      <c r="K182" s="277"/>
      <c r="L182" s="277"/>
      <c r="M182" s="277"/>
      <c r="N182" s="277"/>
      <c r="O182" s="277"/>
      <c r="P182" s="277"/>
      <c r="Q182" s="277"/>
      <c r="R182" s="277"/>
      <c r="U182" s="277"/>
      <c r="W182" s="277"/>
      <c r="AJ182" s="214"/>
      <c r="AK182" s="390"/>
      <c r="AL182" s="214"/>
    </row>
    <row r="183" spans="1:38" ht="15.75">
      <c r="A183" s="276"/>
      <c r="C183" s="277"/>
      <c r="D183" s="288">
        <f>+D123-D39-D56</f>
        <v>0</v>
      </c>
      <c r="F183" s="288">
        <f>+F123-F39-F56</f>
        <v>0</v>
      </c>
      <c r="G183" s="288">
        <f>+G123-G39-G56</f>
        <v>0</v>
      </c>
      <c r="H183" s="288">
        <f>+H123-H39-H56</f>
        <v>0</v>
      </c>
      <c r="J183" s="288">
        <f>+J123-J39-J56</f>
        <v>0</v>
      </c>
      <c r="M183" s="288">
        <f>+M123-M39</f>
        <v>0</v>
      </c>
      <c r="N183" s="288">
        <f>+N123-N39-N56</f>
        <v>0</v>
      </c>
      <c r="O183" s="288">
        <f>+O123-O39</f>
        <v>0</v>
      </c>
      <c r="P183" s="288">
        <f>+P123-P39</f>
        <v>0</v>
      </c>
      <c r="R183" s="288">
        <f>+R123-R39-R56</f>
        <v>0</v>
      </c>
      <c r="T183" s="288">
        <f>+T123-T39-T56</f>
        <v>0</v>
      </c>
      <c r="U183" s="277"/>
      <c r="W183" s="277">
        <f>+W123-W39-W56</f>
        <v>0</v>
      </c>
      <c r="AJ183" s="214"/>
      <c r="AK183" s="390"/>
      <c r="AL183" s="214"/>
    </row>
    <row r="184" spans="1:38" ht="15">
      <c r="D184" s="288">
        <f>+'Govt IS'!D70</f>
        <v>10224732</v>
      </c>
      <c r="F184" s="288">
        <f>+'Govt IS'!F70</f>
        <v>4366091</v>
      </c>
      <c r="G184" s="288">
        <f>+'Govt IS'!G70</f>
        <v>-287714</v>
      </c>
      <c r="H184" s="288">
        <f>+'Govt IS'!H70</f>
        <v>6813379</v>
      </c>
      <c r="I184" s="288">
        <f>+'Govt IS'!I70</f>
        <v>0</v>
      </c>
      <c r="J184" s="288">
        <f>+'Govt IS'!J70</f>
        <v>121101</v>
      </c>
      <c r="M184" s="288">
        <f>+'Govt IS'!M70</f>
        <v>0</v>
      </c>
      <c r="N184" s="288">
        <f>+'Govt IS'!N70</f>
        <v>17906114</v>
      </c>
      <c r="O184" s="288">
        <f>+'Govt IS'!O70</f>
        <v>0</v>
      </c>
      <c r="P184" s="288">
        <f>+'Govt IS'!P70</f>
        <v>0</v>
      </c>
      <c r="R184" s="288">
        <f>+'Govt IS'!R70</f>
        <v>15547193</v>
      </c>
      <c r="W184" s="288">
        <f>+'Govt IS'!X70</f>
        <v>5799860</v>
      </c>
      <c r="AJ184" s="214"/>
      <c r="AK184" s="390"/>
      <c r="AL184" s="214"/>
    </row>
    <row r="185" spans="1:38" ht="15">
      <c r="D185" s="288">
        <f>+D184-SUM(D111:D119)</f>
        <v>0</v>
      </c>
      <c r="F185" s="288">
        <f>+F184-SUM(F111:F119)</f>
        <v>0</v>
      </c>
      <c r="G185" s="288">
        <f>+G184-SUM(G111:G119)</f>
        <v>0</v>
      </c>
      <c r="H185" s="288">
        <f>+H184-SUM(H111:H119)</f>
        <v>0</v>
      </c>
      <c r="I185" s="288">
        <f>+I184-SUM(I111:I119)</f>
        <v>0</v>
      </c>
      <c r="J185" s="288">
        <f>+J184-SUM(J111:J119)</f>
        <v>0</v>
      </c>
      <c r="M185" s="288">
        <f>+M184-SUM(M111:M119)</f>
        <v>0</v>
      </c>
      <c r="N185" s="288">
        <f>+N184-SUM(N111:N119)</f>
        <v>0</v>
      </c>
      <c r="O185" s="288">
        <f>+O184-SUM(O111:O119)</f>
        <v>0</v>
      </c>
      <c r="P185" s="288">
        <f>+P184-SUM(P111:P119)</f>
        <v>0</v>
      </c>
      <c r="R185" s="288">
        <f>+R184-SUM(R111:R119)</f>
        <v>0</v>
      </c>
      <c r="W185" s="288">
        <f>+W184-SUM(W111:W119)</f>
        <v>0</v>
      </c>
      <c r="AJ185" s="214"/>
      <c r="AK185" s="390"/>
      <c r="AL185" s="214"/>
    </row>
    <row r="186" spans="1:38" ht="15">
      <c r="Y186" s="288" t="s">
        <v>2051</v>
      </c>
      <c r="AJ186" s="214"/>
      <c r="AK186" s="390"/>
      <c r="AL186" s="214"/>
    </row>
    <row r="187" spans="1:38" ht="15">
      <c r="AJ187" s="214"/>
      <c r="AK187" s="390"/>
      <c r="AL187" s="214"/>
    </row>
    <row r="188" spans="1:38" ht="15">
      <c r="AJ188" s="214"/>
      <c r="AK188" s="390"/>
      <c r="AL188" s="214"/>
    </row>
    <row r="189" spans="1:38" ht="15">
      <c r="AJ189" s="214"/>
      <c r="AK189" s="390"/>
      <c r="AL189" s="214"/>
    </row>
    <row r="190" spans="1:38" ht="15">
      <c r="AJ190" s="214"/>
      <c r="AK190" s="390"/>
      <c r="AL190" s="214"/>
    </row>
    <row r="191" spans="1:38" ht="15">
      <c r="Y191" s="288" t="s">
        <v>2049</v>
      </c>
      <c r="AJ191" s="214"/>
      <c r="AK191" s="390"/>
      <c r="AL191" s="214"/>
    </row>
    <row r="192" spans="1:38" ht="15">
      <c r="B192" s="288" t="s">
        <v>1665</v>
      </c>
      <c r="Y192" s="288" t="s">
        <v>2052</v>
      </c>
      <c r="AJ192" s="214"/>
      <c r="AK192" s="390"/>
      <c r="AL192" s="214"/>
    </row>
    <row r="193" spans="2:38" ht="15">
      <c r="B193" s="288" t="s">
        <v>1666</v>
      </c>
      <c r="AJ193" s="214"/>
      <c r="AK193" s="390"/>
      <c r="AL193" s="214"/>
    </row>
    <row r="194" spans="2:38" ht="15">
      <c r="AJ194" s="214"/>
      <c r="AK194" s="390"/>
      <c r="AL194" s="214"/>
    </row>
    <row r="195" spans="2:38" ht="15">
      <c r="AJ195" s="214"/>
      <c r="AK195" s="390"/>
      <c r="AL195" s="214"/>
    </row>
    <row r="196" spans="2:38" ht="15">
      <c r="AJ196" s="214"/>
      <c r="AK196" s="390"/>
      <c r="AL196" s="214"/>
    </row>
    <row r="197" spans="2:38" ht="15">
      <c r="AJ197" s="214"/>
      <c r="AK197" s="390"/>
      <c r="AL197" s="214"/>
    </row>
    <row r="198" spans="2:38" ht="15">
      <c r="T198" s="693">
        <f>T111/T121</f>
        <v>2.4210044026340326E-2</v>
      </c>
      <c r="AJ198" s="214"/>
      <c r="AK198" s="390"/>
      <c r="AL198" s="214"/>
    </row>
    <row r="199" spans="2:38" ht="15">
      <c r="T199" s="693">
        <f>T112/T121</f>
        <v>8.1932704119530242E-2</v>
      </c>
      <c r="AJ199" s="214"/>
      <c r="AK199" s="390"/>
      <c r="AL199" s="214"/>
    </row>
    <row r="200" spans="2:38" ht="15">
      <c r="T200" s="693">
        <f>T114/T121</f>
        <v>0.71817795780855376</v>
      </c>
      <c r="AJ200" s="214"/>
      <c r="AK200" s="390"/>
      <c r="AL200" s="214"/>
    </row>
    <row r="201" spans="2:38" ht="15">
      <c r="T201" s="693">
        <f>T115/T121</f>
        <v>5.3779023843383365E-2</v>
      </c>
      <c r="AJ201" s="214"/>
      <c r="AK201" s="390"/>
      <c r="AL201" s="214"/>
    </row>
    <row r="202" spans="2:38" ht="15">
      <c r="T202" s="693">
        <f>T116/T121</f>
        <v>0.12190027020219234</v>
      </c>
      <c r="AJ202" s="214"/>
      <c r="AK202" s="390"/>
      <c r="AL202" s="214"/>
    </row>
    <row r="203" spans="2:38" ht="15">
      <c r="AJ203" s="214"/>
      <c r="AK203" s="390"/>
      <c r="AL203" s="214"/>
    </row>
    <row r="204" spans="2:38" ht="15">
      <c r="Z204" s="272"/>
    </row>
  </sheetData>
  <mergeCells count="12">
    <mergeCell ref="B132:R132"/>
    <mergeCell ref="B133:R133"/>
    <mergeCell ref="B3:J3"/>
    <mergeCell ref="B4:J4"/>
    <mergeCell ref="B5:J5"/>
    <mergeCell ref="B6:J6"/>
    <mergeCell ref="L4:T4"/>
    <mergeCell ref="L5:T5"/>
    <mergeCell ref="L6:T6"/>
    <mergeCell ref="L3:T3"/>
    <mergeCell ref="B130:R130"/>
    <mergeCell ref="B131:R131"/>
  </mergeCells>
  <phoneticPr fontId="0" type="noConversion"/>
  <printOptions horizontalCentered="1"/>
  <pageMargins left="0.25" right="0.25" top="0.5" bottom="0.5" header="0.5" footer="0.25"/>
  <pageSetup scale="24" firstPageNumber="17" orientation="portrait" useFirstPageNumber="1" r:id="rId1"/>
  <headerFooter alignWithMargins="0"/>
  <rowBreaks count="1" manualBreakCount="1">
    <brk id="126" min="1" max="15" man="1"/>
  </rowBreaks>
  <ignoredErrors>
    <ignoredError sqref="S56:T56"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codeName="Sheet15">
    <pageSetUpPr fitToPage="1"/>
  </sheetPr>
  <dimension ref="A3:CJ159"/>
  <sheetViews>
    <sheetView showGridLines="0" topLeftCell="A4" zoomScale="70" zoomScaleNormal="70" workbookViewId="0">
      <selection activeCell="AB10" sqref="AB10"/>
    </sheetView>
  </sheetViews>
  <sheetFormatPr defaultColWidth="9.7109375" defaultRowHeight="12.75"/>
  <cols>
    <col min="1" max="1" width="2.7109375" style="288" customWidth="1"/>
    <col min="2" max="2" width="51.7109375" style="288" customWidth="1"/>
    <col min="3" max="3" width="2.7109375" style="288" customWidth="1"/>
    <col min="4" max="4" width="18.7109375" style="288" customWidth="1"/>
    <col min="5" max="5" width="1.7109375" style="288" customWidth="1"/>
    <col min="6" max="8" width="18.7109375" style="288" customWidth="1"/>
    <col min="9" max="9" width="1.7109375" style="288" customWidth="1"/>
    <col min="10" max="10" width="18.7109375" style="288" customWidth="1"/>
    <col min="11" max="11" width="1.7109375" style="288" customWidth="1"/>
    <col min="12" max="12" width="52.42578125" style="288" customWidth="1"/>
    <col min="13" max="13" width="3.140625" style="288" customWidth="1"/>
    <col min="14" max="14" width="22.7109375" style="288" customWidth="1"/>
    <col min="15" max="15" width="18.7109375" style="288" hidden="1" customWidth="1"/>
    <col min="16" max="16" width="21" style="288" hidden="1" customWidth="1"/>
    <col min="17" max="17" width="1.7109375" style="288" customWidth="1"/>
    <col min="18" max="18" width="20.42578125" style="288" customWidth="1"/>
    <col min="19" max="19" width="1.7109375" style="288" customWidth="1"/>
    <col min="20" max="20" width="21" style="288" bestFit="1" customWidth="1"/>
    <col min="21" max="22" width="2.28515625" style="288" customWidth="1"/>
    <col min="23" max="23" width="3.5703125" style="288" customWidth="1"/>
    <col min="24" max="24" width="18.7109375" style="288" customWidth="1"/>
    <col min="25" max="25" width="3.7109375" style="288" customWidth="1"/>
    <col min="26" max="26" width="16.7109375" style="288" customWidth="1"/>
    <col min="27" max="27" width="5.7109375" style="288" customWidth="1"/>
    <col min="28" max="28" width="17.85546875" style="288" customWidth="1"/>
    <col min="29" max="29" width="8.28515625" style="288" customWidth="1"/>
    <col min="30" max="30" width="16.28515625" style="288" customWidth="1"/>
    <col min="31" max="31" width="7.42578125" style="288" customWidth="1"/>
    <col min="32" max="32" width="17.28515625" style="288" customWidth="1"/>
    <col min="33" max="33" width="7.140625" style="288" customWidth="1"/>
    <col min="34" max="34" width="15" style="288" customWidth="1"/>
    <col min="35" max="35" width="13.5703125" style="288" customWidth="1"/>
    <col min="36" max="36" width="18.7109375" style="288" customWidth="1"/>
    <col min="37" max="37" width="7.5703125" style="288" customWidth="1"/>
    <col min="38" max="40" width="18.7109375" style="288" customWidth="1"/>
    <col min="41" max="41" width="13.28515625" style="288" customWidth="1"/>
    <col min="42" max="42" width="14.28515625" style="288" customWidth="1"/>
    <col min="43" max="43" width="9.7109375" style="288"/>
    <col min="44" max="44" width="18.7109375" style="288" customWidth="1"/>
    <col min="45" max="16384" width="9.7109375" style="288"/>
  </cols>
  <sheetData>
    <row r="3" spans="2:88" ht="15.75">
      <c r="B3" s="1313" t="s">
        <v>1049</v>
      </c>
      <c r="C3" s="1313"/>
      <c r="D3" s="1313"/>
      <c r="E3" s="1313"/>
      <c r="F3" s="1313"/>
      <c r="G3" s="1313"/>
      <c r="H3" s="1313"/>
      <c r="I3" s="1313"/>
      <c r="J3" s="1313"/>
      <c r="K3" s="305"/>
      <c r="L3" s="305"/>
      <c r="M3" s="305"/>
      <c r="N3" s="305"/>
      <c r="O3" s="305"/>
      <c r="P3" s="305"/>
      <c r="Q3" s="305"/>
      <c r="R3" s="305"/>
      <c r="S3" s="305"/>
      <c r="T3" s="305"/>
      <c r="U3" s="305"/>
      <c r="V3" s="305"/>
      <c r="Y3" s="305"/>
      <c r="Z3" s="305"/>
      <c r="AA3" s="305"/>
      <c r="AB3" s="305"/>
      <c r="AC3" s="305"/>
      <c r="AD3" s="305"/>
      <c r="AE3" s="305"/>
      <c r="AF3" s="305"/>
      <c r="AG3" s="305"/>
      <c r="AI3" s="305"/>
      <c r="AJ3" s="305"/>
      <c r="AK3" s="305"/>
      <c r="AL3" s="305"/>
      <c r="AM3" s="305"/>
      <c r="AN3" s="305"/>
    </row>
    <row r="4" spans="2:88" ht="15.75">
      <c r="B4" s="1313" t="s">
        <v>2568</v>
      </c>
      <c r="C4" s="1313"/>
      <c r="D4" s="1313"/>
      <c r="E4" s="1313"/>
      <c r="F4" s="1313"/>
      <c r="G4" s="1313"/>
      <c r="H4" s="1313"/>
      <c r="I4" s="1313"/>
      <c r="J4" s="1313"/>
      <c r="K4" s="305"/>
      <c r="L4" s="1313" t="str">
        <f>+B4</f>
        <v>STATEMENT OF REVENUES, EXPENDITURES, AND CHANGES IN FUND BALANCES</v>
      </c>
      <c r="M4" s="1313"/>
      <c r="N4" s="1313"/>
      <c r="O4" s="1313"/>
      <c r="P4" s="1313"/>
      <c r="Q4" s="1313"/>
      <c r="R4" s="1313"/>
      <c r="S4" s="1313"/>
      <c r="T4" s="1313"/>
      <c r="U4" s="305"/>
      <c r="V4" s="305"/>
      <c r="Y4" s="305"/>
      <c r="Z4" s="305"/>
      <c r="AA4" s="305"/>
      <c r="AB4" s="320" t="s">
        <v>422</v>
      </c>
      <c r="AC4" s="320"/>
      <c r="AD4" s="305"/>
      <c r="AE4" s="305"/>
      <c r="AF4" s="305"/>
      <c r="AG4" s="305"/>
      <c r="AI4" s="305"/>
      <c r="AJ4" s="305"/>
      <c r="AK4" s="305"/>
      <c r="AL4" s="305"/>
      <c r="AM4" s="305"/>
      <c r="AN4" s="305"/>
    </row>
    <row r="5" spans="2:88" ht="15.75">
      <c r="B5" s="1313" t="s">
        <v>335</v>
      </c>
      <c r="C5" s="1313"/>
      <c r="D5" s="1313"/>
      <c r="E5" s="1313"/>
      <c r="F5" s="1313"/>
      <c r="G5" s="1313"/>
      <c r="H5" s="1313"/>
      <c r="I5" s="1313"/>
      <c r="J5" s="1313"/>
      <c r="K5" s="305"/>
      <c r="L5" s="1313" t="str">
        <f>+B5</f>
        <v>GOVERNMENTAL FUNDS</v>
      </c>
      <c r="M5" s="1313"/>
      <c r="N5" s="1313"/>
      <c r="O5" s="1313"/>
      <c r="P5" s="1313"/>
      <c r="Q5" s="1313"/>
      <c r="R5" s="1313"/>
      <c r="S5" s="1313"/>
      <c r="T5" s="1313"/>
      <c r="U5" s="305"/>
      <c r="V5" s="305"/>
      <c r="Y5" s="305"/>
      <c r="Z5" s="305"/>
      <c r="AA5" s="305"/>
      <c r="AB5" s="305"/>
      <c r="AC5" s="305"/>
      <c r="AD5" s="305"/>
      <c r="AE5" s="305"/>
      <c r="AF5" s="305"/>
      <c r="AG5" s="305"/>
      <c r="AH5" s="305"/>
      <c r="AI5" s="305"/>
      <c r="AJ5" s="305"/>
      <c r="AK5" s="305"/>
      <c r="AL5" s="305"/>
      <c r="AM5" s="305"/>
      <c r="AN5" s="305"/>
    </row>
    <row r="6" spans="2:88" ht="15.75">
      <c r="B6" s="1326" t="str">
        <f>+'Sys INPUT'!B2</f>
        <v>For the  Fiscal Year Ended June 30, 2023</v>
      </c>
      <c r="C6" s="1326"/>
      <c r="D6" s="1326"/>
      <c r="E6" s="1326"/>
      <c r="F6" s="1326"/>
      <c r="G6" s="1326"/>
      <c r="H6" s="1326"/>
      <c r="I6" s="1326"/>
      <c r="J6" s="1326"/>
      <c r="K6" s="305"/>
      <c r="L6" s="1326" t="str">
        <f>+'Sys INPUT'!B2</f>
        <v>For the  Fiscal Year Ended June 30, 2023</v>
      </c>
      <c r="M6" s="1326"/>
      <c r="N6" s="1326"/>
      <c r="O6" s="1326"/>
      <c r="P6" s="1326"/>
      <c r="Q6" s="1326"/>
      <c r="R6" s="1326"/>
      <c r="S6" s="1326"/>
      <c r="T6" s="1326"/>
      <c r="U6" s="305"/>
      <c r="V6" s="305"/>
      <c r="Y6" s="305"/>
      <c r="Z6" s="305"/>
      <c r="AA6" s="305"/>
      <c r="AB6" s="305"/>
      <c r="AC6" s="305"/>
      <c r="AD6" s="305"/>
      <c r="AE6" s="305"/>
      <c r="AF6" s="305"/>
      <c r="AG6" s="305"/>
      <c r="AH6" s="305"/>
      <c r="AI6" s="305"/>
      <c r="AJ6" s="305"/>
      <c r="AK6" s="305"/>
      <c r="AL6" s="305"/>
      <c r="AM6" s="305"/>
      <c r="AN6" s="305"/>
    </row>
    <row r="7" spans="2:88" ht="15.75">
      <c r="B7" s="1326" t="s">
        <v>3529</v>
      </c>
      <c r="C7" s="1326"/>
      <c r="D7" s="1326"/>
      <c r="E7" s="1326"/>
      <c r="F7" s="1326"/>
      <c r="G7" s="1326"/>
      <c r="H7" s="1326"/>
      <c r="I7" s="1326"/>
      <c r="J7" s="1326"/>
      <c r="K7" s="305"/>
      <c r="L7" s="1313" t="s">
        <v>3530</v>
      </c>
      <c r="M7" s="1313"/>
      <c r="N7" s="1313"/>
      <c r="O7" s="1313"/>
      <c r="P7" s="1313"/>
      <c r="Q7" s="1313"/>
      <c r="R7" s="1313"/>
      <c r="S7" s="1313"/>
      <c r="T7" s="1313"/>
      <c r="U7" s="305"/>
      <c r="V7" s="305"/>
      <c r="Y7" s="305"/>
      <c r="Z7" s="305"/>
      <c r="AA7" s="305"/>
      <c r="AB7" s="305"/>
      <c r="AC7" s="305"/>
      <c r="AD7" s="305"/>
      <c r="AE7" s="305"/>
      <c r="AF7" s="305"/>
      <c r="AG7" s="305"/>
      <c r="AH7" s="305"/>
      <c r="AI7" s="305"/>
      <c r="AJ7" s="305"/>
      <c r="AK7" s="305"/>
      <c r="AL7" s="305"/>
      <c r="AM7" s="305"/>
      <c r="AN7" s="305"/>
    </row>
    <row r="8" spans="2:88" ht="15.75">
      <c r="C8" s="305"/>
      <c r="D8" s="305"/>
      <c r="E8" s="305"/>
      <c r="F8" s="305"/>
      <c r="G8" s="305"/>
      <c r="H8" s="305"/>
      <c r="I8" s="305"/>
      <c r="J8" s="305"/>
      <c r="K8" s="305"/>
      <c r="L8" s="305"/>
      <c r="M8" s="305"/>
      <c r="N8" s="305"/>
      <c r="O8" s="305"/>
      <c r="P8" s="305"/>
      <c r="Q8" s="305"/>
      <c r="R8" s="305"/>
      <c r="S8" s="305"/>
      <c r="T8" s="305"/>
      <c r="U8" s="305"/>
      <c r="V8" s="305"/>
      <c r="Y8" s="305"/>
      <c r="Z8" s="305"/>
      <c r="AA8" s="305"/>
      <c r="AB8" s="305"/>
      <c r="AC8" s="305"/>
      <c r="AD8" s="305"/>
      <c r="AE8" s="305"/>
      <c r="AF8" s="305"/>
      <c r="AG8" s="305"/>
      <c r="AH8" s="305"/>
      <c r="AI8" s="305"/>
      <c r="AJ8" s="305"/>
      <c r="AK8" s="305"/>
      <c r="AL8" s="305"/>
      <c r="AM8" s="305"/>
      <c r="AN8" s="305"/>
    </row>
    <row r="9" spans="2:88" ht="15.75">
      <c r="B9" s="308"/>
      <c r="C9" s="308"/>
      <c r="D9" s="277"/>
      <c r="E9" s="308"/>
      <c r="F9" s="305" t="s">
        <v>1297</v>
      </c>
      <c r="G9" s="305"/>
      <c r="H9" s="305"/>
      <c r="I9" s="308"/>
      <c r="J9" s="305" t="s">
        <v>65</v>
      </c>
      <c r="K9" s="308"/>
      <c r="L9" s="308"/>
      <c r="M9" s="308"/>
      <c r="N9" s="305" t="s">
        <v>67</v>
      </c>
      <c r="O9" s="305"/>
      <c r="P9" s="305"/>
      <c r="Q9" s="305"/>
      <c r="R9" s="287"/>
      <c r="S9" s="305"/>
      <c r="T9" s="287"/>
      <c r="U9" s="287"/>
      <c r="V9" s="287"/>
      <c r="Y9" s="308"/>
      <c r="Z9" s="308"/>
      <c r="AA9" s="308"/>
      <c r="AB9" s="308"/>
      <c r="AC9" s="308"/>
      <c r="AD9" s="308"/>
      <c r="AE9" s="308"/>
      <c r="AF9" s="308"/>
      <c r="AG9" s="308"/>
      <c r="AH9" s="308"/>
      <c r="AI9" s="308"/>
      <c r="AJ9" s="308"/>
      <c r="AK9" s="308"/>
      <c r="AL9" s="308"/>
      <c r="AM9" s="305"/>
      <c r="AN9" s="305"/>
    </row>
    <row r="10" spans="2:88" ht="15.75">
      <c r="B10" s="287"/>
      <c r="C10" s="287"/>
      <c r="D10" s="277"/>
      <c r="E10" s="308"/>
      <c r="F10" s="357" t="s">
        <v>221</v>
      </c>
      <c r="G10" s="357"/>
      <c r="H10" s="357"/>
      <c r="I10" s="308"/>
      <c r="J10" s="357" t="s">
        <v>223</v>
      </c>
      <c r="K10" s="308"/>
      <c r="L10" s="308"/>
      <c r="M10" s="308"/>
      <c r="N10" s="357" t="s">
        <v>224</v>
      </c>
      <c r="O10" s="357"/>
      <c r="P10" s="357"/>
      <c r="Q10" s="287"/>
      <c r="R10" s="287"/>
      <c r="S10" s="305"/>
      <c r="T10" s="287"/>
      <c r="U10" s="287"/>
      <c r="V10" s="287"/>
      <c r="W10" s="287"/>
      <c r="X10" s="287"/>
      <c r="Y10" s="287"/>
      <c r="Z10" s="287"/>
      <c r="AA10" s="287"/>
      <c r="AB10" s="287"/>
      <c r="AC10" s="287"/>
      <c r="AD10" s="287"/>
      <c r="AE10" s="287"/>
      <c r="AF10" s="287"/>
      <c r="AG10" s="287"/>
      <c r="AH10" s="287"/>
      <c r="AI10" s="287"/>
      <c r="AJ10" s="287"/>
      <c r="AK10" s="287"/>
      <c r="AL10" s="287"/>
      <c r="AM10" s="287"/>
      <c r="AN10" s="287"/>
      <c r="AO10" s="287"/>
      <c r="AP10" s="287"/>
      <c r="AQ10" s="287"/>
      <c r="AR10" s="287"/>
      <c r="AS10" s="287"/>
      <c r="AT10" s="287"/>
      <c r="AU10" s="287"/>
      <c r="AV10" s="287"/>
      <c r="AW10" s="287"/>
      <c r="AX10" s="287"/>
      <c r="AY10" s="287"/>
      <c r="AZ10" s="287"/>
      <c r="BA10" s="287"/>
      <c r="BB10" s="287"/>
      <c r="BC10" s="287"/>
      <c r="BD10" s="287"/>
      <c r="BE10" s="287"/>
      <c r="BF10" s="287"/>
      <c r="BG10" s="287"/>
      <c r="BH10" s="287"/>
      <c r="BI10" s="287"/>
      <c r="BJ10" s="287"/>
      <c r="BK10" s="287"/>
      <c r="BL10" s="287"/>
      <c r="BM10" s="287"/>
      <c r="BN10" s="287"/>
      <c r="BO10" s="287"/>
      <c r="BP10" s="287"/>
      <c r="BQ10" s="287"/>
      <c r="BR10" s="287"/>
      <c r="BS10" s="287"/>
      <c r="BT10" s="287"/>
      <c r="BU10" s="287"/>
      <c r="BV10" s="287"/>
      <c r="BW10" s="287"/>
      <c r="BX10" s="287"/>
      <c r="BY10" s="287"/>
      <c r="BZ10" s="287"/>
      <c r="CA10" s="287"/>
      <c r="CB10" s="287"/>
      <c r="CC10" s="287"/>
      <c r="CD10" s="287"/>
      <c r="CE10" s="287"/>
      <c r="CF10" s="287"/>
      <c r="CG10" s="287"/>
      <c r="CH10" s="287"/>
      <c r="CI10" s="287"/>
      <c r="CJ10" s="287"/>
    </row>
    <row r="11" spans="2:88" ht="15.75">
      <c r="B11" s="287"/>
      <c r="C11" s="287"/>
      <c r="D11" s="287"/>
      <c r="E11" s="287"/>
      <c r="F11" s="287"/>
      <c r="G11" s="287"/>
      <c r="H11" s="287"/>
      <c r="I11" s="287"/>
      <c r="J11" s="287"/>
      <c r="K11" s="287"/>
      <c r="L11" s="287"/>
      <c r="M11" s="287"/>
      <c r="N11" s="287"/>
      <c r="O11" s="287"/>
      <c r="P11" s="287"/>
      <c r="Q11" s="287"/>
      <c r="R11" s="287"/>
      <c r="S11" s="287"/>
      <c r="T11" s="287"/>
      <c r="U11" s="287"/>
      <c r="V11" s="287"/>
      <c r="W11" s="287"/>
      <c r="X11" s="287"/>
      <c r="Y11" s="287"/>
      <c r="Z11" s="287"/>
      <c r="AA11" s="287"/>
      <c r="AB11" s="287"/>
      <c r="AC11" s="287"/>
      <c r="AD11" s="287"/>
      <c r="AE11" s="287"/>
      <c r="AF11" s="287"/>
      <c r="AG11" s="287"/>
      <c r="AH11" s="287"/>
      <c r="AI11" s="287"/>
      <c r="AJ11" s="287"/>
      <c r="AK11" s="287"/>
      <c r="AL11" s="287"/>
      <c r="AM11" s="287"/>
      <c r="AN11" s="287"/>
      <c r="AO11" s="287"/>
      <c r="AP11" s="287"/>
      <c r="AQ11" s="287"/>
      <c r="AR11" s="287"/>
      <c r="AS11" s="287"/>
      <c r="AT11" s="287"/>
      <c r="AU11" s="287"/>
      <c r="AV11" s="287"/>
      <c r="AW11" s="287"/>
      <c r="AX11" s="287"/>
      <c r="AY11" s="287"/>
      <c r="AZ11" s="287"/>
      <c r="BA11" s="287"/>
      <c r="BB11" s="287"/>
      <c r="BC11" s="287"/>
      <c r="BD11" s="287"/>
      <c r="BE11" s="287"/>
      <c r="BF11" s="287"/>
      <c r="BG11" s="287"/>
      <c r="BH11" s="287"/>
      <c r="BI11" s="287"/>
      <c r="BJ11" s="287"/>
      <c r="BK11" s="287"/>
      <c r="BL11" s="287"/>
      <c r="BM11" s="287"/>
      <c r="BN11" s="287"/>
      <c r="BO11" s="287"/>
      <c r="BP11" s="287"/>
      <c r="BQ11" s="287"/>
      <c r="BR11" s="287"/>
      <c r="BS11" s="287"/>
      <c r="BT11" s="287"/>
      <c r="BU11" s="287"/>
      <c r="BV11" s="287"/>
      <c r="BW11" s="287"/>
      <c r="BX11" s="287"/>
      <c r="BY11" s="287"/>
      <c r="BZ11" s="287"/>
      <c r="CA11" s="287"/>
      <c r="CB11" s="287"/>
      <c r="CC11" s="287"/>
      <c r="CD11" s="287"/>
      <c r="CE11" s="287"/>
      <c r="CF11" s="287"/>
      <c r="CG11" s="287"/>
      <c r="CH11" s="287"/>
      <c r="CI11" s="287"/>
      <c r="CJ11" s="287"/>
    </row>
    <row r="12" spans="2:88" ht="15.75">
      <c r="B12" s="287"/>
      <c r="C12" s="287"/>
      <c r="D12" s="287"/>
      <c r="E12" s="287"/>
      <c r="F12" s="308"/>
      <c r="G12" s="287"/>
      <c r="H12" s="287" t="str">
        <f>INPUT!BC5</f>
        <v>SPECIAL</v>
      </c>
      <c r="I12" s="308"/>
      <c r="J12" s="287" t="str">
        <f>INPUT!BN5</f>
        <v>RURAL SPECIAL</v>
      </c>
      <c r="K12" s="308"/>
      <c r="L12" s="308"/>
      <c r="M12" s="308"/>
      <c r="N12" s="287"/>
      <c r="O12" s="287" t="s">
        <v>2595</v>
      </c>
      <c r="P12" s="287" t="str">
        <f>INPUT!BW5</f>
        <v>ROAD/BRIDGE</v>
      </c>
      <c r="Q12" s="308"/>
      <c r="R12" s="287" t="s">
        <v>956</v>
      </c>
      <c r="S12" s="308"/>
      <c r="T12" s="287" t="s">
        <v>315</v>
      </c>
      <c r="U12" s="287"/>
      <c r="V12" s="287"/>
      <c r="W12" s="287"/>
      <c r="X12" s="287" t="s">
        <v>534</v>
      </c>
      <c r="Y12" s="287"/>
      <c r="Z12" s="287"/>
      <c r="AA12" s="287"/>
      <c r="AB12" s="287"/>
      <c r="AC12" s="287"/>
      <c r="AD12" s="287"/>
      <c r="AE12" s="287"/>
      <c r="AF12" s="287"/>
      <c r="AG12" s="287"/>
      <c r="AH12" s="287"/>
      <c r="AI12" s="287"/>
      <c r="AJ12" s="287" t="s">
        <v>2043</v>
      </c>
      <c r="AK12" s="287"/>
      <c r="AL12" s="287" t="s">
        <v>304</v>
      </c>
      <c r="AM12" s="287"/>
      <c r="AN12" s="287"/>
      <c r="AO12" s="287"/>
      <c r="AP12" s="287"/>
      <c r="AQ12" s="287"/>
      <c r="AR12" s="287"/>
      <c r="AS12" s="287"/>
      <c r="AT12" s="287"/>
      <c r="AU12" s="287"/>
      <c r="AV12" s="287"/>
      <c r="AW12" s="287"/>
      <c r="AX12" s="287"/>
      <c r="AY12" s="287"/>
      <c r="AZ12" s="287"/>
      <c r="BA12" s="287"/>
      <c r="BB12" s="287"/>
      <c r="BC12" s="287"/>
      <c r="BD12" s="287"/>
      <c r="BE12" s="287"/>
      <c r="BF12" s="287"/>
      <c r="BG12" s="287"/>
      <c r="BH12" s="287"/>
      <c r="BI12" s="287"/>
      <c r="BJ12" s="287"/>
      <c r="BK12" s="287"/>
      <c r="BL12" s="287"/>
      <c r="BM12" s="287"/>
      <c r="BN12" s="287"/>
      <c r="BO12" s="287"/>
      <c r="BP12" s="287"/>
      <c r="BQ12" s="287"/>
      <c r="BR12" s="287"/>
      <c r="BS12" s="287"/>
      <c r="BT12" s="287"/>
      <c r="BU12" s="287"/>
      <c r="BV12" s="287"/>
      <c r="BW12" s="287"/>
      <c r="BX12" s="287"/>
      <c r="BY12" s="287"/>
      <c r="BZ12" s="287"/>
      <c r="CA12" s="287"/>
      <c r="CB12" s="287"/>
      <c r="CC12" s="287"/>
      <c r="CD12" s="287"/>
      <c r="CE12" s="287"/>
      <c r="CF12" s="287"/>
      <c r="CG12" s="287"/>
      <c r="CH12" s="287"/>
      <c r="CI12" s="287"/>
      <c r="CJ12" s="287"/>
    </row>
    <row r="13" spans="2:88" ht="15.75">
      <c r="B13" s="287"/>
      <c r="C13" s="287"/>
      <c r="D13" s="287"/>
      <c r="E13" s="287"/>
      <c r="F13" s="287" t="s">
        <v>249</v>
      </c>
      <c r="G13" s="287" t="str">
        <f>INPUT!BB6</f>
        <v>OTHER</v>
      </c>
      <c r="H13" s="287" t="str">
        <f>INPUT!BC6</f>
        <v>ASSESSMENT</v>
      </c>
      <c r="I13" s="308"/>
      <c r="J13" s="287" t="str">
        <f>INPUT!BN6</f>
        <v>IMPROVEMENT</v>
      </c>
      <c r="K13" s="287"/>
      <c r="L13" s="287"/>
      <c r="M13" s="287"/>
      <c r="N13" s="287" t="str">
        <f>INPUT!BR6</f>
        <v>CAPITAL</v>
      </c>
      <c r="O13" s="287" t="s">
        <v>577</v>
      </c>
      <c r="P13" s="287" t="str">
        <f>INPUT!BW6</f>
        <v>INFRASTRUCTURE</v>
      </c>
      <c r="Q13" s="308"/>
      <c r="R13" s="287" t="s">
        <v>338</v>
      </c>
      <c r="S13" s="308"/>
      <c r="T13" s="287" t="s">
        <v>338</v>
      </c>
      <c r="U13" s="287"/>
      <c r="V13" s="287"/>
      <c r="W13" s="287"/>
      <c r="X13" s="287" t="s">
        <v>223</v>
      </c>
      <c r="Y13" s="287"/>
      <c r="AJ13" s="290" t="s">
        <v>571</v>
      </c>
      <c r="AK13" s="287"/>
      <c r="AL13" s="287" t="s">
        <v>305</v>
      </c>
      <c r="AM13" s="287"/>
      <c r="AN13" s="287"/>
    </row>
    <row r="14" spans="2:88" ht="15.75">
      <c r="B14" s="287"/>
      <c r="C14" s="287"/>
      <c r="D14" s="290" t="s">
        <v>890</v>
      </c>
      <c r="E14" s="287"/>
      <c r="F14" s="290" t="s">
        <v>250</v>
      </c>
      <c r="G14" s="290" t="str">
        <f>INPUT!BB7</f>
        <v>GRANTS</v>
      </c>
      <c r="H14" s="290" t="str">
        <f>INPUT!BC7</f>
        <v>DISTRICTS</v>
      </c>
      <c r="I14" s="308"/>
      <c r="J14" s="290" t="str">
        <f>INPUT!BN7</f>
        <v>DISTRICTS DEBT</v>
      </c>
      <c r="K14" s="287"/>
      <c r="L14" s="287"/>
      <c r="M14" s="287"/>
      <c r="N14" s="290" t="str">
        <f>INPUT!BR7</f>
        <v>DEVELOPMENT</v>
      </c>
      <c r="O14" s="290" t="s">
        <v>2603</v>
      </c>
      <c r="P14" s="290" t="str">
        <f>INPUT!BW7</f>
        <v>PROJECTS</v>
      </c>
      <c r="Q14" s="308"/>
      <c r="R14" s="290" t="s">
        <v>540</v>
      </c>
      <c r="S14" s="308"/>
      <c r="T14" s="290" t="s">
        <v>540</v>
      </c>
      <c r="U14" s="287"/>
      <c r="V14" s="287"/>
      <c r="W14" s="287"/>
      <c r="X14" s="290" t="s">
        <v>540</v>
      </c>
      <c r="Y14" s="287"/>
      <c r="Z14" s="290" t="s">
        <v>1224</v>
      </c>
      <c r="AA14" s="290"/>
      <c r="AB14" s="290" t="s">
        <v>1225</v>
      </c>
      <c r="AD14" s="290" t="s">
        <v>1243</v>
      </c>
      <c r="AF14" s="290" t="s">
        <v>628</v>
      </c>
      <c r="AH14" s="290" t="s">
        <v>1244</v>
      </c>
      <c r="AJ14" s="290" t="s">
        <v>1245</v>
      </c>
      <c r="AK14" s="287"/>
      <c r="AL14" s="290" t="s">
        <v>154</v>
      </c>
      <c r="AM14" s="287"/>
      <c r="AN14" s="287"/>
    </row>
    <row r="15" spans="2:88" ht="15.75">
      <c r="B15" s="308" t="str">
        <f>INPUT!B9</f>
        <v>REVENUES</v>
      </c>
      <c r="C15" s="308"/>
      <c r="D15" s="308"/>
      <c r="E15" s="308"/>
      <c r="F15" s="308"/>
      <c r="G15" s="308"/>
      <c r="H15" s="308"/>
      <c r="I15" s="308"/>
      <c r="J15" s="276"/>
      <c r="K15" s="308"/>
      <c r="L15" s="308" t="s">
        <v>596</v>
      </c>
      <c r="M15" s="308"/>
      <c r="N15" s="308"/>
      <c r="O15" s="308"/>
      <c r="P15" s="308"/>
      <c r="Q15" s="308"/>
      <c r="R15" s="308"/>
      <c r="S15" s="308"/>
      <c r="T15" s="308"/>
      <c r="U15" s="308"/>
      <c r="V15" s="308"/>
      <c r="W15" s="308"/>
      <c r="X15" s="308"/>
      <c r="Y15" s="308"/>
      <c r="Z15" s="308"/>
      <c r="AA15" s="308"/>
      <c r="AB15" s="308"/>
      <c r="AD15" s="308"/>
      <c r="AF15" s="308"/>
      <c r="AH15" s="308"/>
      <c r="AJ15" s="308"/>
      <c r="AK15" s="287"/>
      <c r="AL15" s="308"/>
      <c r="AM15" s="308"/>
      <c r="AN15" s="308"/>
    </row>
    <row r="16" spans="2:88" ht="15.75">
      <c r="B16" s="276" t="str">
        <f>INPUT!B10</f>
        <v xml:space="preserve">     Taxes/assessments</v>
      </c>
      <c r="C16" s="303"/>
      <c r="D16" s="292">
        <f>+INPUT!D10</f>
        <v>8345677</v>
      </c>
      <c r="E16" s="303"/>
      <c r="F16" s="292">
        <f>+INPUT!X10</f>
        <v>12195590</v>
      </c>
      <c r="G16" s="292">
        <f>+INPUT!BB10</f>
        <v>0</v>
      </c>
      <c r="H16" s="292">
        <f>+INPUT!BC10</f>
        <v>1661921</v>
      </c>
      <c r="I16" s="303"/>
      <c r="J16" s="292">
        <f>+INPUT!BN10</f>
        <v>128782</v>
      </c>
      <c r="K16" s="292"/>
      <c r="L16" s="276" t="s">
        <v>220</v>
      </c>
      <c r="M16" s="292"/>
      <c r="N16" s="292">
        <f>+INPUT!BR10</f>
        <v>0</v>
      </c>
      <c r="Q16" s="303"/>
      <c r="R16" s="292">
        <f>+'SR IS'!EC15+'DS IS'!P15+'CP IS'!N15+'PERM IS'!H17</f>
        <v>17300124</v>
      </c>
      <c r="S16" s="303"/>
      <c r="T16" s="292">
        <f t="shared" ref="T16:T22" si="0">SUM(D16:S16)</f>
        <v>39632094</v>
      </c>
      <c r="U16" s="292"/>
      <c r="V16" s="292"/>
      <c r="W16" s="292"/>
      <c r="X16" s="292">
        <v>0</v>
      </c>
      <c r="Y16" s="292"/>
      <c r="Z16" s="292"/>
      <c r="AA16" s="292"/>
      <c r="AB16" s="292"/>
      <c r="AD16" s="292"/>
      <c r="AF16" s="292"/>
      <c r="AH16" s="558">
        <v>39030</v>
      </c>
      <c r="AI16" s="288" t="s">
        <v>1198</v>
      </c>
      <c r="AJ16" s="292"/>
      <c r="AK16" s="287"/>
      <c r="AL16" s="292">
        <f t="shared" ref="AL16:AL22" si="1">SUM(T16:AK16)</f>
        <v>39671124</v>
      </c>
      <c r="AM16" s="308" t="s">
        <v>479</v>
      </c>
      <c r="AN16" s="292">
        <f>10929806+1196703</f>
        <v>12126509</v>
      </c>
    </row>
    <row r="17" spans="2:41" ht="15.75">
      <c r="B17" s="276" t="str">
        <f>INPUT!B11</f>
        <v xml:space="preserve">     Licenses and permits</v>
      </c>
      <c r="C17" s="276"/>
      <c r="D17" s="294">
        <f>+INPUT!D11</f>
        <v>260735</v>
      </c>
      <c r="E17" s="276"/>
      <c r="F17" s="294">
        <f>+INPUT!X11</f>
        <v>2170</v>
      </c>
      <c r="G17" s="294">
        <f>+INPUT!BB11</f>
        <v>0</v>
      </c>
      <c r="H17" s="294">
        <f>+INPUT!BC11</f>
        <v>0</v>
      </c>
      <c r="I17" s="276"/>
      <c r="J17" s="294">
        <f>+INPUT!BN11</f>
        <v>0</v>
      </c>
      <c r="K17" s="294"/>
      <c r="L17" s="276" t="s">
        <v>468</v>
      </c>
      <c r="M17" s="294"/>
      <c r="N17" s="294">
        <f>+INPUT!BR11</f>
        <v>0</v>
      </c>
      <c r="Q17" s="276"/>
      <c r="R17" s="294">
        <f>+'SR IS'!EC16+'DS IS'!P16+'CP IS'!N16+'PERM IS'!H18</f>
        <v>2400</v>
      </c>
      <c r="S17" s="276"/>
      <c r="T17" s="294">
        <f t="shared" si="0"/>
        <v>265305</v>
      </c>
      <c r="U17" s="294"/>
      <c r="V17" s="294"/>
      <c r="W17" s="294"/>
      <c r="X17" s="294">
        <v>0</v>
      </c>
      <c r="Y17" s="294"/>
      <c r="Z17" s="294"/>
      <c r="AA17" s="294"/>
      <c r="AB17" s="294"/>
      <c r="AD17" s="294"/>
      <c r="AF17" s="294"/>
      <c r="AH17" s="294"/>
      <c r="AI17" s="294"/>
      <c r="AJ17" s="294"/>
      <c r="AK17" s="287"/>
      <c r="AL17" s="294">
        <f t="shared" si="1"/>
        <v>265305</v>
      </c>
      <c r="AM17" s="308" t="s">
        <v>479</v>
      </c>
      <c r="AN17" s="294">
        <f>22952259+1196703</f>
        <v>24148962</v>
      </c>
    </row>
    <row r="18" spans="2:41" ht="15.75">
      <c r="B18" s="276" t="str">
        <f>INPUT!B12</f>
        <v xml:space="preserve">     Intergovernmental</v>
      </c>
      <c r="C18" s="276"/>
      <c r="D18" s="294">
        <f>+INPUT!D12</f>
        <v>4160809</v>
      </c>
      <c r="E18" s="276"/>
      <c r="F18" s="294">
        <f>+INPUT!X12</f>
        <v>1163404</v>
      </c>
      <c r="G18" s="294">
        <f>+INPUT!BB12</f>
        <v>2480548</v>
      </c>
      <c r="H18" s="294">
        <f>+INPUT!BC12</f>
        <v>895</v>
      </c>
      <c r="I18" s="276"/>
      <c r="J18" s="294">
        <f>+INPUT!BN12</f>
        <v>0</v>
      </c>
      <c r="K18" s="294"/>
      <c r="L18" s="276" t="s">
        <v>444</v>
      </c>
      <c r="M18" s="294"/>
      <c r="N18" s="294">
        <f>+INPUT!BR12</f>
        <v>0</v>
      </c>
      <c r="Q18" s="276"/>
      <c r="R18" s="294">
        <f>+'SR IS'!EC17+'DS IS'!P17+'CP IS'!N17+'PERM IS'!H19</f>
        <v>5358181</v>
      </c>
      <c r="S18" s="276"/>
      <c r="T18" s="294">
        <f>SUM(D18:S18)</f>
        <v>13163837</v>
      </c>
      <c r="U18" s="294"/>
      <c r="V18" s="294"/>
      <c r="W18" s="294"/>
      <c r="X18" s="294">
        <f>+'IS IS'!T32</f>
        <v>0</v>
      </c>
      <c r="Y18" s="294"/>
      <c r="Z18" s="294"/>
      <c r="AA18" s="294"/>
      <c r="AB18" s="294"/>
      <c r="AD18" s="294"/>
      <c r="AF18" s="294"/>
      <c r="AG18" s="396" t="s">
        <v>354</v>
      </c>
      <c r="AH18" s="294"/>
      <c r="AI18" s="294"/>
      <c r="AJ18" s="1282">
        <f>+Pension!F9+Pension!O9-Pension!E57</f>
        <v>240538</v>
      </c>
      <c r="AK18" s="393" t="s">
        <v>2041</v>
      </c>
      <c r="AL18" s="294">
        <f t="shared" si="1"/>
        <v>13404375</v>
      </c>
      <c r="AM18" s="308" t="s">
        <v>479</v>
      </c>
      <c r="AN18" s="294">
        <f>2054416+1241193+3510486+19037</f>
        <v>6825132</v>
      </c>
    </row>
    <row r="19" spans="2:41" ht="15.75">
      <c r="B19" s="276" t="str">
        <f>INPUT!B13</f>
        <v xml:space="preserve">     Charges for services</v>
      </c>
      <c r="C19" s="276"/>
      <c r="D19" s="294">
        <f>+INPUT!D13</f>
        <v>1289265</v>
      </c>
      <c r="E19" s="276"/>
      <c r="F19" s="294">
        <f>+INPUT!X13</f>
        <v>712666</v>
      </c>
      <c r="G19" s="294">
        <f>+INPUT!BB13</f>
        <v>0</v>
      </c>
      <c r="H19" s="294">
        <f>+INPUT!BC13</f>
        <v>0</v>
      </c>
      <c r="I19" s="276"/>
      <c r="J19" s="294">
        <f>+INPUT!BN13</f>
        <v>0</v>
      </c>
      <c r="K19" s="294"/>
      <c r="L19" s="276" t="s">
        <v>445</v>
      </c>
      <c r="M19" s="294"/>
      <c r="N19" s="294">
        <f>+INPUT!BR13</f>
        <v>0</v>
      </c>
      <c r="Q19" s="276"/>
      <c r="R19" s="294">
        <f>+'SR IS'!EC18+'DS IS'!P18+'CP IS'!N18+'PERM IS'!H20</f>
        <v>1384729</v>
      </c>
      <c r="S19" s="276"/>
      <c r="T19" s="294">
        <f t="shared" si="0"/>
        <v>3386660</v>
      </c>
      <c r="U19" s="294"/>
      <c r="V19" s="294"/>
      <c r="W19" s="294"/>
      <c r="X19" s="294">
        <v>0</v>
      </c>
      <c r="Y19" s="294"/>
      <c r="Z19" s="294"/>
      <c r="AA19" s="294"/>
      <c r="AB19" s="294"/>
      <c r="AD19" s="294"/>
      <c r="AF19" s="294"/>
      <c r="AH19" s="294"/>
      <c r="AI19" s="294"/>
      <c r="AJ19" s="294"/>
      <c r="AK19" s="319" t="s">
        <v>2758</v>
      </c>
      <c r="AL19" s="294">
        <f t="shared" si="1"/>
        <v>3386660</v>
      </c>
      <c r="AM19" s="308" t="s">
        <v>479</v>
      </c>
      <c r="AN19" s="294">
        <f>+AL17+AL19+AL20</f>
        <v>4113905</v>
      </c>
    </row>
    <row r="20" spans="2:41" ht="15.75">
      <c r="B20" s="276" t="str">
        <f>INPUT!B14</f>
        <v xml:space="preserve">     Fines and forfeitures</v>
      </c>
      <c r="C20" s="276"/>
      <c r="D20" s="294">
        <f>+INPUT!D14</f>
        <v>36199</v>
      </c>
      <c r="E20" s="276"/>
      <c r="F20" s="294">
        <f>+INPUT!X14</f>
        <v>379217</v>
      </c>
      <c r="G20" s="294">
        <f>+INPUT!BB14</f>
        <v>0</v>
      </c>
      <c r="H20" s="294">
        <f>+INPUT!BC14</f>
        <v>0</v>
      </c>
      <c r="I20" s="276"/>
      <c r="J20" s="294">
        <f>+INPUT!BN14</f>
        <v>0</v>
      </c>
      <c r="K20" s="294"/>
      <c r="L20" s="276" t="s">
        <v>446</v>
      </c>
      <c r="M20" s="294"/>
      <c r="N20" s="294">
        <f>+INPUT!BR14</f>
        <v>0</v>
      </c>
      <c r="Q20" s="276"/>
      <c r="R20" s="294">
        <f>+'SR IS'!EC19+'DS IS'!P19+'CP IS'!N19+'PERM IS'!H21</f>
        <v>46524</v>
      </c>
      <c r="S20" s="276"/>
      <c r="T20" s="294">
        <f t="shared" si="0"/>
        <v>461940</v>
      </c>
      <c r="U20" s="294"/>
      <c r="V20" s="294"/>
      <c r="W20" s="294"/>
      <c r="X20" s="294">
        <v>0</v>
      </c>
      <c r="Y20" s="294"/>
      <c r="Z20" s="294"/>
      <c r="AA20" s="294"/>
      <c r="AB20" s="294"/>
      <c r="AD20" s="294"/>
      <c r="AF20" s="294"/>
      <c r="AH20" s="294"/>
      <c r="AI20" s="294"/>
      <c r="AJ20" s="294"/>
      <c r="AK20" s="287"/>
      <c r="AL20" s="294">
        <f t="shared" si="1"/>
        <v>461940</v>
      </c>
      <c r="AM20" s="308" t="s">
        <v>479</v>
      </c>
      <c r="AN20" s="294"/>
    </row>
    <row r="21" spans="2:41" ht="15.75">
      <c r="B21" s="276" t="str">
        <f>INPUT!B15</f>
        <v xml:space="preserve">     Miscellaneous</v>
      </c>
      <c r="C21" s="276"/>
      <c r="D21" s="294">
        <f>+INPUT!D15</f>
        <v>187792</v>
      </c>
      <c r="E21" s="276"/>
      <c r="F21" s="294">
        <f>+INPUT!X15</f>
        <v>192438</v>
      </c>
      <c r="G21" s="294">
        <f>+INPUT!BB15</f>
        <v>0</v>
      </c>
      <c r="H21" s="294">
        <f>+INPUT!BC15</f>
        <v>82156</v>
      </c>
      <c r="I21" s="276"/>
      <c r="J21" s="294">
        <f>+INPUT!BN15</f>
        <v>0</v>
      </c>
      <c r="K21" s="294"/>
      <c r="L21" s="276" t="s">
        <v>974</v>
      </c>
      <c r="M21" s="294"/>
      <c r="N21" s="294">
        <f>+INPUT!BR15</f>
        <v>86339</v>
      </c>
      <c r="Q21" s="276"/>
      <c r="R21" s="294">
        <f>+'SR IS'!EC20+'DS IS'!P20+'CP IS'!N20+'PERM IS'!H22</f>
        <v>604540</v>
      </c>
      <c r="S21" s="276"/>
      <c r="T21" s="294">
        <f t="shared" si="0"/>
        <v>1153265</v>
      </c>
      <c r="U21" s="294"/>
      <c r="V21" s="294"/>
      <c r="W21" s="294"/>
      <c r="X21" s="294">
        <v>0</v>
      </c>
      <c r="Y21" s="294"/>
      <c r="Z21" s="294"/>
      <c r="AA21" s="294"/>
      <c r="AB21" s="294"/>
      <c r="AD21" s="294"/>
      <c r="AF21" s="294">
        <f>-AF51+SUM(AD117:AD119)</f>
        <v>0</v>
      </c>
      <c r="AG21" s="288" t="s">
        <v>780</v>
      </c>
      <c r="AH21" s="558">
        <v>0</v>
      </c>
      <c r="AI21" s="288" t="s">
        <v>1198</v>
      </c>
      <c r="AJ21" s="294"/>
      <c r="AK21" s="287"/>
      <c r="AL21" s="294">
        <f t="shared" si="1"/>
        <v>1153265</v>
      </c>
      <c r="AM21" s="308" t="s">
        <v>479</v>
      </c>
      <c r="AN21" s="294"/>
    </row>
    <row r="22" spans="2:41" ht="15.75">
      <c r="B22" s="276" t="str">
        <f>INPUT!B16</f>
        <v xml:space="preserve">     Interest earnings</v>
      </c>
      <c r="C22" s="276"/>
      <c r="D22" s="294">
        <f>+INPUT!D16</f>
        <v>1252244</v>
      </c>
      <c r="E22" s="276"/>
      <c r="F22" s="294">
        <f>+INPUT!X16</f>
        <v>333</v>
      </c>
      <c r="G22" s="294">
        <f>+INPUT!BB16</f>
        <v>0</v>
      </c>
      <c r="H22" s="294">
        <f>+INPUT!BC16</f>
        <v>214545</v>
      </c>
      <c r="I22" s="276"/>
      <c r="J22" s="294">
        <f>+INPUT!BN16</f>
        <v>2794</v>
      </c>
      <c r="K22" s="294"/>
      <c r="L22" s="276" t="s">
        <v>410</v>
      </c>
      <c r="M22" s="294"/>
      <c r="N22" s="294">
        <f>+INPUT!BR16</f>
        <v>556062</v>
      </c>
      <c r="Q22" s="276"/>
      <c r="R22" s="294">
        <f>+'SR IS'!EC21+'DS IS'!P21+'CP IS'!N21+'PERM IS'!H23</f>
        <v>248463</v>
      </c>
      <c r="S22" s="276"/>
      <c r="T22" s="294">
        <f t="shared" si="0"/>
        <v>2274441</v>
      </c>
      <c r="U22" s="294"/>
      <c r="V22" s="294"/>
      <c r="W22" s="294"/>
      <c r="X22" s="294">
        <f>+PROPREV!N35</f>
        <v>186783</v>
      </c>
      <c r="Y22" s="294"/>
      <c r="Z22" s="294"/>
      <c r="AA22" s="294"/>
      <c r="AB22" s="294"/>
      <c r="AD22" s="294"/>
      <c r="AF22" s="294"/>
      <c r="AG22" s="288" t="s">
        <v>1342</v>
      </c>
      <c r="AH22" s="294"/>
      <c r="AI22" s="294"/>
      <c r="AJ22" s="294"/>
      <c r="AK22" s="287"/>
      <c r="AL22" s="294">
        <f t="shared" si="1"/>
        <v>2461224</v>
      </c>
      <c r="AM22" s="308" t="s">
        <v>479</v>
      </c>
      <c r="AN22" s="294"/>
    </row>
    <row r="23" spans="2:41" ht="15.75">
      <c r="B23" s="276"/>
      <c r="C23" s="276"/>
      <c r="D23" s="337"/>
      <c r="E23" s="276"/>
      <c r="F23" s="337"/>
      <c r="G23" s="337"/>
      <c r="H23" s="337"/>
      <c r="I23" s="276"/>
      <c r="J23" s="337"/>
      <c r="K23" s="294"/>
      <c r="L23" s="276"/>
      <c r="M23" s="294"/>
      <c r="N23" s="337"/>
      <c r="Q23" s="276"/>
      <c r="R23" s="337"/>
      <c r="S23" s="276"/>
      <c r="T23" s="337"/>
      <c r="U23" s="294"/>
      <c r="V23" s="294"/>
      <c r="W23" s="294"/>
      <c r="X23" s="337"/>
      <c r="Y23" s="294"/>
      <c r="Z23" s="337"/>
      <c r="AA23" s="337"/>
      <c r="AB23" s="337"/>
      <c r="AD23" s="337"/>
      <c r="AF23" s="337"/>
      <c r="AH23" s="337"/>
      <c r="AI23" s="294"/>
      <c r="AJ23" s="337"/>
      <c r="AK23" s="287"/>
      <c r="AL23" s="337"/>
      <c r="AM23" s="294"/>
      <c r="AN23" s="294"/>
    </row>
    <row r="24" spans="2:41" ht="15.75">
      <c r="B24" s="308" t="str">
        <f>INPUT!B18</f>
        <v xml:space="preserve">         Total revenues</v>
      </c>
      <c r="C24" s="276"/>
      <c r="D24" s="706">
        <f>SUM(D16:D23)</f>
        <v>15532721</v>
      </c>
      <c r="E24" s="709"/>
      <c r="F24" s="706">
        <f>IF(SUM(F16:F23)&lt;&gt;0,SUM(F16:F23),"-")</f>
        <v>14645818</v>
      </c>
      <c r="G24" s="706">
        <f>IF(SUM(G16:G23)&lt;&gt;0,SUM(G16:G23),"-")</f>
        <v>2480548</v>
      </c>
      <c r="H24" s="706">
        <f>IF(SUM(H16:H23)&lt;&gt;0,SUM(H16:H23),"-")</f>
        <v>1959517</v>
      </c>
      <c r="I24" s="709"/>
      <c r="J24" s="706">
        <f>SUM(J16:J23)</f>
        <v>131576</v>
      </c>
      <c r="K24" s="697"/>
      <c r="L24" s="308" t="s">
        <v>1212</v>
      </c>
      <c r="M24" s="697"/>
      <c r="N24" s="706">
        <f>SUM(N16:N23)</f>
        <v>642401</v>
      </c>
      <c r="Q24" s="709"/>
      <c r="R24" s="706">
        <f>SUM(R16:R23)</f>
        <v>24944961</v>
      </c>
      <c r="S24" s="709"/>
      <c r="T24" s="706">
        <f>SUM(T16:T23)</f>
        <v>60337542</v>
      </c>
      <c r="U24" s="339"/>
      <c r="V24" s="339"/>
      <c r="W24" s="300"/>
      <c r="X24" s="301">
        <f>SUM(X16:X23)</f>
        <v>186783</v>
      </c>
      <c r="Y24" s="294"/>
      <c r="Z24" s="301">
        <f t="shared" ref="Z24:AH24" si="2">SUM(Z16:Z23)</f>
        <v>0</v>
      </c>
      <c r="AA24" s="301"/>
      <c r="AB24" s="301">
        <f t="shared" si="2"/>
        <v>0</v>
      </c>
      <c r="AD24" s="301">
        <f t="shared" si="2"/>
        <v>0</v>
      </c>
      <c r="AF24" s="301">
        <f t="shared" si="2"/>
        <v>0</v>
      </c>
      <c r="AH24" s="301">
        <f t="shared" si="2"/>
        <v>39030</v>
      </c>
      <c r="AI24" s="294"/>
      <c r="AJ24" s="301">
        <f>SUM(AJ16:AJ23)</f>
        <v>240538</v>
      </c>
      <c r="AK24" s="287"/>
      <c r="AL24" s="301">
        <f>SUM(AL16:AL23)</f>
        <v>60803893</v>
      </c>
      <c r="AM24" s="300"/>
      <c r="AN24" s="300"/>
      <c r="AO24" s="288">
        <f>+T24-20568000</f>
        <v>39769542</v>
      </c>
    </row>
    <row r="25" spans="2:41" ht="15.75">
      <c r="B25" s="276"/>
      <c r="C25" s="276"/>
      <c r="D25" s="294"/>
      <c r="E25" s="276"/>
      <c r="F25" s="294"/>
      <c r="G25" s="294"/>
      <c r="H25" s="294"/>
      <c r="I25" s="276"/>
      <c r="J25" s="294"/>
      <c r="K25" s="294"/>
      <c r="L25" s="276"/>
      <c r="M25" s="294"/>
      <c r="N25" s="294"/>
      <c r="Q25" s="276"/>
      <c r="R25" s="294"/>
      <c r="S25" s="276"/>
      <c r="T25" s="294"/>
      <c r="U25" s="294"/>
      <c r="V25" s="294"/>
      <c r="W25" s="294"/>
      <c r="X25" s="294"/>
      <c r="Y25" s="294"/>
      <c r="Z25" s="294"/>
      <c r="AA25" s="294"/>
      <c r="AB25" s="294"/>
      <c r="AD25" s="294"/>
      <c r="AF25" s="294"/>
      <c r="AH25" s="294"/>
      <c r="AI25" s="294"/>
      <c r="AJ25" s="294"/>
      <c r="AK25" s="287"/>
      <c r="AL25" s="294"/>
      <c r="AM25" s="294"/>
      <c r="AN25" s="294"/>
    </row>
    <row r="26" spans="2:41" ht="15.75">
      <c r="B26" s="308" t="str">
        <f>INPUT!B20</f>
        <v>EXPENDITURES</v>
      </c>
      <c r="C26" s="276"/>
      <c r="D26" s="294"/>
      <c r="E26" s="276"/>
      <c r="F26" s="294"/>
      <c r="G26" s="294"/>
      <c r="H26" s="294"/>
      <c r="I26" s="276"/>
      <c r="J26" s="294"/>
      <c r="K26" s="294"/>
      <c r="L26" s="308" t="s">
        <v>202</v>
      </c>
      <c r="M26" s="294"/>
      <c r="N26" s="294"/>
      <c r="Q26" s="276"/>
      <c r="R26" s="294"/>
      <c r="S26" s="276"/>
      <c r="T26" s="294"/>
      <c r="U26" s="294"/>
      <c r="V26" s="294"/>
      <c r="W26" s="294"/>
      <c r="X26" s="294"/>
      <c r="Y26" s="294"/>
      <c r="Z26" s="294"/>
      <c r="AA26" s="294"/>
      <c r="AB26" s="294"/>
      <c r="AD26" s="294"/>
      <c r="AF26" s="294"/>
      <c r="AH26" s="294"/>
      <c r="AI26" s="294"/>
      <c r="AJ26" s="294"/>
      <c r="AK26" s="287"/>
      <c r="AL26" s="294"/>
      <c r="AM26" s="294"/>
      <c r="AN26" s="294"/>
    </row>
    <row r="27" spans="2:41" ht="15.75">
      <c r="B27" s="276" t="str">
        <f>INPUT!B21</f>
        <v xml:space="preserve">     Current:</v>
      </c>
      <c r="C27" s="276"/>
      <c r="D27" s="294"/>
      <c r="E27" s="276"/>
      <c r="F27" s="294"/>
      <c r="G27" s="294"/>
      <c r="H27" s="294"/>
      <c r="I27" s="276"/>
      <c r="J27" s="294"/>
      <c r="K27" s="294"/>
      <c r="L27" s="276" t="s">
        <v>203</v>
      </c>
      <c r="M27" s="294"/>
      <c r="N27" s="294"/>
      <c r="Q27" s="276"/>
      <c r="R27" s="294"/>
      <c r="S27" s="276"/>
      <c r="T27" s="294"/>
      <c r="U27" s="294"/>
      <c r="V27" s="294"/>
      <c r="W27" s="294"/>
      <c r="X27" s="294" t="s">
        <v>1147</v>
      </c>
      <c r="Y27" s="294"/>
      <c r="Z27" s="294"/>
      <c r="AA27" s="294"/>
      <c r="AB27" s="294"/>
      <c r="AD27" s="294"/>
      <c r="AF27" s="294"/>
      <c r="AH27" s="294"/>
      <c r="AI27" s="294"/>
      <c r="AJ27" s="294"/>
      <c r="AK27" s="294"/>
      <c r="AL27" s="294"/>
      <c r="AM27" s="294"/>
      <c r="AN27" s="294"/>
    </row>
    <row r="28" spans="2:41" ht="15.75">
      <c r="B28" s="276" t="str">
        <f>INPUT!B22</f>
        <v xml:space="preserve">          General government</v>
      </c>
      <c r="C28" s="276"/>
      <c r="D28" s="294">
        <f>+INPUT!D22</f>
        <v>9903359</v>
      </c>
      <c r="E28" s="276"/>
      <c r="F28" s="294">
        <f>+INPUT!X22</f>
        <v>0</v>
      </c>
      <c r="G28" s="294">
        <f>+INPUT!BB22</f>
        <v>1306820</v>
      </c>
      <c r="H28" s="294">
        <f>+INPUT!BC22</f>
        <v>0</v>
      </c>
      <c r="I28" s="276"/>
      <c r="J28" s="294">
        <v>0</v>
      </c>
      <c r="K28" s="294"/>
      <c r="L28" s="276" t="s">
        <v>204</v>
      </c>
      <c r="M28" s="294"/>
      <c r="N28" s="294">
        <f>+INPUT!BR22</f>
        <v>328652</v>
      </c>
      <c r="Q28" s="276"/>
      <c r="R28" s="294">
        <f>+'SR IS'!EC27+'DS IS'!P27+'CP IS'!N27+'PERM IS'!H29</f>
        <v>5344822</v>
      </c>
      <c r="S28" s="276"/>
      <c r="T28" s="294">
        <f t="shared" ref="T28:T35" si="3">SUM(D28:S28)</f>
        <v>16883653</v>
      </c>
      <c r="U28" s="294"/>
      <c r="V28" s="294"/>
      <c r="W28" s="294"/>
      <c r="X28" s="294">
        <f>-'IS IS'!J29-'IS IS'!N29-'IS IS'!P29-'IS IS'!R29</f>
        <v>2101975</v>
      </c>
      <c r="Y28" s="294"/>
      <c r="Z28" s="559"/>
      <c r="AA28" s="294"/>
      <c r="AB28" s="300"/>
      <c r="AC28" s="391" t="s">
        <v>726</v>
      </c>
      <c r="AD28" s="294">
        <f>+AD89</f>
        <v>284453</v>
      </c>
      <c r="AE28" s="397" t="s">
        <v>1646</v>
      </c>
      <c r="AF28" s="294">
        <f t="shared" ref="AF28:AF29" si="4">-AF112+0</f>
        <v>2100</v>
      </c>
      <c r="AG28" s="288" t="s">
        <v>37</v>
      </c>
      <c r="AH28" s="1140">
        <f>13161+42673+60866+30832+49604+62276+26192</f>
        <v>285604</v>
      </c>
      <c r="AI28" s="288" t="s">
        <v>3265</v>
      </c>
      <c r="AJ28" s="300">
        <f>+AF127-Pension!E57</f>
        <v>127446</v>
      </c>
      <c r="AL28" s="294">
        <f t="shared" ref="AL28:AL35" si="5">SUM(T28:AK28)</f>
        <v>19685231</v>
      </c>
      <c r="AM28" s="294"/>
      <c r="AN28" s="294"/>
    </row>
    <row r="29" spans="2:41" ht="15.75">
      <c r="B29" s="276" t="str">
        <f>INPUT!B23</f>
        <v xml:space="preserve">          Public safety</v>
      </c>
      <c r="C29" s="276"/>
      <c r="D29" s="294">
        <f>+INPUT!D23</f>
        <v>121957</v>
      </c>
      <c r="E29" s="276"/>
      <c r="F29" s="294">
        <f>+INPUT!X23</f>
        <v>13363543</v>
      </c>
      <c r="G29" s="294">
        <f>+INPUT!BB23</f>
        <v>830620</v>
      </c>
      <c r="H29" s="294">
        <f>+INPUT!BC23</f>
        <v>0</v>
      </c>
      <c r="I29" s="276"/>
      <c r="J29" s="294">
        <v>0</v>
      </c>
      <c r="K29" s="294"/>
      <c r="L29" s="276" t="s">
        <v>205</v>
      </c>
      <c r="M29" s="294"/>
      <c r="N29" s="294">
        <f>+INPUT!BR23</f>
        <v>248609</v>
      </c>
      <c r="Q29" s="276"/>
      <c r="R29" s="294">
        <f>+'SR IS'!EC28+'DS IS'!P28+'CP IS'!N28+'PERM IS'!H30</f>
        <v>6075822</v>
      </c>
      <c r="S29" s="276"/>
      <c r="T29" s="294">
        <f t="shared" si="3"/>
        <v>20640551</v>
      </c>
      <c r="U29" s="294"/>
      <c r="V29" s="294"/>
      <c r="W29" s="294"/>
      <c r="X29" s="294">
        <f>-'IS IS'!L27</f>
        <v>0</v>
      </c>
      <c r="Y29" s="294"/>
      <c r="Z29" s="294"/>
      <c r="AA29" s="294"/>
      <c r="AB29" s="300"/>
      <c r="AC29" s="391" t="s">
        <v>726</v>
      </c>
      <c r="AD29" s="294">
        <f>+AD90</f>
        <v>865333</v>
      </c>
      <c r="AE29" s="397" t="s">
        <v>1646</v>
      </c>
      <c r="AF29" s="294">
        <f t="shared" si="4"/>
        <v>0</v>
      </c>
      <c r="AH29" s="1140"/>
      <c r="AI29" s="288" t="s">
        <v>3265</v>
      </c>
      <c r="AJ29" s="300">
        <f>+AF128</f>
        <v>601021</v>
      </c>
      <c r="AK29" s="393"/>
      <c r="AL29" s="294">
        <f t="shared" si="5"/>
        <v>22106905</v>
      </c>
      <c r="AM29" s="294"/>
      <c r="AN29" s="294"/>
    </row>
    <row r="30" spans="2:41" ht="15.75">
      <c r="B30" s="276" t="str">
        <f>INPUT!B24</f>
        <v xml:space="preserve">          Public works</v>
      </c>
      <c r="C30" s="276"/>
      <c r="D30" s="294">
        <f>+INPUT!D24</f>
        <v>1985424</v>
      </c>
      <c r="E30" s="276"/>
      <c r="F30" s="294">
        <f>+INPUT!X24</f>
        <v>0</v>
      </c>
      <c r="G30" s="294">
        <f>+INPUT!BB24</f>
        <v>1800</v>
      </c>
      <c r="H30" s="294">
        <f>+INPUT!BC24</f>
        <v>923968</v>
      </c>
      <c r="I30" s="276"/>
      <c r="J30" s="294">
        <v>0</v>
      </c>
      <c r="K30" s="294"/>
      <c r="L30" s="276" t="s">
        <v>206</v>
      </c>
      <c r="M30" s="294"/>
      <c r="N30" s="294">
        <f>+INPUT!BR24</f>
        <v>274932</v>
      </c>
      <c r="Q30" s="276"/>
      <c r="R30" s="294">
        <f>+'SR IS'!EC29+'DS IS'!P29+'CP IS'!N29+'PERM IS'!H31</f>
        <v>3875041</v>
      </c>
      <c r="S30" s="276"/>
      <c r="T30" s="294">
        <f t="shared" si="3"/>
        <v>7061165</v>
      </c>
      <c r="U30" s="294"/>
      <c r="V30" s="294"/>
      <c r="W30" s="294"/>
      <c r="X30" s="294">
        <f>-'IS IS'!D29-'IS IS'!H29</f>
        <v>-23581</v>
      </c>
      <c r="Y30" s="294"/>
      <c r="Z30" s="294"/>
      <c r="AA30" s="294"/>
      <c r="AB30" s="300"/>
      <c r="AC30" s="391" t="s">
        <v>726</v>
      </c>
      <c r="AD30" s="294">
        <f>+AD91+AD95</f>
        <v>1706019</v>
      </c>
      <c r="AE30" s="397" t="s">
        <v>1646</v>
      </c>
      <c r="AF30" s="294">
        <f>-AF114+0</f>
        <v>0</v>
      </c>
      <c r="AH30" s="1140">
        <v>52799</v>
      </c>
      <c r="AI30" s="288" t="s">
        <v>3265</v>
      </c>
      <c r="AJ30" s="300">
        <f>+AF129</f>
        <v>216767</v>
      </c>
      <c r="AK30" s="294"/>
      <c r="AL30" s="294">
        <f t="shared" si="5"/>
        <v>9013169</v>
      </c>
      <c r="AM30" s="294"/>
      <c r="AN30" s="294"/>
    </row>
    <row r="31" spans="2:41" ht="15.75">
      <c r="B31" s="276" t="str">
        <f>INPUT!B25</f>
        <v xml:space="preserve">          Public health</v>
      </c>
      <c r="C31" s="276"/>
      <c r="D31" s="294">
        <f>+INPUT!D25</f>
        <v>73516</v>
      </c>
      <c r="E31" s="276"/>
      <c r="F31" s="294">
        <f>+INPUT!X25</f>
        <v>0</v>
      </c>
      <c r="G31" s="294">
        <f>+INPUT!BB25</f>
        <v>0</v>
      </c>
      <c r="H31" s="294">
        <f>+INPUT!BC25</f>
        <v>0</v>
      </c>
      <c r="I31" s="276"/>
      <c r="J31" s="294">
        <v>0</v>
      </c>
      <c r="K31" s="294"/>
      <c r="L31" s="276" t="s">
        <v>207</v>
      </c>
      <c r="M31" s="294"/>
      <c r="N31" s="294">
        <f>+INPUT!BR25</f>
        <v>41899</v>
      </c>
      <c r="Q31" s="276"/>
      <c r="R31" s="294">
        <f>+'SR IS'!EC30+'DS IS'!P30+'CP IS'!N30+'PERM IS'!H32</f>
        <v>6250643</v>
      </c>
      <c r="S31" s="276"/>
      <c r="T31" s="294">
        <f t="shared" si="3"/>
        <v>6366058</v>
      </c>
      <c r="U31" s="294"/>
      <c r="V31" s="294"/>
      <c r="W31" s="294"/>
      <c r="X31" s="294">
        <f>-'IS IS'!F29</f>
        <v>-304301</v>
      </c>
      <c r="Y31" s="294"/>
      <c r="Z31" s="294"/>
      <c r="AA31" s="294"/>
      <c r="AB31" s="300"/>
      <c r="AC31" s="391" t="s">
        <v>726</v>
      </c>
      <c r="AD31" s="294">
        <f>+AD92</f>
        <v>197095</v>
      </c>
      <c r="AE31" s="397" t="s">
        <v>1646</v>
      </c>
      <c r="AF31" s="294">
        <f>-AF116+0</f>
        <v>0</v>
      </c>
      <c r="AH31" s="1140"/>
      <c r="AI31" s="288" t="s">
        <v>3265</v>
      </c>
      <c r="AJ31" s="300">
        <f>+AF130</f>
        <v>188798</v>
      </c>
      <c r="AK31" s="294"/>
      <c r="AL31" s="294">
        <f t="shared" si="5"/>
        <v>6447650</v>
      </c>
      <c r="AM31" s="294"/>
      <c r="AN31" s="294"/>
    </row>
    <row r="32" spans="2:41" ht="15.75">
      <c r="B32" s="276" t="str">
        <f>INPUT!B26</f>
        <v xml:space="preserve">          Social and economic</v>
      </c>
      <c r="C32" s="276"/>
      <c r="D32" s="294">
        <f>+INPUT!D26</f>
        <v>599703</v>
      </c>
      <c r="E32" s="276"/>
      <c r="F32" s="294">
        <f>+INPUT!X26</f>
        <v>0</v>
      </c>
      <c r="G32" s="294">
        <f>+INPUT!BB26</f>
        <v>0</v>
      </c>
      <c r="H32" s="294">
        <f>+INPUT!BC26</f>
        <v>0</v>
      </c>
      <c r="I32" s="276"/>
      <c r="J32" s="294">
        <v>0</v>
      </c>
      <c r="K32" s="294"/>
      <c r="L32" s="276" t="s">
        <v>350</v>
      </c>
      <c r="M32" s="294"/>
      <c r="N32" s="294">
        <f>+INPUT!BR26</f>
        <v>0</v>
      </c>
      <c r="Q32" s="276"/>
      <c r="R32" s="294">
        <f>+'SR IS'!EC31+'DS IS'!P31+'CP IS'!N31+'PERM IS'!H33</f>
        <v>428489</v>
      </c>
      <c r="S32" s="276"/>
      <c r="T32" s="294">
        <f t="shared" si="3"/>
        <v>1028192</v>
      </c>
      <c r="U32" s="294"/>
      <c r="V32" s="294"/>
      <c r="W32" s="294"/>
      <c r="X32" s="294">
        <v>0</v>
      </c>
      <c r="Y32" s="294"/>
      <c r="Z32" s="294"/>
      <c r="AA32" s="294"/>
      <c r="AB32" s="300"/>
      <c r="AC32" s="391" t="s">
        <v>726</v>
      </c>
      <c r="AD32" s="294">
        <f>+AD93</f>
        <v>2117</v>
      </c>
      <c r="AE32" s="397" t="s">
        <v>1646</v>
      </c>
      <c r="AF32" s="294">
        <f>-AF117+0</f>
        <v>0</v>
      </c>
      <c r="AH32" s="1140"/>
      <c r="AI32" s="288" t="s">
        <v>3265</v>
      </c>
      <c r="AJ32" s="300">
        <f>+AF131</f>
        <v>2727</v>
      </c>
      <c r="AK32" s="294"/>
      <c r="AL32" s="294">
        <f t="shared" si="5"/>
        <v>1033036</v>
      </c>
      <c r="AM32" s="294"/>
      <c r="AN32" s="294"/>
    </row>
    <row r="33" spans="1:42" ht="15.75">
      <c r="B33" s="276" t="str">
        <f>INPUT!B27</f>
        <v xml:space="preserve">          Culture and recreation</v>
      </c>
      <c r="C33" s="276"/>
      <c r="D33" s="294">
        <f>+INPUT!D27</f>
        <v>0</v>
      </c>
      <c r="E33" s="276"/>
      <c r="F33" s="294">
        <f>+INPUT!X27</f>
        <v>0</v>
      </c>
      <c r="G33" s="294">
        <f>+INPUT!BB27</f>
        <v>0</v>
      </c>
      <c r="H33" s="294">
        <f>+INPUT!BC27</f>
        <v>0</v>
      </c>
      <c r="I33" s="276"/>
      <c r="J33" s="294">
        <v>0</v>
      </c>
      <c r="K33" s="294"/>
      <c r="L33" s="276" t="s">
        <v>351</v>
      </c>
      <c r="M33" s="294"/>
      <c r="N33" s="294">
        <f>+INPUT!BR27</f>
        <v>0</v>
      </c>
      <c r="Q33" s="276"/>
      <c r="R33" s="294">
        <f>+'SR IS'!EC32+'DS IS'!P32+'CP IS'!N32+'PERM IS'!H34</f>
        <v>69502</v>
      </c>
      <c r="S33" s="276"/>
      <c r="T33" s="294">
        <f t="shared" si="3"/>
        <v>69502</v>
      </c>
      <c r="U33" s="294"/>
      <c r="V33" s="294"/>
      <c r="W33" s="294"/>
      <c r="X33" s="294">
        <v>0</v>
      </c>
      <c r="Y33" s="294"/>
      <c r="Z33" s="294"/>
      <c r="AA33" s="294"/>
      <c r="AB33" s="300"/>
      <c r="AC33" s="391" t="s">
        <v>726</v>
      </c>
      <c r="AD33" s="294">
        <f>+AD94</f>
        <v>53093</v>
      </c>
      <c r="AE33" s="397" t="s">
        <v>1646</v>
      </c>
      <c r="AF33" s="294">
        <f>-AF118+0</f>
        <v>0</v>
      </c>
      <c r="AH33" s="1140"/>
      <c r="AI33" s="288" t="s">
        <v>3265</v>
      </c>
      <c r="AJ33" s="300">
        <f>+AF132</f>
        <v>21174</v>
      </c>
      <c r="AK33" s="294"/>
      <c r="AL33" s="294">
        <f t="shared" si="5"/>
        <v>143769</v>
      </c>
      <c r="AM33" s="294"/>
      <c r="AN33" s="294"/>
      <c r="AP33" s="288">
        <f>SUM(T28:T33)</f>
        <v>52049121</v>
      </c>
    </row>
    <row r="34" spans="1:42" ht="15.75">
      <c r="B34" s="276" t="str">
        <f>INPUT!B28</f>
        <v xml:space="preserve">     Debt service</v>
      </c>
      <c r="C34" s="276"/>
      <c r="D34" s="294">
        <f>+INPUT!D28</f>
        <v>227388</v>
      </c>
      <c r="E34" s="276"/>
      <c r="F34" s="294">
        <f>+INPUT!X28</f>
        <v>0</v>
      </c>
      <c r="G34" s="294">
        <f>+INPUT!BB28</f>
        <v>0</v>
      </c>
      <c r="H34" s="294">
        <f>+INPUT!BC28</f>
        <v>34</v>
      </c>
      <c r="I34" s="276"/>
      <c r="J34" s="294">
        <f>+INPUT!BN41</f>
        <v>97148</v>
      </c>
      <c r="K34" s="294"/>
      <c r="L34" s="276" t="s">
        <v>352</v>
      </c>
      <c r="M34" s="294"/>
      <c r="N34" s="294">
        <f>+INPUT!BR28</f>
        <v>0</v>
      </c>
      <c r="Q34" s="276"/>
      <c r="R34" s="294">
        <f>+'SR IS'!EC33+'DS IS'!P33+'CP IS'!N33+'PERM IS'!H35</f>
        <v>1893407</v>
      </c>
      <c r="S34" s="276"/>
      <c r="T34" s="294">
        <f t="shared" si="3"/>
        <v>2217977</v>
      </c>
      <c r="U34" s="294"/>
      <c r="V34" s="294"/>
      <c r="W34" s="294"/>
      <c r="X34" s="294">
        <f>-PROPREV!N36</f>
        <v>4540</v>
      </c>
      <c r="Y34" s="294"/>
      <c r="Z34" s="1112">
        <f>-SUM(X121:X122)</f>
        <v>-1424720</v>
      </c>
      <c r="AA34" s="288" t="s">
        <v>1162</v>
      </c>
      <c r="AB34" s="294"/>
      <c r="AD34" s="294"/>
      <c r="AE34" s="294"/>
      <c r="AF34" s="559">
        <f>+Z131-0</f>
        <v>21592</v>
      </c>
      <c r="AG34" s="288" t="s">
        <v>758</v>
      </c>
      <c r="AH34" s="1139">
        <f>-X119-X120</f>
        <v>-348179</v>
      </c>
      <c r="AI34" s="288" t="s">
        <v>3264</v>
      </c>
      <c r="AJ34" s="294"/>
      <c r="AK34" s="294"/>
      <c r="AL34" s="294">
        <f t="shared" si="5"/>
        <v>471210</v>
      </c>
      <c r="AM34" s="294"/>
      <c r="AN34" s="294"/>
    </row>
    <row r="35" spans="1:42" ht="15.75">
      <c r="B35" s="276" t="str">
        <f>INPUT!B29</f>
        <v xml:space="preserve">     Capital outlay</v>
      </c>
      <c r="C35" s="276"/>
      <c r="D35" s="294">
        <f>+INPUT!D29</f>
        <v>574981</v>
      </c>
      <c r="E35" s="276"/>
      <c r="F35" s="294">
        <f>+INPUT!X29</f>
        <v>98168</v>
      </c>
      <c r="G35" s="294">
        <f>+INPUT!BB29</f>
        <v>222390</v>
      </c>
      <c r="H35" s="294">
        <f>+INPUT!BC29</f>
        <v>0</v>
      </c>
      <c r="I35" s="276"/>
      <c r="J35" s="294">
        <v>0</v>
      </c>
      <c r="K35" s="294"/>
      <c r="L35" s="276" t="s">
        <v>462</v>
      </c>
      <c r="M35" s="294"/>
      <c r="N35" s="294">
        <f>+INPUT!BR29</f>
        <v>1103593</v>
      </c>
      <c r="Q35" s="276"/>
      <c r="R35" s="294">
        <f>+'SR IS'!EC34+'DS IS'!P34+'CP IS'!N34+'PERM IS'!H36</f>
        <v>1555256</v>
      </c>
      <c r="S35" s="276"/>
      <c r="T35" s="294">
        <f t="shared" si="3"/>
        <v>3554388</v>
      </c>
      <c r="U35" s="294"/>
      <c r="V35" s="294"/>
      <c r="W35" s="294"/>
      <c r="X35" s="294">
        <v>0</v>
      </c>
      <c r="Y35" s="294"/>
      <c r="Z35" s="294"/>
      <c r="AA35" s="294"/>
      <c r="AB35" s="710">
        <f>-T35</f>
        <v>-3554388</v>
      </c>
      <c r="AC35" s="713" t="s">
        <v>3263</v>
      </c>
      <c r="AD35" s="294"/>
      <c r="AE35" s="294"/>
      <c r="AF35" s="559"/>
      <c r="AH35" s="294"/>
      <c r="AI35" s="294"/>
      <c r="AJ35" s="294"/>
      <c r="AK35" s="294"/>
      <c r="AL35" s="294">
        <f t="shared" si="5"/>
        <v>0</v>
      </c>
      <c r="AM35" s="294"/>
      <c r="AN35" s="294"/>
    </row>
    <row r="36" spans="1:42" ht="15.75">
      <c r="B36" s="276"/>
      <c r="C36" s="276"/>
      <c r="D36" s="337"/>
      <c r="E36" s="276"/>
      <c r="F36" s="337"/>
      <c r="G36" s="337"/>
      <c r="H36" s="337"/>
      <c r="I36" s="276"/>
      <c r="J36" s="337"/>
      <c r="K36" s="294"/>
      <c r="L36" s="276"/>
      <c r="M36" s="294"/>
      <c r="N36" s="337"/>
      <c r="Q36" s="276"/>
      <c r="R36" s="337"/>
      <c r="S36" s="276"/>
      <c r="T36" s="337"/>
      <c r="U36" s="294"/>
      <c r="V36" s="294"/>
      <c r="W36" s="294"/>
      <c r="X36" s="337"/>
      <c r="Y36" s="294"/>
      <c r="Z36" s="337"/>
      <c r="AA36" s="337"/>
      <c r="AB36" s="337"/>
      <c r="AD36" s="337"/>
      <c r="AE36" s="294"/>
      <c r="AF36" s="337"/>
      <c r="AG36" s="294"/>
      <c r="AH36" s="337"/>
      <c r="AI36" s="294"/>
      <c r="AJ36" s="337"/>
      <c r="AK36" s="294"/>
      <c r="AL36" s="337"/>
      <c r="AM36" s="294"/>
      <c r="AN36" s="294"/>
    </row>
    <row r="37" spans="1:42" ht="15.75">
      <c r="B37" s="308" t="str">
        <f>INPUT!B41</f>
        <v xml:space="preserve">         Total expenditures</v>
      </c>
      <c r="C37" s="308"/>
      <c r="D37" s="706">
        <f>SUM(D28:D36)</f>
        <v>13486328</v>
      </c>
      <c r="E37" s="707"/>
      <c r="F37" s="706">
        <f>IF(SUM(F28:F36)&lt;&gt;0,SUM(F28:F36),"-")</f>
        <v>13461711</v>
      </c>
      <c r="G37" s="706">
        <f>IF(SUM(G28:G36)&lt;&gt;0,SUM(G28:G36),"-")</f>
        <v>2361630</v>
      </c>
      <c r="H37" s="706">
        <f>IF(SUM(H28:H36)&lt;&gt;0,SUM(H28:H36),"-")</f>
        <v>924002</v>
      </c>
      <c r="I37" s="707"/>
      <c r="J37" s="706">
        <f>SUM(J34:J36)</f>
        <v>97148</v>
      </c>
      <c r="K37" s="697"/>
      <c r="L37" s="308" t="s">
        <v>1211</v>
      </c>
      <c r="M37" s="697"/>
      <c r="N37" s="706">
        <f>SUM(N28:N36)</f>
        <v>1997685</v>
      </c>
      <c r="Q37" s="707"/>
      <c r="R37" s="706">
        <f>SUM(R28:R36)</f>
        <v>25492982</v>
      </c>
      <c r="S37" s="707"/>
      <c r="T37" s="706">
        <f>SUM(T28:T36)</f>
        <v>57821486</v>
      </c>
      <c r="U37" s="339"/>
      <c r="V37" s="339"/>
      <c r="W37" s="300"/>
      <c r="X37" s="301">
        <f>SUM(X28:X36)</f>
        <v>1778633</v>
      </c>
      <c r="Y37" s="294"/>
      <c r="Z37" s="301">
        <f>SUM(Z28:Z36)</f>
        <v>-1424720</v>
      </c>
      <c r="AA37" s="301"/>
      <c r="AB37" s="301">
        <f>SUM(AB28:AB36)</f>
        <v>-3554388</v>
      </c>
      <c r="AD37" s="301">
        <f>SUM(AD28:AD36)</f>
        <v>3108110</v>
      </c>
      <c r="AE37" s="294"/>
      <c r="AF37" s="301">
        <f>SUM(AF28:AF36)</f>
        <v>23692</v>
      </c>
      <c r="AG37" s="294"/>
      <c r="AH37" s="301">
        <f>SUM(AH28:AH36)</f>
        <v>-9776</v>
      </c>
      <c r="AI37" s="294"/>
      <c r="AJ37" s="301">
        <f>SUM(AJ28:AJ36)</f>
        <v>1157933</v>
      </c>
      <c r="AK37" s="294"/>
      <c r="AL37" s="301">
        <f>SUM(AL28:AL36)</f>
        <v>58900970</v>
      </c>
      <c r="AM37" s="300" t="s">
        <v>479</v>
      </c>
      <c r="AN37" s="300"/>
      <c r="AO37" s="288">
        <f>+T37-18218160</f>
        <v>39603326</v>
      </c>
    </row>
    <row r="38" spans="1:42" ht="15.75">
      <c r="B38" s="308" t="str">
        <f>INPUT!B42</f>
        <v xml:space="preserve">             Excess (deficiency) of revenue</v>
      </c>
      <c r="C38" s="276"/>
      <c r="D38" s="294"/>
      <c r="E38" s="276"/>
      <c r="F38" s="294"/>
      <c r="G38" s="294"/>
      <c r="H38" s="294"/>
      <c r="I38" s="276"/>
      <c r="J38" s="294"/>
      <c r="K38" s="294"/>
      <c r="L38" s="308" t="s">
        <v>677</v>
      </c>
      <c r="M38" s="294"/>
      <c r="N38" s="294"/>
      <c r="Q38" s="276"/>
      <c r="R38" s="294"/>
      <c r="S38" s="276"/>
      <c r="T38" s="294"/>
      <c r="U38" s="294"/>
      <c r="V38" s="294"/>
      <c r="W38" s="294"/>
      <c r="X38" s="294"/>
      <c r="Y38" s="294"/>
      <c r="Z38" s="294"/>
      <c r="AA38" s="294"/>
      <c r="AB38" s="294"/>
      <c r="AD38" s="294"/>
      <c r="AE38" s="294"/>
      <c r="AF38" s="294"/>
      <c r="AG38" s="294"/>
      <c r="AH38" s="294"/>
      <c r="AI38" s="294"/>
      <c r="AJ38" s="294"/>
      <c r="AK38" s="294"/>
      <c r="AL38" s="294"/>
      <c r="AM38" s="294"/>
      <c r="AN38" s="294"/>
    </row>
    <row r="39" spans="1:42" ht="15.75">
      <c r="B39" s="308" t="str">
        <f>INPUT!B43</f>
        <v xml:space="preserve">                 over (under) expenditures</v>
      </c>
      <c r="C39" s="276"/>
      <c r="D39" s="697">
        <f>+D24-D37</f>
        <v>2046393</v>
      </c>
      <c r="E39" s="709"/>
      <c r="F39" s="697">
        <f>IF(SUM(F24-F37)&lt;&gt;0,SUM(F24-F37),"-")</f>
        <v>1184107</v>
      </c>
      <c r="G39" s="697">
        <f>IF(SUM(G24-G37)&lt;&gt;0,SUM(G24-G37),"-")</f>
        <v>118918</v>
      </c>
      <c r="H39" s="697">
        <f>IF(SUM(H24-H37)&lt;&gt;0,SUM(H24-H37),"-")</f>
        <v>1035515</v>
      </c>
      <c r="I39" s="709"/>
      <c r="J39" s="697">
        <f>SUM(J24-J37)</f>
        <v>34428</v>
      </c>
      <c r="K39" s="697"/>
      <c r="L39" s="308" t="s">
        <v>598</v>
      </c>
      <c r="M39" s="697"/>
      <c r="N39" s="697">
        <f>SUM(N24-N37)</f>
        <v>-1355284</v>
      </c>
      <c r="Q39" s="709"/>
      <c r="R39" s="697">
        <f>+R24-R37</f>
        <v>-548021</v>
      </c>
      <c r="S39" s="709"/>
      <c r="T39" s="697">
        <f>+T24-T37</f>
        <v>2516056</v>
      </c>
      <c r="U39" s="339"/>
      <c r="V39" s="339"/>
      <c r="W39" s="300"/>
      <c r="X39" s="300">
        <f>+X24-X37</f>
        <v>-1591850</v>
      </c>
      <c r="Y39" s="294"/>
      <c r="Z39" s="300">
        <f>+Z24-Z37</f>
        <v>1424720</v>
      </c>
      <c r="AA39" s="300"/>
      <c r="AB39" s="300">
        <f>+AB24-AB37</f>
        <v>3554388</v>
      </c>
      <c r="AD39" s="300">
        <f>+AD24-AD37</f>
        <v>-3108110</v>
      </c>
      <c r="AE39" s="294"/>
      <c r="AF39" s="300">
        <f>+AF24-AF37</f>
        <v>-23692</v>
      </c>
      <c r="AG39" s="294"/>
      <c r="AH39" s="300">
        <f>+AH24-AH37</f>
        <v>48806</v>
      </c>
      <c r="AI39" s="294"/>
      <c r="AJ39" s="300">
        <f>+AJ24-AJ37</f>
        <v>-917395</v>
      </c>
      <c r="AK39" s="294"/>
      <c r="AL39" s="300">
        <f>+AL24-AL37</f>
        <v>1902923</v>
      </c>
      <c r="AM39" s="300"/>
      <c r="AN39" s="300"/>
    </row>
    <row r="40" spans="1:42" ht="15.75">
      <c r="B40" s="276"/>
      <c r="C40" s="276"/>
      <c r="D40" s="294"/>
      <c r="E40" s="276"/>
      <c r="F40" s="294"/>
      <c r="G40" s="294"/>
      <c r="H40" s="294"/>
      <c r="I40" s="276"/>
      <c r="J40" s="294"/>
      <c r="K40" s="294"/>
      <c r="L40" s="276"/>
      <c r="M40" s="294"/>
      <c r="N40" s="294"/>
      <c r="Q40" s="276"/>
      <c r="R40" s="294"/>
      <c r="S40" s="276"/>
      <c r="T40" s="294"/>
      <c r="U40" s="294"/>
      <c r="V40" s="294"/>
      <c r="W40" s="294"/>
      <c r="X40" s="294"/>
      <c r="Y40" s="294"/>
      <c r="Z40" s="294"/>
      <c r="AA40" s="294"/>
      <c r="AB40" s="294"/>
      <c r="AD40" s="294"/>
      <c r="AE40" s="294"/>
      <c r="AF40" s="294"/>
      <c r="AG40" s="294"/>
      <c r="AH40" s="294"/>
      <c r="AI40" s="294"/>
      <c r="AJ40" s="294"/>
      <c r="AK40" s="294"/>
      <c r="AL40" s="294"/>
      <c r="AM40" s="294"/>
      <c r="AN40" s="294"/>
    </row>
    <row r="41" spans="1:42" ht="15.75">
      <c r="B41" s="308" t="str">
        <f>INPUT!B45</f>
        <v>OTHER FINANCING SOURCES (USES)</v>
      </c>
      <c r="C41" s="276"/>
      <c r="D41" s="294"/>
      <c r="E41" s="276"/>
      <c r="F41" s="294"/>
      <c r="G41" s="294"/>
      <c r="H41" s="294"/>
      <c r="I41" s="276"/>
      <c r="J41" s="294"/>
      <c r="K41" s="294"/>
      <c r="L41" s="308" t="s">
        <v>833</v>
      </c>
      <c r="M41" s="294"/>
      <c r="N41" s="294"/>
      <c r="Q41" s="276"/>
      <c r="R41" s="294"/>
      <c r="S41" s="276"/>
      <c r="T41" s="294"/>
      <c r="U41" s="294"/>
      <c r="V41" s="294"/>
      <c r="W41" s="294"/>
      <c r="X41" s="294"/>
      <c r="Y41" s="294"/>
      <c r="Z41" s="294"/>
      <c r="AA41" s="294"/>
      <c r="AB41" s="294"/>
      <c r="AD41" s="294"/>
      <c r="AE41" s="294"/>
      <c r="AF41" s="294"/>
      <c r="AG41" s="294"/>
      <c r="AH41" s="294"/>
      <c r="AI41" s="294"/>
      <c r="AJ41" s="294"/>
      <c r="AK41" s="294"/>
      <c r="AL41" s="294"/>
      <c r="AM41" s="294"/>
      <c r="AN41" s="294"/>
    </row>
    <row r="42" spans="1:42" ht="15.75">
      <c r="B42" s="276" t="str">
        <f>INPUT!B46</f>
        <v xml:space="preserve">     Transfers in</v>
      </c>
      <c r="C42" s="276"/>
      <c r="D42" s="294">
        <f>+INPUT!D46</f>
        <v>2070536</v>
      </c>
      <c r="E42" s="276"/>
      <c r="F42" s="294">
        <f>+INPUT!X46</f>
        <v>599925</v>
      </c>
      <c r="G42" s="294">
        <f>+INPUT!BB46</f>
        <v>0</v>
      </c>
      <c r="H42" s="294">
        <f>+INPUT!BC46</f>
        <v>11447</v>
      </c>
      <c r="I42" s="276"/>
      <c r="J42" s="294">
        <f>+INPUT!BN46</f>
        <v>0</v>
      </c>
      <c r="K42" s="294"/>
      <c r="L42" s="276" t="str">
        <f>+B42</f>
        <v xml:space="preserve">     Transfers in</v>
      </c>
      <c r="M42" s="294"/>
      <c r="N42" s="294">
        <f>+INPUT!BR46</f>
        <v>4055811</v>
      </c>
      <c r="Q42" s="276"/>
      <c r="R42" s="294">
        <f>+'SR IS'!EC41+'DS IS'!P41+'CP IS'!N41+'PERM IS'!H43</f>
        <v>3791993</v>
      </c>
      <c r="S42" s="276"/>
      <c r="T42" s="294">
        <f t="shared" ref="T42:T49" si="6">SUM(D42:S42)</f>
        <v>10529712</v>
      </c>
      <c r="U42" s="294"/>
      <c r="V42" s="294"/>
      <c r="W42" s="294"/>
      <c r="X42" s="294">
        <f>+PROPREV!N50</f>
        <v>2156877</v>
      </c>
      <c r="Y42" s="294"/>
      <c r="Z42" s="294"/>
      <c r="AA42" s="294"/>
      <c r="AB42" s="294"/>
      <c r="AD42" s="294"/>
      <c r="AE42" s="294"/>
      <c r="AF42" s="294"/>
      <c r="AG42" s="294"/>
      <c r="AH42" s="294"/>
      <c r="AI42" s="294"/>
      <c r="AJ42" s="294"/>
      <c r="AK42" s="294"/>
      <c r="AL42" s="294">
        <f t="shared" ref="AL42:AL49" si="7">SUM(T42:AK42)</f>
        <v>12686589</v>
      </c>
      <c r="AM42" s="294"/>
      <c r="AN42" s="294"/>
      <c r="AP42" s="288" t="e">
        <f>+T42+#REF!+#REF!</f>
        <v>#REF!</v>
      </c>
    </row>
    <row r="43" spans="1:42" ht="15.75">
      <c r="B43" s="276" t="str">
        <f>INPUT!B47</f>
        <v xml:space="preserve">     Transfers out</v>
      </c>
      <c r="C43" s="276"/>
      <c r="D43" s="294">
        <f>+INPUT!D47</f>
        <v>-1886524</v>
      </c>
      <c r="E43" s="276"/>
      <c r="F43" s="294">
        <f>+INPUT!X47</f>
        <v>-765090</v>
      </c>
      <c r="G43" s="294">
        <f>+INPUT!BB47</f>
        <v>-4211818</v>
      </c>
      <c r="H43" s="294">
        <f>+INPUT!BC47</f>
        <v>-276838</v>
      </c>
      <c r="I43" s="276"/>
      <c r="J43" s="294">
        <f>+INPUT!BN47</f>
        <v>-8109</v>
      </c>
      <c r="K43" s="294"/>
      <c r="L43" s="276" t="str">
        <f t="shared" ref="L43:L55" si="8">+B43</f>
        <v xml:space="preserve">     Transfers out</v>
      </c>
      <c r="M43" s="294"/>
      <c r="N43" s="294">
        <f>+INPUT!BR47</f>
        <v>-319640</v>
      </c>
      <c r="Q43" s="276"/>
      <c r="R43" s="294">
        <f>+'SR IS'!EC42+'DS IS'!P42+'CP IS'!N42+'PERM IS'!H44</f>
        <v>-4699968</v>
      </c>
      <c r="S43" s="276"/>
      <c r="T43" s="294">
        <f t="shared" si="6"/>
        <v>-12167987</v>
      </c>
      <c r="U43" s="294"/>
      <c r="V43" s="294"/>
      <c r="W43" s="294"/>
      <c r="X43" s="294">
        <f>+PROPREV!N51</f>
        <v>-566057</v>
      </c>
      <c r="Y43" s="294"/>
      <c r="Z43" s="294"/>
      <c r="AA43" s="294"/>
      <c r="AB43" s="294"/>
      <c r="AD43" s="294"/>
      <c r="AE43" s="294"/>
      <c r="AF43" s="294"/>
      <c r="AG43" s="294"/>
      <c r="AH43" s="294"/>
      <c r="AI43" s="294"/>
      <c r="AJ43" s="294"/>
      <c r="AK43" s="294"/>
      <c r="AL43" s="294">
        <f t="shared" si="7"/>
        <v>-12734044</v>
      </c>
      <c r="AM43" s="294"/>
      <c r="AN43" s="294">
        <f>+AL42+AL43</f>
        <v>-47455</v>
      </c>
      <c r="AP43" s="288" t="e">
        <f>+T43+#REF!+#REF!</f>
        <v>#REF!</v>
      </c>
    </row>
    <row r="44" spans="1:42" ht="15.75">
      <c r="B44" s="276" t="str">
        <f>INPUT!B48</f>
        <v xml:space="preserve">     Financing of leases</v>
      </c>
      <c r="C44" s="276"/>
      <c r="D44" s="294">
        <f>+INPUT!D48</f>
        <v>0</v>
      </c>
      <c r="E44" s="276"/>
      <c r="F44" s="294">
        <f>+INPUT!X48</f>
        <v>0</v>
      </c>
      <c r="G44" s="294">
        <f>+INPUT!BB48</f>
        <v>0</v>
      </c>
      <c r="H44" s="294">
        <f>+INPUT!BC48</f>
        <v>0</v>
      </c>
      <c r="I44" s="276"/>
      <c r="J44" s="294">
        <f>+INPUT!BN48</f>
        <v>0</v>
      </c>
      <c r="K44" s="294"/>
      <c r="L44" s="276" t="str">
        <f t="shared" si="8"/>
        <v xml:space="preserve">     Financing of leases</v>
      </c>
      <c r="M44" s="294"/>
      <c r="N44" s="294">
        <f>+INPUT!BR48</f>
        <v>0</v>
      </c>
      <c r="Q44" s="276"/>
      <c r="R44" s="294">
        <f>+'SR IS'!EC43+'DS IS'!P43+'CP IS'!N43</f>
        <v>157932</v>
      </c>
      <c r="S44" s="276"/>
      <c r="T44" s="294">
        <f t="shared" ref="T44" si="9">SUM(D44:S44)</f>
        <v>157932</v>
      </c>
      <c r="U44" s="294"/>
      <c r="V44" s="294"/>
      <c r="W44" s="294"/>
      <c r="X44" s="294"/>
      <c r="Y44" s="294"/>
      <c r="Z44" s="294"/>
      <c r="AA44" s="294"/>
      <c r="AB44" s="294"/>
      <c r="AD44" s="294"/>
      <c r="AE44" s="294"/>
      <c r="AF44" s="398">
        <f>-X114</f>
        <v>-157932</v>
      </c>
      <c r="AG44" s="288" t="s">
        <v>3262</v>
      </c>
      <c r="AH44" s="294"/>
      <c r="AI44" s="294"/>
      <c r="AJ44" s="294"/>
      <c r="AK44" s="294"/>
      <c r="AL44" s="294">
        <f t="shared" si="7"/>
        <v>0</v>
      </c>
      <c r="AM44" s="294"/>
      <c r="AN44" s="294"/>
    </row>
    <row r="45" spans="1:42" ht="15.75">
      <c r="B45" s="276" t="str">
        <f>INPUT!B49</f>
        <v xml:space="preserve">     Financing of SBITAs</v>
      </c>
      <c r="C45" s="276"/>
      <c r="D45" s="294">
        <f>+INPUT!D49</f>
        <v>542311</v>
      </c>
      <c r="E45" s="276"/>
      <c r="F45" s="294">
        <f>+INPUT!X49</f>
        <v>0</v>
      </c>
      <c r="G45" s="294">
        <f>+INPUT!BB49</f>
        <v>0</v>
      </c>
      <c r="H45" s="294">
        <f>+INPUT!BC49</f>
        <v>0</v>
      </c>
      <c r="I45" s="276"/>
      <c r="J45" s="294">
        <f>+INPUT!BN49</f>
        <v>0</v>
      </c>
      <c r="K45" s="294"/>
      <c r="L45" s="276" t="str">
        <f t="shared" si="8"/>
        <v xml:space="preserve">     Financing of SBITAs</v>
      </c>
      <c r="M45" s="294"/>
      <c r="N45" s="294">
        <f>+INPUT!BR49</f>
        <v>0</v>
      </c>
      <c r="Q45" s="276"/>
      <c r="R45" s="294">
        <f>+'SR IS'!EC44+'DS IS'!P44+'CP IS'!N44</f>
        <v>0</v>
      </c>
      <c r="S45" s="276"/>
      <c r="T45" s="294">
        <f t="shared" ref="T45" si="10">SUM(D45:S45)</f>
        <v>542311</v>
      </c>
      <c r="U45" s="294"/>
      <c r="V45" s="294"/>
      <c r="W45" s="294"/>
      <c r="X45" s="294"/>
      <c r="Y45" s="294"/>
      <c r="Z45" s="294"/>
      <c r="AA45" s="294"/>
      <c r="AB45" s="294"/>
      <c r="AD45" s="294"/>
      <c r="AE45" s="294"/>
      <c r="AF45" s="398">
        <f>-X115</f>
        <v>-542311</v>
      </c>
      <c r="AG45" s="294"/>
      <c r="AH45" s="294"/>
      <c r="AI45" s="294"/>
      <c r="AJ45" s="294"/>
      <c r="AK45" s="294"/>
      <c r="AL45" s="294">
        <f t="shared" si="7"/>
        <v>0</v>
      </c>
      <c r="AM45" s="294"/>
      <c r="AN45" s="294"/>
    </row>
    <row r="46" spans="1:42" ht="15" customHeight="1">
      <c r="A46" s="276"/>
      <c r="B46" s="276" t="str">
        <f>INPUT!B50</f>
        <v xml:space="preserve">     Issuance of long-term debt</v>
      </c>
      <c r="C46" s="276"/>
      <c r="D46" s="294">
        <f>+INPUT!D50</f>
        <v>0</v>
      </c>
      <c r="E46" s="276"/>
      <c r="F46" s="294">
        <f>+INPUT!X50</f>
        <v>0</v>
      </c>
      <c r="G46" s="294">
        <f>+INPUT!BB50</f>
        <v>0</v>
      </c>
      <c r="H46" s="294">
        <f>+INPUT!BC50</f>
        <v>0</v>
      </c>
      <c r="I46" s="276"/>
      <c r="J46" s="294">
        <f>+INPUT!BN50</f>
        <v>0</v>
      </c>
      <c r="K46" s="294"/>
      <c r="L46" s="276" t="str">
        <f t="shared" si="8"/>
        <v xml:space="preserve">     Issuance of long-term debt</v>
      </c>
      <c r="M46" s="294"/>
      <c r="N46" s="294">
        <f>+INPUT!BR50</f>
        <v>0</v>
      </c>
      <c r="Q46" s="276"/>
      <c r="R46" s="294">
        <f>+'SR IS'!EC45+'DS IS'!P45+'CP IS'!N45</f>
        <v>3374380</v>
      </c>
      <c r="S46" s="276"/>
      <c r="T46" s="294">
        <f t="shared" si="6"/>
        <v>3374380</v>
      </c>
      <c r="U46" s="294"/>
      <c r="V46" s="294"/>
      <c r="W46" s="294"/>
      <c r="X46" s="294">
        <f>+PROPREV!N39</f>
        <v>0</v>
      </c>
      <c r="Y46" s="294"/>
      <c r="Z46" s="294">
        <f>-X116</f>
        <v>-3159497</v>
      </c>
      <c r="AA46" s="288" t="s">
        <v>760</v>
      </c>
      <c r="AB46" s="294"/>
      <c r="AC46" s="294"/>
      <c r="AD46" s="294"/>
      <c r="AE46" s="294"/>
      <c r="AF46" s="294"/>
      <c r="AG46" s="294"/>
      <c r="AH46" s="294"/>
      <c r="AI46" s="294"/>
      <c r="AJ46" s="294"/>
      <c r="AK46" s="294"/>
      <c r="AL46" s="294">
        <f t="shared" si="7"/>
        <v>214883</v>
      </c>
      <c r="AM46" s="294"/>
      <c r="AN46" s="294"/>
    </row>
    <row r="47" spans="1:42" ht="15" hidden="1" customHeight="1">
      <c r="A47" s="276"/>
      <c r="B47" s="276" t="str">
        <f>INPUT!B51</f>
        <v xml:space="preserve">     Premium on long-term debt issue</v>
      </c>
      <c r="C47" s="276"/>
      <c r="D47" s="294">
        <f>+INPUT!D51</f>
        <v>0</v>
      </c>
      <c r="E47" s="276"/>
      <c r="F47" s="294">
        <f>+INPUT!X51</f>
        <v>0</v>
      </c>
      <c r="G47" s="294">
        <f>+INPUT!BB51</f>
        <v>0</v>
      </c>
      <c r="H47" s="294">
        <f>+INPUT!BC51</f>
        <v>0</v>
      </c>
      <c r="I47" s="276"/>
      <c r="J47" s="294">
        <f>+INPUT!BN51</f>
        <v>0</v>
      </c>
      <c r="K47" s="294"/>
      <c r="L47" s="276" t="str">
        <f t="shared" si="8"/>
        <v xml:space="preserve">     Premium on long-term debt issue</v>
      </c>
      <c r="M47" s="294"/>
      <c r="N47" s="294">
        <f>+INPUT!BR51</f>
        <v>0</v>
      </c>
      <c r="Q47" s="276"/>
      <c r="R47" s="294">
        <f>+'SR IS'!EC46+'DS IS'!P46+'CP IS'!N46</f>
        <v>0</v>
      </c>
      <c r="S47" s="276"/>
      <c r="T47" s="294">
        <f t="shared" si="6"/>
        <v>0</v>
      </c>
      <c r="U47" s="294"/>
      <c r="V47" s="294"/>
      <c r="W47" s="294"/>
      <c r="X47" s="294">
        <f>+PROPREV!N40</f>
        <v>0</v>
      </c>
      <c r="Y47" s="294"/>
      <c r="Z47" s="294"/>
      <c r="AB47" s="294"/>
      <c r="AC47" s="294"/>
      <c r="AD47" s="294"/>
      <c r="AE47" s="294"/>
      <c r="AF47" s="294"/>
      <c r="AG47" s="294"/>
      <c r="AH47" s="294"/>
      <c r="AI47" s="294"/>
      <c r="AJ47" s="294"/>
      <c r="AK47" s="294"/>
      <c r="AL47" s="294">
        <f t="shared" si="7"/>
        <v>0</v>
      </c>
      <c r="AM47" s="294"/>
      <c r="AN47" s="294"/>
    </row>
    <row r="48" spans="1:42" ht="15" hidden="1" customHeight="1">
      <c r="A48" s="276"/>
      <c r="B48" s="276" t="str">
        <f>INPUT!B52</f>
        <v xml:space="preserve">     Refund payment to escrow</v>
      </c>
      <c r="C48" s="276"/>
      <c r="D48" s="294">
        <f>+INPUT!D52</f>
        <v>0</v>
      </c>
      <c r="E48" s="276"/>
      <c r="F48" s="294">
        <f>+INPUT!X52</f>
        <v>0</v>
      </c>
      <c r="G48" s="294">
        <f>+INPUT!BB52</f>
        <v>0</v>
      </c>
      <c r="H48" s="294">
        <f>+INPUT!BC52</f>
        <v>0</v>
      </c>
      <c r="I48" s="276"/>
      <c r="J48" s="294">
        <f>+INPUT!BN52</f>
        <v>0</v>
      </c>
      <c r="K48" s="294"/>
      <c r="L48" s="276" t="str">
        <f t="shared" si="8"/>
        <v xml:space="preserve">     Refund payment to escrow</v>
      </c>
      <c r="M48" s="294"/>
      <c r="N48" s="294">
        <f>+INPUT!BR52</f>
        <v>0</v>
      </c>
      <c r="Q48" s="276"/>
      <c r="R48" s="294">
        <f>+'SR IS'!EC47+'DS IS'!P47+'CP IS'!N47</f>
        <v>0</v>
      </c>
      <c r="S48" s="276"/>
      <c r="T48" s="294">
        <f t="shared" si="6"/>
        <v>0</v>
      </c>
      <c r="U48" s="294"/>
      <c r="V48" s="294"/>
      <c r="W48" s="294"/>
      <c r="X48" s="294">
        <v>0</v>
      </c>
      <c r="Y48" s="294"/>
      <c r="Z48" s="1112"/>
      <c r="AB48" s="294"/>
      <c r="AC48" s="294"/>
      <c r="AD48" s="294"/>
      <c r="AE48" s="294"/>
      <c r="AF48" s="294"/>
      <c r="AG48" s="294"/>
      <c r="AH48" s="294"/>
      <c r="AI48" s="294"/>
      <c r="AJ48" s="294"/>
      <c r="AK48" s="294"/>
      <c r="AL48" s="294">
        <f t="shared" si="7"/>
        <v>0</v>
      </c>
      <c r="AM48" s="294"/>
      <c r="AN48" s="294"/>
    </row>
    <row r="49" spans="1:40" ht="15" hidden="1" customHeight="1">
      <c r="A49" s="276"/>
      <c r="B49" s="276" t="str">
        <f>INPUT!B53</f>
        <v xml:space="preserve">     Cost of bond issuance</v>
      </c>
      <c r="C49" s="276"/>
      <c r="D49" s="294">
        <f>+INPUT!D53</f>
        <v>0</v>
      </c>
      <c r="E49" s="276"/>
      <c r="F49" s="294">
        <f>+INPUT!X53</f>
        <v>0</v>
      </c>
      <c r="G49" s="294">
        <f>+INPUT!BB53</f>
        <v>0</v>
      </c>
      <c r="H49" s="294">
        <f>+INPUT!BC53</f>
        <v>0</v>
      </c>
      <c r="I49" s="276"/>
      <c r="J49" s="294">
        <f>+INPUT!BN53</f>
        <v>0</v>
      </c>
      <c r="K49" s="294"/>
      <c r="L49" s="276" t="str">
        <f t="shared" si="8"/>
        <v xml:space="preserve">     Cost of bond issuance</v>
      </c>
      <c r="M49" s="294"/>
      <c r="N49" s="294">
        <f>+INPUT!BR53</f>
        <v>0</v>
      </c>
      <c r="Q49" s="276"/>
      <c r="R49" s="294">
        <f>+'SR IS'!EC48+'DS IS'!P48+'CP IS'!N48</f>
        <v>0</v>
      </c>
      <c r="S49" s="276"/>
      <c r="T49" s="294">
        <f t="shared" si="6"/>
        <v>0</v>
      </c>
      <c r="U49" s="294"/>
      <c r="V49" s="294"/>
      <c r="W49" s="294"/>
      <c r="X49" s="294">
        <v>0</v>
      </c>
      <c r="Y49" s="294"/>
      <c r="Z49" s="1112"/>
      <c r="AB49" s="294"/>
      <c r="AC49" s="294"/>
      <c r="AD49" s="294"/>
      <c r="AE49" s="294"/>
      <c r="AF49" s="294"/>
      <c r="AG49" s="294"/>
      <c r="AH49" s="294"/>
      <c r="AI49" s="294"/>
      <c r="AJ49" s="294"/>
      <c r="AK49" s="294"/>
      <c r="AL49" s="294">
        <f t="shared" si="7"/>
        <v>0</v>
      </c>
      <c r="AM49" s="294"/>
      <c r="AN49" s="294"/>
    </row>
    <row r="50" spans="1:40" ht="15.75" hidden="1">
      <c r="A50" s="276"/>
      <c r="B50" s="276" t="s">
        <v>2297</v>
      </c>
      <c r="C50" s="276"/>
      <c r="D50" s="294">
        <f>+INPUT!D54</f>
        <v>0</v>
      </c>
      <c r="E50" s="276"/>
      <c r="F50" s="294">
        <f>+INPUT!X54</f>
        <v>0</v>
      </c>
      <c r="G50" s="294">
        <f>+INPUT!BB54</f>
        <v>0</v>
      </c>
      <c r="H50" s="294">
        <f>+INPUT!BC54</f>
        <v>0</v>
      </c>
      <c r="I50" s="276"/>
      <c r="J50" s="294">
        <f>+INPUT!BN54</f>
        <v>0</v>
      </c>
      <c r="K50" s="294"/>
      <c r="L50" s="276" t="str">
        <f t="shared" si="8"/>
        <v xml:space="preserve">     Contibution of capital assets</v>
      </c>
      <c r="M50" s="294"/>
      <c r="N50" s="294"/>
      <c r="Q50" s="276"/>
      <c r="R50" s="294"/>
      <c r="S50" s="276"/>
      <c r="T50" s="294">
        <v>0</v>
      </c>
      <c r="U50" s="294"/>
      <c r="V50" s="294"/>
      <c r="W50" s="294"/>
      <c r="X50" s="294">
        <f>+PROPREV!N34</f>
        <v>0</v>
      </c>
      <c r="Y50" s="294"/>
      <c r="Z50" s="294"/>
      <c r="AB50" s="294"/>
      <c r="AC50" s="294"/>
      <c r="AD50" s="294"/>
      <c r="AE50" s="294"/>
      <c r="AF50" s="294"/>
      <c r="AG50" s="294"/>
      <c r="AH50" s="294"/>
      <c r="AI50" s="294"/>
      <c r="AJ50" s="294"/>
      <c r="AK50" s="294"/>
      <c r="AL50" s="294">
        <f t="shared" ref="AL50:AL52" si="11">SUM(T50:AK50)</f>
        <v>0</v>
      </c>
      <c r="AM50" s="294"/>
      <c r="AN50" s="294"/>
    </row>
    <row r="51" spans="1:40" ht="15.75" hidden="1">
      <c r="A51" s="276"/>
      <c r="B51" s="334" t="str">
        <f>INPUT!B54</f>
        <v xml:space="preserve">     Proceeds from disposal of capital assets(MOVE to mis rev/exp)GFOA finding</v>
      </c>
      <c r="C51" s="276"/>
      <c r="D51" s="346">
        <f>+INPUT!D54</f>
        <v>0</v>
      </c>
      <c r="E51" s="334"/>
      <c r="F51" s="346">
        <f>+INPUT!X54</f>
        <v>0</v>
      </c>
      <c r="G51" s="346">
        <f>+INPUT!BB54</f>
        <v>0</v>
      </c>
      <c r="H51" s="346">
        <f>+INPUT!BC54</f>
        <v>0</v>
      </c>
      <c r="I51" s="334"/>
      <c r="J51" s="346">
        <f>+INPUT!BN54</f>
        <v>0</v>
      </c>
      <c r="K51" s="346"/>
      <c r="L51" s="276" t="str">
        <f t="shared" si="8"/>
        <v xml:space="preserve">     Proceeds from disposal of capital assets(MOVE to mis rev/exp)GFOA finding</v>
      </c>
      <c r="M51" s="346"/>
      <c r="N51" s="346">
        <f>+INPUT!BR54</f>
        <v>0</v>
      </c>
      <c r="Q51" s="334"/>
      <c r="R51" s="346">
        <f>+'SR IS'!EC46+'DS IS'!P49+'CP IS'!N47</f>
        <v>0</v>
      </c>
      <c r="S51" s="334"/>
      <c r="T51" s="346">
        <f>SUM(D51:S51)</f>
        <v>0</v>
      </c>
      <c r="U51" s="346"/>
      <c r="V51" s="346"/>
      <c r="W51" s="294"/>
      <c r="X51" s="346">
        <f>+PROPREV!N41</f>
        <v>0</v>
      </c>
      <c r="Y51" s="294"/>
      <c r="Z51" s="294"/>
      <c r="AA51" s="294"/>
      <c r="AB51" s="294"/>
      <c r="AC51" s="294"/>
      <c r="AD51" s="294"/>
      <c r="AE51" s="294"/>
      <c r="AF51" s="398">
        <v>0</v>
      </c>
      <c r="AG51" s="288" t="s">
        <v>780</v>
      </c>
      <c r="AH51" s="294"/>
      <c r="AI51" s="294"/>
      <c r="AJ51" s="294"/>
      <c r="AK51" s="294"/>
      <c r="AL51" s="294">
        <f>SUM(T51:AK51)</f>
        <v>0</v>
      </c>
      <c r="AM51" s="294"/>
      <c r="AN51" s="294"/>
    </row>
    <row r="52" spans="1:40" ht="15.75" hidden="1">
      <c r="A52" s="276" t="s">
        <v>299</v>
      </c>
      <c r="B52" s="276" t="str">
        <f>INPUT!B55</f>
        <v xml:space="preserve">     Amortization of revenue bond premium</v>
      </c>
      <c r="C52" s="276"/>
      <c r="D52" s="294">
        <f>+INPUT!D55</f>
        <v>0</v>
      </c>
      <c r="E52" s="276"/>
      <c r="F52" s="294">
        <f>+INPUT!X55</f>
        <v>0</v>
      </c>
      <c r="G52" s="294">
        <f>+INPUT!BB55</f>
        <v>0</v>
      </c>
      <c r="H52" s="294">
        <f>+INPUT!BC55</f>
        <v>0</v>
      </c>
      <c r="I52" s="276"/>
      <c r="J52" s="294">
        <f>+INPUT!BN55</f>
        <v>0</v>
      </c>
      <c r="K52" s="294"/>
      <c r="L52" s="276" t="str">
        <f t="shared" si="8"/>
        <v xml:space="preserve">     Amortization of revenue bond premium</v>
      </c>
      <c r="M52" s="294"/>
      <c r="N52" s="294">
        <f>+INPUT!BR55</f>
        <v>0</v>
      </c>
      <c r="Q52" s="276"/>
      <c r="R52" s="294">
        <v>0</v>
      </c>
      <c r="S52" s="276"/>
      <c r="T52" s="294">
        <f>SUM(D52:S52)</f>
        <v>0</v>
      </c>
      <c r="U52" s="294"/>
      <c r="V52" s="294"/>
      <c r="W52" s="294"/>
      <c r="X52" s="294"/>
      <c r="Y52" s="294"/>
      <c r="Z52" s="294"/>
      <c r="AA52" s="294"/>
      <c r="AB52" s="294"/>
      <c r="AC52" s="294"/>
      <c r="AD52" s="294"/>
      <c r="AE52" s="294"/>
      <c r="AF52" s="294"/>
      <c r="AG52" s="294"/>
      <c r="AH52" s="294"/>
      <c r="AI52" s="294"/>
      <c r="AJ52" s="294"/>
      <c r="AK52" s="294"/>
      <c r="AL52" s="294">
        <f t="shared" si="11"/>
        <v>0</v>
      </c>
      <c r="AM52" s="294"/>
      <c r="AN52" s="294"/>
    </row>
    <row r="53" spans="1:40" ht="15" hidden="1" customHeight="1">
      <c r="A53" s="276" t="s">
        <v>299</v>
      </c>
      <c r="B53" s="276" t="s">
        <v>1341</v>
      </c>
      <c r="L53" s="276" t="str">
        <f t="shared" si="8"/>
        <v xml:space="preserve">     Contributed capital assets</v>
      </c>
      <c r="AF53" s="398"/>
      <c r="AG53" s="288" t="s">
        <v>1342</v>
      </c>
      <c r="AL53" s="294">
        <f t="shared" ref="AL53:AL54" si="12">SUM(T53:AK53)</f>
        <v>0</v>
      </c>
    </row>
    <row r="54" spans="1:40" ht="15.75" hidden="1">
      <c r="A54" s="276" t="s">
        <v>299</v>
      </c>
      <c r="B54" s="276" t="str">
        <f>INPUT!B56</f>
        <v xml:space="preserve">     Capital contributions</v>
      </c>
      <c r="C54" s="276"/>
      <c r="D54" s="294">
        <v>0</v>
      </c>
      <c r="E54" s="276"/>
      <c r="F54" s="294">
        <f>+INPUT!X56</f>
        <v>0</v>
      </c>
      <c r="G54" s="294">
        <f>+INPUT!BB56</f>
        <v>0</v>
      </c>
      <c r="H54" s="294">
        <f>+INPUT!BC56</f>
        <v>0</v>
      </c>
      <c r="I54" s="276"/>
      <c r="J54" s="294">
        <f>+INPUT!BN56</f>
        <v>0</v>
      </c>
      <c r="K54" s="294"/>
      <c r="L54" s="276" t="str">
        <f t="shared" si="8"/>
        <v xml:space="preserve">     Capital contributions</v>
      </c>
      <c r="M54" s="294"/>
      <c r="N54" s="294">
        <f>+INPUT!BR56</f>
        <v>0</v>
      </c>
      <c r="Q54" s="276"/>
      <c r="R54" s="294">
        <v>0</v>
      </c>
      <c r="S54" s="276"/>
      <c r="T54" s="294">
        <f>SUM(D54:S54)</f>
        <v>0</v>
      </c>
      <c r="U54" s="294"/>
      <c r="V54" s="294"/>
      <c r="W54" s="294"/>
      <c r="X54" s="294">
        <f>+PROPREV!N49</f>
        <v>0</v>
      </c>
      <c r="Y54" s="294"/>
      <c r="Z54" s="294"/>
      <c r="AA54" s="294"/>
      <c r="AB54" s="294"/>
      <c r="AC54" s="294"/>
      <c r="AD54" s="294"/>
      <c r="AE54" s="294"/>
      <c r="AF54" s="294">
        <f>SUM(AD112:AD116)</f>
        <v>0</v>
      </c>
      <c r="AG54" s="288" t="s">
        <v>1342</v>
      </c>
      <c r="AH54" s="294"/>
      <c r="AI54" s="294"/>
      <c r="AJ54" s="294"/>
      <c r="AK54" s="294"/>
      <c r="AL54" s="294">
        <f t="shared" si="12"/>
        <v>0</v>
      </c>
      <c r="AM54" s="294"/>
      <c r="AN54" s="294"/>
    </row>
    <row r="55" spans="1:40" ht="15.75" hidden="1">
      <c r="A55" s="276" t="s">
        <v>299</v>
      </c>
      <c r="B55" s="276" t="str">
        <f>INPUT!B57</f>
        <v xml:space="preserve">     Gain (Loss) on sale of investments</v>
      </c>
      <c r="C55" s="276"/>
      <c r="D55" s="294"/>
      <c r="E55" s="276"/>
      <c r="F55" s="294"/>
      <c r="G55" s="294"/>
      <c r="H55" s="294"/>
      <c r="I55" s="276"/>
      <c r="J55" s="294"/>
      <c r="K55" s="294"/>
      <c r="L55" s="276" t="str">
        <f t="shared" si="8"/>
        <v xml:space="preserve">     Gain (Loss) on sale of investments</v>
      </c>
      <c r="M55" s="294"/>
      <c r="N55" s="294"/>
      <c r="Q55" s="276"/>
      <c r="R55" s="294">
        <f>+'SR IS'!EC50+'DS IS'!P51+'CP IS'!N49+'PERM IS'!H45</f>
        <v>0</v>
      </c>
      <c r="S55" s="276"/>
      <c r="T55" s="294">
        <f>SUM(D55:S55)</f>
        <v>0</v>
      </c>
      <c r="U55" s="294"/>
      <c r="V55" s="294"/>
      <c r="W55" s="294"/>
      <c r="X55" s="294">
        <v>0</v>
      </c>
      <c r="Y55" s="294"/>
      <c r="Z55" s="294"/>
      <c r="AA55" s="294"/>
      <c r="AB55" s="294"/>
      <c r="AC55" s="294"/>
      <c r="AD55" s="294"/>
      <c r="AE55" s="294"/>
      <c r="AF55" s="294"/>
      <c r="AG55" s="294"/>
      <c r="AH55" s="294"/>
      <c r="AI55" s="294"/>
      <c r="AJ55" s="294"/>
      <c r="AK55" s="294"/>
      <c r="AL55" s="294">
        <f>SUM(T55:AK55)</f>
        <v>0</v>
      </c>
      <c r="AM55" s="294"/>
      <c r="AN55" s="294"/>
    </row>
    <row r="56" spans="1:40" ht="15.75">
      <c r="B56" s="308" t="s">
        <v>382</v>
      </c>
      <c r="C56" s="276"/>
      <c r="D56" s="337"/>
      <c r="E56" s="276"/>
      <c r="F56" s="337"/>
      <c r="G56" s="337"/>
      <c r="H56" s="337"/>
      <c r="I56" s="276"/>
      <c r="J56" s="337"/>
      <c r="K56" s="294"/>
      <c r="L56" s="308" t="s">
        <v>382</v>
      </c>
      <c r="M56" s="294"/>
      <c r="N56" s="337"/>
      <c r="Q56" s="276"/>
      <c r="R56" s="337"/>
      <c r="S56" s="276"/>
      <c r="T56" s="337"/>
      <c r="U56" s="294"/>
      <c r="V56" s="294"/>
      <c r="W56" s="294"/>
      <c r="X56" s="337"/>
      <c r="Y56" s="294"/>
      <c r="Z56" s="337"/>
      <c r="AA56" s="337"/>
      <c r="AB56" s="337"/>
      <c r="AC56" s="337"/>
      <c r="AD56" s="337"/>
      <c r="AE56" s="294"/>
      <c r="AF56" s="337"/>
      <c r="AG56" s="294"/>
      <c r="AH56" s="337"/>
      <c r="AI56" s="294"/>
      <c r="AJ56" s="337"/>
      <c r="AK56" s="294"/>
      <c r="AL56" s="337"/>
      <c r="AM56" s="294"/>
      <c r="AN56" s="294"/>
    </row>
    <row r="57" spans="1:40" ht="15.75">
      <c r="B57" s="308" t="s">
        <v>447</v>
      </c>
      <c r="C57" s="308"/>
      <c r="D57" s="706">
        <f>SUM(D42:D56)</f>
        <v>726323</v>
      </c>
      <c r="E57" s="707"/>
      <c r="F57" s="706">
        <f>SUM(F42:F56)</f>
        <v>-165165</v>
      </c>
      <c r="G57" s="706">
        <f>SUM(G42:G56)</f>
        <v>-4211818</v>
      </c>
      <c r="H57" s="706">
        <f>SUM(H42:H56)</f>
        <v>-265391</v>
      </c>
      <c r="I57" s="707"/>
      <c r="J57" s="706">
        <f>SUM(J42:J56)</f>
        <v>-8109</v>
      </c>
      <c r="K57" s="697"/>
      <c r="L57" s="308" t="s">
        <v>447</v>
      </c>
      <c r="M57" s="697"/>
      <c r="N57" s="706">
        <f>SUM(N42:N56)</f>
        <v>3736171</v>
      </c>
      <c r="Q57" s="707"/>
      <c r="R57" s="706">
        <f>SUM(R42:R56)</f>
        <v>2624337</v>
      </c>
      <c r="S57" s="707"/>
      <c r="T57" s="706">
        <f>SUM(T42:T56)</f>
        <v>2436348</v>
      </c>
      <c r="U57" s="339"/>
      <c r="V57" s="339"/>
      <c r="W57" s="300"/>
      <c r="X57" s="301">
        <f>SUM(X42:X56)</f>
        <v>1590820</v>
      </c>
      <c r="Y57" s="294"/>
      <c r="Z57" s="301">
        <f>SUM(Z42:Z56)</f>
        <v>-3159497</v>
      </c>
      <c r="AA57" s="301"/>
      <c r="AB57" s="301">
        <f>SUM(AB42:AB56)</f>
        <v>0</v>
      </c>
      <c r="AC57" s="301"/>
      <c r="AD57" s="301">
        <f>SUM(AD42:AD56)</f>
        <v>0</v>
      </c>
      <c r="AE57" s="294"/>
      <c r="AF57" s="301">
        <f>SUM(AF42:AF56)</f>
        <v>-700243</v>
      </c>
      <c r="AG57" s="294"/>
      <c r="AH57" s="301">
        <f>SUM(AH42:AH56)</f>
        <v>0</v>
      </c>
      <c r="AI57" s="294"/>
      <c r="AJ57" s="301">
        <f>SUM(AJ42:AJ56)</f>
        <v>0</v>
      </c>
      <c r="AK57" s="294"/>
      <c r="AL57" s="301">
        <f>SUM(AL42:AL56)</f>
        <v>167428</v>
      </c>
      <c r="AM57" s="300"/>
      <c r="AN57" s="300"/>
    </row>
    <row r="58" spans="1:40" ht="15.75">
      <c r="B58" s="276"/>
      <c r="C58" s="276"/>
      <c r="D58" s="710"/>
      <c r="E58" s="709"/>
      <c r="F58" s="710"/>
      <c r="G58" s="710"/>
      <c r="H58" s="710"/>
      <c r="I58" s="709"/>
      <c r="J58" s="710"/>
      <c r="K58" s="710"/>
      <c r="L58" s="276"/>
      <c r="M58" s="710"/>
      <c r="N58" s="710"/>
      <c r="Q58" s="709"/>
      <c r="R58" s="710"/>
      <c r="S58" s="709"/>
      <c r="T58" s="710"/>
      <c r="U58" s="294"/>
      <c r="V58" s="294"/>
      <c r="W58" s="294"/>
      <c r="X58" s="294"/>
      <c r="Y58" s="294"/>
      <c r="Z58" s="294"/>
      <c r="AA58" s="294"/>
      <c r="AB58" s="294"/>
      <c r="AC58" s="294"/>
      <c r="AD58" s="294"/>
      <c r="AE58" s="294"/>
      <c r="AF58" s="294"/>
      <c r="AG58" s="294"/>
      <c r="AH58" s="294"/>
      <c r="AI58" s="294"/>
      <c r="AJ58" s="294"/>
      <c r="AK58" s="294"/>
      <c r="AL58" s="294"/>
      <c r="AM58" s="294"/>
      <c r="AN58" s="294"/>
    </row>
    <row r="59" spans="1:40" ht="15.75">
      <c r="B59" s="308"/>
      <c r="C59" s="308"/>
      <c r="D59" s="300"/>
      <c r="E59" s="308"/>
      <c r="F59" s="300"/>
      <c r="G59" s="300"/>
      <c r="H59" s="300"/>
      <c r="I59" s="308"/>
      <c r="J59" s="300"/>
      <c r="K59" s="300"/>
      <c r="L59" s="308"/>
      <c r="M59" s="300"/>
      <c r="N59" s="300"/>
      <c r="Q59" s="308"/>
      <c r="R59" s="300"/>
      <c r="S59" s="308"/>
      <c r="T59" s="300"/>
      <c r="U59" s="300"/>
      <c r="V59" s="300"/>
      <c r="W59" s="300"/>
      <c r="X59" s="300"/>
      <c r="Y59" s="294"/>
      <c r="Z59" s="300"/>
      <c r="AA59" s="300"/>
      <c r="AB59" s="300"/>
      <c r="AC59" s="300"/>
      <c r="AD59" s="300"/>
      <c r="AE59" s="294"/>
      <c r="AF59" s="300"/>
      <c r="AG59" s="294"/>
      <c r="AH59" s="300"/>
      <c r="AI59" s="294"/>
      <c r="AJ59" s="300"/>
      <c r="AK59" s="294"/>
      <c r="AL59" s="300"/>
      <c r="AM59" s="300"/>
      <c r="AN59" s="300"/>
    </row>
    <row r="60" spans="1:40" ht="15.75">
      <c r="B60" s="308" t="str">
        <f>INPUT!B61</f>
        <v xml:space="preserve">             Net change in fund balances</v>
      </c>
      <c r="C60" s="308"/>
      <c r="D60" s="697">
        <f>SUM(D39+D57)</f>
        <v>2772716</v>
      </c>
      <c r="E60" s="707"/>
      <c r="F60" s="697">
        <f>IF(SUM(F39+F57)&lt;&gt;0,SUM(F39+F57),"-")</f>
        <v>1018942</v>
      </c>
      <c r="G60" s="697">
        <f>IF(SUM(G39+G57)&lt;&gt;0,SUM(G39+G57),"-")</f>
        <v>-4092900</v>
      </c>
      <c r="H60" s="697">
        <f>IF(SUM(H39+H57)&lt;&gt;0,SUM(H39+H57),"-")</f>
        <v>770124</v>
      </c>
      <c r="I60" s="707"/>
      <c r="J60" s="697">
        <f>IF(SUM(J39+J57)&lt;&gt;0,SUM(J39+J57),"-")</f>
        <v>26319</v>
      </c>
      <c r="K60" s="697"/>
      <c r="L60" s="308" t="s">
        <v>1215</v>
      </c>
      <c r="M60" s="697"/>
      <c r="N60" s="697">
        <f>N39+N57</f>
        <v>2380887</v>
      </c>
      <c r="Q60" s="707"/>
      <c r="R60" s="697">
        <f>SUM(R39+R57)</f>
        <v>2076316</v>
      </c>
      <c r="S60" s="707"/>
      <c r="T60" s="697">
        <f>SUM(T39+T57)</f>
        <v>4952404</v>
      </c>
      <c r="U60" s="339"/>
      <c r="V60" s="339"/>
      <c r="W60" s="300"/>
      <c r="X60" s="300">
        <f>SUM(X39+X57)</f>
        <v>-1030</v>
      </c>
      <c r="Y60" s="294"/>
      <c r="Z60" s="300">
        <f>SUM(Z39+Z57)</f>
        <v>-1734777</v>
      </c>
      <c r="AA60" s="300"/>
      <c r="AB60" s="300">
        <f>SUM(AB39+AB57)</f>
        <v>3554388</v>
      </c>
      <c r="AC60" s="300"/>
      <c r="AD60" s="300">
        <f>SUM(AD39+AD57)</f>
        <v>-3108110</v>
      </c>
      <c r="AE60" s="294"/>
      <c r="AF60" s="300">
        <f>SUM(AF39+AF57)</f>
        <v>-723935</v>
      </c>
      <c r="AG60" s="294"/>
      <c r="AH60" s="300">
        <f>SUM(AH39+AH57)</f>
        <v>48806</v>
      </c>
      <c r="AI60" s="294"/>
      <c r="AJ60" s="300">
        <f>SUM(AJ39+AJ57)</f>
        <v>-917395</v>
      </c>
      <c r="AK60" s="294"/>
      <c r="AL60" s="300">
        <f>SUM(AL39+AL57)</f>
        <v>2070351</v>
      </c>
      <c r="AM60" s="300"/>
      <c r="AN60" s="300"/>
    </row>
    <row r="61" spans="1:40" ht="15.75">
      <c r="B61" s="276"/>
      <c r="C61" s="276"/>
      <c r="D61" s="294"/>
      <c r="E61" s="276"/>
      <c r="F61" s="294"/>
      <c r="G61" s="294"/>
      <c r="H61" s="294"/>
      <c r="I61" s="276"/>
      <c r="K61" s="294"/>
      <c r="L61" s="276"/>
      <c r="M61" s="294"/>
      <c r="N61" s="294"/>
      <c r="Q61" s="276"/>
      <c r="R61" s="294"/>
      <c r="S61" s="276"/>
      <c r="T61" s="294"/>
      <c r="U61" s="294"/>
      <c r="V61" s="294"/>
      <c r="W61" s="294"/>
      <c r="X61" s="294"/>
      <c r="Y61" s="294"/>
      <c r="Z61" s="294"/>
      <c r="AA61" s="294"/>
      <c r="AB61" s="294"/>
      <c r="AC61" s="294"/>
      <c r="AD61" s="294"/>
      <c r="AE61" s="294"/>
      <c r="AF61" s="294"/>
      <c r="AG61" s="294"/>
      <c r="AH61" s="294"/>
      <c r="AI61" s="294"/>
      <c r="AJ61" s="294"/>
      <c r="AK61" s="294"/>
      <c r="AL61" s="294"/>
      <c r="AM61" s="751" t="s">
        <v>3188</v>
      </c>
      <c r="AN61" s="294"/>
    </row>
    <row r="62" spans="1:40" ht="15.75">
      <c r="B62" s="276" t="str">
        <f>INPUT!B63</f>
        <v xml:space="preserve">     Fund balance, July 1</v>
      </c>
      <c r="C62" s="276"/>
      <c r="D62" s="318">
        <f>+INPUT!D276</f>
        <v>7452016</v>
      </c>
      <c r="E62" s="276"/>
      <c r="F62" s="318">
        <f>+INPUT!X276</f>
        <v>3347149</v>
      </c>
      <c r="G62" s="318">
        <f>+INPUT!BB276</f>
        <v>10529537</v>
      </c>
      <c r="H62" s="318">
        <f>+INPUT!BC276</f>
        <v>6043255</v>
      </c>
      <c r="I62" s="276"/>
      <c r="J62" s="318">
        <f>+INPUT!BN276</f>
        <v>94782</v>
      </c>
      <c r="K62" s="294"/>
      <c r="L62" s="276" t="s">
        <v>1200</v>
      </c>
      <c r="M62" s="294"/>
      <c r="N62" s="318">
        <f>+INPUT!BR276</f>
        <v>15525227</v>
      </c>
      <c r="Q62" s="276"/>
      <c r="R62" s="318">
        <f>+'SR IS'!EC57+'DS IS'!P58+'CP IS'!N56+'PERM IS'!D52</f>
        <v>13470877</v>
      </c>
      <c r="S62" s="276"/>
      <c r="T62" s="318">
        <f>SUM(D62:S62)</f>
        <v>56462843</v>
      </c>
      <c r="U62" s="294"/>
      <c r="V62" s="294"/>
      <c r="W62" s="294"/>
      <c r="X62" s="294">
        <f>+PROPREV!N57</f>
        <v>5800890</v>
      </c>
      <c r="Y62" s="294"/>
      <c r="Z62" s="294"/>
      <c r="AA62" s="294"/>
      <c r="AB62" s="294"/>
      <c r="AC62" s="294"/>
      <c r="AD62" s="294"/>
      <c r="AE62" s="294"/>
      <c r="AF62" s="348">
        <f>SUM(AF85:AF96)</f>
        <v>15289917</v>
      </c>
      <c r="AG62" s="294"/>
      <c r="AH62" s="294"/>
      <c r="AI62" s="294"/>
      <c r="AJ62" s="294"/>
      <c r="AK62" s="294"/>
      <c r="AL62" s="294">
        <f>SUM(T62:AK62)</f>
        <v>77553650</v>
      </c>
      <c r="AM62" s="400">
        <v>77553650</v>
      </c>
      <c r="AN62" s="399" t="s">
        <v>3189</v>
      </c>
    </row>
    <row r="63" spans="1:40" ht="15.75">
      <c r="B63" s="276"/>
      <c r="C63" s="276"/>
      <c r="D63" s="294"/>
      <c r="E63" s="276"/>
      <c r="F63" s="294"/>
      <c r="G63" s="294"/>
      <c r="H63" s="294"/>
      <c r="I63" s="276"/>
      <c r="J63" s="294"/>
      <c r="K63" s="294"/>
      <c r="L63" s="276"/>
      <c r="M63" s="294"/>
      <c r="N63" s="294"/>
      <c r="Q63" s="276"/>
      <c r="R63" s="294"/>
      <c r="S63" s="276"/>
      <c r="T63" s="294"/>
      <c r="U63" s="294"/>
      <c r="V63" s="294"/>
      <c r="W63" s="294"/>
      <c r="X63" s="294"/>
      <c r="Y63" s="294"/>
      <c r="Z63" s="294"/>
      <c r="AA63" s="294"/>
      <c r="AB63" s="294"/>
      <c r="AC63" s="294"/>
      <c r="AD63" s="294"/>
      <c r="AE63" s="294"/>
      <c r="AF63" s="294"/>
      <c r="AG63" s="294"/>
      <c r="AH63" s="294"/>
      <c r="AI63" s="294"/>
      <c r="AJ63" s="294"/>
      <c r="AK63" s="294"/>
      <c r="AL63" s="294"/>
      <c r="AM63" s="294">
        <f>+AM62-AL62</f>
        <v>0</v>
      </c>
    </row>
    <row r="64" spans="1:40" ht="15.75">
      <c r="A64" s="276"/>
      <c r="B64" s="276" t="str">
        <f>INPUT!B66</f>
        <v xml:space="preserve">     Prior period adjustments</v>
      </c>
      <c r="C64" s="276"/>
      <c r="D64" s="317">
        <f>+INPUT!D66</f>
        <v>0</v>
      </c>
      <c r="E64" s="276"/>
      <c r="F64" s="317">
        <f>+INPUT!X66</f>
        <v>0</v>
      </c>
      <c r="G64" s="317">
        <f>+INPUT!BB66</f>
        <v>-6724351</v>
      </c>
      <c r="H64" s="317">
        <f>+INPUT!BC66</f>
        <v>0</v>
      </c>
      <c r="I64" s="276"/>
      <c r="J64" s="317">
        <f>+INPUT!Z66</f>
        <v>0</v>
      </c>
      <c r="K64" s="294"/>
      <c r="L64" s="276" t="s">
        <v>385</v>
      </c>
      <c r="M64" s="294"/>
      <c r="N64" s="317">
        <f>+INPUT!BR66</f>
        <v>0</v>
      </c>
      <c r="Q64" s="276"/>
      <c r="R64" s="317">
        <f>+'SR IS'!EC59+'DS IS'!P60+'CP IS'!N58+'PERM IS'!H54</f>
        <v>0</v>
      </c>
      <c r="S64" s="276"/>
      <c r="T64" s="317">
        <f>SUM(D64:S64)</f>
        <v>-6724351</v>
      </c>
      <c r="U64" s="294"/>
      <c r="V64" s="294"/>
      <c r="W64" s="294"/>
      <c r="X64" s="317"/>
      <c r="Y64" s="294"/>
      <c r="Z64" s="317"/>
      <c r="AA64" s="317"/>
      <c r="AB64" s="317">
        <f>+AL113</f>
        <v>0</v>
      </c>
      <c r="AC64" s="317"/>
      <c r="AD64" s="317"/>
      <c r="AE64" s="294"/>
      <c r="AF64" s="317"/>
      <c r="AG64" s="294"/>
      <c r="AH64" s="317"/>
      <c r="AI64" s="294"/>
      <c r="AJ64" s="398">
        <v>0</v>
      </c>
      <c r="AK64" s="397" t="s">
        <v>780</v>
      </c>
      <c r="AL64" s="317">
        <f>SUM(T64:AK64)</f>
        <v>-6724351</v>
      </c>
      <c r="AN64" s="294"/>
    </row>
    <row r="65" spans="1:43" ht="15.75">
      <c r="A65" s="276"/>
      <c r="B65" s="276"/>
      <c r="C65" s="276"/>
      <c r="D65" s="294"/>
      <c r="E65" s="276"/>
      <c r="F65" s="294"/>
      <c r="G65" s="294"/>
      <c r="H65" s="294"/>
      <c r="I65" s="276"/>
      <c r="J65" s="294"/>
      <c r="K65" s="294"/>
      <c r="L65" s="276"/>
      <c r="M65" s="294"/>
      <c r="N65" s="294"/>
      <c r="Q65" s="276"/>
      <c r="R65" s="294"/>
      <c r="S65" s="276"/>
      <c r="T65" s="294"/>
      <c r="U65" s="294"/>
      <c r="V65" s="294"/>
      <c r="W65" s="294"/>
      <c r="X65" s="294"/>
      <c r="Y65" s="294"/>
      <c r="Z65" s="294"/>
      <c r="AA65" s="294"/>
      <c r="AB65" s="294"/>
      <c r="AC65" s="294"/>
      <c r="AD65" s="294"/>
      <c r="AE65" s="294"/>
      <c r="AF65" s="294"/>
      <c r="AG65" s="294"/>
      <c r="AH65" s="294"/>
      <c r="AI65" s="294"/>
      <c r="AJ65" s="294"/>
      <c r="AK65" s="294"/>
      <c r="AL65" s="294"/>
      <c r="AN65" s="294"/>
    </row>
    <row r="66" spans="1:43" ht="15.75">
      <c r="A66" s="276"/>
      <c r="B66" s="308" t="str">
        <f>INPUT!B69</f>
        <v xml:space="preserve">     Total net position, beginning, as restated</v>
      </c>
      <c r="C66" s="308"/>
      <c r="D66" s="300">
        <f>SUM(D62+D64)</f>
        <v>7452016</v>
      </c>
      <c r="E66" s="308"/>
      <c r="F66" s="300">
        <f>IF(SUM(F62+F64)&lt;&gt;0,SUM(F62+F64),"-")</f>
        <v>3347149</v>
      </c>
      <c r="G66" s="300">
        <f>IF(SUM(G62+G64)&lt;&gt;0,SUM(G62+G64),"-")</f>
        <v>3805186</v>
      </c>
      <c r="H66" s="300">
        <f>IF(SUM(H62+H64)&lt;&gt;0,SUM(H62+H64),"-")</f>
        <v>6043255</v>
      </c>
      <c r="I66" s="308"/>
      <c r="J66" s="300">
        <f>IF(SUM(J62+J64)&lt;&gt;0,SUM(J62+J64),"-")</f>
        <v>94782</v>
      </c>
      <c r="K66" s="300"/>
      <c r="L66" s="308" t="s">
        <v>1681</v>
      </c>
      <c r="M66" s="300"/>
      <c r="N66" s="300">
        <f>SUM(N62+N64)</f>
        <v>15525227</v>
      </c>
      <c r="Q66" s="308"/>
      <c r="R66" s="300">
        <f>SUM(R62+R64)</f>
        <v>13470877</v>
      </c>
      <c r="S66" s="308"/>
      <c r="T66" s="300">
        <f>SUM(T62+T64)</f>
        <v>49738492</v>
      </c>
      <c r="U66" s="300"/>
      <c r="V66" s="300"/>
      <c r="W66" s="300"/>
      <c r="X66" s="300">
        <f>SUM(X62+X64)</f>
        <v>5800890</v>
      </c>
      <c r="Y66" s="294"/>
      <c r="Z66" s="300">
        <f>SUM(Z62+Z64)</f>
        <v>0</v>
      </c>
      <c r="AA66" s="300"/>
      <c r="AB66" s="300">
        <f>SUM(AB62+AB64)</f>
        <v>0</v>
      </c>
      <c r="AC66" s="300"/>
      <c r="AD66" s="300">
        <f>SUM(AD62+AD64)</f>
        <v>0</v>
      </c>
      <c r="AE66" s="294"/>
      <c r="AF66" s="300">
        <f>SUM(AF62+AF64)</f>
        <v>15289917</v>
      </c>
      <c r="AG66" s="294"/>
      <c r="AH66" s="300">
        <f>SUM(AH62+AH64)</f>
        <v>0</v>
      </c>
      <c r="AI66" s="294"/>
      <c r="AJ66" s="300">
        <f>SUM(AJ62+AJ64)</f>
        <v>0</v>
      </c>
      <c r="AK66" s="294"/>
      <c r="AL66" s="300">
        <f>SUM(AL62+AL64)</f>
        <v>70829299</v>
      </c>
      <c r="AM66" s="300"/>
      <c r="AN66" s="300"/>
    </row>
    <row r="67" spans="1:43" ht="15.75" hidden="1">
      <c r="A67" s="276"/>
      <c r="B67" s="276"/>
      <c r="C67" s="276"/>
      <c r="D67" s="294"/>
      <c r="E67" s="276"/>
      <c r="F67" s="294"/>
      <c r="G67" s="294"/>
      <c r="H67" s="294"/>
      <c r="I67" s="276"/>
      <c r="J67" s="294"/>
      <c r="K67" s="294"/>
      <c r="L67" s="276"/>
      <c r="M67" s="294"/>
      <c r="N67" s="294"/>
      <c r="Q67" s="276"/>
      <c r="R67" s="294"/>
      <c r="S67" s="276"/>
      <c r="T67" s="294"/>
      <c r="U67" s="294"/>
      <c r="V67" s="294"/>
      <c r="W67" s="294"/>
      <c r="X67" s="294"/>
      <c r="Y67" s="294"/>
      <c r="Z67" s="294"/>
      <c r="AA67" s="294"/>
      <c r="AB67" s="294"/>
      <c r="AC67" s="294"/>
      <c r="AD67" s="294"/>
      <c r="AE67" s="294"/>
      <c r="AF67" s="294"/>
      <c r="AG67" s="294"/>
      <c r="AH67" s="294"/>
      <c r="AI67" s="294"/>
      <c r="AJ67" s="294"/>
      <c r="AK67" s="294"/>
      <c r="AL67" s="294"/>
      <c r="AM67" s="294"/>
      <c r="AN67" s="294"/>
    </row>
    <row r="68" spans="1:43" ht="15.75" hidden="1">
      <c r="B68" s="276" t="str">
        <f>INPUT!B71</f>
        <v xml:space="preserve">     Residual equity transfers</v>
      </c>
      <c r="C68" s="276"/>
      <c r="D68" s="317">
        <f>+INPUT!D71</f>
        <v>0</v>
      </c>
      <c r="E68" s="276"/>
      <c r="F68" s="317">
        <f>+INPUT!X71+INPUT!X227</f>
        <v>0</v>
      </c>
      <c r="G68" s="317">
        <f>+INPUT!BB71+INPUT!BB227</f>
        <v>0</v>
      </c>
      <c r="H68" s="317">
        <f>+INPUT!BC71+INPUT!BC227</f>
        <v>0</v>
      </c>
      <c r="I68" s="276"/>
      <c r="J68" s="317">
        <f>+INPUT!Z71+INPUT!Z227</f>
        <v>0</v>
      </c>
      <c r="K68" s="294"/>
      <c r="L68" s="276" t="s">
        <v>347</v>
      </c>
      <c r="M68" s="294"/>
      <c r="N68" s="317">
        <f>+INPUT!BR71</f>
        <v>0</v>
      </c>
      <c r="Q68" s="276"/>
      <c r="R68" s="317">
        <f>+'SR IS'!EC63+'DS IS'!P64+'CP IS'!N62+'PERM IS'!H58</f>
        <v>0</v>
      </c>
      <c r="S68" s="276"/>
      <c r="T68" s="317">
        <f>SUM(D68:S68)</f>
        <v>0</v>
      </c>
      <c r="U68" s="294"/>
      <c r="V68" s="294"/>
      <c r="W68" s="294"/>
      <c r="X68" s="317">
        <v>0</v>
      </c>
      <c r="Y68" s="294"/>
      <c r="Z68" s="317"/>
      <c r="AA68" s="317"/>
      <c r="AB68" s="317"/>
      <c r="AC68" s="317"/>
      <c r="AD68" s="317"/>
      <c r="AE68" s="294"/>
      <c r="AF68" s="317"/>
      <c r="AG68" s="294"/>
      <c r="AH68" s="317"/>
      <c r="AI68" s="294"/>
      <c r="AJ68" s="317"/>
      <c r="AK68" s="294"/>
      <c r="AL68" s="294">
        <f>SUM(T68:AK68)</f>
        <v>0</v>
      </c>
      <c r="AM68" s="294"/>
      <c r="AN68" s="294"/>
    </row>
    <row r="69" spans="1:43" ht="6.75" customHeight="1">
      <c r="B69" s="276"/>
      <c r="C69" s="276"/>
      <c r="D69" s="337"/>
      <c r="E69" s="276"/>
      <c r="F69" s="337"/>
      <c r="G69" s="337"/>
      <c r="H69" s="337"/>
      <c r="I69" s="276"/>
      <c r="J69" s="337"/>
      <c r="K69" s="294"/>
      <c r="L69" s="276"/>
      <c r="M69" s="294"/>
      <c r="N69" s="337"/>
      <c r="Q69" s="276"/>
      <c r="R69" s="337"/>
      <c r="S69" s="276"/>
      <c r="T69" s="337"/>
      <c r="U69" s="294"/>
      <c r="V69" s="294"/>
      <c r="W69" s="294"/>
      <c r="X69" s="337"/>
      <c r="Y69" s="294"/>
      <c r="Z69" s="337"/>
      <c r="AA69" s="337"/>
      <c r="AB69" s="337"/>
      <c r="AC69" s="337"/>
      <c r="AD69" s="337"/>
      <c r="AE69" s="294"/>
      <c r="AF69" s="337"/>
      <c r="AG69" s="294"/>
      <c r="AH69" s="337"/>
      <c r="AI69" s="294"/>
      <c r="AJ69" s="337"/>
      <c r="AK69" s="294"/>
      <c r="AL69" s="337"/>
      <c r="AM69" s="294"/>
    </row>
    <row r="70" spans="1:43" ht="16.5" thickBot="1">
      <c r="B70" s="276" t="str">
        <f>INPUT!B73</f>
        <v xml:space="preserve">     Fund balance, June 30</v>
      </c>
      <c r="C70" s="319"/>
      <c r="D70" s="703">
        <f>+D60+D66+D68</f>
        <v>10224732</v>
      </c>
      <c r="E70" s="705"/>
      <c r="F70" s="703">
        <f>IF(SUM(F60+F66+F68)&lt;&gt;0,SUM(F60+F66+F68),"-")</f>
        <v>4366091</v>
      </c>
      <c r="G70" s="703">
        <f>IF(SUM(G60+G66+G68)&lt;&gt;0,SUM(G60+G66+G68),"-")</f>
        <v>-287714</v>
      </c>
      <c r="H70" s="703">
        <f>IF(SUM(H60+H66+H68)&lt;&gt;0,SUM(H60+H66+H68),"-")</f>
        <v>6813379</v>
      </c>
      <c r="I70" s="705"/>
      <c r="J70" s="703">
        <f>IF(SUM(J60+J66+J68)&lt;&gt;0,SUM(J60+J66+J68),"-")</f>
        <v>121101</v>
      </c>
      <c r="K70" s="705"/>
      <c r="L70" s="276" t="s">
        <v>1381</v>
      </c>
      <c r="M70" s="705"/>
      <c r="N70" s="703">
        <f>SUM(N60+N66+N68)</f>
        <v>17906114</v>
      </c>
      <c r="Q70" s="705"/>
      <c r="R70" s="703">
        <f>+R60+R66+R68</f>
        <v>15547193</v>
      </c>
      <c r="S70" s="705"/>
      <c r="T70" s="703">
        <f>+T60+T66+T68</f>
        <v>54690896</v>
      </c>
      <c r="U70" s="385"/>
      <c r="V70" s="385"/>
      <c r="W70" s="326"/>
      <c r="X70" s="302">
        <f>+X60+X66+X68</f>
        <v>5799860</v>
      </c>
      <c r="Y70" s="292"/>
      <c r="Z70" s="302">
        <f>+Z60+Z66+Z68</f>
        <v>-1734777</v>
      </c>
      <c r="AA70" s="302"/>
      <c r="AB70" s="302">
        <f>+AB60+AB66+AB68</f>
        <v>3554388</v>
      </c>
      <c r="AC70" s="302"/>
      <c r="AD70" s="302">
        <f t="shared" ref="AD70:AH70" si="13">+AD60+AD66+AD68</f>
        <v>-3108110</v>
      </c>
      <c r="AE70" s="294"/>
      <c r="AF70" s="302">
        <f>+AF60+AF66+AF68</f>
        <v>14565982</v>
      </c>
      <c r="AG70" s="294"/>
      <c r="AH70" s="302">
        <f t="shared" si="13"/>
        <v>48806</v>
      </c>
      <c r="AI70" s="294"/>
      <c r="AJ70" s="302">
        <f>+AJ60+AJ66+AJ68</f>
        <v>-917395</v>
      </c>
      <c r="AK70" s="294"/>
      <c r="AL70" s="302">
        <f>+AL60+AL66+AL68</f>
        <v>72899650</v>
      </c>
      <c r="AM70" s="326"/>
      <c r="AN70" s="346">
        <f>+AM62-AL62</f>
        <v>0</v>
      </c>
    </row>
    <row r="71" spans="1:43" ht="16.5" thickTop="1">
      <c r="B71" s="276"/>
      <c r="C71" s="319"/>
      <c r="D71" s="385"/>
      <c r="E71" s="385"/>
      <c r="F71" s="385"/>
      <c r="G71" s="385"/>
      <c r="H71" s="385"/>
      <c r="I71" s="385"/>
      <c r="J71" s="385"/>
      <c r="K71" s="385"/>
      <c r="L71" s="385"/>
      <c r="M71" s="385"/>
      <c r="N71" s="385"/>
      <c r="Q71" s="385"/>
      <c r="R71" s="385"/>
      <c r="S71" s="385"/>
      <c r="T71" s="385"/>
      <c r="U71" s="385"/>
      <c r="V71" s="385"/>
      <c r="W71" s="326"/>
      <c r="X71" s="326"/>
      <c r="Y71" s="292"/>
      <c r="Z71" s="326"/>
      <c r="AA71" s="326"/>
      <c r="AB71" s="326"/>
      <c r="AC71" s="326"/>
      <c r="AD71" s="326"/>
      <c r="AE71" s="294"/>
      <c r="AF71" s="326"/>
      <c r="AG71" s="294"/>
      <c r="AH71" s="326"/>
      <c r="AI71" s="294"/>
      <c r="AJ71" s="326"/>
      <c r="AK71" s="294"/>
      <c r="AL71" s="326"/>
      <c r="AM71" s="326"/>
      <c r="AN71" s="326"/>
    </row>
    <row r="72" spans="1:43" ht="15.75" customHeight="1">
      <c r="B72" s="276"/>
      <c r="C72" s="319"/>
      <c r="D72" s="385"/>
      <c r="E72" s="385"/>
      <c r="F72" s="385"/>
      <c r="G72" s="385"/>
      <c r="H72" s="385"/>
      <c r="I72" s="385"/>
      <c r="J72" s="385"/>
      <c r="K72" s="385"/>
      <c r="L72" s="385"/>
      <c r="M72" s="385"/>
      <c r="N72" s="385"/>
      <c r="O72" s="385"/>
      <c r="P72" s="385"/>
      <c r="Q72" s="385"/>
      <c r="R72" s="385"/>
      <c r="S72" s="385"/>
      <c r="T72" s="385"/>
      <c r="U72" s="385"/>
      <c r="V72" s="385"/>
      <c r="W72" s="326"/>
      <c r="X72" s="326"/>
      <c r="Y72" s="292"/>
      <c r="Z72" s="326"/>
      <c r="AA72" s="326"/>
      <c r="AB72" s="326"/>
      <c r="AC72" s="326"/>
      <c r="AD72" s="326"/>
      <c r="AE72" s="294"/>
      <c r="AF72" s="326"/>
      <c r="AG72" s="294"/>
      <c r="AH72" s="326"/>
      <c r="AI72" s="294"/>
      <c r="AJ72" s="326"/>
      <c r="AK72" s="294"/>
      <c r="AL72" s="872">
        <f>+AL70-R145</f>
        <v>0</v>
      </c>
      <c r="AM72" s="326"/>
      <c r="AN72" s="326">
        <f>+AB106+AB116+AD121-AD97</f>
        <v>-256065</v>
      </c>
    </row>
    <row r="73" spans="1:43" ht="15.75" customHeight="1">
      <c r="B73" s="350"/>
      <c r="C73" s="276"/>
      <c r="D73" s="303"/>
      <c r="E73" s="303"/>
      <c r="F73" s="303"/>
      <c r="G73" s="303"/>
      <c r="H73" s="303"/>
      <c r="I73" s="303"/>
      <c r="Q73" s="303"/>
      <c r="R73" s="303"/>
      <c r="S73" s="303"/>
      <c r="T73" s="303"/>
      <c r="U73" s="303"/>
      <c r="V73" s="303"/>
      <c r="W73" s="303"/>
      <c r="X73" s="303"/>
      <c r="Y73" s="294"/>
      <c r="Z73" s="303"/>
      <c r="AA73" s="303"/>
      <c r="AB73" s="303"/>
      <c r="AC73" s="303"/>
      <c r="AD73" s="303"/>
      <c r="AE73" s="294"/>
      <c r="AF73" s="303"/>
      <c r="AG73" s="294"/>
      <c r="AH73" s="303"/>
      <c r="AI73" s="294"/>
      <c r="AJ73" s="303"/>
      <c r="AK73" s="294"/>
      <c r="AL73" s="680" t="s">
        <v>3007</v>
      </c>
      <c r="AM73" s="303"/>
      <c r="AN73" s="303">
        <f>+AN72-AL72</f>
        <v>-256065</v>
      </c>
    </row>
    <row r="74" spans="1:43" ht="15.75" customHeight="1">
      <c r="B74" s="276"/>
      <c r="C74" s="276"/>
      <c r="D74" s="303"/>
      <c r="E74" s="303"/>
      <c r="F74" s="303"/>
      <c r="G74" s="303"/>
      <c r="H74" s="303"/>
      <c r="I74" s="303"/>
      <c r="Q74" s="303"/>
      <c r="R74" s="303"/>
      <c r="S74" s="303"/>
      <c r="T74" s="303"/>
      <c r="U74" s="303"/>
      <c r="V74" s="303"/>
      <c r="W74" s="303"/>
      <c r="X74" s="303"/>
      <c r="Y74" s="303"/>
      <c r="Z74" s="303"/>
      <c r="AA74" s="303"/>
      <c r="AB74" s="303"/>
      <c r="AC74" s="303"/>
      <c r="AI74" s="294"/>
      <c r="AJ74" s="303"/>
      <c r="AK74" s="294"/>
      <c r="AL74" s="399" t="s">
        <v>2731</v>
      </c>
      <c r="AN74" s="303"/>
    </row>
    <row r="75" spans="1:43" ht="15.75" customHeight="1">
      <c r="B75" s="276"/>
      <c r="C75" s="276"/>
      <c r="D75" s="303"/>
      <c r="E75" s="303"/>
      <c r="F75" s="303"/>
      <c r="G75" s="303"/>
      <c r="H75" s="303"/>
      <c r="I75" s="303"/>
      <c r="Q75" s="303"/>
      <c r="R75" s="303"/>
      <c r="S75" s="303"/>
      <c r="T75" s="303"/>
      <c r="U75" s="303"/>
      <c r="V75" s="303"/>
      <c r="W75" s="303"/>
      <c r="X75" s="303"/>
      <c r="Y75" s="303"/>
      <c r="Z75" s="303"/>
      <c r="AA75" s="303"/>
      <c r="AB75" s="303"/>
      <c r="AC75" s="303"/>
      <c r="AI75" s="294"/>
      <c r="AJ75" s="303"/>
      <c r="AK75" s="294"/>
      <c r="AL75" s="399"/>
      <c r="AM75" s="288" t="s">
        <v>2493</v>
      </c>
      <c r="AN75" s="303"/>
      <c r="AQ75" s="303"/>
    </row>
    <row r="76" spans="1:43" ht="15.75" hidden="1" customHeight="1">
      <c r="B76" s="305"/>
      <c r="C76" s="277"/>
      <c r="D76" s="277"/>
      <c r="E76" s="277"/>
      <c r="F76" s="277"/>
      <c r="G76" s="277"/>
      <c r="H76" s="277"/>
      <c r="I76" s="277"/>
      <c r="J76" s="289"/>
      <c r="K76" s="289"/>
      <c r="L76" s="289"/>
      <c r="M76" s="289"/>
      <c r="N76" s="289"/>
      <c r="O76" s="289"/>
      <c r="P76" s="289"/>
      <c r="Q76" s="277"/>
      <c r="R76" s="277"/>
      <c r="S76" s="277"/>
      <c r="T76" s="289"/>
      <c r="U76" s="289"/>
      <c r="V76" s="289"/>
      <c r="W76" s="303"/>
      <c r="X76" s="303"/>
      <c r="Y76" s="303"/>
      <c r="Z76" s="359" t="s">
        <v>1644</v>
      </c>
      <c r="AA76" s="303"/>
      <c r="AB76" s="303"/>
      <c r="AC76" s="303"/>
      <c r="AI76" s="294"/>
      <c r="AJ76" s="303"/>
      <c r="AK76" s="294"/>
      <c r="AL76" s="746"/>
      <c r="AN76" s="303"/>
      <c r="AQ76" s="303"/>
    </row>
    <row r="77" spans="1:43" ht="20.25" customHeight="1">
      <c r="B77" s="1324" t="s">
        <v>1033</v>
      </c>
      <c r="C77" s="1324"/>
      <c r="D77" s="1324"/>
      <c r="E77" s="1324"/>
      <c r="F77" s="1324"/>
      <c r="G77" s="1324"/>
      <c r="H77" s="1324"/>
      <c r="I77" s="1324"/>
      <c r="J77" s="1324"/>
      <c r="K77" s="1324"/>
      <c r="L77" s="1324"/>
      <c r="M77" s="1324"/>
      <c r="N77" s="1324"/>
      <c r="O77" s="1324"/>
      <c r="P77" s="1324"/>
      <c r="Q77" s="1155"/>
      <c r="R77" s="1155"/>
      <c r="S77" s="277"/>
      <c r="T77" s="289"/>
      <c r="U77" s="289"/>
      <c r="V77" s="289"/>
      <c r="W77" s="303"/>
      <c r="X77" s="303"/>
      <c r="Y77" s="303"/>
      <c r="Z77" s="288" t="s">
        <v>722</v>
      </c>
      <c r="AA77" s="303"/>
      <c r="AB77" s="303">
        <f>+AB84</f>
        <v>0</v>
      </c>
      <c r="AC77" s="303"/>
      <c r="AI77" s="294"/>
      <c r="AJ77" s="303"/>
      <c r="AK77" s="294"/>
      <c r="AL77" s="746"/>
      <c r="AN77" s="303"/>
      <c r="AQ77" s="303"/>
    </row>
    <row r="78" spans="1:43" ht="27" customHeight="1">
      <c r="B78" s="1324" t="s">
        <v>1032</v>
      </c>
      <c r="C78" s="1324"/>
      <c r="D78" s="1324"/>
      <c r="E78" s="1324"/>
      <c r="F78" s="1324"/>
      <c r="G78" s="1324"/>
      <c r="H78" s="1324"/>
      <c r="I78" s="1324"/>
      <c r="J78" s="1324"/>
      <c r="K78" s="1324"/>
      <c r="L78" s="1324"/>
      <c r="M78" s="1324"/>
      <c r="N78" s="1324"/>
      <c r="O78" s="1324"/>
      <c r="P78" s="1324"/>
      <c r="Q78" s="1155"/>
      <c r="R78" s="1155"/>
      <c r="S78" s="277"/>
      <c r="T78" s="289"/>
      <c r="U78" s="289"/>
      <c r="V78" s="289"/>
      <c r="W78" s="303"/>
      <c r="X78" s="303"/>
      <c r="Y78" s="303"/>
      <c r="Z78" s="288" t="s">
        <v>723</v>
      </c>
      <c r="AA78" s="303"/>
      <c r="AB78" s="303">
        <f>+AB85</f>
        <v>223668</v>
      </c>
      <c r="AC78" s="303"/>
      <c r="AI78" s="294"/>
      <c r="AJ78" s="303"/>
      <c r="AK78" s="294"/>
      <c r="AL78" s="746"/>
      <c r="AN78" s="303"/>
      <c r="AQ78" s="303"/>
    </row>
    <row r="79" spans="1:43" ht="23.25" customHeight="1">
      <c r="B79" s="1322" t="str">
        <f>+B6</f>
        <v>For the  Fiscal Year Ended June 30, 2023</v>
      </c>
      <c r="C79" s="1322"/>
      <c r="D79" s="1322"/>
      <c r="E79" s="1322"/>
      <c r="F79" s="1322"/>
      <c r="G79" s="1322"/>
      <c r="H79" s="1322"/>
      <c r="I79" s="1322"/>
      <c r="J79" s="1322"/>
      <c r="K79" s="1322"/>
      <c r="L79" s="1322"/>
      <c r="M79" s="1322"/>
      <c r="N79" s="1322"/>
      <c r="O79" s="1322"/>
      <c r="P79" s="1322"/>
      <c r="Q79" s="1155"/>
      <c r="R79" s="1155"/>
      <c r="S79" s="277"/>
      <c r="T79" s="289"/>
      <c r="U79" s="289"/>
      <c r="V79" s="289"/>
      <c r="W79" s="303"/>
      <c r="X79" s="303"/>
      <c r="Y79" s="303"/>
      <c r="Z79" s="288" t="s">
        <v>724</v>
      </c>
      <c r="AA79" s="303"/>
      <c r="AB79" s="303">
        <f>+AB86+AB90</f>
        <v>2113293</v>
      </c>
      <c r="AC79" s="303"/>
      <c r="AI79" s="294"/>
      <c r="AJ79" s="303"/>
      <c r="AK79" s="294"/>
      <c r="AL79" s="746"/>
      <c r="AN79" s="303"/>
      <c r="AQ79" s="303"/>
    </row>
    <row r="80" spans="1:43" ht="23.25">
      <c r="B80" s="1322"/>
      <c r="C80" s="1322"/>
      <c r="D80" s="1322"/>
      <c r="E80" s="1322"/>
      <c r="F80" s="1322"/>
      <c r="G80" s="1322"/>
      <c r="H80" s="1322"/>
      <c r="I80" s="1322"/>
      <c r="J80" s="1322"/>
      <c r="K80" s="1322"/>
      <c r="L80" s="1322"/>
      <c r="M80" s="1322"/>
      <c r="N80" s="1322"/>
      <c r="O80" s="1322"/>
      <c r="P80" s="1322"/>
      <c r="Q80" s="1167"/>
      <c r="R80" s="1167"/>
      <c r="S80" s="303"/>
      <c r="T80" s="303"/>
      <c r="U80" s="303"/>
      <c r="V80" s="303"/>
      <c r="W80" s="303"/>
      <c r="X80" s="303"/>
      <c r="Y80" s="303"/>
      <c r="Z80" s="288" t="s">
        <v>725</v>
      </c>
      <c r="AA80" s="303"/>
      <c r="AB80" s="303">
        <f>+AB87</f>
        <v>0</v>
      </c>
      <c r="AC80" s="303"/>
      <c r="AI80" s="294"/>
      <c r="AJ80" s="303"/>
      <c r="AK80" s="294"/>
      <c r="AL80" s="746"/>
      <c r="AN80" s="303"/>
      <c r="AQ80" s="303"/>
    </row>
    <row r="81" spans="2:44" ht="23.25">
      <c r="B81" s="1159"/>
      <c r="C81" s="1159"/>
      <c r="D81" s="1167"/>
      <c r="E81" s="1167"/>
      <c r="F81" s="1167"/>
      <c r="G81" s="1167"/>
      <c r="H81" s="1167"/>
      <c r="I81" s="1167"/>
      <c r="J81" s="1167"/>
      <c r="K81" s="1167"/>
      <c r="L81" s="1167"/>
      <c r="M81" s="1167"/>
      <c r="N81" s="1167"/>
      <c r="O81" s="1167"/>
      <c r="P81" s="1167"/>
      <c r="Q81" s="1167"/>
      <c r="R81" s="1167"/>
      <c r="S81" s="303"/>
      <c r="T81" s="303"/>
      <c r="U81" s="303"/>
      <c r="V81" s="303"/>
      <c r="W81" s="303"/>
      <c r="X81" s="303"/>
      <c r="Y81" s="303"/>
      <c r="Z81" s="288" t="s">
        <v>560</v>
      </c>
      <c r="AA81" s="303"/>
      <c r="AB81" s="303">
        <f>+AB88</f>
        <v>0</v>
      </c>
      <c r="AC81" s="303"/>
      <c r="AI81" s="294"/>
      <c r="AJ81" s="303"/>
      <c r="AK81" s="294"/>
      <c r="AL81" s="746"/>
      <c r="AN81" s="303"/>
      <c r="AQ81" s="303"/>
    </row>
    <row r="82" spans="2:44" ht="23.25">
      <c r="B82" s="1159"/>
      <c r="C82" s="1159"/>
      <c r="D82" s="1167"/>
      <c r="E82" s="1167"/>
      <c r="F82" s="1167"/>
      <c r="G82" s="1167"/>
      <c r="H82" s="1167"/>
      <c r="I82" s="1167"/>
      <c r="J82" s="1167"/>
      <c r="K82" s="1167"/>
      <c r="L82" s="1167"/>
      <c r="M82" s="1167"/>
      <c r="N82" s="1167"/>
      <c r="O82" s="1167"/>
      <c r="P82" s="1167"/>
      <c r="Q82" s="1167"/>
      <c r="R82" s="1167"/>
      <c r="S82" s="303"/>
      <c r="T82" s="303"/>
      <c r="U82" s="303"/>
      <c r="V82" s="303"/>
      <c r="W82" s="303"/>
      <c r="X82" s="303"/>
      <c r="Y82" s="303"/>
      <c r="Z82" s="288" t="s">
        <v>561</v>
      </c>
      <c r="AA82" s="303"/>
      <c r="AB82" s="303">
        <f>+AB89</f>
        <v>0</v>
      </c>
      <c r="AC82" s="303"/>
      <c r="AD82" s="288" t="s">
        <v>2494</v>
      </c>
      <c r="AI82" s="294"/>
      <c r="AJ82" s="303"/>
      <c r="AK82" s="294"/>
      <c r="AL82" s="746"/>
      <c r="AN82" s="303"/>
      <c r="AQ82" s="303"/>
    </row>
    <row r="83" spans="2:44" ht="23.25">
      <c r="B83" s="1156"/>
      <c r="C83" s="1159"/>
      <c r="D83" s="1167"/>
      <c r="E83" s="1167"/>
      <c r="F83" s="1167"/>
      <c r="G83" s="1167"/>
      <c r="H83" s="1167"/>
      <c r="I83" s="1167"/>
      <c r="J83" s="1167"/>
      <c r="K83" s="1167"/>
      <c r="L83" s="1167"/>
      <c r="M83" s="1167"/>
      <c r="N83" s="1167"/>
      <c r="O83" s="1167"/>
      <c r="P83" s="1167"/>
      <c r="Q83" s="1167"/>
      <c r="R83" s="1167"/>
      <c r="S83" s="303"/>
      <c r="T83" s="303"/>
      <c r="U83" s="303"/>
      <c r="V83" s="303"/>
      <c r="W83" s="303"/>
      <c r="X83" s="303"/>
      <c r="Y83" s="303"/>
      <c r="Z83" s="303"/>
      <c r="AA83" s="303"/>
      <c r="AB83" s="359" t="s">
        <v>3154</v>
      </c>
      <c r="AC83" s="303"/>
      <c r="AI83" s="303"/>
      <c r="AJ83" s="303"/>
      <c r="AK83" s="294"/>
      <c r="AL83" s="746"/>
      <c r="AN83" s="303"/>
    </row>
    <row r="84" spans="2:44" ht="26.25">
      <c r="B84" s="1156"/>
      <c r="C84" s="1159"/>
      <c r="D84" s="1167"/>
      <c r="E84" s="1167"/>
      <c r="F84" s="1167"/>
      <c r="G84" s="1167"/>
      <c r="H84" s="1167"/>
      <c r="I84" s="1167"/>
      <c r="J84" s="1167"/>
      <c r="K84" s="1167"/>
      <c r="L84" s="1167"/>
      <c r="M84" s="1167"/>
      <c r="N84" s="1167"/>
      <c r="O84" s="1167"/>
      <c r="P84" s="1167"/>
      <c r="Q84" s="1167"/>
      <c r="R84" s="1167"/>
      <c r="S84" s="303"/>
      <c r="T84" s="303"/>
      <c r="U84" s="303"/>
      <c r="V84" s="303"/>
      <c r="W84" s="303"/>
      <c r="X84" s="303"/>
      <c r="Y84" s="303"/>
      <c r="Z84" s="303"/>
      <c r="AA84" s="292" t="s">
        <v>1343</v>
      </c>
      <c r="AB84" s="558"/>
      <c r="AC84" s="303"/>
      <c r="AF84" s="402"/>
      <c r="AG84" s="403" t="s">
        <v>121</v>
      </c>
      <c r="AH84" s="404"/>
      <c r="AI84" s="292"/>
      <c r="AJ84" s="303"/>
      <c r="AK84" s="294"/>
      <c r="AL84" s="288">
        <v>0</v>
      </c>
      <c r="AN84" s="303"/>
      <c r="AP84" s="558">
        <v>125500</v>
      </c>
      <c r="AQ84" s="303"/>
    </row>
    <row r="85" spans="2:44" ht="23.25">
      <c r="B85" s="1159" t="s">
        <v>2569</v>
      </c>
      <c r="C85" s="1159"/>
      <c r="D85" s="1167"/>
      <c r="E85" s="1167"/>
      <c r="F85" s="1167"/>
      <c r="G85" s="1167"/>
      <c r="H85" s="1167"/>
      <c r="I85" s="1167"/>
      <c r="J85" s="1167"/>
      <c r="K85" s="1167"/>
      <c r="L85" s="1167"/>
      <c r="M85" s="1167"/>
      <c r="N85" s="1167"/>
      <c r="O85" s="1167"/>
      <c r="P85" s="1159"/>
      <c r="Q85" s="1159"/>
      <c r="R85" s="1161">
        <f>+T60</f>
        <v>4952404</v>
      </c>
      <c r="U85" s="292"/>
      <c r="V85" s="292"/>
      <c r="W85" s="292"/>
      <c r="X85" s="292"/>
      <c r="Y85" s="303"/>
      <c r="Z85" s="303"/>
      <c r="AA85" s="292" t="s">
        <v>1344</v>
      </c>
      <c r="AB85" s="558">
        <f>98168+125500</f>
        <v>223668</v>
      </c>
      <c r="AC85" s="292"/>
      <c r="AD85" s="292"/>
      <c r="AE85" s="292"/>
      <c r="AF85" s="746">
        <v>50744636</v>
      </c>
      <c r="AG85" s="405" t="s">
        <v>3484</v>
      </c>
      <c r="AH85" s="406"/>
      <c r="AI85" s="321" t="s">
        <v>3435</v>
      </c>
      <c r="AK85" s="294"/>
      <c r="AL85" s="746"/>
      <c r="AM85" s="303"/>
      <c r="AN85" s="303"/>
      <c r="AP85" s="558">
        <v>98168</v>
      </c>
      <c r="AQ85" s="292"/>
      <c r="AR85" s="292"/>
    </row>
    <row r="86" spans="2:44" ht="23.25">
      <c r="B86" s="1159"/>
      <c r="C86" s="1159"/>
      <c r="D86" s="1167"/>
      <c r="E86" s="1167"/>
      <c r="F86" s="1167"/>
      <c r="G86" s="1167"/>
      <c r="H86" s="1167"/>
      <c r="I86" s="1167"/>
      <c r="J86" s="1167"/>
      <c r="K86" s="1167"/>
      <c r="L86" s="1167"/>
      <c r="M86" s="1167"/>
      <c r="N86" s="1167"/>
      <c r="O86" s="1167"/>
      <c r="P86" s="1159"/>
      <c r="Q86" s="1159"/>
      <c r="R86" s="1161"/>
      <c r="U86" s="292"/>
      <c r="V86" s="292"/>
      <c r="W86" s="292"/>
      <c r="X86" s="292"/>
      <c r="Y86" s="303"/>
      <c r="Z86" s="303"/>
      <c r="AA86" s="303" t="s">
        <v>1345</v>
      </c>
      <c r="AB86" s="558">
        <v>1530360</v>
      </c>
      <c r="AC86" s="405"/>
      <c r="AD86" s="292"/>
      <c r="AE86" s="292"/>
      <c r="AF86" s="746">
        <v>1001600</v>
      </c>
      <c r="AG86" s="405" t="s">
        <v>3434</v>
      </c>
      <c r="AH86" s="407"/>
      <c r="AI86" s="408" t="s">
        <v>979</v>
      </c>
      <c r="AK86" s="294"/>
      <c r="AL86" s="746"/>
      <c r="AM86" s="303"/>
      <c r="AN86" s="303"/>
      <c r="AP86" s="558">
        <v>1530360</v>
      </c>
      <c r="AQ86" s="405"/>
      <c r="AR86" s="292"/>
    </row>
    <row r="87" spans="2:44" ht="23.25">
      <c r="B87" s="1159" t="s">
        <v>1895</v>
      </c>
      <c r="C87" s="1168"/>
      <c r="D87" s="1168"/>
      <c r="E87" s="1168"/>
      <c r="F87" s="1168"/>
      <c r="G87" s="1168"/>
      <c r="H87" s="1168"/>
      <c r="I87" s="1167"/>
      <c r="J87" s="1167"/>
      <c r="K87" s="1167"/>
      <c r="L87" s="1167"/>
      <c r="M87" s="1167"/>
      <c r="N87" s="1167"/>
      <c r="O87" s="1167"/>
      <c r="P87" s="1159"/>
      <c r="Q87" s="1159"/>
      <c r="R87" s="1167"/>
      <c r="U87" s="303"/>
      <c r="V87" s="303"/>
      <c r="W87" s="303"/>
      <c r="X87" s="303"/>
      <c r="Y87" s="303"/>
      <c r="Z87" s="303"/>
      <c r="AA87" s="303" t="s">
        <v>1346</v>
      </c>
      <c r="AB87" s="558"/>
      <c r="AC87" s="303"/>
      <c r="AD87" s="303"/>
      <c r="AE87" s="303"/>
      <c r="AF87" s="746">
        <v>7520458</v>
      </c>
      <c r="AG87" s="405" t="s">
        <v>3433</v>
      </c>
      <c r="AH87" s="407"/>
      <c r="AI87" s="321" t="s">
        <v>2307</v>
      </c>
      <c r="AK87" s="294"/>
      <c r="AL87" s="746"/>
      <c r="AM87" s="303"/>
      <c r="AN87" s="303"/>
      <c r="AP87" s="558"/>
      <c r="AQ87" s="303"/>
      <c r="AR87" s="303"/>
    </row>
    <row r="88" spans="2:44" ht="23.25">
      <c r="B88" s="1155"/>
      <c r="C88" s="1155"/>
      <c r="D88" s="1155"/>
      <c r="E88" s="1155"/>
      <c r="F88" s="1155"/>
      <c r="G88" s="1155"/>
      <c r="H88" s="1155"/>
      <c r="I88" s="1155"/>
      <c r="J88" s="1155"/>
      <c r="K88" s="1155"/>
      <c r="L88" s="1155"/>
      <c r="M88" s="1155"/>
      <c r="N88" s="1155"/>
      <c r="O88" s="1155"/>
      <c r="P88" s="1159"/>
      <c r="Q88" s="1159"/>
      <c r="R88" s="1155"/>
      <c r="U88" s="277"/>
      <c r="V88" s="277"/>
      <c r="W88" s="277"/>
      <c r="X88" s="277"/>
      <c r="Y88" s="303"/>
      <c r="Z88" s="303"/>
      <c r="AA88" s="303" t="s">
        <v>1347</v>
      </c>
      <c r="AB88" s="398"/>
      <c r="AC88" s="277"/>
      <c r="AD88" s="359" t="s">
        <v>1639</v>
      </c>
      <c r="AE88" s="277"/>
      <c r="AF88" s="746">
        <v>-11179438</v>
      </c>
      <c r="AG88" s="405" t="s">
        <v>3432</v>
      </c>
      <c r="AH88" s="407"/>
      <c r="AI88" s="321" t="s">
        <v>2308</v>
      </c>
      <c r="AK88" s="294"/>
      <c r="AL88" s="303">
        <f>SUM(AL76:AL87)</f>
        <v>0</v>
      </c>
      <c r="AM88" s="303"/>
      <c r="AN88" s="303"/>
      <c r="AP88" s="398"/>
      <c r="AQ88" s="277"/>
      <c r="AR88" s="359" t="s">
        <v>1639</v>
      </c>
    </row>
    <row r="89" spans="2:44" ht="23.25">
      <c r="B89" s="1159" t="s">
        <v>1025</v>
      </c>
      <c r="C89" s="1159"/>
      <c r="D89" s="1167"/>
      <c r="E89" s="1167"/>
      <c r="F89" s="1167"/>
      <c r="G89" s="1167"/>
      <c r="H89" s="1167"/>
      <c r="I89" s="1167"/>
      <c r="J89" s="1167"/>
      <c r="K89" s="1167"/>
      <c r="L89" s="1167"/>
      <c r="M89" s="1167"/>
      <c r="N89" s="1167"/>
      <c r="O89" s="1167"/>
      <c r="P89" s="1159"/>
      <c r="Q89" s="1159"/>
      <c r="R89" s="1167"/>
      <c r="U89" s="303"/>
      <c r="V89" s="303"/>
      <c r="W89" s="303"/>
      <c r="X89" s="303"/>
      <c r="Y89" s="303"/>
      <c r="Z89" s="303"/>
      <c r="AA89" s="303" t="s">
        <v>1348</v>
      </c>
      <c r="AB89" s="398"/>
      <c r="AC89" s="292" t="s">
        <v>1343</v>
      </c>
      <c r="AD89" s="558">
        <v>284453</v>
      </c>
      <c r="AE89" s="303"/>
      <c r="AF89" s="746">
        <v>-8123</v>
      </c>
      <c r="AG89" s="405" t="s">
        <v>3431</v>
      </c>
      <c r="AH89" s="409"/>
      <c r="AI89" s="410" t="s">
        <v>1308</v>
      </c>
      <c r="AK89" s="294"/>
      <c r="AL89" s="303">
        <f>+AL88+AL72</f>
        <v>0</v>
      </c>
      <c r="AM89" s="303">
        <f>+AL89/2</f>
        <v>0</v>
      </c>
      <c r="AN89" s="303"/>
      <c r="AP89" s="398"/>
      <c r="AQ89" s="292" t="s">
        <v>1343</v>
      </c>
      <c r="AR89" s="558">
        <v>284453</v>
      </c>
    </row>
    <row r="90" spans="2:44" ht="23.25">
      <c r="B90" s="1159" t="s">
        <v>514</v>
      </c>
      <c r="C90" s="1159"/>
      <c r="D90" s="1167"/>
      <c r="E90" s="1167"/>
      <c r="F90" s="1167"/>
      <c r="G90" s="1167"/>
      <c r="H90" s="1167"/>
      <c r="I90" s="1167"/>
      <c r="J90" s="1167"/>
      <c r="K90" s="1167"/>
      <c r="L90" s="1167"/>
      <c r="M90" s="1167"/>
      <c r="N90" s="1167"/>
      <c r="O90" s="1167"/>
      <c r="P90" s="1159"/>
      <c r="Q90" s="1159"/>
      <c r="R90" s="1167"/>
      <c r="U90" s="303"/>
      <c r="V90" s="303"/>
      <c r="W90" s="303"/>
      <c r="X90" s="303"/>
      <c r="Y90" s="303"/>
      <c r="Z90" s="303"/>
      <c r="AA90" s="303" t="s">
        <v>1642</v>
      </c>
      <c r="AB90" s="398">
        <v>582933</v>
      </c>
      <c r="AC90" s="292" t="s">
        <v>1344</v>
      </c>
      <c r="AD90" s="558">
        <v>865333</v>
      </c>
      <c r="AE90" s="303"/>
      <c r="AF90" s="746">
        <v>-9272502</v>
      </c>
      <c r="AG90" s="405" t="s">
        <v>3428</v>
      </c>
      <c r="AH90" s="407"/>
      <c r="AI90" s="412" t="s">
        <v>1589</v>
      </c>
      <c r="AK90" s="294"/>
      <c r="AL90" s="303">
        <f>+AL88-AL72</f>
        <v>0</v>
      </c>
      <c r="AM90" s="303">
        <f>+AL90/2</f>
        <v>0</v>
      </c>
      <c r="AN90" s="303"/>
      <c r="AP90" s="398">
        <v>582933</v>
      </c>
      <c r="AQ90" s="292" t="s">
        <v>1344</v>
      </c>
      <c r="AR90" s="558">
        <v>865333</v>
      </c>
    </row>
    <row r="91" spans="2:44" ht="24" thickBot="1">
      <c r="B91" s="1159" t="s">
        <v>855</v>
      </c>
      <c r="C91" s="1159"/>
      <c r="D91" s="1167"/>
      <c r="E91" s="1167"/>
      <c r="F91" s="1167"/>
      <c r="G91" s="1167"/>
      <c r="H91" s="1167"/>
      <c r="I91" s="1167"/>
      <c r="J91" s="1167"/>
      <c r="K91" s="1167"/>
      <c r="L91" s="1167"/>
      <c r="M91" s="1167"/>
      <c r="N91" s="1161">
        <f>+AB91+AB97+AB116</f>
        <v>2854145</v>
      </c>
      <c r="O91" s="1167"/>
      <c r="P91" s="1159"/>
      <c r="Q91" s="1159"/>
      <c r="R91" s="1167"/>
      <c r="U91" s="303"/>
      <c r="V91" s="303"/>
      <c r="W91" s="303"/>
      <c r="X91" s="423" t="s">
        <v>3483</v>
      </c>
      <c r="Y91" s="303"/>
      <c r="Z91" s="303"/>
      <c r="AA91" s="303"/>
      <c r="AB91" s="413">
        <f>SUM(AB84:AB90)</f>
        <v>2336961</v>
      </c>
      <c r="AC91" s="303" t="s">
        <v>1345</v>
      </c>
      <c r="AD91" s="558">
        <f>1236731+838</f>
        <v>1237569</v>
      </c>
      <c r="AE91" s="303"/>
      <c r="AF91" s="746">
        <v>-296686</v>
      </c>
      <c r="AG91" s="405" t="s">
        <v>3429</v>
      </c>
      <c r="AI91" s="276" t="s">
        <v>2069</v>
      </c>
      <c r="AL91" s="303"/>
      <c r="AM91" s="303"/>
      <c r="AN91" s="303"/>
      <c r="AP91" s="413">
        <f>SUM(AP84:AP90)</f>
        <v>2336961</v>
      </c>
      <c r="AQ91" s="303" t="s">
        <v>1345</v>
      </c>
      <c r="AR91" s="558">
        <v>1236731</v>
      </c>
    </row>
    <row r="92" spans="2:44" ht="24" thickTop="1">
      <c r="B92" s="1159"/>
      <c r="C92" s="1159"/>
      <c r="D92" s="1159"/>
      <c r="E92" s="1159"/>
      <c r="F92" s="1159"/>
      <c r="G92" s="1159"/>
      <c r="H92" s="1159"/>
      <c r="I92" s="1159"/>
      <c r="J92" s="1159"/>
      <c r="K92" s="1159"/>
      <c r="L92" s="1159"/>
      <c r="M92" s="1159"/>
      <c r="N92" s="1159"/>
      <c r="O92" s="1167"/>
      <c r="P92" s="1159"/>
      <c r="Q92" s="1159"/>
      <c r="R92" s="1167"/>
      <c r="U92" s="303"/>
      <c r="V92" s="303"/>
      <c r="W92" s="303"/>
      <c r="X92" s="292">
        <f>+N98+N91+N103</f>
        <v>3554388</v>
      </c>
      <c r="Y92" s="303"/>
      <c r="Z92" s="303"/>
      <c r="AA92" s="303"/>
      <c r="AB92" s="359" t="s">
        <v>1645</v>
      </c>
      <c r="AC92" s="303" t="s">
        <v>1346</v>
      </c>
      <c r="AD92" s="558">
        <v>197095</v>
      </c>
      <c r="AE92" s="303"/>
      <c r="AF92" s="746">
        <v>-942283</v>
      </c>
      <c r="AG92" s="405" t="s">
        <v>3427</v>
      </c>
      <c r="AH92" s="407"/>
      <c r="AI92" s="412" t="s">
        <v>1159</v>
      </c>
      <c r="AK92" s="294"/>
      <c r="AL92" s="303"/>
      <c r="AM92" s="303"/>
      <c r="AN92" s="303"/>
      <c r="AP92" s="359" t="s">
        <v>1645</v>
      </c>
      <c r="AQ92" s="303" t="s">
        <v>1346</v>
      </c>
      <c r="AR92" s="558">
        <v>197095</v>
      </c>
    </row>
    <row r="93" spans="2:44" ht="23.25">
      <c r="B93" s="1159" t="s">
        <v>2570</v>
      </c>
      <c r="C93" s="1159"/>
      <c r="D93" s="1167"/>
      <c r="E93" s="1167"/>
      <c r="F93" s="1167"/>
      <c r="G93" s="1167"/>
      <c r="H93" s="1167"/>
      <c r="I93" s="1167"/>
      <c r="J93" s="1167"/>
      <c r="K93" s="1167"/>
      <c r="L93" s="1167"/>
      <c r="M93" s="1167"/>
      <c r="N93" s="1160">
        <f>+AD121+AF119</f>
        <v>-2100</v>
      </c>
      <c r="O93" s="1167"/>
      <c r="P93" s="1159"/>
      <c r="Q93" s="1159"/>
      <c r="R93" s="1159"/>
      <c r="U93" s="303"/>
      <c r="V93" s="303"/>
      <c r="W93" s="303"/>
      <c r="X93" s="1285">
        <f>+X92+AB35</f>
        <v>0</v>
      </c>
      <c r="Y93" s="683"/>
      <c r="Z93" s="684"/>
      <c r="AA93" s="292" t="s">
        <v>1343</v>
      </c>
      <c r="AB93" s="558">
        <v>680683</v>
      </c>
      <c r="AC93" s="303" t="s">
        <v>1347</v>
      </c>
      <c r="AD93" s="558">
        <v>2117</v>
      </c>
      <c r="AE93" s="303"/>
      <c r="AF93" s="746">
        <v>-321758</v>
      </c>
      <c r="AG93" s="405" t="s">
        <v>3430</v>
      </c>
      <c r="AI93" s="288" t="s">
        <v>3270</v>
      </c>
      <c r="AK93" s="294"/>
      <c r="AL93" s="303">
        <f>162482+8071054</f>
        <v>8233536</v>
      </c>
      <c r="AM93" s="303">
        <f>+AL93-AF87</f>
        <v>713078</v>
      </c>
      <c r="AN93" s="303"/>
      <c r="AP93" s="558">
        <v>680683</v>
      </c>
      <c r="AQ93" s="303" t="s">
        <v>1347</v>
      </c>
      <c r="AR93" s="558">
        <v>2117</v>
      </c>
    </row>
    <row r="94" spans="2:44" ht="23.25">
      <c r="B94" s="1159" t="s">
        <v>515</v>
      </c>
      <c r="C94" s="1159"/>
      <c r="D94" s="1167"/>
      <c r="E94" s="1167"/>
      <c r="F94" s="1167"/>
      <c r="G94" s="1167"/>
      <c r="H94" s="1167"/>
      <c r="I94" s="1167"/>
      <c r="J94" s="1167"/>
      <c r="K94" s="1167"/>
      <c r="L94" s="1167"/>
      <c r="M94" s="1167"/>
      <c r="N94" s="1162">
        <f>-AD37</f>
        <v>-3108110</v>
      </c>
      <c r="O94" s="1167"/>
      <c r="P94" s="1159"/>
      <c r="Q94" s="1159"/>
      <c r="R94" s="1167"/>
      <c r="W94" s="303"/>
      <c r="X94" s="803" t="s">
        <v>3155</v>
      </c>
      <c r="Y94" s="420"/>
      <c r="Z94" s="415"/>
      <c r="AA94" s="292" t="s">
        <v>1344</v>
      </c>
      <c r="AB94" s="398"/>
      <c r="AC94" s="303" t="s">
        <v>1348</v>
      </c>
      <c r="AD94" s="558">
        <v>53093</v>
      </c>
      <c r="AE94" s="303"/>
      <c r="AF94" s="746">
        <v>-2528649</v>
      </c>
      <c r="AG94" s="405" t="s">
        <v>3426</v>
      </c>
      <c r="AH94" s="407"/>
      <c r="AI94" s="412" t="s">
        <v>1161</v>
      </c>
      <c r="AK94" s="294"/>
      <c r="AL94" s="303">
        <f>-(131911+6137137)</f>
        <v>-6269048</v>
      </c>
      <c r="AM94" s="303">
        <f>-AL94+AF88</f>
        <v>-4910390</v>
      </c>
      <c r="AN94" s="303"/>
      <c r="AP94" s="398"/>
      <c r="AQ94" s="303" t="s">
        <v>1348</v>
      </c>
      <c r="AR94" s="558">
        <v>53093</v>
      </c>
    </row>
    <row r="95" spans="2:44" ht="23.25">
      <c r="B95" s="1159"/>
      <c r="C95" s="1159"/>
      <c r="D95" s="1159"/>
      <c r="E95" s="1159"/>
      <c r="F95" s="1159"/>
      <c r="G95" s="1159"/>
      <c r="H95" s="1159"/>
      <c r="I95" s="1159"/>
      <c r="J95" s="1159"/>
      <c r="K95" s="1159"/>
      <c r="L95" s="1159"/>
      <c r="M95" s="1159"/>
      <c r="N95" s="1159"/>
      <c r="O95" s="1159"/>
      <c r="P95" s="1159"/>
      <c r="Q95" s="1159"/>
      <c r="R95" s="1160">
        <f>SUM(N91:N94)</f>
        <v>-256065</v>
      </c>
      <c r="W95" s="303"/>
      <c r="X95" s="414"/>
      <c r="Y95" s="303"/>
      <c r="Z95" s="303"/>
      <c r="AA95" s="303" t="s">
        <v>1345</v>
      </c>
      <c r="AB95" s="558">
        <v>967479</v>
      </c>
      <c r="AC95" s="303" t="s">
        <v>1642</v>
      </c>
      <c r="AD95" s="558">
        <v>468450</v>
      </c>
      <c r="AE95" s="303"/>
      <c r="AF95" s="746">
        <v>-18436428</v>
      </c>
      <c r="AG95" s="405" t="s">
        <v>3425</v>
      </c>
      <c r="AH95" s="303"/>
      <c r="AI95" s="276" t="s">
        <v>2042</v>
      </c>
      <c r="AK95" s="294"/>
      <c r="AL95" s="303">
        <f>424907+20308337</f>
        <v>20733244</v>
      </c>
      <c r="AM95" s="303">
        <f>+AL95+AF95</f>
        <v>2296816</v>
      </c>
      <c r="AN95" s="303"/>
      <c r="AP95" s="558">
        <v>967479</v>
      </c>
      <c r="AQ95" s="303" t="s">
        <v>1642</v>
      </c>
      <c r="AR95" s="558">
        <v>468450</v>
      </c>
    </row>
    <row r="96" spans="2:44" ht="23.25">
      <c r="B96" s="1159" t="s">
        <v>3274</v>
      </c>
      <c r="C96" s="1159"/>
      <c r="D96" s="1167"/>
      <c r="E96" s="1167"/>
      <c r="F96" s="1167"/>
      <c r="G96" s="1167"/>
      <c r="H96" s="1167"/>
      <c r="I96" s="1167"/>
      <c r="J96" s="1167"/>
      <c r="K96" s="1167"/>
      <c r="L96" s="1167"/>
      <c r="M96" s="1167"/>
      <c r="N96" s="1159"/>
      <c r="O96" s="1159"/>
      <c r="P96" s="1159"/>
      <c r="Q96" s="1159"/>
      <c r="R96" s="1159"/>
      <c r="U96" s="294"/>
      <c r="V96" s="294"/>
      <c r="W96" s="303"/>
      <c r="X96" s="303"/>
      <c r="Y96" s="303"/>
      <c r="Z96" s="303"/>
      <c r="AA96" s="303" t="s">
        <v>1346</v>
      </c>
      <c r="AB96" s="558">
        <v>0</v>
      </c>
      <c r="AC96" s="303"/>
      <c r="AD96" s="1135"/>
      <c r="AF96" s="746">
        <v>-990910</v>
      </c>
      <c r="AG96" s="405" t="s">
        <v>3424</v>
      </c>
      <c r="AH96" s="407"/>
      <c r="AI96" s="412" t="s">
        <v>566</v>
      </c>
      <c r="AK96" s="294"/>
      <c r="AL96" s="303">
        <v>424908</v>
      </c>
      <c r="AM96" s="303">
        <f>+AL96+AF96</f>
        <v>-566002</v>
      </c>
      <c r="AN96" s="303"/>
      <c r="AP96" s="558">
        <v>0</v>
      </c>
      <c r="AQ96" s="303"/>
      <c r="AR96" s="1135"/>
    </row>
    <row r="97" spans="2:46" ht="45.75" customHeight="1" thickBot="1">
      <c r="B97" s="1325" t="s">
        <v>3468</v>
      </c>
      <c r="C97" s="1325"/>
      <c r="D97" s="1325"/>
      <c r="E97" s="1325"/>
      <c r="F97" s="1325"/>
      <c r="G97" s="1325"/>
      <c r="H97" s="1325"/>
      <c r="I97" s="1325"/>
      <c r="J97" s="1325"/>
      <c r="K97" s="1325"/>
      <c r="L97" s="1325"/>
      <c r="M97" s="1159"/>
      <c r="N97" s="1159"/>
      <c r="O97" s="1159"/>
      <c r="P97" s="1159"/>
      <c r="Q97" s="1159"/>
      <c r="R97" s="1159"/>
      <c r="U97" s="303"/>
      <c r="V97" s="303"/>
      <c r="W97" s="303"/>
      <c r="X97" s="303"/>
      <c r="Y97" s="303"/>
      <c r="Z97" s="303"/>
      <c r="AA97" s="303"/>
      <c r="AB97" s="413">
        <f>SUM(AB93:AB96)</f>
        <v>1648162</v>
      </c>
      <c r="AD97" s="413">
        <f>SUM(AD89:AD96)</f>
        <v>3108110</v>
      </c>
      <c r="AE97" s="303"/>
      <c r="AF97" s="288">
        <f>SUM(AF85:AF96)</f>
        <v>15289917</v>
      </c>
      <c r="AG97" s="751" t="s">
        <v>3436</v>
      </c>
      <c r="AH97" s="415"/>
      <c r="AI97" s="303"/>
      <c r="AJ97" s="412"/>
      <c r="AK97" s="294"/>
      <c r="AL97" s="303">
        <f>SUM(AL93:AL96)</f>
        <v>23122640</v>
      </c>
      <c r="AM97" s="303">
        <f>SUM(AM93:AM96)</f>
        <v>-2466498</v>
      </c>
      <c r="AN97" s="303"/>
      <c r="AR97" s="288">
        <f>SUM(AR89:AR96)</f>
        <v>3107272</v>
      </c>
    </row>
    <row r="98" spans="2:46" ht="24" thickTop="1">
      <c r="B98" s="1159" t="s">
        <v>3346</v>
      </c>
      <c r="C98" s="1159"/>
      <c r="D98" s="1159"/>
      <c r="E98" s="1159"/>
      <c r="F98" s="1159"/>
      <c r="G98" s="1159"/>
      <c r="H98" s="1159"/>
      <c r="I98" s="1159"/>
      <c r="J98" s="1159"/>
      <c r="K98" s="1159"/>
      <c r="L98" s="1159"/>
      <c r="M98" s="1159"/>
      <c r="N98" s="1160">
        <f>+X114</f>
        <v>157932</v>
      </c>
      <c r="O98" s="1167"/>
      <c r="P98" s="1159"/>
      <c r="Q98" s="1159"/>
      <c r="R98" s="1159"/>
      <c r="U98" s="303"/>
      <c r="V98" s="303"/>
      <c r="W98" s="303"/>
      <c r="X98" s="303"/>
      <c r="Y98" s="321" t="s">
        <v>3276</v>
      </c>
      <c r="Z98" s="303"/>
      <c r="AA98" s="303"/>
      <c r="AB98" s="303"/>
      <c r="AD98" s="303"/>
      <c r="AE98" s="303"/>
      <c r="AG98" s="1142"/>
      <c r="AH98" s="303"/>
      <c r="AI98" s="303"/>
      <c r="AJ98" s="412"/>
      <c r="AK98" s="294"/>
      <c r="AL98" s="303"/>
      <c r="AM98" s="303"/>
      <c r="AN98" s="303"/>
    </row>
    <row r="99" spans="2:46" ht="23.25">
      <c r="B99" s="1159" t="s">
        <v>3275</v>
      </c>
      <c r="C99" s="1159"/>
      <c r="D99" s="1159"/>
      <c r="E99" s="1159"/>
      <c r="F99" s="1159"/>
      <c r="G99" s="1159"/>
      <c r="H99" s="1159"/>
      <c r="I99" s="1159"/>
      <c r="J99" s="1159"/>
      <c r="K99" s="1159"/>
      <c r="L99" s="1159"/>
      <c r="M99" s="1159"/>
      <c r="N99" s="1162">
        <f>-X99</f>
        <v>-108633</v>
      </c>
      <c r="O99" s="1167"/>
      <c r="P99" s="1159"/>
      <c r="Q99" s="1159"/>
      <c r="R99" s="1167"/>
      <c r="U99" s="303"/>
      <c r="V99" s="303"/>
      <c r="W99" s="303"/>
      <c r="X99" s="421">
        <f>52799+13161+42673</f>
        <v>108633</v>
      </c>
      <c r="Y99" s="321" t="s">
        <v>3276</v>
      </c>
      <c r="Z99" s="303"/>
      <c r="AA99" s="303"/>
      <c r="AB99" s="303">
        <f>+AB91+AB97+AB116</f>
        <v>2854145</v>
      </c>
      <c r="AD99" s="303"/>
      <c r="AE99" s="303"/>
      <c r="AG99" s="1142"/>
      <c r="AH99" s="303"/>
      <c r="AI99" s="303"/>
      <c r="AJ99" s="412"/>
      <c r="AK99" s="294"/>
      <c r="AL99" s="303"/>
      <c r="AM99" s="303"/>
      <c r="AN99" s="303"/>
    </row>
    <row r="100" spans="2:46" ht="23.25">
      <c r="B100" s="1159"/>
      <c r="C100" s="1159"/>
      <c r="D100" s="1159"/>
      <c r="E100" s="1159"/>
      <c r="F100" s="1159"/>
      <c r="G100" s="1159"/>
      <c r="H100" s="1159"/>
      <c r="I100" s="1159"/>
      <c r="J100" s="1159"/>
      <c r="K100" s="1159"/>
      <c r="L100" s="1159"/>
      <c r="M100" s="1159"/>
      <c r="N100" s="1159"/>
      <c r="O100" s="1159"/>
      <c r="P100" s="1159"/>
      <c r="Q100" s="1159"/>
      <c r="R100" s="1160">
        <f>SUM(N98:N99)</f>
        <v>49299</v>
      </c>
      <c r="U100" s="303"/>
      <c r="V100" s="303"/>
      <c r="W100" s="303"/>
      <c r="X100" s="303"/>
      <c r="Y100" s="303"/>
      <c r="Z100" s="303"/>
      <c r="AA100" s="303"/>
      <c r="AB100" s="303"/>
      <c r="AD100" s="303"/>
      <c r="AE100" s="303"/>
      <c r="AG100" s="1142"/>
      <c r="AH100" s="303"/>
      <c r="AI100" s="303"/>
      <c r="AJ100" s="412"/>
      <c r="AK100" s="294"/>
      <c r="AL100" s="303"/>
      <c r="AM100" s="303"/>
      <c r="AN100" s="303"/>
    </row>
    <row r="101" spans="2:46" ht="23.25">
      <c r="B101" s="1159" t="s">
        <v>3467</v>
      </c>
      <c r="C101" s="1159"/>
      <c r="D101" s="1159"/>
      <c r="E101" s="1159"/>
      <c r="F101" s="1159"/>
      <c r="G101" s="1159"/>
      <c r="H101" s="1159"/>
      <c r="I101" s="1159"/>
      <c r="J101" s="1159"/>
      <c r="K101" s="1159"/>
      <c r="L101" s="1159"/>
      <c r="M101" s="1159"/>
      <c r="N101" s="1159"/>
      <c r="O101" s="1159"/>
      <c r="P101" s="1159"/>
      <c r="Q101" s="1159"/>
      <c r="R101" s="1160"/>
      <c r="U101" s="303"/>
      <c r="V101" s="303"/>
      <c r="W101" s="303"/>
      <c r="X101" s="303"/>
      <c r="Y101" s="303"/>
      <c r="Z101" s="303"/>
      <c r="AA101" s="303"/>
      <c r="AB101" s="303"/>
      <c r="AD101" s="303"/>
      <c r="AE101" s="303"/>
      <c r="AG101" s="1142"/>
      <c r="AH101" s="303"/>
      <c r="AI101" s="303"/>
      <c r="AJ101" s="412"/>
      <c r="AK101" s="294"/>
      <c r="AL101" s="303"/>
      <c r="AM101" s="303"/>
      <c r="AN101" s="303"/>
    </row>
    <row r="102" spans="2:46" ht="46.5" customHeight="1">
      <c r="B102" s="1325" t="s">
        <v>3535</v>
      </c>
      <c r="C102" s="1325"/>
      <c r="D102" s="1325"/>
      <c r="E102" s="1325"/>
      <c r="F102" s="1325"/>
      <c r="G102" s="1325"/>
      <c r="H102" s="1325"/>
      <c r="I102" s="1325"/>
      <c r="J102" s="1325"/>
      <c r="K102" s="1325"/>
      <c r="L102" s="1325"/>
      <c r="M102" s="1159"/>
      <c r="N102" s="1159"/>
      <c r="O102" s="1159"/>
      <c r="P102" s="1159"/>
      <c r="Q102" s="1159"/>
      <c r="R102" s="1160"/>
      <c r="U102" s="303"/>
      <c r="V102" s="303"/>
      <c r="W102" s="303"/>
      <c r="X102" s="303"/>
      <c r="Y102" s="303"/>
      <c r="Z102" s="303"/>
      <c r="AA102" s="303"/>
      <c r="AB102" s="303"/>
      <c r="AD102" s="303"/>
      <c r="AE102" s="303"/>
      <c r="AG102" s="1142"/>
      <c r="AH102" s="303"/>
      <c r="AI102" s="303"/>
      <c r="AJ102" s="412"/>
      <c r="AK102" s="294"/>
      <c r="AL102" s="303"/>
      <c r="AM102" s="303"/>
      <c r="AN102" s="303"/>
    </row>
    <row r="103" spans="2:46" ht="23.25">
      <c r="B103" s="1159" t="s">
        <v>3536</v>
      </c>
      <c r="C103" s="1159"/>
      <c r="D103" s="1159"/>
      <c r="E103" s="1159"/>
      <c r="F103" s="1159"/>
      <c r="G103" s="1159"/>
      <c r="H103" s="1159"/>
      <c r="I103" s="1159"/>
      <c r="J103" s="1159"/>
      <c r="K103" s="1159"/>
      <c r="L103" s="1159"/>
      <c r="M103" s="1159"/>
      <c r="N103" s="1160">
        <f>+X115</f>
        <v>542311</v>
      </c>
      <c r="O103" s="1167"/>
      <c r="P103" s="1159"/>
      <c r="Q103" s="1159"/>
      <c r="R103" s="1159"/>
      <c r="U103" s="303"/>
      <c r="V103" s="303"/>
      <c r="W103" s="303"/>
      <c r="X103" s="303"/>
      <c r="Y103" s="321" t="s">
        <v>3465</v>
      </c>
      <c r="Z103" s="303"/>
      <c r="AA103" s="303"/>
      <c r="AB103" s="303"/>
      <c r="AD103" s="303"/>
      <c r="AE103" s="303"/>
      <c r="AG103" s="1142"/>
      <c r="AH103" s="303"/>
      <c r="AI103" s="303"/>
      <c r="AJ103" s="412"/>
      <c r="AK103" s="294"/>
      <c r="AL103" s="303"/>
      <c r="AM103" s="303"/>
      <c r="AN103" s="303"/>
    </row>
    <row r="104" spans="2:46" ht="23.25">
      <c r="B104" s="1159" t="s">
        <v>3275</v>
      </c>
      <c r="C104" s="1159"/>
      <c r="D104" s="1159"/>
      <c r="E104" s="1159"/>
      <c r="F104" s="1159"/>
      <c r="G104" s="1159"/>
      <c r="H104" s="1159"/>
      <c r="I104" s="1159"/>
      <c r="J104" s="1159"/>
      <c r="K104" s="1159"/>
      <c r="L104" s="1159"/>
      <c r="M104" s="1159"/>
      <c r="N104" s="1162">
        <f>-X104</f>
        <v>-229770</v>
      </c>
      <c r="O104" s="1167"/>
      <c r="P104" s="1159"/>
      <c r="Q104" s="1159"/>
      <c r="R104" s="1167"/>
      <c r="U104" s="303"/>
      <c r="V104" s="303"/>
      <c r="W104" s="303"/>
      <c r="X104" s="421">
        <f>60866+30832+49604+62276+26192</f>
        <v>229770</v>
      </c>
      <c r="Y104" s="321" t="s">
        <v>3465</v>
      </c>
      <c r="Z104" s="303"/>
      <c r="AA104" s="303"/>
      <c r="AB104" s="303"/>
      <c r="AD104" s="303"/>
      <c r="AE104" s="303"/>
      <c r="AG104" s="1142"/>
      <c r="AH104" s="303"/>
      <c r="AI104" s="303"/>
      <c r="AJ104" s="412"/>
      <c r="AK104" s="294"/>
      <c r="AL104" s="303"/>
      <c r="AM104" s="303"/>
      <c r="AN104" s="303"/>
    </row>
    <row r="105" spans="2:46" ht="23.25">
      <c r="B105" s="1159"/>
      <c r="C105" s="1159"/>
      <c r="D105" s="1159"/>
      <c r="E105" s="1159"/>
      <c r="F105" s="1159"/>
      <c r="G105" s="1159"/>
      <c r="H105" s="1159"/>
      <c r="I105" s="1159"/>
      <c r="J105" s="1159"/>
      <c r="K105" s="1159"/>
      <c r="L105" s="1159"/>
      <c r="M105" s="1159"/>
      <c r="N105" s="1159"/>
      <c r="O105" s="1159"/>
      <c r="P105" s="1159"/>
      <c r="Q105" s="1159"/>
      <c r="R105" s="1160">
        <f>SUM(N103:N104)</f>
        <v>312541</v>
      </c>
      <c r="U105" s="303"/>
      <c r="V105" s="303"/>
      <c r="W105" s="303"/>
      <c r="X105" s="303"/>
      <c r="Y105" s="303"/>
      <c r="Z105" s="303"/>
      <c r="AA105" s="303"/>
      <c r="AB105" s="303"/>
      <c r="AD105" s="303"/>
      <c r="AE105" s="303"/>
      <c r="AG105" s="1142"/>
      <c r="AH105" s="303"/>
      <c r="AI105" s="303"/>
      <c r="AJ105" s="412"/>
      <c r="AK105" s="294"/>
      <c r="AL105" s="303"/>
      <c r="AM105" s="303"/>
      <c r="AN105" s="303"/>
    </row>
    <row r="106" spans="2:46" ht="23.25">
      <c r="B106" s="1159" t="s">
        <v>2497</v>
      </c>
      <c r="C106" s="1159"/>
      <c r="D106" s="1167"/>
      <c r="E106" s="1167"/>
      <c r="F106" s="1167"/>
      <c r="G106" s="1167"/>
      <c r="H106" s="1167"/>
      <c r="I106" s="1167"/>
      <c r="J106" s="1167"/>
      <c r="K106" s="1167"/>
      <c r="L106" s="1167"/>
      <c r="M106" s="1167"/>
      <c r="N106" s="1167"/>
      <c r="O106" s="1167"/>
      <c r="P106" s="1159"/>
      <c r="Q106" s="1159"/>
      <c r="R106" s="1159"/>
      <c r="U106" s="276"/>
      <c r="V106" s="276"/>
      <c r="W106" s="276"/>
      <c r="X106" s="276"/>
      <c r="Y106" s="276"/>
      <c r="Z106" s="276"/>
      <c r="AA106" s="276"/>
      <c r="AB106" s="276">
        <f>+AB97+AB91+AD121+AF119</f>
        <v>3983023</v>
      </c>
      <c r="AD106" s="416"/>
      <c r="AE106" s="417" t="s">
        <v>1640</v>
      </c>
      <c r="AF106" s="276"/>
      <c r="AG106" s="276"/>
      <c r="AH106" s="276"/>
      <c r="AI106" s="276"/>
      <c r="AJ106" s="303">
        <f>394337+18374420</f>
        <v>18768757</v>
      </c>
      <c r="AK106" s="294"/>
      <c r="AL106" s="303"/>
      <c r="AM106" s="303"/>
      <c r="AN106" s="303"/>
    </row>
    <row r="107" spans="2:46" ht="23.25">
      <c r="B107" s="1159" t="s">
        <v>1026</v>
      </c>
      <c r="C107" s="1159"/>
      <c r="D107" s="1167"/>
      <c r="E107" s="1167"/>
      <c r="F107" s="1167"/>
      <c r="G107" s="1167"/>
      <c r="H107" s="1167"/>
      <c r="I107" s="1167"/>
      <c r="J107" s="1167"/>
      <c r="K107" s="1167"/>
      <c r="L107" s="1167"/>
      <c r="M107" s="1167"/>
      <c r="N107" s="1160">
        <f>+AH16+AH21</f>
        <v>39030</v>
      </c>
      <c r="O107" s="1167"/>
      <c r="P107" s="1159"/>
      <c r="Q107" s="1159"/>
      <c r="R107" s="1159"/>
      <c r="W107" s="303"/>
      <c r="X107" s="303"/>
      <c r="Y107" s="303"/>
      <c r="AB107" s="418">
        <f>1754028+582933+1648162</f>
        <v>3985123</v>
      </c>
      <c r="AC107" s="417" t="s">
        <v>1641</v>
      </c>
      <c r="AD107" s="303"/>
      <c r="AE107" s="303"/>
      <c r="AG107" s="419" t="s">
        <v>3170</v>
      </c>
      <c r="AH107" s="303"/>
      <c r="AI107" s="303"/>
      <c r="AJ107" s="303">
        <f>+AJ106+AJ97</f>
        <v>18768757</v>
      </c>
      <c r="AK107" s="294"/>
      <c r="AL107" s="294">
        <v>922350</v>
      </c>
      <c r="AM107" s="303"/>
      <c r="AN107" s="303"/>
    </row>
    <row r="108" spans="2:46" ht="23.25">
      <c r="B108" s="1159" t="s">
        <v>2571</v>
      </c>
      <c r="C108" s="1159"/>
      <c r="D108" s="1167"/>
      <c r="E108" s="1167"/>
      <c r="F108" s="1167"/>
      <c r="G108" s="1167"/>
      <c r="H108" s="1167"/>
      <c r="I108" s="1167"/>
      <c r="J108" s="1167"/>
      <c r="K108" s="1167"/>
      <c r="L108" s="1167"/>
      <c r="M108" s="1167"/>
      <c r="N108" s="1169">
        <f>+AJ18</f>
        <v>240538</v>
      </c>
      <c r="O108" s="1167"/>
      <c r="P108" s="1159"/>
      <c r="Q108" s="1159"/>
      <c r="R108" s="1167"/>
      <c r="U108" s="303"/>
      <c r="V108" s="303"/>
      <c r="W108" s="303"/>
      <c r="X108" s="303"/>
      <c r="Y108" s="303"/>
      <c r="Z108" s="303"/>
      <c r="AB108" s="288">
        <f>+AB107-AB106</f>
        <v>2100</v>
      </c>
      <c r="AC108" s="321"/>
      <c r="AD108" s="419" t="s">
        <v>3498</v>
      </c>
      <c r="AE108" s="303"/>
      <c r="AJ108" s="303"/>
      <c r="AK108" s="294"/>
      <c r="AL108" s="303"/>
      <c r="AM108" s="303"/>
      <c r="AN108" s="303"/>
    </row>
    <row r="109" spans="2:46" ht="23.25">
      <c r="B109" s="1159"/>
      <c r="C109" s="1159"/>
      <c r="D109" s="1167"/>
      <c r="E109" s="1167"/>
      <c r="F109" s="1167"/>
      <c r="G109" s="1167"/>
      <c r="H109" s="1167"/>
      <c r="I109" s="1167"/>
      <c r="J109" s="1167"/>
      <c r="K109" s="1167"/>
      <c r="L109" s="1167"/>
      <c r="M109" s="1167"/>
      <c r="N109" s="1167"/>
      <c r="O109" s="1167"/>
      <c r="P109" s="1159"/>
      <c r="Q109" s="1159"/>
      <c r="R109" s="1160">
        <f>SUM(N107:N108)</f>
        <v>279568</v>
      </c>
      <c r="U109" s="294"/>
      <c r="V109" s="294"/>
      <c r="W109" s="303"/>
      <c r="X109" s="303"/>
      <c r="Y109" s="303"/>
      <c r="Z109" s="303"/>
      <c r="AC109" s="321"/>
      <c r="AD109" s="419"/>
      <c r="AE109" s="303"/>
      <c r="AJ109" s="303"/>
      <c r="AK109" s="294"/>
      <c r="AL109" s="303"/>
      <c r="AM109" s="303"/>
      <c r="AN109" s="303"/>
    </row>
    <row r="110" spans="2:46" ht="23.25">
      <c r="B110" s="1159" t="s">
        <v>3277</v>
      </c>
      <c r="C110" s="1159"/>
      <c r="D110" s="1167"/>
      <c r="E110" s="1167"/>
      <c r="F110" s="1167"/>
      <c r="G110" s="1167"/>
      <c r="H110" s="1167"/>
      <c r="I110" s="1167"/>
      <c r="J110" s="1167"/>
      <c r="K110" s="1167"/>
      <c r="L110" s="1167"/>
      <c r="M110" s="1167"/>
      <c r="N110" s="1167"/>
      <c r="O110" s="1167"/>
      <c r="P110" s="1159"/>
      <c r="Q110" s="1159"/>
      <c r="R110" s="1167"/>
      <c r="U110" s="303"/>
      <c r="V110" s="303"/>
      <c r="W110" s="303"/>
      <c r="X110" s="303"/>
      <c r="Y110" s="303"/>
      <c r="Z110" s="303"/>
      <c r="AA110" s="303"/>
      <c r="AB110" s="359" t="s">
        <v>3153</v>
      </c>
      <c r="AC110" s="276"/>
      <c r="AD110" s="303"/>
      <c r="AE110" s="303"/>
      <c r="AJ110" s="303"/>
      <c r="AK110" s="294"/>
      <c r="AL110" s="303"/>
      <c r="AM110" s="303"/>
      <c r="AN110" s="303"/>
    </row>
    <row r="111" spans="2:46" ht="23.25">
      <c r="B111" s="1159" t="s">
        <v>3278</v>
      </c>
      <c r="C111" s="1159"/>
      <c r="D111" s="1167"/>
      <c r="E111" s="1167"/>
      <c r="F111" s="1167"/>
      <c r="G111" s="1167"/>
      <c r="H111" s="1167"/>
      <c r="I111" s="1167"/>
      <c r="J111" s="1167"/>
      <c r="K111" s="1167"/>
      <c r="L111" s="1167"/>
      <c r="M111" s="1167"/>
      <c r="N111" s="1167"/>
      <c r="O111" s="1167"/>
      <c r="P111" s="1159"/>
      <c r="Q111" s="1159"/>
      <c r="R111" s="1167"/>
      <c r="U111" s="303"/>
      <c r="V111" s="303"/>
      <c r="W111" s="303"/>
      <c r="X111" s="303"/>
      <c r="Y111" s="303"/>
      <c r="Z111" s="303"/>
      <c r="AA111" s="292" t="s">
        <v>1343</v>
      </c>
      <c r="AB111" s="558">
        <v>0</v>
      </c>
      <c r="AD111" s="804" t="s">
        <v>2311</v>
      </c>
      <c r="AF111" s="805" t="s">
        <v>2676</v>
      </c>
      <c r="AG111" s="303"/>
      <c r="AJ111" s="303"/>
      <c r="AK111" s="294"/>
      <c r="AL111" s="303"/>
      <c r="AM111" s="303"/>
      <c r="AN111" s="303"/>
      <c r="AP111" s="558">
        <v>0</v>
      </c>
      <c r="AR111" s="804" t="s">
        <v>2311</v>
      </c>
      <c r="AT111" s="805" t="s">
        <v>2676</v>
      </c>
    </row>
    <row r="112" spans="2:46" ht="23.25">
      <c r="B112" s="1159" t="s">
        <v>3279</v>
      </c>
      <c r="C112" s="1159"/>
      <c r="D112" s="1167"/>
      <c r="E112" s="1167"/>
      <c r="F112" s="1167"/>
      <c r="G112" s="1167"/>
      <c r="H112" s="1167"/>
      <c r="I112" s="1167"/>
      <c r="J112" s="1167"/>
      <c r="K112" s="1167"/>
      <c r="L112" s="1167"/>
      <c r="M112" s="1167"/>
      <c r="N112" s="1167"/>
      <c r="O112" s="1167"/>
      <c r="P112" s="1159"/>
      <c r="Q112" s="1159"/>
      <c r="R112" s="1167"/>
      <c r="U112" s="303"/>
      <c r="V112" s="303"/>
      <c r="W112" s="303"/>
      <c r="X112" s="303"/>
      <c r="Y112" s="303"/>
      <c r="Z112" s="303"/>
      <c r="AA112" s="292" t="s">
        <v>1344</v>
      </c>
      <c r="AB112" s="398">
        <v>0</v>
      </c>
      <c r="AC112" s="292" t="s">
        <v>2675</v>
      </c>
      <c r="AD112" s="398">
        <v>0</v>
      </c>
      <c r="AE112" s="292" t="s">
        <v>1343</v>
      </c>
      <c r="AF112" s="398">
        <v>-2100</v>
      </c>
      <c r="AG112" s="1294" t="s">
        <v>3499</v>
      </c>
      <c r="AJ112" s="303"/>
      <c r="AK112" s="294"/>
      <c r="AL112" s="303"/>
      <c r="AM112" s="303"/>
      <c r="AN112" s="303">
        <v>12</v>
      </c>
      <c r="AP112" s="398">
        <v>0</v>
      </c>
      <c r="AQ112" s="292" t="s">
        <v>2675</v>
      </c>
      <c r="AR112" s="398">
        <v>0</v>
      </c>
      <c r="AS112" s="292" t="s">
        <v>1343</v>
      </c>
      <c r="AT112" s="398">
        <v>0</v>
      </c>
    </row>
    <row r="113" spans="2:46" ht="23.25">
      <c r="B113" s="1159" t="s">
        <v>321</v>
      </c>
      <c r="C113" s="1159"/>
      <c r="D113" s="1167"/>
      <c r="E113" s="1167"/>
      <c r="F113" s="1167"/>
      <c r="G113" s="1167"/>
      <c r="H113" s="1167"/>
      <c r="I113" s="1167"/>
      <c r="J113" s="1167"/>
      <c r="K113" s="1167"/>
      <c r="L113" s="1167"/>
      <c r="M113" s="1167"/>
      <c r="N113" s="1167"/>
      <c r="O113" s="1167"/>
      <c r="P113" s="1159"/>
      <c r="Q113" s="1159"/>
      <c r="R113" s="1167"/>
      <c r="U113" s="303"/>
      <c r="V113" s="303"/>
      <c r="W113" s="303"/>
      <c r="Y113" s="303"/>
      <c r="Z113" s="303"/>
      <c r="AA113" s="303" t="s">
        <v>1345</v>
      </c>
      <c r="AB113" s="558">
        <v>-1130978</v>
      </c>
      <c r="AC113" s="292" t="s">
        <v>2677</v>
      </c>
      <c r="AD113" s="398">
        <v>0</v>
      </c>
      <c r="AE113" s="292" t="s">
        <v>1344</v>
      </c>
      <c r="AF113" s="398">
        <f>-302871+302871</f>
        <v>0</v>
      </c>
      <c r="AG113" s="1294" t="s">
        <v>3499</v>
      </c>
      <c r="AJ113" s="303"/>
      <c r="AK113" s="294"/>
      <c r="AL113" s="303"/>
      <c r="AM113" s="303"/>
      <c r="AN113" s="303"/>
      <c r="AP113" s="558">
        <v>-1130978</v>
      </c>
      <c r="AQ113" s="292" t="s">
        <v>2677</v>
      </c>
      <c r="AR113" s="398"/>
      <c r="AS113" s="292" t="s">
        <v>1344</v>
      </c>
      <c r="AT113" s="398"/>
    </row>
    <row r="114" spans="2:46" ht="23.25">
      <c r="B114" s="1159" t="s">
        <v>3280</v>
      </c>
      <c r="C114" s="1159"/>
      <c r="D114" s="1167"/>
      <c r="E114" s="1167"/>
      <c r="F114" s="1167"/>
      <c r="G114" s="1167"/>
      <c r="H114" s="1167"/>
      <c r="I114" s="1167"/>
      <c r="J114" s="1167"/>
      <c r="K114" s="1167"/>
      <c r="L114" s="1167"/>
      <c r="M114" s="1167"/>
      <c r="N114" s="1160">
        <f>-X114</f>
        <v>-157932</v>
      </c>
      <c r="O114" s="1167"/>
      <c r="P114" s="1159"/>
      <c r="Q114" s="1159"/>
      <c r="R114" s="1167"/>
      <c r="U114" s="303"/>
      <c r="V114" s="303"/>
      <c r="W114" s="303"/>
      <c r="X114" s="421">
        <f>157932</f>
        <v>157932</v>
      </c>
      <c r="Y114" s="321" t="s">
        <v>3276</v>
      </c>
      <c r="Z114" s="303"/>
      <c r="AA114" s="303" t="s">
        <v>1346</v>
      </c>
      <c r="AB114" s="558">
        <v>0</v>
      </c>
      <c r="AC114" s="303" t="s">
        <v>2678</v>
      </c>
      <c r="AD114" s="398">
        <v>0</v>
      </c>
      <c r="AE114" s="303" t="s">
        <v>1345</v>
      </c>
      <c r="AF114" s="398">
        <f>-178057+178057</f>
        <v>0</v>
      </c>
      <c r="AG114" s="1294" t="s">
        <v>3499</v>
      </c>
      <c r="AH114" s="303"/>
      <c r="AJ114" s="303"/>
      <c r="AK114" s="294"/>
      <c r="AL114" s="303"/>
      <c r="AM114" s="303"/>
      <c r="AN114" s="303"/>
      <c r="AP114" s="558">
        <v>0</v>
      </c>
      <c r="AQ114" s="303" t="s">
        <v>2678</v>
      </c>
      <c r="AR114" s="398">
        <v>0</v>
      </c>
      <c r="AS114" s="303" t="s">
        <v>1345</v>
      </c>
      <c r="AT114" s="398"/>
    </row>
    <row r="115" spans="2:46" ht="23.25">
      <c r="B115" s="1159" t="s">
        <v>3469</v>
      </c>
      <c r="C115" s="1159"/>
      <c r="D115" s="1167"/>
      <c r="E115" s="1167"/>
      <c r="F115" s="1167"/>
      <c r="G115" s="1167"/>
      <c r="H115" s="1167"/>
      <c r="I115" s="1167"/>
      <c r="J115" s="1167"/>
      <c r="K115" s="1167"/>
      <c r="L115" s="1167"/>
      <c r="M115" s="1167"/>
      <c r="N115" s="1160">
        <f>-X115</f>
        <v>-542311</v>
      </c>
      <c r="O115" s="1167"/>
      <c r="P115" s="1159"/>
      <c r="Q115" s="1159"/>
      <c r="R115" s="1167"/>
      <c r="U115" s="303"/>
      <c r="V115" s="303"/>
      <c r="W115" s="303"/>
      <c r="X115" s="421">
        <f>123084+92495+61328+186828+78576</f>
        <v>542311</v>
      </c>
      <c r="Y115" s="321" t="s">
        <v>3465</v>
      </c>
      <c r="Z115" s="303"/>
      <c r="AA115" s="303"/>
      <c r="AB115" s="558"/>
      <c r="AC115" s="303"/>
      <c r="AD115" s="398"/>
      <c r="AE115" s="303"/>
      <c r="AF115" s="398"/>
      <c r="AH115" s="303"/>
      <c r="AJ115" s="303"/>
      <c r="AK115" s="294"/>
      <c r="AL115" s="303"/>
      <c r="AM115" s="303"/>
      <c r="AN115" s="303"/>
      <c r="AP115" s="558"/>
      <c r="AQ115" s="303"/>
      <c r="AR115" s="398"/>
      <c r="AS115" s="303"/>
      <c r="AT115" s="398"/>
    </row>
    <row r="116" spans="2:46" ht="24" thickBot="1">
      <c r="B116" s="1159" t="s">
        <v>322</v>
      </c>
      <c r="C116" s="1159"/>
      <c r="D116" s="1167"/>
      <c r="E116" s="1167"/>
      <c r="F116" s="1167"/>
      <c r="G116" s="1167"/>
      <c r="H116" s="1167"/>
      <c r="I116" s="1167"/>
      <c r="J116" s="1167"/>
      <c r="K116" s="1167"/>
      <c r="L116" s="1167"/>
      <c r="M116" s="1167"/>
      <c r="N116" s="1160">
        <f>-X116</f>
        <v>-3159497</v>
      </c>
      <c r="O116" s="1167"/>
      <c r="P116" s="1159"/>
      <c r="Q116" s="1159"/>
      <c r="R116" s="1167"/>
      <c r="U116" s="303"/>
      <c r="V116" s="303"/>
      <c r="W116" s="303"/>
      <c r="X116" s="421">
        <f>159497+3000000</f>
        <v>3159497</v>
      </c>
      <c r="Y116" s="321" t="s">
        <v>1643</v>
      </c>
      <c r="Z116" s="303"/>
      <c r="AA116" s="303"/>
      <c r="AB116" s="422">
        <f>SUM(AB111:AB114)</f>
        <v>-1130978</v>
      </c>
      <c r="AC116" s="303" t="s">
        <v>2679</v>
      </c>
      <c r="AD116" s="398"/>
      <c r="AE116" s="303" t="s">
        <v>1346</v>
      </c>
      <c r="AF116" s="398">
        <v>0</v>
      </c>
      <c r="AG116" s="303"/>
      <c r="AJ116" s="303"/>
      <c r="AK116" s="294"/>
      <c r="AL116" s="303"/>
      <c r="AM116" s="303"/>
      <c r="AN116" s="303"/>
    </row>
    <row r="117" spans="2:46" ht="24" thickTop="1">
      <c r="B117" s="1287"/>
      <c r="C117" s="1159"/>
      <c r="D117" s="1167"/>
      <c r="E117" s="1167"/>
      <c r="F117" s="1167"/>
      <c r="G117" s="1167"/>
      <c r="H117" s="1167"/>
      <c r="I117" s="1167"/>
      <c r="J117" s="1167"/>
      <c r="K117" s="1167"/>
      <c r="L117" s="1167"/>
      <c r="M117" s="1167"/>
      <c r="N117" s="1160"/>
      <c r="O117" s="1167"/>
      <c r="P117" s="1159"/>
      <c r="Q117" s="1159"/>
      <c r="R117" s="1167"/>
      <c r="U117" s="303"/>
      <c r="V117" s="303"/>
      <c r="W117" s="303"/>
      <c r="X117" s="303"/>
      <c r="Y117" s="303"/>
      <c r="Z117" s="303"/>
      <c r="AC117" s="292" t="s">
        <v>2674</v>
      </c>
      <c r="AD117" s="398">
        <v>0</v>
      </c>
      <c r="AE117" s="303" t="s">
        <v>1346</v>
      </c>
      <c r="AF117" s="398"/>
      <c r="AG117" s="303"/>
      <c r="AJ117" s="303"/>
      <c r="AK117" s="294"/>
      <c r="AL117" s="303"/>
      <c r="AM117" s="303"/>
      <c r="AN117" s="303"/>
    </row>
    <row r="118" spans="2:46" ht="23.25">
      <c r="B118" s="1159" t="s">
        <v>323</v>
      </c>
      <c r="C118" s="1159"/>
      <c r="D118" s="1159"/>
      <c r="E118" s="1159"/>
      <c r="F118" s="1159"/>
      <c r="G118" s="1159"/>
      <c r="H118" s="1159"/>
      <c r="I118" s="1159"/>
      <c r="J118" s="1159"/>
      <c r="K118" s="1159"/>
      <c r="L118" s="1159"/>
      <c r="M118" s="1159"/>
      <c r="N118" s="1159"/>
      <c r="O118" s="1159"/>
      <c r="P118" s="1159"/>
      <c r="Q118" s="1159"/>
      <c r="R118" s="1159"/>
      <c r="U118" s="303"/>
      <c r="V118" s="303"/>
      <c r="W118" s="303"/>
      <c r="AC118" s="303" t="s">
        <v>1347</v>
      </c>
      <c r="AD118" s="398"/>
      <c r="AE118" s="303" t="s">
        <v>1348</v>
      </c>
      <c r="AF118" s="398">
        <v>0</v>
      </c>
      <c r="AG118" s="303"/>
      <c r="AJ118" s="303"/>
      <c r="AK118" s="294"/>
      <c r="AL118" s="303"/>
      <c r="AM118" s="303"/>
      <c r="AN118" s="303"/>
    </row>
    <row r="119" spans="2:46" ht="24" thickBot="1">
      <c r="B119" s="1159" t="s">
        <v>3281</v>
      </c>
      <c r="C119" s="1159"/>
      <c r="D119" s="1167"/>
      <c r="E119" s="1167"/>
      <c r="F119" s="1167"/>
      <c r="G119" s="1167"/>
      <c r="H119" s="1167"/>
      <c r="I119" s="1167"/>
      <c r="J119" s="1167"/>
      <c r="K119" s="1167"/>
      <c r="L119" s="1167"/>
      <c r="M119" s="1167"/>
      <c r="N119" s="1160">
        <f>+X119</f>
        <v>122123</v>
      </c>
      <c r="O119" s="1159"/>
      <c r="P119" s="1159"/>
      <c r="Q119" s="1159"/>
      <c r="R119" s="1159"/>
      <c r="X119" s="1291">
        <f>52189+27345+42615-26</f>
        <v>122123</v>
      </c>
      <c r="Y119" s="321" t="s">
        <v>3276</v>
      </c>
      <c r="Z119" s="303"/>
      <c r="AD119" s="398"/>
      <c r="AF119" s="413">
        <f>SUM(AF112:AF118)</f>
        <v>-2100</v>
      </c>
      <c r="AG119" s="303"/>
      <c r="AH119" s="288">
        <f>+AB116+AF119+AD121</f>
        <v>-1133078</v>
      </c>
      <c r="AJ119" s="303"/>
      <c r="AK119" s="294"/>
      <c r="AL119" s="303"/>
      <c r="AM119" s="303"/>
      <c r="AN119" s="303"/>
    </row>
    <row r="120" spans="2:46" ht="24" thickTop="1">
      <c r="B120" s="1159" t="s">
        <v>3481</v>
      </c>
      <c r="C120" s="1159"/>
      <c r="D120" s="1167"/>
      <c r="E120" s="1167"/>
      <c r="F120" s="1167"/>
      <c r="G120" s="1167"/>
      <c r="H120" s="1167"/>
      <c r="I120" s="1167"/>
      <c r="J120" s="1167"/>
      <c r="K120" s="1167"/>
      <c r="L120" s="1167"/>
      <c r="M120" s="1167"/>
      <c r="N120" s="1160">
        <f>+X120</f>
        <v>226056</v>
      </c>
      <c r="O120" s="1159"/>
      <c r="P120" s="1159"/>
      <c r="Q120" s="1159"/>
      <c r="R120" s="1159"/>
      <c r="X120" s="1286">
        <f>58668+46603+30900+63289+26596</f>
        <v>226056</v>
      </c>
      <c r="Y120" s="321" t="s">
        <v>3465</v>
      </c>
      <c r="Z120" s="303"/>
      <c r="AD120" s="398"/>
      <c r="AF120" s="303"/>
      <c r="AG120" s="303"/>
      <c r="AJ120" s="303"/>
      <c r="AK120" s="294"/>
      <c r="AL120" s="303"/>
      <c r="AM120" s="303"/>
      <c r="AN120" s="303"/>
    </row>
    <row r="121" spans="2:46" ht="24" thickBot="1">
      <c r="B121" s="1159" t="s">
        <v>1232</v>
      </c>
      <c r="C121" s="1159"/>
      <c r="D121" s="1167"/>
      <c r="E121" s="1167"/>
      <c r="F121" s="1167"/>
      <c r="G121" s="1167"/>
      <c r="H121" s="1167"/>
      <c r="I121" s="1167"/>
      <c r="J121" s="1167"/>
      <c r="K121" s="1167"/>
      <c r="L121" s="1167"/>
      <c r="M121" s="1167"/>
      <c r="N121" s="1160">
        <f>+X121</f>
        <v>1234689</v>
      </c>
      <c r="O121" s="1167"/>
      <c r="P121" s="1159"/>
      <c r="Q121" s="1159"/>
      <c r="R121" s="1167"/>
      <c r="W121" s="303"/>
      <c r="X121" s="421">
        <v>1234689</v>
      </c>
      <c r="Y121" s="321" t="s">
        <v>1647</v>
      </c>
      <c r="Z121" s="303"/>
      <c r="AD121" s="413">
        <f>SUM(AD112:AD119)</f>
        <v>0</v>
      </c>
      <c r="AF121" s="303"/>
      <c r="AG121" s="303"/>
      <c r="AJ121" s="303"/>
      <c r="AK121" s="294"/>
      <c r="AL121" s="303"/>
      <c r="AM121" s="303"/>
      <c r="AN121" s="303"/>
    </row>
    <row r="122" spans="2:46" ht="24" thickTop="1">
      <c r="B122" s="1159" t="s">
        <v>977</v>
      </c>
      <c r="C122" s="1159"/>
      <c r="D122" s="1167"/>
      <c r="E122" s="1167"/>
      <c r="F122" s="1167"/>
      <c r="G122" s="1167"/>
      <c r="H122" s="1167"/>
      <c r="I122" s="1167"/>
      <c r="J122" s="1167"/>
      <c r="K122" s="1167"/>
      <c r="L122" s="1167"/>
      <c r="M122" s="1167"/>
      <c r="N122" s="1162">
        <f>+X122</f>
        <v>190031</v>
      </c>
      <c r="O122" s="1167"/>
      <c r="P122" s="1159"/>
      <c r="Q122" s="1159"/>
      <c r="R122" s="1159"/>
      <c r="U122" s="303"/>
      <c r="V122" s="303"/>
      <c r="W122" s="303"/>
      <c r="X122" s="421">
        <v>190031</v>
      </c>
      <c r="Y122" s="321" t="s">
        <v>1648</v>
      </c>
      <c r="Z122" s="303"/>
      <c r="AD122" s="999"/>
      <c r="AF122" s="303"/>
      <c r="AG122" s="303"/>
      <c r="AJ122" s="303"/>
      <c r="AK122" s="294"/>
      <c r="AL122" s="303"/>
      <c r="AM122" s="303"/>
      <c r="AN122" s="303"/>
    </row>
    <row r="123" spans="2:46" ht="23.25">
      <c r="B123" s="1159"/>
      <c r="C123" s="1159"/>
      <c r="D123" s="1167"/>
      <c r="E123" s="1167"/>
      <c r="F123" s="1167"/>
      <c r="G123" s="1167"/>
      <c r="H123" s="1167"/>
      <c r="I123" s="1167"/>
      <c r="J123" s="1167"/>
      <c r="K123" s="1167"/>
      <c r="L123" s="1167"/>
      <c r="M123" s="1167"/>
      <c r="N123" s="1167"/>
      <c r="O123" s="1167"/>
      <c r="P123" s="1159"/>
      <c r="Q123" s="1159"/>
      <c r="R123" s="1167">
        <f>SUM(N114:N122)</f>
        <v>-2086841</v>
      </c>
      <c r="U123" s="303"/>
      <c r="V123" s="303"/>
      <c r="W123" s="303"/>
      <c r="X123" s="303"/>
      <c r="Y123" s="303"/>
      <c r="Z123" s="303"/>
      <c r="AC123" s="681"/>
      <c r="AD123" s="682" t="s">
        <v>3488</v>
      </c>
      <c r="AE123" s="682"/>
      <c r="AF123" s="682"/>
      <c r="AG123" s="683"/>
      <c r="AH123" s="683"/>
      <c r="AI123" s="683"/>
      <c r="AJ123" s="684"/>
      <c r="AK123" s="294"/>
      <c r="AL123" s="303"/>
      <c r="AM123" s="303"/>
      <c r="AN123" s="303"/>
    </row>
    <row r="124" spans="2:46" ht="23.25">
      <c r="B124" s="1159" t="s">
        <v>1340</v>
      </c>
      <c r="C124" s="1159"/>
      <c r="D124" s="1167"/>
      <c r="E124" s="1167"/>
      <c r="F124" s="1167"/>
      <c r="G124" s="1167"/>
      <c r="H124" s="1167"/>
      <c r="I124" s="1167"/>
      <c r="J124" s="1167"/>
      <c r="K124" s="1167"/>
      <c r="L124" s="1167"/>
      <c r="M124" s="1167"/>
      <c r="N124" s="1167"/>
      <c r="O124" s="1167"/>
      <c r="P124" s="1159"/>
      <c r="Q124" s="1159"/>
      <c r="R124" s="1167"/>
      <c r="U124" s="303"/>
      <c r="V124" s="303"/>
      <c r="W124" s="303"/>
      <c r="X124" s="303"/>
      <c r="Y124" s="303"/>
      <c r="Z124" s="303"/>
      <c r="AB124" s="500"/>
      <c r="AC124" s="537"/>
      <c r="AD124" s="288" t="s">
        <v>2766</v>
      </c>
      <c r="AG124" s="303"/>
      <c r="AH124" s="303"/>
      <c r="AI124" s="303"/>
      <c r="AJ124" s="407"/>
      <c r="AK124" s="294"/>
      <c r="AL124" s="303"/>
      <c r="AM124" s="303"/>
      <c r="AN124" s="303"/>
    </row>
    <row r="125" spans="2:46" ht="23.25">
      <c r="B125" s="1159" t="s">
        <v>1044</v>
      </c>
      <c r="C125" s="1159"/>
      <c r="D125" s="1167"/>
      <c r="E125" s="1167"/>
      <c r="F125" s="1167"/>
      <c r="G125" s="1167"/>
      <c r="H125" s="1167"/>
      <c r="I125" s="1167"/>
      <c r="J125" s="1167"/>
      <c r="K125" s="1167"/>
      <c r="L125" s="1167"/>
      <c r="M125" s="1167"/>
      <c r="N125" s="1167"/>
      <c r="O125" s="1167"/>
      <c r="P125" s="1159"/>
      <c r="Q125" s="1159"/>
      <c r="R125" s="1167"/>
      <c r="U125" s="303"/>
      <c r="V125" s="303"/>
      <c r="W125" s="303"/>
      <c r="X125" s="303"/>
      <c r="Y125" s="303"/>
      <c r="Z125" s="303"/>
      <c r="AB125" s="374"/>
      <c r="AC125" s="537"/>
      <c r="AD125" s="499" t="s">
        <v>3005</v>
      </c>
      <c r="AE125" s="499"/>
      <c r="AF125" s="499"/>
      <c r="AJ125" s="1040" t="s">
        <v>3003</v>
      </c>
      <c r="AK125" s="294"/>
      <c r="AL125" s="303"/>
      <c r="AM125" s="303"/>
      <c r="AN125" s="303"/>
    </row>
    <row r="126" spans="2:46" ht="23.25">
      <c r="B126" s="1159" t="s">
        <v>311</v>
      </c>
      <c r="C126" s="1159"/>
      <c r="D126" s="1167"/>
      <c r="E126" s="1167"/>
      <c r="F126" s="1167"/>
      <c r="G126" s="1167"/>
      <c r="H126" s="1167"/>
      <c r="I126" s="1167"/>
      <c r="J126" s="1167"/>
      <c r="K126" s="1167"/>
      <c r="L126" s="1167"/>
      <c r="M126" s="1167"/>
      <c r="N126" s="1167"/>
      <c r="O126" s="1167"/>
      <c r="P126" s="1159"/>
      <c r="Q126" s="1159"/>
      <c r="R126" s="1167"/>
      <c r="U126" s="303"/>
      <c r="V126" s="303"/>
      <c r="W126" s="303"/>
      <c r="X126" s="303"/>
      <c r="Y126" s="303"/>
      <c r="Z126" s="303"/>
      <c r="AC126" s="537"/>
      <c r="AD126" s="1039" t="s">
        <v>3006</v>
      </c>
      <c r="AE126" s="1039"/>
      <c r="AF126" s="1039"/>
      <c r="AG126" s="303"/>
      <c r="AI126" s="303"/>
      <c r="AJ126" s="1041" t="s">
        <v>3004</v>
      </c>
      <c r="AK126" s="294"/>
      <c r="AL126" s="303"/>
      <c r="AM126" s="303"/>
      <c r="AN126" s="303"/>
    </row>
    <row r="127" spans="2:46" ht="23.25">
      <c r="B127" s="1159" t="s">
        <v>1043</v>
      </c>
      <c r="C127" s="1159"/>
      <c r="D127" s="1167"/>
      <c r="E127" s="1167"/>
      <c r="F127" s="1167"/>
      <c r="G127" s="1167"/>
      <c r="H127" s="1167"/>
      <c r="I127" s="1167"/>
      <c r="J127" s="1167"/>
      <c r="K127" s="1167"/>
      <c r="L127" s="1167"/>
      <c r="M127" s="1167"/>
      <c r="N127" s="1167"/>
      <c r="O127" s="1167"/>
      <c r="P127" s="1159"/>
      <c r="Q127" s="1159"/>
      <c r="R127" s="1167"/>
      <c r="W127" s="303"/>
      <c r="X127" s="833" t="s">
        <v>2695</v>
      </c>
      <c r="Y127" s="831"/>
      <c r="Z127" s="832"/>
      <c r="AB127" s="419" t="s">
        <v>3246</v>
      </c>
      <c r="AC127" s="685" t="s">
        <v>1538</v>
      </c>
      <c r="AD127" s="398">
        <f>6695139+1111142</f>
        <v>7806281</v>
      </c>
      <c r="AE127" s="686">
        <f>+AD127/AD$134</f>
        <v>0.3249950769556143</v>
      </c>
      <c r="AF127" s="1044">
        <f>ROUND(+AE127*SUM(Z$128:Z$130),0)+0</f>
        <v>496150</v>
      </c>
      <c r="AG127" s="303"/>
      <c r="AI127" s="303"/>
      <c r="AJ127" s="398">
        <v>7580719</v>
      </c>
      <c r="AK127" s="294"/>
      <c r="AL127" s="303"/>
      <c r="AM127" s="303"/>
      <c r="AN127" s="303"/>
    </row>
    <row r="128" spans="2:46" ht="23.25">
      <c r="B128" s="1159" t="s">
        <v>1027</v>
      </c>
      <c r="C128" s="1159"/>
      <c r="D128" s="1167"/>
      <c r="E128" s="1167"/>
      <c r="F128" s="1167"/>
      <c r="G128" s="1167"/>
      <c r="H128" s="1167"/>
      <c r="I128" s="1167"/>
      <c r="J128" s="1167"/>
      <c r="K128" s="1167"/>
      <c r="L128" s="1167"/>
      <c r="M128" s="1167"/>
      <c r="N128" s="1160">
        <f>-Z128</f>
        <v>181504</v>
      </c>
      <c r="O128" s="1167"/>
      <c r="P128" s="1159"/>
      <c r="Q128" s="1159"/>
      <c r="R128" s="1159"/>
      <c r="W128" s="303"/>
      <c r="X128" s="425" t="s">
        <v>1245</v>
      </c>
      <c r="Y128" s="683"/>
      <c r="Z128" s="834">
        <v>-181504</v>
      </c>
      <c r="AA128" s="288" t="s">
        <v>569</v>
      </c>
      <c r="AC128" s="685" t="s">
        <v>1535</v>
      </c>
      <c r="AD128" s="398">
        <v>9456298</v>
      </c>
      <c r="AE128" s="686">
        <f t="shared" ref="AE128:AE133" si="14">+AD128/AD$134</f>
        <v>0.39368942729902012</v>
      </c>
      <c r="AF128" s="427">
        <f>ROUND(+AE128*SUM(Z$128:Z$130),0)</f>
        <v>601021</v>
      </c>
      <c r="AG128" s="303"/>
      <c r="AI128" s="303"/>
      <c r="AJ128" s="398">
        <v>8880089</v>
      </c>
      <c r="AK128" s="294"/>
      <c r="AL128" s="303"/>
      <c r="AM128" s="303"/>
      <c r="AN128" s="303"/>
    </row>
    <row r="129" spans="2:40" ht="23.25">
      <c r="B129" s="1159" t="s">
        <v>2055</v>
      </c>
      <c r="C129" s="1159"/>
      <c r="D129" s="1167"/>
      <c r="E129" s="1167"/>
      <c r="F129" s="1167"/>
      <c r="G129" s="1167"/>
      <c r="H129" s="1167"/>
      <c r="I129" s="1167"/>
      <c r="J129" s="1167"/>
      <c r="K129" s="1167"/>
      <c r="L129" s="1167"/>
      <c r="M129" s="1167"/>
      <c r="N129" s="1160">
        <f>-Z129+Pension!E57</f>
        <v>-1243154</v>
      </c>
      <c r="O129" s="1167"/>
      <c r="P129" s="1159"/>
      <c r="Q129" s="1159"/>
      <c r="R129" s="1159"/>
      <c r="W129" s="303"/>
      <c r="X129" s="425" t="s">
        <v>2043</v>
      </c>
      <c r="Y129" s="683"/>
      <c r="Z129" s="518">
        <f>+Pension!F15</f>
        <v>1611858</v>
      </c>
      <c r="AA129" s="288" t="s">
        <v>2041</v>
      </c>
      <c r="AB129" s="397" t="s">
        <v>2757</v>
      </c>
      <c r="AC129" s="685" t="s">
        <v>1536</v>
      </c>
      <c r="AD129" s="398">
        <f>2538794+871764</f>
        <v>3410558</v>
      </c>
      <c r="AE129" s="686">
        <f t="shared" si="14"/>
        <v>0.14199009229511289</v>
      </c>
      <c r="AF129" s="427">
        <f>ROUND(+AE129*SUM(Z$128:Z$130),0)</f>
        <v>216767</v>
      </c>
      <c r="AG129" s="303"/>
      <c r="AI129" s="303"/>
      <c r="AJ129" s="398">
        <v>3266766</v>
      </c>
      <c r="AK129" s="294"/>
      <c r="AL129" s="303"/>
      <c r="AM129" s="303"/>
      <c r="AN129" s="303"/>
    </row>
    <row r="130" spans="2:40" ht="23.25">
      <c r="B130" s="1159" t="s">
        <v>566</v>
      </c>
      <c r="C130" s="1159"/>
      <c r="D130" s="1167"/>
      <c r="E130" s="1167"/>
      <c r="F130" s="1167"/>
      <c r="G130" s="1167"/>
      <c r="H130" s="1167"/>
      <c r="I130" s="1167"/>
      <c r="J130" s="1167"/>
      <c r="K130" s="1167"/>
      <c r="L130" s="1167"/>
      <c r="M130" s="1167"/>
      <c r="N130" s="1160">
        <f>-Z130</f>
        <v>-96283</v>
      </c>
      <c r="O130" s="1167"/>
      <c r="P130" s="1159"/>
      <c r="Q130" s="1159"/>
      <c r="R130" s="1159"/>
      <c r="W130" s="303"/>
      <c r="X130" s="425" t="s">
        <v>571</v>
      </c>
      <c r="Y130" s="683"/>
      <c r="Z130" s="518">
        <f>-OPEB!F40</f>
        <v>96283</v>
      </c>
      <c r="AA130" s="288" t="s">
        <v>570</v>
      </c>
      <c r="AB130" s="397" t="s">
        <v>3001</v>
      </c>
      <c r="AC130" s="685" t="s">
        <v>1537</v>
      </c>
      <c r="AD130" s="398">
        <v>2970498</v>
      </c>
      <c r="AE130" s="686">
        <f t="shared" si="14"/>
        <v>0.12366928965361335</v>
      </c>
      <c r="AF130" s="427">
        <f>ROUND(+AE130*SUM(Z$128:Z$130),0)</f>
        <v>188798</v>
      </c>
      <c r="AG130" s="303"/>
      <c r="AI130" s="303"/>
      <c r="AJ130" s="398">
        <v>3365003</v>
      </c>
      <c r="AK130" s="294"/>
      <c r="AL130" s="303"/>
      <c r="AM130" s="303"/>
      <c r="AN130" s="303"/>
    </row>
    <row r="131" spans="2:40" ht="23.25">
      <c r="B131" s="1159" t="s">
        <v>1308</v>
      </c>
      <c r="C131" s="1159"/>
      <c r="D131" s="1167"/>
      <c r="E131" s="1167"/>
      <c r="F131" s="1167"/>
      <c r="G131" s="1167"/>
      <c r="H131" s="1167"/>
      <c r="I131" s="1167"/>
      <c r="J131" s="1167"/>
      <c r="K131" s="1167"/>
      <c r="L131" s="1167"/>
      <c r="M131" s="1167"/>
      <c r="N131" s="1162">
        <f>-AF34</f>
        <v>-21592</v>
      </c>
      <c r="O131" s="1167"/>
      <c r="P131" s="1159"/>
      <c r="Q131" s="1159"/>
      <c r="R131" s="1159"/>
      <c r="U131" s="303"/>
      <c r="V131" s="303"/>
      <c r="W131" s="303"/>
      <c r="X131" s="429" t="s">
        <v>1649</v>
      </c>
      <c r="Y131" s="830"/>
      <c r="Z131" s="834">
        <f>16208+182+113+1012+548+56+83+237+432+1915+806</f>
        <v>21592</v>
      </c>
      <c r="AA131" s="288" t="s">
        <v>758</v>
      </c>
      <c r="AC131" s="685" t="s">
        <v>1890</v>
      </c>
      <c r="AD131" s="398">
        <v>42910</v>
      </c>
      <c r="AE131" s="686">
        <f t="shared" si="14"/>
        <v>1.7864510324654482E-3</v>
      </c>
      <c r="AF131" s="427">
        <f>ROUND(+AE131*SUM(Z$128:Z$130),0)</f>
        <v>2727</v>
      </c>
      <c r="AG131" s="303"/>
      <c r="AI131" s="303"/>
      <c r="AJ131" s="398">
        <v>40374</v>
      </c>
      <c r="AK131" s="294"/>
      <c r="AL131" s="303"/>
      <c r="AM131" s="303"/>
      <c r="AN131" s="303"/>
    </row>
    <row r="132" spans="2:40" ht="23.25">
      <c r="B132" s="1159"/>
      <c r="C132" s="1159"/>
      <c r="D132" s="1167"/>
      <c r="E132" s="1167"/>
      <c r="F132" s="1167"/>
      <c r="G132" s="1167"/>
      <c r="H132" s="1167"/>
      <c r="I132" s="1167"/>
      <c r="J132" s="1167"/>
      <c r="K132" s="1167"/>
      <c r="L132" s="1167"/>
      <c r="M132" s="1167"/>
      <c r="N132" s="1167"/>
      <c r="O132" s="1167"/>
      <c r="P132" s="1159"/>
      <c r="Q132" s="1159"/>
      <c r="R132" s="1167">
        <f>SUM(N128:N131)</f>
        <v>-1179525</v>
      </c>
      <c r="W132" s="303"/>
      <c r="X132" s="303"/>
      <c r="Y132" s="303"/>
      <c r="Z132" s="303"/>
      <c r="AB132" s="303"/>
      <c r="AC132" s="685" t="s">
        <v>1891</v>
      </c>
      <c r="AD132" s="398">
        <v>333145</v>
      </c>
      <c r="AE132" s="686">
        <f t="shared" si="14"/>
        <v>1.3869662764173892E-2</v>
      </c>
      <c r="AF132" s="427">
        <f>ROUND(+AE132*SUM(Z$128:Z$130),0)-0</f>
        <v>21174</v>
      </c>
      <c r="AG132" s="303"/>
      <c r="AI132" s="303"/>
      <c r="AJ132" s="398">
        <v>333145</v>
      </c>
      <c r="AK132" s="294"/>
      <c r="AL132" s="303"/>
      <c r="AM132" s="303"/>
      <c r="AN132" s="303"/>
    </row>
    <row r="133" spans="2:40" ht="23.25">
      <c r="B133" s="1159"/>
      <c r="C133" s="1159"/>
      <c r="D133" s="1159"/>
      <c r="E133" s="1159"/>
      <c r="F133" s="1159"/>
      <c r="G133" s="1159"/>
      <c r="H133" s="1159"/>
      <c r="I133" s="1159"/>
      <c r="J133" s="1159"/>
      <c r="K133" s="1159"/>
      <c r="L133" s="1159"/>
      <c r="M133" s="1159"/>
      <c r="N133" s="1159"/>
      <c r="O133" s="1159"/>
      <c r="P133" s="1159"/>
      <c r="Q133" s="1159"/>
      <c r="R133" s="1159"/>
      <c r="W133" s="303"/>
      <c r="X133" s="303"/>
      <c r="Y133" s="303"/>
      <c r="Z133" s="303"/>
      <c r="AA133" s="303"/>
      <c r="AB133" s="303"/>
      <c r="AC133" s="687"/>
      <c r="AD133" s="427">
        <v>0</v>
      </c>
      <c r="AE133" s="427">
        <f t="shared" si="14"/>
        <v>0</v>
      </c>
      <c r="AF133" s="427">
        <f>ROUND(+AE133*SUM(Z$128:Z$130),0)-0</f>
        <v>0</v>
      </c>
      <c r="AG133" s="303"/>
      <c r="AI133" s="303"/>
      <c r="AJ133" s="407"/>
      <c r="AK133" s="294"/>
      <c r="AL133" s="303"/>
      <c r="AM133" s="303"/>
      <c r="AN133" s="303"/>
    </row>
    <row r="134" spans="2:40" ht="24" thickBot="1">
      <c r="B134" s="1159"/>
      <c r="C134" s="1159"/>
      <c r="D134" s="1167"/>
      <c r="E134" s="1167"/>
      <c r="F134" s="1167"/>
      <c r="G134" s="1167"/>
      <c r="H134" s="1167"/>
      <c r="I134" s="1167"/>
      <c r="J134" s="1167"/>
      <c r="K134" s="1167"/>
      <c r="L134" s="1167"/>
      <c r="M134" s="1167"/>
      <c r="N134" s="1167"/>
      <c r="O134" s="1167"/>
      <c r="P134" s="1159"/>
      <c r="Q134" s="1159"/>
      <c r="R134" s="1159"/>
      <c r="W134" s="303"/>
      <c r="X134" s="303"/>
      <c r="Y134" s="303"/>
      <c r="Z134" s="303"/>
      <c r="AA134" s="303"/>
      <c r="AB134" s="303"/>
      <c r="AC134" s="687" t="s">
        <v>792</v>
      </c>
      <c r="AD134" s="430">
        <f>SUM(AD127:AD133)</f>
        <v>24019690</v>
      </c>
      <c r="AE134" s="427"/>
      <c r="AF134" s="430">
        <f>SUM(AF127:AF133)</f>
        <v>1526637</v>
      </c>
      <c r="AG134" s="303"/>
      <c r="AI134" s="303"/>
      <c r="AJ134" s="1037">
        <f>SUM(AJ127:AJ133)</f>
        <v>23466096</v>
      </c>
      <c r="AK134" s="294"/>
      <c r="AL134" s="303"/>
      <c r="AM134" s="303"/>
      <c r="AN134" s="303"/>
    </row>
    <row r="135" spans="2:40" ht="24" thickTop="1">
      <c r="B135" s="1157" t="s">
        <v>2498</v>
      </c>
      <c r="C135" s="1159"/>
      <c r="D135" s="1167"/>
      <c r="E135" s="1167"/>
      <c r="F135" s="1167"/>
      <c r="G135" s="1167"/>
      <c r="H135" s="1167"/>
      <c r="I135" s="1167"/>
      <c r="J135" s="1167"/>
      <c r="K135" s="1167"/>
      <c r="L135" s="1167"/>
      <c r="M135" s="1167"/>
      <c r="N135" s="1167"/>
      <c r="O135" s="1167"/>
      <c r="P135" s="1159"/>
      <c r="Q135" s="1159"/>
      <c r="R135" s="1167"/>
      <c r="U135" s="303"/>
      <c r="V135" s="303"/>
      <c r="W135" s="303"/>
      <c r="X135" s="303"/>
      <c r="Y135" s="303"/>
      <c r="Z135" s="303"/>
      <c r="AA135" s="303"/>
      <c r="AB135" s="303"/>
      <c r="AC135" s="688"/>
      <c r="AD135" s="419" t="s">
        <v>3486</v>
      </c>
      <c r="AE135" s="303"/>
      <c r="AF135" s="303"/>
      <c r="AG135" s="303"/>
      <c r="AI135" s="303"/>
      <c r="AJ135" s="1038" t="s">
        <v>3485</v>
      </c>
      <c r="AK135" s="294"/>
      <c r="AL135" s="303"/>
      <c r="AM135" s="303"/>
      <c r="AN135" s="303"/>
    </row>
    <row r="136" spans="2:40" ht="23.25">
      <c r="B136" s="1157" t="s">
        <v>2499</v>
      </c>
      <c r="C136" s="1159"/>
      <c r="D136" s="1167"/>
      <c r="E136" s="1167"/>
      <c r="F136" s="1167"/>
      <c r="G136" s="1167"/>
      <c r="H136" s="1167"/>
      <c r="I136" s="1167"/>
      <c r="J136" s="1167"/>
      <c r="K136" s="1167"/>
      <c r="L136" s="1167"/>
      <c r="M136" s="1167"/>
      <c r="N136" s="1167"/>
      <c r="O136" s="1167"/>
      <c r="P136" s="1159"/>
      <c r="Q136" s="1159"/>
      <c r="R136" s="1167"/>
      <c r="U136" s="303"/>
      <c r="V136" s="303"/>
      <c r="W136" s="303"/>
      <c r="X136" s="303"/>
      <c r="Y136" s="303"/>
      <c r="Z136" s="428"/>
      <c r="AA136" s="303"/>
      <c r="AB136" s="303"/>
      <c r="AC136" s="688"/>
      <c r="AE136" s="500" t="s">
        <v>3002</v>
      </c>
      <c r="AF136" s="303">
        <f>SUM(Z128:Z130)</f>
        <v>1526637</v>
      </c>
      <c r="AG136" s="303"/>
      <c r="AH136" s="303"/>
      <c r="AI136" s="303"/>
      <c r="AJ136" s="407"/>
      <c r="AK136" s="294"/>
      <c r="AL136" s="303"/>
      <c r="AM136" s="303"/>
      <c r="AN136" s="303"/>
    </row>
    <row r="137" spans="2:40" ht="23.25">
      <c r="B137" s="1157" t="s">
        <v>2500</v>
      </c>
      <c r="C137" s="1159"/>
      <c r="D137" s="1167"/>
      <c r="E137" s="1167"/>
      <c r="F137" s="1167"/>
      <c r="G137" s="1167"/>
      <c r="H137" s="1167"/>
      <c r="I137" s="1167"/>
      <c r="J137" s="1167"/>
      <c r="K137" s="1167"/>
      <c r="L137" s="1167"/>
      <c r="M137" s="1167"/>
      <c r="N137" s="1167"/>
      <c r="O137" s="1167"/>
      <c r="P137" s="1159"/>
      <c r="Q137" s="1159"/>
      <c r="R137" s="1167"/>
      <c r="U137" s="303"/>
      <c r="V137" s="303"/>
      <c r="W137" s="303"/>
      <c r="X137" s="303"/>
      <c r="Y137" s="303"/>
      <c r="Z137" s="303"/>
      <c r="AA137" s="303"/>
      <c r="AB137" s="303"/>
      <c r="AC137" s="688"/>
      <c r="AD137" s="303"/>
      <c r="AE137" s="303"/>
      <c r="AF137" s="679">
        <f>+AF134-AF136</f>
        <v>0</v>
      </c>
      <c r="AG137" s="303"/>
      <c r="AH137" s="303"/>
      <c r="AI137" s="303"/>
      <c r="AJ137" s="407"/>
      <c r="AK137" s="294"/>
      <c r="AL137" s="303"/>
      <c r="AM137" s="303"/>
      <c r="AN137" s="303"/>
    </row>
    <row r="138" spans="2:40" ht="23.25">
      <c r="B138" s="1157" t="s">
        <v>255</v>
      </c>
      <c r="C138" s="1159"/>
      <c r="D138" s="1167"/>
      <c r="E138" s="1167"/>
      <c r="F138" s="1167"/>
      <c r="G138" s="1167"/>
      <c r="H138" s="1167"/>
      <c r="I138" s="1167"/>
      <c r="J138" s="1167"/>
      <c r="K138" s="1167"/>
      <c r="L138" s="1167"/>
      <c r="M138" s="1167"/>
      <c r="N138" s="1167"/>
      <c r="O138" s="1167"/>
      <c r="P138" s="1159"/>
      <c r="Q138" s="1159"/>
      <c r="R138" s="1169">
        <f>+X60</f>
        <v>-1030</v>
      </c>
      <c r="U138" s="303"/>
      <c r="V138" s="303"/>
      <c r="W138" s="303"/>
      <c r="X138" s="303"/>
      <c r="Y138" s="303"/>
      <c r="Z138" s="303"/>
      <c r="AA138" s="303"/>
      <c r="AB138" s="303"/>
      <c r="AC138" s="688"/>
      <c r="AD138" s="303"/>
      <c r="AE138" s="303"/>
      <c r="AF138" s="689" t="s">
        <v>2491</v>
      </c>
      <c r="AG138" s="303"/>
      <c r="AH138" s="303"/>
      <c r="AI138" s="303"/>
      <c r="AJ138" s="407"/>
      <c r="AK138" s="294"/>
      <c r="AL138" s="303"/>
      <c r="AM138" s="303"/>
      <c r="AN138" s="303"/>
    </row>
    <row r="139" spans="2:40" ht="23.25">
      <c r="B139" s="1159"/>
      <c r="C139" s="1159"/>
      <c r="D139" s="1167"/>
      <c r="E139" s="1167"/>
      <c r="F139" s="1167"/>
      <c r="G139" s="1167"/>
      <c r="H139" s="1167"/>
      <c r="I139" s="1167"/>
      <c r="J139" s="1167"/>
      <c r="K139" s="1167"/>
      <c r="L139" s="1167"/>
      <c r="M139" s="1167"/>
      <c r="N139" s="1167"/>
      <c r="O139" s="1167"/>
      <c r="P139" s="1159"/>
      <c r="Q139" s="1159"/>
      <c r="R139" s="1167"/>
      <c r="U139" s="303"/>
      <c r="V139" s="303"/>
      <c r="W139" s="303"/>
      <c r="X139" s="303"/>
      <c r="Y139" s="303"/>
      <c r="Z139" s="303"/>
      <c r="AA139" s="303"/>
      <c r="AB139" s="303"/>
      <c r="AC139" s="688"/>
      <c r="AD139" s="303"/>
      <c r="AE139" s="303"/>
      <c r="AF139" s="419" t="s">
        <v>3240</v>
      </c>
      <c r="AG139" s="303"/>
      <c r="AH139" s="303"/>
      <c r="AI139" s="303"/>
      <c r="AJ139" s="407"/>
      <c r="AK139" s="294"/>
      <c r="AL139" s="303"/>
      <c r="AM139" s="303"/>
      <c r="AN139" s="303"/>
    </row>
    <row r="140" spans="2:40" ht="24" thickBot="1">
      <c r="B140" s="1159" t="s">
        <v>1725</v>
      </c>
      <c r="C140" s="1159"/>
      <c r="D140" s="1167"/>
      <c r="E140" s="1167"/>
      <c r="F140" s="1167"/>
      <c r="G140" s="1167"/>
      <c r="H140" s="1167"/>
      <c r="I140" s="1167"/>
      <c r="J140" s="1167"/>
      <c r="K140" s="1167"/>
      <c r="L140" s="1167"/>
      <c r="M140" s="1167"/>
      <c r="N140" s="1167"/>
      <c r="O140" s="1167"/>
      <c r="P140" s="1159"/>
      <c r="Q140" s="1159"/>
      <c r="R140" s="1170">
        <f>SUM(R85:R138)</f>
        <v>2070351</v>
      </c>
      <c r="U140" s="385"/>
      <c r="V140" s="385"/>
      <c r="W140" s="292"/>
      <c r="X140" s="292"/>
      <c r="Y140" s="292"/>
      <c r="Z140" s="292"/>
      <c r="AA140" s="292"/>
      <c r="AB140" s="292"/>
      <c r="AC140" s="690"/>
      <c r="AD140" s="506"/>
      <c r="AE140" s="506"/>
      <c r="AF140" s="506"/>
      <c r="AG140" s="506"/>
      <c r="AH140" s="506"/>
      <c r="AI140" s="506"/>
      <c r="AJ140" s="415"/>
      <c r="AK140" s="294"/>
      <c r="AL140" s="303"/>
      <c r="AM140" s="303"/>
      <c r="AN140" s="292"/>
    </row>
    <row r="141" spans="2:40" ht="51" customHeight="1" thickTop="1">
      <c r="B141" s="1165"/>
      <c r="C141" s="1159"/>
      <c r="D141" s="1159"/>
      <c r="E141" s="1159"/>
      <c r="F141" s="1159"/>
      <c r="G141" s="1159"/>
      <c r="H141" s="1159"/>
      <c r="I141" s="1159"/>
      <c r="J141" s="1159"/>
      <c r="K141" s="1159"/>
      <c r="L141" s="1159"/>
      <c r="M141" s="1159"/>
      <c r="N141" s="1159"/>
      <c r="O141" s="1159"/>
      <c r="P141" s="1159"/>
      <c r="Q141" s="1159"/>
      <c r="R141" s="1159"/>
    </row>
    <row r="143" spans="2:40">
      <c r="R143" s="288">
        <f>+'Stmet of Actvty'!I54</f>
        <v>70829299</v>
      </c>
      <c r="X143" s="288" t="s">
        <v>2340</v>
      </c>
    </row>
    <row r="144" spans="2:40">
      <c r="R144" s="288">
        <f>+R143+R140</f>
        <v>72899650</v>
      </c>
    </row>
    <row r="145" spans="2:24">
      <c r="R145" s="288">
        <f>+'Govt BS'!R178</f>
        <v>72899650</v>
      </c>
      <c r="X145" s="431" t="s">
        <v>36</v>
      </c>
    </row>
    <row r="146" spans="2:24">
      <c r="R146" s="288">
        <f>-R145+R144</f>
        <v>0</v>
      </c>
      <c r="X146" s="431"/>
    </row>
    <row r="156" spans="2:24" ht="15.75">
      <c r="B156" s="276" t="s">
        <v>839</v>
      </c>
      <c r="C156" s="276"/>
      <c r="D156" s="303"/>
      <c r="E156" s="303"/>
      <c r="F156" s="303"/>
      <c r="G156" s="303"/>
      <c r="H156" s="303"/>
      <c r="I156" s="303"/>
      <c r="J156" s="303"/>
      <c r="K156" s="303"/>
      <c r="L156" s="303"/>
      <c r="M156" s="303"/>
      <c r="N156" s="303"/>
      <c r="O156" s="303"/>
      <c r="P156" s="303"/>
      <c r="Q156" s="303"/>
      <c r="R156" s="303"/>
      <c r="S156" s="303"/>
      <c r="T156" s="303"/>
      <c r="U156" s="303"/>
      <c r="V156" s="303"/>
    </row>
    <row r="157" spans="2:24" ht="15.75">
      <c r="B157" s="276" t="s">
        <v>546</v>
      </c>
      <c r="C157" s="276"/>
      <c r="D157" s="303"/>
      <c r="E157" s="303"/>
      <c r="F157" s="303"/>
      <c r="G157" s="303"/>
      <c r="H157" s="303"/>
      <c r="I157" s="303"/>
      <c r="J157" s="303"/>
      <c r="K157" s="303"/>
      <c r="L157" s="303"/>
      <c r="M157" s="303"/>
      <c r="N157" s="303"/>
      <c r="O157" s="303"/>
      <c r="P157" s="303"/>
      <c r="Q157" s="303"/>
      <c r="R157" s="303"/>
      <c r="S157" s="303"/>
      <c r="T157" s="303"/>
      <c r="U157" s="303"/>
      <c r="V157" s="303"/>
    </row>
    <row r="158" spans="2:24" ht="15.75">
      <c r="B158" s="276" t="s">
        <v>704</v>
      </c>
      <c r="C158" s="276"/>
      <c r="D158" s="303"/>
      <c r="E158" s="303"/>
      <c r="F158" s="303"/>
      <c r="G158" s="303"/>
      <c r="H158" s="303"/>
      <c r="I158" s="303"/>
      <c r="J158" s="303"/>
      <c r="K158" s="303"/>
      <c r="L158" s="303"/>
      <c r="M158" s="303"/>
      <c r="N158" s="303"/>
      <c r="O158" s="303"/>
      <c r="P158" s="303"/>
      <c r="Q158" s="303"/>
      <c r="R158" s="303"/>
      <c r="S158" s="303"/>
      <c r="T158" s="303"/>
      <c r="U158" s="303"/>
      <c r="V158" s="303"/>
    </row>
    <row r="159" spans="2:24" ht="15.75">
      <c r="B159" s="276"/>
      <c r="C159" s="276"/>
      <c r="D159" s="303"/>
      <c r="E159" s="303"/>
      <c r="F159" s="303"/>
      <c r="G159" s="303"/>
      <c r="H159" s="303"/>
      <c r="I159" s="303"/>
      <c r="J159" s="303"/>
      <c r="K159" s="303"/>
      <c r="L159" s="303"/>
      <c r="M159" s="303"/>
      <c r="N159" s="303"/>
      <c r="O159" s="303"/>
      <c r="P159" s="303"/>
      <c r="Q159" s="303"/>
      <c r="R159" s="303"/>
      <c r="S159" s="303"/>
      <c r="T159" s="303"/>
      <c r="U159" s="303"/>
      <c r="V159" s="303"/>
    </row>
  </sheetData>
  <mergeCells count="15">
    <mergeCell ref="B102:L102"/>
    <mergeCell ref="B97:L97"/>
    <mergeCell ref="B80:P80"/>
    <mergeCell ref="B4:J4"/>
    <mergeCell ref="B3:J3"/>
    <mergeCell ref="B5:J5"/>
    <mergeCell ref="B6:J6"/>
    <mergeCell ref="L4:T4"/>
    <mergeCell ref="L5:T5"/>
    <mergeCell ref="L6:T6"/>
    <mergeCell ref="L7:T7"/>
    <mergeCell ref="B7:J7"/>
    <mergeCell ref="B77:P77"/>
    <mergeCell ref="B78:P78"/>
    <mergeCell ref="B79:P79"/>
  </mergeCells>
  <phoneticPr fontId="0" type="noConversion"/>
  <printOptions horizontalCentered="1"/>
  <pageMargins left="0.25" right="0.25" top="0.5" bottom="0.5" header="0.25" footer="0.25"/>
  <pageSetup scale="17" firstPageNumber="19" orientation="portrait" useFirstPageNumber="1" r:id="rId1"/>
  <headerFooter alignWithMargins="0"/>
  <rowBreaks count="1" manualBreakCount="1">
    <brk id="75" max="16383" man="1"/>
  </rowBreaks>
  <colBreaks count="1" manualBreakCount="1">
    <brk id="20" max="1048575" man="1"/>
  </colBreaks>
  <ignoredErrors>
    <ignoredError sqref="N129"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codeName="Sheet6"/>
  <dimension ref="C3:Q219"/>
  <sheetViews>
    <sheetView showGridLines="0" topLeftCell="A101" zoomScale="70" zoomScaleNormal="70" workbookViewId="0">
      <selection activeCell="G122" sqref="G122"/>
    </sheetView>
  </sheetViews>
  <sheetFormatPr defaultColWidth="9.7109375" defaultRowHeight="12.75"/>
  <cols>
    <col min="1" max="1" width="2.7109375" style="288" customWidth="1"/>
    <col min="2" max="2" width="5.7109375" style="288" customWidth="1"/>
    <col min="3" max="3" width="63" style="288" customWidth="1"/>
    <col min="4" max="6" width="16.7109375" style="288" customWidth="1"/>
    <col min="7" max="7" width="24.140625" style="288" customWidth="1"/>
    <col min="8" max="8" width="3.7109375" style="288" customWidth="1"/>
    <col min="9" max="9" width="3.140625" style="288" customWidth="1"/>
    <col min="10" max="10" width="15.28515625" style="288" customWidth="1"/>
    <col min="11" max="11" width="14.42578125" style="288" customWidth="1"/>
    <col min="12" max="12" width="15.28515625" style="288" customWidth="1"/>
    <col min="13" max="13" width="2.85546875" style="288" customWidth="1"/>
    <col min="14" max="14" width="9.7109375" style="288"/>
    <col min="15" max="15" width="21.85546875" style="288" customWidth="1"/>
    <col min="16" max="16384" width="9.7109375" style="288"/>
  </cols>
  <sheetData>
    <row r="3" spans="3:8" ht="15.75">
      <c r="C3" s="395" t="s">
        <v>1049</v>
      </c>
      <c r="D3" s="395"/>
      <c r="E3" s="395"/>
      <c r="F3" s="395"/>
      <c r="G3" s="432"/>
    </row>
    <row r="4" spans="3:8" ht="15.75">
      <c r="C4" s="305" t="s">
        <v>2572</v>
      </c>
      <c r="D4" s="395"/>
      <c r="E4" s="395"/>
      <c r="F4" s="395"/>
      <c r="G4" s="432"/>
    </row>
    <row r="5" spans="3:8" ht="15.75">
      <c r="C5" s="305" t="s">
        <v>1362</v>
      </c>
      <c r="D5" s="395"/>
      <c r="E5" s="395"/>
      <c r="F5" s="395"/>
      <c r="G5" s="432"/>
    </row>
    <row r="6" spans="3:8" ht="15.75">
      <c r="C6" s="395" t="str">
        <f>+'Sys INPUT'!B2</f>
        <v>For the  Fiscal Year Ended June 30, 2023</v>
      </c>
      <c r="D6" s="395"/>
      <c r="E6" s="395"/>
      <c r="F6" s="395"/>
      <c r="G6" s="432"/>
    </row>
    <row r="7" spans="3:8" ht="15.75">
      <c r="C7" s="395" t="s">
        <v>3113</v>
      </c>
      <c r="D7" s="395"/>
      <c r="E7" s="395"/>
      <c r="F7" s="395"/>
      <c r="G7" s="432"/>
    </row>
    <row r="8" spans="3:8" ht="15.75">
      <c r="D8" s="395"/>
      <c r="E8" s="395"/>
      <c r="F8" s="395"/>
      <c r="G8" s="432"/>
    </row>
    <row r="9" spans="3:8" ht="15.75">
      <c r="C9" s="395"/>
      <c r="D9" s="328" t="s">
        <v>793</v>
      </c>
      <c r="E9" s="328"/>
      <c r="F9" s="328"/>
      <c r="G9" s="328"/>
    </row>
    <row r="10" spans="3:8" ht="15.75">
      <c r="C10" s="395"/>
      <c r="D10" s="395"/>
      <c r="E10" s="395"/>
      <c r="F10" s="395"/>
      <c r="G10" s="287" t="s">
        <v>1145</v>
      </c>
      <c r="H10" s="395"/>
    </row>
    <row r="11" spans="3:8" ht="15.75">
      <c r="C11" s="308"/>
      <c r="D11" s="328" t="s">
        <v>290</v>
      </c>
      <c r="E11" s="328"/>
      <c r="F11" s="287"/>
      <c r="G11" s="287" t="s">
        <v>461</v>
      </c>
      <c r="H11" s="308"/>
    </row>
    <row r="12" spans="3:8" ht="15.75">
      <c r="C12" s="308"/>
      <c r="D12" s="287"/>
      <c r="E12" s="287"/>
      <c r="F12" s="287"/>
      <c r="G12" s="287" t="s">
        <v>412</v>
      </c>
      <c r="H12" s="308"/>
    </row>
    <row r="13" spans="3:8" ht="15.75">
      <c r="C13" s="276"/>
      <c r="D13" s="290" t="s">
        <v>857</v>
      </c>
      <c r="E13" s="290" t="s">
        <v>414</v>
      </c>
      <c r="F13" s="290" t="s">
        <v>858</v>
      </c>
      <c r="G13" s="290" t="s">
        <v>413</v>
      </c>
      <c r="H13" s="308"/>
    </row>
    <row r="14" spans="3:8" ht="15.75">
      <c r="C14" s="308" t="s">
        <v>596</v>
      </c>
      <c r="D14" s="308"/>
      <c r="E14" s="276"/>
      <c r="F14" s="276"/>
      <c r="G14" s="303"/>
      <c r="H14" s="308"/>
    </row>
    <row r="15" spans="3:8" ht="15.75">
      <c r="C15" s="308" t="s">
        <v>2356</v>
      </c>
      <c r="D15" s="308"/>
      <c r="E15" s="276"/>
      <c r="F15" s="276"/>
      <c r="G15" s="303"/>
      <c r="H15" s="287"/>
    </row>
    <row r="16" spans="3:8" ht="15.75">
      <c r="C16" s="276" t="s">
        <v>2357</v>
      </c>
      <c r="D16" s="292">
        <f>+'GEN BUDACT ER'!D17</f>
        <v>5747773</v>
      </c>
      <c r="E16" s="292">
        <f>+'GEN BUDACT ER'!E17</f>
        <v>5747773</v>
      </c>
      <c r="F16" s="292">
        <f>+'GEN BUDACT ER'!F17+'Sys INPUT'!D201</f>
        <v>5997135</v>
      </c>
      <c r="G16" s="292">
        <f>+F16-E16</f>
        <v>249362</v>
      </c>
      <c r="H16" s="287"/>
    </row>
    <row r="17" spans="3:11" ht="15.75">
      <c r="C17" s="276" t="s">
        <v>2358</v>
      </c>
      <c r="D17" s="294">
        <f>+'GEN BUDACT ER'!D18</f>
        <v>1036647</v>
      </c>
      <c r="E17" s="294">
        <f>+'GEN BUDACT ER'!E18</f>
        <v>1036647</v>
      </c>
      <c r="F17" s="294">
        <f>+'GEN BUDACT ER'!F18</f>
        <v>1312323</v>
      </c>
      <c r="G17" s="294">
        <f>+F17-E17</f>
        <v>275676</v>
      </c>
      <c r="H17" s="276"/>
    </row>
    <row r="18" spans="3:11" ht="15.75">
      <c r="C18" s="276" t="s">
        <v>2359</v>
      </c>
      <c r="D18" s="294">
        <f>+'GEN BUDACT ER'!D19</f>
        <v>1049216</v>
      </c>
      <c r="E18" s="294">
        <f>+'GEN BUDACT ER'!E19</f>
        <v>1049216</v>
      </c>
      <c r="F18" s="294">
        <f>+'GEN BUDACT ER'!F19</f>
        <v>1071508</v>
      </c>
      <c r="G18" s="294">
        <f>+F18-E18</f>
        <v>22292</v>
      </c>
      <c r="H18" s="276"/>
    </row>
    <row r="19" spans="3:11" ht="15.75">
      <c r="C19" s="276"/>
      <c r="D19" s="426"/>
      <c r="E19" s="426"/>
      <c r="F19" s="426"/>
      <c r="G19" s="426"/>
      <c r="H19" s="276"/>
    </row>
    <row r="20" spans="3:11" ht="15.75">
      <c r="C20" s="308" t="s">
        <v>774</v>
      </c>
      <c r="D20" s="706">
        <f>+SUM(D16:D19)</f>
        <v>7833636</v>
      </c>
      <c r="E20" s="706">
        <f>+SUM(E16:E19)</f>
        <v>7833636</v>
      </c>
      <c r="F20" s="706">
        <f>+SUM(F16:F19)</f>
        <v>8380966</v>
      </c>
      <c r="G20" s="706">
        <f>+SUM(G16:G19)</f>
        <v>547330</v>
      </c>
      <c r="H20" s="308"/>
      <c r="K20" s="433">
        <f>+G20/E20</f>
        <v>6.986921526606546E-2</v>
      </c>
    </row>
    <row r="21" spans="3:11" ht="15.75">
      <c r="C21" s="276"/>
      <c r="D21" s="276"/>
      <c r="E21" s="303"/>
      <c r="F21" s="303"/>
      <c r="G21" s="303"/>
      <c r="H21" s="276"/>
    </row>
    <row r="22" spans="3:11" ht="15.75">
      <c r="C22" s="308" t="s">
        <v>1251</v>
      </c>
      <c r="D22" s="308"/>
      <c r="E22" s="303"/>
      <c r="F22" s="303"/>
      <c r="G22" s="303"/>
      <c r="H22" s="276"/>
    </row>
    <row r="23" spans="3:11" ht="15.75" hidden="1">
      <c r="C23" s="276" t="s">
        <v>49</v>
      </c>
      <c r="D23" s="294">
        <f>+'GEN BUDACT ER'!D24</f>
        <v>0</v>
      </c>
      <c r="E23" s="294">
        <f>+'GEN BUDACT ER'!E24</f>
        <v>0</v>
      </c>
      <c r="F23" s="294">
        <f>+'GEN BUDACT ER'!F24</f>
        <v>0</v>
      </c>
      <c r="G23" s="294">
        <f>+F23-E23</f>
        <v>0</v>
      </c>
      <c r="H23" s="276"/>
    </row>
    <row r="24" spans="3:11" ht="15.75">
      <c r="C24" s="276" t="s">
        <v>620</v>
      </c>
      <c r="D24" s="294">
        <f>+'GEN BUDACT ER'!D25</f>
        <v>235000</v>
      </c>
      <c r="E24" s="294">
        <f>+'GEN BUDACT ER'!E25</f>
        <v>235000</v>
      </c>
      <c r="F24" s="294">
        <f>+'GEN BUDACT ER'!F25</f>
        <v>232102</v>
      </c>
      <c r="G24" s="294">
        <f>+F24-E24</f>
        <v>-2898</v>
      </c>
      <c r="H24" s="276"/>
    </row>
    <row r="25" spans="3:11" ht="15.75">
      <c r="C25" s="276" t="s">
        <v>130</v>
      </c>
      <c r="D25" s="294">
        <f>+'GEN BUDACT ER'!D26</f>
        <v>22500</v>
      </c>
      <c r="E25" s="294">
        <f>+'GEN BUDACT ER'!E26</f>
        <v>22500</v>
      </c>
      <c r="F25" s="294">
        <f>+'GEN BUDACT ER'!F26</f>
        <v>32624</v>
      </c>
      <c r="G25" s="294">
        <f>+F25-E25</f>
        <v>10124</v>
      </c>
      <c r="H25" s="276"/>
    </row>
    <row r="26" spans="3:11" ht="15.75">
      <c r="C26" s="276"/>
      <c r="D26" s="434"/>
      <c r="E26" s="434"/>
      <c r="F26" s="434"/>
      <c r="G26" s="434"/>
      <c r="H26" s="276"/>
    </row>
    <row r="27" spans="3:11" ht="15.75">
      <c r="C27" s="308" t="s">
        <v>775</v>
      </c>
      <c r="D27" s="706">
        <f>SUM(D23:D26)</f>
        <v>257500</v>
      </c>
      <c r="E27" s="706">
        <f>SUM(E23:E26)</f>
        <v>257500</v>
      </c>
      <c r="F27" s="706">
        <f>SUM(F23:F26)</f>
        <v>264726</v>
      </c>
      <c r="G27" s="706">
        <f>SUM(G23:G26)</f>
        <v>7226</v>
      </c>
      <c r="H27" s="276"/>
      <c r="K27" s="433">
        <f>+G27/E27</f>
        <v>2.8062135922330096E-2</v>
      </c>
    </row>
    <row r="28" spans="3:11" ht="15.75">
      <c r="C28" s="276"/>
      <c r="D28" s="276"/>
      <c r="E28" s="303"/>
      <c r="F28" s="303"/>
      <c r="G28" s="303"/>
      <c r="H28" s="276"/>
    </row>
    <row r="29" spans="3:11" ht="15.75">
      <c r="C29" s="308" t="s">
        <v>444</v>
      </c>
      <c r="D29" s="308"/>
      <c r="E29" s="303"/>
      <c r="F29" s="303"/>
      <c r="G29" s="303"/>
      <c r="H29" s="276"/>
    </row>
    <row r="30" spans="3:11" ht="15.75">
      <c r="C30" s="435" t="s">
        <v>33</v>
      </c>
      <c r="D30" s="276"/>
      <c r="E30" s="303"/>
      <c r="F30" s="303"/>
      <c r="G30" s="303"/>
      <c r="H30" s="276"/>
    </row>
    <row r="31" spans="3:11" ht="15.75">
      <c r="C31" s="276" t="s">
        <v>153</v>
      </c>
      <c r="D31" s="294">
        <f>+'GEN BUDACT ER'!D32</f>
        <v>72000</v>
      </c>
      <c r="E31" s="294">
        <f>+'GEN BUDACT ER'!E32</f>
        <v>72000</v>
      </c>
      <c r="F31" s="294">
        <f>+'GEN BUDACT ER'!F32</f>
        <v>0</v>
      </c>
      <c r="G31" s="294">
        <f t="shared" ref="G31:G36" si="0">+F31-E31</f>
        <v>-72000</v>
      </c>
      <c r="H31" s="276"/>
    </row>
    <row r="32" spans="3:11" ht="15.75">
      <c r="C32" s="276" t="s">
        <v>786</v>
      </c>
      <c r="D32" s="294">
        <f>+'GEN BUDACT ER'!D33</f>
        <v>100000</v>
      </c>
      <c r="E32" s="294">
        <f>+'GEN BUDACT ER'!E33</f>
        <v>100000</v>
      </c>
      <c r="F32" s="294">
        <f>+'GEN BUDACT ER'!F33</f>
        <v>59219</v>
      </c>
      <c r="G32" s="294">
        <f t="shared" si="0"/>
        <v>-40781</v>
      </c>
      <c r="H32" s="276"/>
    </row>
    <row r="33" spans="3:15" ht="15.75">
      <c r="C33" s="435" t="s">
        <v>787</v>
      </c>
      <c r="D33" s="294"/>
      <c r="E33" s="294"/>
      <c r="F33" s="294"/>
      <c r="G33" s="294"/>
      <c r="H33" s="276"/>
    </row>
    <row r="34" spans="3:15" ht="15.75">
      <c r="C34" s="276" t="s">
        <v>88</v>
      </c>
      <c r="D34" s="294">
        <f>+'GEN BUDACT ER'!D35</f>
        <v>0</v>
      </c>
      <c r="E34" s="294">
        <f>+'GEN BUDACT ER'!E35</f>
        <v>0</v>
      </c>
      <c r="F34" s="294">
        <f>+'GEN BUDACT ER'!F35</f>
        <v>945</v>
      </c>
      <c r="G34" s="294">
        <f t="shared" si="0"/>
        <v>945</v>
      </c>
      <c r="H34" s="276"/>
    </row>
    <row r="35" spans="3:15" ht="15.75">
      <c r="C35" s="276" t="s">
        <v>89</v>
      </c>
      <c r="D35" s="294">
        <f>+'GEN BUDACT ER'!D36</f>
        <v>1900000</v>
      </c>
      <c r="E35" s="294">
        <f>+'GEN BUDACT ER'!E36</f>
        <v>1900000</v>
      </c>
      <c r="F35" s="294">
        <f>+'GEN BUDACT ER'!F36</f>
        <v>2578575</v>
      </c>
      <c r="G35" s="294">
        <f t="shared" si="0"/>
        <v>678575</v>
      </c>
      <c r="H35" s="276"/>
      <c r="K35" s="304"/>
      <c r="L35" s="304"/>
      <c r="O35" s="288">
        <f>+F35-2427599</f>
        <v>150976</v>
      </c>
    </row>
    <row r="36" spans="3:15" ht="15.75" hidden="1">
      <c r="C36" s="276" t="s">
        <v>682</v>
      </c>
      <c r="D36" s="294">
        <f>+'GEN BUDACT ER'!D37</f>
        <v>0</v>
      </c>
      <c r="E36" s="294">
        <f>+'GEN BUDACT ER'!E37</f>
        <v>0</v>
      </c>
      <c r="F36" s="294">
        <f>+'GEN BUDACT ER'!F37</f>
        <v>0</v>
      </c>
      <c r="G36" s="294">
        <f t="shared" si="0"/>
        <v>0</v>
      </c>
      <c r="H36" s="276"/>
    </row>
    <row r="37" spans="3:15" ht="15.75" hidden="1">
      <c r="C37" s="435" t="s">
        <v>34</v>
      </c>
      <c r="D37" s="294"/>
      <c r="E37" s="294"/>
      <c r="F37" s="294"/>
      <c r="G37" s="303"/>
      <c r="H37" s="276"/>
    </row>
    <row r="38" spans="3:15" ht="15.75" hidden="1">
      <c r="C38" s="276" t="s">
        <v>507</v>
      </c>
      <c r="D38" s="294">
        <f>+'GEN BUDACT ER'!D39</f>
        <v>0</v>
      </c>
      <c r="E38" s="294">
        <f>+'GEN BUDACT ER'!E39</f>
        <v>0</v>
      </c>
      <c r="F38" s="294">
        <f>+'GEN BUDACT ER'!F39</f>
        <v>0</v>
      </c>
      <c r="G38" s="303" t="str">
        <f>IF(+F38-E38&lt;&gt;0,+F38-E38,"-  ")</f>
        <v xml:space="preserve">-  </v>
      </c>
      <c r="H38" s="276"/>
    </row>
    <row r="39" spans="3:15" ht="15.75">
      <c r="C39" s="276" t="s">
        <v>87</v>
      </c>
      <c r="D39" s="294">
        <f>+'GEN BUDACT ER'!D40</f>
        <v>0</v>
      </c>
      <c r="E39" s="294">
        <f>+'GEN BUDACT ER'!E40</f>
        <v>0</v>
      </c>
      <c r="F39" s="294">
        <f>+'GEN BUDACT ER'!F40+Pension!E57</f>
        <v>368704</v>
      </c>
      <c r="G39" s="303">
        <f>IF(+F39-E39&lt;&gt;0,+F39-E39,"-  ")</f>
        <v>368704</v>
      </c>
      <c r="H39" s="276"/>
    </row>
    <row r="40" spans="3:15" ht="14.25" customHeight="1">
      <c r="C40" s="435" t="s">
        <v>284</v>
      </c>
      <c r="D40" s="294"/>
      <c r="E40" s="294"/>
      <c r="F40" s="294"/>
      <c r="G40" s="303"/>
      <c r="H40" s="276"/>
    </row>
    <row r="41" spans="3:15" ht="15.75">
      <c r="C41" s="276" t="s">
        <v>874</v>
      </c>
      <c r="D41" s="294">
        <f>+'GEN BUDACT ER'!D42</f>
        <v>1089768</v>
      </c>
      <c r="E41" s="294">
        <f>+'GEN BUDACT ER'!E42</f>
        <v>1089768</v>
      </c>
      <c r="F41" s="294">
        <f>+'GEN BUDACT ER'!F42+0</f>
        <v>1128289</v>
      </c>
      <c r="G41" s="294">
        <f>+F41-E41</f>
        <v>38521</v>
      </c>
      <c r="H41" s="276"/>
      <c r="K41" s="304" t="s">
        <v>2000</v>
      </c>
    </row>
    <row r="42" spans="3:15" ht="15.75">
      <c r="C42" s="276" t="s">
        <v>727</v>
      </c>
      <c r="D42" s="294">
        <f>+'GEN BUDACT ER'!D43</f>
        <v>24000</v>
      </c>
      <c r="E42" s="294">
        <f>+'GEN BUDACT ER'!E43</f>
        <v>24000</v>
      </c>
      <c r="F42" s="294">
        <f>+'GEN BUDACT ER'!F43</f>
        <v>23077</v>
      </c>
      <c r="G42" s="294">
        <f>+F42-E42</f>
        <v>-923</v>
      </c>
      <c r="H42" s="276"/>
    </row>
    <row r="43" spans="3:15" ht="15.75" hidden="1">
      <c r="C43" s="276" t="s">
        <v>1040</v>
      </c>
      <c r="D43" s="294">
        <f>+'GEN BUDACT ER'!D44</f>
        <v>0</v>
      </c>
      <c r="E43" s="294">
        <f>+'GEN BUDACT ER'!E44</f>
        <v>0</v>
      </c>
      <c r="F43" s="294">
        <f>+'GEN BUDACT ER'!F44</f>
        <v>0</v>
      </c>
      <c r="G43" s="294">
        <f>+F43-E43</f>
        <v>0</v>
      </c>
      <c r="H43" s="276"/>
    </row>
    <row r="44" spans="3:15" ht="15.75">
      <c r="C44" s="276" t="s">
        <v>132</v>
      </c>
      <c r="D44" s="294">
        <f>+'GEN BUDACT ER'!D45</f>
        <v>0</v>
      </c>
      <c r="E44" s="294">
        <f>+'GEN BUDACT ER'!E45</f>
        <v>0</v>
      </c>
      <c r="F44" s="294">
        <f>+'GEN BUDACT ER'!F45</f>
        <v>2000</v>
      </c>
      <c r="G44" s="294">
        <f>+F44-E44</f>
        <v>2000</v>
      </c>
      <c r="H44" s="276"/>
    </row>
    <row r="45" spans="3:15" ht="15.75">
      <c r="D45" s="434"/>
      <c r="E45" s="434"/>
      <c r="F45" s="434"/>
      <c r="G45" s="434"/>
      <c r="H45" s="276"/>
    </row>
    <row r="46" spans="3:15" ht="15.75">
      <c r="C46" s="308" t="s">
        <v>776</v>
      </c>
      <c r="D46" s="711">
        <f>SUM(D30:D45)</f>
        <v>3185768</v>
      </c>
      <c r="E46" s="711">
        <f>SUM(E30:E45)</f>
        <v>3185768</v>
      </c>
      <c r="F46" s="711">
        <f>SUM(F30:F45)</f>
        <v>4160809</v>
      </c>
      <c r="G46" s="711">
        <f>SUM(G30:G45)</f>
        <v>975041</v>
      </c>
      <c r="H46" s="276"/>
      <c r="K46" s="433">
        <f>+G46/E46</f>
        <v>0.30606152111515966</v>
      </c>
    </row>
    <row r="47" spans="3:15" ht="15.75">
      <c r="C47" s="276"/>
      <c r="D47" s="276"/>
      <c r="E47" s="303"/>
      <c r="F47" s="303"/>
      <c r="G47" s="303"/>
      <c r="H47" s="276"/>
    </row>
    <row r="48" spans="3:15" ht="15.75">
      <c r="C48" s="308" t="s">
        <v>1252</v>
      </c>
      <c r="D48" s="308"/>
      <c r="E48" s="303"/>
      <c r="F48" s="303"/>
      <c r="G48" s="303"/>
      <c r="H48" s="308"/>
    </row>
    <row r="49" spans="3:11" ht="15.75">
      <c r="C49" s="435" t="s">
        <v>1229</v>
      </c>
      <c r="D49" s="276"/>
      <c r="E49" s="303"/>
      <c r="F49" s="303"/>
      <c r="G49" s="303"/>
      <c r="H49" s="308"/>
    </row>
    <row r="50" spans="3:11" ht="15.75">
      <c r="C50" s="276" t="s">
        <v>24</v>
      </c>
      <c r="D50" s="294">
        <f>+'GEN BUDACT ER'!D51</f>
        <v>698110</v>
      </c>
      <c r="E50" s="294">
        <f>+'GEN BUDACT ER'!E51</f>
        <v>698110</v>
      </c>
      <c r="F50" s="294">
        <f>+'GEN BUDACT ER'!F51+0</f>
        <v>665667</v>
      </c>
      <c r="G50" s="294">
        <f>+F50-E50</f>
        <v>-32443</v>
      </c>
      <c r="H50" s="276"/>
      <c r="K50" s="304" t="s">
        <v>2000</v>
      </c>
    </row>
    <row r="51" spans="3:11" ht="15.75">
      <c r="C51" s="276" t="s">
        <v>25</v>
      </c>
      <c r="D51" s="294">
        <f>+'GEN BUDACT ER'!D52</f>
        <v>74000</v>
      </c>
      <c r="E51" s="294">
        <f>+'GEN BUDACT ER'!E52</f>
        <v>74000</v>
      </c>
      <c r="F51" s="294">
        <f>+'GEN BUDACT ER'!F52</f>
        <v>77528</v>
      </c>
      <c r="G51" s="294">
        <f>+F51-E51</f>
        <v>3528</v>
      </c>
      <c r="H51" s="276"/>
    </row>
    <row r="52" spans="3:11" ht="15.75" hidden="1">
      <c r="C52" s="276" t="s">
        <v>1264</v>
      </c>
      <c r="D52" s="294">
        <f>+'GEN BUDACT ER'!D53</f>
        <v>0</v>
      </c>
      <c r="E52" s="294">
        <f>+'GEN BUDACT ER'!E53</f>
        <v>0</v>
      </c>
      <c r="F52" s="294">
        <f>+'GEN BUDACT ER'!F53</f>
        <v>0</v>
      </c>
      <c r="G52" s="294">
        <f t="shared" ref="G52:G60" si="1">+F52-E52</f>
        <v>0</v>
      </c>
      <c r="H52" s="276"/>
    </row>
    <row r="53" spans="3:11" ht="15.75">
      <c r="C53" s="276" t="s">
        <v>1236</v>
      </c>
      <c r="D53" s="294">
        <f>+'GEN BUDACT ER'!D54</f>
        <v>1100</v>
      </c>
      <c r="E53" s="294">
        <f>+'GEN BUDACT ER'!E54</f>
        <v>1100</v>
      </c>
      <c r="F53" s="294">
        <f>+'GEN BUDACT ER'!F54</f>
        <v>4925</v>
      </c>
      <c r="G53" s="294">
        <f t="shared" si="1"/>
        <v>3825</v>
      </c>
      <c r="H53" s="276"/>
    </row>
    <row r="54" spans="3:11" ht="15.75">
      <c r="C54" s="276" t="s">
        <v>1237</v>
      </c>
      <c r="D54" s="294">
        <f>+'GEN BUDACT ER'!D55</f>
        <v>5000</v>
      </c>
      <c r="E54" s="294">
        <f>+'GEN BUDACT ER'!E55</f>
        <v>5000</v>
      </c>
      <c r="F54" s="294">
        <f>+'GEN BUDACT ER'!F55</f>
        <v>7850</v>
      </c>
      <c r="G54" s="294">
        <f t="shared" si="1"/>
        <v>2850</v>
      </c>
      <c r="H54" s="276"/>
    </row>
    <row r="55" spans="3:11" ht="15.75">
      <c r="C55" s="276" t="s">
        <v>1238</v>
      </c>
      <c r="D55" s="294">
        <f>+'GEN BUDACT ER'!D56</f>
        <v>565000</v>
      </c>
      <c r="E55" s="294">
        <f>+'GEN BUDACT ER'!E56</f>
        <v>565000</v>
      </c>
      <c r="F55" s="294">
        <f>+'GEN BUDACT ER'!F56</f>
        <v>458199</v>
      </c>
      <c r="G55" s="294">
        <f t="shared" si="1"/>
        <v>-106801</v>
      </c>
      <c r="H55" s="276"/>
    </row>
    <row r="56" spans="3:11" ht="15.75">
      <c r="C56" s="276" t="s">
        <v>94</v>
      </c>
      <c r="D56" s="294">
        <f>+'GEN BUDACT ER'!D57</f>
        <v>45600</v>
      </c>
      <c r="E56" s="294">
        <f>+'GEN BUDACT ER'!E57</f>
        <v>45600</v>
      </c>
      <c r="F56" s="294">
        <f>+'GEN BUDACT ER'!F57</f>
        <v>47886</v>
      </c>
      <c r="G56" s="294">
        <f t="shared" si="1"/>
        <v>2286</v>
      </c>
      <c r="H56" s="276"/>
    </row>
    <row r="57" spans="3:11" ht="15.75">
      <c r="C57" s="276" t="s">
        <v>95</v>
      </c>
      <c r="D57" s="294">
        <f>+'GEN BUDACT ER'!D58</f>
        <v>50000</v>
      </c>
      <c r="E57" s="294">
        <f>+'GEN BUDACT ER'!E58</f>
        <v>50000</v>
      </c>
      <c r="F57" s="294">
        <f>+'GEN BUDACT ER'!F58</f>
        <v>27210</v>
      </c>
      <c r="G57" s="294">
        <f t="shared" si="1"/>
        <v>-22790</v>
      </c>
      <c r="H57" s="276"/>
    </row>
    <row r="58" spans="3:11" ht="15.75" hidden="1">
      <c r="C58" s="276" t="s">
        <v>22</v>
      </c>
      <c r="D58" s="294">
        <f>+'GEN BUDACT ER'!D59</f>
        <v>0</v>
      </c>
      <c r="E58" s="294">
        <f>+'GEN BUDACT ER'!E59</f>
        <v>0</v>
      </c>
      <c r="F58" s="294">
        <f>+'GEN BUDACT ER'!F59</f>
        <v>0</v>
      </c>
      <c r="G58" s="294">
        <f t="shared" si="1"/>
        <v>0</v>
      </c>
      <c r="H58" s="276"/>
    </row>
    <row r="59" spans="3:11" ht="15.75" hidden="1">
      <c r="C59" s="435" t="s">
        <v>1230</v>
      </c>
      <c r="D59" s="294"/>
      <c r="E59" s="294"/>
      <c r="F59" s="294"/>
      <c r="G59" s="294"/>
      <c r="H59" s="276"/>
    </row>
    <row r="60" spans="3:11" ht="15.75" hidden="1">
      <c r="C60" s="276" t="s">
        <v>1128</v>
      </c>
      <c r="D60" s="294">
        <f>+'GEN BUDACT ER'!D61</f>
        <v>0</v>
      </c>
      <c r="E60" s="294">
        <f>+'GEN BUDACT ER'!E61</f>
        <v>0</v>
      </c>
      <c r="F60" s="294">
        <f>+'GEN BUDACT ER'!F61</f>
        <v>0</v>
      </c>
      <c r="G60" s="294">
        <f t="shared" si="1"/>
        <v>0</v>
      </c>
      <c r="H60" s="276"/>
    </row>
    <row r="61" spans="3:11" ht="15.75">
      <c r="C61" s="276"/>
      <c r="D61" s="434"/>
      <c r="E61" s="434"/>
      <c r="F61" s="434"/>
      <c r="G61" s="434"/>
      <c r="H61" s="276"/>
    </row>
    <row r="62" spans="3:11" ht="15.75">
      <c r="C62" s="308" t="s">
        <v>1336</v>
      </c>
      <c r="D62" s="711">
        <f>+SUM(D50:D60)</f>
        <v>1438810</v>
      </c>
      <c r="E62" s="711">
        <f>+SUM(E50:E60)</f>
        <v>1438810</v>
      </c>
      <c r="F62" s="711">
        <f>+SUM(F50:F60)</f>
        <v>1289265</v>
      </c>
      <c r="G62" s="711">
        <f>+SUM(G50:G60)</f>
        <v>-149545</v>
      </c>
      <c r="H62" s="276"/>
      <c r="K62" s="433">
        <f>+G62/E62</f>
        <v>-0.1039365864846644</v>
      </c>
    </row>
    <row r="63" spans="3:11" ht="15.75">
      <c r="C63" s="276"/>
      <c r="D63" s="276"/>
      <c r="E63" s="303"/>
      <c r="F63" s="303"/>
      <c r="G63" s="303"/>
      <c r="H63" s="276"/>
    </row>
    <row r="64" spans="3:11" ht="15.75">
      <c r="C64" s="308" t="s">
        <v>1253</v>
      </c>
      <c r="D64" s="308"/>
      <c r="E64" s="303"/>
      <c r="F64" s="303"/>
      <c r="G64" s="303"/>
      <c r="H64" s="276"/>
    </row>
    <row r="65" spans="3:12" ht="15.75">
      <c r="C65" s="435" t="s">
        <v>1231</v>
      </c>
      <c r="D65" s="276"/>
      <c r="E65" s="303"/>
      <c r="F65" s="303"/>
      <c r="G65" s="303"/>
      <c r="H65" s="276"/>
    </row>
    <row r="66" spans="3:12" ht="15.75">
      <c r="C66" s="276" t="s">
        <v>557</v>
      </c>
      <c r="D66" s="294">
        <f>+'GEN BUDACT ER'!D67</f>
        <v>250</v>
      </c>
      <c r="E66" s="294">
        <f>+'GEN BUDACT ER'!E67</f>
        <v>250</v>
      </c>
      <c r="F66" s="294">
        <f>+'GEN BUDACT ER'!F67</f>
        <v>859</v>
      </c>
      <c r="G66" s="294">
        <f>+F66-E66</f>
        <v>609</v>
      </c>
      <c r="H66" s="276"/>
    </row>
    <row r="67" spans="3:12" ht="15.75">
      <c r="C67" s="276" t="s">
        <v>558</v>
      </c>
      <c r="D67" s="294">
        <f>+'GEN BUDACT ER'!D68</f>
        <v>29000</v>
      </c>
      <c r="E67" s="294">
        <f>+'GEN BUDACT ER'!E68</f>
        <v>29000</v>
      </c>
      <c r="F67" s="294">
        <f>+'GEN BUDACT ER'!F68</f>
        <v>35340</v>
      </c>
      <c r="G67" s="303">
        <f>+F67-E67</f>
        <v>6340</v>
      </c>
      <c r="H67" s="276"/>
    </row>
    <row r="68" spans="3:12" ht="15.75">
      <c r="C68" s="276"/>
      <c r="D68" s="434"/>
      <c r="E68" s="434"/>
      <c r="F68" s="434"/>
      <c r="G68" s="434"/>
      <c r="H68" s="276"/>
    </row>
    <row r="69" spans="3:12" ht="15.75">
      <c r="C69" s="308" t="s">
        <v>103</v>
      </c>
      <c r="D69" s="711">
        <f>SUM(D66:D68)</f>
        <v>29250</v>
      </c>
      <c r="E69" s="711">
        <f>SUM(E66:E68)</f>
        <v>29250</v>
      </c>
      <c r="F69" s="711">
        <f>SUM(F66:F68)</f>
        <v>36199</v>
      </c>
      <c r="G69" s="711">
        <f>SUM(G66:G67)</f>
        <v>6949</v>
      </c>
      <c r="H69" s="308"/>
    </row>
    <row r="70" spans="3:12" ht="15.75">
      <c r="C70" s="276"/>
      <c r="D70" s="276"/>
      <c r="E70" s="303"/>
      <c r="F70" s="303"/>
      <c r="G70" s="303"/>
      <c r="H70" s="276"/>
    </row>
    <row r="71" spans="3:12" ht="15.75">
      <c r="C71" s="276" t="s">
        <v>2573</v>
      </c>
      <c r="D71" s="697">
        <f>+'GEN BUDACT ER'!D72</f>
        <v>25000</v>
      </c>
      <c r="E71" s="697">
        <f>+'GEN BUDACT ER'!E72</f>
        <v>25000</v>
      </c>
      <c r="F71" s="697">
        <f>+'GEN BUDACT ER'!F72-0</f>
        <v>187792</v>
      </c>
      <c r="G71" s="697">
        <f>+F71-E71</f>
        <v>162792</v>
      </c>
      <c r="H71" s="276"/>
      <c r="K71" s="304"/>
    </row>
    <row r="72" spans="3:12" ht="15.75">
      <c r="C72" s="276" t="s">
        <v>410</v>
      </c>
      <c r="D72" s="697">
        <f>+'GEN BUDACT ER'!D73</f>
        <v>74000</v>
      </c>
      <c r="E72" s="697">
        <f>+'GEN BUDACT ER'!E73</f>
        <v>74000</v>
      </c>
      <c r="F72" s="697">
        <f>+'GEN BUDACT ER'!F73-0</f>
        <v>1252244</v>
      </c>
      <c r="G72" s="697">
        <f>+F72-E72</f>
        <v>1178244</v>
      </c>
      <c r="H72" s="308"/>
    </row>
    <row r="73" spans="3:12" ht="15.75">
      <c r="C73" s="276"/>
      <c r="D73" s="434"/>
      <c r="E73" s="437"/>
      <c r="F73" s="437"/>
      <c r="G73" s="437"/>
      <c r="H73" s="276"/>
    </row>
    <row r="74" spans="3:12" ht="15.75">
      <c r="C74" s="308" t="str">
        <f>INPUT!B18</f>
        <v xml:space="preserve">         Total revenues</v>
      </c>
      <c r="D74" s="712">
        <f>+D20+D27+D46+D62+D69+D71+D72</f>
        <v>12843964</v>
      </c>
      <c r="E74" s="712">
        <f>+E20+E27+E46+E62+E69+E71+E72</f>
        <v>12843964</v>
      </c>
      <c r="F74" s="712">
        <f>+F20+F27+F46+F62+F69+F71+F72</f>
        <v>15572001</v>
      </c>
      <c r="G74" s="712">
        <f>+G20+G27+G46+G62+G69+G71+G72</f>
        <v>2728037</v>
      </c>
      <c r="H74" s="276"/>
      <c r="J74" s="276">
        <f>+D74+D193</f>
        <v>13243964</v>
      </c>
      <c r="K74" s="276">
        <f>+E74+E193</f>
        <v>13243964</v>
      </c>
      <c r="L74" s="276">
        <f>+F74+F193</f>
        <v>17642537</v>
      </c>
    </row>
    <row r="75" spans="3:12" ht="15.75">
      <c r="C75" s="276"/>
      <c r="D75" s="276"/>
      <c r="E75" s="303"/>
      <c r="F75" s="303"/>
      <c r="G75" s="303"/>
      <c r="H75" s="276"/>
    </row>
    <row r="76" spans="3:12" ht="12.75" customHeight="1">
      <c r="C76" s="305"/>
      <c r="D76" s="305"/>
      <c r="E76" s="277"/>
      <c r="F76" s="277"/>
      <c r="G76" s="277"/>
      <c r="H76" s="276"/>
    </row>
    <row r="77" spans="3:12" ht="15.75">
      <c r="C77" s="305"/>
      <c r="D77" s="305"/>
      <c r="E77" s="277"/>
      <c r="F77" s="277"/>
      <c r="G77" s="277"/>
      <c r="H77" s="276"/>
    </row>
    <row r="78" spans="3:12" ht="15.75">
      <c r="C78" s="305" t="str">
        <f>C4</f>
        <v>STATEMENT OF REVENUES, EXPENDITURES, AND CHANGES IN FUND BALANCES - BUDGET AND ACTUAL (BUDGET BASIS)</v>
      </c>
      <c r="D78" s="305"/>
      <c r="E78" s="277"/>
      <c r="F78" s="277"/>
      <c r="G78" s="277"/>
      <c r="H78" s="276"/>
    </row>
    <row r="79" spans="3:12" ht="15.75">
      <c r="C79" s="305" t="str">
        <f>C5</f>
        <v>GENERAL AND MAJOR SPECIAL REVENUE FUNDS</v>
      </c>
      <c r="D79" s="305"/>
      <c r="E79" s="277"/>
      <c r="F79" s="277"/>
      <c r="G79" s="277"/>
      <c r="H79" s="276"/>
    </row>
    <row r="80" spans="3:12" ht="15.75">
      <c r="C80" s="305" t="str">
        <f>C6</f>
        <v>For the  Fiscal Year Ended June 30, 2023</v>
      </c>
      <c r="D80" s="305"/>
      <c r="E80" s="277"/>
      <c r="F80" s="277"/>
      <c r="G80" s="277"/>
      <c r="H80" s="276"/>
    </row>
    <row r="81" spans="3:13" ht="15.75">
      <c r="C81" s="395" t="s">
        <v>3114</v>
      </c>
      <c r="D81" s="305"/>
      <c r="E81" s="277"/>
      <c r="F81" s="277"/>
      <c r="G81" s="277"/>
      <c r="H81" s="276"/>
    </row>
    <row r="82" spans="3:13" ht="15.75">
      <c r="D82" s="328" t="s">
        <v>793</v>
      </c>
      <c r="E82" s="328"/>
      <c r="F82" s="328"/>
      <c r="G82" s="328"/>
      <c r="H82" s="276"/>
    </row>
    <row r="83" spans="3:13" ht="15.75">
      <c r="C83" s="395"/>
      <c r="D83" s="395"/>
      <c r="E83" s="395"/>
      <c r="F83" s="395"/>
      <c r="G83" s="287" t="s">
        <v>1145</v>
      </c>
      <c r="H83" s="276"/>
    </row>
    <row r="84" spans="3:13" ht="15.75">
      <c r="C84" s="395"/>
      <c r="D84" s="328" t="s">
        <v>290</v>
      </c>
      <c r="E84" s="328"/>
      <c r="F84" s="287"/>
      <c r="G84" s="287" t="s">
        <v>461</v>
      </c>
      <c r="H84" s="276"/>
    </row>
    <row r="85" spans="3:13" ht="15.75">
      <c r="C85" s="277"/>
      <c r="D85" s="287"/>
      <c r="E85" s="287"/>
      <c r="F85" s="287"/>
      <c r="G85" s="287" t="s">
        <v>412</v>
      </c>
      <c r="H85" s="276"/>
    </row>
    <row r="86" spans="3:13" ht="15.75">
      <c r="C86" s="276"/>
      <c r="D86" s="290" t="s">
        <v>857</v>
      </c>
      <c r="E86" s="290" t="s">
        <v>414</v>
      </c>
      <c r="F86" s="290" t="s">
        <v>858</v>
      </c>
      <c r="G86" s="290" t="s">
        <v>413</v>
      </c>
      <c r="H86" s="276"/>
    </row>
    <row r="87" spans="3:13" ht="15.75">
      <c r="C87" s="308" t="s">
        <v>202</v>
      </c>
      <c r="D87" s="308"/>
      <c r="E87" s="303"/>
      <c r="F87" s="303"/>
      <c r="G87" s="303"/>
      <c r="H87" s="276"/>
    </row>
    <row r="88" spans="3:13" ht="15.75">
      <c r="C88" s="308" t="s">
        <v>104</v>
      </c>
      <c r="D88" s="308"/>
      <c r="E88" s="303"/>
      <c r="F88" s="303"/>
      <c r="G88" s="303"/>
      <c r="H88" s="276"/>
    </row>
    <row r="89" spans="3:13" ht="15.75">
      <c r="C89" s="276" t="s">
        <v>954</v>
      </c>
      <c r="H89" s="276"/>
    </row>
    <row r="90" spans="3:13" ht="15.75">
      <c r="C90" s="276" t="s">
        <v>767</v>
      </c>
      <c r="D90" s="292">
        <f>+'GEN BUDACT ER'!D85</f>
        <v>435223</v>
      </c>
      <c r="E90" s="292">
        <f>+'GEN BUDACT ER'!E85</f>
        <v>435223</v>
      </c>
      <c r="F90" s="292">
        <f>+'GEN BUDACT ER'!F85</f>
        <v>354773</v>
      </c>
      <c r="G90" s="292">
        <f>+E90-F90</f>
        <v>80450</v>
      </c>
      <c r="H90" s="276"/>
    </row>
    <row r="91" spans="3:13" ht="15.75">
      <c r="C91" s="276" t="s">
        <v>292</v>
      </c>
      <c r="D91" s="294">
        <f>+'GEN BUDACT ER'!D86</f>
        <v>84086</v>
      </c>
      <c r="E91" s="294">
        <f>+'GEN BUDACT ER'!E86</f>
        <v>84086</v>
      </c>
      <c r="F91" s="294">
        <f>+'GEN BUDACT ER'!F86</f>
        <v>84745</v>
      </c>
      <c r="G91" s="294">
        <f>+E91-F91</f>
        <v>-659</v>
      </c>
      <c r="H91" s="276"/>
      <c r="J91" s="276">
        <f>+D90+D91</f>
        <v>519309</v>
      </c>
      <c r="K91" s="276">
        <f>+E90+E91</f>
        <v>519309</v>
      </c>
      <c r="L91" s="276">
        <f>+F90+F91</f>
        <v>439518</v>
      </c>
    </row>
    <row r="92" spans="3:13" ht="15.75">
      <c r="C92" s="276" t="s">
        <v>1014</v>
      </c>
      <c r="H92" s="276"/>
      <c r="J92" s="327">
        <f>+J91+6563</f>
        <v>525872</v>
      </c>
      <c r="K92" s="327"/>
      <c r="L92" s="327">
        <f>+L91+3282</f>
        <v>442800</v>
      </c>
      <c r="M92" s="288" t="s">
        <v>1296</v>
      </c>
    </row>
    <row r="93" spans="3:13" ht="15.75">
      <c r="C93" s="276" t="s">
        <v>767</v>
      </c>
      <c r="D93" s="294">
        <f>+'GEN BUDACT ER'!D88</f>
        <v>709794</v>
      </c>
      <c r="E93" s="294">
        <f>+'GEN BUDACT ER'!E88</f>
        <v>709794</v>
      </c>
      <c r="F93" s="294">
        <f>+'GEN BUDACT ER'!F88</f>
        <v>673615</v>
      </c>
      <c r="G93" s="294">
        <f>+E93-F93</f>
        <v>36179</v>
      </c>
      <c r="H93" s="276"/>
    </row>
    <row r="94" spans="3:13" ht="15.75">
      <c r="C94" s="276" t="s">
        <v>292</v>
      </c>
      <c r="D94" s="294">
        <f>+'GEN BUDACT ER'!D89</f>
        <v>199987</v>
      </c>
      <c r="E94" s="294">
        <f>+'GEN BUDACT ER'!E89</f>
        <v>199987</v>
      </c>
      <c r="F94" s="294">
        <f>+'GEN BUDACT ER'!F89</f>
        <v>201732</v>
      </c>
      <c r="G94" s="294">
        <f>+E94-F94</f>
        <v>-1745</v>
      </c>
      <c r="H94" s="276"/>
      <c r="J94" s="276">
        <f>+D93+D94</f>
        <v>909781</v>
      </c>
      <c r="K94" s="276">
        <f>+E93+E94</f>
        <v>909781</v>
      </c>
      <c r="L94" s="276">
        <f>+F93+F94</f>
        <v>875347</v>
      </c>
    </row>
    <row r="95" spans="3:13" ht="15.75">
      <c r="C95" s="276" t="s">
        <v>955</v>
      </c>
      <c r="H95" s="276"/>
      <c r="J95" s="327">
        <f>+J94+1500</f>
        <v>911281</v>
      </c>
      <c r="K95" s="327"/>
      <c r="L95" s="327">
        <f>+L94+750</f>
        <v>876097</v>
      </c>
      <c r="M95" s="288" t="s">
        <v>1296</v>
      </c>
    </row>
    <row r="96" spans="3:13" ht="15.75">
      <c r="C96" s="276" t="s">
        <v>767</v>
      </c>
      <c r="D96" s="294">
        <f>+'GEN BUDACT ER'!D91</f>
        <v>603726</v>
      </c>
      <c r="E96" s="294">
        <f>+'GEN BUDACT ER'!E91</f>
        <v>603726</v>
      </c>
      <c r="F96" s="294">
        <f>+'GEN BUDACT ER'!F91</f>
        <v>583118</v>
      </c>
      <c r="G96" s="294">
        <f>+E96-F96</f>
        <v>20608</v>
      </c>
      <c r="H96" s="276"/>
    </row>
    <row r="97" spans="3:13" ht="15.75">
      <c r="C97" s="276" t="s">
        <v>292</v>
      </c>
      <c r="D97" s="294">
        <f>+'GEN BUDACT ER'!D92</f>
        <v>671595</v>
      </c>
      <c r="E97" s="294">
        <f>+'GEN BUDACT ER'!E92</f>
        <v>671595</v>
      </c>
      <c r="F97" s="294">
        <f>+'GEN BUDACT ER'!F92</f>
        <v>331440</v>
      </c>
      <c r="G97" s="294">
        <f>+E97-F97</f>
        <v>340155</v>
      </c>
      <c r="H97" s="276"/>
      <c r="J97" s="276">
        <f>+D96+D97</f>
        <v>1275321</v>
      </c>
      <c r="K97" s="276">
        <f>+E96+E97</f>
        <v>1275321</v>
      </c>
      <c r="L97" s="276">
        <f>+F96+F97</f>
        <v>914558</v>
      </c>
      <c r="M97" s="288" t="s">
        <v>1296</v>
      </c>
    </row>
    <row r="98" spans="3:13" ht="15.75">
      <c r="C98" s="276" t="s">
        <v>1012</v>
      </c>
      <c r="H98" s="276"/>
      <c r="J98" s="327"/>
      <c r="K98" s="327"/>
      <c r="L98" s="327"/>
    </row>
    <row r="99" spans="3:13" ht="15.75">
      <c r="C99" s="276" t="s">
        <v>767</v>
      </c>
      <c r="D99" s="294">
        <f>+'GEN BUDACT ER'!D94</f>
        <v>2223417</v>
      </c>
      <c r="E99" s="294">
        <f>+'GEN BUDACT ER'!E94</f>
        <v>2223417</v>
      </c>
      <c r="F99" s="294">
        <f>+'GEN BUDACT ER'!F94</f>
        <v>1831462</v>
      </c>
      <c r="G99" s="294">
        <f>+E99-F99</f>
        <v>391955</v>
      </c>
      <c r="H99" s="276"/>
    </row>
    <row r="100" spans="3:13" ht="15.75">
      <c r="C100" s="276" t="s">
        <v>292</v>
      </c>
      <c r="D100" s="294">
        <f>+'GEN BUDACT ER'!D95</f>
        <v>488496</v>
      </c>
      <c r="E100" s="294">
        <f>+'GEN BUDACT ER'!E95</f>
        <v>488496</v>
      </c>
      <c r="F100" s="294">
        <f>+'GEN BUDACT ER'!F95</f>
        <v>418497</v>
      </c>
      <c r="G100" s="294">
        <f>+E100-F100</f>
        <v>69999</v>
      </c>
      <c r="H100" s="276"/>
      <c r="J100" s="276">
        <f>+D99+D100</f>
        <v>2711913</v>
      </c>
      <c r="K100" s="276">
        <f>+E99+E100</f>
        <v>2711913</v>
      </c>
      <c r="L100" s="276">
        <f>+F99+F100</f>
        <v>2249959</v>
      </c>
    </row>
    <row r="101" spans="3:13" ht="15.75">
      <c r="C101" s="276" t="s">
        <v>733</v>
      </c>
      <c r="H101" s="276"/>
      <c r="J101" s="327">
        <f>+J100+106337</f>
        <v>2818250</v>
      </c>
      <c r="K101" s="327"/>
      <c r="L101" s="327">
        <f>+L100+53169</f>
        <v>2303128</v>
      </c>
      <c r="M101" s="288" t="s">
        <v>1296</v>
      </c>
    </row>
    <row r="102" spans="3:13" ht="15.75">
      <c r="C102" s="276" t="s">
        <v>767</v>
      </c>
      <c r="D102" s="294">
        <f>+'GEN BUDACT ER'!D97</f>
        <v>372507</v>
      </c>
      <c r="E102" s="294">
        <f>+'GEN BUDACT ER'!E97</f>
        <v>372507</v>
      </c>
      <c r="F102" s="294">
        <f>+'GEN BUDACT ER'!F97</f>
        <v>383119</v>
      </c>
      <c r="G102" s="294">
        <f>+E102-F102</f>
        <v>-10612</v>
      </c>
      <c r="H102" s="276"/>
    </row>
    <row r="103" spans="3:13" ht="15.75">
      <c r="C103" s="276" t="s">
        <v>292</v>
      </c>
      <c r="D103" s="294">
        <f>+'GEN BUDACT ER'!D98</f>
        <v>8350</v>
      </c>
      <c r="E103" s="294">
        <f>+'GEN BUDACT ER'!E98</f>
        <v>8350</v>
      </c>
      <c r="F103" s="294">
        <f>+'GEN BUDACT ER'!F98</f>
        <v>1307</v>
      </c>
      <c r="G103" s="294">
        <f>+E103-F103</f>
        <v>7043</v>
      </c>
      <c r="H103" s="276"/>
      <c r="J103" s="276">
        <f>+D103+D102</f>
        <v>380857</v>
      </c>
      <c r="K103" s="276">
        <f>+E103+E102</f>
        <v>380857</v>
      </c>
      <c r="L103" s="276">
        <f>+F102+F103</f>
        <v>384426</v>
      </c>
      <c r="M103" s="288" t="s">
        <v>479</v>
      </c>
    </row>
    <row r="104" spans="3:13" ht="15.75">
      <c r="C104" s="276" t="s">
        <v>1013</v>
      </c>
      <c r="D104" s="294"/>
      <c r="E104" s="294"/>
      <c r="F104" s="294"/>
      <c r="G104" s="294"/>
      <c r="H104" s="276"/>
    </row>
    <row r="105" spans="3:13" ht="15.75">
      <c r="C105" s="276" t="s">
        <v>767</v>
      </c>
      <c r="D105" s="294">
        <f>+'GEN BUDACT ER'!D100</f>
        <v>320447</v>
      </c>
      <c r="E105" s="294">
        <f>+'GEN BUDACT ER'!E100</f>
        <v>320447</v>
      </c>
      <c r="F105" s="294">
        <f>+'GEN BUDACT ER'!F100</f>
        <v>345704</v>
      </c>
      <c r="G105" s="294">
        <f>+E105-F105</f>
        <v>-25257</v>
      </c>
      <c r="H105" s="276"/>
    </row>
    <row r="106" spans="3:13" ht="15.75">
      <c r="C106" s="276" t="s">
        <v>292</v>
      </c>
      <c r="D106" s="294">
        <f>+'GEN BUDACT ER'!D101</f>
        <v>431610</v>
      </c>
      <c r="E106" s="294">
        <f>+'GEN BUDACT ER'!E101</f>
        <v>431610</v>
      </c>
      <c r="F106" s="294">
        <f>+'GEN BUDACT ER'!F101</f>
        <v>391419</v>
      </c>
      <c r="G106" s="294">
        <f>+E106-F106</f>
        <v>40191</v>
      </c>
      <c r="H106" s="276"/>
      <c r="J106" s="276">
        <f>+D105+D106</f>
        <v>752057</v>
      </c>
      <c r="K106" s="276">
        <f>+E105+E106</f>
        <v>752057</v>
      </c>
      <c r="L106" s="276">
        <f>+F105+F106</f>
        <v>737123</v>
      </c>
    </row>
    <row r="107" spans="3:13" ht="15.75">
      <c r="C107" s="276" t="s">
        <v>356</v>
      </c>
      <c r="D107" s="294"/>
      <c r="E107" s="294"/>
      <c r="F107" s="294"/>
      <c r="G107" s="294"/>
      <c r="H107" s="276"/>
      <c r="J107" s="327">
        <f>+J106+37484</f>
        <v>789541</v>
      </c>
      <c r="K107" s="327">
        <f>+K106+37484</f>
        <v>789541</v>
      </c>
      <c r="L107" s="327">
        <f>+L106+18742</f>
        <v>755865</v>
      </c>
      <c r="M107" s="288" t="s">
        <v>1296</v>
      </c>
    </row>
    <row r="108" spans="3:13" ht="15.75">
      <c r="C108" s="276" t="s">
        <v>767</v>
      </c>
      <c r="D108" s="294">
        <f>+'GEN BUDACT ER'!D103</f>
        <v>204132</v>
      </c>
      <c r="E108" s="294">
        <f>+'GEN BUDACT ER'!E103</f>
        <v>204132</v>
      </c>
      <c r="F108" s="294">
        <f>+'GEN BUDACT ER'!F103</f>
        <v>203345</v>
      </c>
      <c r="G108" s="294">
        <f>+E108-F108</f>
        <v>787</v>
      </c>
      <c r="H108" s="276"/>
    </row>
    <row r="109" spans="3:13" ht="15.75">
      <c r="C109" s="276" t="s">
        <v>292</v>
      </c>
      <c r="D109" s="294">
        <f>+'GEN BUDACT ER'!D104</f>
        <v>106585</v>
      </c>
      <c r="E109" s="294">
        <f>+'GEN BUDACT ER'!E104</f>
        <v>106585</v>
      </c>
      <c r="F109" s="294">
        <f>+'GEN BUDACT ER'!F104</f>
        <v>95549</v>
      </c>
      <c r="G109" s="294">
        <f>+E109-F109</f>
        <v>11036</v>
      </c>
      <c r="H109" s="276"/>
      <c r="J109" s="276"/>
      <c r="K109" s="276"/>
      <c r="L109" s="276"/>
    </row>
    <row r="110" spans="3:13" ht="15.75">
      <c r="C110" s="276" t="s">
        <v>357</v>
      </c>
      <c r="D110" s="294"/>
      <c r="E110" s="294"/>
      <c r="F110" s="294"/>
      <c r="G110" s="294"/>
      <c r="H110" s="276"/>
    </row>
    <row r="111" spans="3:13" ht="15.75">
      <c r="C111" s="276" t="s">
        <v>767</v>
      </c>
      <c r="D111" s="294">
        <f>+'GEN BUDACT ER'!D106</f>
        <v>2599057</v>
      </c>
      <c r="E111" s="294">
        <f>+'GEN BUDACT ER'!E106</f>
        <v>2599057</v>
      </c>
      <c r="F111" s="294">
        <f>+'GEN BUDACT ER'!F106</f>
        <v>2421555</v>
      </c>
      <c r="G111" s="294">
        <f>+E111-F111</f>
        <v>177502</v>
      </c>
      <c r="H111" s="276"/>
    </row>
    <row r="112" spans="3:13" ht="15.75">
      <c r="C112" s="276" t="s">
        <v>292</v>
      </c>
      <c r="D112" s="294">
        <f>+'GEN BUDACT ER'!D107</f>
        <v>716751</v>
      </c>
      <c r="E112" s="294">
        <f>+'GEN BUDACT ER'!E107</f>
        <v>716751</v>
      </c>
      <c r="F112" s="294">
        <f>+'GEN BUDACT ER'!F107</f>
        <v>600084</v>
      </c>
      <c r="G112" s="294">
        <f>+E112-F112</f>
        <v>116667</v>
      </c>
      <c r="H112" s="276"/>
      <c r="J112" s="276">
        <f>+D111+D112</f>
        <v>3315808</v>
      </c>
      <c r="K112" s="276">
        <f>+E111+E112</f>
        <v>3315808</v>
      </c>
      <c r="L112" s="276">
        <f>+F111+F112</f>
        <v>3021639</v>
      </c>
    </row>
    <row r="113" spans="3:16" ht="15.75">
      <c r="C113" s="276" t="s">
        <v>358</v>
      </c>
      <c r="D113" s="294"/>
      <c r="E113" s="294"/>
      <c r="F113" s="294"/>
      <c r="G113" s="294"/>
      <c r="H113" s="276"/>
      <c r="J113" s="327">
        <f>+J112+15370</f>
        <v>3331178</v>
      </c>
      <c r="K113" s="327"/>
      <c r="L113" s="327">
        <f>+L112+7685</f>
        <v>3029324</v>
      </c>
      <c r="M113" s="288" t="s">
        <v>1296</v>
      </c>
    </row>
    <row r="114" spans="3:16" ht="15.75">
      <c r="C114" s="276" t="s">
        <v>767</v>
      </c>
      <c r="D114" s="294">
        <f>+'GEN BUDACT ER'!D109</f>
        <v>116646</v>
      </c>
      <c r="E114" s="294">
        <f>+'GEN BUDACT ER'!E109</f>
        <v>116646</v>
      </c>
      <c r="F114" s="294">
        <f>+'GEN BUDACT ER'!F109</f>
        <v>116258</v>
      </c>
      <c r="G114" s="294">
        <f>+E114-F114</f>
        <v>388</v>
      </c>
      <c r="H114" s="276"/>
    </row>
    <row r="115" spans="3:16" ht="15.75">
      <c r="C115" s="276" t="s">
        <v>292</v>
      </c>
      <c r="D115" s="294">
        <f>+'GEN BUDACT ER'!D110</f>
        <v>17321</v>
      </c>
      <c r="E115" s="294">
        <f>+'GEN BUDACT ER'!E110</f>
        <v>17321</v>
      </c>
      <c r="F115" s="294">
        <f>+'GEN BUDACT ER'!F110</f>
        <v>15248</v>
      </c>
      <c r="G115" s="294">
        <f>+E115-F115</f>
        <v>2073</v>
      </c>
      <c r="H115" s="276"/>
      <c r="J115" s="276"/>
      <c r="K115" s="276"/>
      <c r="L115" s="276"/>
    </row>
    <row r="116" spans="3:16" ht="15.75">
      <c r="C116" s="276" t="s">
        <v>734</v>
      </c>
      <c r="D116" s="294"/>
      <c r="E116" s="294"/>
      <c r="F116" s="294"/>
      <c r="G116" s="294"/>
      <c r="H116" s="276"/>
      <c r="J116" s="276"/>
      <c r="K116" s="276"/>
    </row>
    <row r="117" spans="3:16" ht="15.75">
      <c r="C117" s="276" t="s">
        <v>291</v>
      </c>
      <c r="D117" s="294">
        <f>+'GEN BUDACT ER'!D112</f>
        <v>15000</v>
      </c>
      <c r="E117" s="294">
        <f>+'GEN BUDACT ER'!E112</f>
        <v>15000</v>
      </c>
      <c r="F117" s="294">
        <f>+'GEN BUDACT ER'!F112+Pension!E57</f>
        <v>381580</v>
      </c>
      <c r="G117" s="294">
        <f>+E117-F117</f>
        <v>-366580</v>
      </c>
      <c r="H117" s="276"/>
      <c r="J117" s="276">
        <f>+D114+D108</f>
        <v>320778</v>
      </c>
      <c r="K117" s="276">
        <f>+E117+E114+E108</f>
        <v>335778</v>
      </c>
      <c r="L117" s="276">
        <f>+F117+F114+F108</f>
        <v>701183</v>
      </c>
    </row>
    <row r="118" spans="3:16" ht="15.75">
      <c r="C118" s="276" t="s">
        <v>292</v>
      </c>
      <c r="D118" s="294">
        <f>+'GEN BUDACT ER'!D113</f>
        <v>1039135</v>
      </c>
      <c r="E118" s="294">
        <f>+'GEN BUDACT ER'!E113</f>
        <v>1189135</v>
      </c>
      <c r="F118" s="294">
        <f>+'GEN BUDACT ER'!F113</f>
        <v>714987</v>
      </c>
      <c r="G118" s="294">
        <f>+E118-F118</f>
        <v>474148</v>
      </c>
      <c r="H118" s="276"/>
      <c r="J118" s="276">
        <f>+D118+D115+D109</f>
        <v>1163041</v>
      </c>
      <c r="K118" s="276">
        <f>+E118+E115+E109</f>
        <v>1313041</v>
      </c>
      <c r="L118" s="276">
        <f>+F118+F115+F109</f>
        <v>825784</v>
      </c>
      <c r="P118" s="288">
        <f>+E118-D118</f>
        <v>150000</v>
      </c>
    </row>
    <row r="119" spans="3:16" ht="15.75">
      <c r="D119" s="439"/>
      <c r="E119" s="439"/>
      <c r="F119" s="439"/>
      <c r="G119" s="439"/>
      <c r="H119" s="276"/>
      <c r="J119" s="327">
        <f>+J118+628100+96359</f>
        <v>1887500</v>
      </c>
      <c r="K119" s="327"/>
      <c r="L119" s="327">
        <f>+L118+320151+96357+136055</f>
        <v>1378347</v>
      </c>
    </row>
    <row r="120" spans="3:16" ht="15.75">
      <c r="C120" s="308" t="s">
        <v>1082</v>
      </c>
      <c r="D120" s="706">
        <f>SUM(D90:D119)</f>
        <v>11363865</v>
      </c>
      <c r="E120" s="706">
        <f>SUM(E90:E119)</f>
        <v>11513865</v>
      </c>
      <c r="F120" s="706">
        <f>SUM(F90:F119)</f>
        <v>10149537</v>
      </c>
      <c r="G120" s="706">
        <f>E120-F120</f>
        <v>1364328</v>
      </c>
      <c r="H120" s="276"/>
      <c r="J120" s="288">
        <f>+J119-1620483</f>
        <v>267017</v>
      </c>
      <c r="L120" s="288">
        <f>+L119-910867</f>
        <v>467480</v>
      </c>
    </row>
    <row r="121" spans="3:16" ht="15.75">
      <c r="C121" s="276"/>
      <c r="D121" s="296"/>
      <c r="E121" s="294"/>
      <c r="F121" s="294"/>
      <c r="G121" s="294"/>
      <c r="H121" s="276"/>
      <c r="L121" s="276"/>
    </row>
    <row r="122" spans="3:16" ht="15.75">
      <c r="C122" s="308" t="s">
        <v>971</v>
      </c>
      <c r="D122" s="314"/>
      <c r="E122" s="294"/>
      <c r="F122" s="294"/>
      <c r="G122" s="294"/>
      <c r="H122" s="276"/>
    </row>
    <row r="123" spans="3:16" ht="15.75" hidden="1">
      <c r="C123" s="276" t="s">
        <v>360</v>
      </c>
      <c r="H123" s="276"/>
    </row>
    <row r="124" spans="3:16" ht="15.75" hidden="1">
      <c r="C124" s="276" t="s">
        <v>767</v>
      </c>
      <c r="D124" s="294">
        <f>+'GEN BUDACT ER'!D119</f>
        <v>0</v>
      </c>
      <c r="E124" s="294">
        <f>+'GEN BUDACT ER'!E119</f>
        <v>0</v>
      </c>
      <c r="F124" s="294">
        <f>+'GEN BUDACT ER'!F119</f>
        <v>0</v>
      </c>
      <c r="G124" s="294">
        <f>+E124-F124</f>
        <v>0</v>
      </c>
      <c r="H124" s="276"/>
    </row>
    <row r="125" spans="3:16" ht="15.75" hidden="1">
      <c r="C125" s="276" t="s">
        <v>292</v>
      </c>
      <c r="D125" s="294">
        <f>+'GEN BUDACT ER'!D120</f>
        <v>0</v>
      </c>
      <c r="E125" s="294">
        <f>+'GEN BUDACT ER'!E120</f>
        <v>0</v>
      </c>
      <c r="F125" s="294">
        <f>+'GEN BUDACT ER'!F120</f>
        <v>0</v>
      </c>
      <c r="G125" s="294">
        <f>+E125-F125</f>
        <v>0</v>
      </c>
      <c r="H125" s="276"/>
      <c r="J125" s="276">
        <f>+D124+D125</f>
        <v>0</v>
      </c>
      <c r="K125" s="276">
        <f>+E124+E125</f>
        <v>0</v>
      </c>
      <c r="L125" s="276">
        <f>+F124+F125</f>
        <v>0</v>
      </c>
      <c r="M125" s="288" t="s">
        <v>479</v>
      </c>
    </row>
    <row r="126" spans="3:16" ht="15.75">
      <c r="C126" s="276" t="s">
        <v>361</v>
      </c>
      <c r="D126" s="294"/>
      <c r="E126" s="294"/>
      <c r="F126" s="294"/>
      <c r="G126" s="294"/>
      <c r="H126" s="276"/>
    </row>
    <row r="127" spans="3:16" ht="15.75">
      <c r="C127" s="276" t="s">
        <v>767</v>
      </c>
      <c r="D127" s="294">
        <f>+'GEN BUDACT ER'!D122</f>
        <v>225493</v>
      </c>
      <c r="E127" s="294">
        <f>+'GEN BUDACT ER'!E122</f>
        <v>225493</v>
      </c>
      <c r="F127" s="294">
        <f>+'GEN BUDACT ER'!F122</f>
        <v>94317</v>
      </c>
      <c r="G127" s="294">
        <f>+E127-F127</f>
        <v>131176</v>
      </c>
      <c r="H127" s="276"/>
    </row>
    <row r="128" spans="3:16" ht="15.75">
      <c r="C128" s="276" t="s">
        <v>292</v>
      </c>
      <c r="D128" s="294">
        <f>+'GEN BUDACT ER'!D123</f>
        <v>35127</v>
      </c>
      <c r="E128" s="294">
        <f>+'GEN BUDACT ER'!E123</f>
        <v>35127</v>
      </c>
      <c r="F128" s="294">
        <f>+'GEN BUDACT ER'!F123</f>
        <v>32511</v>
      </c>
      <c r="G128" s="294">
        <f>+E128-F128</f>
        <v>2616</v>
      </c>
      <c r="H128" s="276"/>
      <c r="J128" s="276">
        <f>+D127+D128</f>
        <v>260620</v>
      </c>
      <c r="K128" s="276">
        <f>+E127+E128</f>
        <v>260620</v>
      </c>
      <c r="L128" s="276">
        <f>+F127+F128</f>
        <v>126828</v>
      </c>
    </row>
    <row r="129" spans="3:13" ht="15.75">
      <c r="D129" s="439"/>
      <c r="E129" s="439"/>
      <c r="F129" s="439"/>
      <c r="G129" s="439"/>
      <c r="H129" s="276"/>
      <c r="J129" s="327">
        <f>+J128+3123</f>
        <v>263743</v>
      </c>
      <c r="K129" s="327"/>
      <c r="L129" s="327">
        <f>+L128+1619</f>
        <v>128447</v>
      </c>
      <c r="M129" s="288" t="s">
        <v>479</v>
      </c>
    </row>
    <row r="130" spans="3:13" ht="15.75">
      <c r="C130" s="308" t="s">
        <v>472</v>
      </c>
      <c r="D130" s="706">
        <f>SUM(D124:D129)</f>
        <v>260620</v>
      </c>
      <c r="E130" s="706">
        <f>SUM(E124:E129)</f>
        <v>260620</v>
      </c>
      <c r="F130" s="706">
        <f>SUM(F124:F129)</f>
        <v>126828</v>
      </c>
      <c r="G130" s="706">
        <f>E130-F130</f>
        <v>133792</v>
      </c>
      <c r="H130" s="276"/>
    </row>
    <row r="131" spans="3:13" ht="15.75">
      <c r="C131" s="276"/>
      <c r="D131" s="296"/>
      <c r="E131" s="294"/>
      <c r="F131" s="294"/>
      <c r="G131" s="294"/>
      <c r="H131" s="276"/>
    </row>
    <row r="132" spans="3:13" ht="15.75">
      <c r="C132" s="308" t="s">
        <v>473</v>
      </c>
      <c r="D132" s="314"/>
      <c r="E132" s="294"/>
      <c r="F132" s="294"/>
      <c r="G132" s="294"/>
      <c r="H132" s="276"/>
    </row>
    <row r="133" spans="3:13" ht="15.75">
      <c r="C133" s="276" t="s">
        <v>362</v>
      </c>
      <c r="H133" s="276"/>
    </row>
    <row r="134" spans="3:13" ht="15.75">
      <c r="C134" s="276" t="s">
        <v>767</v>
      </c>
      <c r="D134" s="294">
        <f>+'GEN BUDACT ER'!D129</f>
        <v>726551</v>
      </c>
      <c r="E134" s="294">
        <f>+'GEN BUDACT ER'!E129</f>
        <v>726551</v>
      </c>
      <c r="F134" s="294">
        <f>+'GEN BUDACT ER'!F129</f>
        <v>707641</v>
      </c>
      <c r="G134" s="294">
        <f>+E134-F134</f>
        <v>18910</v>
      </c>
      <c r="H134" s="276"/>
    </row>
    <row r="135" spans="3:13" ht="15.75">
      <c r="C135" s="276" t="s">
        <v>292</v>
      </c>
      <c r="D135" s="294">
        <f>+'GEN BUDACT ER'!D130</f>
        <v>147910</v>
      </c>
      <c r="E135" s="294">
        <f>+'GEN BUDACT ER'!E130</f>
        <v>176910</v>
      </c>
      <c r="F135" s="294">
        <f>+'GEN BUDACT ER'!F130</f>
        <v>94251</v>
      </c>
      <c r="G135" s="294">
        <f>+E135-F135</f>
        <v>82659</v>
      </c>
      <c r="H135" s="276"/>
      <c r="J135" s="276">
        <f>+D134+D135</f>
        <v>874461</v>
      </c>
      <c r="K135" s="276">
        <f>+E134+E135</f>
        <v>903461</v>
      </c>
      <c r="L135" s="276">
        <f>+F134+F135</f>
        <v>801892</v>
      </c>
    </row>
    <row r="136" spans="3:13" ht="15.75">
      <c r="C136" s="276" t="s">
        <v>736</v>
      </c>
      <c r="D136" s="294"/>
      <c r="E136" s="294"/>
      <c r="F136" s="294"/>
      <c r="G136" s="294"/>
      <c r="H136" s="276"/>
      <c r="J136" s="327">
        <f>+J135+32819</f>
        <v>907280</v>
      </c>
      <c r="K136" s="327"/>
      <c r="L136" s="327">
        <f>+L135+16409</f>
        <v>818301</v>
      </c>
      <c r="M136" s="288" t="s">
        <v>479</v>
      </c>
    </row>
    <row r="137" spans="3:13" ht="15.75">
      <c r="C137" s="276" t="s">
        <v>767</v>
      </c>
      <c r="D137" s="294">
        <f>+'GEN BUDACT ER'!D132</f>
        <v>493373</v>
      </c>
      <c r="E137" s="294">
        <f>+'GEN BUDACT ER'!E132</f>
        <v>493373</v>
      </c>
      <c r="F137" s="294">
        <f>+'GEN BUDACT ER'!F132</f>
        <v>463345</v>
      </c>
      <c r="G137" s="294">
        <f>+E137-F137</f>
        <v>30028</v>
      </c>
      <c r="H137" s="276"/>
    </row>
    <row r="138" spans="3:13" ht="15.75">
      <c r="C138" s="276" t="s">
        <v>292</v>
      </c>
      <c r="D138" s="294">
        <f>+'GEN BUDACT ER'!D133</f>
        <v>202071</v>
      </c>
      <c r="E138" s="294">
        <f>+'GEN BUDACT ER'!E133</f>
        <v>300071</v>
      </c>
      <c r="F138" s="294">
        <f>+'GEN BUDACT ER'!F133</f>
        <v>217210</v>
      </c>
      <c r="G138" s="294">
        <f>+E138-F138</f>
        <v>82861</v>
      </c>
      <c r="H138" s="276"/>
      <c r="J138" s="276">
        <f>+D137+D138</f>
        <v>695444</v>
      </c>
      <c r="K138" s="276">
        <f>+E137+E138</f>
        <v>793444</v>
      </c>
      <c r="L138" s="276">
        <f>+F137+F138</f>
        <v>680555</v>
      </c>
    </row>
    <row r="139" spans="3:13" ht="15.75">
      <c r="C139" s="276" t="s">
        <v>735</v>
      </c>
      <c r="D139" s="294"/>
      <c r="E139" s="294"/>
      <c r="F139" s="294"/>
      <c r="G139" s="294"/>
      <c r="H139" s="276"/>
      <c r="J139" s="327">
        <f>+J138+81018+54917</f>
        <v>831379</v>
      </c>
      <c r="K139" s="327"/>
      <c r="L139" s="327">
        <f>+L138+38009+54916</f>
        <v>773480</v>
      </c>
    </row>
    <row r="140" spans="3:13" ht="15.75" hidden="1">
      <c r="C140" s="276" t="s">
        <v>291</v>
      </c>
      <c r="D140" s="294">
        <f>+'GEN BUDACT ER'!D135</f>
        <v>0</v>
      </c>
      <c r="E140" s="294">
        <f>+'GEN BUDACT ER'!E135</f>
        <v>0</v>
      </c>
      <c r="F140" s="294">
        <f>+'GEN BUDACT ER'!F135</f>
        <v>0</v>
      </c>
      <c r="G140" s="294">
        <f>+E140-F140</f>
        <v>0</v>
      </c>
      <c r="H140" s="276"/>
    </row>
    <row r="141" spans="3:13" ht="15.75">
      <c r="C141" s="276" t="s">
        <v>292</v>
      </c>
      <c r="D141" s="294">
        <f>+'GEN BUDACT ER'!D136</f>
        <v>160000</v>
      </c>
      <c r="E141" s="294">
        <f>+'GEN BUDACT ER'!E136</f>
        <v>160000</v>
      </c>
      <c r="F141" s="294">
        <f>+'GEN BUDACT ER'!F136</f>
        <v>170000</v>
      </c>
      <c r="G141" s="294">
        <f>+E141-F141</f>
        <v>-10000</v>
      </c>
      <c r="H141" s="276"/>
      <c r="J141" s="276">
        <f>+D140+D141</f>
        <v>160000</v>
      </c>
      <c r="K141" s="276">
        <f>+E140+E141</f>
        <v>160000</v>
      </c>
      <c r="L141" s="276">
        <f>+F140+F141</f>
        <v>170000</v>
      </c>
      <c r="M141" s="288" t="s">
        <v>479</v>
      </c>
    </row>
    <row r="142" spans="3:13" ht="15.75">
      <c r="C142" s="276" t="s">
        <v>1372</v>
      </c>
      <c r="D142" s="294"/>
      <c r="E142" s="294"/>
      <c r="F142" s="294"/>
      <c r="G142" s="294"/>
      <c r="H142" s="276"/>
      <c r="J142" s="327"/>
      <c r="K142" s="327"/>
      <c r="L142" s="327"/>
    </row>
    <row r="143" spans="3:13" ht="15.75">
      <c r="C143" s="276" t="s">
        <v>767</v>
      </c>
      <c r="D143" s="294">
        <f>+'GEN BUDACT ER'!D138</f>
        <v>213365</v>
      </c>
      <c r="E143" s="294">
        <f>+'GEN BUDACT ER'!E138</f>
        <v>213365</v>
      </c>
      <c r="F143" s="294">
        <f>+'GEN BUDACT ER'!F138</f>
        <v>239574</v>
      </c>
      <c r="G143" s="294">
        <f>+E143-F143</f>
        <v>-26209</v>
      </c>
      <c r="H143" s="276"/>
    </row>
    <row r="144" spans="3:13" ht="15.75">
      <c r="C144" s="276" t="s">
        <v>292</v>
      </c>
      <c r="D144" s="294">
        <f>+'GEN BUDACT ER'!D139</f>
        <v>137276</v>
      </c>
      <c r="E144" s="294">
        <f>+'GEN BUDACT ER'!E139</f>
        <v>137276</v>
      </c>
      <c r="F144" s="294">
        <f>+'GEN BUDACT ER'!F139</f>
        <v>83087</v>
      </c>
      <c r="G144" s="294">
        <f>+E144-F144</f>
        <v>54189</v>
      </c>
      <c r="H144" s="276"/>
      <c r="J144" s="276">
        <f>+D143+D144</f>
        <v>350641</v>
      </c>
      <c r="K144" s="276">
        <f>+E143+E144</f>
        <v>350641</v>
      </c>
      <c r="L144" s="276">
        <f>+F143+F144</f>
        <v>322661</v>
      </c>
    </row>
    <row r="145" spans="3:12" ht="15.75">
      <c r="C145" s="276"/>
      <c r="D145" s="439"/>
      <c r="E145" s="439"/>
      <c r="F145" s="439"/>
      <c r="G145" s="439"/>
      <c r="H145" s="276"/>
      <c r="J145" s="327">
        <f>+J144+27500</f>
        <v>378141</v>
      </c>
      <c r="K145" s="327"/>
      <c r="L145" s="327">
        <f>+L144+12500</f>
        <v>335161</v>
      </c>
    </row>
    <row r="146" spans="3:12" ht="15.75">
      <c r="C146" s="308" t="s">
        <v>474</v>
      </c>
      <c r="D146" s="712">
        <f>SUM(D133:D145)</f>
        <v>2080546</v>
      </c>
      <c r="E146" s="712">
        <f>SUM(E133:E145)</f>
        <v>2207546</v>
      </c>
      <c r="F146" s="712">
        <f>SUM(F133:F145)</f>
        <v>1975108</v>
      </c>
      <c r="G146" s="712">
        <f>E146-F146</f>
        <v>232438</v>
      </c>
      <c r="H146" s="276"/>
    </row>
    <row r="147" spans="3:12" ht="15.75">
      <c r="C147" s="276"/>
      <c r="D147" s="276"/>
      <c r="E147" s="303"/>
      <c r="F147" s="303"/>
      <c r="G147" s="303"/>
      <c r="H147" s="276"/>
    </row>
    <row r="148" spans="3:12" ht="15.75">
      <c r="C148" s="305"/>
      <c r="D148" s="305"/>
      <c r="E148" s="277"/>
      <c r="F148" s="277"/>
      <c r="G148" s="277"/>
      <c r="H148" s="276"/>
    </row>
    <row r="149" spans="3:12" ht="15.75">
      <c r="C149" s="305" t="str">
        <f>C3</f>
        <v>LEWIS AND CLARK COUNTY, MONTANA</v>
      </c>
      <c r="D149" s="305"/>
      <c r="E149" s="277"/>
      <c r="F149" s="277"/>
      <c r="G149" s="277"/>
      <c r="H149" s="276"/>
    </row>
    <row r="150" spans="3:12" ht="15.75">
      <c r="C150" s="305" t="str">
        <f>C4</f>
        <v>STATEMENT OF REVENUES, EXPENDITURES, AND CHANGES IN FUND BALANCES - BUDGET AND ACTUAL (BUDGET BASIS)</v>
      </c>
      <c r="D150" s="305"/>
      <c r="E150" s="277"/>
      <c r="F150" s="277"/>
      <c r="G150" s="277"/>
      <c r="H150" s="276"/>
    </row>
    <row r="151" spans="3:12" ht="15.75">
      <c r="C151" s="305" t="str">
        <f>C5</f>
        <v>GENERAL AND MAJOR SPECIAL REVENUE FUNDS</v>
      </c>
      <c r="D151" s="305"/>
      <c r="E151" s="277"/>
      <c r="F151" s="277"/>
      <c r="G151" s="277"/>
      <c r="H151" s="276"/>
    </row>
    <row r="152" spans="3:12" ht="15.75">
      <c r="C152" s="305" t="str">
        <f>C6</f>
        <v>For the  Fiscal Year Ended June 30, 2023</v>
      </c>
      <c r="D152" s="305"/>
      <c r="E152" s="277"/>
      <c r="F152" s="277"/>
      <c r="G152" s="277"/>
      <c r="H152" s="276"/>
    </row>
    <row r="153" spans="3:12" ht="15.75">
      <c r="C153" s="395" t="s">
        <v>3115</v>
      </c>
      <c r="D153" s="305"/>
      <c r="E153" s="277"/>
      <c r="F153" s="277"/>
      <c r="G153" s="277"/>
      <c r="H153" s="276"/>
    </row>
    <row r="154" spans="3:12" ht="15.75">
      <c r="D154" s="328" t="s">
        <v>793</v>
      </c>
      <c r="E154" s="328"/>
      <c r="F154" s="328"/>
      <c r="G154" s="328"/>
      <c r="H154" s="276"/>
    </row>
    <row r="155" spans="3:12" ht="15.75">
      <c r="C155" s="395"/>
      <c r="D155" s="395"/>
      <c r="E155" s="395"/>
      <c r="F155" s="395"/>
      <c r="G155" s="287" t="s">
        <v>1145</v>
      </c>
      <c r="H155" s="276"/>
    </row>
    <row r="156" spans="3:12" ht="15.75">
      <c r="C156" s="395"/>
      <c r="D156" s="328" t="s">
        <v>290</v>
      </c>
      <c r="E156" s="328"/>
      <c r="F156" s="287"/>
      <c r="G156" s="287" t="s">
        <v>461</v>
      </c>
      <c r="H156" s="276"/>
    </row>
    <row r="157" spans="3:12" ht="15.75">
      <c r="C157" s="277"/>
      <c r="D157" s="287"/>
      <c r="E157" s="287"/>
      <c r="F157" s="287"/>
      <c r="G157" s="287" t="s">
        <v>412</v>
      </c>
      <c r="H157" s="276"/>
    </row>
    <row r="158" spans="3:12" ht="15.75">
      <c r="C158" s="276"/>
      <c r="D158" s="290" t="s">
        <v>857</v>
      </c>
      <c r="E158" s="290" t="s">
        <v>414</v>
      </c>
      <c r="F158" s="290" t="s">
        <v>858</v>
      </c>
      <c r="G158" s="290" t="s">
        <v>413</v>
      </c>
      <c r="H158" s="276"/>
    </row>
    <row r="159" spans="3:12" ht="15.75">
      <c r="C159" s="308" t="s">
        <v>1074</v>
      </c>
      <c r="D159" s="314"/>
      <c r="E159" s="294"/>
      <c r="F159" s="294"/>
      <c r="G159" s="294"/>
      <c r="H159" s="276"/>
    </row>
    <row r="160" spans="3:12" ht="15.75">
      <c r="C160" s="276" t="s">
        <v>1278</v>
      </c>
      <c r="H160" s="276"/>
    </row>
    <row r="161" spans="3:13" ht="15.75" hidden="1">
      <c r="C161" s="276" t="s">
        <v>767</v>
      </c>
      <c r="D161" s="292">
        <f>+'GEN BUDACT ER'!D145</f>
        <v>0</v>
      </c>
      <c r="E161" s="292">
        <f>+'GEN BUDACT ER'!E145</f>
        <v>0</v>
      </c>
      <c r="F161" s="292">
        <f>+'GEN BUDACT ER'!F145</f>
        <v>0</v>
      </c>
      <c r="G161" s="292">
        <f>+E161-F161</f>
        <v>0</v>
      </c>
      <c r="H161" s="276"/>
    </row>
    <row r="162" spans="3:13" ht="15.75">
      <c r="C162" s="276" t="s">
        <v>292</v>
      </c>
      <c r="D162" s="292">
        <f>+'GEN BUDACT ER'!D146</f>
        <v>73516</v>
      </c>
      <c r="E162" s="292">
        <f>+'GEN BUDACT ER'!E146</f>
        <v>73516</v>
      </c>
      <c r="F162" s="292">
        <f>+'GEN BUDACT ER'!F146</f>
        <v>73516</v>
      </c>
      <c r="G162" s="292">
        <f>+E162-F162</f>
        <v>0</v>
      </c>
      <c r="H162" s="276"/>
      <c r="J162" s="276">
        <f>+D161+D162</f>
        <v>73516</v>
      </c>
      <c r="K162" s="276">
        <f>+E161+E162</f>
        <v>73516</v>
      </c>
      <c r="L162" s="276">
        <f>+F161+F162</f>
        <v>73516</v>
      </c>
    </row>
    <row r="163" spans="3:13" ht="15.75">
      <c r="C163" s="276"/>
      <c r="D163" s="439"/>
      <c r="E163" s="439"/>
      <c r="F163" s="439"/>
      <c r="G163" s="439"/>
      <c r="H163" s="276"/>
      <c r="J163" s="327">
        <f>+J162+4641</f>
        <v>78157</v>
      </c>
      <c r="K163" s="327"/>
      <c r="L163" s="327">
        <f>+L162+2321</f>
        <v>75837</v>
      </c>
      <c r="M163" s="288" t="s">
        <v>479</v>
      </c>
    </row>
    <row r="164" spans="3:13" ht="15.75">
      <c r="C164" s="308" t="s">
        <v>293</v>
      </c>
      <c r="D164" s="706">
        <f>SUM(D161:D163)</f>
        <v>73516</v>
      </c>
      <c r="E164" s="706">
        <f>SUM(E161:E163)</f>
        <v>73516</v>
      </c>
      <c r="F164" s="706">
        <f>SUM(F161:F163)</f>
        <v>73516</v>
      </c>
      <c r="G164" s="706">
        <f>+E164-F164</f>
        <v>0</v>
      </c>
      <c r="H164" s="276"/>
    </row>
    <row r="165" spans="3:13" ht="15.75">
      <c r="C165" s="308"/>
      <c r="D165" s="300"/>
      <c r="E165" s="300"/>
      <c r="F165" s="300"/>
      <c r="G165" s="300"/>
      <c r="H165" s="276"/>
    </row>
    <row r="166" spans="3:13" ht="15.75">
      <c r="C166" s="308" t="s">
        <v>331</v>
      </c>
      <c r="D166" s="314"/>
      <c r="E166" s="300"/>
      <c r="F166" s="300"/>
      <c r="G166" s="300"/>
      <c r="H166" s="276"/>
    </row>
    <row r="167" spans="3:13" ht="15.75">
      <c r="C167" s="276" t="s">
        <v>1108</v>
      </c>
      <c r="H167" s="276"/>
    </row>
    <row r="168" spans="3:13" ht="15.75" hidden="1">
      <c r="C168" s="276" t="s">
        <v>291</v>
      </c>
      <c r="D168" s="294">
        <f>+'GEN BUDACT ER'!D152</f>
        <v>0</v>
      </c>
      <c r="E168" s="294">
        <f>+'GEN BUDACT ER'!E152</f>
        <v>0</v>
      </c>
      <c r="F168" s="294">
        <f>+'GEN BUDACT ER'!F152</f>
        <v>0</v>
      </c>
      <c r="G168" s="294">
        <f>+E168-F168</f>
        <v>0</v>
      </c>
      <c r="H168" s="276"/>
    </row>
    <row r="169" spans="3:13" ht="15.75">
      <c r="C169" s="276" t="s">
        <v>292</v>
      </c>
      <c r="D169" s="294">
        <f>+'GEN BUDACT ER'!D153</f>
        <v>200645</v>
      </c>
      <c r="E169" s="294">
        <f>+'GEN BUDACT ER'!E153</f>
        <v>200645</v>
      </c>
      <c r="F169" s="294">
        <f>+'GEN BUDACT ER'!F153</f>
        <v>200716</v>
      </c>
      <c r="G169" s="294">
        <f>+E169-F169</f>
        <v>-71</v>
      </c>
      <c r="H169" s="276"/>
      <c r="J169" s="276">
        <f>+D168+D169</f>
        <v>200645</v>
      </c>
      <c r="K169" s="276">
        <f>+E168+E169</f>
        <v>200645</v>
      </c>
      <c r="L169" s="276">
        <f>+F168+F169</f>
        <v>200716</v>
      </c>
    </row>
    <row r="170" spans="3:13" ht="15.75">
      <c r="C170" s="276" t="s">
        <v>737</v>
      </c>
      <c r="D170" s="294"/>
      <c r="E170" s="294"/>
      <c r="F170" s="294"/>
      <c r="G170" s="294"/>
      <c r="H170" s="276"/>
      <c r="J170" s="327">
        <f>+J169+10160+6000</f>
        <v>216805</v>
      </c>
      <c r="K170" s="327"/>
      <c r="L170" s="327">
        <f>+L169+10160+3000</f>
        <v>213876</v>
      </c>
      <c r="M170" s="288" t="s">
        <v>479</v>
      </c>
    </row>
    <row r="171" spans="3:13" ht="15.75" hidden="1">
      <c r="C171" s="276" t="s">
        <v>291</v>
      </c>
      <c r="D171" s="294">
        <f>+'GEN BUDACT ER'!D155</f>
        <v>0</v>
      </c>
      <c r="E171" s="294">
        <f>+'GEN BUDACT ER'!E155</f>
        <v>0</v>
      </c>
      <c r="F171" s="294">
        <f>+'GEN BUDACT ER'!F155</f>
        <v>0</v>
      </c>
      <c r="G171" s="294">
        <f>+E171-F171</f>
        <v>0</v>
      </c>
      <c r="H171" s="276"/>
    </row>
    <row r="172" spans="3:13" ht="15.75">
      <c r="C172" s="276" t="s">
        <v>292</v>
      </c>
      <c r="D172" s="294">
        <f>+'GEN BUDACT ER'!D156+0</f>
        <v>421837</v>
      </c>
      <c r="E172" s="294">
        <f>+'GEN BUDACT ER'!E156+0</f>
        <v>421837</v>
      </c>
      <c r="F172" s="294">
        <f>+'GEN BUDACT ER'!F156</f>
        <v>398987</v>
      </c>
      <c r="G172" s="294">
        <f>+E172-F172</f>
        <v>22850</v>
      </c>
      <c r="H172" s="276"/>
      <c r="J172" s="276">
        <f>+D171+D172</f>
        <v>421837</v>
      </c>
      <c r="K172" s="276">
        <f>+E171+E172</f>
        <v>421837</v>
      </c>
      <c r="L172" s="276">
        <f>+F171+F172</f>
        <v>398987</v>
      </c>
      <c r="M172" s="288" t="s">
        <v>479</v>
      </c>
    </row>
    <row r="173" spans="3:13" ht="15.75">
      <c r="C173" s="276"/>
      <c r="D173" s="439"/>
      <c r="E173" s="439"/>
      <c r="F173" s="439"/>
      <c r="G173" s="439"/>
      <c r="H173" s="276"/>
      <c r="J173" s="327"/>
      <c r="K173" s="327"/>
      <c r="L173" s="327"/>
    </row>
    <row r="174" spans="3:13" ht="15.75">
      <c r="C174" s="308" t="s">
        <v>741</v>
      </c>
      <c r="D174" s="706">
        <f>SUM(D168:D173)</f>
        <v>622482</v>
      </c>
      <c r="E174" s="706">
        <f>SUM(E168:E173)</f>
        <v>622482</v>
      </c>
      <c r="F174" s="706">
        <f>SUM(F168:F173)</f>
        <v>599703</v>
      </c>
      <c r="G174" s="706">
        <f>E174-F174</f>
        <v>22779</v>
      </c>
      <c r="H174" s="276"/>
    </row>
    <row r="175" spans="3:13" ht="15.75">
      <c r="C175" s="308"/>
      <c r="D175" s="296"/>
      <c r="E175" s="300"/>
      <c r="F175" s="300"/>
      <c r="G175" s="300"/>
      <c r="H175" s="276"/>
    </row>
    <row r="176" spans="3:13" ht="15.75" hidden="1">
      <c r="C176" s="308" t="s">
        <v>332</v>
      </c>
      <c r="D176" s="314"/>
      <c r="E176" s="300"/>
      <c r="F176" s="300"/>
      <c r="G176" s="300"/>
      <c r="H176" s="276"/>
    </row>
    <row r="177" spans="3:13" ht="15.75" hidden="1">
      <c r="C177" s="276" t="s">
        <v>1187</v>
      </c>
      <c r="D177" s="314"/>
      <c r="E177" s="300"/>
      <c r="F177" s="300"/>
      <c r="G177" s="300"/>
      <c r="H177" s="276"/>
    </row>
    <row r="178" spans="3:13" ht="15.75" hidden="1">
      <c r="C178" s="276" t="s">
        <v>291</v>
      </c>
      <c r="D178" s="294">
        <f>+'GEN BUDACT ER'!D162</f>
        <v>0</v>
      </c>
      <c r="E178" s="294">
        <f>+'GEN BUDACT ER'!E162</f>
        <v>0</v>
      </c>
      <c r="F178" s="294">
        <f>+'GEN BUDACT ER'!F162</f>
        <v>0</v>
      </c>
      <c r="G178" s="294">
        <f>+E178-F178</f>
        <v>0</v>
      </c>
      <c r="H178" s="276"/>
    </row>
    <row r="179" spans="3:13" ht="15.75" hidden="1">
      <c r="C179" s="276" t="s">
        <v>292</v>
      </c>
      <c r="D179" s="294">
        <f>+'GEN BUDACT ER'!D163</f>
        <v>0</v>
      </c>
      <c r="E179" s="294">
        <f>+'GEN BUDACT ER'!E163</f>
        <v>0</v>
      </c>
      <c r="F179" s="294">
        <f>+'GEN BUDACT ER'!F163</f>
        <v>0</v>
      </c>
      <c r="G179" s="294">
        <f>+E179-F179</f>
        <v>0</v>
      </c>
      <c r="H179" s="276"/>
    </row>
    <row r="180" spans="3:13" ht="15.75" hidden="1">
      <c r="C180" s="276"/>
      <c r="D180" s="439"/>
      <c r="E180" s="439"/>
      <c r="F180" s="439"/>
      <c r="G180" s="439"/>
      <c r="H180" s="276"/>
    </row>
    <row r="181" spans="3:13" ht="15.75" hidden="1">
      <c r="C181" s="308" t="s">
        <v>1122</v>
      </c>
      <c r="D181" s="301">
        <f>SUM(D177:D180)</f>
        <v>0</v>
      </c>
      <c r="E181" s="301">
        <f>SUM(E177:E180)</f>
        <v>0</v>
      </c>
      <c r="F181" s="301">
        <f>SUM(F177:F180)</f>
        <v>0</v>
      </c>
      <c r="G181" s="301">
        <f>E181-F181</f>
        <v>0</v>
      </c>
      <c r="H181" s="276"/>
    </row>
    <row r="182" spans="3:13" ht="15.75" hidden="1">
      <c r="C182" s="276"/>
      <c r="D182" s="296"/>
      <c r="E182" s="300"/>
      <c r="F182" s="300"/>
      <c r="G182" s="300"/>
      <c r="H182" s="276"/>
    </row>
    <row r="183" spans="3:13" ht="15.75" hidden="1">
      <c r="C183" s="308"/>
      <c r="D183" s="314"/>
      <c r="E183" s="300"/>
      <c r="F183" s="300"/>
      <c r="G183" s="300"/>
      <c r="H183" s="276"/>
    </row>
    <row r="184" spans="3:13" ht="15.75" hidden="1">
      <c r="C184" s="308" t="s">
        <v>333</v>
      </c>
      <c r="D184" s="345">
        <f>+'GEN BUDACT ER'!D168</f>
        <v>0</v>
      </c>
      <c r="E184" s="345">
        <f>+'GEN BUDACT ER'!E168</f>
        <v>0</v>
      </c>
      <c r="F184" s="345">
        <f>+'GEN BUDACT ER'!F168</f>
        <v>0</v>
      </c>
      <c r="G184" s="345">
        <f>+E184-F184</f>
        <v>0</v>
      </c>
      <c r="H184" s="276"/>
      <c r="L184" s="276">
        <f>+F184+F183</f>
        <v>0</v>
      </c>
      <c r="M184" s="288" t="s">
        <v>479</v>
      </c>
    </row>
    <row r="185" spans="3:13" ht="15.75" hidden="1">
      <c r="C185" s="276"/>
      <c r="D185" s="296"/>
      <c r="E185" s="300"/>
      <c r="F185" s="300"/>
      <c r="G185" s="300"/>
      <c r="H185" s="276"/>
    </row>
    <row r="186" spans="3:13" ht="15.75" hidden="1">
      <c r="C186" s="308" t="s">
        <v>334</v>
      </c>
      <c r="D186" s="345">
        <f>+'GEN BUDACT ER'!D170</f>
        <v>0</v>
      </c>
      <c r="E186" s="345">
        <f>+'GEN BUDACT ER'!E170</f>
        <v>0</v>
      </c>
      <c r="F186" s="345">
        <f>+'GEN BUDACT ER'!F170</f>
        <v>0</v>
      </c>
      <c r="G186" s="345">
        <f>+E186-F186</f>
        <v>0</v>
      </c>
      <c r="H186" s="276"/>
    </row>
    <row r="187" spans="3:13" ht="15.75" hidden="1">
      <c r="C187" s="276"/>
      <c r="D187" s="439"/>
      <c r="E187" s="439"/>
      <c r="F187" s="439"/>
      <c r="G187" s="439"/>
      <c r="H187" s="276"/>
    </row>
    <row r="188" spans="3:13" ht="15.75">
      <c r="C188" s="308" t="s">
        <v>1211</v>
      </c>
      <c r="D188" s="706">
        <f>+D120+D130+D146+D164+D174+D181+D184+D186</f>
        <v>14401029</v>
      </c>
      <c r="E188" s="706">
        <f>+E120+E130+E146+E164+E174+E181+E184+E186</f>
        <v>14678029</v>
      </c>
      <c r="F188" s="706">
        <f>+F120+F130+F146+F164+F174+F181+F184+F186</f>
        <v>12924692</v>
      </c>
      <c r="G188" s="706">
        <f>+G120+G130+G146+G164+G174+G177+G184+G186</f>
        <v>1753337</v>
      </c>
      <c r="H188" s="276"/>
      <c r="J188" s="288">
        <f>+D188-D194</f>
        <v>16332913</v>
      </c>
      <c r="K188" s="288">
        <f>+E188-E194</f>
        <v>16609913</v>
      </c>
      <c r="L188" s="288">
        <f>+F188-F194</f>
        <v>14811216</v>
      </c>
    </row>
    <row r="189" spans="3:13" ht="15.75">
      <c r="C189" s="308" t="s">
        <v>677</v>
      </c>
      <c r="D189" s="296"/>
      <c r="E189" s="294"/>
      <c r="F189" s="294"/>
      <c r="G189" s="294"/>
      <c r="H189" s="276"/>
    </row>
    <row r="190" spans="3:13" ht="15.75">
      <c r="C190" s="308" t="s">
        <v>598</v>
      </c>
      <c r="D190" s="697">
        <f>+D74-D188</f>
        <v>-1557065</v>
      </c>
      <c r="E190" s="697">
        <f>+E74-E188</f>
        <v>-1834065</v>
      </c>
      <c r="F190" s="697">
        <f>+F74-F188</f>
        <v>2647309</v>
      </c>
      <c r="G190" s="697">
        <f>+F190-E190</f>
        <v>4481374</v>
      </c>
      <c r="H190" s="276"/>
    </row>
    <row r="191" spans="3:13" ht="15.75">
      <c r="C191" s="276"/>
      <c r="D191" s="296"/>
      <c r="E191" s="294"/>
      <c r="F191" s="294"/>
      <c r="G191" s="294"/>
      <c r="H191" s="276"/>
    </row>
    <row r="192" spans="3:13" ht="15.75">
      <c r="C192" s="308" t="s">
        <v>833</v>
      </c>
      <c r="D192" s="314"/>
      <c r="E192" s="294"/>
      <c r="F192" s="294"/>
      <c r="G192" s="294"/>
      <c r="H192" s="276"/>
    </row>
    <row r="193" spans="3:17" ht="15.75">
      <c r="C193" s="276" t="s">
        <v>1213</v>
      </c>
      <c r="D193" s="294">
        <f>+'GEN BUDACT ER'!D177</f>
        <v>400000</v>
      </c>
      <c r="E193" s="294">
        <f>+'GEN BUDACT ER'!E177</f>
        <v>400000</v>
      </c>
      <c r="F193" s="294">
        <f>+'GEN BUDACT ER'!F177</f>
        <v>2070536</v>
      </c>
      <c r="G193" s="294">
        <f>+F193-E193</f>
        <v>1670536</v>
      </c>
      <c r="H193" s="276"/>
    </row>
    <row r="194" spans="3:17" ht="15.75">
      <c r="C194" s="276" t="s">
        <v>1214</v>
      </c>
      <c r="D194" s="294">
        <f>+'GEN BUDACT ER'!D178+0</f>
        <v>-1931884</v>
      </c>
      <c r="E194" s="294">
        <f>+'GEN BUDACT ER'!E178+0</f>
        <v>-1931884</v>
      </c>
      <c r="F194" s="294">
        <f>+'GEN BUDACT ER'!F178</f>
        <v>-1886524</v>
      </c>
      <c r="G194" s="294">
        <f>+F194-E194</f>
        <v>45360</v>
      </c>
      <c r="H194" s="276"/>
      <c r="L194" s="288">
        <f>+F194</f>
        <v>-1886524</v>
      </c>
      <c r="M194" s="288">
        <f>3622+750+732+13085+7567+139221+1655+16410+34003+15000+15894+1500</f>
        <v>249439</v>
      </c>
    </row>
    <row r="195" spans="3:17" ht="15.75" hidden="1">
      <c r="C195" s="276" t="s">
        <v>2389</v>
      </c>
      <c r="D195" s="294">
        <f>+'GEN BUDACT ER'!D179</f>
        <v>0</v>
      </c>
      <c r="E195" s="294">
        <f>+'GEN BUDACT ER'!E179</f>
        <v>0</v>
      </c>
      <c r="F195" s="294">
        <f>+'GEN BUDACT ER'!F179</f>
        <v>0</v>
      </c>
      <c r="G195" s="294" t="str">
        <f>IF(+F195-E195&lt;&gt;0,+F195-E195,"-  ")</f>
        <v xml:space="preserve">-  </v>
      </c>
      <c r="H195" s="276"/>
    </row>
    <row r="196" spans="3:17" ht="15.75" hidden="1">
      <c r="C196" s="276" t="s">
        <v>1239</v>
      </c>
      <c r="D196" s="294">
        <f>+'GEN BUDACT ER'!D180</f>
        <v>0</v>
      </c>
      <c r="E196" s="294">
        <f>+'GEN BUDACT ER'!E180</f>
        <v>0</v>
      </c>
      <c r="F196" s="294">
        <f>+'GEN BUDACT ER'!F180</f>
        <v>0</v>
      </c>
      <c r="G196" s="294" t="str">
        <f>IF(+F196-E196&lt;&gt;0,+F196-E196,"-  ")</f>
        <v xml:space="preserve">-  </v>
      </c>
      <c r="H196" s="276"/>
    </row>
    <row r="197" spans="3:17" ht="15.75">
      <c r="C197" s="276"/>
      <c r="D197" s="439"/>
      <c r="E197" s="439"/>
      <c r="F197" s="439"/>
      <c r="G197" s="439"/>
      <c r="H197" s="276"/>
    </row>
    <row r="198" spans="3:17" ht="15.75">
      <c r="C198" s="308" t="str">
        <f>INPUT!B58</f>
        <v xml:space="preserve">         Total other financing sources and uses</v>
      </c>
      <c r="D198" s="706">
        <f>SUM(D193:D197)</f>
        <v>-1531884</v>
      </c>
      <c r="E198" s="706">
        <f>SUM(E193:E197)</f>
        <v>-1531884</v>
      </c>
      <c r="F198" s="706">
        <f>SUM(F193:F197)</f>
        <v>184012</v>
      </c>
      <c r="G198" s="706">
        <f>SUM(G193:G197)</f>
        <v>1715896</v>
      </c>
      <c r="H198" s="276"/>
    </row>
    <row r="199" spans="3:17" ht="15.75">
      <c r="C199" s="276"/>
      <c r="D199" s="276"/>
      <c r="E199" s="303"/>
      <c r="F199" s="303"/>
      <c r="G199" s="303"/>
      <c r="H199" s="276"/>
    </row>
    <row r="200" spans="3:17" ht="16.5" thickBot="1">
      <c r="C200" s="308" t="str">
        <f>INPUT!B61</f>
        <v xml:space="preserve">             Net change in fund balances</v>
      </c>
      <c r="D200" s="703">
        <f>+D190+D198</f>
        <v>-3088949</v>
      </c>
      <c r="E200" s="703">
        <f>+E190+E198</f>
        <v>-3365949</v>
      </c>
      <c r="F200" s="708">
        <f>+F190+F198</f>
        <v>2831321</v>
      </c>
      <c r="G200" s="703">
        <f>+G190+G198</f>
        <v>6197270</v>
      </c>
      <c r="H200" s="276"/>
      <c r="Q200" s="460"/>
    </row>
    <row r="201" spans="3:17" ht="16.5" thickTop="1">
      <c r="C201" s="276"/>
      <c r="D201" s="276"/>
      <c r="E201" s="303"/>
      <c r="F201" s="303"/>
      <c r="G201" s="303"/>
      <c r="H201" s="276"/>
      <c r="Q201" s="460"/>
    </row>
    <row r="202" spans="3:17" ht="15.75">
      <c r="C202" s="276" t="str">
        <f>INPUT!B63</f>
        <v xml:space="preserve">     Fund balance, July 1</v>
      </c>
      <c r="D202" s="276"/>
      <c r="E202" s="303"/>
      <c r="F202" s="278">
        <f>+'GEN BUDACT ER'!F186+'Sys INPUT'!D191</f>
        <v>7413080</v>
      </c>
      <c r="G202" s="303"/>
      <c r="H202" s="276"/>
      <c r="K202" s="304"/>
      <c r="Q202" s="1063"/>
    </row>
    <row r="203" spans="3:17" ht="15.75" hidden="1">
      <c r="C203" s="276"/>
      <c r="D203" s="276"/>
      <c r="E203" s="303"/>
      <c r="F203" s="303"/>
      <c r="G203" s="303"/>
      <c r="H203" s="276"/>
      <c r="Q203" s="444"/>
    </row>
    <row r="204" spans="3:17" ht="15.75" hidden="1">
      <c r="C204" s="276" t="str">
        <f>INPUT!B66</f>
        <v xml:space="preserve">     Prior period adjustments</v>
      </c>
      <c r="D204" s="276"/>
      <c r="E204" s="303"/>
      <c r="F204" s="440" t="str">
        <f>IF(+INPUT!D66&lt;&gt;0,+INPUT!D66,"-  ")</f>
        <v xml:space="preserve">-  </v>
      </c>
      <c r="G204" s="303"/>
      <c r="H204" s="276"/>
      <c r="Q204" s="444"/>
    </row>
    <row r="205" spans="3:17" ht="15.75" hidden="1">
      <c r="C205" s="276"/>
      <c r="D205" s="276"/>
      <c r="E205" s="303"/>
      <c r="F205" s="303"/>
      <c r="G205" s="303"/>
      <c r="H205" s="276"/>
      <c r="Q205" s="444"/>
    </row>
    <row r="206" spans="3:17" ht="15.75" hidden="1">
      <c r="C206" s="308" t="str">
        <f>INPUT!B69</f>
        <v xml:space="preserve">     Total net position, beginning, as restated</v>
      </c>
      <c r="D206" s="308"/>
      <c r="E206" s="319"/>
      <c r="F206" s="319">
        <f>SUM(F202+F204)</f>
        <v>7413080</v>
      </c>
      <c r="G206" s="303"/>
      <c r="H206" s="276"/>
      <c r="Q206" s="444"/>
    </row>
    <row r="207" spans="3:17" ht="15.75" hidden="1">
      <c r="C207" s="276"/>
      <c r="D207" s="276"/>
      <c r="E207" s="303"/>
      <c r="F207" s="303"/>
      <c r="G207" s="303"/>
      <c r="H207" s="276"/>
      <c r="Q207" s="444"/>
    </row>
    <row r="208" spans="3:17" ht="15.75" hidden="1">
      <c r="C208" s="276" t="str">
        <f>INPUT!B71</f>
        <v xml:space="preserve">     Residual equity transfers</v>
      </c>
      <c r="D208" s="276"/>
      <c r="E208" s="303"/>
      <c r="F208" s="440">
        <f>INPUT!D71</f>
        <v>0</v>
      </c>
      <c r="G208" s="303"/>
      <c r="H208" s="276"/>
      <c r="Q208" s="444"/>
    </row>
    <row r="209" spans="3:17" ht="15.75">
      <c r="C209" s="276"/>
      <c r="D209" s="276"/>
      <c r="E209" s="303"/>
      <c r="F209" s="303"/>
      <c r="G209" s="303"/>
      <c r="H209" s="276"/>
      <c r="Q209" s="444"/>
    </row>
    <row r="210" spans="3:17" ht="16.5" thickBot="1">
      <c r="C210" s="276" t="str">
        <f>INPUT!B73</f>
        <v xml:space="preserve">     Fund balance, June 30</v>
      </c>
      <c r="D210" s="276"/>
      <c r="E210" s="303"/>
      <c r="F210" s="703">
        <f>+F200+F206+F208</f>
        <v>10244401</v>
      </c>
      <c r="G210" s="303"/>
      <c r="H210" s="276"/>
      <c r="L210" s="288">
        <f>42062-42873</f>
        <v>-811</v>
      </c>
      <c r="O210" s="460" t="s">
        <v>3030</v>
      </c>
      <c r="Q210" s="444"/>
    </row>
    <row r="211" spans="3:17" ht="16.5" thickTop="1">
      <c r="C211" s="350"/>
      <c r="D211" s="276"/>
      <c r="E211" s="303"/>
      <c r="F211" s="303"/>
      <c r="G211" s="303"/>
      <c r="H211" s="276"/>
      <c r="O211" s="460" t="s">
        <v>3031</v>
      </c>
      <c r="Q211" s="325"/>
    </row>
    <row r="212" spans="3:17" ht="15.75">
      <c r="F212" s="288">
        <f>+F74+F193</f>
        <v>17642537</v>
      </c>
      <c r="O212" s="1063">
        <v>8346026</v>
      </c>
      <c r="P212" s="1063">
        <f>+O212-F202</f>
        <v>932946</v>
      </c>
      <c r="Q212" s="1064"/>
    </row>
    <row r="213" spans="3:17" ht="15.75">
      <c r="F213" s="288">
        <f>+F188-F194</f>
        <v>14811216</v>
      </c>
      <c r="O213" s="325" t="s">
        <v>3293</v>
      </c>
    </row>
    <row r="214" spans="3:17" ht="15.75">
      <c r="O214" s="1064" t="s">
        <v>3294</v>
      </c>
    </row>
    <row r="215" spans="3:17">
      <c r="F215" s="327"/>
    </row>
    <row r="219" spans="3:17">
      <c r="F219" s="288" t="s">
        <v>439</v>
      </c>
    </row>
  </sheetData>
  <phoneticPr fontId="0" type="noConversion"/>
  <printOptions horizontalCentered="1"/>
  <pageMargins left="0.5" right="0.5" top="0.5" bottom="0.5" header="0.5" footer="0.25"/>
  <pageSetup scale="65" firstPageNumber="21" orientation="portrait" useFirstPageNumber="1" r:id="rId1"/>
  <headerFooter alignWithMargins="0">
    <oddFooter xml:space="preserve">&amp;C
</oddFooter>
  </headerFooter>
  <rowBreaks count="2" manualBreakCount="2">
    <brk id="74" min="2" max="10" man="1"/>
    <brk id="146" min="2"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codeName="Sheet60">
    <pageSetUpPr fitToPage="1"/>
  </sheetPr>
  <dimension ref="C3:N219"/>
  <sheetViews>
    <sheetView showGridLines="0" topLeftCell="A135" zoomScale="75" zoomScaleNormal="68" workbookViewId="0">
      <selection activeCell="L139" sqref="L139"/>
    </sheetView>
  </sheetViews>
  <sheetFormatPr defaultColWidth="9.7109375" defaultRowHeight="12.75"/>
  <cols>
    <col min="1" max="1" width="2.7109375" style="288" customWidth="1"/>
    <col min="2" max="2" width="5.7109375" style="288" customWidth="1"/>
    <col min="3" max="3" width="59.140625" style="288" customWidth="1"/>
    <col min="4" max="6" width="16.7109375" style="288" customWidth="1"/>
    <col min="7" max="7" width="16.7109375" style="330" customWidth="1"/>
    <col min="8" max="8" width="24.140625" style="288" customWidth="1"/>
    <col min="9" max="9" width="3.7109375" style="330" customWidth="1"/>
    <col min="10" max="10" width="3.140625" style="288" customWidth="1"/>
    <col min="11" max="11" width="15.28515625" style="288" customWidth="1"/>
    <col min="12" max="12" width="14.42578125" style="288" customWidth="1"/>
    <col min="13" max="13" width="15.28515625" style="288" customWidth="1"/>
    <col min="14" max="14" width="2.85546875" style="288" customWidth="1"/>
    <col min="15" max="16384" width="9.7109375" style="288"/>
  </cols>
  <sheetData>
    <row r="3" spans="3:10" ht="15.75">
      <c r="C3" s="395" t="s">
        <v>1049</v>
      </c>
      <c r="D3" s="395"/>
      <c r="E3" s="395"/>
      <c r="F3" s="395"/>
      <c r="G3" s="441"/>
      <c r="H3" s="432"/>
    </row>
    <row r="4" spans="3:10" ht="15.75">
      <c r="C4" s="305" t="s">
        <v>2572</v>
      </c>
      <c r="D4" s="395"/>
      <c r="E4" s="395"/>
      <c r="F4" s="395"/>
      <c r="G4" s="441"/>
      <c r="H4" s="432"/>
    </row>
    <row r="5" spans="3:10" ht="15.75">
      <c r="C5" s="305" t="s">
        <v>1362</v>
      </c>
      <c r="D5" s="395"/>
      <c r="E5" s="395"/>
      <c r="F5" s="395"/>
      <c r="G5" s="441"/>
      <c r="H5" s="432"/>
    </row>
    <row r="6" spans="3:10" ht="15.75">
      <c r="C6" s="395" t="str">
        <f>+'Sys INPUT'!B2</f>
        <v>For the  Fiscal Year Ended June 30, 2023</v>
      </c>
      <c r="D6" s="395"/>
      <c r="E6" s="395"/>
      <c r="F6" s="395"/>
      <c r="G6" s="441"/>
      <c r="H6" s="432"/>
    </row>
    <row r="7" spans="3:10" ht="15.75">
      <c r="C7" s="395" t="s">
        <v>1661</v>
      </c>
      <c r="D7" s="395"/>
      <c r="E7" s="395"/>
      <c r="F7" s="395"/>
      <c r="G7" s="441"/>
      <c r="H7" s="432"/>
    </row>
    <row r="8" spans="3:10" ht="15.75">
      <c r="D8" s="395"/>
      <c r="E8" s="395"/>
      <c r="F8" s="395"/>
      <c r="G8" s="441"/>
      <c r="H8" s="432"/>
    </row>
    <row r="9" spans="3:10" ht="15.75">
      <c r="C9" s="395"/>
      <c r="D9" s="328" t="s">
        <v>793</v>
      </c>
      <c r="E9" s="328"/>
      <c r="F9" s="328"/>
      <c r="G9" s="290"/>
      <c r="H9" s="328"/>
    </row>
    <row r="10" spans="3:10" ht="15.75">
      <c r="C10" s="395"/>
      <c r="D10" s="395"/>
      <c r="E10" s="395"/>
      <c r="F10" s="395"/>
      <c r="G10" s="441"/>
      <c r="H10" s="287" t="s">
        <v>1145</v>
      </c>
      <c r="I10" s="442"/>
    </row>
    <row r="11" spans="3:10" ht="15.75">
      <c r="C11" s="308"/>
      <c r="D11" s="328" t="s">
        <v>290</v>
      </c>
      <c r="E11" s="328"/>
      <c r="F11" s="287"/>
      <c r="G11" s="287"/>
      <c r="H11" s="287" t="s">
        <v>461</v>
      </c>
      <c r="I11" s="284"/>
    </row>
    <row r="12" spans="3:10" ht="15.75">
      <c r="C12" s="308"/>
      <c r="D12" s="287"/>
      <c r="E12" s="287"/>
      <c r="F12" s="287"/>
      <c r="G12" s="287"/>
      <c r="H12" s="287" t="s">
        <v>412</v>
      </c>
      <c r="I12" s="284"/>
    </row>
    <row r="13" spans="3:10" ht="15.75">
      <c r="C13" s="276"/>
      <c r="D13" s="290" t="s">
        <v>857</v>
      </c>
      <c r="E13" s="290" t="s">
        <v>414</v>
      </c>
      <c r="F13" s="290" t="s">
        <v>858</v>
      </c>
      <c r="G13" s="290"/>
      <c r="H13" s="290" t="s">
        <v>413</v>
      </c>
      <c r="I13" s="321" t="s">
        <v>479</v>
      </c>
      <c r="J13" s="288" t="s">
        <v>2680</v>
      </c>
    </row>
    <row r="14" spans="3:10" ht="15.75">
      <c r="C14" s="308" t="s">
        <v>596</v>
      </c>
      <c r="D14" s="308"/>
      <c r="E14" s="276"/>
      <c r="F14" s="276"/>
      <c r="G14" s="284"/>
      <c r="H14" s="303"/>
      <c r="I14" s="284"/>
    </row>
    <row r="15" spans="3:10" ht="15.75">
      <c r="C15" s="308" t="s">
        <v>2356</v>
      </c>
      <c r="D15" s="308"/>
      <c r="E15" s="276"/>
      <c r="F15" s="276"/>
      <c r="G15" s="284"/>
      <c r="H15" s="303"/>
      <c r="I15" s="284"/>
    </row>
    <row r="16" spans="3:10" ht="15.75">
      <c r="C16" s="276" t="s">
        <v>2357</v>
      </c>
      <c r="D16" s="292">
        <f>+'GEN BUDACT ER'!D17</f>
        <v>5747773</v>
      </c>
      <c r="E16" s="292">
        <f>+'GEN BUDACT ER'!E17</f>
        <v>5747773</v>
      </c>
      <c r="F16" s="292">
        <f>+'GEN BUDACT ER'!F17</f>
        <v>5997139</v>
      </c>
      <c r="G16" s="443"/>
      <c r="H16" s="292">
        <f>+F16-E16</f>
        <v>249366</v>
      </c>
      <c r="I16" s="284"/>
    </row>
    <row r="17" spans="3:12" ht="15.75">
      <c r="C17" s="276" t="s">
        <v>2358</v>
      </c>
      <c r="D17" s="294">
        <f>+'GEN BUDACT ER'!D18</f>
        <v>1036647</v>
      </c>
      <c r="E17" s="294">
        <f>+'GEN BUDACT ER'!E18</f>
        <v>1036647</v>
      </c>
      <c r="F17" s="294">
        <f>+'GEN BUDACT ER'!F18</f>
        <v>1312323</v>
      </c>
      <c r="G17" s="444"/>
      <c r="H17" s="294">
        <f>+F17-E17</f>
        <v>275676</v>
      </c>
      <c r="I17" s="284"/>
    </row>
    <row r="18" spans="3:12" ht="15.75">
      <c r="C18" s="276" t="s">
        <v>2359</v>
      </c>
      <c r="D18" s="294">
        <f>+'GEN BUDACT ER'!D19</f>
        <v>1049216</v>
      </c>
      <c r="E18" s="294">
        <f>+'GEN BUDACT ER'!E19</f>
        <v>1049216</v>
      </c>
      <c r="F18" s="294">
        <f>+'GEN BUDACT ER'!F19</f>
        <v>1071508</v>
      </c>
      <c r="G18" s="444"/>
      <c r="H18" s="294">
        <f>+F18-E18</f>
        <v>22292</v>
      </c>
      <c r="I18" s="284"/>
    </row>
    <row r="19" spans="3:12" ht="15.75">
      <c r="C19" s="276"/>
      <c r="D19" s="426"/>
      <c r="E19" s="426"/>
      <c r="F19" s="426"/>
      <c r="G19" s="445"/>
      <c r="H19" s="426"/>
      <c r="I19" s="284"/>
    </row>
    <row r="20" spans="3:12" ht="15.75">
      <c r="C20" s="308" t="s">
        <v>774</v>
      </c>
      <c r="D20" s="345">
        <f>+SUM(D16:D19)</f>
        <v>7833636</v>
      </c>
      <c r="E20" s="345">
        <f>+SUM(E16:E19)</f>
        <v>7833636</v>
      </c>
      <c r="F20" s="345">
        <f>+SUM(F16:F19)</f>
        <v>8380970</v>
      </c>
      <c r="G20" s="446"/>
      <c r="H20" s="345">
        <f>+SUM(H16:H19)</f>
        <v>547334</v>
      </c>
      <c r="I20" s="284"/>
      <c r="L20" s="433">
        <f>+H20/E20</f>
        <v>6.9869725884633901E-2</v>
      </c>
    </row>
    <row r="21" spans="3:12" ht="15.75">
      <c r="C21" s="276"/>
      <c r="D21" s="276"/>
      <c r="E21" s="303"/>
      <c r="F21" s="303"/>
      <c r="G21" s="284"/>
      <c r="H21" s="303"/>
      <c r="I21" s="284"/>
    </row>
    <row r="22" spans="3:12" ht="15.75">
      <c r="C22" s="308" t="s">
        <v>1251</v>
      </c>
      <c r="D22" s="308"/>
      <c r="E22" s="303"/>
      <c r="F22" s="303"/>
      <c r="G22" s="284"/>
      <c r="H22" s="303"/>
      <c r="I22" s="284"/>
    </row>
    <row r="23" spans="3:12" ht="15.75">
      <c r="C23" s="276" t="s">
        <v>49</v>
      </c>
      <c r="D23" s="294">
        <f>+'GEN BUDACT ER'!D24</f>
        <v>0</v>
      </c>
      <c r="E23" s="294">
        <f>+'GEN BUDACT ER'!E24</f>
        <v>0</v>
      </c>
      <c r="F23" s="447">
        <f>+'GEN BUDACT ER'!F24</f>
        <v>0</v>
      </c>
      <c r="G23" s="448" t="s">
        <v>1772</v>
      </c>
      <c r="H23" s="294">
        <f>+F23-E23</f>
        <v>0</v>
      </c>
      <c r="I23" s="284"/>
    </row>
    <row r="24" spans="3:12" ht="15.75">
      <c r="C24" s="276" t="s">
        <v>620</v>
      </c>
      <c r="D24" s="294">
        <f>+'GEN BUDACT ER'!D25</f>
        <v>235000</v>
      </c>
      <c r="E24" s="294">
        <f>+'GEN BUDACT ER'!E25</f>
        <v>235000</v>
      </c>
      <c r="F24" s="294">
        <f>+'GEN BUDACT ER'!F25</f>
        <v>232102</v>
      </c>
      <c r="G24" s="449" t="s">
        <v>1773</v>
      </c>
      <c r="H24" s="294">
        <f>+F24-E24</f>
        <v>-2898</v>
      </c>
      <c r="I24" s="284"/>
    </row>
    <row r="25" spans="3:12" ht="15.75">
      <c r="C25" s="276" t="s">
        <v>130</v>
      </c>
      <c r="D25" s="294">
        <f>+'GEN BUDACT ER'!D26</f>
        <v>22500</v>
      </c>
      <c r="E25" s="294">
        <f>+'GEN BUDACT ER'!E26</f>
        <v>22500</v>
      </c>
      <c r="F25" s="294">
        <f>+'GEN BUDACT ER'!F26</f>
        <v>32624</v>
      </c>
      <c r="G25" s="450">
        <f>SUM(F24:F25)</f>
        <v>264726</v>
      </c>
      <c r="H25" s="294">
        <f>+F25-E25</f>
        <v>10124</v>
      </c>
      <c r="I25" s="284"/>
    </row>
    <row r="26" spans="3:12" ht="15.75">
      <c r="C26" s="276"/>
      <c r="D26" s="434"/>
      <c r="E26" s="434"/>
      <c r="F26" s="434"/>
      <c r="G26" s="284"/>
      <c r="H26" s="434"/>
      <c r="I26" s="284"/>
    </row>
    <row r="27" spans="3:12" ht="15.75">
      <c r="C27" s="308" t="s">
        <v>775</v>
      </c>
      <c r="D27" s="345">
        <f>SUM(D23:D26)</f>
        <v>257500</v>
      </c>
      <c r="E27" s="345">
        <f>SUM(E23:E26)</f>
        <v>257500</v>
      </c>
      <c r="F27" s="451">
        <f>SUM(F23:F26)</f>
        <v>264726</v>
      </c>
      <c r="G27" s="452" t="s">
        <v>1777</v>
      </c>
      <c r="H27" s="345">
        <f>SUM(H23:H26)</f>
        <v>7226</v>
      </c>
      <c r="I27" s="284" t="s">
        <v>479</v>
      </c>
      <c r="L27" s="433">
        <f>+H27/E27</f>
        <v>2.8062135922330096E-2</v>
      </c>
    </row>
    <row r="28" spans="3:12" ht="15.75">
      <c r="C28" s="276"/>
      <c r="D28" s="276"/>
      <c r="E28" s="303"/>
      <c r="F28" s="303"/>
      <c r="G28" s="284"/>
      <c r="H28" s="303"/>
      <c r="I28" s="284"/>
    </row>
    <row r="29" spans="3:12" ht="15.75">
      <c r="C29" s="308" t="s">
        <v>444</v>
      </c>
      <c r="D29" s="308"/>
      <c r="E29" s="303"/>
      <c r="F29" s="303"/>
      <c r="G29" s="284"/>
      <c r="H29" s="303"/>
      <c r="I29" s="284"/>
    </row>
    <row r="30" spans="3:12" ht="15.75">
      <c r="C30" s="435" t="s">
        <v>33</v>
      </c>
      <c r="D30" s="276"/>
      <c r="E30" s="303"/>
      <c r="F30" s="303"/>
      <c r="G30" s="284"/>
      <c r="H30" s="303"/>
      <c r="I30" s="284"/>
    </row>
    <row r="31" spans="3:12" ht="15.75" hidden="1">
      <c r="C31" s="276" t="s">
        <v>153</v>
      </c>
      <c r="D31" s="294">
        <f>+'GEN BUDACT ER'!D32</f>
        <v>72000</v>
      </c>
      <c r="E31" s="294">
        <f>+'GEN BUDACT ER'!E32</f>
        <v>72000</v>
      </c>
      <c r="F31" s="294">
        <f>+'GEN BUDACT ER'!F32</f>
        <v>0</v>
      </c>
      <c r="G31" s="444"/>
      <c r="H31" s="294">
        <f t="shared" ref="H31:H36" si="0">+F31-E31</f>
        <v>-72000</v>
      </c>
      <c r="I31" s="284"/>
    </row>
    <row r="32" spans="3:12" ht="15.75">
      <c r="C32" s="276" t="s">
        <v>786</v>
      </c>
      <c r="D32" s="294">
        <f>+'GEN BUDACT ER'!D33</f>
        <v>100000</v>
      </c>
      <c r="E32" s="294">
        <f>+'GEN BUDACT ER'!E33</f>
        <v>100000</v>
      </c>
      <c r="F32" s="294">
        <f>+'GEN BUDACT ER'!F33</f>
        <v>59219</v>
      </c>
      <c r="G32" s="444"/>
      <c r="H32" s="294">
        <f t="shared" si="0"/>
        <v>-40781</v>
      </c>
      <c r="I32" s="284"/>
    </row>
    <row r="33" spans="3:13" ht="15.75">
      <c r="C33" s="435" t="s">
        <v>787</v>
      </c>
      <c r="D33" s="294"/>
      <c r="E33" s="294"/>
      <c r="F33" s="294"/>
      <c r="G33" s="444"/>
      <c r="H33" s="294"/>
      <c r="I33" s="284"/>
    </row>
    <row r="34" spans="3:13" ht="15.75">
      <c r="C34" s="276" t="s">
        <v>88</v>
      </c>
      <c r="D34" s="294">
        <f>+'GEN BUDACT ER'!D35</f>
        <v>0</v>
      </c>
      <c r="E34" s="294">
        <f>+'GEN BUDACT ER'!E35</f>
        <v>0</v>
      </c>
      <c r="F34" s="294">
        <f>+'GEN BUDACT ER'!F35</f>
        <v>945</v>
      </c>
      <c r="G34" s="444"/>
      <c r="H34" s="294">
        <f t="shared" si="0"/>
        <v>945</v>
      </c>
      <c r="I34" s="284"/>
    </row>
    <row r="35" spans="3:13" ht="15.75">
      <c r="C35" s="276" t="s">
        <v>89</v>
      </c>
      <c r="D35" s="294">
        <f>+'GEN BUDACT ER'!D36</f>
        <v>1900000</v>
      </c>
      <c r="E35" s="294">
        <f>+'GEN BUDACT ER'!E36</f>
        <v>1900000</v>
      </c>
      <c r="F35" s="294">
        <f>+'GEN BUDACT ER'!F36</f>
        <v>2578575</v>
      </c>
      <c r="G35" s="444"/>
      <c r="H35" s="294">
        <f t="shared" si="0"/>
        <v>678575</v>
      </c>
      <c r="I35" s="284"/>
      <c r="L35" s="304"/>
      <c r="M35" s="304"/>
    </row>
    <row r="36" spans="3:13" ht="15.75" hidden="1">
      <c r="C36" s="276" t="s">
        <v>682</v>
      </c>
      <c r="D36" s="294">
        <f>+'GEN BUDACT ER'!D37</f>
        <v>0</v>
      </c>
      <c r="E36" s="294">
        <f>+'GEN BUDACT ER'!E37</f>
        <v>0</v>
      </c>
      <c r="F36" s="294">
        <f>+'GEN BUDACT ER'!F37</f>
        <v>0</v>
      </c>
      <c r="G36" s="444"/>
      <c r="H36" s="294">
        <f t="shared" si="0"/>
        <v>0</v>
      </c>
      <c r="I36" s="284"/>
    </row>
    <row r="37" spans="3:13" ht="15.75">
      <c r="C37" s="435" t="s">
        <v>34</v>
      </c>
      <c r="D37" s="294"/>
      <c r="E37" s="294"/>
      <c r="F37" s="294"/>
      <c r="G37" s="444"/>
      <c r="H37" s="303"/>
      <c r="I37" s="284"/>
    </row>
    <row r="38" spans="3:13" ht="15.75" hidden="1">
      <c r="C38" s="276" t="s">
        <v>507</v>
      </c>
      <c r="D38" s="294">
        <f>+'GEN BUDACT ER'!D39</f>
        <v>0</v>
      </c>
      <c r="E38" s="294">
        <f>+'GEN BUDACT ER'!E39</f>
        <v>0</v>
      </c>
      <c r="F38" s="294">
        <f>+'GEN BUDACT ER'!F39</f>
        <v>0</v>
      </c>
      <c r="G38" s="444"/>
      <c r="H38" s="303" t="str">
        <f>IF(+F38-E38&lt;&gt;0,+F38-E38,"-  ")</f>
        <v xml:space="preserve">-  </v>
      </c>
      <c r="I38" s="284"/>
    </row>
    <row r="39" spans="3:13" ht="15.75">
      <c r="C39" s="276" t="s">
        <v>87</v>
      </c>
      <c r="D39" s="294">
        <f>+'GEN BUDACT ER'!D40</f>
        <v>0</v>
      </c>
      <c r="E39" s="294">
        <f>+'GEN BUDACT ER'!E40</f>
        <v>0</v>
      </c>
      <c r="F39" s="294">
        <f>+'GEN BUDACT ER'!F40</f>
        <v>0</v>
      </c>
      <c r="G39" s="444"/>
      <c r="H39" s="303" t="str">
        <f>IF(+F39-E39&lt;&gt;0,+F39-E39,"-  ")</f>
        <v xml:space="preserve">-  </v>
      </c>
      <c r="I39" s="284"/>
    </row>
    <row r="40" spans="3:13" ht="14.25" customHeight="1">
      <c r="C40" s="435" t="s">
        <v>284</v>
      </c>
      <c r="D40" s="294"/>
      <c r="E40" s="294"/>
      <c r="F40" s="294"/>
      <c r="G40" s="444"/>
      <c r="H40" s="303"/>
      <c r="I40" s="284"/>
    </row>
    <row r="41" spans="3:13" ht="15.75">
      <c r="C41" s="276" t="s">
        <v>874</v>
      </c>
      <c r="D41" s="294">
        <f>+'GEN BUDACT ER'!D42</f>
        <v>1089768</v>
      </c>
      <c r="E41" s="294">
        <f>+'GEN BUDACT ER'!E42</f>
        <v>1089768</v>
      </c>
      <c r="F41" s="294">
        <f>+'GEN BUDACT ER'!F42+0</f>
        <v>1128289</v>
      </c>
      <c r="G41" s="444"/>
      <c r="H41" s="294">
        <f>+F41-E41</f>
        <v>38521</v>
      </c>
      <c r="I41" s="284"/>
      <c r="L41" s="304" t="s">
        <v>1751</v>
      </c>
    </row>
    <row r="42" spans="3:13" ht="15.75">
      <c r="C42" s="276" t="s">
        <v>727</v>
      </c>
      <c r="D42" s="294">
        <f>+'GEN BUDACT ER'!D43</f>
        <v>24000</v>
      </c>
      <c r="E42" s="294">
        <f>+'GEN BUDACT ER'!E43</f>
        <v>24000</v>
      </c>
      <c r="F42" s="294">
        <f>+'GEN BUDACT ER'!F43</f>
        <v>23077</v>
      </c>
      <c r="G42" s="444"/>
      <c r="H42" s="294">
        <f>+F42-E42</f>
        <v>-923</v>
      </c>
      <c r="I42" s="284"/>
    </row>
    <row r="43" spans="3:13" ht="15.75" hidden="1">
      <c r="C43" s="276" t="s">
        <v>1040</v>
      </c>
      <c r="D43" s="294">
        <f>+'GEN BUDACT ER'!D44</f>
        <v>0</v>
      </c>
      <c r="E43" s="294">
        <f>+'GEN BUDACT ER'!E44</f>
        <v>0</v>
      </c>
      <c r="F43" s="294">
        <f>+'GEN BUDACT ER'!F44</f>
        <v>0</v>
      </c>
      <c r="G43" s="444"/>
      <c r="H43" s="294">
        <f>+F43-E43</f>
        <v>0</v>
      </c>
      <c r="I43" s="284"/>
    </row>
    <row r="44" spans="3:13" ht="15.75">
      <c r="C44" s="276" t="s">
        <v>132</v>
      </c>
      <c r="D44" s="294">
        <f>+'GEN BUDACT ER'!D45</f>
        <v>0</v>
      </c>
      <c r="E44" s="294">
        <f>+'GEN BUDACT ER'!E45</f>
        <v>0</v>
      </c>
      <c r="F44" s="294">
        <f>+'GEN BUDACT ER'!F45</f>
        <v>2000</v>
      </c>
      <c r="G44" s="444"/>
      <c r="H44" s="294">
        <f>+F44-E44</f>
        <v>2000</v>
      </c>
      <c r="I44" s="284"/>
    </row>
    <row r="45" spans="3:13" ht="15.75">
      <c r="D45" s="434"/>
      <c r="E45" s="434"/>
      <c r="F45" s="434"/>
      <c r="G45" s="453"/>
      <c r="H45" s="434"/>
      <c r="I45" s="284"/>
    </row>
    <row r="46" spans="3:13" ht="15.75">
      <c r="C46" s="308" t="s">
        <v>776</v>
      </c>
      <c r="D46" s="436">
        <f>SUM(D30:D45)</f>
        <v>3185768</v>
      </c>
      <c r="E46" s="436">
        <f>SUM(E30:E45)</f>
        <v>3185768</v>
      </c>
      <c r="F46" s="436">
        <f>SUM(F30:F45)</f>
        <v>3792105</v>
      </c>
      <c r="G46" s="454"/>
      <c r="H46" s="436">
        <f>SUM(H30:H45)</f>
        <v>606337</v>
      </c>
      <c r="I46" s="284"/>
      <c r="L46" s="433">
        <f>+H46/E46</f>
        <v>0.19032679090253904</v>
      </c>
    </row>
    <row r="47" spans="3:13" ht="15.75">
      <c r="C47" s="276"/>
      <c r="D47" s="276"/>
      <c r="E47" s="303"/>
      <c r="F47" s="303"/>
      <c r="G47" s="284"/>
      <c r="H47" s="303"/>
      <c r="I47" s="284"/>
    </row>
    <row r="48" spans="3:13" ht="15.75">
      <c r="C48" s="308" t="s">
        <v>1252</v>
      </c>
      <c r="D48" s="308"/>
      <c r="E48" s="303"/>
      <c r="F48" s="303"/>
      <c r="G48" s="284"/>
      <c r="H48" s="303"/>
      <c r="I48" s="284"/>
    </row>
    <row r="49" spans="3:12" ht="15.75">
      <c r="C49" s="435" t="s">
        <v>1229</v>
      </c>
      <c r="D49" s="276"/>
      <c r="E49" s="303"/>
      <c r="F49" s="303"/>
      <c r="G49" s="284"/>
      <c r="H49" s="303"/>
      <c r="I49" s="284"/>
    </row>
    <row r="50" spans="3:12" ht="15.75">
      <c r="C50" s="276" t="s">
        <v>24</v>
      </c>
      <c r="D50" s="294">
        <f>+'GEN BUDACT ER'!D51</f>
        <v>698110</v>
      </c>
      <c r="E50" s="294">
        <f>+'GEN BUDACT ER'!E51</f>
        <v>698110</v>
      </c>
      <c r="F50" s="294">
        <f>+'GEN BUDACT ER'!F51+0</f>
        <v>665667</v>
      </c>
      <c r="G50" s="444"/>
      <c r="H50" s="294">
        <f>+F50-E50</f>
        <v>-32443</v>
      </c>
      <c r="I50" s="284"/>
      <c r="L50" s="304" t="s">
        <v>1751</v>
      </c>
    </row>
    <row r="51" spans="3:12" ht="15.75">
      <c r="C51" s="276" t="s">
        <v>25</v>
      </c>
      <c r="D51" s="294">
        <f>+'GEN BUDACT ER'!D52</f>
        <v>74000</v>
      </c>
      <c r="E51" s="294">
        <f>+'GEN BUDACT ER'!E52</f>
        <v>74000</v>
      </c>
      <c r="F51" s="294">
        <f>+'GEN BUDACT ER'!F52</f>
        <v>77528</v>
      </c>
      <c r="G51" s="444"/>
      <c r="H51" s="294">
        <f>+F51-E51</f>
        <v>3528</v>
      </c>
      <c r="I51" s="284"/>
    </row>
    <row r="52" spans="3:12" ht="15.75" hidden="1">
      <c r="C52" s="276" t="s">
        <v>1264</v>
      </c>
      <c r="D52" s="294">
        <f>+'GEN BUDACT ER'!D53</f>
        <v>0</v>
      </c>
      <c r="E52" s="294">
        <f>+'GEN BUDACT ER'!E53</f>
        <v>0</v>
      </c>
      <c r="F52" s="294">
        <f>+'GEN BUDACT ER'!F53</f>
        <v>0</v>
      </c>
      <c r="G52" s="444"/>
      <c r="H52" s="294">
        <f t="shared" ref="H52:H60" si="1">+F52-E52</f>
        <v>0</v>
      </c>
      <c r="I52" s="284"/>
    </row>
    <row r="53" spans="3:12" ht="15.75">
      <c r="C53" s="276" t="s">
        <v>1236</v>
      </c>
      <c r="D53" s="294">
        <f>+'GEN BUDACT ER'!D54</f>
        <v>1100</v>
      </c>
      <c r="E53" s="294">
        <f>+'GEN BUDACT ER'!E54</f>
        <v>1100</v>
      </c>
      <c r="F53" s="294">
        <f>+'GEN BUDACT ER'!F54</f>
        <v>4925</v>
      </c>
      <c r="G53" s="444"/>
      <c r="H53" s="294">
        <f t="shared" si="1"/>
        <v>3825</v>
      </c>
      <c r="I53" s="284"/>
    </row>
    <row r="54" spans="3:12" ht="15.75">
      <c r="C54" s="276" t="s">
        <v>1237</v>
      </c>
      <c r="D54" s="294">
        <f>+'GEN BUDACT ER'!D55</f>
        <v>5000</v>
      </c>
      <c r="E54" s="294">
        <f>+'GEN BUDACT ER'!E55</f>
        <v>5000</v>
      </c>
      <c r="F54" s="294">
        <f>+'GEN BUDACT ER'!F55</f>
        <v>7850</v>
      </c>
      <c r="G54" s="444"/>
      <c r="H54" s="294">
        <f t="shared" si="1"/>
        <v>2850</v>
      </c>
      <c r="I54" s="284"/>
    </row>
    <row r="55" spans="3:12" ht="15.75">
      <c r="C55" s="276" t="s">
        <v>1238</v>
      </c>
      <c r="D55" s="294">
        <f>+'GEN BUDACT ER'!D56</f>
        <v>565000</v>
      </c>
      <c r="E55" s="294">
        <f>+'GEN BUDACT ER'!E56</f>
        <v>565000</v>
      </c>
      <c r="F55" s="294">
        <f>+'GEN BUDACT ER'!F56</f>
        <v>458199</v>
      </c>
      <c r="G55" s="455" t="s">
        <v>1774</v>
      </c>
      <c r="H55" s="294">
        <f t="shared" si="1"/>
        <v>-106801</v>
      </c>
      <c r="I55" s="284"/>
    </row>
    <row r="56" spans="3:12" ht="15.75">
      <c r="C56" s="276" t="s">
        <v>94</v>
      </c>
      <c r="D56" s="294">
        <f>+'GEN BUDACT ER'!D57</f>
        <v>45600</v>
      </c>
      <c r="E56" s="294">
        <f>+'GEN BUDACT ER'!E57</f>
        <v>45600</v>
      </c>
      <c r="F56" s="318">
        <f>+'GEN BUDACT ER'!F57</f>
        <v>47886</v>
      </c>
      <c r="G56" s="450">
        <f>SUM(F50:F56)</f>
        <v>1262055</v>
      </c>
      <c r="H56" s="294">
        <f t="shared" si="1"/>
        <v>2286</v>
      </c>
      <c r="I56" s="284" t="s">
        <v>479</v>
      </c>
    </row>
    <row r="57" spans="3:12" ht="15.75">
      <c r="C57" s="276" t="s">
        <v>95</v>
      </c>
      <c r="D57" s="294">
        <f>+'GEN BUDACT ER'!D58</f>
        <v>50000</v>
      </c>
      <c r="E57" s="294">
        <f>+'GEN BUDACT ER'!E58</f>
        <v>50000</v>
      </c>
      <c r="F57" s="447">
        <f>+'GEN BUDACT ER'!F58</f>
        <v>27210</v>
      </c>
      <c r="G57" s="448" t="s">
        <v>1775</v>
      </c>
      <c r="H57" s="294">
        <f t="shared" si="1"/>
        <v>-22790</v>
      </c>
      <c r="I57" s="284" t="s">
        <v>479</v>
      </c>
    </row>
    <row r="58" spans="3:12" ht="15.75">
      <c r="C58" s="276" t="s">
        <v>22</v>
      </c>
      <c r="D58" s="294">
        <f>+'GEN BUDACT ER'!D59</f>
        <v>0</v>
      </c>
      <c r="E58" s="294">
        <f>+'GEN BUDACT ER'!E59</f>
        <v>0</v>
      </c>
      <c r="F58" s="447">
        <f>+'GEN BUDACT ER'!F59</f>
        <v>0</v>
      </c>
      <c r="G58" s="448" t="s">
        <v>1774</v>
      </c>
      <c r="H58" s="294">
        <f t="shared" si="1"/>
        <v>0</v>
      </c>
      <c r="I58" s="284" t="s">
        <v>479</v>
      </c>
    </row>
    <row r="59" spans="3:12" ht="15.75">
      <c r="C59" s="435" t="s">
        <v>1230</v>
      </c>
      <c r="D59" s="294"/>
      <c r="E59" s="294"/>
      <c r="F59" s="294"/>
      <c r="G59" s="444"/>
      <c r="H59" s="294"/>
      <c r="I59" s="284"/>
    </row>
    <row r="60" spans="3:12" ht="15.75">
      <c r="C60" s="276" t="s">
        <v>1128</v>
      </c>
      <c r="D60" s="294">
        <f>+'GEN BUDACT ER'!D61</f>
        <v>0</v>
      </c>
      <c r="E60" s="294">
        <f>+'GEN BUDACT ER'!E61</f>
        <v>0</v>
      </c>
      <c r="F60" s="447">
        <f>+'GEN BUDACT ER'!F61</f>
        <v>0</v>
      </c>
      <c r="G60" s="448" t="s">
        <v>1776</v>
      </c>
      <c r="H60" s="294">
        <f t="shared" si="1"/>
        <v>0</v>
      </c>
      <c r="I60" s="284"/>
    </row>
    <row r="61" spans="3:12" ht="15.75">
      <c r="C61" s="276"/>
      <c r="D61" s="434"/>
      <c r="E61" s="434"/>
      <c r="F61" s="276"/>
      <c r="G61" s="284"/>
      <c r="H61" s="434"/>
      <c r="I61" s="284"/>
    </row>
    <row r="62" spans="3:12" ht="15.75">
      <c r="C62" s="308" t="s">
        <v>1336</v>
      </c>
      <c r="D62" s="436">
        <f>+SUM(D50:D60)</f>
        <v>1438810</v>
      </c>
      <c r="E62" s="436">
        <f>+SUM(E50:E60)</f>
        <v>1438810</v>
      </c>
      <c r="F62" s="456">
        <f>+SUM(F50:F60)</f>
        <v>1289265</v>
      </c>
      <c r="G62" s="452" t="s">
        <v>1778</v>
      </c>
      <c r="H62" s="436">
        <f>+SUM(H50:H60)</f>
        <v>-149545</v>
      </c>
      <c r="I62" s="284" t="s">
        <v>479</v>
      </c>
      <c r="L62" s="433">
        <f>+H62/E62</f>
        <v>-0.1039365864846644</v>
      </c>
    </row>
    <row r="63" spans="3:12" ht="15.75">
      <c r="C63" s="276"/>
      <c r="D63" s="276"/>
      <c r="E63" s="303"/>
      <c r="F63" s="303"/>
      <c r="G63" s="284"/>
      <c r="H63" s="303"/>
      <c r="I63" s="284"/>
    </row>
    <row r="64" spans="3:12" ht="15.75">
      <c r="C64" s="308" t="s">
        <v>1253</v>
      </c>
      <c r="D64" s="308"/>
      <c r="E64" s="303"/>
      <c r="F64" s="303"/>
      <c r="G64" s="284"/>
      <c r="H64" s="303"/>
      <c r="I64" s="284"/>
    </row>
    <row r="65" spans="3:13" ht="15.75">
      <c r="C65" s="435" t="s">
        <v>1231</v>
      </c>
      <c r="D65" s="276"/>
      <c r="E65" s="303"/>
      <c r="F65" s="303"/>
      <c r="G65" s="284"/>
      <c r="H65" s="303"/>
      <c r="I65" s="284"/>
    </row>
    <row r="66" spans="3:13" ht="15.75">
      <c r="C66" s="276" t="s">
        <v>557</v>
      </c>
      <c r="D66" s="294">
        <f>+'GEN BUDACT ER'!D67</f>
        <v>250</v>
      </c>
      <c r="E66" s="294">
        <f>+'GEN BUDACT ER'!E67</f>
        <v>250</v>
      </c>
      <c r="F66" s="294">
        <f>+'GEN BUDACT ER'!F67</f>
        <v>859</v>
      </c>
      <c r="G66" s="455" t="s">
        <v>1773</v>
      </c>
      <c r="H66" s="294">
        <f>+F66-E66</f>
        <v>609</v>
      </c>
      <c r="I66" s="284"/>
    </row>
    <row r="67" spans="3:13" ht="15.75">
      <c r="C67" s="276" t="s">
        <v>558</v>
      </c>
      <c r="D67" s="294">
        <f>+'GEN BUDACT ER'!D68</f>
        <v>29000</v>
      </c>
      <c r="E67" s="294">
        <f>+'GEN BUDACT ER'!E68</f>
        <v>29000</v>
      </c>
      <c r="F67" s="294">
        <f>+'GEN BUDACT ER'!F68</f>
        <v>35340</v>
      </c>
      <c r="G67" s="450">
        <f>SUM(F66:F67)</f>
        <v>36199</v>
      </c>
      <c r="H67" s="303">
        <f>+F67-E67</f>
        <v>6340</v>
      </c>
      <c r="I67" s="284"/>
    </row>
    <row r="68" spans="3:13" ht="15.75">
      <c r="C68" s="276"/>
      <c r="D68" s="434"/>
      <c r="E68" s="434"/>
      <c r="F68" s="434"/>
      <c r="G68" s="453"/>
      <c r="H68" s="434"/>
      <c r="I68" s="284"/>
    </row>
    <row r="69" spans="3:13" ht="15.75">
      <c r="C69" s="308" t="s">
        <v>103</v>
      </c>
      <c r="D69" s="436">
        <f>SUM(D66:D68)</f>
        <v>29250</v>
      </c>
      <c r="E69" s="436">
        <f>SUM(E66:E68)</f>
        <v>29250</v>
      </c>
      <c r="F69" s="456">
        <f>SUM(F66:F68)</f>
        <v>36199</v>
      </c>
      <c r="G69" s="452" t="s">
        <v>1779</v>
      </c>
      <c r="H69" s="436">
        <f>SUM(H66:H67)</f>
        <v>6949</v>
      </c>
      <c r="I69" s="284" t="s">
        <v>479</v>
      </c>
    </row>
    <row r="70" spans="3:13" ht="15.75">
      <c r="C70" s="276"/>
      <c r="D70" s="276"/>
      <c r="E70" s="303"/>
      <c r="F70" s="303"/>
      <c r="G70" s="284"/>
      <c r="H70" s="303"/>
      <c r="I70" s="284"/>
    </row>
    <row r="71" spans="3:13" ht="15.75">
      <c r="C71" s="308" t="s">
        <v>2360</v>
      </c>
      <c r="D71" s="339">
        <f>+'GEN BUDACT ER'!D72</f>
        <v>25000</v>
      </c>
      <c r="E71" s="339">
        <f>+'GEN BUDACT ER'!E72</f>
        <v>25000</v>
      </c>
      <c r="F71" s="339">
        <f>+'GEN BUDACT ER'!F72</f>
        <v>187792</v>
      </c>
      <c r="G71" s="457"/>
      <c r="H71" s="339">
        <f>+F71-E71</f>
        <v>162792</v>
      </c>
      <c r="I71" s="284"/>
      <c r="L71" s="304" t="s">
        <v>1744</v>
      </c>
    </row>
    <row r="72" spans="3:13" ht="15.75">
      <c r="C72" s="308" t="s">
        <v>110</v>
      </c>
      <c r="D72" s="339">
        <f>+'GEN BUDACT ER'!D73</f>
        <v>74000</v>
      </c>
      <c r="E72" s="339">
        <f>+'GEN BUDACT ER'!E73</f>
        <v>74000</v>
      </c>
      <c r="F72" s="339">
        <f>+'GEN BUDACT ER'!F73</f>
        <v>1252244</v>
      </c>
      <c r="G72" s="457"/>
      <c r="H72" s="339">
        <f>+F72-E72</f>
        <v>1178244</v>
      </c>
      <c r="I72" s="284"/>
    </row>
    <row r="73" spans="3:13" ht="15.75">
      <c r="C73" s="276"/>
      <c r="D73" s="434"/>
      <c r="E73" s="437"/>
      <c r="F73" s="437"/>
      <c r="G73" s="453"/>
      <c r="H73" s="437"/>
      <c r="I73" s="284"/>
    </row>
    <row r="74" spans="3:13" ht="15.75">
      <c r="C74" s="308" t="str">
        <f>INPUT!B18</f>
        <v xml:space="preserve">         Total revenues</v>
      </c>
      <c r="D74" s="438">
        <f>+D20+D27+D46+D62+D69+D71+D72</f>
        <v>12843964</v>
      </c>
      <c r="E74" s="438">
        <f>+E20+E27+E46+E62+E69+E71+E72</f>
        <v>12843964</v>
      </c>
      <c r="F74" s="438">
        <f>+F20+F27+F46+F62+F69+F71+F72</f>
        <v>15203301</v>
      </c>
      <c r="G74" s="458"/>
      <c r="H74" s="438">
        <f>+H20+H27+H46+H62+H69+H71+H72</f>
        <v>2359337</v>
      </c>
      <c r="I74" s="284"/>
      <c r="K74" s="276">
        <f>+D74+D193</f>
        <v>13243964</v>
      </c>
      <c r="L74" s="276">
        <f>+E74+E193</f>
        <v>13243964</v>
      </c>
      <c r="M74" s="276">
        <f>+F74+F193</f>
        <v>17273837</v>
      </c>
    </row>
    <row r="75" spans="3:13" ht="15.75">
      <c r="C75" s="276"/>
      <c r="D75" s="276"/>
      <c r="E75" s="303"/>
      <c r="F75" s="303"/>
      <c r="G75" s="284"/>
      <c r="H75" s="303"/>
      <c r="I75" s="284"/>
    </row>
    <row r="76" spans="3:13" ht="12.75" customHeight="1">
      <c r="C76" s="305"/>
      <c r="D76" s="305"/>
      <c r="E76" s="277"/>
      <c r="F76" s="277"/>
      <c r="G76" s="284"/>
      <c r="H76" s="277"/>
      <c r="I76" s="284"/>
    </row>
    <row r="77" spans="3:13" ht="15.75">
      <c r="C77" s="305" t="str">
        <f>C3</f>
        <v>LEWIS AND CLARK COUNTY, MONTANA</v>
      </c>
      <c r="D77" s="305"/>
      <c r="E77" s="277"/>
      <c r="F77" s="277"/>
      <c r="G77" s="284"/>
      <c r="H77" s="277"/>
      <c r="I77" s="284"/>
    </row>
    <row r="78" spans="3:13" ht="15.75">
      <c r="C78" s="305" t="str">
        <f>C4</f>
        <v>STATEMENT OF REVENUES, EXPENDITURES, AND CHANGES IN FUND BALANCES - BUDGET AND ACTUAL (BUDGET BASIS)</v>
      </c>
      <c r="D78" s="305"/>
      <c r="E78" s="277"/>
      <c r="F78" s="277"/>
      <c r="G78" s="284"/>
      <c r="H78" s="277"/>
      <c r="I78" s="284"/>
    </row>
    <row r="79" spans="3:13" ht="15.75">
      <c r="C79" s="305" t="str">
        <f>C5</f>
        <v>GENERAL AND MAJOR SPECIAL REVENUE FUNDS</v>
      </c>
      <c r="D79" s="305"/>
      <c r="E79" s="277"/>
      <c r="F79" s="277"/>
      <c r="G79" s="284"/>
      <c r="H79" s="277"/>
      <c r="I79" s="284"/>
    </row>
    <row r="80" spans="3:13" ht="15.75">
      <c r="C80" s="305" t="str">
        <f>C6</f>
        <v>For the  Fiscal Year Ended June 30, 2023</v>
      </c>
      <c r="D80" s="305"/>
      <c r="E80" s="277"/>
      <c r="F80" s="277"/>
      <c r="G80" s="284"/>
      <c r="H80" s="277"/>
      <c r="I80" s="284"/>
    </row>
    <row r="81" spans="3:14" ht="15.75">
      <c r="C81" s="395" t="s">
        <v>1660</v>
      </c>
      <c r="D81" s="305"/>
      <c r="E81" s="277"/>
      <c r="F81" s="277"/>
      <c r="G81" s="284"/>
      <c r="H81" s="277"/>
      <c r="I81" s="284"/>
    </row>
    <row r="82" spans="3:14" ht="15.75">
      <c r="D82" s="328" t="s">
        <v>793</v>
      </c>
      <c r="E82" s="328"/>
      <c r="F82" s="328"/>
      <c r="G82" s="290"/>
      <c r="H82" s="328"/>
      <c r="I82" s="284"/>
    </row>
    <row r="83" spans="3:14" ht="15.75">
      <c r="C83" s="395"/>
      <c r="D83" s="395"/>
      <c r="E83" s="395"/>
      <c r="F83" s="395"/>
      <c r="G83" s="441"/>
      <c r="H83" s="287" t="s">
        <v>1145</v>
      </c>
      <c r="I83" s="284"/>
    </row>
    <row r="84" spans="3:14" ht="15.75">
      <c r="C84" s="395"/>
      <c r="D84" s="328" t="s">
        <v>290</v>
      </c>
      <c r="E84" s="328"/>
      <c r="F84" s="287"/>
      <c r="G84" s="287"/>
      <c r="H84" s="287" t="s">
        <v>461</v>
      </c>
      <c r="I84" s="284"/>
    </row>
    <row r="85" spans="3:14" ht="15.75">
      <c r="C85" s="277"/>
      <c r="D85" s="287"/>
      <c r="E85" s="287"/>
      <c r="F85" s="287"/>
      <c r="G85" s="287"/>
      <c r="H85" s="287" t="s">
        <v>412</v>
      </c>
      <c r="I85" s="284"/>
    </row>
    <row r="86" spans="3:14" ht="15.75">
      <c r="C86" s="276"/>
      <c r="D86" s="290" t="s">
        <v>857</v>
      </c>
      <c r="E86" s="290" t="s">
        <v>414</v>
      </c>
      <c r="F86" s="290" t="s">
        <v>858</v>
      </c>
      <c r="G86" s="290"/>
      <c r="H86" s="290" t="s">
        <v>413</v>
      </c>
      <c r="I86" s="284"/>
    </row>
    <row r="87" spans="3:14" ht="15.75">
      <c r="C87" s="308" t="s">
        <v>202</v>
      </c>
      <c r="D87" s="308"/>
      <c r="E87" s="303"/>
      <c r="F87" s="303"/>
      <c r="G87" s="284"/>
      <c r="H87" s="303"/>
      <c r="I87" s="284"/>
    </row>
    <row r="88" spans="3:14" ht="15.75">
      <c r="C88" s="308" t="s">
        <v>104</v>
      </c>
      <c r="D88" s="308"/>
      <c r="E88" s="303"/>
      <c r="F88" s="303"/>
      <c r="G88" s="284"/>
      <c r="H88" s="303"/>
      <c r="I88" s="284"/>
    </row>
    <row r="89" spans="3:14" ht="15.75">
      <c r="C89" s="276" t="s">
        <v>954</v>
      </c>
      <c r="I89" s="284"/>
    </row>
    <row r="90" spans="3:14" ht="15.75">
      <c r="C90" s="276" t="s">
        <v>767</v>
      </c>
      <c r="D90" s="292">
        <f>+'GEN BUDACT ER'!D85</f>
        <v>435223</v>
      </c>
      <c r="E90" s="292">
        <f>+'GEN BUDACT ER'!E85</f>
        <v>435223</v>
      </c>
      <c r="F90" s="292">
        <f>+'GEN BUDACT ER'!F85</f>
        <v>354773</v>
      </c>
      <c r="G90" s="443"/>
      <c r="H90" s="292">
        <f>+E90-F90</f>
        <v>80450</v>
      </c>
      <c r="I90" s="284"/>
    </row>
    <row r="91" spans="3:14" ht="15.75">
      <c r="C91" s="276" t="s">
        <v>292</v>
      </c>
      <c r="D91" s="294">
        <f>+'GEN BUDACT ER'!D86</f>
        <v>84086</v>
      </c>
      <c r="E91" s="294">
        <f>+'GEN BUDACT ER'!E86</f>
        <v>84086</v>
      </c>
      <c r="F91" s="294">
        <f>+'GEN BUDACT ER'!F86</f>
        <v>84745</v>
      </c>
      <c r="G91" s="444"/>
      <c r="H91" s="294">
        <f>+E91-F91</f>
        <v>-659</v>
      </c>
      <c r="I91" s="284"/>
      <c r="K91" s="276">
        <f>+D90+D91</f>
        <v>519309</v>
      </c>
      <c r="L91" s="276">
        <f>+E90+E91</f>
        <v>519309</v>
      </c>
      <c r="M91" s="276">
        <f>+F90+F91</f>
        <v>439518</v>
      </c>
    </row>
    <row r="92" spans="3:14" ht="15.75">
      <c r="C92" s="276" t="s">
        <v>1014</v>
      </c>
      <c r="I92" s="284"/>
      <c r="K92" s="327">
        <f>+K91+6563</f>
        <v>525872</v>
      </c>
      <c r="L92" s="327"/>
      <c r="M92" s="327">
        <f>+M91+3282</f>
        <v>442800</v>
      </c>
      <c r="N92" s="288" t="s">
        <v>1296</v>
      </c>
    </row>
    <row r="93" spans="3:14" ht="15.75">
      <c r="C93" s="276" t="s">
        <v>767</v>
      </c>
      <c r="D93" s="294">
        <f>+'GEN BUDACT ER'!D88</f>
        <v>709794</v>
      </c>
      <c r="E93" s="294">
        <f>+'GEN BUDACT ER'!E88</f>
        <v>709794</v>
      </c>
      <c r="F93" s="294">
        <f>+'GEN BUDACT ER'!F88</f>
        <v>673615</v>
      </c>
      <c r="G93" s="444"/>
      <c r="H93" s="294">
        <f>+E93-F93</f>
        <v>36179</v>
      </c>
      <c r="I93" s="284"/>
    </row>
    <row r="94" spans="3:14" ht="15.75">
      <c r="C94" s="276" t="s">
        <v>292</v>
      </c>
      <c r="D94" s="294">
        <f>+'GEN BUDACT ER'!D89</f>
        <v>199987</v>
      </c>
      <c r="E94" s="294">
        <f>+'GEN BUDACT ER'!E89</f>
        <v>199987</v>
      </c>
      <c r="F94" s="294">
        <f>+'GEN BUDACT ER'!F89</f>
        <v>201732</v>
      </c>
      <c r="G94" s="444"/>
      <c r="H94" s="294">
        <f>+E94-F94</f>
        <v>-1745</v>
      </c>
      <c r="I94" s="284"/>
      <c r="K94" s="276">
        <f>+D93+D94</f>
        <v>909781</v>
      </c>
      <c r="L94" s="276">
        <f>+E93+E94</f>
        <v>909781</v>
      </c>
      <c r="M94" s="276">
        <f>+F93+F94</f>
        <v>875347</v>
      </c>
    </row>
    <row r="95" spans="3:14" ht="15.75">
      <c r="C95" s="276" t="s">
        <v>955</v>
      </c>
      <c r="I95" s="284"/>
      <c r="K95" s="327">
        <f>+K94+1500</f>
        <v>911281</v>
      </c>
      <c r="L95" s="327"/>
      <c r="M95" s="327">
        <f>+M94+750</f>
        <v>876097</v>
      </c>
      <c r="N95" s="288" t="s">
        <v>1296</v>
      </c>
    </row>
    <row r="96" spans="3:14" ht="15.75">
      <c r="C96" s="276" t="s">
        <v>767</v>
      </c>
      <c r="D96" s="294">
        <f>+'GEN BUDACT ER'!D91</f>
        <v>603726</v>
      </c>
      <c r="E96" s="294">
        <f>+'GEN BUDACT ER'!E91</f>
        <v>603726</v>
      </c>
      <c r="F96" s="294">
        <f>+'GEN BUDACT ER'!F91</f>
        <v>583118</v>
      </c>
      <c r="G96" s="444"/>
      <c r="H96" s="294">
        <f>+E96-F96</f>
        <v>20608</v>
      </c>
      <c r="I96" s="284"/>
    </row>
    <row r="97" spans="3:14" ht="15.75">
      <c r="C97" s="276" t="s">
        <v>292</v>
      </c>
      <c r="D97" s="294">
        <f>+'GEN BUDACT ER'!D92</f>
        <v>671595</v>
      </c>
      <c r="E97" s="294">
        <f>+'GEN BUDACT ER'!E92</f>
        <v>671595</v>
      </c>
      <c r="F97" s="294">
        <f>+'GEN BUDACT ER'!F92</f>
        <v>331440</v>
      </c>
      <c r="G97" s="444"/>
      <c r="H97" s="294">
        <f>+E97-F97</f>
        <v>340155</v>
      </c>
      <c r="I97" s="284"/>
      <c r="K97" s="276">
        <f>+D96+D97</f>
        <v>1275321</v>
      </c>
      <c r="L97" s="276">
        <f>+E96+E97</f>
        <v>1275321</v>
      </c>
      <c r="M97" s="276">
        <f>+F96+F97</f>
        <v>914558</v>
      </c>
      <c r="N97" s="288" t="s">
        <v>1296</v>
      </c>
    </row>
    <row r="98" spans="3:14" ht="15.75">
      <c r="C98" s="276" t="s">
        <v>1012</v>
      </c>
      <c r="I98" s="284"/>
      <c r="K98" s="327"/>
      <c r="L98" s="327"/>
      <c r="M98" s="327"/>
    </row>
    <row r="99" spans="3:14" ht="15.75">
      <c r="C99" s="276" t="s">
        <v>767</v>
      </c>
      <c r="D99" s="294">
        <f>+'GEN BUDACT ER'!D94</f>
        <v>2223417</v>
      </c>
      <c r="E99" s="294">
        <f>+'GEN BUDACT ER'!E94</f>
        <v>2223417</v>
      </c>
      <c r="F99" s="294">
        <f>+'GEN BUDACT ER'!F94</f>
        <v>1831462</v>
      </c>
      <c r="G99" s="444"/>
      <c r="H99" s="294">
        <f>+E99-F99</f>
        <v>391955</v>
      </c>
      <c r="I99" s="284"/>
    </row>
    <row r="100" spans="3:14" ht="15.75">
      <c r="C100" s="276" t="s">
        <v>292</v>
      </c>
      <c r="D100" s="294">
        <f>+'GEN BUDACT ER'!D95</f>
        <v>488496</v>
      </c>
      <c r="E100" s="294">
        <f>+'GEN BUDACT ER'!E95</f>
        <v>488496</v>
      </c>
      <c r="F100" s="294">
        <f>+'GEN BUDACT ER'!F95</f>
        <v>418497</v>
      </c>
      <c r="G100" s="444"/>
      <c r="H100" s="294">
        <f>+E100-F100</f>
        <v>69999</v>
      </c>
      <c r="I100" s="284"/>
      <c r="K100" s="276">
        <f>+D99+D100</f>
        <v>2711913</v>
      </c>
      <c r="L100" s="276">
        <f>+E99+E100</f>
        <v>2711913</v>
      </c>
      <c r="M100" s="276">
        <f>+F99+F100</f>
        <v>2249959</v>
      </c>
    </row>
    <row r="101" spans="3:14" ht="15.75">
      <c r="C101" s="276" t="s">
        <v>733</v>
      </c>
      <c r="I101" s="284"/>
      <c r="K101" s="327">
        <f>+K100+106337</f>
        <v>2818250</v>
      </c>
      <c r="L101" s="327"/>
      <c r="M101" s="327">
        <f>+M100+53169</f>
        <v>2303128</v>
      </c>
      <c r="N101" s="288" t="s">
        <v>1296</v>
      </c>
    </row>
    <row r="102" spans="3:14" ht="15.75">
      <c r="C102" s="276" t="s">
        <v>767</v>
      </c>
      <c r="D102" s="294">
        <f>+'GEN BUDACT ER'!D97</f>
        <v>372507</v>
      </c>
      <c r="E102" s="294">
        <f>+'GEN BUDACT ER'!E97</f>
        <v>372507</v>
      </c>
      <c r="F102" s="294">
        <f>+'GEN BUDACT ER'!F97</f>
        <v>383119</v>
      </c>
      <c r="G102" s="444"/>
      <c r="H102" s="294">
        <f>+E102-F102</f>
        <v>-10612</v>
      </c>
      <c r="I102" s="284"/>
    </row>
    <row r="103" spans="3:14" ht="15.75">
      <c r="C103" s="276" t="s">
        <v>292</v>
      </c>
      <c r="D103" s="294">
        <f>+'GEN BUDACT ER'!D98</f>
        <v>8350</v>
      </c>
      <c r="E103" s="294">
        <f>+'GEN BUDACT ER'!E98</f>
        <v>8350</v>
      </c>
      <c r="F103" s="294">
        <f>+'GEN BUDACT ER'!F98</f>
        <v>1307</v>
      </c>
      <c r="G103" s="444"/>
      <c r="H103" s="294">
        <f>+E103-F103</f>
        <v>7043</v>
      </c>
      <c r="I103" s="284"/>
      <c r="K103" s="276">
        <f>+D103+D102</f>
        <v>380857</v>
      </c>
      <c r="L103" s="276">
        <f>+E103+E102</f>
        <v>380857</v>
      </c>
      <c r="M103" s="276">
        <f>+F102+F103</f>
        <v>384426</v>
      </c>
      <c r="N103" s="288" t="s">
        <v>479</v>
      </c>
    </row>
    <row r="104" spans="3:14" ht="15.75">
      <c r="C104" s="276" t="s">
        <v>1013</v>
      </c>
      <c r="D104" s="294"/>
      <c r="E104" s="294"/>
      <c r="F104" s="294"/>
      <c r="G104" s="444"/>
      <c r="H104" s="294"/>
      <c r="I104" s="284"/>
    </row>
    <row r="105" spans="3:14" ht="15.75">
      <c r="C105" s="276" t="s">
        <v>767</v>
      </c>
      <c r="D105" s="294">
        <f>+'GEN BUDACT ER'!D100</f>
        <v>320447</v>
      </c>
      <c r="E105" s="294">
        <f>+'GEN BUDACT ER'!E100</f>
        <v>320447</v>
      </c>
      <c r="F105" s="294">
        <f>+'GEN BUDACT ER'!F100</f>
        <v>345704</v>
      </c>
      <c r="G105" s="444"/>
      <c r="H105" s="294">
        <f>+E105-F105</f>
        <v>-25257</v>
      </c>
      <c r="I105" s="284"/>
    </row>
    <row r="106" spans="3:14" ht="15.75">
      <c r="C106" s="276" t="s">
        <v>292</v>
      </c>
      <c r="D106" s="294">
        <f>+'GEN BUDACT ER'!D101</f>
        <v>431610</v>
      </c>
      <c r="E106" s="294">
        <f>+'GEN BUDACT ER'!E101</f>
        <v>431610</v>
      </c>
      <c r="F106" s="294">
        <f>+'GEN BUDACT ER'!F101</f>
        <v>391419</v>
      </c>
      <c r="G106" s="444"/>
      <c r="H106" s="294">
        <f>+E106-F106</f>
        <v>40191</v>
      </c>
      <c r="I106" s="284"/>
      <c r="K106" s="276">
        <f>+D105+D106</f>
        <v>752057</v>
      </c>
      <c r="L106" s="276">
        <f>+E105+E106</f>
        <v>752057</v>
      </c>
      <c r="M106" s="276">
        <f>+F105+F106</f>
        <v>737123</v>
      </c>
    </row>
    <row r="107" spans="3:14" ht="15.75">
      <c r="C107" s="276" t="s">
        <v>356</v>
      </c>
      <c r="D107" s="294"/>
      <c r="E107" s="294"/>
      <c r="F107" s="294"/>
      <c r="G107" s="444"/>
      <c r="H107" s="294"/>
      <c r="I107" s="284"/>
      <c r="K107" s="327">
        <f>+K106+37484</f>
        <v>789541</v>
      </c>
      <c r="L107" s="327">
        <f>+L106+37484</f>
        <v>789541</v>
      </c>
      <c r="M107" s="327">
        <f>+M106+18742</f>
        <v>755865</v>
      </c>
      <c r="N107" s="288" t="s">
        <v>1296</v>
      </c>
    </row>
    <row r="108" spans="3:14" ht="15.75">
      <c r="C108" s="276" t="s">
        <v>767</v>
      </c>
      <c r="D108" s="294">
        <f>+'GEN BUDACT ER'!D103</f>
        <v>204132</v>
      </c>
      <c r="E108" s="294">
        <f>+'GEN BUDACT ER'!E103</f>
        <v>204132</v>
      </c>
      <c r="F108" s="294">
        <f>+'GEN BUDACT ER'!F103</f>
        <v>203345</v>
      </c>
      <c r="G108" s="444"/>
      <c r="H108" s="294">
        <f>+E108-F108</f>
        <v>787</v>
      </c>
      <c r="I108" s="284"/>
    </row>
    <row r="109" spans="3:14" ht="15.75">
      <c r="C109" s="276" t="s">
        <v>292</v>
      </c>
      <c r="D109" s="294">
        <f>+'GEN BUDACT ER'!D104</f>
        <v>106585</v>
      </c>
      <c r="E109" s="294">
        <f>+'GEN BUDACT ER'!E104</f>
        <v>106585</v>
      </c>
      <c r="F109" s="294">
        <f>+'GEN BUDACT ER'!F104</f>
        <v>95549</v>
      </c>
      <c r="G109" s="444"/>
      <c r="H109" s="294">
        <f>+E109-F109</f>
        <v>11036</v>
      </c>
      <c r="I109" s="284"/>
      <c r="K109" s="276"/>
      <c r="L109" s="276"/>
      <c r="M109" s="276"/>
    </row>
    <row r="110" spans="3:14" ht="15.75">
      <c r="C110" s="276" t="s">
        <v>357</v>
      </c>
      <c r="D110" s="294"/>
      <c r="E110" s="294"/>
      <c r="F110" s="294"/>
      <c r="G110" s="444"/>
      <c r="H110" s="294"/>
      <c r="I110" s="284"/>
    </row>
    <row r="111" spans="3:14" ht="15.75">
      <c r="C111" s="276" t="s">
        <v>767</v>
      </c>
      <c r="D111" s="294">
        <f>+'GEN BUDACT ER'!D106</f>
        <v>2599057</v>
      </c>
      <c r="E111" s="294">
        <f>+'GEN BUDACT ER'!E106</f>
        <v>2599057</v>
      </c>
      <c r="F111" s="294">
        <f>+'GEN BUDACT ER'!F106</f>
        <v>2421555</v>
      </c>
      <c r="G111" s="444"/>
      <c r="H111" s="294">
        <f>+E111-F111</f>
        <v>177502</v>
      </c>
      <c r="I111" s="284"/>
    </row>
    <row r="112" spans="3:14" ht="15.75">
      <c r="C112" s="276" t="s">
        <v>292</v>
      </c>
      <c r="D112" s="294">
        <f>+'GEN BUDACT ER'!D107</f>
        <v>716751</v>
      </c>
      <c r="E112" s="294">
        <f>+'GEN BUDACT ER'!E107</f>
        <v>716751</v>
      </c>
      <c r="F112" s="294">
        <f>+'GEN BUDACT ER'!F107</f>
        <v>600084</v>
      </c>
      <c r="G112" s="444"/>
      <c r="H112" s="294">
        <f>+E112-F112</f>
        <v>116667</v>
      </c>
      <c r="I112" s="284"/>
      <c r="K112" s="276">
        <f>+D111+D112</f>
        <v>3315808</v>
      </c>
      <c r="L112" s="276">
        <f>+E111+E112</f>
        <v>3315808</v>
      </c>
      <c r="M112" s="276">
        <f>+F111+F112</f>
        <v>3021639</v>
      </c>
    </row>
    <row r="113" spans="3:14" ht="15.75">
      <c r="C113" s="276" t="s">
        <v>358</v>
      </c>
      <c r="D113" s="294"/>
      <c r="E113" s="294"/>
      <c r="F113" s="294"/>
      <c r="G113" s="444"/>
      <c r="H113" s="294"/>
      <c r="I113" s="284"/>
      <c r="K113" s="327">
        <f>+K112+15370</f>
        <v>3331178</v>
      </c>
      <c r="L113" s="327"/>
      <c r="M113" s="327">
        <f>+M112+7685</f>
        <v>3029324</v>
      </c>
      <c r="N113" s="288" t="s">
        <v>1296</v>
      </c>
    </row>
    <row r="114" spans="3:14" ht="15.75">
      <c r="C114" s="276" t="s">
        <v>767</v>
      </c>
      <c r="D114" s="294">
        <f>+'GEN BUDACT ER'!D109</f>
        <v>116646</v>
      </c>
      <c r="E114" s="294">
        <f>+'GEN BUDACT ER'!E109</f>
        <v>116646</v>
      </c>
      <c r="F114" s="294">
        <f>+'GEN BUDACT ER'!F109</f>
        <v>116258</v>
      </c>
      <c r="G114" s="444"/>
      <c r="H114" s="294">
        <f>+E114-F114</f>
        <v>388</v>
      </c>
      <c r="I114" s="284"/>
    </row>
    <row r="115" spans="3:14" ht="15.75">
      <c r="C115" s="276" t="s">
        <v>292</v>
      </c>
      <c r="D115" s="294">
        <f>+'GEN BUDACT ER'!D110</f>
        <v>17321</v>
      </c>
      <c r="E115" s="294">
        <f>+'GEN BUDACT ER'!E110</f>
        <v>17321</v>
      </c>
      <c r="F115" s="294">
        <f>+'GEN BUDACT ER'!F110</f>
        <v>15248</v>
      </c>
      <c r="G115" s="444"/>
      <c r="H115" s="294">
        <f>+E115-F115</f>
        <v>2073</v>
      </c>
      <c r="I115" s="284"/>
      <c r="K115" s="276"/>
      <c r="L115" s="276"/>
      <c r="M115" s="276"/>
    </row>
    <row r="116" spans="3:14" ht="15.75">
      <c r="C116" s="276" t="s">
        <v>734</v>
      </c>
      <c r="D116" s="294"/>
      <c r="E116" s="294"/>
      <c r="F116" s="294"/>
      <c r="G116" s="444"/>
      <c r="H116" s="294"/>
      <c r="I116" s="284"/>
      <c r="K116" s="276"/>
      <c r="L116" s="276"/>
    </row>
    <row r="117" spans="3:14" ht="15.75" hidden="1">
      <c r="C117" s="276" t="s">
        <v>291</v>
      </c>
      <c r="D117" s="294">
        <f>+'GEN BUDACT ER'!D112</f>
        <v>15000</v>
      </c>
      <c r="E117" s="294">
        <f>+'GEN BUDACT ER'!E112</f>
        <v>15000</v>
      </c>
      <c r="F117" s="294">
        <f>+'GEN BUDACT ER'!F112</f>
        <v>12876</v>
      </c>
      <c r="G117" s="444"/>
      <c r="H117" s="294">
        <f>+E117-F117</f>
        <v>2124</v>
      </c>
      <c r="I117" s="284"/>
      <c r="K117" s="276">
        <f>+D114+D108</f>
        <v>320778</v>
      </c>
      <c r="L117" s="276">
        <f>+E117+E114+E108</f>
        <v>335778</v>
      </c>
      <c r="M117" s="276">
        <f>+F117+F114+F108</f>
        <v>332479</v>
      </c>
    </row>
    <row r="118" spans="3:14" ht="15.75">
      <c r="C118" s="276" t="s">
        <v>292</v>
      </c>
      <c r="D118" s="294">
        <f>+'GEN BUDACT ER'!D113</f>
        <v>1039135</v>
      </c>
      <c r="E118" s="294">
        <f>+'GEN BUDACT ER'!E113</f>
        <v>1189135</v>
      </c>
      <c r="F118" s="294">
        <f>+'GEN BUDACT ER'!F113</f>
        <v>714987</v>
      </c>
      <c r="G118" s="444"/>
      <c r="H118" s="294">
        <f>+E118-F118</f>
        <v>474148</v>
      </c>
      <c r="I118" s="284"/>
      <c r="K118" s="276">
        <f>+D118+D115+D109</f>
        <v>1163041</v>
      </c>
      <c r="L118" s="276">
        <f>+E118+E115+E109</f>
        <v>1313041</v>
      </c>
      <c r="M118" s="276">
        <f>+F118+F115+F109</f>
        <v>825784</v>
      </c>
    </row>
    <row r="119" spans="3:14" ht="15.75">
      <c r="D119" s="439"/>
      <c r="E119" s="439"/>
      <c r="F119" s="439"/>
      <c r="G119" s="459"/>
      <c r="H119" s="439"/>
      <c r="I119" s="284"/>
      <c r="K119" s="327">
        <f>+K118+628100+96359</f>
        <v>1887500</v>
      </c>
      <c r="L119" s="327"/>
      <c r="M119" s="327">
        <f>+M118+320151+96357+136055</f>
        <v>1378347</v>
      </c>
    </row>
    <row r="120" spans="3:14" ht="15.75">
      <c r="C120" s="308" t="s">
        <v>1082</v>
      </c>
      <c r="D120" s="345">
        <f>SUM(D90:D119)</f>
        <v>11363865</v>
      </c>
      <c r="E120" s="345">
        <f>SUM(E90:E119)</f>
        <v>11513865</v>
      </c>
      <c r="F120" s="345">
        <f>SUM(F90:F119)</f>
        <v>9780833</v>
      </c>
      <c r="G120" s="446"/>
      <c r="H120" s="345">
        <f>E120-F120</f>
        <v>1733032</v>
      </c>
      <c r="I120" s="284"/>
      <c r="K120" s="288">
        <f>+K119-1620483</f>
        <v>267017</v>
      </c>
      <c r="M120" s="288">
        <f>+M119-910867</f>
        <v>467480</v>
      </c>
    </row>
    <row r="121" spans="3:14" ht="15.75">
      <c r="C121" s="276"/>
      <c r="D121" s="296"/>
      <c r="E121" s="294"/>
      <c r="F121" s="294"/>
      <c r="G121" s="444"/>
      <c r="H121" s="294"/>
      <c r="I121" s="284"/>
      <c r="M121" s="276"/>
    </row>
    <row r="122" spans="3:14" ht="15.75">
      <c r="C122" s="308" t="s">
        <v>971</v>
      </c>
      <c r="D122" s="314"/>
      <c r="E122" s="294"/>
      <c r="F122" s="294"/>
      <c r="G122" s="444"/>
      <c r="H122" s="294"/>
      <c r="I122" s="284"/>
    </row>
    <row r="123" spans="3:14" ht="15.75" hidden="1">
      <c r="C123" s="276" t="s">
        <v>360</v>
      </c>
      <c r="I123" s="284"/>
    </row>
    <row r="124" spans="3:14" ht="15.75" hidden="1">
      <c r="C124" s="276" t="s">
        <v>767</v>
      </c>
      <c r="D124" s="294">
        <f>+'GEN BUDACT ER'!D119</f>
        <v>0</v>
      </c>
      <c r="E124" s="294">
        <f>+'GEN BUDACT ER'!E119</f>
        <v>0</v>
      </c>
      <c r="F124" s="294">
        <f>+'GEN BUDACT ER'!F119</f>
        <v>0</v>
      </c>
      <c r="G124" s="444"/>
      <c r="H124" s="294">
        <f>+E124-F124</f>
        <v>0</v>
      </c>
      <c r="I124" s="284"/>
    </row>
    <row r="125" spans="3:14" ht="15.75" hidden="1">
      <c r="C125" s="276" t="s">
        <v>292</v>
      </c>
      <c r="D125" s="294">
        <f>+'GEN BUDACT ER'!D120</f>
        <v>0</v>
      </c>
      <c r="E125" s="294">
        <f>+'GEN BUDACT ER'!E120</f>
        <v>0</v>
      </c>
      <c r="F125" s="294">
        <f>+'GEN BUDACT ER'!F120</f>
        <v>0</v>
      </c>
      <c r="G125" s="444"/>
      <c r="H125" s="294">
        <f>+E125-F125</f>
        <v>0</v>
      </c>
      <c r="I125" s="284"/>
      <c r="K125" s="276">
        <f>+D124+D125</f>
        <v>0</v>
      </c>
      <c r="L125" s="276">
        <f>+E124+E125</f>
        <v>0</v>
      </c>
      <c r="M125" s="276">
        <f>+F124+F125</f>
        <v>0</v>
      </c>
      <c r="N125" s="288" t="s">
        <v>479</v>
      </c>
    </row>
    <row r="126" spans="3:14" ht="15.75">
      <c r="C126" s="276" t="s">
        <v>361</v>
      </c>
      <c r="D126" s="294"/>
      <c r="E126" s="294"/>
      <c r="F126" s="294"/>
      <c r="G126" s="444"/>
      <c r="H126" s="294"/>
      <c r="I126" s="284"/>
    </row>
    <row r="127" spans="3:14" ht="15.75">
      <c r="C127" s="276" t="s">
        <v>767</v>
      </c>
      <c r="D127" s="294">
        <f>+'GEN BUDACT ER'!D122</f>
        <v>225493</v>
      </c>
      <c r="E127" s="294">
        <f>+'GEN BUDACT ER'!E122</f>
        <v>225493</v>
      </c>
      <c r="F127" s="294">
        <f>+'GEN BUDACT ER'!F122</f>
        <v>94317</v>
      </c>
      <c r="G127" s="444"/>
      <c r="H127" s="294">
        <f>+E127-F127</f>
        <v>131176</v>
      </c>
      <c r="I127" s="284"/>
    </row>
    <row r="128" spans="3:14" ht="15.75">
      <c r="C128" s="276" t="s">
        <v>292</v>
      </c>
      <c r="D128" s="294">
        <f>+'GEN BUDACT ER'!D123</f>
        <v>35127</v>
      </c>
      <c r="E128" s="294">
        <f>+'GEN BUDACT ER'!E123</f>
        <v>35127</v>
      </c>
      <c r="F128" s="294">
        <f>+'GEN BUDACT ER'!F123</f>
        <v>32511</v>
      </c>
      <c r="G128" s="444"/>
      <c r="H128" s="294">
        <f>+E128-F128</f>
        <v>2616</v>
      </c>
      <c r="I128" s="284"/>
      <c r="K128" s="276">
        <f>+D127+D128</f>
        <v>260620</v>
      </c>
      <c r="L128" s="276">
        <f>+E127+E128</f>
        <v>260620</v>
      </c>
      <c r="M128" s="276">
        <f>+F127+F128</f>
        <v>126828</v>
      </c>
    </row>
    <row r="129" spans="3:14" ht="15.75">
      <c r="D129" s="439"/>
      <c r="E129" s="439"/>
      <c r="F129" s="439"/>
      <c r="G129" s="459"/>
      <c r="H129" s="439"/>
      <c r="I129" s="284"/>
      <c r="K129" s="327">
        <f>+K128+3123</f>
        <v>263743</v>
      </c>
      <c r="L129" s="327"/>
      <c r="M129" s="327">
        <f>+M128+1619</f>
        <v>128447</v>
      </c>
      <c r="N129" s="288" t="s">
        <v>479</v>
      </c>
    </row>
    <row r="130" spans="3:14" ht="15.75">
      <c r="C130" s="308" t="s">
        <v>472</v>
      </c>
      <c r="D130" s="345">
        <f>SUM(D124:D129)</f>
        <v>260620</v>
      </c>
      <c r="E130" s="345">
        <f>SUM(E124:E129)</f>
        <v>260620</v>
      </c>
      <c r="F130" s="345">
        <f>SUM(F124:F129)</f>
        <v>126828</v>
      </c>
      <c r="G130" s="446"/>
      <c r="H130" s="345">
        <f>E130-F130</f>
        <v>133792</v>
      </c>
      <c r="I130" s="284"/>
    </row>
    <row r="131" spans="3:14" ht="15.75">
      <c r="C131" s="276"/>
      <c r="D131" s="296"/>
      <c r="E131" s="294"/>
      <c r="F131" s="294"/>
      <c r="G131" s="444"/>
      <c r="H131" s="294"/>
      <c r="I131" s="284"/>
    </row>
    <row r="132" spans="3:14" ht="15.75">
      <c r="C132" s="308" t="s">
        <v>473</v>
      </c>
      <c r="D132" s="314"/>
      <c r="E132" s="294"/>
      <c r="F132" s="294"/>
      <c r="G132" s="444"/>
      <c r="H132" s="294"/>
      <c r="I132" s="284"/>
    </row>
    <row r="133" spans="3:14" ht="15.75">
      <c r="C133" s="276" t="s">
        <v>362</v>
      </c>
      <c r="I133" s="284"/>
    </row>
    <row r="134" spans="3:14" ht="15.75">
      <c r="C134" s="276" t="s">
        <v>767</v>
      </c>
      <c r="D134" s="294">
        <f>+'GEN BUDACT ER'!D129</f>
        <v>726551</v>
      </c>
      <c r="E134" s="294">
        <f>+'GEN BUDACT ER'!E129</f>
        <v>726551</v>
      </c>
      <c r="F134" s="294">
        <f>+'GEN BUDACT ER'!F129</f>
        <v>707641</v>
      </c>
      <c r="G134" s="444"/>
      <c r="H134" s="294">
        <f>+E134-F134</f>
        <v>18910</v>
      </c>
      <c r="I134" s="284"/>
    </row>
    <row r="135" spans="3:14" ht="15.75">
      <c r="C135" s="276" t="s">
        <v>292</v>
      </c>
      <c r="D135" s="294">
        <f>+'GEN BUDACT ER'!D130</f>
        <v>147910</v>
      </c>
      <c r="E135" s="294">
        <f>+'GEN BUDACT ER'!E130</f>
        <v>176910</v>
      </c>
      <c r="F135" s="294">
        <f>+'GEN BUDACT ER'!F130</f>
        <v>94251</v>
      </c>
      <c r="G135" s="444"/>
      <c r="H135" s="294">
        <f>+E135-F135</f>
        <v>82659</v>
      </c>
      <c r="I135" s="284"/>
      <c r="K135" s="276">
        <f>+D134+D135</f>
        <v>874461</v>
      </c>
      <c r="L135" s="276">
        <f>+E134+E135</f>
        <v>903461</v>
      </c>
      <c r="M135" s="276">
        <f>+F134+F135</f>
        <v>801892</v>
      </c>
    </row>
    <row r="136" spans="3:14" ht="15.75">
      <c r="C136" s="276" t="s">
        <v>736</v>
      </c>
      <c r="D136" s="294"/>
      <c r="E136" s="294"/>
      <c r="F136" s="294"/>
      <c r="G136" s="444"/>
      <c r="H136" s="294"/>
      <c r="I136" s="284"/>
      <c r="K136" s="327">
        <f>+K135+32819</f>
        <v>907280</v>
      </c>
      <c r="L136" s="327"/>
      <c r="M136" s="327">
        <f>+M135+16409</f>
        <v>818301</v>
      </c>
      <c r="N136" s="288" t="s">
        <v>479</v>
      </c>
    </row>
    <row r="137" spans="3:14" ht="15.75">
      <c r="C137" s="276" t="s">
        <v>767</v>
      </c>
      <c r="D137" s="294">
        <f>+'GEN BUDACT ER'!D132</f>
        <v>493373</v>
      </c>
      <c r="E137" s="294">
        <f>+'GEN BUDACT ER'!E132</f>
        <v>493373</v>
      </c>
      <c r="F137" s="294">
        <f>+'GEN BUDACT ER'!F132</f>
        <v>463345</v>
      </c>
      <c r="G137" s="444"/>
      <c r="H137" s="294">
        <f>+E137-F137</f>
        <v>30028</v>
      </c>
      <c r="I137" s="284"/>
    </row>
    <row r="138" spans="3:14" ht="15.75">
      <c r="C138" s="276" t="s">
        <v>292</v>
      </c>
      <c r="D138" s="294">
        <f>+'GEN BUDACT ER'!D133</f>
        <v>202071</v>
      </c>
      <c r="E138" s="294">
        <f>+'GEN BUDACT ER'!E133</f>
        <v>300071</v>
      </c>
      <c r="F138" s="294">
        <f>+'GEN BUDACT ER'!F133</f>
        <v>217210</v>
      </c>
      <c r="G138" s="444"/>
      <c r="H138" s="294">
        <f>+E138-F138</f>
        <v>82861</v>
      </c>
      <c r="I138" s="284"/>
      <c r="K138" s="276">
        <f>+D137+D138</f>
        <v>695444</v>
      </c>
      <c r="L138" s="276">
        <f>+E137+E138</f>
        <v>793444</v>
      </c>
      <c r="M138" s="276">
        <f>+F137+F138</f>
        <v>680555</v>
      </c>
    </row>
    <row r="139" spans="3:14" ht="15.75">
      <c r="C139" s="276" t="s">
        <v>735</v>
      </c>
      <c r="D139" s="294"/>
      <c r="E139" s="294"/>
      <c r="F139" s="294"/>
      <c r="G139" s="444"/>
      <c r="H139" s="294"/>
      <c r="I139" s="284"/>
      <c r="K139" s="327">
        <f>+K138+81018+54917</f>
        <v>831379</v>
      </c>
      <c r="L139" s="327"/>
      <c r="M139" s="327">
        <f>+M138+38009+54916</f>
        <v>773480</v>
      </c>
    </row>
    <row r="140" spans="3:14" ht="15.75" hidden="1">
      <c r="C140" s="276" t="s">
        <v>291</v>
      </c>
      <c r="D140" s="294">
        <f>+'GEN BUDACT ER'!D135</f>
        <v>0</v>
      </c>
      <c r="E140" s="294">
        <f>+'GEN BUDACT ER'!E135</f>
        <v>0</v>
      </c>
      <c r="F140" s="294">
        <f>+'GEN BUDACT ER'!F135</f>
        <v>0</v>
      </c>
      <c r="G140" s="444"/>
      <c r="H140" s="294">
        <f>+E140-F140</f>
        <v>0</v>
      </c>
      <c r="I140" s="284"/>
    </row>
    <row r="141" spans="3:14" ht="15.75">
      <c r="C141" s="276" t="s">
        <v>292</v>
      </c>
      <c r="D141" s="294">
        <f>+'GEN BUDACT ER'!D136</f>
        <v>160000</v>
      </c>
      <c r="E141" s="294">
        <f>+'GEN BUDACT ER'!E136</f>
        <v>160000</v>
      </c>
      <c r="F141" s="294">
        <f>+'GEN BUDACT ER'!F136</f>
        <v>170000</v>
      </c>
      <c r="G141" s="444"/>
      <c r="H141" s="294">
        <f>+E141-F141</f>
        <v>-10000</v>
      </c>
      <c r="I141" s="284"/>
      <c r="K141" s="276">
        <f>+D140+D141</f>
        <v>160000</v>
      </c>
      <c r="L141" s="276">
        <f>+E140+E141</f>
        <v>160000</v>
      </c>
      <c r="M141" s="276">
        <f>+F140+F141</f>
        <v>170000</v>
      </c>
      <c r="N141" s="288" t="s">
        <v>479</v>
      </c>
    </row>
    <row r="142" spans="3:14" ht="15.75">
      <c r="C142" s="276" t="s">
        <v>1372</v>
      </c>
      <c r="D142" s="294"/>
      <c r="E142" s="294"/>
      <c r="F142" s="294"/>
      <c r="G142" s="444"/>
      <c r="H142" s="294"/>
      <c r="I142" s="284"/>
      <c r="K142" s="327"/>
      <c r="L142" s="327"/>
      <c r="M142" s="327"/>
    </row>
    <row r="143" spans="3:14" ht="15.75">
      <c r="C143" s="276" t="s">
        <v>767</v>
      </c>
      <c r="D143" s="294">
        <f>+'GEN BUDACT ER'!D138</f>
        <v>213365</v>
      </c>
      <c r="E143" s="294">
        <f>+'GEN BUDACT ER'!E138</f>
        <v>213365</v>
      </c>
      <c r="F143" s="294">
        <f>+'GEN BUDACT ER'!F138</f>
        <v>239574</v>
      </c>
      <c r="G143" s="444"/>
      <c r="H143" s="294">
        <f>+E143-F143</f>
        <v>-26209</v>
      </c>
      <c r="I143" s="284"/>
    </row>
    <row r="144" spans="3:14" ht="15.75">
      <c r="C144" s="276" t="s">
        <v>292</v>
      </c>
      <c r="D144" s="294">
        <f>+'GEN BUDACT ER'!D139</f>
        <v>137276</v>
      </c>
      <c r="E144" s="294">
        <f>+'GEN BUDACT ER'!E139</f>
        <v>137276</v>
      </c>
      <c r="F144" s="294">
        <f>+'GEN BUDACT ER'!F139</f>
        <v>83087</v>
      </c>
      <c r="G144" s="444"/>
      <c r="H144" s="294">
        <f>+E144-F144</f>
        <v>54189</v>
      </c>
      <c r="I144" s="284"/>
      <c r="K144" s="276">
        <f>+D143+D144</f>
        <v>350641</v>
      </c>
      <c r="L144" s="276">
        <f>+E143+E144</f>
        <v>350641</v>
      </c>
      <c r="M144" s="276">
        <f>+F143+F144</f>
        <v>322661</v>
      </c>
    </row>
    <row r="145" spans="3:13" ht="15.75">
      <c r="C145" s="276"/>
      <c r="D145" s="439"/>
      <c r="E145" s="439"/>
      <c r="F145" s="439"/>
      <c r="G145" s="459"/>
      <c r="H145" s="439"/>
      <c r="I145" s="284"/>
      <c r="K145" s="327">
        <f>+K144+27500</f>
        <v>378141</v>
      </c>
      <c r="L145" s="327"/>
      <c r="M145" s="327">
        <f>+M144+12500</f>
        <v>335161</v>
      </c>
    </row>
    <row r="146" spans="3:13" ht="15.75">
      <c r="C146" s="308" t="s">
        <v>474</v>
      </c>
      <c r="D146" s="345">
        <f>SUM(D133:D145)</f>
        <v>2080546</v>
      </c>
      <c r="E146" s="345">
        <f>SUM(E133:E145)</f>
        <v>2207546</v>
      </c>
      <c r="F146" s="345">
        <f>SUM(F133:F145)</f>
        <v>1975108</v>
      </c>
      <c r="G146" s="446"/>
      <c r="H146" s="345">
        <f>E146-F146</f>
        <v>232438</v>
      </c>
      <c r="I146" s="284"/>
    </row>
    <row r="147" spans="3:13" ht="15.75">
      <c r="C147" s="276"/>
      <c r="D147" s="276"/>
      <c r="E147" s="303"/>
      <c r="F147" s="303"/>
      <c r="G147" s="284"/>
      <c r="H147" s="303"/>
      <c r="I147" s="284"/>
    </row>
    <row r="148" spans="3:13" ht="15.75">
      <c r="C148" s="305"/>
      <c r="D148" s="305"/>
      <c r="E148" s="277"/>
      <c r="F148" s="277"/>
      <c r="G148" s="284"/>
      <c r="H148" s="277"/>
      <c r="I148" s="284"/>
    </row>
    <row r="149" spans="3:13" ht="15.75">
      <c r="C149" s="305" t="str">
        <f>C3</f>
        <v>LEWIS AND CLARK COUNTY, MONTANA</v>
      </c>
      <c r="D149" s="305"/>
      <c r="E149" s="277"/>
      <c r="F149" s="277"/>
      <c r="G149" s="284"/>
      <c r="H149" s="277"/>
      <c r="I149" s="284"/>
    </row>
    <row r="150" spans="3:13" ht="15.75">
      <c r="C150" s="305" t="str">
        <f>C4</f>
        <v>STATEMENT OF REVENUES, EXPENDITURES, AND CHANGES IN FUND BALANCES - BUDGET AND ACTUAL (BUDGET BASIS)</v>
      </c>
      <c r="D150" s="305"/>
      <c r="E150" s="277"/>
      <c r="F150" s="277"/>
      <c r="G150" s="284"/>
      <c r="H150" s="277"/>
      <c r="I150" s="284"/>
    </row>
    <row r="151" spans="3:13" ht="15.75">
      <c r="C151" s="305" t="str">
        <f>C5</f>
        <v>GENERAL AND MAJOR SPECIAL REVENUE FUNDS</v>
      </c>
      <c r="D151" s="305"/>
      <c r="E151" s="277"/>
      <c r="F151" s="277"/>
      <c r="G151" s="284"/>
      <c r="H151" s="277"/>
      <c r="I151" s="284"/>
    </row>
    <row r="152" spans="3:13" ht="15.75">
      <c r="C152" s="305" t="str">
        <f>C6</f>
        <v>For the  Fiscal Year Ended June 30, 2023</v>
      </c>
      <c r="D152" s="305"/>
      <c r="E152" s="277"/>
      <c r="F152" s="277"/>
      <c r="G152" s="284"/>
      <c r="H152" s="277"/>
      <c r="I152" s="284"/>
    </row>
    <row r="153" spans="3:13" ht="15.75">
      <c r="C153" s="395" t="s">
        <v>1663</v>
      </c>
      <c r="D153" s="305"/>
      <c r="E153" s="277"/>
      <c r="F153" s="277"/>
      <c r="G153" s="284"/>
      <c r="H153" s="277"/>
      <c r="I153" s="284"/>
    </row>
    <row r="154" spans="3:13" ht="15.75">
      <c r="D154" s="328" t="s">
        <v>793</v>
      </c>
      <c r="E154" s="328"/>
      <c r="F154" s="328"/>
      <c r="G154" s="290"/>
      <c r="H154" s="328"/>
      <c r="I154" s="284"/>
    </row>
    <row r="155" spans="3:13" ht="15.75">
      <c r="C155" s="395"/>
      <c r="D155" s="395"/>
      <c r="E155" s="395"/>
      <c r="F155" s="395"/>
      <c r="G155" s="441"/>
      <c r="H155" s="287" t="s">
        <v>1145</v>
      </c>
      <c r="I155" s="284"/>
    </row>
    <row r="156" spans="3:13" ht="15.75">
      <c r="C156" s="395"/>
      <c r="D156" s="328" t="s">
        <v>290</v>
      </c>
      <c r="E156" s="328"/>
      <c r="F156" s="287"/>
      <c r="G156" s="287"/>
      <c r="H156" s="287" t="s">
        <v>461</v>
      </c>
      <c r="I156" s="284"/>
    </row>
    <row r="157" spans="3:13" ht="15.75">
      <c r="C157" s="277"/>
      <c r="D157" s="287"/>
      <c r="E157" s="287"/>
      <c r="F157" s="287"/>
      <c r="G157" s="287"/>
      <c r="H157" s="287" t="s">
        <v>412</v>
      </c>
      <c r="I157" s="284"/>
    </row>
    <row r="158" spans="3:13" ht="15.75">
      <c r="C158" s="276"/>
      <c r="D158" s="290" t="s">
        <v>857</v>
      </c>
      <c r="E158" s="290" t="s">
        <v>414</v>
      </c>
      <c r="F158" s="290" t="s">
        <v>858</v>
      </c>
      <c r="G158" s="290"/>
      <c r="H158" s="290" t="s">
        <v>413</v>
      </c>
      <c r="I158" s="284"/>
    </row>
    <row r="159" spans="3:13" ht="15.75">
      <c r="C159" s="308" t="s">
        <v>1074</v>
      </c>
      <c r="D159" s="314"/>
      <c r="E159" s="294"/>
      <c r="F159" s="294"/>
      <c r="G159" s="444"/>
      <c r="H159" s="294"/>
      <c r="I159" s="284"/>
    </row>
    <row r="160" spans="3:13" ht="15.75">
      <c r="C160" s="276" t="s">
        <v>1278</v>
      </c>
      <c r="I160" s="284"/>
    </row>
    <row r="161" spans="3:14" ht="15.75" hidden="1">
      <c r="C161" s="276" t="s">
        <v>767</v>
      </c>
      <c r="D161" s="292">
        <f>+'GEN BUDACT ER'!D145</f>
        <v>0</v>
      </c>
      <c r="E161" s="292">
        <f>+'GEN BUDACT ER'!E145</f>
        <v>0</v>
      </c>
      <c r="F161" s="292">
        <f>+'GEN BUDACT ER'!F145</f>
        <v>0</v>
      </c>
      <c r="G161" s="443"/>
      <c r="H161" s="292">
        <f>+E161-F161</f>
        <v>0</v>
      </c>
      <c r="I161" s="284"/>
    </row>
    <row r="162" spans="3:14" ht="15.75">
      <c r="C162" s="276" t="s">
        <v>292</v>
      </c>
      <c r="D162" s="294">
        <f>+'GEN BUDACT ER'!D146</f>
        <v>73516</v>
      </c>
      <c r="E162" s="294">
        <f>+'GEN BUDACT ER'!E146</f>
        <v>73516</v>
      </c>
      <c r="F162" s="294">
        <f>+'GEN BUDACT ER'!F146</f>
        <v>73516</v>
      </c>
      <c r="G162" s="444"/>
      <c r="H162" s="294">
        <f>+E162-F162</f>
        <v>0</v>
      </c>
      <c r="I162" s="284"/>
      <c r="K162" s="276">
        <f>+D161+D162</f>
        <v>73516</v>
      </c>
      <c r="L162" s="276">
        <f>+E161+E162</f>
        <v>73516</v>
      </c>
      <c r="M162" s="276">
        <f>+F161+F162</f>
        <v>73516</v>
      </c>
    </row>
    <row r="163" spans="3:14" ht="15.75">
      <c r="C163" s="276"/>
      <c r="D163" s="439"/>
      <c r="E163" s="439"/>
      <c r="F163" s="439"/>
      <c r="G163" s="459"/>
      <c r="H163" s="439"/>
      <c r="I163" s="284"/>
      <c r="K163" s="327">
        <f>+K162+4641</f>
        <v>78157</v>
      </c>
      <c r="L163" s="327"/>
      <c r="M163" s="327">
        <f>+M162+2321</f>
        <v>75837</v>
      </c>
      <c r="N163" s="288" t="s">
        <v>479</v>
      </c>
    </row>
    <row r="164" spans="3:14" ht="15.75">
      <c r="C164" s="308" t="s">
        <v>293</v>
      </c>
      <c r="D164" s="345">
        <f>SUM(D161:D163)</f>
        <v>73516</v>
      </c>
      <c r="E164" s="345">
        <f>SUM(E161:E163)</f>
        <v>73516</v>
      </c>
      <c r="F164" s="345">
        <f>SUM(F161:F163)</f>
        <v>73516</v>
      </c>
      <c r="G164" s="446"/>
      <c r="H164" s="345">
        <f>+E164-F164</f>
        <v>0</v>
      </c>
      <c r="I164" s="284"/>
    </row>
    <row r="165" spans="3:14" ht="15.75">
      <c r="C165" s="308"/>
      <c r="D165" s="300"/>
      <c r="E165" s="300"/>
      <c r="F165" s="300"/>
      <c r="G165" s="460"/>
      <c r="H165" s="300"/>
      <c r="I165" s="284"/>
    </row>
    <row r="166" spans="3:14" ht="15.75">
      <c r="C166" s="308" t="s">
        <v>331</v>
      </c>
      <c r="D166" s="314"/>
      <c r="E166" s="300"/>
      <c r="F166" s="300"/>
      <c r="G166" s="460"/>
      <c r="H166" s="300"/>
      <c r="I166" s="284"/>
    </row>
    <row r="167" spans="3:14" ht="15.75">
      <c r="C167" s="276" t="s">
        <v>1108</v>
      </c>
      <c r="I167" s="284"/>
    </row>
    <row r="168" spans="3:14" ht="15.75" hidden="1">
      <c r="C168" s="276" t="s">
        <v>291</v>
      </c>
      <c r="D168" s="294">
        <f>+'GEN BUDACT ER'!D152</f>
        <v>0</v>
      </c>
      <c r="E168" s="294">
        <f>+'GEN BUDACT ER'!E152</f>
        <v>0</v>
      </c>
      <c r="F168" s="294">
        <f>+'GEN BUDACT ER'!F152</f>
        <v>0</v>
      </c>
      <c r="G168" s="444"/>
      <c r="H168" s="294">
        <f>+E168-F168</f>
        <v>0</v>
      </c>
      <c r="I168" s="284"/>
    </row>
    <row r="169" spans="3:14" ht="15.75">
      <c r="C169" s="276" t="s">
        <v>292</v>
      </c>
      <c r="D169" s="294">
        <f>+'GEN BUDACT ER'!D153</f>
        <v>200645</v>
      </c>
      <c r="E169" s="294">
        <f>+'GEN BUDACT ER'!E153</f>
        <v>200645</v>
      </c>
      <c r="F169" s="294">
        <f>+'GEN BUDACT ER'!F153</f>
        <v>200716</v>
      </c>
      <c r="G169" s="444"/>
      <c r="H169" s="294">
        <f>+E169-F169</f>
        <v>-71</v>
      </c>
      <c r="I169" s="284"/>
      <c r="K169" s="276">
        <f>+D168+D169</f>
        <v>200645</v>
      </c>
      <c r="L169" s="276">
        <f>+E168+E169</f>
        <v>200645</v>
      </c>
      <c r="M169" s="276">
        <f>+F168+F169</f>
        <v>200716</v>
      </c>
    </row>
    <row r="170" spans="3:14" ht="15.75">
      <c r="C170" s="276" t="s">
        <v>737</v>
      </c>
      <c r="D170" s="294"/>
      <c r="E170" s="294"/>
      <c r="F170" s="294"/>
      <c r="G170" s="444"/>
      <c r="H170" s="294"/>
      <c r="I170" s="284"/>
      <c r="K170" s="327">
        <f>+K169+10160+6000</f>
        <v>216805</v>
      </c>
      <c r="L170" s="327"/>
      <c r="M170" s="327">
        <f>+M169+10160+3000</f>
        <v>213876</v>
      </c>
      <c r="N170" s="288" t="s">
        <v>479</v>
      </c>
    </row>
    <row r="171" spans="3:14" ht="15.75" hidden="1">
      <c r="C171" s="276" t="s">
        <v>291</v>
      </c>
      <c r="D171" s="294">
        <f>+'GEN BUDACT ER'!D155</f>
        <v>0</v>
      </c>
      <c r="E171" s="294">
        <f>+'GEN BUDACT ER'!E155</f>
        <v>0</v>
      </c>
      <c r="F171" s="294">
        <f>+'GEN BUDACT ER'!F155</f>
        <v>0</v>
      </c>
      <c r="G171" s="444"/>
      <c r="H171" s="294">
        <f>+E171-F171</f>
        <v>0</v>
      </c>
      <c r="I171" s="284"/>
    </row>
    <row r="172" spans="3:14" ht="15.75">
      <c r="C172" s="276" t="s">
        <v>292</v>
      </c>
      <c r="D172" s="294">
        <f>+'GEN BUDACT ER'!D156+0</f>
        <v>421837</v>
      </c>
      <c r="E172" s="294">
        <f>+'GEN BUDACT ER'!E156+0</f>
        <v>421837</v>
      </c>
      <c r="F172" s="294">
        <f>+'GEN BUDACT ER'!F156</f>
        <v>398987</v>
      </c>
      <c r="G172" s="444"/>
      <c r="H172" s="294">
        <f>+E172-F172</f>
        <v>22850</v>
      </c>
      <c r="I172" s="284"/>
      <c r="K172" s="276">
        <f>+D171+D172</f>
        <v>421837</v>
      </c>
      <c r="L172" s="276">
        <f>+E171+E172</f>
        <v>421837</v>
      </c>
      <c r="M172" s="276">
        <f>+F171+F172</f>
        <v>398987</v>
      </c>
      <c r="N172" s="288" t="s">
        <v>479</v>
      </c>
    </row>
    <row r="173" spans="3:14" ht="15.75">
      <c r="C173" s="276"/>
      <c r="D173" s="439"/>
      <c r="E173" s="439"/>
      <c r="F173" s="439"/>
      <c r="G173" s="459"/>
      <c r="H173" s="439"/>
      <c r="I173" s="284"/>
      <c r="K173" s="327"/>
      <c r="L173" s="327"/>
      <c r="M173" s="327"/>
    </row>
    <row r="174" spans="3:14" ht="15.75">
      <c r="C174" s="308" t="s">
        <v>741</v>
      </c>
      <c r="D174" s="345">
        <f>SUM(D168:D173)</f>
        <v>622482</v>
      </c>
      <c r="E174" s="345">
        <f>SUM(E168:E173)</f>
        <v>622482</v>
      </c>
      <c r="F174" s="345">
        <f>SUM(F168:F173)</f>
        <v>599703</v>
      </c>
      <c r="G174" s="446"/>
      <c r="H174" s="345">
        <f>E174-F174</f>
        <v>22779</v>
      </c>
      <c r="I174" s="284"/>
    </row>
    <row r="175" spans="3:14" ht="15.75" hidden="1">
      <c r="C175" s="308"/>
      <c r="D175" s="296"/>
      <c r="E175" s="300"/>
      <c r="F175" s="300"/>
      <c r="G175" s="460"/>
      <c r="H175" s="300"/>
      <c r="I175" s="284"/>
    </row>
    <row r="176" spans="3:14" ht="15.75" hidden="1">
      <c r="C176" s="308" t="s">
        <v>332</v>
      </c>
      <c r="D176" s="314"/>
      <c r="E176" s="300"/>
      <c r="F176" s="300"/>
      <c r="G176" s="460"/>
      <c r="H176" s="300"/>
      <c r="I176" s="284"/>
    </row>
    <row r="177" spans="3:14" ht="15.75" hidden="1">
      <c r="C177" s="276" t="s">
        <v>1187</v>
      </c>
      <c r="D177" s="314"/>
      <c r="E177" s="300"/>
      <c r="F177" s="300"/>
      <c r="G177" s="460"/>
      <c r="H177" s="300"/>
      <c r="I177" s="284"/>
    </row>
    <row r="178" spans="3:14" ht="15.75" hidden="1">
      <c r="C178" s="276" t="s">
        <v>291</v>
      </c>
      <c r="D178" s="294">
        <f>+'GEN BUDACT ER'!D162</f>
        <v>0</v>
      </c>
      <c r="E178" s="294">
        <f>+'GEN BUDACT ER'!E162</f>
        <v>0</v>
      </c>
      <c r="F178" s="294">
        <f>+'GEN BUDACT ER'!F162</f>
        <v>0</v>
      </c>
      <c r="G178" s="444"/>
      <c r="H178" s="294">
        <f>+E178-F178</f>
        <v>0</v>
      </c>
      <c r="I178" s="284"/>
    </row>
    <row r="179" spans="3:14" ht="15.75" hidden="1">
      <c r="C179" s="276" t="s">
        <v>292</v>
      </c>
      <c r="D179" s="294">
        <f>+'GEN BUDACT ER'!D163</f>
        <v>0</v>
      </c>
      <c r="E179" s="294">
        <f>+'GEN BUDACT ER'!E163</f>
        <v>0</v>
      </c>
      <c r="F179" s="294">
        <f>+'GEN BUDACT ER'!F163</f>
        <v>0</v>
      </c>
      <c r="G179" s="444"/>
      <c r="H179" s="294">
        <f>+E179-F179</f>
        <v>0</v>
      </c>
      <c r="I179" s="284"/>
    </row>
    <row r="180" spans="3:14" ht="15.75" hidden="1">
      <c r="C180" s="276"/>
      <c r="D180" s="439"/>
      <c r="E180" s="439"/>
      <c r="F180" s="439"/>
      <c r="G180" s="459"/>
      <c r="H180" s="439"/>
      <c r="I180" s="284"/>
    </row>
    <row r="181" spans="3:14" ht="15.75" hidden="1">
      <c r="C181" s="308" t="s">
        <v>1122</v>
      </c>
      <c r="D181" s="301">
        <f>SUM(D177:D180)</f>
        <v>0</v>
      </c>
      <c r="E181" s="301">
        <f>SUM(E177:E180)</f>
        <v>0</v>
      </c>
      <c r="F181" s="301">
        <f>SUM(F177:F180)</f>
        <v>0</v>
      </c>
      <c r="G181" s="461"/>
      <c r="H181" s="301">
        <f>E181-F181</f>
        <v>0</v>
      </c>
      <c r="I181" s="284"/>
    </row>
    <row r="182" spans="3:14" ht="15.75" hidden="1">
      <c r="C182" s="276"/>
      <c r="D182" s="296"/>
      <c r="E182" s="300"/>
      <c r="F182" s="300"/>
      <c r="G182" s="460"/>
      <c r="H182" s="300"/>
      <c r="I182" s="284"/>
    </row>
    <row r="183" spans="3:14" ht="15.75" hidden="1">
      <c r="C183" s="308"/>
      <c r="D183" s="314"/>
      <c r="E183" s="300"/>
      <c r="F183" s="300"/>
      <c r="G183" s="460"/>
      <c r="H183" s="300"/>
      <c r="I183" s="284"/>
    </row>
    <row r="184" spans="3:14" ht="15.75" hidden="1">
      <c r="C184" s="308" t="s">
        <v>333</v>
      </c>
      <c r="D184" s="345">
        <f>+'GEN BUDACT ER'!D168</f>
        <v>0</v>
      </c>
      <c r="E184" s="345">
        <f>+'GEN BUDACT ER'!E168</f>
        <v>0</v>
      </c>
      <c r="F184" s="345">
        <f>+'GEN BUDACT ER'!F168</f>
        <v>0</v>
      </c>
      <c r="G184" s="446"/>
      <c r="H184" s="345">
        <f>+E184-F184</f>
        <v>0</v>
      </c>
      <c r="I184" s="284"/>
      <c r="M184" s="276">
        <f>+F184+F183</f>
        <v>0</v>
      </c>
      <c r="N184" s="288" t="s">
        <v>479</v>
      </c>
    </row>
    <row r="185" spans="3:14" ht="15.75" hidden="1">
      <c r="C185" s="276"/>
      <c r="D185" s="296"/>
      <c r="E185" s="300"/>
      <c r="F185" s="300"/>
      <c r="G185" s="460"/>
      <c r="H185" s="300"/>
      <c r="I185" s="284"/>
    </row>
    <row r="186" spans="3:14" ht="15.75" hidden="1">
      <c r="C186" s="308" t="s">
        <v>334</v>
      </c>
      <c r="D186" s="345">
        <f>+'GEN BUDACT ER'!D170</f>
        <v>0</v>
      </c>
      <c r="E186" s="345">
        <f>+'GEN BUDACT ER'!E170</f>
        <v>0</v>
      </c>
      <c r="F186" s="345">
        <f>+'GEN BUDACT ER'!F170</f>
        <v>0</v>
      </c>
      <c r="G186" s="446"/>
      <c r="H186" s="345">
        <f>+E186-F186</f>
        <v>0</v>
      </c>
      <c r="I186" s="284"/>
    </row>
    <row r="187" spans="3:14" ht="15.75">
      <c r="C187" s="276"/>
      <c r="D187" s="439"/>
      <c r="E187" s="439"/>
      <c r="F187" s="439"/>
      <c r="G187" s="459"/>
      <c r="H187" s="439"/>
      <c r="I187" s="284"/>
    </row>
    <row r="188" spans="3:14" ht="15.75">
      <c r="C188" s="308" t="s">
        <v>1211</v>
      </c>
      <c r="D188" s="345">
        <f>+D120+D130+D146+D164+D174+D181+D184+D186</f>
        <v>14401029</v>
      </c>
      <c r="E188" s="345">
        <f>+E120+E130+E146+E164+E174+E181+E184+E186</f>
        <v>14678029</v>
      </c>
      <c r="F188" s="345">
        <f>+F120+F130+F146+F164+F174+F181+F184+F186</f>
        <v>12555988</v>
      </c>
      <c r="G188" s="446"/>
      <c r="H188" s="345">
        <f>+H120+H130+H146+H164+H174+H177+H184+H186</f>
        <v>2122041</v>
      </c>
      <c r="I188" s="284"/>
      <c r="K188" s="288">
        <f>+D188-D194</f>
        <v>16332913</v>
      </c>
      <c r="L188" s="288">
        <f>+E188-E194</f>
        <v>16609913</v>
      </c>
      <c r="M188" s="288">
        <f>+F188-F194</f>
        <v>14442512</v>
      </c>
    </row>
    <row r="189" spans="3:14" ht="15.75">
      <c r="C189" s="308" t="s">
        <v>677</v>
      </c>
      <c r="D189" s="296"/>
      <c r="E189" s="294"/>
      <c r="F189" s="294"/>
      <c r="G189" s="444"/>
      <c r="H189" s="294"/>
      <c r="I189" s="284"/>
    </row>
    <row r="190" spans="3:14" ht="15.75">
      <c r="C190" s="308" t="s">
        <v>598</v>
      </c>
      <c r="D190" s="339">
        <f>+D74-D188</f>
        <v>-1557065</v>
      </c>
      <c r="E190" s="339">
        <f>+E74-E188</f>
        <v>-1834065</v>
      </c>
      <c r="F190" s="339">
        <f>+F74-F188</f>
        <v>2647313</v>
      </c>
      <c r="G190" s="457"/>
      <c r="H190" s="339">
        <f>+F190-E190</f>
        <v>4481378</v>
      </c>
      <c r="I190" s="284"/>
    </row>
    <row r="191" spans="3:14" ht="15.75">
      <c r="C191" s="276"/>
      <c r="D191" s="296"/>
      <c r="E191" s="294"/>
      <c r="F191" s="294"/>
      <c r="G191" s="444"/>
      <c r="H191" s="294"/>
      <c r="I191" s="284"/>
    </row>
    <row r="192" spans="3:14" ht="15.75">
      <c r="C192" s="308" t="s">
        <v>833</v>
      </c>
      <c r="D192" s="314"/>
      <c r="E192" s="294"/>
      <c r="F192" s="294"/>
      <c r="G192" s="444"/>
      <c r="H192" s="294"/>
      <c r="I192" s="284"/>
    </row>
    <row r="193" spans="3:14" ht="15.75">
      <c r="C193" s="276" t="s">
        <v>1213</v>
      </c>
      <c r="D193" s="294">
        <f>+'GEN BUDACT ER'!D177</f>
        <v>400000</v>
      </c>
      <c r="E193" s="294">
        <f>+'GEN BUDACT ER'!E177</f>
        <v>400000</v>
      </c>
      <c r="F193" s="294">
        <f>+'GEN BUDACT ER'!F177</f>
        <v>2070536</v>
      </c>
      <c r="G193" s="444"/>
      <c r="H193" s="294">
        <f>+F193-E193</f>
        <v>1670536</v>
      </c>
      <c r="I193" s="284"/>
    </row>
    <row r="194" spans="3:14" ht="15.75">
      <c r="C194" s="276" t="s">
        <v>1214</v>
      </c>
      <c r="D194" s="294">
        <f>+'GEN BUDACT ER'!D178+0</f>
        <v>-1931884</v>
      </c>
      <c r="E194" s="294">
        <f>+'GEN BUDACT ER'!E178+0</f>
        <v>-1931884</v>
      </c>
      <c r="F194" s="294">
        <f>+'GEN BUDACT ER'!F178</f>
        <v>-1886524</v>
      </c>
      <c r="G194" s="444"/>
      <c r="H194" s="294">
        <f>+F194-E194</f>
        <v>45360</v>
      </c>
      <c r="I194" s="284"/>
      <c r="M194" s="288">
        <f>+F194</f>
        <v>-1886524</v>
      </c>
      <c r="N194" s="288">
        <f>3622+750+732+13085+7567+139221+1655+16410+34003+15000+15894+1500</f>
        <v>249439</v>
      </c>
    </row>
    <row r="195" spans="3:14" ht="15.75" hidden="1">
      <c r="C195" s="276" t="s">
        <v>2389</v>
      </c>
      <c r="D195" s="294">
        <f>+'GEN BUDACT ER'!D179</f>
        <v>0</v>
      </c>
      <c r="E195" s="294">
        <f>+'GEN BUDACT ER'!E179</f>
        <v>0</v>
      </c>
      <c r="F195" s="294">
        <f>+'GEN BUDACT ER'!F179</f>
        <v>0</v>
      </c>
      <c r="G195" s="444"/>
      <c r="H195" s="294" t="str">
        <f>IF(+F195-E195&lt;&gt;0,+F195-E195,"-  ")</f>
        <v xml:space="preserve">-  </v>
      </c>
      <c r="I195" s="284"/>
    </row>
    <row r="196" spans="3:14" ht="15.75" hidden="1">
      <c r="C196" s="276" t="s">
        <v>1239</v>
      </c>
      <c r="D196" s="294">
        <f>+'GEN BUDACT ER'!D180</f>
        <v>0</v>
      </c>
      <c r="E196" s="294">
        <f>+'GEN BUDACT ER'!E180</f>
        <v>0</v>
      </c>
      <c r="F196" s="294">
        <f>+'GEN BUDACT ER'!F180</f>
        <v>0</v>
      </c>
      <c r="G196" s="444"/>
      <c r="H196" s="294" t="str">
        <f>IF(+F196-E196&lt;&gt;0,+F196-E196,"-  ")</f>
        <v xml:space="preserve">-  </v>
      </c>
      <c r="I196" s="284"/>
    </row>
    <row r="197" spans="3:14" ht="15.75">
      <c r="C197" s="276"/>
      <c r="D197" s="439"/>
      <c r="E197" s="439"/>
      <c r="F197" s="439"/>
      <c r="G197" s="459"/>
      <c r="H197" s="439"/>
      <c r="I197" s="284"/>
    </row>
    <row r="198" spans="3:14" ht="15.75">
      <c r="C198" s="308" t="str">
        <f>INPUT!B58</f>
        <v xml:space="preserve">         Total other financing sources and uses</v>
      </c>
      <c r="D198" s="345">
        <f>SUM(D193:D197)</f>
        <v>-1531884</v>
      </c>
      <c r="E198" s="345">
        <f>SUM(E193:E197)</f>
        <v>-1531884</v>
      </c>
      <c r="F198" s="345">
        <f>SUM(F193:F197)</f>
        <v>184012</v>
      </c>
      <c r="G198" s="446"/>
      <c r="H198" s="345">
        <f>SUM(H193:H197)</f>
        <v>1715896</v>
      </c>
      <c r="I198" s="284"/>
    </row>
    <row r="199" spans="3:14" ht="15.75">
      <c r="C199" s="276"/>
      <c r="D199" s="276"/>
      <c r="E199" s="303"/>
      <c r="F199" s="303"/>
      <c r="G199" s="284"/>
      <c r="H199" s="303"/>
      <c r="I199" s="284"/>
    </row>
    <row r="200" spans="3:14" ht="16.5" thickBot="1">
      <c r="C200" s="308" t="str">
        <f>INPUT!B61</f>
        <v xml:space="preserve">             Net change in fund balances</v>
      </c>
      <c r="D200" s="401">
        <f>+D190+D198</f>
        <v>-3088949</v>
      </c>
      <c r="E200" s="401">
        <f>+E190+E198</f>
        <v>-3365949</v>
      </c>
      <c r="F200" s="338">
        <f>+F190+F198</f>
        <v>2831325</v>
      </c>
      <c r="G200" s="462"/>
      <c r="H200" s="401">
        <f>+H190+H198</f>
        <v>6197274</v>
      </c>
      <c r="I200" s="284"/>
    </row>
    <row r="201" spans="3:14" ht="16.5" thickTop="1">
      <c r="C201" s="276"/>
      <c r="D201" s="276"/>
      <c r="E201" s="303"/>
      <c r="F201" s="303"/>
      <c r="G201" s="284"/>
      <c r="H201" s="303"/>
      <c r="I201" s="284"/>
    </row>
    <row r="202" spans="3:14" ht="15.75">
      <c r="C202" s="276" t="str">
        <f>INPUT!B63</f>
        <v xml:space="preserve">     Fund balance, July 1</v>
      </c>
      <c r="D202" s="276"/>
      <c r="E202" s="303"/>
      <c r="F202" s="278">
        <f>+'GEN BUDACT ER'!G186+'Sys INPUT'!D191</f>
        <v>7413080</v>
      </c>
      <c r="G202" s="284"/>
      <c r="H202" s="303"/>
      <c r="I202" s="284"/>
      <c r="L202" s="304" t="s">
        <v>1744</v>
      </c>
    </row>
    <row r="203" spans="3:14" ht="15.75" hidden="1">
      <c r="C203" s="276"/>
      <c r="D203" s="276"/>
      <c r="E203" s="303"/>
      <c r="F203" s="303"/>
      <c r="G203" s="284"/>
      <c r="H203" s="303"/>
      <c r="I203" s="284"/>
    </row>
    <row r="204" spans="3:14" ht="15.75" hidden="1">
      <c r="C204" s="276" t="str">
        <f>INPUT!B66</f>
        <v xml:space="preserve">     Prior period adjustments</v>
      </c>
      <c r="D204" s="276"/>
      <c r="E204" s="303"/>
      <c r="F204" s="440" t="str">
        <f>IF(+INPUT!D66&lt;&gt;0,+INPUT!D66,"-  ")</f>
        <v xml:space="preserve">-  </v>
      </c>
      <c r="G204" s="284"/>
      <c r="H204" s="303"/>
      <c r="I204" s="284"/>
    </row>
    <row r="205" spans="3:14" ht="15.75" hidden="1">
      <c r="C205" s="276"/>
      <c r="D205" s="276"/>
      <c r="E205" s="303"/>
      <c r="F205" s="303"/>
      <c r="G205" s="284"/>
      <c r="H205" s="303"/>
      <c r="I205" s="284"/>
    </row>
    <row r="206" spans="3:14" ht="15.75" hidden="1">
      <c r="C206" s="308" t="str">
        <f>INPUT!B69</f>
        <v xml:space="preserve">     Total net position, beginning, as restated</v>
      </c>
      <c r="D206" s="308"/>
      <c r="E206" s="319"/>
      <c r="F206" s="319">
        <f>SUM(F202+F204)</f>
        <v>7413080</v>
      </c>
      <c r="G206" s="287"/>
      <c r="H206" s="303"/>
      <c r="I206" s="284"/>
    </row>
    <row r="207" spans="3:14" ht="15.75" hidden="1">
      <c r="C207" s="276"/>
      <c r="D207" s="276"/>
      <c r="E207" s="303"/>
      <c r="F207" s="303"/>
      <c r="G207" s="284"/>
      <c r="H207" s="303"/>
      <c r="I207" s="284"/>
    </row>
    <row r="208" spans="3:14" ht="15.75" hidden="1">
      <c r="C208" s="276" t="str">
        <f>INPUT!B71</f>
        <v xml:space="preserve">     Residual equity transfers</v>
      </c>
      <c r="D208" s="276"/>
      <c r="E208" s="303"/>
      <c r="F208" s="440">
        <f>INPUT!D71</f>
        <v>0</v>
      </c>
      <c r="G208" s="284"/>
      <c r="H208" s="303"/>
      <c r="I208" s="284"/>
    </row>
    <row r="209" spans="3:9" ht="15.75">
      <c r="C209" s="276"/>
      <c r="D209" s="276"/>
      <c r="E209" s="303"/>
      <c r="F209" s="303"/>
      <c r="G209" s="284"/>
      <c r="H209" s="303"/>
      <c r="I209" s="284"/>
    </row>
    <row r="210" spans="3:9" ht="16.5" thickBot="1">
      <c r="C210" s="276" t="str">
        <f>INPUT!B73</f>
        <v xml:space="preserve">     Fund balance, June 30</v>
      </c>
      <c r="D210" s="276"/>
      <c r="E210" s="303"/>
      <c r="F210" s="401">
        <f>+F200+F206+F208</f>
        <v>10244405</v>
      </c>
      <c r="G210" s="463"/>
      <c r="H210" s="303"/>
      <c r="I210" s="284"/>
    </row>
    <row r="211" spans="3:9" ht="27.75" customHeight="1" thickTop="1">
      <c r="C211" s="350"/>
      <c r="D211" s="276"/>
      <c r="E211" s="303"/>
      <c r="F211" s="303"/>
      <c r="G211" s="284"/>
      <c r="H211" s="303"/>
      <c r="I211" s="284"/>
    </row>
    <row r="212" spans="3:9">
      <c r="F212" s="288">
        <f>+F74+F193</f>
        <v>17273837</v>
      </c>
    </row>
    <row r="213" spans="3:9">
      <c r="F213" s="288">
        <f>+F188-F194</f>
        <v>14442512</v>
      </c>
    </row>
    <row r="215" spans="3:9">
      <c r="F215" s="327" t="s">
        <v>1770</v>
      </c>
      <c r="G215" s="464"/>
    </row>
    <row r="219" spans="3:9">
      <c r="F219" s="288" t="s">
        <v>439</v>
      </c>
    </row>
  </sheetData>
  <printOptions horizontalCentered="1"/>
  <pageMargins left="0.5" right="0.5" top="0.5" bottom="0.5" header="0.5" footer="0.25"/>
  <pageSetup scale="65" firstPageNumber="21" fitToHeight="0" orientation="portrait" useFirstPageNumber="1" r:id="rId1"/>
  <headerFooter alignWithMargins="0">
    <oddFooter xml:space="preserve">&amp;C
</oddFooter>
  </headerFooter>
  <rowBreaks count="2" manualBreakCount="2">
    <brk id="74" min="2" max="10" man="1"/>
    <brk id="146" min="2" max="6"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codeName="Sheet16"/>
  <dimension ref="A3:L71"/>
  <sheetViews>
    <sheetView showGridLines="0" topLeftCell="A3" zoomScale="75" zoomScaleNormal="75" workbookViewId="0">
      <selection activeCell="I45" sqref="I45"/>
    </sheetView>
  </sheetViews>
  <sheetFormatPr defaultColWidth="9.7109375" defaultRowHeight="12.75"/>
  <cols>
    <col min="1" max="1" width="2.7109375" style="288" customWidth="1"/>
    <col min="2" max="2" width="62.5703125" style="288" customWidth="1"/>
    <col min="3" max="5" width="20.7109375" style="288" customWidth="1"/>
    <col min="6" max="6" width="24.42578125" style="288" customWidth="1"/>
    <col min="7" max="7" width="3.5703125" style="288" customWidth="1"/>
    <col min="8" max="8" width="9.7109375" style="288"/>
    <col min="9" max="9" width="14.42578125" style="288" customWidth="1"/>
    <col min="10" max="16384" width="9.7109375" style="288"/>
  </cols>
  <sheetData>
    <row r="3" spans="1:6" ht="15.75">
      <c r="B3" s="305" t="s">
        <v>1049</v>
      </c>
      <c r="C3" s="305"/>
      <c r="D3" s="277"/>
      <c r="E3" s="277"/>
      <c r="F3" s="277"/>
    </row>
    <row r="4" spans="1:6" ht="15.75">
      <c r="B4" s="305" t="s">
        <v>2572</v>
      </c>
      <c r="C4" s="305"/>
      <c r="D4" s="277"/>
      <c r="E4" s="277"/>
      <c r="F4" s="277"/>
    </row>
    <row r="5" spans="1:6" ht="15.75">
      <c r="B5" s="305" t="s">
        <v>1362</v>
      </c>
      <c r="C5" s="305"/>
      <c r="D5" s="277"/>
      <c r="E5" s="277"/>
      <c r="F5" s="277"/>
    </row>
    <row r="6" spans="1:6" ht="15.75">
      <c r="B6" s="395" t="str">
        <f>+'Sys INPUT'!B2</f>
        <v>For the  Fiscal Year Ended June 30, 2023</v>
      </c>
      <c r="C6" s="305"/>
      <c r="D6" s="277"/>
      <c r="E6" s="277"/>
      <c r="F6" s="277"/>
    </row>
    <row r="7" spans="1:6" ht="15.75">
      <c r="B7" s="305" t="s">
        <v>3117</v>
      </c>
      <c r="C7" s="305"/>
      <c r="D7" s="277"/>
      <c r="E7" s="277"/>
      <c r="F7" s="277"/>
    </row>
    <row r="8" spans="1:6" ht="15.75">
      <c r="C8" s="276"/>
      <c r="D8" s="276"/>
      <c r="E8" s="276"/>
      <c r="F8" s="276"/>
    </row>
    <row r="9" spans="1:6" ht="15.75">
      <c r="B9" s="277"/>
      <c r="C9" s="328" t="s">
        <v>1199</v>
      </c>
      <c r="D9" s="328"/>
      <c r="E9" s="328"/>
      <c r="F9" s="328"/>
    </row>
    <row r="10" spans="1:6" ht="15.75">
      <c r="B10" s="276"/>
      <c r="C10" s="395"/>
      <c r="D10" s="395"/>
      <c r="E10" s="395"/>
      <c r="F10" s="287" t="s">
        <v>1145</v>
      </c>
    </row>
    <row r="11" spans="1:6" ht="15.75">
      <c r="B11" s="308"/>
      <c r="C11" s="328" t="s">
        <v>290</v>
      </c>
      <c r="D11" s="328"/>
      <c r="E11" s="287"/>
      <c r="F11" s="287" t="s">
        <v>461</v>
      </c>
    </row>
    <row r="12" spans="1:6" ht="15.75">
      <c r="A12" s="330"/>
      <c r="B12" s="287"/>
      <c r="C12" s="287"/>
      <c r="D12" s="287"/>
      <c r="E12" s="287" t="s">
        <v>858</v>
      </c>
      <c r="F12" s="287" t="s">
        <v>412</v>
      </c>
    </row>
    <row r="13" spans="1:6" ht="15.75">
      <c r="B13" s="276"/>
      <c r="C13" s="290" t="s">
        <v>857</v>
      </c>
      <c r="D13" s="290" t="s">
        <v>414</v>
      </c>
      <c r="E13" s="290" t="s">
        <v>376</v>
      </c>
      <c r="F13" s="290" t="s">
        <v>413</v>
      </c>
    </row>
    <row r="14" spans="1:6" ht="15.75">
      <c r="B14" s="308" t="str">
        <f>INPUT!B9</f>
        <v>REVENUES</v>
      </c>
      <c r="C14" s="276"/>
      <c r="D14" s="276"/>
      <c r="E14" s="276"/>
      <c r="F14" s="276"/>
    </row>
    <row r="15" spans="1:6" ht="15.75">
      <c r="B15" s="276" t="str">
        <f>INPUT!B10</f>
        <v xml:space="preserve">     Taxes/assessments</v>
      </c>
      <c r="C15" s="292">
        <f>SUM('SR BUDACT ER'!C18:C20)</f>
        <v>11811798</v>
      </c>
      <c r="D15" s="292">
        <f>SUM('SR BUDACT ER'!D18:D20)</f>
        <v>11811798</v>
      </c>
      <c r="E15" s="292">
        <f>SUM('SR BUDACT ER'!E18:E20)+'Sys INPUT'!X201</f>
        <v>12219584</v>
      </c>
      <c r="F15" s="292">
        <f t="shared" ref="F15:F21" si="0">E15-D15</f>
        <v>407786</v>
      </c>
    </row>
    <row r="16" spans="1:6" ht="15.75">
      <c r="B16" s="276" t="str">
        <f>INPUT!B11</f>
        <v xml:space="preserve">     Licenses and permits</v>
      </c>
      <c r="C16" s="294">
        <f>SUM('SR BUDACT ER'!C22:C24)</f>
        <v>1800</v>
      </c>
      <c r="D16" s="294">
        <f>SUM('SR BUDACT ER'!D22:D24)</f>
        <v>1800</v>
      </c>
      <c r="E16" s="294">
        <f>SUM('SR BUDACT ER'!E22:E24)</f>
        <v>2170</v>
      </c>
      <c r="F16" s="294">
        <f t="shared" si="0"/>
        <v>370</v>
      </c>
    </row>
    <row r="17" spans="2:12" ht="15.75">
      <c r="B17" s="276" t="str">
        <f>INPUT!B12</f>
        <v xml:space="preserve">     Intergovernmental</v>
      </c>
      <c r="C17" s="294">
        <f>SUM('SR BUDACT ER'!C27:C40)</f>
        <v>1119655</v>
      </c>
      <c r="D17" s="294">
        <f>SUM('SR BUDACT ER'!D27:D40)</f>
        <v>1119655</v>
      </c>
      <c r="E17" s="294">
        <f>SUM('SR BUDACT ER'!E27:E40)</f>
        <v>1076390</v>
      </c>
      <c r="F17" s="294">
        <f t="shared" si="0"/>
        <v>-43265</v>
      </c>
    </row>
    <row r="18" spans="2:12" ht="15.75">
      <c r="B18" s="276" t="str">
        <f>INPUT!B13</f>
        <v xml:space="preserve">     Charges for services</v>
      </c>
      <c r="C18" s="294">
        <f>SUM('SR BUDACT ER'!C42:C47)</f>
        <v>568500</v>
      </c>
      <c r="D18" s="294">
        <f>SUM('SR BUDACT ER'!D42:D47)</f>
        <v>568500</v>
      </c>
      <c r="E18" s="294">
        <f>SUM('SR BUDACT ER'!E42:E47)</f>
        <v>738985</v>
      </c>
      <c r="F18" s="294">
        <f t="shared" si="0"/>
        <v>170485</v>
      </c>
    </row>
    <row r="19" spans="2:12" ht="15.75">
      <c r="B19" s="276" t="str">
        <f>INPUT!B14</f>
        <v xml:space="preserve">     Fines and forfeitures</v>
      </c>
      <c r="C19" s="294">
        <f>SUM('SR BUDACT ER'!C49:C50)</f>
        <v>354500</v>
      </c>
      <c r="D19" s="294">
        <f>SUM('SR BUDACT ER'!D49:D50)</f>
        <v>354500</v>
      </c>
      <c r="E19" s="294">
        <f>SUM('SR BUDACT ER'!E49:E50)</f>
        <v>379217</v>
      </c>
      <c r="F19" s="294">
        <f t="shared" si="0"/>
        <v>24717</v>
      </c>
    </row>
    <row r="20" spans="2:12" ht="15.75">
      <c r="B20" s="276" t="str">
        <f>INPUT!B15</f>
        <v xml:space="preserve">     Miscellaneous</v>
      </c>
      <c r="C20" s="294">
        <f>+'SR BUDACT ER'!C51</f>
        <v>85000</v>
      </c>
      <c r="D20" s="294">
        <f>+'SR BUDACT ER'!D51</f>
        <v>85000</v>
      </c>
      <c r="E20" s="294">
        <f>+'SR BUDACT ER'!E51+0</f>
        <v>139838</v>
      </c>
      <c r="F20" s="294">
        <f t="shared" si="0"/>
        <v>54838</v>
      </c>
    </row>
    <row r="21" spans="2:12" ht="15" hidden="1" customHeight="1">
      <c r="B21" s="276" t="str">
        <f>INPUT!B16</f>
        <v xml:space="preserve">     Interest earnings</v>
      </c>
      <c r="C21" s="294">
        <f>+'SR BUDACT ER'!C52</f>
        <v>0</v>
      </c>
      <c r="D21" s="294">
        <f>+'SR BUDACT ER'!D52</f>
        <v>0</v>
      </c>
      <c r="E21" s="294">
        <f>+'SR BUDACT ER'!E52</f>
        <v>333</v>
      </c>
      <c r="F21" s="294">
        <f t="shared" si="0"/>
        <v>333</v>
      </c>
    </row>
    <row r="22" spans="2:12" ht="15.75">
      <c r="B22" s="276"/>
      <c r="C22" s="426"/>
      <c r="D22" s="426"/>
      <c r="E22" s="426"/>
      <c r="F22" s="426"/>
    </row>
    <row r="23" spans="2:12" ht="15.75">
      <c r="B23" s="308" t="str">
        <f>INPUT!B18</f>
        <v xml:space="preserve">         Total revenues</v>
      </c>
      <c r="C23" s="706">
        <f>IF(SUM(C15:C22)&lt;&gt;0,SUM(C15:C22),"-  ")</f>
        <v>13941253</v>
      </c>
      <c r="D23" s="706">
        <f>IF(SUM(D15:D22)&lt;&gt;0,SUM(D15:D22),"-  ")</f>
        <v>13941253</v>
      </c>
      <c r="E23" s="706">
        <f>IF(SUM(E15:E22)&lt;&gt;0,SUM(E15:E22),"-  ")</f>
        <v>14556517</v>
      </c>
      <c r="F23" s="706">
        <f>SUM(F15:F22)</f>
        <v>615264</v>
      </c>
    </row>
    <row r="24" spans="2:12" ht="15.75">
      <c r="B24" s="276"/>
      <c r="C24" s="303"/>
      <c r="D24" s="303"/>
      <c r="E24" s="303"/>
      <c r="F24" s="303"/>
    </row>
    <row r="25" spans="2:12" ht="15.75">
      <c r="B25" s="308" t="str">
        <f>INPUT!B20</f>
        <v>EXPENDITURES</v>
      </c>
      <c r="C25" s="303"/>
      <c r="D25" s="303"/>
      <c r="E25" s="303"/>
      <c r="F25" s="303"/>
    </row>
    <row r="26" spans="2:12" ht="15.75">
      <c r="B26" s="276" t="str">
        <f>INPUT!B21</f>
        <v xml:space="preserve">     Current:</v>
      </c>
      <c r="C26" s="303"/>
      <c r="D26" s="303"/>
      <c r="E26" s="303"/>
      <c r="F26" s="303"/>
    </row>
    <row r="27" spans="2:12" ht="15.75" hidden="1">
      <c r="B27" s="276" t="str">
        <f>INPUT!B22</f>
        <v xml:space="preserve">          General government</v>
      </c>
      <c r="C27" s="294"/>
      <c r="D27" s="294"/>
      <c r="E27" s="294"/>
      <c r="F27" s="294"/>
    </row>
    <row r="28" spans="2:12" ht="15.75" hidden="1">
      <c r="B28" s="276" t="s">
        <v>767</v>
      </c>
      <c r="C28" s="294">
        <v>0</v>
      </c>
      <c r="D28" s="294">
        <v>0</v>
      </c>
      <c r="E28" s="294">
        <v>0</v>
      </c>
      <c r="F28" s="294">
        <v>0</v>
      </c>
    </row>
    <row r="29" spans="2:12" ht="15.75" hidden="1">
      <c r="B29" s="276" t="s">
        <v>292</v>
      </c>
      <c r="C29" s="294">
        <v>0</v>
      </c>
      <c r="D29" s="294">
        <v>0</v>
      </c>
      <c r="E29" s="294">
        <v>0</v>
      </c>
      <c r="F29" s="294">
        <v>0</v>
      </c>
    </row>
    <row r="30" spans="2:12" ht="15.75">
      <c r="B30" s="276" t="str">
        <f>INPUT!B23</f>
        <v xml:space="preserve">          Public safety</v>
      </c>
      <c r="C30" s="294"/>
      <c r="D30" s="294"/>
      <c r="E30" s="294"/>
      <c r="F30" s="294"/>
    </row>
    <row r="31" spans="2:12" ht="15.75">
      <c r="B31" s="276" t="s">
        <v>767</v>
      </c>
      <c r="C31" s="294">
        <f>'SR BUDACT ER'!C62</f>
        <v>9859498</v>
      </c>
      <c r="D31" s="294">
        <f>'SR BUDACT ER'!D62</f>
        <v>9859498</v>
      </c>
      <c r="E31" s="294">
        <f>'SR BUDACT ER'!E62</f>
        <v>9005686</v>
      </c>
      <c r="F31" s="294">
        <f>SUM(D31-E31)</f>
        <v>853812</v>
      </c>
      <c r="L31" s="713"/>
    </row>
    <row r="32" spans="2:12" ht="15.75">
      <c r="B32" s="276" t="s">
        <v>292</v>
      </c>
      <c r="C32" s="294">
        <f>'SR BUDACT ER'!C63</f>
        <v>4496599</v>
      </c>
      <c r="D32" s="294">
        <f>'SR BUDACT ER'!D63</f>
        <v>4496599</v>
      </c>
      <c r="E32" s="294">
        <f>'SR BUDACT ER'!E63</f>
        <v>4320386</v>
      </c>
      <c r="F32" s="294">
        <f>SUM(D32-E32)</f>
        <v>176213</v>
      </c>
    </row>
    <row r="33" spans="2:6" ht="15.75" hidden="1">
      <c r="B33" s="276" t="str">
        <f>INPUT!B24</f>
        <v xml:space="preserve">          Public works</v>
      </c>
      <c r="C33" s="294">
        <f>SUM('SR BUDACT ER'!C65:C66)</f>
        <v>0</v>
      </c>
      <c r="D33" s="294">
        <f>SUM('SR BUDACT ER'!D65:D66)</f>
        <v>0</v>
      </c>
      <c r="E33" s="294">
        <f>SUM('SR BUDACT ER'!E65:E66)</f>
        <v>0</v>
      </c>
      <c r="F33" s="294">
        <f t="shared" ref="F33:F38" si="1">SUM(D33-E33)</f>
        <v>0</v>
      </c>
    </row>
    <row r="34" spans="2:6" ht="15.75" hidden="1">
      <c r="B34" s="276" t="str">
        <f>INPUT!B25</f>
        <v xml:space="preserve">          Public health</v>
      </c>
      <c r="C34" s="294">
        <f>SUM('SR BUDACT ER'!C68:C69)</f>
        <v>0</v>
      </c>
      <c r="D34" s="294">
        <f>SUM('SR BUDACT ER'!D68:D69)</f>
        <v>0</v>
      </c>
      <c r="E34" s="294">
        <f>SUM('SR BUDACT ER'!E68:E69)</f>
        <v>0</v>
      </c>
      <c r="F34" s="294">
        <f t="shared" si="1"/>
        <v>0</v>
      </c>
    </row>
    <row r="35" spans="2:6" ht="15.75" hidden="1">
      <c r="B35" s="276" t="str">
        <f>INPUT!B26</f>
        <v xml:space="preserve">          Social and economic</v>
      </c>
      <c r="C35" s="294">
        <f>SUM('SR BUDACT ER'!C71:C72)</f>
        <v>0</v>
      </c>
      <c r="D35" s="294">
        <f>SUM('SR BUDACT ER'!D71:D72)</f>
        <v>0</v>
      </c>
      <c r="E35" s="294">
        <f>SUM('SR BUDACT ER'!E71:E72)</f>
        <v>0</v>
      </c>
      <c r="F35" s="294">
        <f t="shared" si="1"/>
        <v>0</v>
      </c>
    </row>
    <row r="36" spans="2:6" ht="15.75" hidden="1">
      <c r="B36" s="276" t="str">
        <f>INPUT!B27</f>
        <v xml:space="preserve">          Culture and recreation</v>
      </c>
      <c r="C36" s="294">
        <f>SUM('SR BUDACT ER'!C74:C75)</f>
        <v>0</v>
      </c>
      <c r="D36" s="294">
        <f>SUM('SR BUDACT ER'!D74:D75)</f>
        <v>0</v>
      </c>
      <c r="E36" s="294">
        <f>SUM('SR BUDACT ER'!E74:E75)</f>
        <v>0</v>
      </c>
      <c r="F36" s="294">
        <f t="shared" si="1"/>
        <v>0</v>
      </c>
    </row>
    <row r="37" spans="2:6" ht="15.75" hidden="1">
      <c r="B37" s="276" t="str">
        <f>INPUT!B28</f>
        <v xml:space="preserve">     Debt service</v>
      </c>
      <c r="C37" s="294">
        <f>SUM('SR BUDACT ER'!C77:C78)</f>
        <v>0</v>
      </c>
      <c r="D37" s="294">
        <f>SUM('SR BUDACT ER'!D77:D78)</f>
        <v>0</v>
      </c>
      <c r="E37" s="294">
        <f>SUM('SR BUDACT ER'!E77:E78)</f>
        <v>0</v>
      </c>
      <c r="F37" s="294">
        <f t="shared" si="1"/>
        <v>0</v>
      </c>
    </row>
    <row r="38" spans="2:6" ht="15.75" hidden="1">
      <c r="B38" s="276" t="str">
        <f>INPUT!B29</f>
        <v xml:space="preserve">     Capital outlay</v>
      </c>
      <c r="C38" s="294">
        <f>+'SR BUDACT ER'!C79</f>
        <v>0</v>
      </c>
      <c r="D38" s="294">
        <f>+'SR BUDACT ER'!D79</f>
        <v>0</v>
      </c>
      <c r="E38" s="294">
        <f>+'SR BUDACT ER'!E79</f>
        <v>98168</v>
      </c>
      <c r="F38" s="294">
        <f t="shared" si="1"/>
        <v>-98168</v>
      </c>
    </row>
    <row r="39" spans="2:6" ht="15.75">
      <c r="B39" s="276"/>
      <c r="C39" s="426"/>
      <c r="D39" s="426"/>
      <c r="E39" s="426"/>
      <c r="F39" s="426"/>
    </row>
    <row r="40" spans="2:6" ht="15.75">
      <c r="B40" s="308" t="str">
        <f>INPUT!B41</f>
        <v xml:space="preserve">         Total expenditures</v>
      </c>
      <c r="C40" s="706">
        <f>SUM(C27:C39)</f>
        <v>14356097</v>
      </c>
      <c r="D40" s="706">
        <f>SUM(D27:D39)</f>
        <v>14356097</v>
      </c>
      <c r="E40" s="706">
        <f>SUM(E27:E39)</f>
        <v>13424240</v>
      </c>
      <c r="F40" s="706">
        <f>SUM(F27:F39)</f>
        <v>931857</v>
      </c>
    </row>
    <row r="41" spans="2:6" ht="15.75">
      <c r="B41" s="308" t="str">
        <f>INPUT!B42</f>
        <v xml:space="preserve">             Excess (deficiency) of revenue</v>
      </c>
      <c r="C41" s="296"/>
      <c r="D41" s="296"/>
      <c r="E41" s="296"/>
      <c r="F41" s="296"/>
    </row>
    <row r="42" spans="2:6" ht="15.75">
      <c r="B42" s="308" t="str">
        <f>INPUT!B43</f>
        <v xml:space="preserve">                 over (under) expenditures</v>
      </c>
      <c r="C42" s="697">
        <f>SUM(C23-C40)</f>
        <v>-414844</v>
      </c>
      <c r="D42" s="697">
        <f>SUM(D23-D40)</f>
        <v>-414844</v>
      </c>
      <c r="E42" s="697">
        <f>SUM(E23-E40)</f>
        <v>1132277</v>
      </c>
      <c r="F42" s="697">
        <f>SUM(F23+F40)</f>
        <v>1547121</v>
      </c>
    </row>
    <row r="43" spans="2:6" ht="15.75">
      <c r="B43" s="276"/>
      <c r="C43" s="296"/>
      <c r="D43" s="294"/>
      <c r="E43" s="294"/>
      <c r="F43" s="294"/>
    </row>
    <row r="44" spans="2:6" ht="15.75">
      <c r="B44" s="308" t="str">
        <f>INPUT!B45</f>
        <v>OTHER FINANCING SOURCES (USES)</v>
      </c>
      <c r="C44" s="314"/>
      <c r="D44" s="294"/>
      <c r="E44" s="294"/>
      <c r="F44" s="294"/>
    </row>
    <row r="45" spans="2:6" ht="15.75">
      <c r="B45" s="276" t="str">
        <f>INPUT!B46</f>
        <v xml:space="preserve">     Transfers in</v>
      </c>
      <c r="C45" s="294">
        <f>+'SR BUDACT ER'!C86</f>
        <v>693162</v>
      </c>
      <c r="D45" s="294">
        <f>+'SR BUDACT ER'!D86</f>
        <v>693162</v>
      </c>
      <c r="E45" s="294">
        <f>+'SR BUDACT ER'!E86</f>
        <v>599925</v>
      </c>
      <c r="F45" s="294">
        <f>+SUM(E45-D45)</f>
        <v>-93237</v>
      </c>
    </row>
    <row r="46" spans="2:6" ht="15.75">
      <c r="B46" s="276" t="str">
        <f>INPUT!B47</f>
        <v xml:space="preserve">     Transfers out</v>
      </c>
      <c r="C46" s="294">
        <f>+'SR BUDACT ER'!C87</f>
        <v>-775090</v>
      </c>
      <c r="D46" s="294">
        <f>+'SR BUDACT ER'!D87</f>
        <v>-775090</v>
      </c>
      <c r="E46" s="294">
        <f>+'SR BUDACT ER'!E87+0</f>
        <v>-765090</v>
      </c>
      <c r="F46" s="294">
        <f>+SUM(E46-D46)</f>
        <v>10000</v>
      </c>
    </row>
    <row r="47" spans="2:6" ht="15.75" hidden="1">
      <c r="B47" s="276" t="str">
        <f>INPUT!B50</f>
        <v xml:space="preserve">     Issuance of long-term debt</v>
      </c>
      <c r="C47" s="294">
        <f>+'SR BUDACT ER'!C88</f>
        <v>0</v>
      </c>
      <c r="D47" s="294">
        <f>+'SR BUDACT ER'!D88</f>
        <v>0</v>
      </c>
      <c r="E47" s="294">
        <f>+'SR BUDACT ER'!E88</f>
        <v>0</v>
      </c>
      <c r="F47" s="294">
        <f>+SUM(E47-D47)</f>
        <v>0</v>
      </c>
    </row>
    <row r="48" spans="2:6" ht="15.75">
      <c r="B48" s="276" t="s">
        <v>309</v>
      </c>
      <c r="C48" s="294">
        <f>'SR BUDACT ER'!C89</f>
        <v>15000</v>
      </c>
      <c r="D48" s="294">
        <f>'SR BUDACT ER'!D89</f>
        <v>15000</v>
      </c>
      <c r="E48" s="294">
        <f>'SR BUDACT ER'!E89</f>
        <v>52600</v>
      </c>
      <c r="F48" s="317">
        <f>+SUM(E48-D48)</f>
        <v>37600</v>
      </c>
    </row>
    <row r="49" spans="1:9" ht="15.75">
      <c r="B49" s="276"/>
      <c r="C49" s="426"/>
      <c r="D49" s="426"/>
      <c r="E49" s="426"/>
      <c r="F49" s="294"/>
    </row>
    <row r="50" spans="1:9" ht="15.75">
      <c r="B50" s="308" t="str">
        <f>INPUT!B58</f>
        <v xml:space="preserve">         Total other financing sources and uses</v>
      </c>
      <c r="C50" s="706">
        <f>SUM(C45:C49)</f>
        <v>-66928</v>
      </c>
      <c r="D50" s="706">
        <f>SUM(D45:D49)</f>
        <v>-66928</v>
      </c>
      <c r="E50" s="706">
        <f>SUM(E45:E49)</f>
        <v>-112565</v>
      </c>
      <c r="F50" s="706">
        <f>SUM(F45:F49)</f>
        <v>-45637</v>
      </c>
    </row>
    <row r="51" spans="1:9" ht="15.75">
      <c r="B51" s="276"/>
      <c r="C51" s="276"/>
      <c r="D51" s="276"/>
      <c r="E51" s="276"/>
      <c r="F51" s="276"/>
    </row>
    <row r="52" spans="1:9" ht="16.5" thickBot="1">
      <c r="B52" s="308" t="str">
        <f>INPUT!B61</f>
        <v xml:space="preserve">             Net change in fund balances</v>
      </c>
      <c r="C52" s="703">
        <f>SUM(C42+C50)</f>
        <v>-481772</v>
      </c>
      <c r="D52" s="703">
        <f>SUM(D42+D50)</f>
        <v>-481772</v>
      </c>
      <c r="E52" s="697">
        <f>SUM(E42+E50)</f>
        <v>1019712</v>
      </c>
      <c r="F52" s="703">
        <f>SUM(F42+F50)</f>
        <v>1501484</v>
      </c>
    </row>
    <row r="53" spans="1:9" ht="16.5" thickTop="1">
      <c r="B53" s="276"/>
      <c r="C53" s="303"/>
      <c r="D53" s="303"/>
      <c r="E53" s="294"/>
      <c r="F53" s="303"/>
    </row>
    <row r="54" spans="1:9" ht="15.75">
      <c r="B54" s="276" t="str">
        <f>INPUT!B63</f>
        <v xml:space="preserve">     Fund balance, July 1</v>
      </c>
      <c r="C54" s="303"/>
      <c r="D54" s="303"/>
      <c r="E54" s="318">
        <f>+'SR BUDACT ER'!E95+'Sys INPUT'!X191</f>
        <v>3397486</v>
      </c>
      <c r="F54" s="303"/>
    </row>
    <row r="55" spans="1:9" ht="15.75" hidden="1">
      <c r="B55" s="276"/>
      <c r="C55" s="303"/>
      <c r="D55" s="303"/>
      <c r="E55" s="294"/>
      <c r="F55" s="303"/>
    </row>
    <row r="56" spans="1:9" ht="15.75" hidden="1">
      <c r="A56" s="288" t="s">
        <v>299</v>
      </c>
      <c r="B56" s="276" t="str">
        <f>INPUT!B65</f>
        <v xml:space="preserve">     Add back depreciation that reduces contributed capital</v>
      </c>
      <c r="C56" s="303"/>
      <c r="D56" s="303"/>
      <c r="E56" s="294">
        <v>0</v>
      </c>
      <c r="F56" s="303"/>
    </row>
    <row r="57" spans="1:9" ht="15.75" hidden="1">
      <c r="A57" s="288" t="s">
        <v>299</v>
      </c>
      <c r="B57" s="276"/>
      <c r="C57" s="303"/>
      <c r="D57" s="303"/>
      <c r="E57" s="294"/>
      <c r="F57" s="303"/>
    </row>
    <row r="58" spans="1:9" ht="15.75" hidden="1">
      <c r="B58" s="276" t="str">
        <f>INPUT!B66</f>
        <v xml:space="preserve">     Prior period adjustments</v>
      </c>
      <c r="C58" s="303"/>
      <c r="D58" s="303"/>
      <c r="E58" s="317" t="str">
        <f>IF(+'Sys INPUT'!X64&lt;&gt;0,+'Sys INPUT'!X64,"-")</f>
        <v>-</v>
      </c>
      <c r="F58" s="303"/>
    </row>
    <row r="59" spans="1:9" ht="15.75" hidden="1">
      <c r="B59" s="276"/>
      <c r="C59" s="303"/>
      <c r="D59" s="303"/>
      <c r="E59" s="294"/>
      <c r="F59" s="303"/>
    </row>
    <row r="60" spans="1:9" ht="15.75" hidden="1">
      <c r="A60" s="288" t="s">
        <v>299</v>
      </c>
      <c r="B60" s="308" t="str">
        <f>INPUT!B69</f>
        <v xml:space="preserve">     Total net position, beginning, as restated</v>
      </c>
      <c r="C60" s="303"/>
      <c r="D60" s="303"/>
      <c r="E60" s="300">
        <f>IF(SUM(E54+E58)&lt;&gt;0,SUM(E54+E58),"-  ")</f>
        <v>3397486</v>
      </c>
      <c r="F60" s="303"/>
    </row>
    <row r="61" spans="1:9" ht="15.75" hidden="1">
      <c r="A61" s="288" t="s">
        <v>299</v>
      </c>
      <c r="B61" s="276"/>
      <c r="C61" s="303"/>
      <c r="D61" s="303"/>
      <c r="E61" s="294"/>
      <c r="F61" s="303"/>
    </row>
    <row r="62" spans="1:9" ht="15.75" hidden="1">
      <c r="B62" s="276" t="str">
        <f>INPUT!B71</f>
        <v xml:space="preserve">     Residual equity transfers</v>
      </c>
      <c r="C62" s="303"/>
      <c r="D62" s="303"/>
      <c r="E62" s="317" t="str">
        <f>IF(+'Sys INPUT'!X69&lt;&gt;0,+'Sys INPUT'!X69,"-")</f>
        <v>-</v>
      </c>
      <c r="F62" s="303"/>
    </row>
    <row r="63" spans="1:9" ht="15.75">
      <c r="B63" s="276"/>
      <c r="C63" s="303"/>
      <c r="D63" s="303"/>
      <c r="E63" s="294"/>
      <c r="F63" s="303"/>
    </row>
    <row r="64" spans="1:9" ht="16.5" thickBot="1">
      <c r="B64" s="276" t="str">
        <f>INPUT!B73</f>
        <v xml:space="preserve">     Fund balance, June 30</v>
      </c>
      <c r="C64" s="303"/>
      <c r="D64" s="303"/>
      <c r="E64" s="703">
        <f>IF(SUM(E52+E60+E62)&lt;&gt;0,SUM(E52+E60+E62),"-  ")</f>
        <v>4417198</v>
      </c>
      <c r="F64" s="303"/>
      <c r="I64" s="460" t="s">
        <v>3032</v>
      </c>
    </row>
    <row r="65" spans="2:10" ht="16.5" thickTop="1">
      <c r="B65" s="276"/>
      <c r="C65" s="294"/>
      <c r="D65" s="294"/>
      <c r="E65" s="294"/>
      <c r="F65" s="294"/>
      <c r="I65" s="460" t="s">
        <v>3035</v>
      </c>
    </row>
    <row r="66" spans="2:10" ht="15.75">
      <c r="B66" s="350"/>
      <c r="C66" s="294"/>
      <c r="D66" s="294"/>
      <c r="E66" s="294"/>
      <c r="F66" s="294"/>
      <c r="I66" s="1063">
        <v>3841918</v>
      </c>
      <c r="J66" s="288">
        <f>+I66-E54</f>
        <v>444432</v>
      </c>
    </row>
    <row r="67" spans="2:10" ht="15.75">
      <c r="I67" s="325" t="s">
        <v>3195</v>
      </c>
    </row>
    <row r="68" spans="2:10" ht="15.75">
      <c r="I68" s="1064" t="s">
        <v>3196</v>
      </c>
    </row>
    <row r="70" spans="2:10">
      <c r="E70" s="288" t="s">
        <v>439</v>
      </c>
      <c r="F70" s="465" t="s">
        <v>163</v>
      </c>
    </row>
    <row r="71" spans="2:10">
      <c r="F71" s="288" t="s">
        <v>164</v>
      </c>
    </row>
  </sheetData>
  <phoneticPr fontId="0" type="noConversion"/>
  <printOptions horizontalCentered="1"/>
  <pageMargins left="0.4" right="0.4" top="0.5" bottom="0.75" header="0.5" footer="0.25"/>
  <pageSetup scale="65" firstPageNumber="24" orientation="portrait" useFirstPageNumber="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T40"/>
  <sheetViews>
    <sheetView showGridLines="0" topLeftCell="A4" zoomScale="90" zoomScaleNormal="90" workbookViewId="0">
      <selection activeCell="C42" sqref="C42"/>
    </sheetView>
  </sheetViews>
  <sheetFormatPr defaultRowHeight="12.75"/>
  <cols>
    <col min="1" max="1" width="30" bestFit="1" customWidth="1"/>
    <col min="2" max="2" width="11.5703125" customWidth="1"/>
    <col min="3" max="3" width="1.7109375" customWidth="1"/>
    <col min="4" max="4" width="10.7109375" customWidth="1"/>
    <col min="5" max="5" width="1.7109375" customWidth="1"/>
    <col min="6" max="6" width="10.7109375" customWidth="1"/>
    <col min="7" max="7" width="1.7109375" customWidth="1"/>
    <col min="8" max="8" width="11.28515625" bestFit="1" customWidth="1"/>
    <col min="9" max="9" width="1.7109375" customWidth="1"/>
    <col min="10" max="10" width="10.7109375" customWidth="1"/>
    <col min="11" max="11" width="1.7109375" customWidth="1"/>
    <col min="12" max="12" width="12" customWidth="1"/>
    <col min="13" max="13" width="1.7109375" customWidth="1"/>
    <col min="14" max="14" width="13" hidden="1" customWidth="1"/>
    <col min="15" max="15" width="1.5703125" hidden="1" customWidth="1"/>
    <col min="16" max="16" width="10.42578125" hidden="1" customWidth="1"/>
    <col min="18" max="18" width="17.28515625" bestFit="1" customWidth="1"/>
  </cols>
  <sheetData>
    <row r="1" spans="1:16">
      <c r="A1" s="583"/>
      <c r="B1" s="1302" t="s">
        <v>2363</v>
      </c>
      <c r="C1" s="1302"/>
      <c r="D1" s="1302"/>
      <c r="E1" s="1302"/>
      <c r="F1" s="1302"/>
      <c r="G1" s="1302"/>
      <c r="H1" s="1302"/>
      <c r="I1" s="1302"/>
      <c r="J1" s="1302"/>
      <c r="K1" s="1302"/>
      <c r="L1" s="1302"/>
      <c r="M1" s="1302"/>
      <c r="N1" s="1302"/>
      <c r="O1" s="1302"/>
      <c r="P1" s="1302"/>
    </row>
    <row r="2" spans="1:16">
      <c r="A2" s="583"/>
      <c r="B2" s="585"/>
      <c r="C2" s="585"/>
      <c r="D2" s="585" t="s">
        <v>392</v>
      </c>
      <c r="E2" s="585"/>
      <c r="F2" s="585" t="s">
        <v>2364</v>
      </c>
      <c r="G2" s="585"/>
      <c r="H2" s="585" t="s">
        <v>696</v>
      </c>
      <c r="J2" s="585" t="s">
        <v>63</v>
      </c>
      <c r="K2" s="585"/>
      <c r="L2" s="585" t="s">
        <v>798</v>
      </c>
      <c r="M2" s="585"/>
      <c r="N2" s="585" t="s">
        <v>3147</v>
      </c>
      <c r="O2" s="585"/>
      <c r="P2" s="585" t="s">
        <v>2419</v>
      </c>
    </row>
    <row r="3" spans="1:16">
      <c r="A3" s="583"/>
      <c r="B3" s="586" t="s">
        <v>1235</v>
      </c>
      <c r="C3" s="583"/>
      <c r="D3" s="586" t="s">
        <v>393</v>
      </c>
      <c r="E3" s="583"/>
      <c r="F3" s="586" t="s">
        <v>2365</v>
      </c>
      <c r="G3" s="583"/>
      <c r="H3" s="586" t="s">
        <v>3080</v>
      </c>
      <c r="J3" s="586" t="s">
        <v>1224</v>
      </c>
      <c r="K3" s="583"/>
      <c r="L3" s="586" t="s">
        <v>2366</v>
      </c>
      <c r="M3" s="583"/>
      <c r="N3" s="586" t="s">
        <v>3148</v>
      </c>
      <c r="O3" s="583"/>
      <c r="P3" s="586" t="s">
        <v>2420</v>
      </c>
    </row>
    <row r="4" spans="1:16">
      <c r="A4" s="583" t="s">
        <v>2367</v>
      </c>
      <c r="B4" s="587">
        <f>+'GEN BUDACT'!F210</f>
        <v>10244401</v>
      </c>
      <c r="C4" s="587"/>
      <c r="D4" s="587">
        <f>+'MAJ GOV BUDACT'!E64</f>
        <v>4417198</v>
      </c>
      <c r="E4" s="587"/>
      <c r="F4" s="587">
        <f>+'MAJ GOV BUDACT (3)'!E72</f>
        <v>6823774</v>
      </c>
      <c r="G4" s="587"/>
      <c r="H4" s="587">
        <f>+'MAJ GOV BUDACT (2)'!E72</f>
        <v>-197128</v>
      </c>
      <c r="J4" s="587">
        <f>+'DS BUDACT'!AI64</f>
        <v>121101</v>
      </c>
      <c r="K4" s="587"/>
      <c r="L4" s="587">
        <f>+'CP BUDACT'!D73</f>
        <v>17958090</v>
      </c>
      <c r="M4" s="587"/>
      <c r="N4" s="587"/>
      <c r="O4" s="587"/>
      <c r="P4" s="587">
        <v>0</v>
      </c>
    </row>
    <row r="5" spans="1:16">
      <c r="A5" s="583" t="s">
        <v>2368</v>
      </c>
      <c r="B5" s="382"/>
      <c r="C5" s="382"/>
      <c r="D5" s="382"/>
      <c r="E5" s="382"/>
      <c r="F5" s="382"/>
      <c r="G5" s="382"/>
      <c r="H5" s="382"/>
      <c r="J5" s="382"/>
      <c r="K5" s="382"/>
      <c r="L5" s="382"/>
      <c r="M5" s="382"/>
      <c r="N5" s="382"/>
      <c r="O5" s="382"/>
      <c r="P5" s="382"/>
    </row>
    <row r="6" spans="1:16">
      <c r="A6" s="583" t="s">
        <v>2369</v>
      </c>
      <c r="B6" s="382">
        <f>+INPUT!D316</f>
        <v>112403</v>
      </c>
      <c r="C6" s="382"/>
      <c r="D6" s="382">
        <v>0</v>
      </c>
      <c r="E6" s="382"/>
      <c r="F6" s="382">
        <v>0</v>
      </c>
      <c r="G6" s="382"/>
      <c r="H6" s="382">
        <v>0</v>
      </c>
      <c r="J6" s="382">
        <v>0</v>
      </c>
      <c r="K6" s="382"/>
      <c r="L6" s="382">
        <v>0</v>
      </c>
      <c r="M6" s="382"/>
      <c r="N6" s="382">
        <v>0</v>
      </c>
      <c r="O6" s="382"/>
      <c r="P6" s="382">
        <f>+INPUT!BW316</f>
        <v>0</v>
      </c>
    </row>
    <row r="7" spans="1:16">
      <c r="A7" s="583" t="s">
        <v>2370</v>
      </c>
      <c r="B7" s="382">
        <f>+INPUT!D283</f>
        <v>79820</v>
      </c>
      <c r="C7" s="382"/>
      <c r="D7" s="382">
        <f>+INPUT!X283</f>
        <v>145969</v>
      </c>
      <c r="E7" s="382"/>
      <c r="F7" s="382">
        <f>+INPUT!BC283</f>
        <v>26206</v>
      </c>
      <c r="G7" s="382"/>
      <c r="H7" s="382">
        <v>0</v>
      </c>
      <c r="J7" s="382">
        <f>+INPUT!BN283</f>
        <v>0</v>
      </c>
      <c r="K7" s="382"/>
      <c r="L7" s="382">
        <f>+INPUT!BR283</f>
        <v>0</v>
      </c>
      <c r="M7" s="382"/>
      <c r="N7" s="382">
        <f>+INPUT!BV283</f>
        <v>0</v>
      </c>
      <c r="O7" s="382"/>
      <c r="P7" s="382">
        <f>+INPUT!BW283</f>
        <v>0</v>
      </c>
    </row>
    <row r="8" spans="1:16">
      <c r="A8" s="583" t="s">
        <v>2371</v>
      </c>
      <c r="B8" s="382">
        <f>+INPUT!D284</f>
        <v>112318</v>
      </c>
      <c r="C8" s="382"/>
      <c r="D8" s="382">
        <f>+INPUT!X284</f>
        <v>0</v>
      </c>
      <c r="E8" s="382"/>
      <c r="F8" s="382">
        <f>+INPUT!BC284</f>
        <v>0</v>
      </c>
      <c r="G8" s="382"/>
      <c r="H8" s="382">
        <v>0</v>
      </c>
      <c r="J8" s="382">
        <f>+INPUT!BN284</f>
        <v>0</v>
      </c>
      <c r="K8" s="382"/>
      <c r="L8" s="382">
        <f>+INPUT!BR284</f>
        <v>0</v>
      </c>
      <c r="M8" s="382"/>
      <c r="N8" s="382">
        <f>+INPUT!BV284</f>
        <v>0</v>
      </c>
      <c r="O8" s="382"/>
      <c r="P8" s="382">
        <f>+INPUT!BW284</f>
        <v>0</v>
      </c>
    </row>
    <row r="9" spans="1:16">
      <c r="A9" s="583" t="s">
        <v>2372</v>
      </c>
      <c r="B9" s="382">
        <f>+INPUT!D285</f>
        <v>0</v>
      </c>
      <c r="C9" s="382"/>
      <c r="D9" s="382">
        <f>+INPUT!X285</f>
        <v>87014</v>
      </c>
      <c r="E9" s="382"/>
      <c r="F9" s="382">
        <f>+INPUT!BC285</f>
        <v>0</v>
      </c>
      <c r="G9" s="382"/>
      <c r="H9" s="382">
        <v>0</v>
      </c>
      <c r="J9" s="382">
        <f>+INPUT!BN285</f>
        <v>0</v>
      </c>
      <c r="K9" s="382"/>
      <c r="L9" s="382">
        <f>+INPUT!BR285</f>
        <v>0</v>
      </c>
      <c r="M9" s="382"/>
      <c r="N9" s="382">
        <f>+INPUT!BV285</f>
        <v>0</v>
      </c>
      <c r="O9" s="382"/>
      <c r="P9" s="382">
        <f>+INPUT!BW285</f>
        <v>0</v>
      </c>
    </row>
    <row r="10" spans="1:16">
      <c r="A10" s="583" t="s">
        <v>2373</v>
      </c>
      <c r="B10" s="382">
        <f>+INPUT!D286</f>
        <v>0</v>
      </c>
      <c r="C10" s="382"/>
      <c r="D10" s="382">
        <f>+INPUT!X286</f>
        <v>79518</v>
      </c>
      <c r="E10" s="382"/>
      <c r="F10" s="382">
        <f>+INPUT!BC286</f>
        <v>0</v>
      </c>
      <c r="G10" s="382"/>
      <c r="H10" s="382">
        <v>0</v>
      </c>
      <c r="J10" s="382">
        <f>+INPUT!BN286</f>
        <v>0</v>
      </c>
      <c r="K10" s="382"/>
      <c r="L10" s="382">
        <f>+INPUT!BR286</f>
        <v>0</v>
      </c>
      <c r="M10" s="382"/>
      <c r="N10" s="382">
        <f>+INPUT!BV286</f>
        <v>0</v>
      </c>
      <c r="O10" s="382"/>
      <c r="P10" s="382">
        <f>+INPUT!BW286</f>
        <v>0</v>
      </c>
    </row>
    <row r="11" spans="1:16" hidden="1">
      <c r="A11" s="583" t="s">
        <v>2374</v>
      </c>
      <c r="B11" s="382">
        <f>+INPUT!D291</f>
        <v>0</v>
      </c>
      <c r="C11" s="382"/>
      <c r="D11" s="382">
        <f>+INPUT!X291</f>
        <v>0</v>
      </c>
      <c r="E11" s="382"/>
      <c r="F11" s="382">
        <f>+INPUT!BC291</f>
        <v>0</v>
      </c>
      <c r="G11" s="382"/>
      <c r="H11" s="382">
        <v>0</v>
      </c>
      <c r="J11" s="382">
        <f>+INPUT!BN291</f>
        <v>0</v>
      </c>
      <c r="K11" s="382"/>
      <c r="L11" s="382">
        <f>+INPUT!BR291</f>
        <v>0</v>
      </c>
      <c r="M11" s="382"/>
      <c r="N11" s="382">
        <f>+INPUT!BV291</f>
        <v>0</v>
      </c>
      <c r="O11" s="382"/>
      <c r="P11" s="382">
        <f>+INPUT!BW291</f>
        <v>0</v>
      </c>
    </row>
    <row r="12" spans="1:16" hidden="1">
      <c r="A12" s="583" t="s">
        <v>2375</v>
      </c>
      <c r="B12" s="382">
        <f>-INPUT!D302</f>
        <v>0</v>
      </c>
      <c r="C12" s="382"/>
      <c r="D12" s="382">
        <v>0</v>
      </c>
      <c r="E12" s="382"/>
      <c r="F12" s="382">
        <v>0</v>
      </c>
      <c r="G12" s="382"/>
      <c r="H12" s="382"/>
      <c r="J12" s="382">
        <v>0</v>
      </c>
      <c r="K12" s="382"/>
      <c r="L12" s="382">
        <v>0</v>
      </c>
      <c r="M12" s="382"/>
      <c r="N12" s="382">
        <v>0</v>
      </c>
      <c r="O12" s="382"/>
      <c r="P12" s="382">
        <f>-INPUT!BW302</f>
        <v>0</v>
      </c>
    </row>
    <row r="13" spans="1:16">
      <c r="A13" s="583" t="s">
        <v>2376</v>
      </c>
      <c r="B13" s="382">
        <f>-INPUT!D314-B12</f>
        <v>-324210</v>
      </c>
      <c r="C13" s="382"/>
      <c r="D13" s="382">
        <f>-INPUT!X314</f>
        <v>-363608</v>
      </c>
      <c r="E13" s="382"/>
      <c r="F13" s="382">
        <f>-INPUT!BC314</f>
        <v>-36601</v>
      </c>
      <c r="G13" s="382"/>
      <c r="H13" s="382">
        <f>-INPUT!BB314</f>
        <v>-90586</v>
      </c>
      <c r="J13" s="382">
        <f>-INPUT!BN314</f>
        <v>0</v>
      </c>
      <c r="K13" s="382"/>
      <c r="L13" s="382">
        <f>-INPUT!BR314</f>
        <v>-51976</v>
      </c>
      <c r="M13" s="382"/>
      <c r="N13" s="382">
        <f>-INPUT!BV314</f>
        <v>0</v>
      </c>
      <c r="O13" s="382"/>
      <c r="P13" s="382">
        <v>0</v>
      </c>
    </row>
    <row r="14" spans="1:16">
      <c r="A14" s="583" t="s">
        <v>2377</v>
      </c>
      <c r="B14" s="588">
        <f>SUM(B4:B13)</f>
        <v>10224732</v>
      </c>
      <c r="C14" s="589"/>
      <c r="D14" s="590">
        <f>SUM(D4:D13)</f>
        <v>4366091</v>
      </c>
      <c r="E14" s="589"/>
      <c r="F14" s="588">
        <f>SUM(F4:F13)</f>
        <v>6813379</v>
      </c>
      <c r="G14" s="589"/>
      <c r="H14" s="588">
        <f>SUM(H4:H13)</f>
        <v>-287714</v>
      </c>
      <c r="J14" s="588">
        <f>SUM(J4:J13)</f>
        <v>121101</v>
      </c>
      <c r="K14" s="589"/>
      <c r="L14" s="588">
        <f>SUM(L4:L13)</f>
        <v>17906114</v>
      </c>
      <c r="M14" s="589"/>
      <c r="N14" s="588">
        <f>SUM(N4:N13)</f>
        <v>0</v>
      </c>
      <c r="O14" s="589"/>
      <c r="P14" s="588">
        <f>SUM(P4:P13)</f>
        <v>0</v>
      </c>
    </row>
    <row r="15" spans="1:16">
      <c r="A15" s="583" t="s">
        <v>2378</v>
      </c>
      <c r="B15" s="589">
        <v>0</v>
      </c>
      <c r="C15" s="589"/>
      <c r="D15" s="589">
        <v>0</v>
      </c>
      <c r="E15" s="589"/>
      <c r="F15" s="589">
        <v>0</v>
      </c>
      <c r="G15" s="589"/>
      <c r="H15" s="589">
        <v>0</v>
      </c>
      <c r="J15" s="589">
        <v>0</v>
      </c>
      <c r="K15" s="589"/>
      <c r="L15" s="589">
        <v>0</v>
      </c>
      <c r="M15" s="589"/>
      <c r="N15" s="589">
        <v>0</v>
      </c>
      <c r="O15" s="589"/>
      <c r="P15" s="589">
        <v>0</v>
      </c>
    </row>
    <row r="16" spans="1:16" ht="13.5" thickBot="1">
      <c r="A16" s="583" t="s">
        <v>2379</v>
      </c>
      <c r="B16" s="591">
        <f>SUM(B14:B15)</f>
        <v>10224732</v>
      </c>
      <c r="C16" s="592"/>
      <c r="D16" s="591">
        <f>SUM(D14:D15)</f>
        <v>4366091</v>
      </c>
      <c r="E16" s="592"/>
      <c r="F16" s="591">
        <f>SUM(F14:F15)</f>
        <v>6813379</v>
      </c>
      <c r="G16" s="592"/>
      <c r="H16" s="591">
        <f>SUM(H14:H15)</f>
        <v>-287714</v>
      </c>
      <c r="J16" s="591">
        <f>SUM(J14:J15)</f>
        <v>121101</v>
      </c>
      <c r="K16" s="592"/>
      <c r="L16" s="591">
        <f>SUM(L14:L15)</f>
        <v>17906114</v>
      </c>
      <c r="M16" s="592"/>
      <c r="N16" s="591">
        <f>SUM(N14:N15)</f>
        <v>0</v>
      </c>
      <c r="O16" s="592"/>
      <c r="P16" s="591">
        <f>SUM(P14:P15)</f>
        <v>0</v>
      </c>
    </row>
    <row r="17" spans="1:19" ht="6" customHeight="1" thickTop="1"/>
    <row r="22" spans="1:19">
      <c r="A22" s="583"/>
      <c r="B22" s="584" t="s">
        <v>2380</v>
      </c>
      <c r="C22" s="584"/>
      <c r="D22" s="584"/>
      <c r="E22" s="584"/>
      <c r="F22" s="584"/>
      <c r="G22" s="584"/>
      <c r="H22" s="584"/>
    </row>
    <row r="23" spans="1:19">
      <c r="A23" s="583"/>
      <c r="B23" s="585" t="s">
        <v>2381</v>
      </c>
      <c r="C23" s="585"/>
      <c r="D23" s="585" t="s">
        <v>1224</v>
      </c>
      <c r="E23" s="585"/>
      <c r="F23" s="585" t="s">
        <v>798</v>
      </c>
      <c r="G23" s="585"/>
      <c r="H23" s="585"/>
    </row>
    <row r="24" spans="1:19">
      <c r="A24" s="583"/>
      <c r="B24" s="586" t="s">
        <v>2382</v>
      </c>
      <c r="C24" s="583"/>
      <c r="D24" s="586" t="s">
        <v>1523</v>
      </c>
      <c r="E24" s="583"/>
      <c r="F24" s="586" t="s">
        <v>612</v>
      </c>
      <c r="G24" s="583"/>
      <c r="H24" s="586" t="s">
        <v>1755</v>
      </c>
    </row>
    <row r="25" spans="1:19">
      <c r="A25" s="583" t="s">
        <v>2367</v>
      </c>
      <c r="B25" s="587">
        <f>+'SR BUDACT'!II73</f>
        <v>11893206</v>
      </c>
      <c r="C25" s="587"/>
      <c r="D25" s="587">
        <f>+'DS BUDACT'!AR64-J4</f>
        <v>503478</v>
      </c>
      <c r="E25" s="587"/>
      <c r="F25" s="587">
        <f>+'CP BUDACT'!AI73-L4</f>
        <v>2429245</v>
      </c>
      <c r="G25" s="587"/>
      <c r="H25" s="587">
        <v>0</v>
      </c>
    </row>
    <row r="26" spans="1:19">
      <c r="A26" s="583" t="s">
        <v>2368</v>
      </c>
      <c r="B26" s="382"/>
      <c r="C26" s="382"/>
      <c r="D26" s="382"/>
      <c r="E26" s="382"/>
      <c r="F26" s="382"/>
      <c r="G26" s="382"/>
      <c r="H26" s="382"/>
    </row>
    <row r="27" spans="1:19">
      <c r="A27" s="583" t="s">
        <v>2369</v>
      </c>
      <c r="B27" s="382">
        <f>+INPUT!BG316+INPUT!BG317</f>
        <v>474123</v>
      </c>
      <c r="C27" s="382"/>
      <c r="D27" s="382">
        <v>0</v>
      </c>
      <c r="E27" s="382"/>
      <c r="F27" s="382">
        <v>0</v>
      </c>
      <c r="G27" s="382"/>
      <c r="H27" s="382">
        <v>0</v>
      </c>
    </row>
    <row r="28" spans="1:19">
      <c r="A28" s="583" t="s">
        <v>2370</v>
      </c>
      <c r="B28" s="382">
        <f>+INPUT!BG283</f>
        <v>137210</v>
      </c>
      <c r="C28" s="382"/>
      <c r="D28" s="382">
        <f>+INPUT!BQ283</f>
        <v>0</v>
      </c>
      <c r="E28" s="382"/>
      <c r="F28" s="382">
        <f>+INPUT!BZ284</f>
        <v>0</v>
      </c>
      <c r="G28" s="382"/>
      <c r="H28" s="382">
        <v>0</v>
      </c>
    </row>
    <row r="29" spans="1:19">
      <c r="A29" s="583" t="s">
        <v>2372</v>
      </c>
      <c r="B29" s="382">
        <f>+INPUT!BG285</f>
        <v>491270</v>
      </c>
      <c r="C29" s="382"/>
      <c r="D29" s="382">
        <f>+INPUT!BQ284</f>
        <v>0</v>
      </c>
      <c r="E29" s="382"/>
      <c r="F29" s="382">
        <f>+INPUT!BZ285</f>
        <v>0</v>
      </c>
      <c r="G29" s="382"/>
      <c r="H29" s="382">
        <v>0</v>
      </c>
    </row>
    <row r="30" spans="1:19" hidden="1">
      <c r="A30" s="583" t="s">
        <v>2373</v>
      </c>
      <c r="B30" s="382">
        <f>+INPUT!BG286</f>
        <v>0</v>
      </c>
      <c r="C30" s="382"/>
      <c r="D30" s="382">
        <f>+INPUT!BQ285</f>
        <v>0</v>
      </c>
      <c r="E30" s="382"/>
      <c r="F30" s="382">
        <f>+INPUT!BZ286</f>
        <v>0</v>
      </c>
      <c r="G30" s="382"/>
      <c r="H30" s="382">
        <v>0</v>
      </c>
    </row>
    <row r="31" spans="1:19" hidden="1">
      <c r="A31" s="583" t="s">
        <v>2383</v>
      </c>
      <c r="B31" s="382">
        <f>+INPUT!BG289</f>
        <v>0</v>
      </c>
      <c r="C31" s="382"/>
      <c r="D31" s="382">
        <f>+INPUT!BQ286</f>
        <v>0</v>
      </c>
      <c r="E31" s="382"/>
      <c r="F31" s="382">
        <f>+INPUT!BZ287</f>
        <v>0</v>
      </c>
      <c r="G31" s="382"/>
      <c r="H31" s="382">
        <v>0</v>
      </c>
    </row>
    <row r="32" spans="1:19" hidden="1">
      <c r="A32" s="583" t="s">
        <v>2374</v>
      </c>
      <c r="B32" s="382">
        <f>+INPUT!BG291</f>
        <v>0</v>
      </c>
      <c r="C32" s="382"/>
      <c r="D32" s="382">
        <f>+INPUT!BQ291</f>
        <v>0</v>
      </c>
      <c r="E32" s="382"/>
      <c r="F32" s="382">
        <f>+INPUT!BZ291</f>
        <v>0</v>
      </c>
      <c r="G32" s="382"/>
      <c r="H32" s="382">
        <v>0</v>
      </c>
      <c r="P32" s="168"/>
      <c r="Q32" s="146"/>
      <c r="R32" s="146"/>
      <c r="S32" s="146"/>
    </row>
    <row r="33" spans="1:20">
      <c r="A33" s="583" t="s">
        <v>2376</v>
      </c>
      <c r="B33" s="382">
        <f>-INPUT!BG314</f>
        <v>-1007712</v>
      </c>
      <c r="C33" s="382"/>
      <c r="D33" s="382">
        <f>-INPUT!BQ314</f>
        <v>0</v>
      </c>
      <c r="E33" s="382"/>
      <c r="F33" s="382">
        <f>-INPUT!BZ314</f>
        <v>-111170</v>
      </c>
      <c r="G33" s="382"/>
      <c r="H33" s="382">
        <v>0</v>
      </c>
    </row>
    <row r="34" spans="1:20">
      <c r="A34" s="583" t="s">
        <v>2377</v>
      </c>
      <c r="B34" s="590">
        <f>SUM(B25:B33)</f>
        <v>11988097</v>
      </c>
      <c r="C34" s="382"/>
      <c r="D34" s="590">
        <f>SUM(D25:D33)</f>
        <v>503478</v>
      </c>
      <c r="E34" s="382"/>
      <c r="F34" s="590">
        <f>SUM(F25:F33)</f>
        <v>2318075</v>
      </c>
      <c r="G34" s="382"/>
      <c r="H34" s="590">
        <f>SUM(H25:H33)</f>
        <v>0</v>
      </c>
    </row>
    <row r="35" spans="1:20">
      <c r="A35" s="583" t="s">
        <v>2378</v>
      </c>
      <c r="B35" s="382">
        <f>+INPUT!BD207</f>
        <v>371646</v>
      </c>
      <c r="C35" s="382"/>
      <c r="D35" s="382">
        <v>0</v>
      </c>
      <c r="E35" s="382"/>
      <c r="F35" s="382">
        <v>0</v>
      </c>
      <c r="G35" s="382"/>
      <c r="H35" s="382">
        <f>+INPUT!EF207</f>
        <v>365897</v>
      </c>
      <c r="R35">
        <f>B16+D16+F16+J16+L16+P16+H37+H16</f>
        <v>54690896</v>
      </c>
    </row>
    <row r="36" spans="1:20">
      <c r="A36" s="583"/>
      <c r="B36" s="593">
        <f>SUM(B34:B35)</f>
        <v>12359743</v>
      </c>
      <c r="C36" s="382"/>
      <c r="D36" s="593">
        <f>SUM(D34:D35)</f>
        <v>503478</v>
      </c>
      <c r="E36" s="382"/>
      <c r="F36" s="593">
        <f>SUM(F34:F35)</f>
        <v>2318075</v>
      </c>
      <c r="G36" s="382"/>
      <c r="H36" s="593">
        <f>SUM(H34:H35)</f>
        <v>365897</v>
      </c>
      <c r="R36">
        <f>+'Govt BS'!T121</f>
        <v>54690896</v>
      </c>
      <c r="S36" s="156" t="str">
        <f>IF(+R36-B16-D16-F16-J16-L16-H37-N16-P16-H16=0,"0","ERR")</f>
        <v>0</v>
      </c>
    </row>
    <row r="37" spans="1:20" ht="13.5" thickBot="1">
      <c r="A37" s="583" t="s">
        <v>2384</v>
      </c>
      <c r="B37" s="589"/>
      <c r="C37" s="589"/>
      <c r="D37" s="589"/>
      <c r="E37" s="589"/>
      <c r="F37" s="589"/>
      <c r="G37" s="589"/>
      <c r="H37" s="594">
        <f>SUM(B36:H36)</f>
        <v>15547193</v>
      </c>
      <c r="S37" s="987" t="s">
        <v>3520</v>
      </c>
      <c r="T37" s="987"/>
    </row>
    <row r="38" spans="1:20" ht="6.75" customHeight="1" thickTop="1"/>
    <row r="39" spans="1:20">
      <c r="R39" s="21"/>
    </row>
    <row r="40" spans="1:20">
      <c r="R40">
        <f>R36-R35</f>
        <v>0</v>
      </c>
    </row>
  </sheetData>
  <mergeCells count="1">
    <mergeCell ref="B1:P1"/>
  </mergeCells>
  <pageMargins left="0.7" right="0.7" top="0.75" bottom="0.75" header="0.3" footer="0.3"/>
  <pageSetup scale="5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ransitionEvaluation="1" codeName="Sheet69"/>
  <dimension ref="A3:J76"/>
  <sheetViews>
    <sheetView showGridLines="0" zoomScale="75" zoomScaleNormal="75" workbookViewId="0">
      <selection activeCell="E17" sqref="E17"/>
    </sheetView>
  </sheetViews>
  <sheetFormatPr defaultColWidth="9.7109375" defaultRowHeight="12.75"/>
  <cols>
    <col min="1" max="1" width="2.7109375" style="288" customWidth="1"/>
    <col min="2" max="2" width="62.85546875" style="288" customWidth="1"/>
    <col min="3" max="6" width="20.7109375" style="288" customWidth="1"/>
    <col min="7" max="7" width="9.7109375" style="288"/>
    <col min="8" max="8" width="20.42578125" style="288" customWidth="1"/>
    <col min="9" max="9" width="25.85546875" style="288" customWidth="1"/>
    <col min="10" max="16384" width="9.7109375" style="288"/>
  </cols>
  <sheetData>
    <row r="3" spans="1:6" ht="15.75">
      <c r="B3" s="305" t="s">
        <v>1049</v>
      </c>
      <c r="C3" s="305"/>
      <c r="D3" s="277"/>
      <c r="E3" s="277"/>
      <c r="F3" s="277"/>
    </row>
    <row r="4" spans="1:6" ht="15.75">
      <c r="A4" s="276"/>
      <c r="B4" s="305" t="s">
        <v>375</v>
      </c>
      <c r="C4" s="305"/>
      <c r="D4" s="277"/>
      <c r="E4" s="277"/>
      <c r="F4" s="277"/>
    </row>
    <row r="5" spans="1:6" ht="15.75">
      <c r="A5" s="276"/>
      <c r="B5" s="305" t="s">
        <v>1362</v>
      </c>
      <c r="C5" s="305"/>
      <c r="D5" s="277"/>
      <c r="E5" s="277"/>
      <c r="F5" s="277"/>
    </row>
    <row r="6" spans="1:6" ht="15.75">
      <c r="A6" s="276"/>
      <c r="B6" s="395" t="str">
        <f>+'Sys INPUT'!B2</f>
        <v>For the  Fiscal Year Ended June 30, 2023</v>
      </c>
      <c r="C6" s="305"/>
      <c r="D6" s="277"/>
      <c r="E6" s="277"/>
      <c r="F6" s="277"/>
    </row>
    <row r="7" spans="1:6" ht="15.75">
      <c r="A7" s="276"/>
      <c r="B7" s="305" t="s">
        <v>3119</v>
      </c>
      <c r="C7" s="305"/>
      <c r="D7" s="277"/>
      <c r="E7" s="277"/>
      <c r="F7" s="277"/>
    </row>
    <row r="8" spans="1:6" ht="15.75">
      <c r="A8" s="276"/>
      <c r="B8" s="276"/>
      <c r="C8" s="276"/>
      <c r="D8" s="276"/>
      <c r="E8" s="276"/>
      <c r="F8" s="276"/>
    </row>
    <row r="9" spans="1:6" ht="15.75">
      <c r="A9" s="276"/>
      <c r="B9" s="277"/>
      <c r="C9" s="328" t="s">
        <v>580</v>
      </c>
      <c r="D9" s="328"/>
      <c r="E9" s="328"/>
      <c r="F9" s="328"/>
    </row>
    <row r="10" spans="1:6" ht="15.75">
      <c r="A10" s="276"/>
      <c r="B10" s="276"/>
      <c r="C10" s="395"/>
      <c r="D10" s="395"/>
      <c r="E10" s="395"/>
      <c r="F10" s="287" t="s">
        <v>1145</v>
      </c>
    </row>
    <row r="11" spans="1:6" ht="15.75">
      <c r="A11" s="276"/>
      <c r="B11" s="308"/>
      <c r="C11" s="328" t="s">
        <v>290</v>
      </c>
      <c r="D11" s="328"/>
      <c r="E11" s="287"/>
      <c r="F11" s="287" t="s">
        <v>461</v>
      </c>
    </row>
    <row r="12" spans="1:6" ht="15.75">
      <c r="A12" s="276"/>
      <c r="B12" s="287"/>
      <c r="C12" s="287"/>
      <c r="D12" s="287"/>
      <c r="E12" s="287" t="s">
        <v>858</v>
      </c>
      <c r="F12" s="287" t="s">
        <v>412</v>
      </c>
    </row>
    <row r="13" spans="1:6" ht="15.75">
      <c r="A13" s="276"/>
      <c r="B13" s="276"/>
      <c r="C13" s="290" t="s">
        <v>857</v>
      </c>
      <c r="D13" s="290" t="s">
        <v>414</v>
      </c>
      <c r="E13" s="290" t="s">
        <v>376</v>
      </c>
      <c r="F13" s="290" t="s">
        <v>413</v>
      </c>
    </row>
    <row r="14" spans="1:6" ht="15.75">
      <c r="A14" s="284"/>
      <c r="B14" s="308" t="str">
        <f>INPUT!B9</f>
        <v>REVENUES</v>
      </c>
      <c r="C14" s="276"/>
      <c r="D14" s="276"/>
      <c r="E14" s="276"/>
      <c r="F14" s="276"/>
    </row>
    <row r="15" spans="1:6" ht="15.75" hidden="1">
      <c r="A15" s="276"/>
      <c r="B15" s="276" t="str">
        <f>INPUT!B10</f>
        <v xml:space="preserve">     Taxes/assessments</v>
      </c>
      <c r="C15" s="292">
        <f>SUM('SR BUDACT ER'!ET17:ET20)</f>
        <v>0</v>
      </c>
      <c r="D15" s="292">
        <f>SUM('SR BUDACT ER'!EU17:EU20)</f>
        <v>0</v>
      </c>
      <c r="E15" s="292">
        <f>SUM('SR BUDACT ER'!EV17:EV20)+'SR BUDACT ER'!CA99</f>
        <v>0</v>
      </c>
      <c r="F15" s="292">
        <f t="shared" ref="F15:F16" si="0">E15-D15</f>
        <v>0</v>
      </c>
    </row>
    <row r="16" spans="1:6" ht="15.75" hidden="1">
      <c r="A16" s="276"/>
      <c r="B16" s="276" t="str">
        <f>INPUT!B11</f>
        <v xml:space="preserve">     Licenses and permits</v>
      </c>
      <c r="C16" s="294">
        <f>SUM('SR BUDACT ER'!ET21:ET24)</f>
        <v>0</v>
      </c>
      <c r="D16" s="294">
        <f>SUM('SR BUDACT ER'!EU21:EU24)</f>
        <v>0</v>
      </c>
      <c r="E16" s="294">
        <f>SUM('SR BUDACT ER'!EV21:EV24)</f>
        <v>0</v>
      </c>
      <c r="F16" s="294">
        <f t="shared" si="0"/>
        <v>0</v>
      </c>
    </row>
    <row r="17" spans="1:6" ht="15.75">
      <c r="A17" s="276"/>
      <c r="B17" s="276" t="str">
        <f>INPUT!B12</f>
        <v xml:space="preserve">     Intergovernmental</v>
      </c>
      <c r="C17" s="292">
        <f>SUM('SR BUDACT ER'!EU23:EU40)</f>
        <v>2033542</v>
      </c>
      <c r="D17" s="292">
        <f>SUM('SR BUDACT ER'!EV23:EV40)</f>
        <v>2033542</v>
      </c>
      <c r="E17" s="292">
        <f>SUM('SR BUDACT ER'!EW23:EW40)+'Sys INPUT'!BB201</f>
        <v>2480548</v>
      </c>
      <c r="F17" s="292">
        <f>E17-D17</f>
        <v>447006</v>
      </c>
    </row>
    <row r="18" spans="1:6" ht="15.75" hidden="1">
      <c r="A18" s="276"/>
      <c r="B18" s="276" t="str">
        <f>INPUT!B13</f>
        <v xml:space="preserve">     Charges for services</v>
      </c>
      <c r="C18" s="294">
        <f>SUM('SR BUDACT ER'!EU41:EU47)</f>
        <v>0</v>
      </c>
      <c r="D18" s="294">
        <f>SUM('SR BUDACT ER'!EV41:EV47)</f>
        <v>0</v>
      </c>
      <c r="E18" s="294">
        <f>SUM('SR BUDACT ER'!EW41:EW47)</f>
        <v>0</v>
      </c>
      <c r="F18" s="294">
        <f>E18-D18</f>
        <v>0</v>
      </c>
    </row>
    <row r="19" spans="1:6" ht="15.75" hidden="1">
      <c r="A19" s="276"/>
      <c r="B19" s="276" t="str">
        <f>INPUT!B14</f>
        <v xml:space="preserve">     Fines and forfeitures</v>
      </c>
      <c r="C19" s="294">
        <f>SUM('SR BUDACT ER'!EU48:EU50)</f>
        <v>0</v>
      </c>
      <c r="D19" s="294">
        <f>SUM('SR BUDACT ER'!EV48:EV50)</f>
        <v>0</v>
      </c>
      <c r="E19" s="294">
        <f>SUM('SR BUDACT ER'!EW48:EW50)</f>
        <v>0</v>
      </c>
      <c r="F19" s="294">
        <f t="shared" ref="F19:F21" si="1">E19-D19</f>
        <v>0</v>
      </c>
    </row>
    <row r="20" spans="1:6" ht="15.75" hidden="1">
      <c r="A20" s="276"/>
      <c r="B20" s="276" t="str">
        <f>INPUT!B15</f>
        <v xml:space="preserve">     Miscellaneous</v>
      </c>
      <c r="C20" s="294">
        <f>SUM('SR BUDACT ER'!EU51:EU51)</f>
        <v>0</v>
      </c>
      <c r="D20" s="294">
        <f>SUM('SR BUDACT ER'!EV51:EV51)</f>
        <v>0</v>
      </c>
      <c r="E20" s="294">
        <f>SUM('SR BUDACT ER'!EW51:EW51)</f>
        <v>0</v>
      </c>
      <c r="F20" s="294">
        <f t="shared" si="1"/>
        <v>0</v>
      </c>
    </row>
    <row r="21" spans="1:6" ht="15.75" hidden="1">
      <c r="A21" s="276"/>
      <c r="B21" s="276" t="str">
        <f>INPUT!B16</f>
        <v xml:space="preserve">     Interest earnings</v>
      </c>
      <c r="C21" s="294">
        <f>SUM('SR BUDACT ER'!EU52:EU52)</f>
        <v>0</v>
      </c>
      <c r="D21" s="294">
        <f>SUM('SR BUDACT ER'!EV52:EV52)</f>
        <v>0</v>
      </c>
      <c r="E21" s="294">
        <f>SUM('SR BUDACT ER'!EW52:EW52)</f>
        <v>0</v>
      </c>
      <c r="F21" s="294">
        <f t="shared" si="1"/>
        <v>0</v>
      </c>
    </row>
    <row r="22" spans="1:6" ht="15.75">
      <c r="A22" s="276"/>
      <c r="B22" s="276"/>
      <c r="C22" s="426"/>
      <c r="D22" s="426"/>
      <c r="E22" s="426"/>
      <c r="F22" s="426"/>
    </row>
    <row r="23" spans="1:6" ht="15.75">
      <c r="A23" s="276"/>
      <c r="B23" s="308" t="str">
        <f>INPUT!B18</f>
        <v xml:space="preserve">         Total revenues</v>
      </c>
      <c r="C23" s="706">
        <f>SUM(C15:C22)</f>
        <v>2033542</v>
      </c>
      <c r="D23" s="706">
        <f>SUM(D15:D22)</f>
        <v>2033542</v>
      </c>
      <c r="E23" s="706">
        <f>SUM(E15:E22)</f>
        <v>2480548</v>
      </c>
      <c r="F23" s="706">
        <f>SUM(F15:F22)</f>
        <v>447006</v>
      </c>
    </row>
    <row r="24" spans="1:6" ht="15.75">
      <c r="A24" s="276"/>
      <c r="B24" s="276"/>
      <c r="C24" s="303"/>
      <c r="D24" s="303"/>
      <c r="E24" s="303"/>
      <c r="F24" s="303"/>
    </row>
    <row r="25" spans="1:6" ht="15.75">
      <c r="A25" s="276"/>
      <c r="B25" s="308" t="str">
        <f>INPUT!B20</f>
        <v>EXPENDITURES</v>
      </c>
      <c r="C25" s="303"/>
      <c r="D25" s="303"/>
      <c r="E25" s="303"/>
      <c r="F25" s="303"/>
    </row>
    <row r="26" spans="1:6" ht="15.75">
      <c r="A26" s="276"/>
      <c r="B26" s="276" t="str">
        <f>INPUT!B21</f>
        <v xml:space="preserve">     Current:</v>
      </c>
      <c r="C26" s="303"/>
      <c r="D26" s="303"/>
      <c r="E26" s="303"/>
      <c r="F26" s="303"/>
    </row>
    <row r="27" spans="1:6" ht="15.75">
      <c r="A27" s="276"/>
      <c r="B27" s="276" t="str">
        <f>INPUT!B22</f>
        <v xml:space="preserve">          General government</v>
      </c>
      <c r="C27" s="294"/>
      <c r="D27" s="294"/>
      <c r="E27" s="294"/>
      <c r="F27" s="294"/>
    </row>
    <row r="28" spans="1:6" ht="15.75" hidden="1">
      <c r="A28" s="276"/>
      <c r="B28" s="276" t="s">
        <v>767</v>
      </c>
      <c r="C28" s="294">
        <f>SUM('SR BUDACT ER'!EU59:EU59)</f>
        <v>0</v>
      </c>
      <c r="D28" s="294">
        <f>SUM('SR BUDACT ER'!EV59:EV59)</f>
        <v>0</v>
      </c>
      <c r="E28" s="294">
        <f>SUM('SR BUDACT ER'!EW59:EW59)</f>
        <v>0</v>
      </c>
      <c r="F28" s="294">
        <v>0</v>
      </c>
    </row>
    <row r="29" spans="1:6" ht="15.75">
      <c r="A29" s="276"/>
      <c r="B29" s="276" t="s">
        <v>292</v>
      </c>
      <c r="C29" s="294">
        <f>SUM('SR BUDACT ER'!EU60:EU60)</f>
        <v>1701352</v>
      </c>
      <c r="D29" s="294">
        <f>SUM('SR BUDACT ER'!EV60:EV60)</f>
        <v>1701352</v>
      </c>
      <c r="E29" s="294">
        <f>SUM('SR BUDACT ER'!EW60:EW60)</f>
        <v>1251274</v>
      </c>
      <c r="F29" s="294">
        <f>SUM(D29-E29)</f>
        <v>450078</v>
      </c>
    </row>
    <row r="30" spans="1:6" ht="15.75">
      <c r="A30" s="276"/>
      <c r="B30" s="276" t="str">
        <f>INPUT!B23</f>
        <v xml:space="preserve">          Public safety</v>
      </c>
      <c r="C30" s="294"/>
      <c r="D30" s="294"/>
      <c r="E30" s="294"/>
      <c r="F30" s="294"/>
    </row>
    <row r="31" spans="1:6" ht="15.75">
      <c r="A31" s="276"/>
      <c r="B31" s="276" t="s">
        <v>767</v>
      </c>
      <c r="C31" s="294">
        <f>SUM('SR BUDACT ER'!EU62:EU62)</f>
        <v>86269</v>
      </c>
      <c r="D31" s="294">
        <f>SUM('SR BUDACT ER'!EV62:EV62)</f>
        <v>86269</v>
      </c>
      <c r="E31" s="294">
        <f>SUM('SR BUDACT ER'!EW62:EW62)</f>
        <v>84729</v>
      </c>
      <c r="F31" s="294">
        <f>SUM(D31-E31)</f>
        <v>1540</v>
      </c>
    </row>
    <row r="32" spans="1:6" ht="15.75">
      <c r="A32" s="276"/>
      <c r="B32" s="276" t="s">
        <v>292</v>
      </c>
      <c r="C32" s="294">
        <f>SUM('SR BUDACT ER'!EU63:EU63)</f>
        <v>13700624</v>
      </c>
      <c r="D32" s="294">
        <f>SUM('SR BUDACT ER'!EV63:EV63)</f>
        <v>13700624</v>
      </c>
      <c r="E32" s="294">
        <f>SUM('SR BUDACT ER'!EW63:EW63)</f>
        <v>709837</v>
      </c>
      <c r="F32" s="294">
        <f>SUM(D32-E32)</f>
        <v>12990787</v>
      </c>
    </row>
    <row r="33" spans="1:6" ht="15.75">
      <c r="A33" s="276"/>
      <c r="B33" s="276" t="str">
        <f>INPUT!B24</f>
        <v xml:space="preserve">          Public works</v>
      </c>
      <c r="C33" s="294"/>
      <c r="D33" s="294"/>
      <c r="E33" s="294"/>
      <c r="F33" s="294"/>
    </row>
    <row r="34" spans="1:6" ht="15.75" hidden="1">
      <c r="A34" s="276"/>
      <c r="B34" s="276" t="s">
        <v>767</v>
      </c>
      <c r="C34" s="294">
        <f>SUM('SR BUDACT ER'!EU65:EU65)</f>
        <v>0</v>
      </c>
      <c r="D34" s="294">
        <f>SUM('SR BUDACT ER'!EV65:EV65)</f>
        <v>0</v>
      </c>
      <c r="E34" s="294">
        <f>SUM('SR BUDACT ER'!EW65:EW65)</f>
        <v>0</v>
      </c>
      <c r="F34" s="294">
        <f>SUM(D34-E34)</f>
        <v>0</v>
      </c>
    </row>
    <row r="35" spans="1:6" ht="15.75">
      <c r="A35" s="276"/>
      <c r="B35" s="276" t="s">
        <v>292</v>
      </c>
      <c r="C35" s="294">
        <f>SUM('SR BUDACT ER'!EU66:EU66)</f>
        <v>0</v>
      </c>
      <c r="D35" s="294">
        <f>SUM('SR BUDACT ER'!EV66:EV66)</f>
        <v>0</v>
      </c>
      <c r="E35" s="294">
        <f>SUM('SR BUDACT ER'!EW66:EW66)</f>
        <v>1800</v>
      </c>
      <c r="F35" s="294">
        <f>SUM(D35-E35)</f>
        <v>-1800</v>
      </c>
    </row>
    <row r="36" spans="1:6" ht="15.75" hidden="1">
      <c r="A36" s="276"/>
      <c r="B36" s="276" t="str">
        <f>INPUT!B25</f>
        <v xml:space="preserve">          Public health</v>
      </c>
      <c r="C36" s="294"/>
      <c r="D36" s="294"/>
      <c r="E36" s="294"/>
      <c r="F36" s="294"/>
    </row>
    <row r="37" spans="1:6" ht="15.75" hidden="1">
      <c r="A37" s="276"/>
      <c r="B37" s="276" t="s">
        <v>767</v>
      </c>
      <c r="C37" s="294">
        <f>SUM('SR BUDACT ER'!EU68:EU68)</f>
        <v>0</v>
      </c>
      <c r="D37" s="294">
        <f>SUM('SR BUDACT ER'!EV68:EV68)</f>
        <v>0</v>
      </c>
      <c r="E37" s="294">
        <f>SUM('SR BUDACT ER'!EW68:EW68)</f>
        <v>0</v>
      </c>
      <c r="F37" s="294">
        <f>SUM(D37-E37)</f>
        <v>0</v>
      </c>
    </row>
    <row r="38" spans="1:6" ht="15.75" hidden="1">
      <c r="A38" s="276"/>
      <c r="B38" s="276" t="s">
        <v>292</v>
      </c>
      <c r="C38" s="294">
        <f>SUM('SR BUDACT ER'!EU69:EU69)</f>
        <v>0</v>
      </c>
      <c r="D38" s="294">
        <f>SUM('SR BUDACT ER'!EV69:EV69)</f>
        <v>0</v>
      </c>
      <c r="E38" s="294">
        <f>SUM('SR BUDACT ER'!EW69:EW69)</f>
        <v>0</v>
      </c>
      <c r="F38" s="294">
        <f>SUM(D38-E38)</f>
        <v>0</v>
      </c>
    </row>
    <row r="39" spans="1:6" ht="15.75" hidden="1">
      <c r="A39" s="276"/>
      <c r="B39" s="276" t="str">
        <f>INPUT!B26</f>
        <v xml:space="preserve">          Social and economic</v>
      </c>
      <c r="C39" s="294"/>
      <c r="D39" s="294"/>
      <c r="E39" s="294"/>
      <c r="F39" s="294"/>
    </row>
    <row r="40" spans="1:6" ht="15.75" hidden="1">
      <c r="A40" s="276"/>
      <c r="B40" s="276" t="s">
        <v>767</v>
      </c>
      <c r="C40" s="294">
        <f>SUM('SR BUDACT ER'!EU71:EU71)</f>
        <v>0</v>
      </c>
      <c r="D40" s="294">
        <f>SUM('SR BUDACT ER'!EV71:EV71)</f>
        <v>0</v>
      </c>
      <c r="E40" s="294">
        <f>SUM('SR BUDACT ER'!EW71:EW71)</f>
        <v>0</v>
      </c>
      <c r="F40" s="294">
        <f>SUM(D40-E40)</f>
        <v>0</v>
      </c>
    </row>
    <row r="41" spans="1:6" ht="15.75" hidden="1">
      <c r="A41" s="276"/>
      <c r="B41" s="276" t="s">
        <v>292</v>
      </c>
      <c r="C41" s="294">
        <f>SUM('SR BUDACT ER'!EU72:EU72)</f>
        <v>0</v>
      </c>
      <c r="D41" s="294">
        <f>SUM('SR BUDACT ER'!EV72:EV72)</f>
        <v>0</v>
      </c>
      <c r="E41" s="294">
        <f>SUM('SR BUDACT ER'!EW72:EW72)</f>
        <v>0</v>
      </c>
      <c r="F41" s="294">
        <f>SUM(D41-E41)</f>
        <v>0</v>
      </c>
    </row>
    <row r="42" spans="1:6" ht="15.75" hidden="1">
      <c r="A42" s="276"/>
      <c r="B42" s="276" t="str">
        <f>INPUT!B27</f>
        <v xml:space="preserve">          Culture and recreation</v>
      </c>
      <c r="C42" s="294"/>
      <c r="D42" s="294"/>
      <c r="E42" s="294"/>
      <c r="F42" s="294"/>
    </row>
    <row r="43" spans="1:6" ht="15.75" hidden="1">
      <c r="A43" s="276"/>
      <c r="B43" s="276" t="s">
        <v>767</v>
      </c>
      <c r="C43" s="294">
        <f>SUM('SR BUDACT ER'!EU74:EU74)</f>
        <v>0</v>
      </c>
      <c r="D43" s="294">
        <f>SUM('SR BUDACT ER'!EV74:EV74)</f>
        <v>0</v>
      </c>
      <c r="E43" s="294">
        <f>SUM('SR BUDACT ER'!EW74:EW74)</f>
        <v>0</v>
      </c>
      <c r="F43" s="294">
        <f>SUM(D43-E43)</f>
        <v>0</v>
      </c>
    </row>
    <row r="44" spans="1:6" ht="15.75" hidden="1">
      <c r="A44" s="276"/>
      <c r="B44" s="276" t="s">
        <v>292</v>
      </c>
      <c r="C44" s="294">
        <f>SUM('SR BUDACT ER'!EU75:EU75)</f>
        <v>0</v>
      </c>
      <c r="D44" s="294">
        <f>SUM('SR BUDACT ER'!EV75:EV75)</f>
        <v>0</v>
      </c>
      <c r="E44" s="294">
        <f>SUM('SR BUDACT ER'!EW75:EW75)</f>
        <v>0</v>
      </c>
      <c r="F44" s="294">
        <f>SUM(D44-E44)</f>
        <v>0</v>
      </c>
    </row>
    <row r="45" spans="1:6" ht="15.75" hidden="1">
      <c r="A45" s="276"/>
      <c r="B45" s="276" t="str">
        <f>INPUT!B28</f>
        <v xml:space="preserve">     Debt service</v>
      </c>
      <c r="C45" s="294">
        <f>SUM('SR BUDACT ER'!EU77:EU78)</f>
        <v>0</v>
      </c>
      <c r="D45" s="294">
        <f>SUM('SR BUDACT ER'!EV77:EV78)</f>
        <v>0</v>
      </c>
      <c r="E45" s="294">
        <f>SUM('SR BUDACT ER'!EW77:EW78)</f>
        <v>0</v>
      </c>
      <c r="F45" s="294"/>
    </row>
    <row r="46" spans="1:6" ht="15.75">
      <c r="A46" s="276"/>
      <c r="B46" s="276" t="str">
        <f>INPUT!B29</f>
        <v xml:space="preserve">     Capital outlay</v>
      </c>
      <c r="C46" s="294">
        <f>SUM('SR BUDACT ER'!EU79:EU79)</f>
        <v>950500</v>
      </c>
      <c r="D46" s="294">
        <f>SUM('SR BUDACT ER'!EV79:EV79)</f>
        <v>950500</v>
      </c>
      <c r="E46" s="294">
        <f>SUM('SR BUDACT ER'!EW79:EW79)</f>
        <v>259440</v>
      </c>
      <c r="F46" s="294">
        <f>SUM(D46-E46)</f>
        <v>691060</v>
      </c>
    </row>
    <row r="47" spans="1:6" ht="15.75">
      <c r="A47" s="276"/>
      <c r="B47" s="276"/>
      <c r="C47" s="426"/>
      <c r="D47" s="426"/>
      <c r="E47" s="426"/>
      <c r="F47" s="426"/>
    </row>
    <row r="48" spans="1:6" ht="15.75">
      <c r="A48" s="276"/>
      <c r="B48" s="308" t="str">
        <f>INPUT!B41</f>
        <v xml:space="preserve">         Total expenditures</v>
      </c>
      <c r="C48" s="706">
        <f>SUM(C27:C47)</f>
        <v>16438745</v>
      </c>
      <c r="D48" s="706">
        <f>SUM(D27:D47)</f>
        <v>16438745</v>
      </c>
      <c r="E48" s="706">
        <f>SUM(E27:E47)</f>
        <v>2307080</v>
      </c>
      <c r="F48" s="706">
        <f>SUM(F27:F47)</f>
        <v>14131665</v>
      </c>
    </row>
    <row r="49" spans="1:8" ht="15.75">
      <c r="A49" s="276"/>
      <c r="B49" s="308" t="str">
        <f>INPUT!B42</f>
        <v xml:space="preserve">             Excess (deficiency) of revenue</v>
      </c>
      <c r="C49" s="296"/>
      <c r="D49" s="296"/>
      <c r="E49" s="296"/>
      <c r="F49" s="296"/>
    </row>
    <row r="50" spans="1:8" ht="15.75">
      <c r="A50" s="276"/>
      <c r="B50" s="308" t="str">
        <f>INPUT!B43</f>
        <v xml:space="preserve">                 over (under) expenditures</v>
      </c>
      <c r="C50" s="697">
        <f>SUM(C23-C48)</f>
        <v>-14405203</v>
      </c>
      <c r="D50" s="697">
        <f>SUM(D23-D48)</f>
        <v>-14405203</v>
      </c>
      <c r="E50" s="697">
        <f>SUM(E23-E48)</f>
        <v>173468</v>
      </c>
      <c r="F50" s="697">
        <f>SUM(F23+F48)</f>
        <v>14578671</v>
      </c>
    </row>
    <row r="51" spans="1:8" ht="15.75">
      <c r="A51" s="276"/>
      <c r="B51" s="276"/>
      <c r="C51" s="294"/>
      <c r="D51" s="294"/>
      <c r="E51" s="294"/>
      <c r="F51" s="294"/>
    </row>
    <row r="52" spans="1:8" ht="15.75">
      <c r="A52" s="276"/>
      <c r="B52" s="308" t="str">
        <f>INPUT!B45</f>
        <v>OTHER FINANCING SOURCES (USES)</v>
      </c>
      <c r="C52" s="294"/>
      <c r="D52" s="294"/>
      <c r="E52" s="294"/>
      <c r="F52" s="294"/>
    </row>
    <row r="53" spans="1:8" ht="15.75">
      <c r="A53" s="276"/>
      <c r="B53" s="276" t="str">
        <f>INPUT!B46</f>
        <v xml:space="preserve">     Transfers in</v>
      </c>
      <c r="C53" s="294">
        <f>SUM('SR BUDACT ER'!EU86:EU86)</f>
        <v>0</v>
      </c>
      <c r="D53" s="294">
        <f>SUM('SR BUDACT ER'!EV86:EV86)</f>
        <v>0</v>
      </c>
      <c r="E53" s="294">
        <f>SUM('SR BUDACT ER'!EW86:EW86)</f>
        <v>0</v>
      </c>
      <c r="F53" s="294">
        <f>SUM(D53-E53)</f>
        <v>0</v>
      </c>
    </row>
    <row r="54" spans="1:8" ht="15.75">
      <c r="A54" s="276"/>
      <c r="B54" s="276" t="str">
        <f>INPUT!B47</f>
        <v xml:space="preserve">     Transfers out</v>
      </c>
      <c r="C54" s="294">
        <f>SUM('SR BUDACT ER'!EU87:EU87)</f>
        <v>-410000</v>
      </c>
      <c r="D54" s="294">
        <f>SUM('SR BUDACT ER'!EV87:EV87)</f>
        <v>-410000</v>
      </c>
      <c r="E54" s="294">
        <f>SUM('SR BUDACT ER'!EW87:EW87)</f>
        <v>-4211818</v>
      </c>
      <c r="F54" s="294">
        <f>SUM(D54-E54)</f>
        <v>3801818</v>
      </c>
    </row>
    <row r="55" spans="1:8" ht="15.75" hidden="1">
      <c r="A55" s="276"/>
      <c r="B55" s="276" t="str">
        <f>INPUT!B50</f>
        <v xml:space="preserve">     Issuance of long-term debt</v>
      </c>
      <c r="C55" s="294">
        <f>SUM('SR BUDACT ER'!EU88:EU88)</f>
        <v>0</v>
      </c>
      <c r="D55" s="294">
        <f>SUM('SR BUDACT ER'!EV88:EV88)</f>
        <v>0</v>
      </c>
      <c r="E55" s="294">
        <f>SUM('SR BUDACT ER'!EW88:EW88)</f>
        <v>0</v>
      </c>
      <c r="F55" s="294">
        <f t="shared" ref="F55:F56" si="2">SUM(D55-E55)</f>
        <v>0</v>
      </c>
    </row>
    <row r="56" spans="1:8" ht="15.75" hidden="1">
      <c r="A56" s="276"/>
      <c r="B56" s="276" t="str">
        <f>INPUT!B54</f>
        <v xml:space="preserve">     Proceeds from disposal of capital assets(MOVE to mis rev/exp)GFOA finding</v>
      </c>
      <c r="C56" s="294">
        <f>SUM('SR BUDACT ER'!EU89:EU89)</f>
        <v>0</v>
      </c>
      <c r="D56" s="294">
        <f>SUM('SR BUDACT ER'!EV89:EV89)</f>
        <v>0</v>
      </c>
      <c r="E56" s="294">
        <f>SUM('SR BUDACT ER'!EW89:EW89)</f>
        <v>0</v>
      </c>
      <c r="F56" s="294">
        <f t="shared" si="2"/>
        <v>0</v>
      </c>
    </row>
    <row r="57" spans="1:8" ht="15.75">
      <c r="A57" s="276"/>
      <c r="B57" s="276"/>
      <c r="C57" s="426"/>
      <c r="D57" s="426"/>
      <c r="E57" s="426"/>
      <c r="F57" s="298"/>
    </row>
    <row r="58" spans="1:8" ht="15.75">
      <c r="A58" s="276"/>
      <c r="B58" s="308" t="str">
        <f>INPUT!B58</f>
        <v xml:space="preserve">         Total other financing sources and uses</v>
      </c>
      <c r="C58" s="706">
        <f>SUM(C53:C57)</f>
        <v>-410000</v>
      </c>
      <c r="D58" s="706">
        <f>SUM(D53:D57)</f>
        <v>-410000</v>
      </c>
      <c r="E58" s="706">
        <f>SUM(E53:E57)</f>
        <v>-4211818</v>
      </c>
      <c r="F58" s="706">
        <f>SUM(F53:F57)</f>
        <v>3801818</v>
      </c>
    </row>
    <row r="59" spans="1:8" ht="15.75">
      <c r="A59" s="276"/>
      <c r="B59" s="276"/>
      <c r="C59" s="303"/>
      <c r="D59" s="303"/>
      <c r="E59" s="303"/>
      <c r="F59" s="303"/>
    </row>
    <row r="60" spans="1:8" ht="16.5" thickBot="1">
      <c r="A60" s="276"/>
      <c r="B60" s="308" t="str">
        <f>INPUT!B61</f>
        <v xml:space="preserve">             Net change in fund balances</v>
      </c>
      <c r="C60" s="703">
        <f>SUM(C50+C58)</f>
        <v>-14815203</v>
      </c>
      <c r="D60" s="703">
        <f>SUM(D50+D58)</f>
        <v>-14815203</v>
      </c>
      <c r="E60" s="697">
        <f>SUM(E50+E58)</f>
        <v>-4038350</v>
      </c>
      <c r="F60" s="703">
        <f>SUM(F50+F58)</f>
        <v>18380489</v>
      </c>
    </row>
    <row r="61" spans="1:8" ht="16.5" thickTop="1">
      <c r="A61" s="276"/>
      <c r="B61" s="276"/>
      <c r="C61" s="303"/>
      <c r="D61" s="303"/>
      <c r="E61" s="294"/>
      <c r="F61" s="303"/>
      <c r="H61" s="465"/>
    </row>
    <row r="62" spans="1:8" ht="15.75">
      <c r="A62" s="276"/>
      <c r="B62" s="276" t="str">
        <f>INPUT!B63</f>
        <v xml:space="preserve">     Fund balance, July 1</v>
      </c>
      <c r="C62" s="303"/>
      <c r="D62" s="303"/>
      <c r="E62" s="318">
        <f>+'SR BUDACT ER'!EW95+'Sys INPUT'!BB191</f>
        <v>10565573</v>
      </c>
      <c r="F62" s="303"/>
    </row>
    <row r="63" spans="1:8" ht="15.75" hidden="1" customHeight="1">
      <c r="A63" s="276"/>
      <c r="B63" s="276"/>
      <c r="C63" s="303"/>
      <c r="D63" s="303"/>
      <c r="E63" s="294"/>
      <c r="F63" s="303"/>
    </row>
    <row r="64" spans="1:8" ht="15.75" hidden="1" customHeight="1">
      <c r="A64" s="276" t="s">
        <v>299</v>
      </c>
      <c r="B64" s="276" t="str">
        <f>INPUT!B65</f>
        <v xml:space="preserve">     Add back depreciation that reduces contributed capital</v>
      </c>
      <c r="C64" s="303"/>
      <c r="D64" s="303"/>
      <c r="E64" s="294"/>
      <c r="F64" s="303"/>
      <c r="H64" s="335"/>
    </row>
    <row r="65" spans="1:10" ht="10.5" customHeight="1">
      <c r="A65" s="276" t="s">
        <v>299</v>
      </c>
      <c r="B65" s="276"/>
      <c r="C65" s="303"/>
      <c r="D65" s="303"/>
      <c r="E65" s="294"/>
      <c r="F65" s="303"/>
    </row>
    <row r="66" spans="1:10" ht="15.75" customHeight="1">
      <c r="A66" s="276"/>
      <c r="B66" s="276" t="str">
        <f>INPUT!B66</f>
        <v xml:space="preserve">     Prior period adjustments</v>
      </c>
      <c r="C66" s="303"/>
      <c r="D66" s="303"/>
      <c r="E66" s="317">
        <f>+'Govt IS'!G64</f>
        <v>-6724351</v>
      </c>
      <c r="F66" s="303"/>
    </row>
    <row r="67" spans="1:10" ht="15.75" customHeight="1">
      <c r="A67" s="276"/>
      <c r="B67" s="276"/>
      <c r="C67" s="303"/>
      <c r="D67" s="303"/>
      <c r="E67" s="294"/>
      <c r="F67" s="303"/>
    </row>
    <row r="68" spans="1:10" ht="15.75" customHeight="1">
      <c r="A68" s="276" t="s">
        <v>299</v>
      </c>
      <c r="B68" s="308" t="str">
        <f>INPUT!B69</f>
        <v xml:space="preserve">     Total net position, beginning, as restated</v>
      </c>
      <c r="C68" s="303"/>
      <c r="D68" s="303"/>
      <c r="E68" s="568">
        <f>SUM(E62+E66)</f>
        <v>3841222</v>
      </c>
      <c r="F68" s="303"/>
    </row>
    <row r="69" spans="1:10" ht="15.75" hidden="1" customHeight="1">
      <c r="A69" s="276" t="s">
        <v>299</v>
      </c>
      <c r="B69" s="276"/>
      <c r="C69" s="303"/>
      <c r="D69" s="303"/>
      <c r="E69" s="294"/>
      <c r="F69" s="303"/>
    </row>
    <row r="70" spans="1:10" ht="15.75" hidden="1" customHeight="1">
      <c r="A70" s="276"/>
      <c r="B70" s="276" t="str">
        <f>INPUT!B71</f>
        <v xml:space="preserve">     Residual equity transfers</v>
      </c>
      <c r="C70" s="303"/>
      <c r="D70" s="303"/>
      <c r="E70" s="317"/>
      <c r="F70" s="303"/>
    </row>
    <row r="71" spans="1:10" ht="15.75">
      <c r="A71" s="276"/>
      <c r="B71" s="276"/>
      <c r="C71" s="303"/>
      <c r="D71" s="303"/>
      <c r="E71" s="294"/>
      <c r="F71" s="303"/>
    </row>
    <row r="72" spans="1:10" ht="16.5" thickBot="1">
      <c r="A72" s="276"/>
      <c r="B72" s="276" t="str">
        <f>INPUT!B73</f>
        <v xml:space="preserve">     Fund balance, June 30</v>
      </c>
      <c r="C72" s="303"/>
      <c r="D72" s="303"/>
      <c r="E72" s="703">
        <f>SUM(E60+E68+E70)</f>
        <v>-197128</v>
      </c>
      <c r="F72" s="303"/>
      <c r="I72" s="460" t="s">
        <v>3033</v>
      </c>
    </row>
    <row r="73" spans="1:10" ht="16.5" thickTop="1">
      <c r="A73" s="276"/>
      <c r="B73" s="276"/>
      <c r="C73" s="294"/>
      <c r="D73" s="294"/>
      <c r="E73" s="294"/>
      <c r="F73" s="294"/>
      <c r="I73" s="460" t="s">
        <v>3034</v>
      </c>
    </row>
    <row r="74" spans="1:10" ht="15.75">
      <c r="A74" s="276"/>
      <c r="B74" s="1171"/>
      <c r="C74" s="294"/>
      <c r="D74" s="294"/>
      <c r="E74" s="294"/>
      <c r="F74" s="294"/>
      <c r="I74" s="1063">
        <v>10565573</v>
      </c>
      <c r="J74" s="288">
        <f>+I74-E62</f>
        <v>0</v>
      </c>
    </row>
    <row r="75" spans="1:10" ht="15.75">
      <c r="I75" s="325" t="s">
        <v>3338</v>
      </c>
    </row>
    <row r="76" spans="1:10" ht="15.75">
      <c r="I76" s="1064" t="s">
        <v>3339</v>
      </c>
    </row>
  </sheetData>
  <printOptions horizontalCentered="1"/>
  <pageMargins left="0.4" right="0.39" top="0.5" bottom="0.75" header="0.5" footer="0.25"/>
  <pageSetup scale="65" firstPageNumber="24" orientation="portrait" useFirstPageNumber="1" r:id="rId1"/>
  <headerFooter alignWithMargins="0">
    <oddFooter xml:space="preserve">&amp;CThe accompanying notes are an integral part of these financial statements.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ransitionEvaluation="1" codeName="Sheet61"/>
  <dimension ref="A3:R76"/>
  <sheetViews>
    <sheetView showGridLines="0" zoomScale="75" zoomScaleNormal="75" workbookViewId="0">
      <selection activeCell="E54" activeCellId="1" sqref="E53 E54"/>
    </sheetView>
  </sheetViews>
  <sheetFormatPr defaultColWidth="9.7109375" defaultRowHeight="12.75"/>
  <cols>
    <col min="1" max="1" width="2.7109375" style="288" customWidth="1"/>
    <col min="2" max="2" width="62.85546875" style="288" customWidth="1"/>
    <col min="3" max="6" width="20.7109375" style="288" customWidth="1"/>
    <col min="7" max="7" width="9.7109375" style="288"/>
    <col min="8" max="8" width="20.42578125" style="288" customWidth="1"/>
    <col min="9" max="9" width="12.5703125" style="288" customWidth="1"/>
    <col min="10" max="10" width="16.140625" style="288" customWidth="1"/>
    <col min="11" max="15" width="9.7109375" style="288"/>
    <col min="16" max="16" width="10.5703125" style="288" bestFit="1" customWidth="1"/>
    <col min="17" max="16384" width="9.7109375" style="288"/>
  </cols>
  <sheetData>
    <row r="3" spans="1:16" ht="15.75">
      <c r="B3" s="305" t="s">
        <v>1049</v>
      </c>
      <c r="C3" s="305"/>
      <c r="D3" s="277"/>
      <c r="E3" s="277"/>
      <c r="F3" s="277"/>
    </row>
    <row r="4" spans="1:16" ht="15.75">
      <c r="B4" s="305" t="s">
        <v>375</v>
      </c>
      <c r="C4" s="305"/>
      <c r="D4" s="277"/>
      <c r="E4" s="277"/>
      <c r="F4" s="277"/>
    </row>
    <row r="5" spans="1:16" ht="15.75">
      <c r="B5" s="305" t="s">
        <v>1362</v>
      </c>
      <c r="C5" s="305"/>
      <c r="D5" s="277"/>
      <c r="E5" s="277"/>
      <c r="F5" s="277"/>
    </row>
    <row r="6" spans="1:16" ht="15.75">
      <c r="B6" s="395" t="str">
        <f>+'Sys INPUT'!B2</f>
        <v>For the  Fiscal Year Ended June 30, 2023</v>
      </c>
      <c r="C6" s="305"/>
      <c r="D6" s="277"/>
      <c r="E6" s="277"/>
      <c r="F6" s="277"/>
    </row>
    <row r="7" spans="1:16" ht="15.75">
      <c r="B7" s="305" t="s">
        <v>3118</v>
      </c>
      <c r="C7" s="305"/>
      <c r="D7" s="277"/>
      <c r="E7" s="277"/>
      <c r="F7" s="277"/>
    </row>
    <row r="8" spans="1:16" ht="15.75">
      <c r="C8" s="276"/>
      <c r="D8" s="276"/>
      <c r="E8" s="276"/>
      <c r="F8" s="276"/>
    </row>
    <row r="9" spans="1:16" ht="15.75">
      <c r="B9" s="277"/>
      <c r="C9" s="328" t="s">
        <v>1137</v>
      </c>
      <c r="D9" s="328"/>
      <c r="E9" s="328"/>
      <c r="F9" s="328"/>
    </row>
    <row r="10" spans="1:16" ht="15.75">
      <c r="B10" s="276"/>
      <c r="C10" s="395"/>
      <c r="D10" s="395"/>
      <c r="E10" s="395"/>
      <c r="F10" s="287" t="s">
        <v>1145</v>
      </c>
    </row>
    <row r="11" spans="1:16" ht="15.75">
      <c r="B11" s="308"/>
      <c r="C11" s="328" t="s">
        <v>290</v>
      </c>
      <c r="D11" s="328"/>
      <c r="E11" s="287"/>
      <c r="F11" s="287" t="s">
        <v>461</v>
      </c>
    </row>
    <row r="12" spans="1:16" ht="15.75">
      <c r="B12" s="287"/>
      <c r="C12" s="287"/>
      <c r="D12" s="287"/>
      <c r="E12" s="287" t="s">
        <v>858</v>
      </c>
      <c r="F12" s="287" t="s">
        <v>412</v>
      </c>
    </row>
    <row r="13" spans="1:16" ht="15.75">
      <c r="B13" s="276"/>
      <c r="C13" s="290" t="s">
        <v>857</v>
      </c>
      <c r="D13" s="290" t="s">
        <v>414</v>
      </c>
      <c r="E13" s="290" t="s">
        <v>376</v>
      </c>
      <c r="F13" s="290" t="s">
        <v>413</v>
      </c>
    </row>
    <row r="14" spans="1:16" ht="15.75">
      <c r="A14" s="330"/>
      <c r="B14" s="308" t="str">
        <f>INPUT!B9</f>
        <v>REVENUES</v>
      </c>
      <c r="C14" s="276"/>
      <c r="D14" s="276"/>
      <c r="E14" s="276"/>
      <c r="F14" s="276"/>
    </row>
    <row r="15" spans="1:16" ht="15.75">
      <c r="B15" s="276" t="str">
        <f>INPUT!B10</f>
        <v xml:space="preserve">     Taxes/assessments</v>
      </c>
      <c r="C15" s="292">
        <f>SUM('SR BUDACT ER'!EY17:EY20)</f>
        <v>1334617</v>
      </c>
      <c r="D15" s="292">
        <f>SUM('SR BUDACT ER'!EZ17:EZ20)</f>
        <v>1334617</v>
      </c>
      <c r="E15" s="292">
        <f>SUM('SR BUDACT ER'!FA17:FA20)+'Sys INPUT'!BC201</f>
        <v>1661096</v>
      </c>
      <c r="F15" s="292">
        <f t="shared" ref="F15:F21" si="0">E15-D15</f>
        <v>326479</v>
      </c>
      <c r="P15" s="288">
        <v>1562903</v>
      </c>
    </row>
    <row r="16" spans="1:16" ht="15.75" hidden="1">
      <c r="B16" s="276" t="str">
        <f>INPUT!B11</f>
        <v xml:space="preserve">     Licenses and permits</v>
      </c>
      <c r="C16" s="294">
        <f>SUM('SR BUDACT ER'!EY21:EY24)</f>
        <v>0</v>
      </c>
      <c r="D16" s="294">
        <f>SUM('SR BUDACT ER'!EZ21:EZ24)</f>
        <v>0</v>
      </c>
      <c r="E16" s="294">
        <f>SUM('SR BUDACT ER'!FA21:FA24)</f>
        <v>0</v>
      </c>
      <c r="F16" s="294">
        <f t="shared" si="0"/>
        <v>0</v>
      </c>
      <c r="P16" s="288">
        <v>0</v>
      </c>
    </row>
    <row r="17" spans="2:18" ht="15.75">
      <c r="B17" s="276" t="str">
        <f>INPUT!B12</f>
        <v xml:space="preserve">     Intergovernmental</v>
      </c>
      <c r="C17" s="294">
        <f>SUM('SR BUDACT ER'!EY23:EY40)</f>
        <v>895</v>
      </c>
      <c r="D17" s="294">
        <f>SUM('SR BUDACT ER'!EZ23:EZ40)</f>
        <v>895</v>
      </c>
      <c r="E17" s="294">
        <f>SUM('SR BUDACT ER'!FA23:FA40)</f>
        <v>895</v>
      </c>
      <c r="F17" s="294">
        <f t="shared" si="0"/>
        <v>0</v>
      </c>
      <c r="P17" s="288">
        <v>923</v>
      </c>
    </row>
    <row r="18" spans="2:18" ht="15.75" hidden="1">
      <c r="B18" s="276" t="str">
        <f>INPUT!B13</f>
        <v xml:space="preserve">     Charges for services</v>
      </c>
      <c r="C18" s="294">
        <f>SUM('SR BUDACT ER'!EY41:EY47)</f>
        <v>0</v>
      </c>
      <c r="D18" s="294">
        <f>SUM('SR BUDACT ER'!EZ41:EZ47)</f>
        <v>0</v>
      </c>
      <c r="E18" s="294">
        <f>SUM('SR BUDACT ER'!FA41:FA47)</f>
        <v>0</v>
      </c>
      <c r="F18" s="294">
        <f t="shared" si="0"/>
        <v>0</v>
      </c>
      <c r="P18" s="288">
        <v>0</v>
      </c>
    </row>
    <row r="19" spans="2:18" ht="15.75" hidden="1">
      <c r="B19" s="276" t="str">
        <f>INPUT!B14</f>
        <v xml:space="preserve">     Fines and forfeitures</v>
      </c>
      <c r="C19" s="294">
        <f>SUM('SR BUDACT ER'!EY48:EY50)</f>
        <v>0</v>
      </c>
      <c r="D19" s="294">
        <f>SUM('SR BUDACT ER'!EZ48:EZ50)</f>
        <v>0</v>
      </c>
      <c r="E19" s="294">
        <f>SUM('SR BUDACT ER'!FA48:FA50)</f>
        <v>0</v>
      </c>
      <c r="F19" s="294">
        <f t="shared" si="0"/>
        <v>0</v>
      </c>
      <c r="P19" s="288">
        <v>0</v>
      </c>
    </row>
    <row r="20" spans="2:18" ht="15.75">
      <c r="B20" s="276" t="str">
        <f>INPUT!B15</f>
        <v xml:space="preserve">     Miscellaneous</v>
      </c>
      <c r="C20" s="294">
        <f>SUM('SR BUDACT ER'!EY51:EY51)</f>
        <v>0</v>
      </c>
      <c r="D20" s="294">
        <f>SUM('SR BUDACT ER'!EZ51:EZ51)</f>
        <v>0</v>
      </c>
      <c r="E20" s="294">
        <f>SUM('SR BUDACT ER'!FA51:FA51)</f>
        <v>82156</v>
      </c>
      <c r="F20" s="294">
        <f t="shared" si="0"/>
        <v>82156</v>
      </c>
      <c r="P20" s="288">
        <v>4387</v>
      </c>
    </row>
    <row r="21" spans="2:18" ht="15.75">
      <c r="B21" s="276" t="str">
        <f>INPUT!B16</f>
        <v xml:space="preserve">     Interest earnings</v>
      </c>
      <c r="C21" s="294">
        <f>SUM('SR BUDACT ER'!EY52:EY52)</f>
        <v>0</v>
      </c>
      <c r="D21" s="294">
        <f>SUM('SR BUDACT ER'!EZ52:EZ52)</f>
        <v>0</v>
      </c>
      <c r="E21" s="294">
        <f>SUM('SR BUDACT ER'!FA52:FA52)</f>
        <v>214545</v>
      </c>
      <c r="F21" s="294">
        <f t="shared" si="0"/>
        <v>214545</v>
      </c>
      <c r="P21" s="288">
        <v>18361</v>
      </c>
    </row>
    <row r="22" spans="2:18" ht="15.75">
      <c r="B22" s="276"/>
      <c r="C22" s="426"/>
      <c r="D22" s="426"/>
      <c r="E22" s="426"/>
      <c r="F22" s="426"/>
    </row>
    <row r="23" spans="2:18" ht="15.75">
      <c r="B23" s="308" t="str">
        <f>INPUT!B18</f>
        <v xml:space="preserve">         Total revenues</v>
      </c>
      <c r="C23" s="706">
        <f>IF(SUM(C15:C22)&lt;&gt;0,SUM(C15:C22),"-  ")</f>
        <v>1335512</v>
      </c>
      <c r="D23" s="706">
        <f>IF(SUM(D15:D22)&lt;&gt;0,SUM(D15:D22),"-  ")</f>
        <v>1335512</v>
      </c>
      <c r="E23" s="706">
        <f>IF(SUM(E15:E22)&lt;&gt;0,SUM(E15:E22),"-  ")</f>
        <v>1958692</v>
      </c>
      <c r="F23" s="706">
        <f>SUM(F15:F22)</f>
        <v>623180</v>
      </c>
      <c r="P23" s="288">
        <v>1586574</v>
      </c>
      <c r="R23" s="288">
        <f>+P23-E23</f>
        <v>-372118</v>
      </c>
    </row>
    <row r="24" spans="2:18" ht="15.75">
      <c r="B24" s="276"/>
      <c r="C24" s="303"/>
      <c r="D24" s="303"/>
      <c r="E24" s="303"/>
      <c r="F24" s="303"/>
    </row>
    <row r="25" spans="2:18" ht="15.75">
      <c r="B25" s="308" t="str">
        <f>INPUT!B20</f>
        <v>EXPENDITURES</v>
      </c>
      <c r="C25" s="303"/>
      <c r="D25" s="303"/>
      <c r="E25" s="303"/>
      <c r="F25" s="303"/>
    </row>
    <row r="26" spans="2:18" ht="15.75">
      <c r="B26" s="276" t="str">
        <f>INPUT!B21</f>
        <v xml:space="preserve">     Current:</v>
      </c>
      <c r="C26" s="303"/>
      <c r="D26" s="303"/>
      <c r="E26" s="303"/>
      <c r="F26" s="303"/>
    </row>
    <row r="27" spans="2:18" ht="15.75" hidden="1">
      <c r="B27" s="276" t="str">
        <f>INPUT!B22</f>
        <v xml:space="preserve">          General government</v>
      </c>
      <c r="C27" s="294"/>
      <c r="D27" s="294"/>
      <c r="E27" s="294"/>
      <c r="F27" s="294"/>
    </row>
    <row r="28" spans="2:18" ht="15.75" hidden="1">
      <c r="B28" s="276" t="s">
        <v>767</v>
      </c>
      <c r="C28" s="294">
        <f>SUM('SR BUDACT ER'!EY59:EY59)</f>
        <v>0</v>
      </c>
      <c r="D28" s="294">
        <f>SUM('SR BUDACT ER'!EZ59:EZ59)</f>
        <v>0</v>
      </c>
      <c r="E28" s="294">
        <f>SUM('SR BUDACT ER'!FA59:FA59)</f>
        <v>0</v>
      </c>
      <c r="F28" s="294">
        <v>0</v>
      </c>
      <c r="P28" s="288">
        <v>0</v>
      </c>
    </row>
    <row r="29" spans="2:18" ht="15.75" hidden="1">
      <c r="B29" s="276" t="s">
        <v>292</v>
      </c>
      <c r="C29" s="294">
        <f>SUM('SR BUDACT ER'!EY60:EY60)</f>
        <v>0</v>
      </c>
      <c r="D29" s="294">
        <f>SUM('SR BUDACT ER'!EZ60:EZ60)</f>
        <v>0</v>
      </c>
      <c r="E29" s="294">
        <f>SUM('SR BUDACT ER'!FA60:FA60)</f>
        <v>0</v>
      </c>
      <c r="F29" s="294">
        <v>0</v>
      </c>
      <c r="P29" s="288">
        <v>0</v>
      </c>
    </row>
    <row r="30" spans="2:18" ht="15.75" hidden="1">
      <c r="B30" s="276" t="str">
        <f>INPUT!B23</f>
        <v xml:space="preserve">          Public safety</v>
      </c>
      <c r="C30" s="294"/>
      <c r="D30" s="294"/>
      <c r="E30" s="294"/>
      <c r="F30" s="294"/>
    </row>
    <row r="31" spans="2:18" ht="15.75" hidden="1">
      <c r="B31" s="276" t="s">
        <v>767</v>
      </c>
      <c r="C31" s="294">
        <f>SUM('SR BUDACT ER'!EY62:EY62)</f>
        <v>0</v>
      </c>
      <c r="D31" s="294">
        <f>SUM('SR BUDACT ER'!EZ62:EZ62)</f>
        <v>0</v>
      </c>
      <c r="E31" s="294">
        <f>SUM('SR BUDACT ER'!FA62:FA62)</f>
        <v>0</v>
      </c>
      <c r="F31" s="294">
        <f>SUM(D31-E31)</f>
        <v>0</v>
      </c>
      <c r="P31" s="288">
        <v>0</v>
      </c>
    </row>
    <row r="32" spans="2:18" ht="15.75" hidden="1">
      <c r="B32" s="276" t="s">
        <v>292</v>
      </c>
      <c r="C32" s="294">
        <f>SUM('SR BUDACT ER'!EY63:EY63)</f>
        <v>0</v>
      </c>
      <c r="D32" s="294">
        <f>SUM('SR BUDACT ER'!EZ63:EZ63)</f>
        <v>0</v>
      </c>
      <c r="E32" s="294">
        <f>SUM('SR BUDACT ER'!FA63:FA63)</f>
        <v>0</v>
      </c>
      <c r="F32" s="294">
        <f t="shared" ref="F32:F46" si="1">SUM(D32-E32)</f>
        <v>0</v>
      </c>
      <c r="P32" s="288">
        <v>0</v>
      </c>
    </row>
    <row r="33" spans="2:18" ht="15.75">
      <c r="B33" s="276" t="str">
        <f>INPUT!B24</f>
        <v xml:space="preserve">          Public works</v>
      </c>
      <c r="C33" s="294"/>
      <c r="D33" s="294"/>
      <c r="E33" s="294"/>
      <c r="F33" s="294"/>
    </row>
    <row r="34" spans="2:18" ht="15.75">
      <c r="B34" s="276" t="s">
        <v>767</v>
      </c>
      <c r="C34" s="294">
        <f>SUM('SR BUDACT ER'!EY65:EY65)</f>
        <v>14200</v>
      </c>
      <c r="D34" s="294">
        <f>SUM('SR BUDACT ER'!EZ65:EZ65)</f>
        <v>14200</v>
      </c>
      <c r="E34" s="294">
        <f>SUM('SR BUDACT ER'!FA65:FA65)</f>
        <v>4296</v>
      </c>
      <c r="F34" s="294">
        <f t="shared" si="1"/>
        <v>9904</v>
      </c>
      <c r="P34" s="288">
        <v>3746</v>
      </c>
    </row>
    <row r="35" spans="2:18" ht="15.75">
      <c r="B35" s="276" t="s">
        <v>292</v>
      </c>
      <c r="C35" s="294">
        <f>SUM('SR BUDACT ER'!EY66:EY66)</f>
        <v>6547920</v>
      </c>
      <c r="D35" s="294">
        <f>SUM('SR BUDACT ER'!EZ66:EZ66)</f>
        <v>6547920</v>
      </c>
      <c r="E35" s="294">
        <f>SUM('SR BUDACT ER'!FA66:FA66)</f>
        <v>883071</v>
      </c>
      <c r="F35" s="294">
        <f t="shared" si="1"/>
        <v>5664849</v>
      </c>
      <c r="P35" s="288">
        <v>1275769</v>
      </c>
    </row>
    <row r="36" spans="2:18" ht="15.75" hidden="1">
      <c r="B36" s="276" t="str">
        <f>INPUT!B25</f>
        <v xml:space="preserve">          Public health</v>
      </c>
      <c r="C36" s="294"/>
      <c r="D36" s="294"/>
      <c r="E36" s="294"/>
      <c r="F36" s="294">
        <f t="shared" si="1"/>
        <v>0</v>
      </c>
    </row>
    <row r="37" spans="2:18" ht="15.75" hidden="1">
      <c r="B37" s="276" t="s">
        <v>767</v>
      </c>
      <c r="C37" s="294">
        <f>SUM('SR BUDACT ER'!EY68:EY68)</f>
        <v>0</v>
      </c>
      <c r="D37" s="294">
        <f>SUM('SR BUDACT ER'!EZ68:EZ68)</f>
        <v>0</v>
      </c>
      <c r="E37" s="294">
        <f>SUM('SR BUDACT ER'!FA68:FA68)</f>
        <v>0</v>
      </c>
      <c r="F37" s="294"/>
      <c r="P37" s="288">
        <v>0</v>
      </c>
    </row>
    <row r="38" spans="2:18" ht="15.75" hidden="1">
      <c r="B38" s="276" t="s">
        <v>292</v>
      </c>
      <c r="C38" s="294">
        <f>SUM('SR BUDACT ER'!EY69:EY69)</f>
        <v>0</v>
      </c>
      <c r="D38" s="294">
        <f>SUM('SR BUDACT ER'!EZ69:EZ69)</f>
        <v>0</v>
      </c>
      <c r="E38" s="294">
        <f>SUM('SR BUDACT ER'!FA69:FA69)</f>
        <v>0</v>
      </c>
      <c r="F38" s="294"/>
      <c r="P38" s="288">
        <v>0</v>
      </c>
    </row>
    <row r="39" spans="2:18" ht="15.75" hidden="1">
      <c r="B39" s="276" t="str">
        <f>INPUT!B26</f>
        <v xml:space="preserve">          Social and economic</v>
      </c>
      <c r="C39" s="294"/>
      <c r="D39" s="294"/>
      <c r="E39" s="294"/>
      <c r="F39" s="294">
        <f t="shared" si="1"/>
        <v>0</v>
      </c>
    </row>
    <row r="40" spans="2:18" ht="15.75" hidden="1">
      <c r="B40" s="276" t="s">
        <v>767</v>
      </c>
      <c r="C40" s="294">
        <f>SUM('SR BUDACT ER'!EY71:EY71)</f>
        <v>0</v>
      </c>
      <c r="D40" s="294">
        <f>SUM('SR BUDACT ER'!EZ71:EZ71)</f>
        <v>0</v>
      </c>
      <c r="E40" s="294">
        <f>SUM('SR BUDACT ER'!FA71:FA71)</f>
        <v>0</v>
      </c>
      <c r="F40" s="294"/>
      <c r="P40" s="288">
        <v>0</v>
      </c>
    </row>
    <row r="41" spans="2:18" ht="15.75" hidden="1">
      <c r="B41" s="276" t="s">
        <v>292</v>
      </c>
      <c r="C41" s="294">
        <f>SUM('SR BUDACT ER'!EY72:EY72)</f>
        <v>0</v>
      </c>
      <c r="D41" s="294">
        <f>SUM('SR BUDACT ER'!EZ72:EZ72)</f>
        <v>0</v>
      </c>
      <c r="E41" s="294">
        <f>SUM('SR BUDACT ER'!FA72:FA72)</f>
        <v>0</v>
      </c>
      <c r="F41" s="294"/>
      <c r="P41" s="288">
        <v>0</v>
      </c>
    </row>
    <row r="42" spans="2:18" ht="15.75" hidden="1">
      <c r="B42" s="276" t="str">
        <f>INPUT!B27</f>
        <v xml:space="preserve">          Culture and recreation</v>
      </c>
      <c r="C42" s="294"/>
      <c r="D42" s="294"/>
      <c r="E42" s="294"/>
      <c r="F42" s="294">
        <f t="shared" si="1"/>
        <v>0</v>
      </c>
    </row>
    <row r="43" spans="2:18" ht="15.75" hidden="1">
      <c r="B43" s="276" t="s">
        <v>767</v>
      </c>
      <c r="C43" s="294">
        <f>SUM('SR BUDACT ER'!EY74:EY74)</f>
        <v>0</v>
      </c>
      <c r="D43" s="294">
        <f>SUM('SR BUDACT ER'!EZ74:EZ74)</f>
        <v>0</v>
      </c>
      <c r="E43" s="294">
        <f>SUM('SR BUDACT ER'!FA74:FA74)</f>
        <v>0</v>
      </c>
      <c r="F43" s="294"/>
      <c r="P43" s="288">
        <v>0</v>
      </c>
    </row>
    <row r="44" spans="2:18" ht="15.75" hidden="1">
      <c r="B44" s="276" t="s">
        <v>292</v>
      </c>
      <c r="C44" s="294">
        <f>SUM('SR BUDACT ER'!EY75:EY75)</f>
        <v>0</v>
      </c>
      <c r="D44" s="294">
        <f>SUM('SR BUDACT ER'!EZ75:EZ75)</f>
        <v>0</v>
      </c>
      <c r="E44" s="294">
        <f>SUM('SR BUDACT ER'!FA75:FA75)</f>
        <v>0</v>
      </c>
      <c r="F44" s="294"/>
      <c r="P44" s="288">
        <v>0</v>
      </c>
    </row>
    <row r="45" spans="2:18" ht="15.75">
      <c r="B45" s="276" t="str">
        <f>INPUT!B28</f>
        <v xml:space="preserve">     Debt service</v>
      </c>
      <c r="C45" s="294">
        <f>SUM('SR BUDACT ER'!EY77:EY78)</f>
        <v>0</v>
      </c>
      <c r="D45" s="294">
        <f>SUM('SR BUDACT ER'!EZ77:EZ78)</f>
        <v>0</v>
      </c>
      <c r="E45" s="294">
        <f>SUM('SR BUDACT ER'!FA77:FA78)</f>
        <v>34</v>
      </c>
      <c r="F45" s="294">
        <f t="shared" si="1"/>
        <v>-34</v>
      </c>
      <c r="P45" s="288">
        <v>1</v>
      </c>
    </row>
    <row r="46" spans="2:18" ht="15.75" hidden="1">
      <c r="B46" s="276" t="str">
        <f>INPUT!B29</f>
        <v xml:space="preserve">     Capital outlay</v>
      </c>
      <c r="C46" s="294">
        <f>SUM('SR BUDACT ER'!EY79:EY79)</f>
        <v>0</v>
      </c>
      <c r="D46" s="294">
        <f>SUM('SR BUDACT ER'!EZ79:EZ79)</f>
        <v>0</v>
      </c>
      <c r="E46" s="294">
        <f>SUM('SR BUDACT ER'!FA79:FA79)</f>
        <v>0</v>
      </c>
      <c r="F46" s="294">
        <f t="shared" si="1"/>
        <v>0</v>
      </c>
      <c r="P46" s="288">
        <v>0</v>
      </c>
    </row>
    <row r="47" spans="2:18" ht="15.75">
      <c r="B47" s="276"/>
      <c r="C47" s="426"/>
      <c r="D47" s="426"/>
      <c r="E47" s="426"/>
      <c r="F47" s="426"/>
    </row>
    <row r="48" spans="2:18" ht="15.75">
      <c r="B48" s="308" t="str">
        <f>INPUT!B41</f>
        <v xml:space="preserve">         Total expenditures</v>
      </c>
      <c r="C48" s="706">
        <f>SUM(C27:C47)</f>
        <v>6562120</v>
      </c>
      <c r="D48" s="706">
        <f>SUM(D27:D47)</f>
        <v>6562120</v>
      </c>
      <c r="E48" s="706">
        <f>SUM(E27:E47)</f>
        <v>887401</v>
      </c>
      <c r="F48" s="706">
        <f>SUM(F27:F47)</f>
        <v>5674719</v>
      </c>
      <c r="P48" s="288">
        <v>1279516</v>
      </c>
      <c r="R48" s="288">
        <f>+P48-E48</f>
        <v>392115</v>
      </c>
    </row>
    <row r="49" spans="1:16" ht="15.75">
      <c r="B49" s="308" t="str">
        <f>INPUT!B42</f>
        <v xml:space="preserve">             Excess (deficiency) of revenue</v>
      </c>
      <c r="C49" s="296"/>
      <c r="D49" s="296"/>
      <c r="E49" s="296"/>
      <c r="F49" s="296"/>
    </row>
    <row r="50" spans="1:16" ht="15.75">
      <c r="B50" s="308" t="str">
        <f>INPUT!B43</f>
        <v xml:space="preserve">                 over (under) expenditures</v>
      </c>
      <c r="C50" s="697">
        <f>SUM(C23-C48)</f>
        <v>-5226608</v>
      </c>
      <c r="D50" s="697">
        <f>SUM(D23-D48)</f>
        <v>-5226608</v>
      </c>
      <c r="E50" s="697">
        <f>SUM(E23-E48)</f>
        <v>1071291</v>
      </c>
      <c r="F50" s="697">
        <f>SUM(F23+F48)</f>
        <v>6297899</v>
      </c>
      <c r="P50" s="288">
        <v>307058</v>
      </c>
    </row>
    <row r="51" spans="1:16" ht="15.75">
      <c r="B51" s="276"/>
      <c r="C51" s="296"/>
      <c r="D51" s="296"/>
      <c r="E51" s="296"/>
      <c r="F51" s="296"/>
    </row>
    <row r="52" spans="1:16" ht="15.75">
      <c r="B52" s="308" t="str">
        <f>INPUT!B45</f>
        <v>OTHER FINANCING SOURCES (USES)</v>
      </c>
      <c r="C52" s="314"/>
      <c r="D52" s="294"/>
      <c r="E52" s="294"/>
      <c r="F52" s="294"/>
    </row>
    <row r="53" spans="1:16" ht="15.75">
      <c r="B53" s="276" t="str">
        <f>INPUT!B46</f>
        <v xml:space="preserve">     Transfers in</v>
      </c>
      <c r="C53" s="294">
        <f>SUM('SR BUDACT ER'!EY86:EY86)</f>
        <v>0</v>
      </c>
      <c r="D53" s="294">
        <f>SUM('SR BUDACT ER'!EZ86:EZ86)</f>
        <v>0</v>
      </c>
      <c r="E53" s="294">
        <f>SUM('SR BUDACT ER'!FA86:FA86)</f>
        <v>11447</v>
      </c>
      <c r="F53" s="294">
        <f>+SUM(E53-D53)</f>
        <v>11447</v>
      </c>
      <c r="P53" s="288">
        <v>379124</v>
      </c>
    </row>
    <row r="54" spans="1:16" ht="15.75">
      <c r="B54" s="276" t="str">
        <f>INPUT!B47</f>
        <v xml:space="preserve">     Transfers out</v>
      </c>
      <c r="C54" s="294">
        <f>SUM('SR BUDACT ER'!EY87:EY87)</f>
        <v>-279996</v>
      </c>
      <c r="D54" s="294">
        <f>SUM('SR BUDACT ER'!EZ87:EZ87)</f>
        <v>-279996</v>
      </c>
      <c r="E54" s="294">
        <f>SUM('SR BUDACT ER'!FA87:FA87)</f>
        <v>-276838</v>
      </c>
      <c r="F54" s="294">
        <f>+SUM(E54-D54)</f>
        <v>3158</v>
      </c>
      <c r="P54" s="288">
        <v>-371940</v>
      </c>
    </row>
    <row r="55" spans="1:16" ht="15.75" hidden="1">
      <c r="B55" s="276" t="str">
        <f>INPUT!B50</f>
        <v xml:space="preserve">     Issuance of long-term debt</v>
      </c>
      <c r="C55" s="294">
        <f>SUM('SR BUDACT ER'!EY88:EY88)</f>
        <v>0</v>
      </c>
      <c r="D55" s="294">
        <f>SUM('SR BUDACT ER'!EZ88:EZ88)</f>
        <v>0</v>
      </c>
      <c r="E55" s="294">
        <f>SUM('SR BUDACT ER'!FA88:FA88)</f>
        <v>0</v>
      </c>
      <c r="F55" s="294">
        <f>+SUM(E55-D55)</f>
        <v>0</v>
      </c>
      <c r="P55" s="288">
        <v>0</v>
      </c>
    </row>
    <row r="56" spans="1:16" ht="15.75" hidden="1">
      <c r="B56" s="276" t="str">
        <f>INPUT!B54</f>
        <v xml:space="preserve">     Proceeds from disposal of capital assets(MOVE to mis rev/exp)GFOA finding</v>
      </c>
      <c r="C56" s="294">
        <f>SUM('SR BUDACT ER'!EY89:EY89)</f>
        <v>0</v>
      </c>
      <c r="D56" s="294">
        <f>SUM('SR BUDACT ER'!EZ89:EZ89)</f>
        <v>0</v>
      </c>
      <c r="E56" s="294">
        <f>SUM('SR BUDACT ER'!FA89:FA89)</f>
        <v>0</v>
      </c>
      <c r="F56" s="294">
        <f>+SUM(E56-D56)</f>
        <v>0</v>
      </c>
      <c r="P56" s="288">
        <v>0</v>
      </c>
    </row>
    <row r="57" spans="1:16" ht="15.75">
      <c r="B57" s="276"/>
      <c r="C57" s="426"/>
      <c r="D57" s="426"/>
      <c r="E57" s="426"/>
      <c r="F57" s="298"/>
    </row>
    <row r="58" spans="1:16" ht="15.75">
      <c r="B58" s="308" t="str">
        <f>INPUT!B58</f>
        <v xml:space="preserve">         Total other financing sources and uses</v>
      </c>
      <c r="C58" s="706">
        <f>SUM(C53:C57)</f>
        <v>-279996</v>
      </c>
      <c r="D58" s="706">
        <f>SUM(D53:D57)</f>
        <v>-279996</v>
      </c>
      <c r="E58" s="706">
        <f>SUM(E53:E57)</f>
        <v>-265391</v>
      </c>
      <c r="F58" s="706">
        <f>SUM(F53:F57)</f>
        <v>14605</v>
      </c>
      <c r="P58" s="288">
        <v>7184</v>
      </c>
    </row>
    <row r="59" spans="1:16" ht="15.75">
      <c r="B59" s="276"/>
      <c r="C59" s="276"/>
      <c r="D59" s="303"/>
      <c r="E59" s="303"/>
      <c r="F59" s="303"/>
    </row>
    <row r="60" spans="1:16" ht="16.5" thickBot="1">
      <c r="B60" s="308" t="str">
        <f>INPUT!B61</f>
        <v xml:space="preserve">             Net change in fund balances</v>
      </c>
      <c r="C60" s="703">
        <f>SUM(C50+C58)</f>
        <v>-5506604</v>
      </c>
      <c r="D60" s="703">
        <f>SUM(D50+D58)</f>
        <v>-5506604</v>
      </c>
      <c r="E60" s="697">
        <f>SUM(E50+E58)</f>
        <v>805900</v>
      </c>
      <c r="F60" s="703">
        <f>SUM(F50+F58)</f>
        <v>6312504</v>
      </c>
      <c r="P60" s="288">
        <v>314242</v>
      </c>
    </row>
    <row r="61" spans="1:16" ht="16.5" thickTop="1">
      <c r="B61" s="276"/>
      <c r="C61" s="303"/>
      <c r="D61" s="303"/>
      <c r="E61" s="303"/>
      <c r="F61" s="303"/>
      <c r="H61" s="465"/>
    </row>
    <row r="62" spans="1:16" ht="15.75">
      <c r="B62" s="276" t="str">
        <f>INPUT!B63</f>
        <v xml:space="preserve">     Fund balance, July 1</v>
      </c>
      <c r="C62" s="303"/>
      <c r="D62" s="303"/>
      <c r="E62" s="318">
        <f>+'SR BUDACT ER'!FA95</f>
        <v>6017874</v>
      </c>
      <c r="F62" s="303"/>
      <c r="P62" s="288">
        <v>5816877</v>
      </c>
    </row>
    <row r="63" spans="1:16" ht="15.75" hidden="1" customHeight="1">
      <c r="B63" s="276"/>
      <c r="C63" s="303"/>
      <c r="D63" s="303"/>
      <c r="E63" s="294"/>
      <c r="F63" s="303"/>
    </row>
    <row r="64" spans="1:16" ht="15.75" hidden="1" customHeight="1">
      <c r="A64" s="288" t="s">
        <v>299</v>
      </c>
      <c r="B64" s="276" t="str">
        <f>INPUT!B65</f>
        <v xml:space="preserve">     Add back depreciation that reduces contributed capital</v>
      </c>
      <c r="C64" s="303"/>
      <c r="D64" s="303"/>
      <c r="F64" s="303"/>
      <c r="H64" s="335"/>
    </row>
    <row r="65" spans="1:16" ht="15.75" hidden="1" customHeight="1">
      <c r="A65" s="288" t="s">
        <v>299</v>
      </c>
      <c r="B65" s="276"/>
      <c r="C65" s="303"/>
      <c r="D65" s="303"/>
      <c r="E65" s="294"/>
      <c r="F65" s="303"/>
    </row>
    <row r="66" spans="1:16" ht="15.75" hidden="1" customHeight="1">
      <c r="B66" s="276" t="str">
        <f>INPUT!B66</f>
        <v xml:space="preserve">     Prior period adjustments</v>
      </c>
      <c r="C66" s="303"/>
      <c r="D66" s="303"/>
      <c r="E66" s="317"/>
      <c r="F66" s="303"/>
    </row>
    <row r="67" spans="1:16" ht="15.75" hidden="1" customHeight="1">
      <c r="B67" s="276"/>
      <c r="C67" s="303"/>
      <c r="D67" s="303"/>
      <c r="E67" s="294"/>
      <c r="F67" s="303"/>
    </row>
    <row r="68" spans="1:16" ht="15.75" hidden="1" customHeight="1">
      <c r="A68" s="288" t="s">
        <v>299</v>
      </c>
      <c r="B68" s="308" t="str">
        <f>INPUT!B69</f>
        <v xml:space="preserve">     Total net position, beginning, as restated</v>
      </c>
      <c r="C68" s="303"/>
      <c r="D68" s="303"/>
      <c r="E68" s="300">
        <f>SUM(E62+E66)</f>
        <v>6017874</v>
      </c>
      <c r="F68" s="303"/>
      <c r="P68" s="288">
        <v>5816877</v>
      </c>
    </row>
    <row r="69" spans="1:16" ht="15.75" hidden="1" customHeight="1">
      <c r="A69" s="288" t="s">
        <v>299</v>
      </c>
      <c r="B69" s="276"/>
      <c r="C69" s="303"/>
      <c r="D69" s="303"/>
      <c r="E69" s="294"/>
      <c r="F69" s="303"/>
    </row>
    <row r="70" spans="1:16" ht="15.75" hidden="1" customHeight="1">
      <c r="B70" s="276" t="str">
        <f>INPUT!B71</f>
        <v xml:space="preserve">     Residual equity transfers</v>
      </c>
      <c r="C70" s="303"/>
      <c r="D70" s="303"/>
      <c r="E70" s="317"/>
      <c r="F70" s="303"/>
    </row>
    <row r="71" spans="1:16" ht="15.75">
      <c r="B71" s="276"/>
      <c r="C71" s="303"/>
      <c r="D71" s="303"/>
      <c r="E71" s="294"/>
      <c r="F71" s="303"/>
    </row>
    <row r="72" spans="1:16" ht="16.5" thickBot="1">
      <c r="B72" s="276" t="str">
        <f>INPUT!B73</f>
        <v xml:space="preserve">     Fund balance, June 30</v>
      </c>
      <c r="C72" s="303"/>
      <c r="D72" s="303"/>
      <c r="E72" s="703">
        <f>SUM(E60+E68+E70)</f>
        <v>6823774</v>
      </c>
      <c r="F72" s="303"/>
      <c r="I72" s="460" t="s">
        <v>3122</v>
      </c>
      <c r="P72" s="288">
        <v>6131119</v>
      </c>
    </row>
    <row r="73" spans="1:16" ht="16.5" thickTop="1">
      <c r="B73" s="276"/>
      <c r="C73" s="294"/>
      <c r="D73" s="294"/>
      <c r="E73" s="294"/>
      <c r="F73" s="294"/>
      <c r="I73" s="460" t="s">
        <v>3034</v>
      </c>
    </row>
    <row r="74" spans="1:16" ht="15.75">
      <c r="B74" s="350"/>
      <c r="C74" s="294"/>
      <c r="D74" s="294"/>
      <c r="E74" s="294"/>
      <c r="F74" s="294"/>
      <c r="I74" s="1063">
        <v>6017874</v>
      </c>
      <c r="J74" s="288">
        <f>+I74-E62</f>
        <v>0</v>
      </c>
    </row>
    <row r="75" spans="1:16" ht="15.75">
      <c r="I75" s="325" t="s">
        <v>3338</v>
      </c>
    </row>
    <row r="76" spans="1:16" ht="15.75">
      <c r="I76" s="1064" t="s">
        <v>3340</v>
      </c>
    </row>
  </sheetData>
  <phoneticPr fontId="0" type="noConversion"/>
  <printOptions horizontalCentered="1"/>
  <pageMargins left="0.4" right="0.39" top="0.5" bottom="0.75" header="0.5" footer="0.25"/>
  <pageSetup scale="65" firstPageNumber="24" orientation="portrait" useFirstPageNumber="1" r:id="rId1"/>
  <headerFooter alignWithMargins="0">
    <oddFooter xml:space="preserve">&amp;CThe accompanying notes are an integral part of these financial statements.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ransitionEvaluation="1" codeName="Sheet17"/>
  <dimension ref="A3:AA134"/>
  <sheetViews>
    <sheetView showGridLines="0" topLeftCell="B11" zoomScaleNormal="100" workbookViewId="0">
      <selection activeCell="J38" sqref="J38"/>
    </sheetView>
  </sheetViews>
  <sheetFormatPr defaultColWidth="9.7109375" defaultRowHeight="12.75"/>
  <cols>
    <col min="1" max="1" width="2.7109375" style="288" customWidth="1"/>
    <col min="2" max="2" width="43.28515625" style="288" customWidth="1"/>
    <col min="3" max="3" width="2.42578125" style="288" customWidth="1"/>
    <col min="4" max="4" width="16.7109375" style="288" hidden="1" customWidth="1"/>
    <col min="5" max="5" width="2.42578125" style="288" hidden="1" customWidth="1"/>
    <col min="6" max="6" width="16.85546875" style="288" bestFit="1" customWidth="1"/>
    <col min="7" max="7" width="2.42578125" style="288" customWidth="1"/>
    <col min="8" max="8" width="16.7109375" style="288" customWidth="1"/>
    <col min="9" max="9" width="2.42578125" style="288" customWidth="1"/>
    <col min="10" max="10" width="16.7109375" style="288" customWidth="1"/>
    <col min="11" max="11" width="2.42578125" style="288" customWidth="1"/>
    <col min="12" max="12" width="17.7109375" style="288" customWidth="1"/>
    <col min="13" max="13" width="2.85546875" style="288" customWidth="1"/>
    <col min="14" max="14" width="20.7109375" style="288" customWidth="1"/>
    <col min="15" max="15" width="4.85546875" style="288" customWidth="1"/>
    <col min="16" max="16" width="23.28515625" style="288" customWidth="1"/>
    <col min="17" max="17" width="9.7109375" style="288" customWidth="1"/>
    <col min="18" max="18" width="11" style="288" customWidth="1"/>
    <col min="19" max="20" width="9.7109375" style="288" customWidth="1"/>
    <col min="21" max="21" width="12.5703125" style="288" bestFit="1" customWidth="1"/>
    <col min="22" max="22" width="9.7109375" style="288"/>
    <col min="23" max="23" width="11" style="288" bestFit="1" customWidth="1"/>
    <col min="24" max="16384" width="9.7109375" style="288"/>
  </cols>
  <sheetData>
    <row r="3" spans="2:21" ht="15.75">
      <c r="B3" s="305" t="s">
        <v>1049</v>
      </c>
      <c r="C3" s="305"/>
      <c r="D3" s="305"/>
      <c r="E3" s="305"/>
      <c r="F3" s="305"/>
      <c r="G3" s="305"/>
      <c r="H3" s="305"/>
      <c r="I3" s="305"/>
      <c r="J3" s="305"/>
      <c r="K3" s="305"/>
      <c r="L3" s="305"/>
      <c r="M3" s="305"/>
      <c r="N3" s="305"/>
      <c r="O3" s="305"/>
    </row>
    <row r="4" spans="2:21" ht="15.75">
      <c r="B4" s="305" t="s">
        <v>1672</v>
      </c>
      <c r="C4" s="305"/>
      <c r="D4" s="305"/>
      <c r="E4" s="305"/>
      <c r="F4" s="305"/>
      <c r="G4" s="305"/>
      <c r="H4" s="305"/>
      <c r="I4" s="305"/>
      <c r="J4" s="305"/>
      <c r="K4" s="305"/>
      <c r="L4" s="305"/>
      <c r="M4" s="305"/>
      <c r="N4" s="305"/>
      <c r="O4" s="305"/>
    </row>
    <row r="5" spans="2:21" ht="15.75">
      <c r="B5" s="305" t="s">
        <v>1221</v>
      </c>
      <c r="C5" s="305"/>
      <c r="D5" s="305"/>
      <c r="E5" s="305"/>
      <c r="F5" s="305"/>
      <c r="G5" s="305"/>
      <c r="H5" s="305"/>
      <c r="I5" s="305"/>
      <c r="J5" s="305"/>
      <c r="K5" s="305"/>
      <c r="L5" s="305"/>
      <c r="M5" s="305"/>
      <c r="N5" s="305"/>
      <c r="O5" s="305"/>
    </row>
    <row r="6" spans="2:21" ht="15.75">
      <c r="B6" s="307">
        <f>'Sys INPUT'!B1</f>
        <v>45107</v>
      </c>
      <c r="C6" s="307"/>
      <c r="D6" s="307"/>
      <c r="E6" s="305"/>
      <c r="F6" s="305"/>
      <c r="G6" s="305"/>
      <c r="H6" s="305"/>
      <c r="I6" s="305"/>
      <c r="J6" s="305"/>
      <c r="K6" s="305"/>
      <c r="L6" s="305"/>
      <c r="M6" s="305"/>
      <c r="N6" s="305"/>
      <c r="O6" s="305"/>
    </row>
    <row r="7" spans="2:21" ht="15.75">
      <c r="B7" s="305"/>
      <c r="C7" s="305"/>
      <c r="D7" s="305"/>
      <c r="E7" s="305"/>
      <c r="F7" s="305"/>
      <c r="G7" s="305"/>
      <c r="H7" s="305"/>
      <c r="I7" s="305"/>
      <c r="J7" s="305"/>
      <c r="K7" s="305"/>
      <c r="L7" s="466"/>
      <c r="M7" s="305"/>
      <c r="N7" s="305"/>
      <c r="O7" s="305"/>
    </row>
    <row r="8" spans="2:21" ht="15.75">
      <c r="B8" s="305"/>
      <c r="C8" s="305"/>
      <c r="D8" s="305"/>
      <c r="E8" s="308"/>
      <c r="F8" s="308"/>
      <c r="G8" s="308"/>
      <c r="H8" s="308"/>
      <c r="I8" s="308"/>
      <c r="J8" s="308"/>
      <c r="K8" s="308"/>
      <c r="L8" s="308"/>
      <c r="M8" s="308"/>
      <c r="N8" s="308"/>
      <c r="O8" s="308"/>
    </row>
    <row r="9" spans="2:21" ht="15.75">
      <c r="B9" s="305"/>
      <c r="C9" s="357" t="s">
        <v>1222</v>
      </c>
      <c r="D9" s="357"/>
      <c r="E9" s="357"/>
      <c r="F9" s="357"/>
      <c r="G9" s="357"/>
      <c r="H9" s="357"/>
      <c r="I9" s="357"/>
      <c r="J9" s="357"/>
      <c r="K9" s="357"/>
      <c r="L9" s="357"/>
      <c r="M9" s="308"/>
      <c r="N9" s="287" t="s">
        <v>338</v>
      </c>
      <c r="O9" s="287"/>
    </row>
    <row r="10" spans="2:21" ht="15.75">
      <c r="B10" s="308"/>
      <c r="C10" s="305"/>
      <c r="D10" s="287"/>
      <c r="E10" s="308"/>
      <c r="F10" s="308"/>
      <c r="G10" s="308"/>
      <c r="H10" s="308"/>
      <c r="I10" s="308"/>
      <c r="J10" s="287" t="s">
        <v>956</v>
      </c>
      <c r="K10" s="308"/>
      <c r="L10" s="308"/>
      <c r="M10" s="276"/>
      <c r="N10" s="287" t="s">
        <v>211</v>
      </c>
      <c r="O10" s="287"/>
      <c r="P10" s="287" t="s">
        <v>1127</v>
      </c>
    </row>
    <row r="11" spans="2:21" ht="15.75">
      <c r="B11" s="308"/>
      <c r="C11" s="308"/>
      <c r="E11" s="287"/>
      <c r="F11" s="287" t="s">
        <v>517</v>
      </c>
      <c r="G11" s="287"/>
      <c r="H11" s="287" t="str">
        <f>INPUT!CC6</f>
        <v>FAIR</v>
      </c>
      <c r="I11" s="287"/>
      <c r="J11" s="287" t="s">
        <v>71</v>
      </c>
      <c r="K11" s="287"/>
      <c r="L11" s="287"/>
      <c r="M11" s="287"/>
      <c r="N11" s="287" t="s">
        <v>534</v>
      </c>
      <c r="O11" s="287"/>
      <c r="P11" s="287" t="s">
        <v>469</v>
      </c>
    </row>
    <row r="12" spans="2:21" ht="15.75">
      <c r="B12" s="308"/>
      <c r="C12" s="308"/>
      <c r="E12" s="308"/>
      <c r="F12" s="290" t="s">
        <v>194</v>
      </c>
      <c r="G12" s="287"/>
      <c r="H12" s="290" t="str">
        <f>INPUT!CC7</f>
        <v>ENTERPRISE</v>
      </c>
      <c r="I12" s="287"/>
      <c r="J12" s="290" t="s">
        <v>540</v>
      </c>
      <c r="K12" s="308"/>
      <c r="L12" s="290" t="s">
        <v>315</v>
      </c>
      <c r="M12" s="308"/>
      <c r="N12" s="290" t="s">
        <v>210</v>
      </c>
      <c r="O12" s="290"/>
      <c r="P12" s="290"/>
      <c r="U12" s="290" t="s">
        <v>372</v>
      </c>
    </row>
    <row r="13" spans="2:21" ht="15.75">
      <c r="B13" s="308" t="str">
        <f>INPUT!B83</f>
        <v>ASSETS</v>
      </c>
      <c r="C13" s="276"/>
      <c r="E13" s="308"/>
      <c r="F13" s="276"/>
      <c r="G13" s="276"/>
      <c r="H13" s="276"/>
      <c r="I13" s="276"/>
      <c r="J13" s="276"/>
      <c r="K13" s="308"/>
      <c r="L13" s="276"/>
      <c r="M13" s="308"/>
      <c r="N13" s="276"/>
      <c r="O13" s="276"/>
    </row>
    <row r="14" spans="2:21" ht="15.75">
      <c r="B14" s="276" t="str">
        <f>INPUT!B84</f>
        <v>Current assets:</v>
      </c>
      <c r="C14" s="276"/>
      <c r="E14" s="308"/>
      <c r="F14" s="276"/>
      <c r="G14" s="276"/>
      <c r="H14" s="276"/>
      <c r="I14" s="276"/>
      <c r="J14" s="276"/>
      <c r="K14" s="308"/>
      <c r="L14" s="276"/>
      <c r="M14" s="308"/>
      <c r="N14" s="276"/>
      <c r="O14" s="276"/>
      <c r="P14" s="276"/>
    </row>
    <row r="15" spans="2:21" ht="15.75">
      <c r="B15" s="276" t="str">
        <f>INPUT!B85</f>
        <v xml:space="preserve">     Cash and cash equivalents</v>
      </c>
      <c r="C15" s="276"/>
      <c r="E15" s="303"/>
      <c r="F15" s="292">
        <f>+INPUT!CG85</f>
        <v>3528257</v>
      </c>
      <c r="G15" s="292"/>
      <c r="H15" s="292">
        <f>+INPUT!CC85</f>
        <v>637767</v>
      </c>
      <c r="I15" s="292"/>
      <c r="J15" s="292">
        <f>+'ENT BS'!N15</f>
        <v>1127523</v>
      </c>
      <c r="K15" s="292"/>
      <c r="L15" s="292">
        <f>SUM(E15:K15)</f>
        <v>5293547</v>
      </c>
      <c r="M15" s="292"/>
      <c r="N15" s="292">
        <f>+'IS BS'!R15</f>
        <v>4569358</v>
      </c>
      <c r="O15" s="292"/>
      <c r="P15" s="467"/>
      <c r="U15" s="292">
        <f>5+1+15</f>
        <v>21</v>
      </c>
    </row>
    <row r="16" spans="2:21" ht="15.75">
      <c r="B16" s="276" t="str">
        <f>INPUT!B86</f>
        <v xml:space="preserve">     Investments </v>
      </c>
      <c r="C16" s="276"/>
      <c r="E16" s="276"/>
      <c r="F16" s="294">
        <f>+INPUT!CG86+INPUT!CG100</f>
        <v>673905</v>
      </c>
      <c r="G16" s="294"/>
      <c r="H16" s="294">
        <f>+INPUT!CC86+INPUT!CC100</f>
        <v>121815</v>
      </c>
      <c r="I16" s="294"/>
      <c r="J16" s="294">
        <f>+'ENT BS'!N16</f>
        <v>215360</v>
      </c>
      <c r="K16" s="296"/>
      <c r="L16" s="294">
        <f>SUM(E16:K16)</f>
        <v>1011080</v>
      </c>
      <c r="M16" s="296"/>
      <c r="N16" s="294">
        <f>+'IS BS'!R16</f>
        <v>872757</v>
      </c>
      <c r="O16" s="294"/>
      <c r="P16" s="468"/>
      <c r="U16" s="294"/>
    </row>
    <row r="17" spans="1:21" ht="15.75">
      <c r="B17" s="276" t="str">
        <f>INPUT!B87</f>
        <v xml:space="preserve">     Receivables (net of allowance):</v>
      </c>
      <c r="C17" s="276"/>
      <c r="E17" s="276"/>
      <c r="F17" s="294"/>
      <c r="G17" s="294"/>
      <c r="H17" s="294"/>
      <c r="I17" s="294"/>
      <c r="J17" s="294"/>
      <c r="K17" s="296"/>
      <c r="L17" s="294"/>
      <c r="M17" s="296"/>
      <c r="N17" s="294"/>
      <c r="O17" s="294"/>
      <c r="S17" s="288">
        <f>+L16+L31</f>
        <v>1011080</v>
      </c>
      <c r="U17" s="294"/>
    </row>
    <row r="18" spans="1:21" ht="15.75">
      <c r="B18" s="276" t="str">
        <f>INPUT!B88</f>
        <v xml:space="preserve">          Taxes/assessments</v>
      </c>
      <c r="C18" s="276"/>
      <c r="E18" s="276"/>
      <c r="F18" s="294">
        <f>+INPUT!CG88</f>
        <v>0</v>
      </c>
      <c r="G18" s="294"/>
      <c r="H18" s="294">
        <f>+INPUT!CC88</f>
        <v>14685</v>
      </c>
      <c r="I18" s="294"/>
      <c r="J18" s="294">
        <f>+'ENT BS'!N18</f>
        <v>0</v>
      </c>
      <c r="K18" s="296"/>
      <c r="L18" s="294">
        <f t="shared" ref="L18:L25" si="0">SUM(E18:K18)</f>
        <v>14685</v>
      </c>
      <c r="M18" s="296"/>
      <c r="N18" s="294">
        <f>+'IS BS'!R18</f>
        <v>0</v>
      </c>
      <c r="O18" s="294"/>
      <c r="U18" s="294" t="e">
        <f>IF(+INPUT!#REF!&lt;&gt;0,+INPUT!#REF!,"-  ")</f>
        <v>#REF!</v>
      </c>
    </row>
    <row r="19" spans="1:21" ht="15.75">
      <c r="B19" s="276" t="str">
        <f>INPUT!B89</f>
        <v xml:space="preserve">          Accounts/contracts</v>
      </c>
      <c r="C19" s="276"/>
      <c r="E19" s="276"/>
      <c r="F19" s="294">
        <f>+INPUT!CG89</f>
        <v>105636</v>
      </c>
      <c r="G19" s="294"/>
      <c r="H19" s="294">
        <f>+INPUT!CC89</f>
        <v>0</v>
      </c>
      <c r="I19" s="294"/>
      <c r="J19" s="294">
        <f>+'ENT BS'!N19</f>
        <v>202233</v>
      </c>
      <c r="K19" s="296"/>
      <c r="L19" s="294">
        <f t="shared" si="0"/>
        <v>307869</v>
      </c>
      <c r="M19" s="296"/>
      <c r="N19" s="294">
        <f>+'IS BS'!R19</f>
        <v>262150</v>
      </c>
      <c r="O19" s="294"/>
      <c r="P19" s="467"/>
      <c r="S19" s="288">
        <f>+L18+L19</f>
        <v>322554</v>
      </c>
      <c r="T19" s="288">
        <f>+N18+N19</f>
        <v>262150</v>
      </c>
      <c r="U19" s="294">
        <f>10-3-1</f>
        <v>6</v>
      </c>
    </row>
    <row r="20" spans="1:21" ht="15.75" hidden="1">
      <c r="B20" s="276" t="str">
        <f>INPUT!B90</f>
        <v xml:space="preserve">          Notes receivable</v>
      </c>
      <c r="C20" s="276"/>
      <c r="E20" s="276"/>
      <c r="F20" s="294">
        <f>+INPUT!CG90</f>
        <v>0</v>
      </c>
      <c r="G20" s="294"/>
      <c r="H20" s="294">
        <f>+INPUT!CC90</f>
        <v>0</v>
      </c>
      <c r="I20" s="294"/>
      <c r="J20" s="294">
        <f>+'ENT BS'!N20</f>
        <v>0</v>
      </c>
      <c r="K20" s="296"/>
      <c r="L20" s="294">
        <f t="shared" si="0"/>
        <v>0</v>
      </c>
      <c r="M20" s="296"/>
      <c r="N20" s="294">
        <f>+'IS BS'!R20</f>
        <v>0</v>
      </c>
      <c r="O20" s="294"/>
      <c r="U20" s="294"/>
    </row>
    <row r="21" spans="1:21" ht="15.75">
      <c r="B21" s="276" t="str">
        <f>INPUT!B91</f>
        <v xml:space="preserve">          Leases</v>
      </c>
      <c r="C21" s="276"/>
      <c r="E21" s="276"/>
      <c r="F21" s="294">
        <f>+INPUT!CG91</f>
        <v>0</v>
      </c>
      <c r="G21" s="294"/>
      <c r="H21" s="294">
        <f>+INPUT!CC91</f>
        <v>0</v>
      </c>
      <c r="I21" s="294"/>
      <c r="J21" s="294">
        <f>+'ENT BS'!N21</f>
        <v>0</v>
      </c>
      <c r="K21" s="296"/>
      <c r="L21" s="294">
        <f t="shared" ref="L21" si="1">SUM(E21:K21)</f>
        <v>0</v>
      </c>
      <c r="M21" s="296"/>
      <c r="N21" s="294">
        <f>+'IS BS'!R21</f>
        <v>422140</v>
      </c>
      <c r="O21" s="294"/>
      <c r="U21" s="294"/>
    </row>
    <row r="22" spans="1:21" ht="15.75" hidden="1">
      <c r="B22" s="276" t="str">
        <f>INPUT!B92</f>
        <v xml:space="preserve">     Due from other funds</v>
      </c>
      <c r="C22" s="276"/>
      <c r="E22" s="276"/>
      <c r="F22" s="294">
        <f>+INPUT!CG92</f>
        <v>0</v>
      </c>
      <c r="G22" s="294"/>
      <c r="H22" s="294">
        <f>+INPUT!CC92</f>
        <v>0</v>
      </c>
      <c r="I22" s="294"/>
      <c r="J22" s="294">
        <f>+'ENT BS'!N22</f>
        <v>0</v>
      </c>
      <c r="K22" s="296"/>
      <c r="L22" s="294">
        <f t="shared" si="0"/>
        <v>0</v>
      </c>
      <c r="M22" s="296"/>
      <c r="N22" s="294">
        <f>+'IS BS'!R22</f>
        <v>0</v>
      </c>
      <c r="O22" s="294"/>
      <c r="U22" s="294">
        <v>0</v>
      </c>
    </row>
    <row r="23" spans="1:21" ht="15.75" hidden="1">
      <c r="B23" s="276" t="str">
        <f>INPUT!B93</f>
        <v xml:space="preserve">     Due from other governments</v>
      </c>
      <c r="C23" s="276"/>
      <c r="E23" s="276"/>
      <c r="F23" s="294">
        <f>+INPUT!CG93</f>
        <v>0</v>
      </c>
      <c r="G23" s="294"/>
      <c r="H23" s="294">
        <f>+INPUT!CC93</f>
        <v>0</v>
      </c>
      <c r="I23" s="294"/>
      <c r="J23" s="294">
        <f>+'ENT BS'!N23</f>
        <v>0</v>
      </c>
      <c r="K23" s="296"/>
      <c r="L23" s="294">
        <f t="shared" si="0"/>
        <v>0</v>
      </c>
      <c r="M23" s="296"/>
      <c r="N23" s="294">
        <f>+'IS BS'!R23</f>
        <v>0</v>
      </c>
      <c r="O23" s="294"/>
      <c r="U23" s="294">
        <v>0</v>
      </c>
    </row>
    <row r="24" spans="1:21" ht="15.75">
      <c r="B24" s="276" t="str">
        <f>INPUT!B94</f>
        <v xml:space="preserve">     Inventories</v>
      </c>
      <c r="C24" s="276"/>
      <c r="E24" s="276"/>
      <c r="F24" s="294">
        <f>+INPUT!CG94</f>
        <v>12261</v>
      </c>
      <c r="G24" s="294"/>
      <c r="H24" s="294">
        <f>+INPUT!CC94</f>
        <v>0</v>
      </c>
      <c r="I24" s="294"/>
      <c r="J24" s="294">
        <f>+'ENT BS'!N24</f>
        <v>0</v>
      </c>
      <c r="K24" s="296"/>
      <c r="L24" s="294">
        <f t="shared" si="0"/>
        <v>12261</v>
      </c>
      <c r="M24" s="296"/>
      <c r="N24" s="294">
        <f>+'IS BS'!R24</f>
        <v>35792</v>
      </c>
      <c r="O24" s="294"/>
      <c r="P24" s="467"/>
      <c r="U24" s="294">
        <v>0</v>
      </c>
    </row>
    <row r="25" spans="1:21" ht="15.75" hidden="1">
      <c r="B25" s="276" t="str">
        <f>INPUT!B95</f>
        <v xml:space="preserve">     Prepaid charges</v>
      </c>
      <c r="C25" s="276"/>
      <c r="E25" s="276"/>
      <c r="F25" s="294">
        <f>+INPUT!CG95</f>
        <v>0</v>
      </c>
      <c r="G25" s="294"/>
      <c r="H25" s="294">
        <f>+INPUT!CC95</f>
        <v>0</v>
      </c>
      <c r="I25" s="294"/>
      <c r="J25" s="294">
        <f>+'ENT BS'!N25</f>
        <v>0</v>
      </c>
      <c r="K25" s="296"/>
      <c r="L25" s="294">
        <f t="shared" si="0"/>
        <v>0</v>
      </c>
      <c r="M25" s="296"/>
      <c r="N25" s="294">
        <f>+'IS BS'!R25</f>
        <v>0</v>
      </c>
      <c r="O25" s="294"/>
      <c r="U25" s="294"/>
    </row>
    <row r="26" spans="1:21" ht="15.75">
      <c r="B26" s="276" t="s">
        <v>344</v>
      </c>
      <c r="C26" s="276"/>
      <c r="E26" s="709"/>
      <c r="F26" s="714">
        <f>SUM(F15:F25)</f>
        <v>4320059</v>
      </c>
      <c r="G26" s="709"/>
      <c r="H26" s="714">
        <f>SUM(H15:H25)</f>
        <v>774267</v>
      </c>
      <c r="I26" s="709"/>
      <c r="J26" s="714">
        <f>SUM(J15:J25)</f>
        <v>1545116</v>
      </c>
      <c r="K26" s="702"/>
      <c r="L26" s="714">
        <f>SUM(L15:L25)</f>
        <v>6639442</v>
      </c>
      <c r="M26" s="702"/>
      <c r="N26" s="714">
        <f>SUM(N15:N25)</f>
        <v>6162197</v>
      </c>
      <c r="O26" s="675"/>
      <c r="U26" s="294"/>
    </row>
    <row r="27" spans="1:21" ht="15.75">
      <c r="B27" s="276"/>
      <c r="C27" s="276"/>
      <c r="E27" s="276"/>
      <c r="F27" s="294"/>
      <c r="G27" s="294"/>
      <c r="H27" s="294"/>
      <c r="I27" s="294"/>
      <c r="J27" s="294"/>
      <c r="K27" s="296"/>
      <c r="L27" s="294"/>
      <c r="M27" s="296"/>
      <c r="N27" s="294"/>
      <c r="O27" s="294"/>
      <c r="U27" s="294"/>
    </row>
    <row r="28" spans="1:21" ht="15.75">
      <c r="B28" s="276" t="str">
        <f>INPUT!B96</f>
        <v>Noncurrent assets:</v>
      </c>
      <c r="C28" s="276"/>
      <c r="E28" s="276"/>
      <c r="F28" s="294"/>
      <c r="G28" s="294"/>
      <c r="H28" s="294"/>
      <c r="I28" s="294"/>
      <c r="J28" s="294"/>
      <c r="K28" s="296"/>
      <c r="L28" s="294"/>
      <c r="M28" s="296"/>
      <c r="N28" s="294"/>
      <c r="O28" s="294"/>
      <c r="U28" s="294"/>
    </row>
    <row r="29" spans="1:21" ht="15.75" hidden="1">
      <c r="B29" s="276" t="str">
        <f>INPUT!B97</f>
        <v xml:space="preserve">     Restricted assets:</v>
      </c>
      <c r="C29" s="276"/>
      <c r="E29" s="294"/>
      <c r="F29" s="294"/>
      <c r="G29" s="294"/>
      <c r="H29" s="294"/>
      <c r="I29" s="294"/>
      <c r="J29" s="294"/>
      <c r="K29" s="296"/>
      <c r="L29" s="294"/>
      <c r="M29" s="296"/>
      <c r="N29" s="294"/>
      <c r="O29" s="294"/>
      <c r="U29" s="294">
        <v>0</v>
      </c>
    </row>
    <row r="30" spans="1:21" ht="15.75" hidden="1">
      <c r="B30" s="276" t="str">
        <f>INPUT!B98</f>
        <v xml:space="preserve">          Cash and cash equivalents</v>
      </c>
      <c r="C30" s="276"/>
      <c r="E30" s="276"/>
      <c r="F30" s="294">
        <f>+INPUT!CG98</f>
        <v>0</v>
      </c>
      <c r="G30" s="294"/>
      <c r="H30" s="294">
        <f>+INPUT!CC98</f>
        <v>0</v>
      </c>
      <c r="I30" s="294"/>
      <c r="J30" s="294">
        <f>+'ENT BS'!N30</f>
        <v>0</v>
      </c>
      <c r="K30" s="296"/>
      <c r="L30" s="294">
        <f t="shared" ref="L30:L35" si="2">SUM(E30:K30)</f>
        <v>0</v>
      </c>
      <c r="M30" s="296"/>
      <c r="N30" s="294">
        <f>+'IS BS'!R30</f>
        <v>0</v>
      </c>
      <c r="O30" s="294"/>
      <c r="P30" s="467"/>
      <c r="S30" s="288">
        <f>+L30+L31+N30</f>
        <v>0</v>
      </c>
      <c r="U30" s="294">
        <v>0</v>
      </c>
    </row>
    <row r="31" spans="1:21" ht="15.75" hidden="1">
      <c r="B31" s="276" t="str">
        <f>INPUT!B99</f>
        <v xml:space="preserve">          Investments</v>
      </c>
      <c r="C31" s="276"/>
      <c r="E31" s="276"/>
      <c r="F31" s="294">
        <f>INPUT!CG99</f>
        <v>0</v>
      </c>
      <c r="G31" s="294"/>
      <c r="H31" s="294">
        <f>+INPUT!CC99</f>
        <v>0</v>
      </c>
      <c r="I31" s="294"/>
      <c r="J31" s="294">
        <f>+'ENT BS'!N31</f>
        <v>0</v>
      </c>
      <c r="K31" s="296"/>
      <c r="L31" s="294">
        <f t="shared" si="2"/>
        <v>0</v>
      </c>
      <c r="M31" s="296"/>
      <c r="N31" s="294">
        <f>+'IS BS'!R31</f>
        <v>0</v>
      </c>
      <c r="O31" s="294"/>
      <c r="P31" s="467"/>
      <c r="U31" s="294">
        <v>0</v>
      </c>
    </row>
    <row r="32" spans="1:21" ht="15.75" hidden="1">
      <c r="A32" s="276"/>
      <c r="B32" s="276" t="str">
        <f>INPUT!B100</f>
        <v xml:space="preserve">     Valuation of investments to fair value</v>
      </c>
      <c r="C32" s="276"/>
      <c r="E32" s="276"/>
      <c r="F32" s="294"/>
      <c r="G32" s="294"/>
      <c r="H32" s="294"/>
      <c r="I32" s="294"/>
      <c r="J32" s="294">
        <f>+'ENT BS'!N32</f>
        <v>0</v>
      </c>
      <c r="K32" s="296"/>
      <c r="L32" s="294">
        <f t="shared" si="2"/>
        <v>0</v>
      </c>
      <c r="M32" s="296"/>
      <c r="N32" s="294">
        <f>+'IS BS'!R32</f>
        <v>0</v>
      </c>
      <c r="O32" s="294"/>
      <c r="U32" s="294">
        <v>0</v>
      </c>
    </row>
    <row r="33" spans="1:23" ht="15.75" hidden="1">
      <c r="A33" s="276"/>
      <c r="B33" s="276" t="str">
        <f>INPUT!B101</f>
        <v xml:space="preserve">     Long-term accounts/contracts receivable</v>
      </c>
      <c r="C33" s="276"/>
      <c r="E33" s="276"/>
      <c r="F33" s="294">
        <f>INPUT!CG101</f>
        <v>0</v>
      </c>
      <c r="G33" s="294"/>
      <c r="H33" s="294">
        <f>+INPUT!CC101</f>
        <v>0</v>
      </c>
      <c r="I33" s="294"/>
      <c r="J33" s="294">
        <f>+'ENT BS'!N33</f>
        <v>0</v>
      </c>
      <c r="K33" s="296"/>
      <c r="L33" s="294">
        <f t="shared" si="2"/>
        <v>0</v>
      </c>
      <c r="M33" s="296"/>
      <c r="N33" s="294">
        <f>+'IS BS'!R33</f>
        <v>0</v>
      </c>
      <c r="O33" s="294"/>
      <c r="U33" s="294"/>
    </row>
    <row r="34" spans="1:23" ht="15.75" hidden="1">
      <c r="A34" s="276"/>
      <c r="B34" s="276" t="str">
        <f>INPUT!B102</f>
        <v xml:space="preserve">     Long-term notes receivable</v>
      </c>
      <c r="C34" s="276"/>
      <c r="E34" s="276"/>
      <c r="F34" s="294">
        <f>INPUT!CG102</f>
        <v>0</v>
      </c>
      <c r="G34" s="294"/>
      <c r="H34" s="294">
        <f>+INPUT!CC102</f>
        <v>0</v>
      </c>
      <c r="I34" s="294"/>
      <c r="J34" s="294">
        <f>+'ENT BS'!N34</f>
        <v>0</v>
      </c>
      <c r="K34" s="296"/>
      <c r="L34" s="294">
        <f t="shared" si="2"/>
        <v>0</v>
      </c>
      <c r="M34" s="296"/>
      <c r="N34" s="294">
        <f>+'IS BS'!R34</f>
        <v>0</v>
      </c>
      <c r="O34" s="294"/>
      <c r="U34" s="294"/>
    </row>
    <row r="35" spans="1:23" ht="15" hidden="1" customHeight="1">
      <c r="B35" s="276" t="str">
        <f>INPUT!B103</f>
        <v xml:space="preserve">     Advances to other funds</v>
      </c>
      <c r="C35" s="276"/>
      <c r="E35" s="276"/>
      <c r="F35" s="294">
        <f>INPUT!CG103</f>
        <v>0</v>
      </c>
      <c r="G35" s="294"/>
      <c r="H35" s="294">
        <f>+INPUT!CC103</f>
        <v>0</v>
      </c>
      <c r="I35" s="294"/>
      <c r="J35" s="294">
        <f>+'ENT BS'!N35</f>
        <v>0</v>
      </c>
      <c r="K35" s="296"/>
      <c r="L35" s="294">
        <f t="shared" si="2"/>
        <v>0</v>
      </c>
      <c r="M35" s="296"/>
      <c r="N35" s="294">
        <f>+'IS BS'!R35</f>
        <v>0</v>
      </c>
      <c r="O35" s="294"/>
      <c r="U35" s="294" t="e">
        <f>IF(+INPUT!#REF!&lt;&gt;0,+INPUT!#REF!,"-  ")</f>
        <v>#REF!</v>
      </c>
    </row>
    <row r="36" spans="1:23" ht="15.75" hidden="1">
      <c r="B36" s="276" t="str">
        <f>INPUT!B104</f>
        <v xml:space="preserve">     Capital Assets:</v>
      </c>
      <c r="C36" s="276"/>
      <c r="E36" s="276"/>
      <c r="F36" s="294"/>
      <c r="G36" s="294"/>
      <c r="H36" s="294"/>
      <c r="I36" s="294"/>
      <c r="J36" s="294"/>
      <c r="K36" s="296"/>
      <c r="L36" s="294"/>
      <c r="M36" s="296"/>
      <c r="N36" s="294"/>
      <c r="O36" s="294"/>
      <c r="U36" s="294"/>
    </row>
    <row r="37" spans="1:23" ht="15.75" hidden="1">
      <c r="B37" s="276" t="str">
        <f>INPUT!B105</f>
        <v xml:space="preserve">     Land held for resale</v>
      </c>
      <c r="C37" s="276"/>
      <c r="E37" s="276"/>
      <c r="F37" s="294">
        <f>INPUT!CG105</f>
        <v>0</v>
      </c>
      <c r="G37" s="294"/>
      <c r="H37" s="294">
        <f>+INPUT!CC105</f>
        <v>0</v>
      </c>
      <c r="I37" s="294"/>
      <c r="J37" s="294">
        <f>+'ENT BS'!N37</f>
        <v>0</v>
      </c>
      <c r="K37" s="296"/>
      <c r="L37" s="294">
        <f>SUM(E37:K37)</f>
        <v>0</v>
      </c>
      <c r="M37" s="296"/>
      <c r="N37" s="294">
        <f>+'IS BS'!R38</f>
        <v>0</v>
      </c>
      <c r="O37" s="294"/>
      <c r="U37" s="294" t="e">
        <f>IF(+INPUT!#REF!&lt;&gt;0,+INPUT!#REF!,"-  ")</f>
        <v>#REF!</v>
      </c>
    </row>
    <row r="38" spans="1:23" ht="15.75">
      <c r="B38" s="276" t="str">
        <f>INPUT!B107</f>
        <v xml:space="preserve">     Land and construction in progress</v>
      </c>
      <c r="C38" s="276"/>
      <c r="E38" s="276"/>
      <c r="F38" s="294">
        <f>+INPUT!CG107</f>
        <v>180054</v>
      </c>
      <c r="G38" s="294"/>
      <c r="H38" s="294">
        <f>+INPUT!CC107</f>
        <v>0</v>
      </c>
      <c r="I38" s="294"/>
      <c r="J38" s="294">
        <f>+'ENT BS'!N38</f>
        <v>63594</v>
      </c>
      <c r="K38" s="296"/>
      <c r="L38" s="294">
        <f>SUM(E38:K38)</f>
        <v>243648</v>
      </c>
      <c r="M38" s="296"/>
      <c r="N38" s="294">
        <f>+'IS BS'!R39</f>
        <v>212844</v>
      </c>
      <c r="O38" s="294"/>
      <c r="P38" s="467"/>
      <c r="U38" s="294">
        <v>0</v>
      </c>
      <c r="W38" s="288">
        <f>79636+3587+14119+4747136+54611</f>
        <v>4899089</v>
      </c>
    </row>
    <row r="39" spans="1:23" ht="31.5">
      <c r="B39" s="469" t="str">
        <f>INPUT!B108</f>
        <v xml:space="preserve">     Buildings, improvements, vehicles and equipment (net)</v>
      </c>
      <c r="C39" s="276"/>
      <c r="E39" s="276"/>
      <c r="F39" s="294">
        <f>+INPUT!CG108</f>
        <v>4947896</v>
      </c>
      <c r="G39" s="294"/>
      <c r="H39" s="294">
        <f>+INPUT!CC108</f>
        <v>7108832</v>
      </c>
      <c r="I39" s="294"/>
      <c r="J39" s="294">
        <f>+'ENT BS'!N39</f>
        <v>139870</v>
      </c>
      <c r="K39" s="296"/>
      <c r="L39" s="294">
        <f>SUM(E39:K39)</f>
        <v>12196598</v>
      </c>
      <c r="M39" s="296"/>
      <c r="N39" s="294">
        <f>+'IS BS'!R40</f>
        <v>424842</v>
      </c>
      <c r="O39" s="294"/>
      <c r="U39" s="294"/>
      <c r="W39" s="288">
        <f>+F41+J41</f>
        <v>5331414</v>
      </c>
    </row>
    <row r="40" spans="1:23" ht="15.75">
      <c r="B40" s="469" t="str">
        <f>INPUT!B109</f>
        <v xml:space="preserve">     SBITA assets (net)</v>
      </c>
      <c r="C40" s="276"/>
      <c r="E40" s="276"/>
      <c r="F40" s="294">
        <f>+INPUT!CG109</f>
        <v>0</v>
      </c>
      <c r="G40" s="294"/>
      <c r="H40" s="294">
        <f>+INPUT!CC109</f>
        <v>0</v>
      </c>
      <c r="I40" s="294"/>
      <c r="J40" s="294">
        <v>0</v>
      </c>
      <c r="K40" s="296"/>
      <c r="L40" s="294">
        <f>SUM(E40:K40)</f>
        <v>0</v>
      </c>
      <c r="M40" s="296"/>
      <c r="N40" s="294">
        <f>+'IS BS'!R41</f>
        <v>520227</v>
      </c>
      <c r="O40" s="294"/>
      <c r="U40" s="294"/>
    </row>
    <row r="41" spans="1:23" ht="15.75" customHeight="1">
      <c r="B41" s="276" t="s">
        <v>181</v>
      </c>
      <c r="C41" s="276"/>
      <c r="E41" s="709"/>
      <c r="F41" s="714">
        <f>SUM(F30:F40)</f>
        <v>5127950</v>
      </c>
      <c r="G41" s="709"/>
      <c r="H41" s="714">
        <f t="shared" ref="H41" si="3">SUM(H30:H40)</f>
        <v>7108832</v>
      </c>
      <c r="I41" s="709"/>
      <c r="J41" s="714">
        <f t="shared" ref="J41" si="4">SUM(J30:J40)</f>
        <v>203464</v>
      </c>
      <c r="K41" s="709"/>
      <c r="L41" s="714">
        <f>SUM(L30:L40)</f>
        <v>12440246</v>
      </c>
      <c r="M41" s="709"/>
      <c r="N41" s="714">
        <f>SUM(N30:N40)</f>
        <v>1157913</v>
      </c>
      <c r="O41" s="675"/>
      <c r="U41" s="294"/>
    </row>
    <row r="42" spans="1:23" ht="15.75" customHeight="1">
      <c r="B42" s="276"/>
      <c r="C42" s="276"/>
      <c r="E42" s="276"/>
      <c r="F42" s="294"/>
      <c r="G42" s="276"/>
      <c r="H42" s="294"/>
      <c r="I42" s="276"/>
      <c r="J42" s="294"/>
      <c r="K42" s="276"/>
      <c r="L42" s="294"/>
      <c r="M42" s="296"/>
      <c r="N42" s="294"/>
      <c r="O42" s="294"/>
      <c r="U42" s="294"/>
    </row>
    <row r="43" spans="1:23" ht="16.5" thickBot="1">
      <c r="B43" s="308" t="s">
        <v>182</v>
      </c>
      <c r="C43" s="308"/>
      <c r="E43" s="707"/>
      <c r="F43" s="1300">
        <f>+F41+F26</f>
        <v>9448009</v>
      </c>
      <c r="G43" s="707"/>
      <c r="H43" s="1300">
        <f>+H41+H26</f>
        <v>7883099</v>
      </c>
      <c r="I43" s="707"/>
      <c r="J43" s="1300">
        <f>+J41+J26</f>
        <v>1748580</v>
      </c>
      <c r="K43" s="715"/>
      <c r="L43" s="1300">
        <f>+L41+L26</f>
        <v>19079688</v>
      </c>
      <c r="M43" s="715"/>
      <c r="N43" s="1300">
        <f>+N41+N26</f>
        <v>7320110</v>
      </c>
      <c r="O43" s="339"/>
      <c r="U43" s="299" t="e">
        <f>SUM(U15:U41)</f>
        <v>#REF!</v>
      </c>
    </row>
    <row r="44" spans="1:23" ht="16.5" thickTop="1">
      <c r="B44" s="308"/>
      <c r="C44" s="308"/>
      <c r="E44" s="387"/>
      <c r="F44" s="339"/>
      <c r="G44" s="387"/>
      <c r="H44" s="339"/>
      <c r="I44" s="387"/>
      <c r="J44" s="339"/>
      <c r="K44" s="342"/>
      <c r="L44" s="339"/>
      <c r="M44" s="342"/>
      <c r="N44" s="339"/>
      <c r="O44" s="339"/>
      <c r="U44" s="300"/>
    </row>
    <row r="45" spans="1:23" ht="15.75" hidden="1">
      <c r="B45" s="308" t="str">
        <f>+INPUT!B116</f>
        <v>DEFERRED OUTFLOWS OF RESOURCES</v>
      </c>
      <c r="C45" s="308"/>
      <c r="E45" s="387"/>
      <c r="F45" s="339"/>
      <c r="G45" s="387"/>
      <c r="H45" s="339"/>
      <c r="I45" s="387"/>
      <c r="J45" s="339"/>
      <c r="K45" s="342"/>
      <c r="L45" s="339"/>
      <c r="M45" s="342"/>
      <c r="N45" s="339"/>
      <c r="O45" s="339"/>
      <c r="U45" s="300"/>
    </row>
    <row r="46" spans="1:23" ht="15.75" hidden="1">
      <c r="B46" s="276" t="str">
        <f>+INPUT!B117</f>
        <v xml:space="preserve">     Prepayments of costs</v>
      </c>
      <c r="C46" s="308"/>
      <c r="E46" s="387"/>
      <c r="F46" s="339"/>
      <c r="G46" s="387"/>
      <c r="H46" s="339"/>
      <c r="I46" s="387"/>
      <c r="J46" s="339"/>
      <c r="K46" s="342"/>
      <c r="L46" s="339"/>
      <c r="M46" s="342"/>
      <c r="N46" s="339">
        <v>0</v>
      </c>
      <c r="O46" s="339"/>
      <c r="U46" s="300"/>
    </row>
    <row r="47" spans="1:23" ht="15.75" hidden="1">
      <c r="B47" s="276" t="str">
        <f>+INPUT!B120</f>
        <v xml:space="preserve">     Deferred outflows related to pensions</v>
      </c>
      <c r="C47" s="276"/>
      <c r="E47" s="276"/>
      <c r="F47" s="294">
        <f>+INPUT!CG120</f>
        <v>0</v>
      </c>
      <c r="G47" s="294"/>
      <c r="H47" s="294">
        <f>+INPUT!CC120</f>
        <v>0</v>
      </c>
      <c r="I47" s="294"/>
      <c r="J47" s="294">
        <v>0</v>
      </c>
      <c r="K47" s="296"/>
      <c r="L47" s="294">
        <f>SUM(E47:K47)</f>
        <v>0</v>
      </c>
      <c r="M47" s="296"/>
      <c r="N47" s="294">
        <v>0</v>
      </c>
      <c r="O47" s="294"/>
      <c r="U47" s="294"/>
    </row>
    <row r="48" spans="1:23" ht="15.75" hidden="1">
      <c r="B48" s="276">
        <f>+INPUT!B121</f>
        <v>0</v>
      </c>
      <c r="C48" s="276"/>
      <c r="E48" s="276"/>
      <c r="F48" s="294">
        <f>+INPUT!CG121</f>
        <v>0</v>
      </c>
      <c r="G48" s="294"/>
      <c r="H48" s="294">
        <f>+INPUT!CC121</f>
        <v>0</v>
      </c>
      <c r="I48" s="294"/>
      <c r="J48" s="294"/>
      <c r="K48" s="296"/>
      <c r="L48" s="294"/>
      <c r="M48" s="296"/>
      <c r="N48" s="294"/>
      <c r="O48" s="294"/>
      <c r="U48" s="294"/>
    </row>
    <row r="49" spans="2:21" ht="15.75" hidden="1">
      <c r="B49" s="276" t="str">
        <f>+INPUT!B122</f>
        <v xml:space="preserve">     Deferred outflows related to other </v>
      </c>
      <c r="C49" s="276"/>
      <c r="E49" s="276"/>
      <c r="F49" s="294"/>
      <c r="G49" s="294"/>
      <c r="H49" s="294"/>
      <c r="I49" s="294"/>
      <c r="J49" s="294"/>
      <c r="K49" s="296"/>
      <c r="L49" s="294"/>
      <c r="M49" s="296"/>
      <c r="N49" s="294"/>
      <c r="O49" s="294"/>
      <c r="U49" s="294"/>
    </row>
    <row r="50" spans="2:21" ht="15.75" hidden="1">
      <c r="B50" s="276" t="str">
        <f>+INPUT!B123</f>
        <v xml:space="preserve">        postemployment benefits</v>
      </c>
      <c r="C50" s="276"/>
      <c r="E50" s="276"/>
      <c r="F50" s="294">
        <f>+INPUT!CG123</f>
        <v>0</v>
      </c>
      <c r="G50" s="294"/>
      <c r="H50" s="294">
        <f>+INPUT!CC123</f>
        <v>0</v>
      </c>
      <c r="I50" s="294"/>
      <c r="J50" s="294">
        <v>0</v>
      </c>
      <c r="K50" s="296"/>
      <c r="L50" s="294">
        <f>SUM(E50:K50)</f>
        <v>0</v>
      </c>
      <c r="M50" s="296"/>
      <c r="N50" s="294">
        <v>0</v>
      </c>
      <c r="O50" s="294"/>
      <c r="U50" s="294"/>
    </row>
    <row r="51" spans="2:21" ht="15.75" hidden="1">
      <c r="B51" s="276">
        <f>+INPUT!B124</f>
        <v>0</v>
      </c>
      <c r="C51" s="276"/>
      <c r="E51" s="276"/>
      <c r="F51" s="294">
        <f>+INPUT!CG124</f>
        <v>0</v>
      </c>
      <c r="G51" s="294"/>
      <c r="H51" s="294">
        <f>+INPUT!CC124</f>
        <v>0</v>
      </c>
      <c r="I51" s="294"/>
      <c r="J51" s="294">
        <v>0</v>
      </c>
      <c r="K51" s="296"/>
      <c r="L51" s="294">
        <f>SUM(E51:K51)</f>
        <v>0</v>
      </c>
      <c r="M51" s="296"/>
      <c r="N51" s="294">
        <v>0</v>
      </c>
      <c r="O51" s="294"/>
      <c r="U51" s="294"/>
    </row>
    <row r="52" spans="2:21" ht="15.75" hidden="1">
      <c r="B52" s="276">
        <f>+INPUT!B125</f>
        <v>0</v>
      </c>
      <c r="C52" s="276"/>
      <c r="E52" s="276"/>
      <c r="F52" s="294"/>
      <c r="G52" s="294"/>
      <c r="H52" s="294"/>
      <c r="I52" s="294"/>
      <c r="J52" s="294"/>
      <c r="K52" s="296"/>
      <c r="L52" s="294"/>
      <c r="M52" s="296"/>
      <c r="N52" s="294"/>
      <c r="O52" s="294"/>
      <c r="U52" s="294"/>
    </row>
    <row r="53" spans="2:21" ht="15.75" hidden="1">
      <c r="B53" s="276">
        <f>+INPUT!B126</f>
        <v>0</v>
      </c>
      <c r="C53" s="276"/>
      <c r="E53" s="276"/>
      <c r="F53" s="294">
        <f>+INPUT!CG126</f>
        <v>0</v>
      </c>
      <c r="G53" s="294"/>
      <c r="H53" s="294">
        <f>+INPUT!CC126</f>
        <v>0</v>
      </c>
      <c r="I53" s="294"/>
      <c r="J53" s="294">
        <v>0</v>
      </c>
      <c r="K53" s="296"/>
      <c r="L53" s="294">
        <f>SUM(E53:K53)</f>
        <v>0</v>
      </c>
      <c r="M53" s="296"/>
      <c r="N53" s="294">
        <v>0</v>
      </c>
      <c r="O53" s="294"/>
      <c r="U53" s="294"/>
    </row>
    <row r="54" spans="2:21" ht="15.75" hidden="1">
      <c r="B54" s="276">
        <f>+INPUT!B127</f>
        <v>0</v>
      </c>
      <c r="C54" s="308"/>
      <c r="E54" s="276"/>
      <c r="F54" s="294">
        <f>+INPUT!CG127</f>
        <v>0</v>
      </c>
      <c r="G54" s="294"/>
      <c r="H54" s="294">
        <f>+INPUT!CC127</f>
        <v>0</v>
      </c>
      <c r="I54" s="294"/>
      <c r="J54" s="294">
        <v>0</v>
      </c>
      <c r="K54" s="296"/>
      <c r="L54" s="294">
        <f>SUM(E54:K54)</f>
        <v>0</v>
      </c>
      <c r="M54" s="296"/>
      <c r="N54" s="294">
        <v>0</v>
      </c>
      <c r="O54" s="294"/>
      <c r="U54" s="294"/>
    </row>
    <row r="55" spans="2:21" ht="15.75" hidden="1">
      <c r="B55" s="276"/>
      <c r="C55" s="308"/>
      <c r="E55" s="276"/>
      <c r="F55" s="324"/>
      <c r="G55" s="294"/>
      <c r="H55" s="324"/>
      <c r="I55" s="294"/>
      <c r="J55" s="324"/>
      <c r="K55" s="296"/>
      <c r="L55" s="324"/>
      <c r="M55" s="296"/>
      <c r="N55" s="324"/>
      <c r="O55" s="294"/>
      <c r="U55" s="294"/>
    </row>
    <row r="56" spans="2:21" ht="15.75" hidden="1">
      <c r="B56" s="308" t="s">
        <v>2027</v>
      </c>
      <c r="C56" s="308"/>
      <c r="E56" s="709"/>
      <c r="F56" s="706">
        <f>SUM(F46:F54)</f>
        <v>0</v>
      </c>
      <c r="G56" s="707"/>
      <c r="H56" s="706">
        <f>SUM(H46:H54)</f>
        <v>0</v>
      </c>
      <c r="I56" s="707"/>
      <c r="J56" s="706">
        <f>SUM(J46:J54)</f>
        <v>0</v>
      </c>
      <c r="K56" s="715"/>
      <c r="L56" s="706">
        <f>SUM(L46:L54)</f>
        <v>0</v>
      </c>
      <c r="M56" s="715"/>
      <c r="N56" s="706">
        <f>SUM(N46:N54)</f>
        <v>0</v>
      </c>
      <c r="O56" s="675"/>
      <c r="U56" s="294"/>
    </row>
    <row r="57" spans="2:21" ht="15.75" hidden="1">
      <c r="B57" s="276"/>
      <c r="C57" s="308"/>
      <c r="E57" s="276"/>
      <c r="F57" s="294"/>
      <c r="G57" s="294"/>
      <c r="H57" s="294"/>
      <c r="I57" s="294"/>
      <c r="J57" s="294"/>
      <c r="K57" s="296"/>
      <c r="L57" s="294"/>
      <c r="M57" s="296"/>
      <c r="N57" s="294"/>
      <c r="O57" s="294"/>
      <c r="U57" s="294"/>
    </row>
    <row r="58" spans="2:21" ht="15.75">
      <c r="B58" s="308" t="str">
        <f>INPUT!B129</f>
        <v>LIABILITIES</v>
      </c>
      <c r="C58" s="276"/>
      <c r="E58" s="276"/>
      <c r="F58" s="294"/>
      <c r="G58" s="276"/>
      <c r="H58" s="294"/>
      <c r="I58" s="276"/>
      <c r="J58" s="294"/>
      <c r="K58" s="276"/>
      <c r="L58" s="294"/>
      <c r="M58" s="294">
        <f>+M66+M75</f>
        <v>0</v>
      </c>
      <c r="N58" s="276"/>
      <c r="O58" s="276"/>
      <c r="U58" s="294"/>
    </row>
    <row r="59" spans="2:21" ht="15.75">
      <c r="B59" s="276" t="str">
        <f>INPUT!B131</f>
        <v>Current liabilities:</v>
      </c>
      <c r="C59" s="276"/>
      <c r="E59" s="276"/>
      <c r="F59" s="294"/>
      <c r="G59" s="294"/>
      <c r="H59" s="294"/>
      <c r="I59" s="294"/>
      <c r="J59" s="294"/>
      <c r="K59" s="296"/>
      <c r="L59" s="294"/>
      <c r="M59" s="296"/>
      <c r="N59" s="294"/>
      <c r="O59" s="294"/>
      <c r="U59" s="294"/>
    </row>
    <row r="60" spans="2:21" ht="15.75">
      <c r="B60" s="276" t="str">
        <f>INPUT!B132</f>
        <v xml:space="preserve">     Accounts payable</v>
      </c>
      <c r="C60" s="276"/>
      <c r="E60" s="303"/>
      <c r="F60" s="294">
        <f>+INPUT!CG132</f>
        <v>516</v>
      </c>
      <c r="G60" s="294"/>
      <c r="H60" s="294">
        <f>+INPUT!CC132</f>
        <v>55661</v>
      </c>
      <c r="I60" s="294"/>
      <c r="J60" s="294">
        <f>+'ENT BS'!N59</f>
        <v>97299</v>
      </c>
      <c r="K60" s="294"/>
      <c r="L60" s="294">
        <f>SUM(E60:K60)</f>
        <v>153476</v>
      </c>
      <c r="M60" s="294"/>
      <c r="N60" s="294">
        <f>+'IS BS'!R49</f>
        <v>48189</v>
      </c>
      <c r="O60" s="294"/>
      <c r="P60" s="467"/>
      <c r="U60" s="294">
        <v>2</v>
      </c>
    </row>
    <row r="61" spans="2:21" ht="15.75" hidden="1" customHeight="1">
      <c r="B61" s="276" t="str">
        <f>INPUT!B133</f>
        <v xml:space="preserve">     Contracts/loans payable - current</v>
      </c>
      <c r="C61" s="276"/>
      <c r="E61" s="276"/>
      <c r="F61" s="294">
        <f>+INPUT!CG133</f>
        <v>0</v>
      </c>
      <c r="G61" s="294"/>
      <c r="H61" s="294">
        <f>+INPUT!CC133</f>
        <v>0</v>
      </c>
      <c r="I61" s="294"/>
      <c r="J61" s="294">
        <f>+'ENT BS'!N60</f>
        <v>0</v>
      </c>
      <c r="K61" s="296"/>
      <c r="L61" s="294">
        <f t="shared" ref="L61:L70" si="5">SUM(E61:K61)</f>
        <v>0</v>
      </c>
      <c r="M61" s="296"/>
      <c r="N61" s="294">
        <f>+'IS BS'!R50</f>
        <v>0</v>
      </c>
      <c r="O61" s="294"/>
      <c r="P61" s="468"/>
      <c r="R61" s="288">
        <f>+'ENT BS'!D64+'ENT BS'!D73</f>
        <v>0</v>
      </c>
      <c r="U61" s="294">
        <v>0</v>
      </c>
    </row>
    <row r="62" spans="2:21" ht="15.75" hidden="1" customHeight="1">
      <c r="B62" s="276" t="str">
        <f>INPUT!B135</f>
        <v xml:space="preserve">     Due to other funds</v>
      </c>
      <c r="C62" s="276"/>
      <c r="E62" s="276"/>
      <c r="F62" s="294">
        <f>+INPUT!CG135</f>
        <v>0</v>
      </c>
      <c r="G62" s="294"/>
      <c r="H62" s="294">
        <f>+INPUT!CC135</f>
        <v>0</v>
      </c>
      <c r="I62" s="294"/>
      <c r="J62" s="294">
        <f>+'ENT BS'!N61</f>
        <v>0</v>
      </c>
      <c r="K62" s="296"/>
      <c r="L62" s="294">
        <f t="shared" si="5"/>
        <v>0</v>
      </c>
      <c r="M62" s="296"/>
      <c r="N62" s="294">
        <f>+'IS BS'!R51</f>
        <v>0</v>
      </c>
      <c r="O62" s="294"/>
      <c r="P62" s="467"/>
      <c r="R62" s="288">
        <f>+N66+N75</f>
        <v>0</v>
      </c>
      <c r="T62" s="288">
        <f>+H61+H74</f>
        <v>0</v>
      </c>
      <c r="U62" s="294">
        <v>0</v>
      </c>
    </row>
    <row r="63" spans="2:21" ht="15.75" hidden="1" customHeight="1">
      <c r="B63" s="276" t="s">
        <v>1223</v>
      </c>
      <c r="C63" s="276"/>
      <c r="E63" s="276"/>
      <c r="F63" s="294">
        <f>+INPUT!CG157</f>
        <v>0</v>
      </c>
      <c r="G63" s="294"/>
      <c r="H63" s="294">
        <f>+INPUT!CC157</f>
        <v>0</v>
      </c>
      <c r="I63" s="294"/>
      <c r="J63" s="294">
        <f>+'ENT BS'!N62</f>
        <v>0</v>
      </c>
      <c r="K63" s="296"/>
      <c r="L63" s="294">
        <f t="shared" si="5"/>
        <v>0</v>
      </c>
      <c r="M63" s="296"/>
      <c r="N63" s="294">
        <f>+'IS BS'!R52</f>
        <v>0</v>
      </c>
      <c r="O63" s="294"/>
      <c r="R63" s="288">
        <f>+F66+F75</f>
        <v>0</v>
      </c>
      <c r="U63" s="294">
        <v>15</v>
      </c>
    </row>
    <row r="64" spans="2:21" ht="15.75" hidden="1" customHeight="1">
      <c r="B64" s="276" t="str">
        <f>INPUT!B136</f>
        <v xml:space="preserve">     Advanced lease payments - current</v>
      </c>
      <c r="C64" s="276"/>
      <c r="E64" s="276"/>
      <c r="F64" s="294">
        <f>+INPUT!CG136</f>
        <v>0</v>
      </c>
      <c r="G64" s="294"/>
      <c r="H64" s="294">
        <f>+INPUT!CC136</f>
        <v>0</v>
      </c>
      <c r="I64" s="294"/>
      <c r="J64" s="294">
        <f>+'ENT BS'!N63</f>
        <v>0</v>
      </c>
      <c r="K64" s="296"/>
      <c r="L64" s="294">
        <f>SUM(E64:K64)</f>
        <v>0</v>
      </c>
      <c r="M64" s="296"/>
      <c r="N64" s="294">
        <f>+'IS BS'!R53</f>
        <v>0</v>
      </c>
      <c r="O64" s="294"/>
      <c r="U64" s="294">
        <v>0</v>
      </c>
    </row>
    <row r="65" spans="1:27" ht="15.75" customHeight="1">
      <c r="B65" s="276" t="str">
        <f>INPUT!B137</f>
        <v xml:space="preserve">     SBITA payments - current</v>
      </c>
      <c r="C65" s="276"/>
      <c r="E65" s="276"/>
      <c r="F65" s="294">
        <f>+INPUT!CG137</f>
        <v>0</v>
      </c>
      <c r="G65" s="294"/>
      <c r="H65" s="294">
        <f>+INPUT!CC137</f>
        <v>0</v>
      </c>
      <c r="I65" s="294"/>
      <c r="J65" s="294">
        <f>+'ENT BS'!N64</f>
        <v>0</v>
      </c>
      <c r="K65" s="296"/>
      <c r="L65" s="294">
        <f>SUM(E65:K65)</f>
        <v>0</v>
      </c>
      <c r="M65" s="296"/>
      <c r="N65" s="294">
        <f>+'IS BS'!R54</f>
        <v>234179</v>
      </c>
      <c r="O65" s="294"/>
      <c r="U65" s="294"/>
    </row>
    <row r="66" spans="1:27" ht="15.75" hidden="1" customHeight="1">
      <c r="B66" s="276" t="str">
        <f>INPUT!B138</f>
        <v xml:space="preserve">     Revenue bonds payable</v>
      </c>
      <c r="C66" s="276"/>
      <c r="E66" s="276"/>
      <c r="F66" s="294">
        <f>+INPUT!CG138</f>
        <v>0</v>
      </c>
      <c r="G66" s="294"/>
      <c r="H66" s="294">
        <f>+INPUT!CC138</f>
        <v>0</v>
      </c>
      <c r="I66" s="294"/>
      <c r="J66" s="294">
        <f>+'ENT BS'!N64</f>
        <v>0</v>
      </c>
      <c r="K66" s="296"/>
      <c r="L66" s="294">
        <f t="shared" si="5"/>
        <v>0</v>
      </c>
      <c r="M66" s="296"/>
      <c r="N66" s="294">
        <f>+'IS BS'!R55</f>
        <v>0</v>
      </c>
      <c r="O66" s="294"/>
      <c r="P66" s="467"/>
      <c r="R66" s="288">
        <f>+R63+13523</f>
        <v>13523</v>
      </c>
      <c r="U66" s="294">
        <v>0</v>
      </c>
    </row>
    <row r="67" spans="1:27" ht="15.75">
      <c r="B67" s="276" t="str">
        <f>INPUT!B139</f>
        <v xml:space="preserve">     Landfill postclosure costs payable - current</v>
      </c>
      <c r="C67" s="276"/>
      <c r="E67" s="276"/>
      <c r="F67" s="294">
        <f>+INPUT!CG139</f>
        <v>0</v>
      </c>
      <c r="G67" s="294"/>
      <c r="H67" s="294">
        <f>+INPUT!CC139</f>
        <v>0</v>
      </c>
      <c r="I67" s="294"/>
      <c r="J67" s="294">
        <f>+'ENT BS'!N65</f>
        <v>15300</v>
      </c>
      <c r="K67" s="296"/>
      <c r="L67" s="294">
        <f t="shared" si="5"/>
        <v>15300</v>
      </c>
      <c r="M67" s="296"/>
      <c r="N67" s="294">
        <f>+'IS BS'!R56</f>
        <v>0</v>
      </c>
      <c r="O67" s="294"/>
      <c r="R67" s="288">
        <f>+F66+F75</f>
        <v>0</v>
      </c>
      <c r="U67" s="294">
        <v>0</v>
      </c>
      <c r="AA67" s="288">
        <f>279125-256190</f>
        <v>22935</v>
      </c>
    </row>
    <row r="68" spans="1:27" ht="15.75">
      <c r="B68" s="276" t="str">
        <f>INPUT!B140</f>
        <v xml:space="preserve">     Claims payable</v>
      </c>
      <c r="C68" s="276"/>
      <c r="E68" s="276"/>
      <c r="F68" s="294">
        <f>+INPUT!CG140</f>
        <v>0</v>
      </c>
      <c r="G68" s="294"/>
      <c r="H68" s="294">
        <f>+INPUT!CC140</f>
        <v>0</v>
      </c>
      <c r="I68" s="294"/>
      <c r="J68" s="294">
        <f>+'ENT BS'!N66</f>
        <v>0</v>
      </c>
      <c r="K68" s="296"/>
      <c r="L68" s="294">
        <f t="shared" si="5"/>
        <v>0</v>
      </c>
      <c r="M68" s="296"/>
      <c r="N68" s="294">
        <f>+'IS BS'!R57</f>
        <v>482991</v>
      </c>
      <c r="O68" s="294"/>
      <c r="P68" s="467"/>
      <c r="R68" s="288">
        <f>+H66+H75</f>
        <v>0</v>
      </c>
      <c r="U68" s="294"/>
    </row>
    <row r="69" spans="1:27" ht="15.75">
      <c r="B69" s="276" t="str">
        <f>INPUT!B141</f>
        <v xml:space="preserve">     Advances from other funds</v>
      </c>
      <c r="C69" s="276"/>
      <c r="E69" s="276"/>
      <c r="F69" s="294">
        <f>+INPUT!CG141</f>
        <v>1123725</v>
      </c>
      <c r="G69" s="294"/>
      <c r="H69" s="294">
        <f>+INPUT!CC141</f>
        <v>0</v>
      </c>
      <c r="I69" s="294"/>
      <c r="J69" s="294">
        <f>+'ENT BS'!N67</f>
        <v>0</v>
      </c>
      <c r="K69" s="296"/>
      <c r="L69" s="294">
        <f t="shared" si="5"/>
        <v>1123725</v>
      </c>
      <c r="M69" s="296"/>
      <c r="N69" s="294">
        <f>+'IS BS'!R58</f>
        <v>0</v>
      </c>
      <c r="O69" s="294"/>
      <c r="P69" s="467"/>
      <c r="R69" s="288">
        <f>+H66+H75</f>
        <v>0</v>
      </c>
      <c r="U69" s="294">
        <v>0</v>
      </c>
    </row>
    <row r="70" spans="1:27" ht="15.75">
      <c r="B70" s="276" t="str">
        <f>INPUT!B149</f>
        <v xml:space="preserve">     Compensated absences payable</v>
      </c>
      <c r="C70" s="276"/>
      <c r="E70" s="276"/>
      <c r="F70" s="294">
        <f>ROUND(+INPUT!CG149*0.1,0)</f>
        <v>2549</v>
      </c>
      <c r="G70" s="276"/>
      <c r="H70" s="294">
        <f>ROUND(+INPUT!CC149*0.1,0)</f>
        <v>4620</v>
      </c>
      <c r="I70" s="294"/>
      <c r="J70" s="294">
        <f>+'ENT BS'!N68</f>
        <v>468</v>
      </c>
      <c r="K70" s="296"/>
      <c r="L70" s="294">
        <f t="shared" si="5"/>
        <v>7637</v>
      </c>
      <c r="M70" s="296"/>
      <c r="N70" s="294">
        <f>+'IS BS'!R59</f>
        <v>27530</v>
      </c>
      <c r="O70" s="294"/>
      <c r="U70" s="294"/>
    </row>
    <row r="71" spans="1:27" ht="15.75">
      <c r="B71" s="276" t="s">
        <v>1139</v>
      </c>
      <c r="C71" s="276"/>
      <c r="E71" s="709"/>
      <c r="F71" s="714">
        <f>SUM(F60:F70)</f>
        <v>1126790</v>
      </c>
      <c r="G71" s="709"/>
      <c r="H71" s="714">
        <f>SUM(H60:H70)</f>
        <v>60281</v>
      </c>
      <c r="I71" s="709"/>
      <c r="J71" s="714">
        <f>SUM(J60:J70)</f>
        <v>113067</v>
      </c>
      <c r="K71" s="709"/>
      <c r="L71" s="714">
        <f>SUM(L60:L70)</f>
        <v>1300138</v>
      </c>
      <c r="M71" s="702"/>
      <c r="N71" s="714">
        <f>SUM(N60:N70)</f>
        <v>792889</v>
      </c>
      <c r="O71" s="675"/>
      <c r="R71" s="288">
        <f>+L66+L75</f>
        <v>0</v>
      </c>
      <c r="U71" s="294"/>
    </row>
    <row r="72" spans="1:27" ht="15.75">
      <c r="B72" s="276"/>
      <c r="C72" s="276"/>
      <c r="E72" s="276"/>
      <c r="F72" s="294"/>
      <c r="G72" s="276"/>
      <c r="H72" s="294"/>
      <c r="I72" s="276"/>
      <c r="J72" s="294"/>
      <c r="K72" s="296"/>
      <c r="L72" s="294"/>
      <c r="M72" s="296"/>
      <c r="N72" s="294"/>
      <c r="O72" s="294"/>
      <c r="R72" s="288">
        <f>+R71+13523</f>
        <v>13523</v>
      </c>
      <c r="U72" s="294"/>
    </row>
    <row r="73" spans="1:27" ht="15.75">
      <c r="B73" s="276" t="str">
        <f>INPUT!B144</f>
        <v>Noncurrent liabilities:</v>
      </c>
      <c r="C73" s="276"/>
      <c r="E73" s="276"/>
      <c r="F73" s="294"/>
      <c r="G73" s="294"/>
      <c r="H73" s="294"/>
      <c r="I73" s="294"/>
      <c r="J73" s="294"/>
      <c r="K73" s="296"/>
      <c r="L73" s="294"/>
      <c r="M73" s="296"/>
      <c r="N73" s="294"/>
      <c r="O73" s="294"/>
      <c r="U73" s="294"/>
    </row>
    <row r="74" spans="1:27" ht="15.75" hidden="1">
      <c r="B74" s="276" t="str">
        <f>INPUT!B145</f>
        <v xml:space="preserve">     Contracts/loans payable</v>
      </c>
      <c r="C74" s="276"/>
      <c r="E74" s="276"/>
      <c r="F74" s="294">
        <f>+INPUT!CG145</f>
        <v>0</v>
      </c>
      <c r="G74" s="294"/>
      <c r="H74" s="294">
        <f>+INPUT!CC145</f>
        <v>0</v>
      </c>
      <c r="I74" s="294"/>
      <c r="J74" s="294">
        <f>+'ENT BS'!N72</f>
        <v>0</v>
      </c>
      <c r="K74" s="296"/>
      <c r="L74" s="294">
        <f t="shared" ref="L74:L80" si="6">SUM(E74:K74)</f>
        <v>0</v>
      </c>
      <c r="M74" s="296"/>
      <c r="N74" s="294">
        <f>+'IS BS'!R63</f>
        <v>0</v>
      </c>
      <c r="O74" s="294"/>
      <c r="P74" s="288">
        <f>+N74+N61</f>
        <v>0</v>
      </c>
      <c r="T74" s="288">
        <f>+H75+H66</f>
        <v>0</v>
      </c>
      <c r="U74" s="294">
        <v>0</v>
      </c>
    </row>
    <row r="75" spans="1:27" ht="15.75" hidden="1">
      <c r="B75" s="276" t="str">
        <f>INPUT!B146</f>
        <v xml:space="preserve">     Revenue bonds payable</v>
      </c>
      <c r="C75" s="276"/>
      <c r="E75" s="276"/>
      <c r="F75" s="294">
        <f>+INPUT!CG146</f>
        <v>0</v>
      </c>
      <c r="G75" s="294"/>
      <c r="H75" s="294">
        <f>+INPUT!CC146</f>
        <v>0</v>
      </c>
      <c r="I75" s="294"/>
      <c r="J75" s="294">
        <f>+'ENT BS'!N73</f>
        <v>0</v>
      </c>
      <c r="K75" s="296"/>
      <c r="L75" s="294">
        <f t="shared" si="6"/>
        <v>0</v>
      </c>
      <c r="M75" s="296"/>
      <c r="N75" s="294">
        <f>+'IS BS'!R64</f>
        <v>0</v>
      </c>
      <c r="O75" s="294"/>
      <c r="P75" s="467"/>
      <c r="T75" s="288">
        <f>+F75+F66</f>
        <v>0</v>
      </c>
      <c r="U75" s="294">
        <v>0</v>
      </c>
    </row>
    <row r="76" spans="1:27" ht="15.75" hidden="1">
      <c r="A76" s="276"/>
      <c r="B76" s="276"/>
      <c r="C76" s="276"/>
      <c r="E76" s="276"/>
      <c r="F76" s="294">
        <f>+INPUT!CG147</f>
        <v>0</v>
      </c>
      <c r="G76" s="294"/>
      <c r="H76" s="294">
        <f>+INPUT!CC147</f>
        <v>0</v>
      </c>
      <c r="I76" s="294"/>
      <c r="J76" s="294">
        <f>+'ENT BS'!N74</f>
        <v>0</v>
      </c>
      <c r="K76" s="296"/>
      <c r="L76" s="294">
        <f t="shared" si="6"/>
        <v>0</v>
      </c>
      <c r="M76" s="296"/>
      <c r="N76" s="294">
        <f>+'IS BS'!R65</f>
        <v>0</v>
      </c>
      <c r="O76" s="294"/>
      <c r="U76" s="294">
        <v>0</v>
      </c>
    </row>
    <row r="77" spans="1:27" ht="15.75">
      <c r="B77" s="276" t="str">
        <f>INPUT!B148</f>
        <v xml:space="preserve">     Landfill postclosure costs payable</v>
      </c>
      <c r="C77" s="276"/>
      <c r="E77" s="276"/>
      <c r="F77" s="294">
        <f>+INPUT!CG148</f>
        <v>1098566</v>
      </c>
      <c r="G77" s="294"/>
      <c r="H77" s="294">
        <f>+INPUT!CC148</f>
        <v>0</v>
      </c>
      <c r="I77" s="294"/>
      <c r="J77" s="294">
        <f>+'ENT BS'!N75</f>
        <v>11475</v>
      </c>
      <c r="K77" s="296"/>
      <c r="L77" s="294">
        <f t="shared" si="6"/>
        <v>1110041</v>
      </c>
      <c r="M77" s="296"/>
      <c r="N77" s="294">
        <f>+'IS BS'!R66</f>
        <v>0</v>
      </c>
      <c r="O77" s="294"/>
      <c r="T77" s="288">
        <f>+N75+N66</f>
        <v>0</v>
      </c>
      <c r="U77" s="294">
        <v>0</v>
      </c>
    </row>
    <row r="78" spans="1:27" ht="15.75">
      <c r="B78" s="276" t="str">
        <f>INPUT!B149</f>
        <v xml:space="preserve">     Compensated absences payable</v>
      </c>
      <c r="C78" s="276"/>
      <c r="E78" s="276"/>
      <c r="F78" s="294">
        <f>+INPUT!CG149-F70</f>
        <v>22940</v>
      </c>
      <c r="G78" s="276"/>
      <c r="H78" s="294">
        <f>+INPUT!CC149-H70</f>
        <v>41581</v>
      </c>
      <c r="I78" s="276"/>
      <c r="J78" s="294">
        <f>+'ENT BS'!N76</f>
        <v>4204</v>
      </c>
      <c r="K78" s="296"/>
      <c r="L78" s="294">
        <f t="shared" si="6"/>
        <v>68725</v>
      </c>
      <c r="M78" s="296"/>
      <c r="N78" s="294">
        <f>+'IS BS'!R67</f>
        <v>247768</v>
      </c>
      <c r="O78" s="294"/>
      <c r="P78" s="467"/>
      <c r="U78" s="294">
        <v>0</v>
      </c>
    </row>
    <row r="79" spans="1:27" ht="15.75" hidden="1">
      <c r="B79" s="276" t="str">
        <f>INPUT!B150</f>
        <v xml:space="preserve">     Net pension liability</v>
      </c>
      <c r="C79" s="276"/>
      <c r="E79" s="276"/>
      <c r="F79" s="294">
        <f>+INPUT!CG150</f>
        <v>0</v>
      </c>
      <c r="G79" s="276"/>
      <c r="H79" s="294">
        <f>+INPUT!CC150</f>
        <v>0</v>
      </c>
      <c r="I79" s="276"/>
      <c r="J79" s="294">
        <v>0</v>
      </c>
      <c r="K79" s="296"/>
      <c r="L79" s="294">
        <f t="shared" si="6"/>
        <v>0</v>
      </c>
      <c r="M79" s="296"/>
      <c r="N79" s="294">
        <v>0</v>
      </c>
      <c r="O79" s="294"/>
      <c r="U79" s="294"/>
    </row>
    <row r="80" spans="1:27" ht="15.75" hidden="1">
      <c r="B80" s="276" t="str">
        <f>INPUT!B151</f>
        <v xml:space="preserve">     OPEB implicit rate subsidy</v>
      </c>
      <c r="C80" s="276"/>
      <c r="E80" s="276"/>
      <c r="F80" s="294">
        <f>+INPUT!CG151</f>
        <v>0</v>
      </c>
      <c r="G80" s="276"/>
      <c r="H80" s="294">
        <f>+INPUT!CC151</f>
        <v>0</v>
      </c>
      <c r="I80" s="276"/>
      <c r="J80" s="294">
        <v>0</v>
      </c>
      <c r="K80" s="296"/>
      <c r="L80" s="294">
        <f t="shared" si="6"/>
        <v>0</v>
      </c>
      <c r="M80" s="296"/>
      <c r="N80" s="294">
        <v>0</v>
      </c>
      <c r="O80" s="294"/>
      <c r="U80" s="294"/>
    </row>
    <row r="81" spans="2:21" ht="15.75" hidden="1">
      <c r="B81" s="276" t="str">
        <f>INPUT!B152</f>
        <v xml:space="preserve">     Advanced lease payments</v>
      </c>
      <c r="C81" s="276"/>
      <c r="E81" s="276"/>
      <c r="F81" s="294">
        <f>+INPUT!CG152</f>
        <v>0</v>
      </c>
      <c r="G81" s="276"/>
      <c r="H81" s="294">
        <f>+INPUT!CC152</f>
        <v>0</v>
      </c>
      <c r="I81" s="276"/>
      <c r="J81" s="294">
        <v>0</v>
      </c>
      <c r="K81" s="296"/>
      <c r="L81" s="294">
        <f t="shared" ref="L81:L82" si="7">SUM(E81:K81)</f>
        <v>0</v>
      </c>
      <c r="M81" s="296"/>
      <c r="N81" s="294">
        <f>+'IS BS'!R68</f>
        <v>0</v>
      </c>
      <c r="O81" s="294"/>
      <c r="U81" s="294"/>
    </row>
    <row r="82" spans="2:21" ht="15.75">
      <c r="B82" s="276" t="str">
        <f>INPUT!B153</f>
        <v xml:space="preserve">     SBITA payments</v>
      </c>
      <c r="C82" s="276"/>
      <c r="E82" s="276"/>
      <c r="F82" s="294">
        <f>+INPUT!CG153</f>
        <v>0</v>
      </c>
      <c r="G82" s="276"/>
      <c r="H82" s="294">
        <f>+INPUT!CC153</f>
        <v>0</v>
      </c>
      <c r="I82" s="276"/>
      <c r="J82" s="294">
        <v>0</v>
      </c>
      <c r="K82" s="296"/>
      <c r="L82" s="294">
        <f t="shared" si="7"/>
        <v>0</v>
      </c>
      <c r="M82" s="296"/>
      <c r="N82" s="294">
        <f>+'IS BS'!R69</f>
        <v>74584</v>
      </c>
      <c r="O82" s="294"/>
      <c r="U82" s="294"/>
    </row>
    <row r="83" spans="2:21" ht="15.75" hidden="1">
      <c r="B83" s="276" t="str">
        <f>INPUT!B154</f>
        <v xml:space="preserve">          Total liabilities</v>
      </c>
      <c r="C83" s="276"/>
      <c r="E83" s="276"/>
      <c r="F83" s="294"/>
      <c r="G83" s="276"/>
      <c r="H83" s="294"/>
      <c r="I83" s="276"/>
      <c r="J83" s="294"/>
      <c r="K83" s="296"/>
      <c r="L83" s="294"/>
      <c r="M83" s="296"/>
      <c r="N83" s="294"/>
      <c r="O83" s="294"/>
      <c r="U83" s="294"/>
    </row>
    <row r="84" spans="2:21" ht="15.75" hidden="1">
      <c r="B84" s="276">
        <f>INPUT!B155</f>
        <v>0</v>
      </c>
      <c r="C84" s="276"/>
      <c r="E84" s="276"/>
      <c r="F84" s="294"/>
      <c r="G84" s="276"/>
      <c r="H84" s="294"/>
      <c r="I84" s="276"/>
      <c r="J84" s="294"/>
      <c r="K84" s="296"/>
      <c r="L84" s="294"/>
      <c r="M84" s="296"/>
      <c r="N84" s="294"/>
      <c r="O84" s="294"/>
      <c r="U84" s="294"/>
    </row>
    <row r="85" spans="2:21" ht="15.75">
      <c r="B85" s="276" t="s">
        <v>41</v>
      </c>
      <c r="C85" s="276"/>
      <c r="E85" s="709"/>
      <c r="F85" s="714">
        <f>SUM(F74:F82)</f>
        <v>1121506</v>
      </c>
      <c r="G85" s="709"/>
      <c r="H85" s="714">
        <f t="shared" ref="H85" si="8">SUM(H74:H82)</f>
        <v>41581</v>
      </c>
      <c r="I85" s="709"/>
      <c r="J85" s="714">
        <f t="shared" ref="J85" si="9">SUM(J74:J82)</f>
        <v>15679</v>
      </c>
      <c r="K85" s="702"/>
      <c r="L85" s="714">
        <f>SUM(L74:L83)</f>
        <v>1178766</v>
      </c>
      <c r="M85" s="702"/>
      <c r="N85" s="714">
        <f>SUM(N74:N82)</f>
        <v>322352</v>
      </c>
      <c r="O85" s="675"/>
      <c r="U85" s="337"/>
    </row>
    <row r="86" spans="2:21" ht="15.75">
      <c r="B86" s="276"/>
      <c r="C86" s="276"/>
      <c r="E86" s="276"/>
      <c r="F86" s="294"/>
      <c r="G86" s="276"/>
      <c r="H86" s="294"/>
      <c r="I86" s="276"/>
      <c r="J86" s="294"/>
      <c r="K86" s="296"/>
      <c r="L86" s="294"/>
      <c r="M86" s="296"/>
      <c r="N86" s="294"/>
      <c r="O86" s="294"/>
      <c r="U86" s="294"/>
    </row>
    <row r="87" spans="2:21" ht="15.75">
      <c r="B87" s="308" t="s">
        <v>1141</v>
      </c>
      <c r="C87" s="308"/>
      <c r="E87" s="707"/>
      <c r="F87" s="706">
        <f>+F85+F71</f>
        <v>2248296</v>
      </c>
      <c r="G87" s="707"/>
      <c r="H87" s="706">
        <f>+H85+H71</f>
        <v>101862</v>
      </c>
      <c r="I87" s="707"/>
      <c r="J87" s="706">
        <f>+J85+J71</f>
        <v>128746</v>
      </c>
      <c r="K87" s="715"/>
      <c r="L87" s="706">
        <f>+L85+L71</f>
        <v>2478904</v>
      </c>
      <c r="M87" s="715"/>
      <c r="N87" s="706">
        <f>+N85+N71</f>
        <v>1115241</v>
      </c>
      <c r="O87" s="339"/>
      <c r="U87" s="301">
        <f>SUM(U60:U78)</f>
        <v>17</v>
      </c>
    </row>
    <row r="88" spans="2:21" ht="15.75">
      <c r="B88" s="276"/>
      <c r="C88" s="276"/>
      <c r="E88" s="276"/>
      <c r="F88" s="294"/>
      <c r="G88" s="294"/>
      <c r="H88" s="294"/>
      <c r="I88" s="294"/>
      <c r="J88" s="294"/>
      <c r="K88" s="296"/>
      <c r="L88" s="294"/>
      <c r="M88" s="296"/>
      <c r="N88" s="294"/>
      <c r="O88" s="294"/>
      <c r="U88" s="294"/>
    </row>
    <row r="89" spans="2:21" ht="15.75">
      <c r="B89" s="308" t="str">
        <f>+INPUT!B156</f>
        <v>DEFERRED INFLOWS OF RESOURCES</v>
      </c>
      <c r="C89" s="276"/>
      <c r="E89" s="276"/>
      <c r="F89" s="294"/>
      <c r="G89" s="294"/>
      <c r="H89" s="294"/>
      <c r="I89" s="294"/>
      <c r="J89" s="294"/>
      <c r="K89" s="296"/>
      <c r="L89" s="294"/>
      <c r="M89" s="296"/>
      <c r="N89" s="294"/>
      <c r="O89" s="294"/>
      <c r="U89" s="294"/>
    </row>
    <row r="90" spans="2:21" ht="15.75" hidden="1">
      <c r="B90" s="276" t="str">
        <f>+INPUT!B157</f>
        <v xml:space="preserve">     Deferred inflows of tax revenues</v>
      </c>
      <c r="C90" s="276"/>
      <c r="E90" s="276"/>
      <c r="F90" s="294"/>
      <c r="G90" s="294"/>
      <c r="H90" s="294"/>
      <c r="I90" s="294"/>
      <c r="J90" s="294"/>
      <c r="K90" s="296"/>
      <c r="L90" s="294">
        <f>SUM(E90:K90)</f>
        <v>0</v>
      </c>
      <c r="M90" s="296"/>
      <c r="N90" s="294">
        <v>0</v>
      </c>
      <c r="O90" s="294"/>
      <c r="U90" s="294"/>
    </row>
    <row r="91" spans="2:21" ht="15.75">
      <c r="B91" s="296" t="str">
        <f>+INPUT!B158</f>
        <v xml:space="preserve">     Deferred inflows related to leases</v>
      </c>
      <c r="C91" s="276"/>
      <c r="E91" s="276"/>
      <c r="F91" s="318">
        <f>+INPUT!CG158</f>
        <v>0</v>
      </c>
      <c r="G91" s="294"/>
      <c r="H91" s="318">
        <f>+INPUT!CC158</f>
        <v>0</v>
      </c>
      <c r="I91" s="294"/>
      <c r="J91" s="318">
        <f>+'ENT BS'!N85</f>
        <v>0</v>
      </c>
      <c r="K91" s="296"/>
      <c r="L91" s="318">
        <f>SUM(E91:K91)</f>
        <v>0</v>
      </c>
      <c r="M91" s="296"/>
      <c r="N91" s="318">
        <f>+'IS BS'!R75</f>
        <v>405009</v>
      </c>
      <c r="O91" s="294"/>
      <c r="U91" s="294"/>
    </row>
    <row r="92" spans="2:21" ht="15.75" hidden="1">
      <c r="B92" s="308" t="str">
        <f>+INPUT!B159</f>
        <v xml:space="preserve">     Deferred inflows related to grant revenue</v>
      </c>
      <c r="C92" s="276"/>
      <c r="E92" s="276"/>
      <c r="F92" s="294"/>
      <c r="G92" s="294"/>
      <c r="H92" s="294"/>
      <c r="I92" s="294"/>
      <c r="J92" s="294"/>
      <c r="K92" s="296"/>
      <c r="L92" s="294"/>
      <c r="M92" s="296"/>
      <c r="N92" s="294"/>
      <c r="O92" s="294"/>
      <c r="U92" s="294"/>
    </row>
    <row r="93" spans="2:21" ht="15.75" hidden="1">
      <c r="B93" s="276" t="str">
        <f>+INPUT!B160</f>
        <v xml:space="preserve">     Deferred inflows related to pensions</v>
      </c>
      <c r="C93" s="276"/>
      <c r="E93" s="276"/>
      <c r="F93" s="294"/>
      <c r="G93" s="294"/>
      <c r="H93" s="294"/>
      <c r="I93" s="294"/>
      <c r="J93" s="294"/>
      <c r="K93" s="296"/>
      <c r="L93" s="294"/>
      <c r="M93" s="296"/>
      <c r="N93" s="294">
        <v>0</v>
      </c>
      <c r="O93" s="294"/>
      <c r="U93" s="294"/>
    </row>
    <row r="94" spans="2:21" ht="15.75" hidden="1">
      <c r="B94" s="276">
        <f>+INPUT!B161</f>
        <v>0</v>
      </c>
      <c r="C94" s="276"/>
      <c r="E94" s="276"/>
      <c r="F94" s="294"/>
      <c r="G94" s="294"/>
      <c r="H94" s="294"/>
      <c r="I94" s="294"/>
      <c r="J94" s="294"/>
      <c r="K94" s="296"/>
      <c r="L94" s="294"/>
      <c r="M94" s="296"/>
      <c r="N94" s="294"/>
      <c r="O94" s="294"/>
      <c r="U94" s="294"/>
    </row>
    <row r="95" spans="2:21" ht="15.75" hidden="1">
      <c r="B95" s="276"/>
      <c r="C95" s="276"/>
      <c r="E95" s="276"/>
      <c r="F95" s="294"/>
      <c r="G95" s="294"/>
      <c r="H95" s="294"/>
      <c r="I95" s="294"/>
      <c r="J95" s="294"/>
      <c r="K95" s="296"/>
      <c r="L95" s="294"/>
      <c r="M95" s="296"/>
      <c r="N95" s="294">
        <v>0</v>
      </c>
      <c r="O95" s="294"/>
      <c r="U95" s="294"/>
    </row>
    <row r="96" spans="2:21" ht="15.75" hidden="1">
      <c r="B96" s="276"/>
      <c r="C96" s="276"/>
      <c r="E96" s="276"/>
      <c r="F96" s="294"/>
      <c r="G96" s="294"/>
      <c r="H96" s="294"/>
      <c r="I96" s="294"/>
      <c r="J96" s="294"/>
      <c r="K96" s="296"/>
      <c r="L96" s="294"/>
      <c r="M96" s="296"/>
      <c r="N96" s="294"/>
      <c r="O96" s="294"/>
      <c r="U96" s="294"/>
    </row>
    <row r="97" spans="2:21" ht="15.75" hidden="1">
      <c r="B97" s="276">
        <f>+INPUT!B164</f>
        <v>0</v>
      </c>
      <c r="C97" s="276"/>
      <c r="E97" s="276"/>
      <c r="F97" s="294"/>
      <c r="G97" s="294"/>
      <c r="H97" s="294"/>
      <c r="I97" s="294"/>
      <c r="J97" s="294"/>
      <c r="K97" s="296"/>
      <c r="L97" s="294"/>
      <c r="M97" s="296"/>
      <c r="N97" s="294">
        <v>0</v>
      </c>
      <c r="O97" s="294"/>
      <c r="U97" s="294"/>
    </row>
    <row r="98" spans="2:21" ht="15.75" hidden="1">
      <c r="B98" s="276">
        <f>+INPUT!B165</f>
        <v>0</v>
      </c>
      <c r="C98" s="276"/>
      <c r="E98" s="276"/>
      <c r="F98" s="294"/>
      <c r="G98" s="294"/>
      <c r="H98" s="294"/>
      <c r="I98" s="294"/>
      <c r="J98" s="294"/>
      <c r="K98" s="296"/>
      <c r="L98" s="294"/>
      <c r="M98" s="296"/>
      <c r="N98" s="294"/>
      <c r="O98" s="294"/>
      <c r="U98" s="294"/>
    </row>
    <row r="99" spans="2:21" ht="15.75" hidden="1">
      <c r="B99" s="276">
        <f>+INPUT!B166</f>
        <v>0</v>
      </c>
      <c r="C99" s="276"/>
      <c r="E99" s="276"/>
      <c r="F99" s="294"/>
      <c r="G99" s="294"/>
      <c r="H99" s="294"/>
      <c r="I99" s="294"/>
      <c r="J99" s="294"/>
      <c r="K99" s="296"/>
      <c r="L99" s="294"/>
      <c r="M99" s="296"/>
      <c r="N99" s="294">
        <v>0</v>
      </c>
      <c r="O99" s="294"/>
      <c r="U99" s="294"/>
    </row>
    <row r="100" spans="2:21" ht="15.75" hidden="1">
      <c r="B100" s="308">
        <f>+INPUT!B167</f>
        <v>0</v>
      </c>
      <c r="C100" s="276"/>
      <c r="E100" s="276"/>
      <c r="F100" s="294"/>
      <c r="G100" s="294"/>
      <c r="H100" s="294"/>
      <c r="I100" s="294"/>
      <c r="J100" s="294"/>
      <c r="K100" s="296"/>
      <c r="L100" s="294"/>
      <c r="M100" s="296"/>
      <c r="N100" s="294"/>
      <c r="O100" s="294"/>
      <c r="U100" s="294"/>
    </row>
    <row r="101" spans="2:21" ht="15.75" hidden="1">
      <c r="B101" s="276">
        <f>+INPUT!B168</f>
        <v>0</v>
      </c>
      <c r="C101" s="276"/>
      <c r="E101" s="276"/>
      <c r="F101" s="294"/>
      <c r="G101" s="294"/>
      <c r="H101" s="294"/>
      <c r="I101" s="294"/>
      <c r="J101" s="294"/>
      <c r="K101" s="296"/>
      <c r="L101" s="294"/>
      <c r="M101" s="296"/>
      <c r="N101" s="294"/>
      <c r="O101" s="294"/>
      <c r="U101" s="294"/>
    </row>
    <row r="102" spans="2:21" ht="15.75" hidden="1">
      <c r="B102" s="276" t="str">
        <f>+INPUT!B162</f>
        <v xml:space="preserve">     Deferred inflows related to other </v>
      </c>
      <c r="C102" s="276"/>
      <c r="E102" s="276"/>
      <c r="F102" s="294"/>
      <c r="G102" s="294"/>
      <c r="H102" s="294"/>
      <c r="I102" s="294"/>
      <c r="J102" s="294"/>
      <c r="K102" s="294"/>
      <c r="L102" s="294"/>
      <c r="M102" s="296"/>
      <c r="N102" s="294"/>
      <c r="O102" s="294"/>
      <c r="U102" s="294"/>
    </row>
    <row r="103" spans="2:21" ht="15.75" hidden="1">
      <c r="B103" s="276" t="str">
        <f>+INPUT!B163</f>
        <v xml:space="preserve">          postemployment benefits</v>
      </c>
      <c r="C103" s="276"/>
      <c r="E103" s="276"/>
      <c r="F103" s="318"/>
      <c r="G103" s="276"/>
      <c r="H103" s="318"/>
      <c r="I103" s="276"/>
      <c r="J103" s="318"/>
      <c r="K103" s="276"/>
      <c r="L103" s="318"/>
      <c r="M103" s="276"/>
      <c r="N103" s="318">
        <v>0</v>
      </c>
      <c r="O103" s="294"/>
      <c r="U103" s="294"/>
    </row>
    <row r="104" spans="2:21" ht="15.75" hidden="1">
      <c r="B104" s="276"/>
      <c r="C104" s="276"/>
      <c r="E104" s="276"/>
      <c r="F104" s="294"/>
      <c r="G104" s="294"/>
      <c r="H104" s="294"/>
      <c r="I104" s="294"/>
      <c r="J104" s="294"/>
      <c r="K104" s="296"/>
      <c r="L104" s="294"/>
      <c r="M104" s="296"/>
      <c r="N104" s="294"/>
      <c r="O104" s="294"/>
      <c r="U104" s="294"/>
    </row>
    <row r="105" spans="2:21" ht="15.75" hidden="1">
      <c r="B105" s="308" t="s">
        <v>2028</v>
      </c>
      <c r="C105" s="276"/>
      <c r="E105" s="709"/>
      <c r="F105" s="706">
        <f>SUM(F90:F103)</f>
        <v>0</v>
      </c>
      <c r="G105" s="707"/>
      <c r="H105" s="706">
        <f>SUM(H90:H103)</f>
        <v>0</v>
      </c>
      <c r="I105" s="707"/>
      <c r="J105" s="706">
        <f>SUM(J90:J103)</f>
        <v>0</v>
      </c>
      <c r="K105" s="715"/>
      <c r="L105" s="706">
        <f>SUM(L90:L103)</f>
        <v>0</v>
      </c>
      <c r="M105" s="715"/>
      <c r="N105" s="706">
        <f>SUM(N90:N103)</f>
        <v>405009</v>
      </c>
      <c r="O105" s="675"/>
      <c r="U105" s="294"/>
    </row>
    <row r="106" spans="2:21" ht="15.75">
      <c r="B106" s="276"/>
      <c r="C106" s="276"/>
      <c r="E106" s="276"/>
      <c r="F106" s="294"/>
      <c r="G106" s="294"/>
      <c r="H106" s="294"/>
      <c r="I106" s="294"/>
      <c r="J106" s="294"/>
      <c r="K106" s="296"/>
      <c r="L106" s="294"/>
      <c r="M106" s="296"/>
      <c r="N106" s="294"/>
      <c r="O106" s="294"/>
      <c r="U106" s="294"/>
    </row>
    <row r="107" spans="2:21" ht="15.75">
      <c r="B107" s="308" t="str">
        <f>+INPUT!B175</f>
        <v>NET POSITION</v>
      </c>
      <c r="C107" s="276"/>
      <c r="E107" s="276"/>
      <c r="F107" s="294"/>
      <c r="G107" s="294"/>
      <c r="H107" s="294"/>
      <c r="I107" s="294"/>
      <c r="J107" s="294"/>
      <c r="K107" s="296"/>
      <c r="L107" s="294"/>
      <c r="M107" s="296"/>
      <c r="N107" s="294"/>
      <c r="O107" s="294"/>
      <c r="U107" s="294"/>
    </row>
    <row r="108" spans="2:21" ht="15.75" hidden="1">
      <c r="B108" s="276" t="str">
        <f>INPUT!B178</f>
        <v xml:space="preserve">     Contributed capital</v>
      </c>
      <c r="C108" s="276"/>
      <c r="E108" s="276"/>
      <c r="F108" s="294">
        <f>+INPUT!CG178</f>
        <v>0</v>
      </c>
      <c r="G108" s="294"/>
      <c r="H108" s="294">
        <f>INPUT!CC178</f>
        <v>0</v>
      </c>
      <c r="I108" s="294"/>
      <c r="J108" s="294">
        <f>+'ENT BS'!N102</f>
        <v>0</v>
      </c>
      <c r="K108" s="296"/>
      <c r="L108" s="294">
        <f t="shared" ref="L108:L114" si="10">SUM(E108:K108)</f>
        <v>0</v>
      </c>
      <c r="M108" s="296"/>
      <c r="N108" s="294">
        <f>+'IS BS'!R78</f>
        <v>0</v>
      </c>
      <c r="O108" s="294"/>
      <c r="P108" s="467"/>
      <c r="U108" s="294">
        <v>0</v>
      </c>
    </row>
    <row r="109" spans="2:21" ht="15.75">
      <c r="B109" s="276" t="s">
        <v>1674</v>
      </c>
      <c r="C109" s="276"/>
      <c r="E109" s="276"/>
      <c r="F109" s="294">
        <f>+INPUT!CG176</f>
        <v>5127950</v>
      </c>
      <c r="G109" s="294"/>
      <c r="H109" s="294">
        <f>INPUT!CC176</f>
        <v>7108832</v>
      </c>
      <c r="I109" s="294"/>
      <c r="J109" s="294">
        <f>+'ENT BS'!N103</f>
        <v>203464</v>
      </c>
      <c r="K109" s="296"/>
      <c r="L109" s="294">
        <f t="shared" si="10"/>
        <v>12440246</v>
      </c>
      <c r="M109" s="296"/>
      <c r="N109" s="294">
        <f>+'IS BS'!R79</f>
        <v>1083329</v>
      </c>
      <c r="O109" s="294"/>
      <c r="P109" s="467"/>
      <c r="U109" s="294"/>
    </row>
    <row r="110" spans="2:21" ht="15.75" hidden="1">
      <c r="B110" s="276" t="str">
        <f>INPUT!B181</f>
        <v xml:space="preserve">     Restricted for bond reserve</v>
      </c>
      <c r="C110" s="276"/>
      <c r="E110" s="276"/>
      <c r="F110" s="294" t="str">
        <f>IF(+INPUT!CG181&lt;&gt;0,+INPUT!CG181,"-  ")</f>
        <v xml:space="preserve">-  </v>
      </c>
      <c r="G110" s="294"/>
      <c r="H110" s="294">
        <f>INPUT!CC181</f>
        <v>0</v>
      </c>
      <c r="I110" s="294"/>
      <c r="J110" s="294">
        <f>+'ENT BS'!N104</f>
        <v>0</v>
      </c>
      <c r="K110" s="296"/>
      <c r="L110" s="294">
        <f t="shared" si="10"/>
        <v>0</v>
      </c>
      <c r="M110" s="296"/>
      <c r="N110" s="294">
        <f>+'IS BS'!R80</f>
        <v>0</v>
      </c>
      <c r="O110" s="294"/>
      <c r="P110" s="467">
        <f>+L110+L111</f>
        <v>0</v>
      </c>
      <c r="U110" s="294">
        <v>0</v>
      </c>
    </row>
    <row r="111" spans="2:21" ht="15.75" hidden="1">
      <c r="B111" s="276" t="str">
        <f>INPUT!B182</f>
        <v xml:space="preserve">     Restricted for debt service</v>
      </c>
      <c r="C111" s="276"/>
      <c r="E111" s="276"/>
      <c r="F111" s="294" t="str">
        <f>IF(+INPUT!CG182&lt;&gt;0,+INPUT!CG182,"-  ")</f>
        <v xml:space="preserve">-  </v>
      </c>
      <c r="G111" s="294"/>
      <c r="H111" s="294">
        <f>+INPUT!CC182</f>
        <v>0</v>
      </c>
      <c r="I111" s="294"/>
      <c r="J111" s="294">
        <f>+'ENT BS'!N105</f>
        <v>0</v>
      </c>
      <c r="K111" s="296"/>
      <c r="L111" s="294">
        <f t="shared" si="10"/>
        <v>0</v>
      </c>
      <c r="M111" s="296"/>
      <c r="N111" s="294">
        <f>+'IS BS'!R81</f>
        <v>0</v>
      </c>
      <c r="O111" s="294"/>
      <c r="P111" s="288">
        <f>+P110+N110</f>
        <v>0</v>
      </c>
      <c r="U111" s="294">
        <v>0</v>
      </c>
    </row>
    <row r="112" spans="2:21" ht="15.75" hidden="1">
      <c r="B112" s="276" t="str">
        <f>INPUT!B183</f>
        <v xml:space="preserve">     Restricted for construction</v>
      </c>
      <c r="C112" s="276"/>
      <c r="E112" s="276"/>
      <c r="F112" s="294">
        <f>+INPUT!CG183</f>
        <v>0</v>
      </c>
      <c r="G112" s="294"/>
      <c r="H112" s="294">
        <f>+INPUT!CC183</f>
        <v>0</v>
      </c>
      <c r="I112" s="294"/>
      <c r="J112" s="294">
        <f>+'ENT BS'!N106</f>
        <v>0</v>
      </c>
      <c r="K112" s="296"/>
      <c r="L112" s="294">
        <f t="shared" si="10"/>
        <v>0</v>
      </c>
      <c r="M112" s="296"/>
      <c r="N112" s="294">
        <f>+'IS BS'!R82</f>
        <v>0</v>
      </c>
      <c r="O112" s="294"/>
      <c r="U112" s="294">
        <v>0</v>
      </c>
    </row>
    <row r="113" spans="2:21" ht="15.75" hidden="1">
      <c r="B113" s="276" t="str">
        <f>INPUT!B184</f>
        <v xml:space="preserve">     Restricted for other purposes</v>
      </c>
      <c r="C113" s="276"/>
      <c r="E113" s="276"/>
      <c r="F113" s="294">
        <f>+INPUT!CG184</f>
        <v>0</v>
      </c>
      <c r="G113" s="294"/>
      <c r="H113" s="294">
        <f>+INPUT!CC184</f>
        <v>0</v>
      </c>
      <c r="I113" s="294"/>
      <c r="J113" s="294">
        <f>+'ENT BS'!N107</f>
        <v>0</v>
      </c>
      <c r="K113" s="296"/>
      <c r="L113" s="294">
        <f t="shared" si="10"/>
        <v>0</v>
      </c>
      <c r="M113" s="296"/>
      <c r="N113" s="294">
        <f>+'IS BS'!R83</f>
        <v>0</v>
      </c>
      <c r="O113" s="294"/>
      <c r="P113" s="467"/>
      <c r="U113" s="294"/>
    </row>
    <row r="114" spans="2:21" ht="15.75">
      <c r="B114" s="276" t="str">
        <f>INPUT!B185</f>
        <v xml:space="preserve">     Unrestricted</v>
      </c>
      <c r="C114" s="276"/>
      <c r="E114" s="276"/>
      <c r="F114" s="294">
        <f>+INPUT!CG185</f>
        <v>2071763</v>
      </c>
      <c r="G114" s="294"/>
      <c r="H114" s="294">
        <f>+INPUT!CC185</f>
        <v>672405</v>
      </c>
      <c r="I114" s="294"/>
      <c r="J114" s="294">
        <f>+'ENT BS'!N108</f>
        <v>1416370</v>
      </c>
      <c r="K114" s="296"/>
      <c r="L114" s="294">
        <f t="shared" si="10"/>
        <v>4160538</v>
      </c>
      <c r="M114" s="296"/>
      <c r="N114" s="294">
        <f>+'IS BS'!R84</f>
        <v>4716531</v>
      </c>
      <c r="O114" s="294"/>
      <c r="P114" s="468"/>
      <c r="U114" s="294">
        <f>5+10-3-2</f>
        <v>10</v>
      </c>
    </row>
    <row r="115" spans="2:21" ht="15.75">
      <c r="B115" s="276"/>
      <c r="C115" s="276"/>
      <c r="E115" s="276"/>
      <c r="F115" s="337"/>
      <c r="G115" s="294"/>
      <c r="H115" s="337"/>
      <c r="I115" s="294"/>
      <c r="J115" s="337"/>
      <c r="K115" s="296"/>
      <c r="L115" s="337"/>
      <c r="M115" s="296"/>
      <c r="N115" s="337"/>
      <c r="O115" s="294"/>
      <c r="U115" s="337"/>
    </row>
    <row r="116" spans="2:21" ht="17.25" customHeight="1" thickBot="1">
      <c r="B116" s="308" t="s">
        <v>1683</v>
      </c>
      <c r="C116" s="308"/>
      <c r="E116" s="708"/>
      <c r="F116" s="1301">
        <f>SUM(F108:F115)</f>
        <v>7199713</v>
      </c>
      <c r="G116" s="705"/>
      <c r="H116" s="1301">
        <f>SUM(H108:H115)</f>
        <v>7781237</v>
      </c>
      <c r="I116" s="705"/>
      <c r="J116" s="1301">
        <f>SUM(J108:J115)</f>
        <v>1619834</v>
      </c>
      <c r="K116" s="705"/>
      <c r="L116" s="1301">
        <f>SUM(L108:L115)</f>
        <v>16600784</v>
      </c>
      <c r="M116" s="705"/>
      <c r="N116" s="1301">
        <f>SUM(N108:N115)</f>
        <v>5799860</v>
      </c>
      <c r="O116" s="385"/>
      <c r="U116" s="301">
        <f>SUM(U108:U115)</f>
        <v>10</v>
      </c>
    </row>
    <row r="117" spans="2:21" ht="16.5" thickTop="1">
      <c r="B117" s="350"/>
      <c r="C117" s="276"/>
      <c r="E117" s="276"/>
      <c r="F117" s="303"/>
      <c r="G117" s="303"/>
      <c r="H117" s="303"/>
      <c r="I117" s="303"/>
      <c r="J117" s="303"/>
      <c r="K117" s="276"/>
      <c r="L117" s="303"/>
      <c r="M117" s="276"/>
      <c r="N117" s="303"/>
      <c r="O117" s="303"/>
      <c r="U117" s="303"/>
    </row>
    <row r="118" spans="2:21" ht="27.75" customHeight="1">
      <c r="B118" s="308" t="s">
        <v>2719</v>
      </c>
      <c r="C118" s="276"/>
      <c r="E118" s="276"/>
      <c r="F118" s="303"/>
      <c r="G118" s="303"/>
      <c r="H118" s="303"/>
      <c r="I118" s="303"/>
      <c r="J118" s="303"/>
      <c r="K118" s="276"/>
      <c r="L118" s="303"/>
      <c r="M118" s="276"/>
      <c r="N118" s="303"/>
      <c r="O118" s="303"/>
      <c r="U118" s="303"/>
    </row>
    <row r="119" spans="2:21" ht="16.5" thickBot="1">
      <c r="B119" s="308" t="s">
        <v>2031</v>
      </c>
      <c r="C119" s="308"/>
      <c r="E119" s="319"/>
      <c r="F119" s="302">
        <f>SUM(F87+F105+F116)</f>
        <v>9448009</v>
      </c>
      <c r="G119" s="326"/>
      <c r="H119" s="302">
        <f>SUM(H87+H105+H116)</f>
        <v>7883099</v>
      </c>
      <c r="I119" s="326"/>
      <c r="J119" s="302">
        <f>SUM(J87+J105+J116)</f>
        <v>1748580</v>
      </c>
      <c r="K119" s="326"/>
      <c r="L119" s="302">
        <f>SUM(L87+L105+L116)</f>
        <v>19079688</v>
      </c>
      <c r="M119" s="326"/>
      <c r="N119" s="302">
        <f>SUM(N87+N105+N116)</f>
        <v>7320110</v>
      </c>
      <c r="O119" s="326"/>
      <c r="U119" s="302">
        <f>SUM(U87+U116)</f>
        <v>27</v>
      </c>
    </row>
    <row r="120" spans="2:21" ht="16.5" thickTop="1">
      <c r="B120" s="276"/>
      <c r="C120" s="303"/>
      <c r="E120" s="303"/>
      <c r="F120" s="303"/>
      <c r="G120" s="303"/>
      <c r="H120" s="303"/>
      <c r="I120" s="303"/>
      <c r="J120" s="303"/>
      <c r="K120" s="303"/>
      <c r="L120" s="303"/>
      <c r="M120" s="303"/>
      <c r="N120" s="303"/>
      <c r="O120" s="303"/>
    </row>
    <row r="122" spans="2:21">
      <c r="F122" s="288">
        <f>+F43+F56-F119</f>
        <v>0</v>
      </c>
      <c r="H122" s="288">
        <f>+H43+H56-H119</f>
        <v>0</v>
      </c>
      <c r="J122" s="288">
        <f>+J43+J56-J119</f>
        <v>0</v>
      </c>
      <c r="L122" s="288">
        <f>+L43+L56-L119</f>
        <v>0</v>
      </c>
      <c r="N122" s="288">
        <f>+N43+N56-N119</f>
        <v>0</v>
      </c>
    </row>
    <row r="123" spans="2:21">
      <c r="F123" s="288">
        <f>+PROPREV!F65</f>
        <v>7199713</v>
      </c>
      <c r="H123" s="288">
        <f>+PROPREV!H65</f>
        <v>7781237</v>
      </c>
      <c r="J123" s="288">
        <f>+PROPREV!J65</f>
        <v>1619834</v>
      </c>
      <c r="L123" s="288">
        <f>+PROPREV!L65</f>
        <v>16600784</v>
      </c>
      <c r="N123" s="288">
        <f>+PROPREV!N65</f>
        <v>5799860</v>
      </c>
    </row>
    <row r="124" spans="2:21">
      <c r="F124" s="288">
        <f>+F123-SUM(F109:F114)</f>
        <v>0</v>
      </c>
      <c r="H124" s="288">
        <f>+H123-SUM(H109:H114)</f>
        <v>0</v>
      </c>
      <c r="J124" s="288">
        <f>+J123-SUM(J109:J114)</f>
        <v>0</v>
      </c>
      <c r="L124" s="288">
        <f>+L123-SUM(L109:L114)</f>
        <v>0</v>
      </c>
      <c r="N124" s="288">
        <f>+N123-SUM(N109:N114)</f>
        <v>0</v>
      </c>
    </row>
    <row r="130" spans="2:15" ht="15.75">
      <c r="B130" s="288" t="s">
        <v>1665</v>
      </c>
      <c r="D130" s="276">
        <f>+'ENT BS'!D19</f>
        <v>0</v>
      </c>
      <c r="E130" s="276"/>
      <c r="F130" s="276">
        <f>+F19</f>
        <v>105636</v>
      </c>
      <c r="G130" s="276"/>
      <c r="H130" s="276">
        <f>+H19</f>
        <v>0</v>
      </c>
      <c r="I130" s="276"/>
      <c r="J130" s="276">
        <f>+J19</f>
        <v>202233</v>
      </c>
      <c r="N130" s="276">
        <f>+N19</f>
        <v>262150</v>
      </c>
      <c r="O130" s="276"/>
    </row>
    <row r="131" spans="2:15" ht="15.75">
      <c r="B131" s="288" t="s">
        <v>1666</v>
      </c>
      <c r="D131" s="470">
        <v>18628</v>
      </c>
      <c r="E131" s="471"/>
      <c r="F131" s="470">
        <v>182691</v>
      </c>
      <c r="G131" s="470"/>
      <c r="H131" s="470" t="s">
        <v>2448</v>
      </c>
      <c r="I131" s="470"/>
      <c r="J131" s="470">
        <v>202755</v>
      </c>
      <c r="K131" s="472"/>
      <c r="L131" s="288">
        <v>404074</v>
      </c>
      <c r="N131" s="470">
        <v>284826</v>
      </c>
      <c r="O131" s="470"/>
    </row>
    <row r="133" spans="2:15" ht="16.5" thickBot="1">
      <c r="D133" s="473">
        <f>+D130-D131</f>
        <v>-18628</v>
      </c>
      <c r="F133" s="473">
        <f>+F130-F131</f>
        <v>-77055</v>
      </c>
      <c r="H133" s="473">
        <f>+H130-H131</f>
        <v>0</v>
      </c>
      <c r="J133" s="473">
        <f>+J130-J131</f>
        <v>-522</v>
      </c>
      <c r="N133" s="473">
        <f>+N130-N131</f>
        <v>-22676</v>
      </c>
      <c r="O133" s="276"/>
    </row>
    <row r="134" spans="2:15" ht="16.5" thickTop="1">
      <c r="D134" s="370">
        <f>+D133/D131</f>
        <v>-1</v>
      </c>
      <c r="F134" s="370">
        <f>+F133/F131</f>
        <v>-0.42177775588288419</v>
      </c>
      <c r="H134" s="281" t="e">
        <f>+H133/H131</f>
        <v>#DIV/0!</v>
      </c>
      <c r="J134" s="370">
        <f>+J133/J131</f>
        <v>-2.5745357697713992E-3</v>
      </c>
      <c r="N134" s="370">
        <f>+N133/N131</f>
        <v>-7.9613518428795119E-2</v>
      </c>
      <c r="O134" s="370"/>
    </row>
  </sheetData>
  <phoneticPr fontId="0" type="noConversion"/>
  <printOptions horizontalCentered="1"/>
  <pageMargins left="0.4" right="0.4" top="0.5" bottom="0.5" header="0.5" footer="0.25"/>
  <pageSetup scale="60" firstPageNumber="26" orientation="portrait" useFirstPageNumber="1" r:id="rId1"/>
  <headerFooter alignWithMargins="0"/>
  <ignoredErrors>
    <ignoredError sqref="L2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codeName="Sheet18">
    <pageSetUpPr fitToPage="1"/>
  </sheetPr>
  <dimension ref="A3:AD134"/>
  <sheetViews>
    <sheetView showGridLines="0" topLeftCell="A15" zoomScale="85" zoomScaleNormal="85" workbookViewId="0">
      <selection activeCell="AA45" sqref="AA45:AA46"/>
    </sheetView>
  </sheetViews>
  <sheetFormatPr defaultColWidth="9.7109375" defaultRowHeight="12.75"/>
  <cols>
    <col min="1" max="1" width="2.7109375" style="288" customWidth="1"/>
    <col min="2" max="2" width="46.5703125" style="288" customWidth="1"/>
    <col min="3" max="3" width="2.28515625" style="288" customWidth="1"/>
    <col min="4" max="4" width="18.5703125" style="288" hidden="1" customWidth="1"/>
    <col min="5" max="5" width="2.28515625" style="288" hidden="1" customWidth="1"/>
    <col min="6" max="6" width="16.7109375" style="288" customWidth="1"/>
    <col min="7" max="7" width="2.7109375" style="288" customWidth="1"/>
    <col min="8" max="8" width="16.7109375" style="288" customWidth="1"/>
    <col min="9" max="9" width="2.28515625" style="288" customWidth="1"/>
    <col min="10" max="10" width="16.7109375" style="288" customWidth="1"/>
    <col min="11" max="11" width="2.28515625" style="288" customWidth="1"/>
    <col min="12" max="12" width="16.7109375" style="288" customWidth="1"/>
    <col min="13" max="13" width="2.28515625" style="288" customWidth="1"/>
    <col min="14" max="14" width="20.7109375" style="288" customWidth="1"/>
    <col min="15" max="17" width="9.7109375" style="288" customWidth="1"/>
    <col min="18" max="18" width="13.5703125" style="288" customWidth="1"/>
    <col min="19" max="16384" width="9.7109375" style="288"/>
  </cols>
  <sheetData>
    <row r="3" spans="2:30" ht="15.75">
      <c r="B3" s="305" t="s">
        <v>1049</v>
      </c>
      <c r="C3" s="277"/>
      <c r="D3" s="277"/>
      <c r="E3" s="277"/>
      <c r="F3" s="277"/>
      <c r="G3" s="277"/>
      <c r="H3" s="277"/>
      <c r="I3" s="277"/>
      <c r="J3" s="277"/>
      <c r="K3" s="277"/>
      <c r="L3" s="277"/>
      <c r="M3" s="277"/>
      <c r="N3" s="277"/>
    </row>
    <row r="4" spans="2:30" ht="15.75">
      <c r="B4" s="305" t="s">
        <v>388</v>
      </c>
      <c r="C4" s="277"/>
      <c r="D4" s="277"/>
      <c r="E4" s="277"/>
      <c r="F4" s="277"/>
      <c r="G4" s="277"/>
      <c r="H4" s="277"/>
      <c r="I4" s="277"/>
      <c r="J4" s="277"/>
      <c r="K4" s="277"/>
      <c r="L4" s="277"/>
      <c r="M4" s="277"/>
      <c r="N4" s="277"/>
    </row>
    <row r="5" spans="2:30" ht="15.75">
      <c r="B5" s="305" t="s">
        <v>1677</v>
      </c>
      <c r="C5" s="277"/>
      <c r="D5" s="277"/>
      <c r="E5" s="277"/>
      <c r="F5" s="277"/>
      <c r="G5" s="277"/>
      <c r="H5" s="277"/>
      <c r="I5" s="277"/>
      <c r="J5" s="277"/>
      <c r="K5" s="277"/>
      <c r="L5" s="277"/>
      <c r="M5" s="277"/>
      <c r="N5" s="277"/>
    </row>
    <row r="6" spans="2:30" ht="15.75">
      <c r="B6" s="305" t="s">
        <v>1221</v>
      </c>
      <c r="C6" s="277"/>
      <c r="D6" s="277"/>
      <c r="E6" s="277"/>
      <c r="F6" s="277"/>
      <c r="G6" s="277"/>
      <c r="H6" s="277"/>
      <c r="I6" s="277"/>
      <c r="J6" s="277"/>
      <c r="K6" s="277"/>
      <c r="L6" s="277"/>
      <c r="M6" s="277"/>
      <c r="N6" s="277"/>
    </row>
    <row r="7" spans="2:30" ht="15.75">
      <c r="B7" s="395" t="str">
        <f>+'Sys INPUT'!B2</f>
        <v>For the  Fiscal Year Ended June 30, 2023</v>
      </c>
      <c r="C7" s="277"/>
      <c r="D7" s="277"/>
      <c r="E7" s="277"/>
      <c r="F7" s="277"/>
      <c r="G7" s="277"/>
      <c r="H7" s="277"/>
      <c r="I7" s="277"/>
      <c r="J7" s="277"/>
      <c r="K7" s="277"/>
      <c r="L7" s="277"/>
      <c r="M7" s="277"/>
      <c r="N7" s="277"/>
    </row>
    <row r="8" spans="2:30" ht="15.75">
      <c r="B8" s="305"/>
      <c r="C8" s="277"/>
      <c r="D8" s="277"/>
      <c r="E8" s="277"/>
      <c r="F8" s="277"/>
      <c r="G8" s="277"/>
      <c r="H8" s="277"/>
      <c r="I8" s="277"/>
      <c r="J8" s="277"/>
      <c r="K8" s="277"/>
      <c r="L8" s="466"/>
      <c r="M8" s="277"/>
      <c r="N8" s="277"/>
    </row>
    <row r="9" spans="2:30" ht="15.75">
      <c r="B9" s="305"/>
      <c r="C9" s="277"/>
      <c r="D9" s="277"/>
      <c r="E9" s="277"/>
      <c r="F9" s="277"/>
      <c r="G9" s="277"/>
      <c r="H9" s="277"/>
      <c r="I9" s="277"/>
      <c r="J9" s="277"/>
      <c r="K9" s="284"/>
      <c r="L9" s="284"/>
      <c r="M9" s="284"/>
      <c r="N9" s="284"/>
    </row>
    <row r="10" spans="2:30" ht="15.75">
      <c r="B10" s="305"/>
      <c r="C10" s="357" t="s">
        <v>1222</v>
      </c>
      <c r="D10" s="357"/>
      <c r="E10" s="357"/>
      <c r="F10" s="357"/>
      <c r="G10" s="357"/>
      <c r="H10" s="357"/>
      <c r="I10" s="357"/>
      <c r="J10" s="357"/>
      <c r="K10" s="357"/>
      <c r="L10" s="357"/>
      <c r="M10" s="308"/>
      <c r="N10" s="287" t="s">
        <v>338</v>
      </c>
    </row>
    <row r="11" spans="2:30" ht="15.75">
      <c r="B11" s="276"/>
      <c r="C11" s="287"/>
      <c r="D11" s="287"/>
      <c r="E11" s="308"/>
      <c r="F11" s="308"/>
      <c r="G11" s="308"/>
      <c r="H11" s="308"/>
      <c r="I11" s="308"/>
      <c r="J11" s="287" t="s">
        <v>956</v>
      </c>
      <c r="K11" s="308"/>
      <c r="L11" s="308"/>
      <c r="M11" s="276"/>
      <c r="N11" s="287" t="s">
        <v>211</v>
      </c>
    </row>
    <row r="12" spans="2:30" ht="15.75">
      <c r="B12" s="466"/>
      <c r="C12" s="287"/>
      <c r="E12" s="287"/>
      <c r="F12" s="287" t="s">
        <v>517</v>
      </c>
      <c r="G12" s="287"/>
      <c r="H12" s="287" t="s">
        <v>1004</v>
      </c>
      <c r="I12" s="287"/>
      <c r="J12" s="287" t="s">
        <v>71</v>
      </c>
      <c r="K12" s="287"/>
      <c r="L12" s="287"/>
      <c r="M12" s="287"/>
      <c r="N12" s="287" t="s">
        <v>534</v>
      </c>
    </row>
    <row r="13" spans="2:30" ht="15.75">
      <c r="B13" s="308"/>
      <c r="C13" s="287"/>
      <c r="E13" s="308"/>
      <c r="F13" s="290" t="s">
        <v>194</v>
      </c>
      <c r="G13" s="287"/>
      <c r="H13" s="290" t="s">
        <v>71</v>
      </c>
      <c r="I13" s="287"/>
      <c r="J13" s="290" t="s">
        <v>540</v>
      </c>
      <c r="K13" s="308"/>
      <c r="L13" s="290" t="s">
        <v>315</v>
      </c>
      <c r="M13" s="308"/>
      <c r="N13" s="290" t="s">
        <v>210</v>
      </c>
    </row>
    <row r="14" spans="2:30" ht="15.75">
      <c r="B14" s="308" t="s">
        <v>1091</v>
      </c>
      <c r="C14" s="276"/>
      <c r="E14" s="276"/>
      <c r="F14" s="276"/>
      <c r="G14" s="276"/>
      <c r="H14" s="276"/>
      <c r="I14" s="276"/>
      <c r="J14" s="276"/>
      <c r="K14" s="276"/>
      <c r="L14" s="276"/>
      <c r="M14" s="276"/>
      <c r="N14" s="276"/>
    </row>
    <row r="15" spans="2:30" ht="15.75">
      <c r="B15" s="276" t="str">
        <f>INPUT!B10</f>
        <v xml:space="preserve">     Taxes/assessments</v>
      </c>
      <c r="E15" s="276"/>
      <c r="F15" s="292">
        <f>+INPUT!CG10</f>
        <v>0</v>
      </c>
      <c r="G15" s="292"/>
      <c r="H15" s="292">
        <f>+INPUT!CC10</f>
        <v>552792</v>
      </c>
      <c r="I15" s="276"/>
      <c r="J15" s="292">
        <f>+'ENT IS'!N38</f>
        <v>0</v>
      </c>
      <c r="K15" s="276"/>
      <c r="L15" s="292">
        <f>SUM(E15:K15)</f>
        <v>552792</v>
      </c>
      <c r="M15" s="276"/>
      <c r="N15" s="292">
        <v>0</v>
      </c>
    </row>
    <row r="16" spans="2:30" ht="15.75">
      <c r="B16" s="276" t="str">
        <f>INPUT!B13</f>
        <v xml:space="preserve">     Charges for services</v>
      </c>
      <c r="C16" s="276"/>
      <c r="E16" s="303"/>
      <c r="F16" s="294">
        <f>+INPUT!CG13</f>
        <v>1356265</v>
      </c>
      <c r="G16" s="294"/>
      <c r="H16" s="294">
        <f>+INPUT!CC13</f>
        <v>1257477</v>
      </c>
      <c r="I16" s="303"/>
      <c r="J16" s="294">
        <f>+'ENT IS'!N16</f>
        <v>1743177</v>
      </c>
      <c r="K16" s="303"/>
      <c r="L16" s="294">
        <f>+SUM(C16:J16)</f>
        <v>4356919</v>
      </c>
      <c r="M16" s="303"/>
      <c r="N16" s="294">
        <f>+'IS IS'!T15</f>
        <v>12264678</v>
      </c>
      <c r="AD16" s="288">
        <f>SUM(N16:AC16)</f>
        <v>12264678</v>
      </c>
    </row>
    <row r="17" spans="2:18" ht="15.75">
      <c r="B17" s="276" t="str">
        <f>INPUT!B15</f>
        <v xml:space="preserve">     Miscellaneous</v>
      </c>
      <c r="C17" s="303"/>
      <c r="E17" s="303"/>
      <c r="F17" s="317">
        <f>+INPUT!CG15</f>
        <v>0</v>
      </c>
      <c r="G17" s="294"/>
      <c r="H17" s="317">
        <f>+INPUT!CC15</f>
        <v>0</v>
      </c>
      <c r="I17" s="303"/>
      <c r="J17" s="317">
        <f>+'ENT IS'!N17</f>
        <v>0</v>
      </c>
      <c r="K17" s="303"/>
      <c r="L17" s="317">
        <f>SUM(C17:J17)</f>
        <v>0</v>
      </c>
      <c r="M17" s="303"/>
      <c r="N17" s="317">
        <f>+'IS IS'!T16</f>
        <v>1851365</v>
      </c>
    </row>
    <row r="18" spans="2:18" ht="15.75" hidden="1">
      <c r="B18" s="276"/>
      <c r="C18" s="303"/>
      <c r="E18" s="303"/>
      <c r="F18" s="294"/>
      <c r="G18" s="294"/>
      <c r="H18" s="294"/>
      <c r="I18" s="303"/>
      <c r="J18" s="294"/>
      <c r="K18" s="303"/>
      <c r="L18" s="294"/>
      <c r="M18" s="303"/>
      <c r="N18" s="294"/>
    </row>
    <row r="19" spans="2:18" ht="15.75">
      <c r="B19" s="308" t="s">
        <v>2574</v>
      </c>
      <c r="C19" s="303"/>
      <c r="E19" s="704"/>
      <c r="F19" s="706">
        <f>SUM(F15:F18)</f>
        <v>1356265</v>
      </c>
      <c r="G19" s="697"/>
      <c r="H19" s="706">
        <f>SUM(H15:H18)</f>
        <v>1810269</v>
      </c>
      <c r="I19" s="704"/>
      <c r="J19" s="706">
        <f>SUM(J15:J18)</f>
        <v>1743177</v>
      </c>
      <c r="K19" s="704"/>
      <c r="L19" s="706">
        <f>SUM(L15:L18)</f>
        <v>4909711</v>
      </c>
      <c r="M19" s="704"/>
      <c r="N19" s="706">
        <f>SUM(N15:N18)</f>
        <v>14116043</v>
      </c>
    </row>
    <row r="20" spans="2:18" ht="15.75">
      <c r="B20" s="276"/>
      <c r="C20" s="303"/>
      <c r="E20" s="303"/>
      <c r="F20" s="294"/>
      <c r="G20" s="294"/>
      <c r="H20" s="294"/>
      <c r="I20" s="294"/>
      <c r="J20" s="294"/>
      <c r="K20" s="294"/>
      <c r="L20" s="294"/>
      <c r="M20" s="294"/>
      <c r="N20" s="294"/>
    </row>
    <row r="21" spans="2:18" ht="15.75">
      <c r="B21" s="308" t="s">
        <v>1092</v>
      </c>
      <c r="C21" s="303"/>
      <c r="E21" s="303"/>
      <c r="F21" s="294"/>
      <c r="G21" s="294"/>
      <c r="H21" s="294"/>
      <c r="I21" s="303"/>
      <c r="J21" s="294"/>
      <c r="K21" s="303"/>
      <c r="L21" s="294"/>
      <c r="M21" s="303"/>
      <c r="N21" s="294"/>
    </row>
    <row r="22" spans="2:18" ht="15.75">
      <c r="B22" s="276" t="str">
        <f>INPUT!B31</f>
        <v xml:space="preserve">     Personal services</v>
      </c>
      <c r="C22" s="303"/>
      <c r="E22" s="303"/>
      <c r="F22" s="294">
        <f>+INPUT!CG31</f>
        <v>249862</v>
      </c>
      <c r="G22" s="294"/>
      <c r="H22" s="294">
        <f>+INPUT!CC31</f>
        <v>545371</v>
      </c>
      <c r="I22" s="303"/>
      <c r="J22" s="294">
        <f>+'ENT IS'!N22</f>
        <v>68161</v>
      </c>
      <c r="K22" s="303"/>
      <c r="L22" s="294">
        <f>+SUM(C22:J22)</f>
        <v>863394</v>
      </c>
      <c r="M22" s="303"/>
      <c r="N22" s="296">
        <f>+'IS IS'!T21</f>
        <v>2599425</v>
      </c>
    </row>
    <row r="23" spans="2:18" ht="15.75">
      <c r="B23" s="276" t="str">
        <f>INPUT!B32</f>
        <v xml:space="preserve">     Supplies</v>
      </c>
      <c r="C23" s="303"/>
      <c r="E23" s="303"/>
      <c r="F23" s="294">
        <f>+INPUT!CG32</f>
        <v>281168</v>
      </c>
      <c r="G23" s="294"/>
      <c r="H23" s="294">
        <f>+INPUT!CC32</f>
        <v>247402</v>
      </c>
      <c r="I23" s="303"/>
      <c r="J23" s="294">
        <f>+'ENT IS'!N23</f>
        <v>89155</v>
      </c>
      <c r="K23" s="303"/>
      <c r="L23" s="294">
        <f>+SUM(C23:J23)</f>
        <v>617725</v>
      </c>
      <c r="M23" s="303"/>
      <c r="N23" s="296">
        <f>+'IS IS'!T22</f>
        <v>2384337</v>
      </c>
    </row>
    <row r="24" spans="2:18" ht="15.75">
      <c r="B24" s="276" t="str">
        <f>INPUT!B33</f>
        <v xml:space="preserve">     Purchased services</v>
      </c>
      <c r="C24" s="303"/>
      <c r="E24" s="303"/>
      <c r="F24" s="294">
        <f>+INPUT!CG33</f>
        <v>270526</v>
      </c>
      <c r="G24" s="294"/>
      <c r="H24" s="294">
        <f>+INPUT!CC33</f>
        <v>903812</v>
      </c>
      <c r="I24" s="303"/>
      <c r="J24" s="294">
        <f>+'ENT IS'!N24</f>
        <v>1617404</v>
      </c>
      <c r="K24" s="303"/>
      <c r="L24" s="294">
        <f>+SUM(C24:J24)</f>
        <v>2791742</v>
      </c>
      <c r="M24" s="303"/>
      <c r="N24" s="296">
        <f>+'IS IS'!T23</f>
        <v>10544034</v>
      </c>
    </row>
    <row r="25" spans="2:18" ht="15" hidden="1" customHeight="1">
      <c r="B25" s="276" t="str">
        <f>INPUT!B34</f>
        <v xml:space="preserve">     Other</v>
      </c>
      <c r="C25" s="303"/>
      <c r="E25" s="303"/>
      <c r="F25" s="294">
        <f>+INPUT!CG34</f>
        <v>0</v>
      </c>
      <c r="G25" s="294"/>
      <c r="H25" s="294">
        <f>+INPUT!CC34</f>
        <v>0</v>
      </c>
      <c r="I25" s="303"/>
      <c r="J25" s="294">
        <f>+'ENT IS'!N25</f>
        <v>0</v>
      </c>
      <c r="K25" s="303"/>
      <c r="L25" s="294">
        <f>+SUM(C25:J25)</f>
        <v>0</v>
      </c>
      <c r="M25" s="303"/>
      <c r="N25" s="296">
        <f>+'IS IS'!T24</f>
        <v>0</v>
      </c>
    </row>
    <row r="26" spans="2:18" ht="15.75">
      <c r="B26" s="276" t="str">
        <f>INPUT!B38</f>
        <v xml:space="preserve">     Depreciation/Amortization</v>
      </c>
      <c r="C26" s="303"/>
      <c r="E26" s="303"/>
      <c r="F26" s="317">
        <f>+INPUT!CG38</f>
        <v>380339</v>
      </c>
      <c r="G26" s="294"/>
      <c r="H26" s="317">
        <f>+INPUT!CC38</f>
        <v>324769</v>
      </c>
      <c r="I26" s="303"/>
      <c r="J26" s="317">
        <f>+'ENT IS'!N26</f>
        <v>13429</v>
      </c>
      <c r="K26" s="303"/>
      <c r="L26" s="317">
        <f>SUM(C26:J26)</f>
        <v>718537</v>
      </c>
      <c r="M26" s="303"/>
      <c r="N26" s="317">
        <f>+'IS IS'!T25</f>
        <v>362340</v>
      </c>
      <c r="R26" s="288">
        <f>+F26+J26</f>
        <v>393768</v>
      </c>
    </row>
    <row r="27" spans="2:18" ht="15.75">
      <c r="B27" s="276"/>
      <c r="C27" s="303"/>
      <c r="E27" s="303"/>
      <c r="F27" s="294"/>
      <c r="G27" s="294"/>
      <c r="H27" s="294"/>
      <c r="I27" s="303"/>
      <c r="J27" s="294"/>
      <c r="K27" s="303"/>
      <c r="L27" s="294"/>
      <c r="M27" s="303"/>
      <c r="N27" s="294"/>
    </row>
    <row r="28" spans="2:18" ht="15.75">
      <c r="B28" s="308" t="s">
        <v>2575</v>
      </c>
      <c r="C28" s="303"/>
      <c r="E28" s="704"/>
      <c r="F28" s="706">
        <f>SUM(F22:F27)</f>
        <v>1181895</v>
      </c>
      <c r="G28" s="697"/>
      <c r="H28" s="706">
        <f>SUM(H22:H27)</f>
        <v>2021354</v>
      </c>
      <c r="I28" s="704"/>
      <c r="J28" s="706">
        <f>SUM(J22:J27)</f>
        <v>1788149</v>
      </c>
      <c r="K28" s="704"/>
      <c r="L28" s="706">
        <f>SUM(L22:L27)</f>
        <v>4991398</v>
      </c>
      <c r="M28" s="704"/>
      <c r="N28" s="706">
        <f>SUM(N22:N27)</f>
        <v>15890136</v>
      </c>
      <c r="R28" s="288">
        <f>+L28+N28</f>
        <v>20881534</v>
      </c>
    </row>
    <row r="29" spans="2:18" ht="15.75">
      <c r="B29" s="276"/>
      <c r="C29" s="303"/>
      <c r="E29" s="303"/>
      <c r="F29" s="294"/>
      <c r="G29" s="294"/>
      <c r="H29" s="294"/>
      <c r="I29" s="294"/>
      <c r="J29" s="294"/>
      <c r="K29" s="294"/>
      <c r="L29" s="294"/>
      <c r="M29" s="294"/>
      <c r="N29" s="294"/>
    </row>
    <row r="30" spans="2:18" ht="15.75">
      <c r="B30" s="308" t="s">
        <v>289</v>
      </c>
      <c r="C30" s="303"/>
      <c r="E30" s="704"/>
      <c r="F30" s="697">
        <f>SUM(F19-F28)</f>
        <v>174370</v>
      </c>
      <c r="G30" s="697"/>
      <c r="H30" s="697">
        <f>SUM(H19-H28)</f>
        <v>-211085</v>
      </c>
      <c r="I30" s="704"/>
      <c r="J30" s="697">
        <f>SUM(J19-J28)</f>
        <v>-44972</v>
      </c>
      <c r="K30" s="704"/>
      <c r="L30" s="697">
        <f>SUM(L19-L28)</f>
        <v>-81687</v>
      </c>
      <c r="M30" s="704"/>
      <c r="N30" s="697">
        <f>SUM(N19-N28)</f>
        <v>-1774093</v>
      </c>
    </row>
    <row r="31" spans="2:18" ht="15.75">
      <c r="B31" s="276"/>
      <c r="C31" s="303"/>
      <c r="E31" s="303"/>
      <c r="F31" s="294"/>
      <c r="G31" s="294"/>
      <c r="H31" s="294"/>
      <c r="I31" s="303"/>
      <c r="J31" s="294"/>
      <c r="K31" s="303"/>
      <c r="L31" s="294"/>
      <c r="M31" s="303"/>
      <c r="N31" s="294"/>
    </row>
    <row r="32" spans="2:18" ht="15.75">
      <c r="B32" s="308" t="s">
        <v>1109</v>
      </c>
      <c r="C32" s="303"/>
      <c r="E32" s="303"/>
      <c r="F32" s="294"/>
      <c r="G32" s="294"/>
      <c r="H32" s="294"/>
      <c r="I32" s="303"/>
      <c r="J32" s="294"/>
      <c r="K32" s="303"/>
      <c r="L32" s="294"/>
      <c r="M32" s="303"/>
      <c r="N32" s="294"/>
    </row>
    <row r="33" spans="2:16" ht="15.75">
      <c r="B33" s="276" t="str">
        <f>INPUT!B12</f>
        <v xml:space="preserve">     Intergovernmental</v>
      </c>
      <c r="C33" s="276"/>
      <c r="E33" s="303"/>
      <c r="F33" s="294">
        <f>+INPUT!CG12</f>
        <v>0</v>
      </c>
      <c r="G33" s="294"/>
      <c r="H33" s="294">
        <f>+INPUT!CC12</f>
        <v>19350</v>
      </c>
      <c r="I33" s="303"/>
      <c r="J33" s="294">
        <f>+'ENT IS'!N33</f>
        <v>0</v>
      </c>
      <c r="K33" s="303"/>
      <c r="L33" s="294">
        <f>+SUM(C33:J33)</f>
        <v>19350</v>
      </c>
      <c r="M33" s="303"/>
      <c r="N33" s="296">
        <f>+'IS IS'!T32</f>
        <v>0</v>
      </c>
    </row>
    <row r="34" spans="2:16" ht="15.75" hidden="1">
      <c r="B34" s="276"/>
      <c r="C34" s="276"/>
      <c r="E34" s="303"/>
      <c r="F34" s="294"/>
      <c r="G34" s="294"/>
      <c r="H34" s="294"/>
      <c r="I34" s="303"/>
      <c r="J34" s="294"/>
      <c r="K34" s="303"/>
      <c r="L34" s="294"/>
      <c r="M34" s="303"/>
      <c r="N34" s="296"/>
      <c r="P34" s="391"/>
    </row>
    <row r="35" spans="2:16" ht="15.75">
      <c r="B35" s="276" t="s">
        <v>1110</v>
      </c>
      <c r="C35" s="303"/>
      <c r="E35" s="303"/>
      <c r="F35" s="294">
        <f>+INPUT!CG16</f>
        <v>132256</v>
      </c>
      <c r="G35" s="294"/>
      <c r="H35" s="294">
        <f>+INPUT!CC16</f>
        <v>11854</v>
      </c>
      <c r="I35" s="303"/>
      <c r="J35" s="294">
        <f>+'ENT IS'!N35</f>
        <v>37354</v>
      </c>
      <c r="K35" s="303"/>
      <c r="L35" s="294">
        <f>+SUM(C35:J35)</f>
        <v>181464</v>
      </c>
      <c r="M35" s="303"/>
      <c r="N35" s="296">
        <f>+'IS IS'!T33</f>
        <v>186783</v>
      </c>
    </row>
    <row r="36" spans="2:16" ht="15.75">
      <c r="B36" s="276" t="str">
        <f>INPUT!B37</f>
        <v xml:space="preserve">     Interest expense</v>
      </c>
      <c r="C36" s="303"/>
      <c r="E36" s="303"/>
      <c r="F36" s="294">
        <f>-+INPUT!CG37</f>
        <v>-23768</v>
      </c>
      <c r="G36" s="294"/>
      <c r="H36" s="294">
        <f>-+INPUT!CC37</f>
        <v>0</v>
      </c>
      <c r="I36" s="303"/>
      <c r="J36" s="294">
        <f>+'ENT IS'!N36</f>
        <v>0</v>
      </c>
      <c r="K36" s="303"/>
      <c r="L36" s="294">
        <f>+SUM(C36:J36)</f>
        <v>-23768</v>
      </c>
      <c r="M36" s="303"/>
      <c r="N36" s="296">
        <f>+'IS IS'!T34</f>
        <v>-4540</v>
      </c>
    </row>
    <row r="37" spans="2:16" ht="15.75" hidden="1">
      <c r="B37" s="276" t="str">
        <f>INPUT!B36</f>
        <v xml:space="preserve">     Amortization of revenue bond issuance costs</v>
      </c>
      <c r="C37" s="303"/>
      <c r="E37" s="303"/>
      <c r="F37" s="294">
        <f>-INPUT!CG36</f>
        <v>0</v>
      </c>
      <c r="G37" s="294"/>
      <c r="H37" s="294">
        <f>-INPUT!CC36</f>
        <v>0</v>
      </c>
      <c r="I37" s="303"/>
      <c r="J37" s="294">
        <v>0</v>
      </c>
      <c r="K37" s="303"/>
      <c r="L37" s="294">
        <f>SUM(C37:J37)</f>
        <v>0</v>
      </c>
      <c r="M37" s="303"/>
      <c r="N37" s="296">
        <f>-'IS IS'!T35</f>
        <v>0</v>
      </c>
    </row>
    <row r="38" spans="2:16" ht="15.75" hidden="1">
      <c r="B38" s="276"/>
      <c r="C38" s="303"/>
      <c r="E38" s="303"/>
      <c r="F38" s="294"/>
      <c r="G38" s="294"/>
      <c r="H38" s="294"/>
      <c r="I38" s="303"/>
      <c r="J38" s="294"/>
      <c r="K38" s="303"/>
      <c r="L38" s="294">
        <f>SUM(C38:J38)</f>
        <v>0</v>
      </c>
      <c r="M38" s="303"/>
      <c r="N38" s="296"/>
    </row>
    <row r="39" spans="2:16" ht="15.75" hidden="1">
      <c r="B39" s="276" t="str">
        <f>INPUT!B50</f>
        <v xml:space="preserve">     Issuance of long-term debt</v>
      </c>
      <c r="C39" s="303"/>
      <c r="E39" s="303"/>
      <c r="F39" s="294">
        <f>+INPUT!CG50</f>
        <v>0</v>
      </c>
      <c r="G39" s="294"/>
      <c r="H39" s="294">
        <f>+INPUT!CC50</f>
        <v>0</v>
      </c>
      <c r="I39" s="303"/>
      <c r="J39" s="294">
        <f>+'ENT IS'!N39</f>
        <v>0</v>
      </c>
      <c r="K39" s="303"/>
      <c r="L39" s="294">
        <f>+SUM(C39:J39)</f>
        <v>0</v>
      </c>
      <c r="M39" s="303"/>
      <c r="N39" s="296">
        <f>+'IS IS'!T36</f>
        <v>0</v>
      </c>
    </row>
    <row r="40" spans="2:16" ht="15.75" hidden="1">
      <c r="B40" s="276" t="str">
        <f>INPUT!B51</f>
        <v xml:space="preserve">     Premium on long-term debt issue</v>
      </c>
      <c r="C40" s="303"/>
      <c r="E40" s="303"/>
      <c r="F40" s="294">
        <f>+INPUT!CG51</f>
        <v>0</v>
      </c>
      <c r="G40" s="294"/>
      <c r="H40" s="294">
        <f>+INPUT!CC51</f>
        <v>0</v>
      </c>
      <c r="I40" s="303"/>
      <c r="J40" s="294">
        <f>+'ENT IS'!N41</f>
        <v>0</v>
      </c>
      <c r="K40" s="303"/>
      <c r="L40" s="294">
        <f>+SUM(C40:J40)</f>
        <v>0</v>
      </c>
      <c r="M40" s="303"/>
      <c r="N40" s="296">
        <v>0</v>
      </c>
    </row>
    <row r="41" spans="2:16" ht="15.75" hidden="1">
      <c r="B41" s="321" t="s">
        <v>1277</v>
      </c>
      <c r="C41" s="303"/>
      <c r="E41" s="303"/>
      <c r="F41" s="294">
        <f>+INPUT!CG54</f>
        <v>0</v>
      </c>
      <c r="G41" s="294"/>
      <c r="H41" s="294">
        <f>+INPUT!CC54</f>
        <v>0</v>
      </c>
      <c r="I41" s="303"/>
      <c r="J41" s="294">
        <f>+'ENT IS'!N41</f>
        <v>0</v>
      </c>
      <c r="K41" s="303"/>
      <c r="L41" s="294">
        <f>SUM(C41:J41)</f>
        <v>0</v>
      </c>
      <c r="M41" s="303"/>
      <c r="N41" s="294">
        <f>+'IS IS'!T37</f>
        <v>0</v>
      </c>
    </row>
    <row r="42" spans="2:16" ht="15.75" hidden="1">
      <c r="B42" s="276" t="s">
        <v>1654</v>
      </c>
      <c r="C42" s="303"/>
      <c r="E42" s="303"/>
      <c r="F42" s="294">
        <v>0</v>
      </c>
      <c r="G42" s="294"/>
      <c r="H42" s="294">
        <v>0</v>
      </c>
      <c r="I42" s="303"/>
      <c r="J42" s="294">
        <v>0</v>
      </c>
      <c r="K42" s="303"/>
      <c r="L42" s="294">
        <f>SUM(C42:J42)</f>
        <v>0</v>
      </c>
      <c r="M42" s="303"/>
      <c r="N42" s="294">
        <v>0</v>
      </c>
    </row>
    <row r="43" spans="2:16" hidden="1"/>
    <row r="44" spans="2:16" ht="15.75">
      <c r="B44" s="276"/>
      <c r="C44" s="303"/>
      <c r="E44" s="303"/>
      <c r="F44" s="337"/>
      <c r="G44" s="294"/>
      <c r="H44" s="337"/>
      <c r="I44" s="303"/>
      <c r="J44" s="337"/>
      <c r="K44" s="303"/>
      <c r="L44" s="337"/>
      <c r="M44" s="303"/>
      <c r="N44" s="337"/>
    </row>
    <row r="45" spans="2:16" ht="15.75">
      <c r="B45" s="308" t="s">
        <v>2576</v>
      </c>
      <c r="C45" s="303"/>
      <c r="E45" s="704"/>
      <c r="F45" s="706">
        <f>SUM(F33:F44)</f>
        <v>108488</v>
      </c>
      <c r="G45" s="704"/>
      <c r="H45" s="706">
        <f>SUM(H33:H44)</f>
        <v>31204</v>
      </c>
      <c r="I45" s="704"/>
      <c r="J45" s="706">
        <f>SUM(J33:J44)</f>
        <v>37354</v>
      </c>
      <c r="K45" s="704"/>
      <c r="L45" s="706">
        <f>SUM(L33:L44)</f>
        <v>177046</v>
      </c>
      <c r="M45" s="704"/>
      <c r="N45" s="706">
        <f>SUM(N33:N44)</f>
        <v>182243</v>
      </c>
    </row>
    <row r="46" spans="2:16" ht="15.75">
      <c r="B46" s="276"/>
      <c r="C46" s="303"/>
      <c r="E46" s="303"/>
      <c r="F46" s="294"/>
      <c r="G46" s="294"/>
      <c r="H46" s="294"/>
      <c r="I46" s="294"/>
      <c r="J46" s="294"/>
      <c r="K46" s="294"/>
      <c r="L46" s="294"/>
      <c r="M46" s="294"/>
      <c r="N46" s="294"/>
    </row>
    <row r="47" spans="2:16" ht="15.75">
      <c r="B47" s="308" t="s">
        <v>2752</v>
      </c>
      <c r="C47" s="303"/>
      <c r="E47" s="704"/>
      <c r="F47" s="697">
        <f>SUM(F30+F45)</f>
        <v>282858</v>
      </c>
      <c r="G47" s="697"/>
      <c r="H47" s="697">
        <f>SUM(H30+H45)</f>
        <v>-179881</v>
      </c>
      <c r="I47" s="697"/>
      <c r="J47" s="697">
        <f>SUM(J30+J45)</f>
        <v>-7618</v>
      </c>
      <c r="K47" s="697"/>
      <c r="L47" s="697">
        <f>SUM(L30+L45)</f>
        <v>95359</v>
      </c>
      <c r="M47" s="697"/>
      <c r="N47" s="697">
        <f>SUM(N30+N45)</f>
        <v>-1591850</v>
      </c>
    </row>
    <row r="48" spans="2:16" ht="15.75">
      <c r="B48" s="308" t="s">
        <v>2751</v>
      </c>
      <c r="C48" s="308"/>
      <c r="E48" s="707"/>
      <c r="F48" s="715"/>
      <c r="G48" s="715"/>
      <c r="H48" s="715"/>
      <c r="I48" s="707"/>
      <c r="J48" s="715"/>
      <c r="K48" s="707"/>
      <c r="L48" s="715"/>
      <c r="M48" s="707"/>
      <c r="N48" s="715"/>
    </row>
    <row r="49" spans="2:16" ht="15.75" hidden="1">
      <c r="B49" s="276" t="str">
        <f>INPUT!B56</f>
        <v xml:space="preserve">     Capital contributions</v>
      </c>
      <c r="C49" s="303"/>
      <c r="E49" s="303"/>
      <c r="F49" s="294">
        <f>+INPUT!CG56</f>
        <v>0</v>
      </c>
      <c r="G49" s="294"/>
      <c r="H49" s="294">
        <f>+INPUT!CC56</f>
        <v>0</v>
      </c>
      <c r="I49" s="303"/>
      <c r="J49" s="294">
        <f>+'ENT IS'!N49</f>
        <v>0</v>
      </c>
      <c r="K49" s="303"/>
      <c r="L49" s="294">
        <f>SUM(C49:J49)</f>
        <v>0</v>
      </c>
      <c r="M49" s="303"/>
      <c r="N49" s="294">
        <f>+'IS IS'!T44</f>
        <v>0</v>
      </c>
      <c r="P49" s="391" t="s">
        <v>3331</v>
      </c>
    </row>
    <row r="50" spans="2:16" ht="15.75">
      <c r="B50" s="276" t="s">
        <v>1213</v>
      </c>
      <c r="C50" s="303"/>
      <c r="E50" s="303"/>
      <c r="F50" s="294">
        <f>+INPUT!CG46</f>
        <v>82</v>
      </c>
      <c r="G50" s="294"/>
      <c r="H50" s="294">
        <f>+INPUT!CC46</f>
        <v>50000</v>
      </c>
      <c r="I50" s="303"/>
      <c r="J50" s="294">
        <f>+'ENT IS'!N50</f>
        <v>0</v>
      </c>
      <c r="K50" s="303"/>
      <c r="L50" s="294">
        <f>+SUM(C50:J50)</f>
        <v>50082</v>
      </c>
      <c r="M50" s="303"/>
      <c r="N50" s="294">
        <f>+'IS IS'!T45</f>
        <v>2156877</v>
      </c>
    </row>
    <row r="51" spans="2:16" ht="15.75">
      <c r="B51" s="276" t="s">
        <v>1214</v>
      </c>
      <c r="C51" s="303"/>
      <c r="E51" s="303"/>
      <c r="F51" s="294">
        <f>+INPUT!CG47</f>
        <v>-2545</v>
      </c>
      <c r="G51" s="294"/>
      <c r="H51" s="294">
        <f>+INPUT!CC47</f>
        <v>0</v>
      </c>
      <c r="I51" s="303"/>
      <c r="J51" s="294">
        <f>+'ENT IS'!N51</f>
        <v>-82</v>
      </c>
      <c r="K51" s="303"/>
      <c r="L51" s="294">
        <f>+SUM(C51:J51)</f>
        <v>-2627</v>
      </c>
      <c r="M51" s="303"/>
      <c r="N51" s="296">
        <f>+'IS IS'!T46</f>
        <v>-566057</v>
      </c>
    </row>
    <row r="52" spans="2:16" ht="15.75">
      <c r="B52" s="276"/>
      <c r="C52" s="303"/>
      <c r="E52" s="303"/>
      <c r="F52" s="337"/>
      <c r="G52" s="294"/>
      <c r="H52" s="337"/>
      <c r="I52" s="303"/>
      <c r="J52" s="337"/>
      <c r="K52" s="303"/>
      <c r="L52" s="337"/>
      <c r="M52" s="303"/>
      <c r="N52" s="337"/>
    </row>
    <row r="53" spans="2:16" ht="15.75">
      <c r="B53" s="308" t="s">
        <v>1678</v>
      </c>
      <c r="C53" s="303"/>
      <c r="E53" s="704"/>
      <c r="F53" s="697">
        <f>SUM(F47:F52)</f>
        <v>280395</v>
      </c>
      <c r="G53" s="697"/>
      <c r="H53" s="697">
        <f>SUM(H47:H52)</f>
        <v>-129881</v>
      </c>
      <c r="I53" s="704"/>
      <c r="J53" s="697">
        <f>SUM(J47:J52)</f>
        <v>-7700</v>
      </c>
      <c r="K53" s="704"/>
      <c r="L53" s="697">
        <f>SUM(L47:L52)</f>
        <v>142814</v>
      </c>
      <c r="M53" s="704"/>
      <c r="N53" s="697">
        <f>SUM(N47:N52)</f>
        <v>-1030</v>
      </c>
    </row>
    <row r="54" spans="2:16" ht="15.75">
      <c r="B54" s="276"/>
      <c r="C54" s="303"/>
      <c r="E54" s="303"/>
      <c r="F54" s="294"/>
      <c r="G54" s="294"/>
      <c r="H54" s="294"/>
      <c r="I54" s="294"/>
      <c r="J54" s="294"/>
      <c r="K54" s="294"/>
      <c r="L54" s="294"/>
      <c r="M54" s="294"/>
      <c r="N54" s="294"/>
      <c r="O54" s="294"/>
    </row>
    <row r="55" spans="2:16" ht="15.75" hidden="1">
      <c r="B55" s="276" t="str">
        <f>INPUT!B65</f>
        <v xml:space="preserve">     Add back depreciation that reduces contributed capital</v>
      </c>
      <c r="C55" s="303"/>
      <c r="E55" s="303"/>
      <c r="F55" s="294">
        <f>+INPUT!CG65</f>
        <v>0</v>
      </c>
      <c r="G55" s="294"/>
      <c r="H55" s="294">
        <f>+INPUT!CC65</f>
        <v>0</v>
      </c>
      <c r="I55" s="303"/>
      <c r="J55" s="294">
        <f>+'ENT IS'!N55</f>
        <v>0</v>
      </c>
      <c r="K55" s="303"/>
      <c r="L55" s="294">
        <f>+SUM(C55:J55)</f>
        <v>0</v>
      </c>
      <c r="M55" s="303"/>
      <c r="N55" s="296">
        <f>+'IS IS'!T51</f>
        <v>0</v>
      </c>
    </row>
    <row r="56" spans="2:16" ht="15.75" hidden="1">
      <c r="B56" s="276"/>
      <c r="C56" s="303"/>
      <c r="E56" s="303"/>
      <c r="F56" s="294"/>
      <c r="G56" s="294"/>
      <c r="H56" s="294"/>
      <c r="I56" s="303"/>
      <c r="J56" s="294"/>
      <c r="K56" s="303"/>
      <c r="L56" s="294"/>
      <c r="M56" s="303"/>
      <c r="N56" s="294"/>
    </row>
    <row r="57" spans="2:16" ht="15.75">
      <c r="B57" s="276" t="s">
        <v>1679</v>
      </c>
      <c r="C57" s="303"/>
      <c r="E57" s="303"/>
      <c r="F57" s="294">
        <f>+INPUT!CG63</f>
        <v>6919318</v>
      </c>
      <c r="G57" s="294"/>
      <c r="H57" s="294">
        <f>+INPUT!CC63</f>
        <v>7911118</v>
      </c>
      <c r="I57" s="303"/>
      <c r="J57" s="294">
        <f>+'ENT IS'!N57</f>
        <v>1627534</v>
      </c>
      <c r="K57" s="303"/>
      <c r="L57" s="294">
        <f>+SUM(C57:J57)</f>
        <v>16457970</v>
      </c>
      <c r="M57" s="303"/>
      <c r="N57" s="296">
        <f>+'IS IS'!T53</f>
        <v>5800890</v>
      </c>
    </row>
    <row r="58" spans="2:16" ht="6" customHeight="1">
      <c r="B58" s="276"/>
      <c r="C58" s="303"/>
      <c r="E58" s="303"/>
      <c r="F58" s="294"/>
      <c r="G58" s="294"/>
      <c r="H58" s="294"/>
      <c r="I58" s="303"/>
      <c r="J58" s="294"/>
      <c r="K58" s="303"/>
      <c r="L58" s="294"/>
      <c r="M58" s="303"/>
      <c r="N58" s="294"/>
    </row>
    <row r="59" spans="2:16" ht="15.75" hidden="1" customHeight="1">
      <c r="B59" s="276" t="str">
        <f>INPUT!B66</f>
        <v xml:space="preserve">     Prior period adjustments</v>
      </c>
      <c r="C59" s="303"/>
      <c r="E59" s="303"/>
      <c r="F59" s="317">
        <f>+INPUT!CG66</f>
        <v>0</v>
      </c>
      <c r="G59" s="294"/>
      <c r="H59" s="317">
        <f>+INPUT!CC66</f>
        <v>0</v>
      </c>
      <c r="I59" s="303"/>
      <c r="J59" s="317">
        <f>+'ENT IS'!N59</f>
        <v>0</v>
      </c>
      <c r="K59" s="303"/>
      <c r="L59" s="317">
        <f>SUM(C59:J59)</f>
        <v>0</v>
      </c>
      <c r="M59" s="303"/>
      <c r="N59" s="317">
        <f>+'IS IS'!T55</f>
        <v>0</v>
      </c>
    </row>
    <row r="60" spans="2:16" ht="15.75" hidden="1" customHeight="1">
      <c r="B60" s="276"/>
      <c r="C60" s="303"/>
      <c r="E60" s="303"/>
      <c r="F60" s="294"/>
      <c r="G60" s="294"/>
      <c r="H60" s="294"/>
      <c r="I60" s="303"/>
      <c r="J60" s="294"/>
      <c r="K60" s="303"/>
      <c r="L60" s="294"/>
      <c r="M60" s="303"/>
      <c r="N60" s="294"/>
    </row>
    <row r="61" spans="2:16" ht="15.75" hidden="1" customHeight="1">
      <c r="B61" s="308" t="str">
        <f>INPUT!B69</f>
        <v xml:space="preserve">     Total net position, beginning, as restated</v>
      </c>
      <c r="C61" s="319"/>
      <c r="E61" s="319"/>
      <c r="F61" s="300">
        <f>SUM(F57+F59)</f>
        <v>6919318</v>
      </c>
      <c r="G61" s="300"/>
      <c r="H61" s="300">
        <f>SUM(H57+H59)</f>
        <v>7911118</v>
      </c>
      <c r="I61" s="319"/>
      <c r="J61" s="300">
        <f>SUM(J57+J59)</f>
        <v>1627534</v>
      </c>
      <c r="K61" s="319"/>
      <c r="L61" s="300">
        <f>SUM(L57+L59)</f>
        <v>16457970</v>
      </c>
      <c r="M61" s="319"/>
      <c r="N61" s="300">
        <f>SUM(N57+N59)</f>
        <v>5800890</v>
      </c>
    </row>
    <row r="62" spans="2:16" ht="15.75" customHeight="1">
      <c r="B62" s="276"/>
      <c r="C62" s="303"/>
      <c r="E62" s="303"/>
      <c r="F62" s="294"/>
      <c r="G62" s="294"/>
      <c r="H62" s="294"/>
      <c r="I62" s="303"/>
      <c r="J62" s="294"/>
      <c r="K62" s="303"/>
      <c r="L62" s="294"/>
      <c r="M62" s="303"/>
      <c r="N62" s="294"/>
    </row>
    <row r="63" spans="2:16" ht="15.75" hidden="1">
      <c r="B63" s="276" t="str">
        <f>INPUT!B71</f>
        <v xml:space="preserve">     Residual equity transfers</v>
      </c>
      <c r="C63" s="303"/>
      <c r="E63" s="303"/>
      <c r="F63" s="294">
        <f>+INPUT!CG71</f>
        <v>0</v>
      </c>
      <c r="G63" s="294"/>
      <c r="H63" s="294">
        <f>+INPUT!CC71</f>
        <v>0</v>
      </c>
      <c r="I63" s="303"/>
      <c r="J63" s="294">
        <f>+'ENT IS'!N63</f>
        <v>0</v>
      </c>
      <c r="K63" s="303"/>
      <c r="L63" s="317">
        <f>SUM(C63:J63)</f>
        <v>0</v>
      </c>
      <c r="M63" s="303"/>
      <c r="N63" s="317">
        <f>+'IS IS'!T59</f>
        <v>0</v>
      </c>
    </row>
    <row r="64" spans="2:16" ht="15.75" hidden="1">
      <c r="B64" s="276"/>
      <c r="C64" s="303"/>
      <c r="E64" s="303"/>
      <c r="F64" s="337"/>
      <c r="G64" s="294"/>
      <c r="H64" s="337"/>
      <c r="I64" s="303"/>
      <c r="J64" s="337"/>
      <c r="K64" s="303"/>
      <c r="L64" s="337"/>
      <c r="M64" s="303"/>
      <c r="N64" s="337"/>
    </row>
    <row r="65" spans="2:14" ht="18" customHeight="1" thickBot="1">
      <c r="B65" s="276" t="str">
        <f>INPUT!B74</f>
        <v xml:space="preserve">     Total net position, ending</v>
      </c>
      <c r="C65" s="303"/>
      <c r="E65" s="704"/>
      <c r="F65" s="698">
        <f>SUM(F53+F55+F61+F63)</f>
        <v>7199713</v>
      </c>
      <c r="G65" s="705"/>
      <c r="H65" s="698">
        <f>SUM(H53+H55+H61+H63)</f>
        <v>7781237</v>
      </c>
      <c r="I65" s="704"/>
      <c r="J65" s="698">
        <f>SUM(J53+J55+J61+J63)</f>
        <v>1619834</v>
      </c>
      <c r="K65" s="704"/>
      <c r="L65" s="698">
        <f>SUM(L53+L55+L61+L63)</f>
        <v>16600784</v>
      </c>
      <c r="M65" s="704"/>
      <c r="N65" s="698">
        <f>SUM(N53+N55+N61+N63)</f>
        <v>5799860</v>
      </c>
    </row>
    <row r="66" spans="2:14" ht="16.5" thickTop="1">
      <c r="B66" s="350"/>
      <c r="C66" s="276"/>
      <c r="E66" s="276"/>
      <c r="F66" s="276"/>
      <c r="G66" s="276"/>
      <c r="H66" s="276"/>
      <c r="I66" s="276"/>
      <c r="J66" s="276"/>
      <c r="K66" s="276"/>
      <c r="L66" s="276"/>
      <c r="M66" s="276"/>
    </row>
    <row r="68" spans="2:14">
      <c r="B68" s="391" t="s">
        <v>2032</v>
      </c>
      <c r="F68" s="391">
        <v>6919318</v>
      </c>
      <c r="H68" s="391">
        <v>7911118</v>
      </c>
      <c r="J68" s="391">
        <v>1627534</v>
      </c>
      <c r="L68" s="288">
        <f>SUM(F68:K68)</f>
        <v>16457970</v>
      </c>
      <c r="N68" s="391">
        <v>5800890</v>
      </c>
    </row>
    <row r="69" spans="2:14">
      <c r="B69" s="391" t="s">
        <v>3456</v>
      </c>
      <c r="F69" s="288">
        <f>+F68-F57</f>
        <v>0</v>
      </c>
      <c r="H69" s="288">
        <f>+H68-H57</f>
        <v>0</v>
      </c>
      <c r="J69" s="304">
        <f>+J68-J57</f>
        <v>0</v>
      </c>
      <c r="L69" s="288">
        <f>+L68-L57</f>
        <v>0</v>
      </c>
      <c r="N69" s="288">
        <f>+N68-N57</f>
        <v>0</v>
      </c>
    </row>
    <row r="71" spans="2:14">
      <c r="J71" s="304"/>
    </row>
    <row r="81" spans="2:10">
      <c r="B81" s="373" t="s">
        <v>506</v>
      </c>
      <c r="D81" s="373" t="s">
        <v>957</v>
      </c>
      <c r="E81" s="373"/>
      <c r="F81" s="373" t="s">
        <v>942</v>
      </c>
      <c r="G81" s="373"/>
      <c r="H81" s="373"/>
      <c r="I81" s="373"/>
    </row>
    <row r="82" spans="2:10">
      <c r="B82" s="288" t="s">
        <v>1086</v>
      </c>
      <c r="D82" s="288">
        <f>+'ENT IS'!D19+'ENT IS'!D35+'ENT IS'!D50+'ENT IS'!D42</f>
        <v>0</v>
      </c>
      <c r="F82" s="288">
        <f>+PROPREV!F19+F33+PROPREV!F35+F49+PROPREV!F50+F41</f>
        <v>1488603</v>
      </c>
    </row>
    <row r="84" spans="2:10">
      <c r="B84" s="288" t="s">
        <v>1087</v>
      </c>
      <c r="D84" s="288">
        <f>+'ENT IS'!D28-'ENT IS'!D26</f>
        <v>0</v>
      </c>
      <c r="F84" s="288">
        <f>+PROPREV!F28-PROPREV!F26</f>
        <v>801556</v>
      </c>
      <c r="J84" s="288">
        <f>18500-15181</f>
        <v>3319</v>
      </c>
    </row>
    <row r="86" spans="2:10">
      <c r="B86" s="330" t="s">
        <v>958</v>
      </c>
      <c r="D86" s="288">
        <f>+D82-D84</f>
        <v>0</v>
      </c>
      <c r="F86" s="288">
        <f>+F82-F84</f>
        <v>687047</v>
      </c>
      <c r="J86" s="288">
        <f>+F86+50000+15000</f>
        <v>752047</v>
      </c>
    </row>
    <row r="90" spans="2:10">
      <c r="B90" s="288" t="s">
        <v>405</v>
      </c>
      <c r="D90" s="474"/>
      <c r="E90" s="474" t="s">
        <v>336</v>
      </c>
      <c r="F90" s="474">
        <v>98091</v>
      </c>
      <c r="G90" s="475" t="s">
        <v>613</v>
      </c>
      <c r="H90" s="327" t="s">
        <v>120</v>
      </c>
      <c r="J90" s="288">
        <f>+F90*1.25</f>
        <v>122613.75</v>
      </c>
    </row>
    <row r="91" spans="2:10">
      <c r="H91" s="327" t="s">
        <v>794</v>
      </c>
    </row>
    <row r="92" spans="2:10">
      <c r="B92" s="288" t="s">
        <v>406</v>
      </c>
      <c r="D92" s="476" t="e">
        <f>+D86/D90</f>
        <v>#DIV/0!</v>
      </c>
      <c r="E92" s="476"/>
      <c r="F92" s="476">
        <f>+F86/F90</f>
        <v>7.0041797922337423</v>
      </c>
      <c r="G92" s="476"/>
      <c r="H92" s="477" t="s">
        <v>795</v>
      </c>
      <c r="I92" s="476"/>
      <c r="J92" s="604" t="s">
        <v>2747</v>
      </c>
    </row>
    <row r="93" spans="2:10">
      <c r="H93" s="477"/>
    </row>
    <row r="94" spans="2:10">
      <c r="B94" s="288" t="s">
        <v>943</v>
      </c>
      <c r="D94" s="433">
        <v>1.1000000000000001</v>
      </c>
      <c r="E94" s="433"/>
      <c r="F94" s="433">
        <v>1.25</v>
      </c>
      <c r="G94" s="433"/>
      <c r="H94" s="433"/>
      <c r="I94" s="433"/>
    </row>
    <row r="96" spans="2:10">
      <c r="G96" s="474" t="s">
        <v>336</v>
      </c>
      <c r="H96" s="327" t="s">
        <v>120</v>
      </c>
    </row>
    <row r="97" spans="2:14">
      <c r="H97" s="327" t="s">
        <v>1285</v>
      </c>
    </row>
    <row r="98" spans="2:14">
      <c r="H98" s="477" t="s">
        <v>1286</v>
      </c>
    </row>
    <row r="99" spans="2:14">
      <c r="J99" s="478" t="s">
        <v>1612</v>
      </c>
    </row>
    <row r="100" spans="2:14">
      <c r="D100" s="288">
        <f>+D86-D90</f>
        <v>0</v>
      </c>
    </row>
    <row r="105" spans="2:14">
      <c r="B105" s="288" t="s">
        <v>1667</v>
      </c>
    </row>
    <row r="106" spans="2:14" ht="15.75">
      <c r="B106" s="479" t="s">
        <v>445</v>
      </c>
      <c r="C106" s="479"/>
      <c r="D106" s="480">
        <v>3929988</v>
      </c>
      <c r="E106" s="479"/>
      <c r="F106" s="480">
        <v>1269828</v>
      </c>
      <c r="G106" s="480"/>
      <c r="H106" s="480">
        <v>793348</v>
      </c>
      <c r="I106" s="479"/>
      <c r="J106" s="480">
        <v>1622227</v>
      </c>
      <c r="K106" s="479"/>
      <c r="L106" s="480">
        <v>7615391</v>
      </c>
      <c r="M106" s="479"/>
      <c r="N106" s="480">
        <v>10138033</v>
      </c>
    </row>
    <row r="107" spans="2:14" ht="15.75">
      <c r="B107" s="479" t="s">
        <v>974</v>
      </c>
      <c r="C107" s="481"/>
      <c r="D107" s="482">
        <v>469678</v>
      </c>
      <c r="E107" s="481"/>
      <c r="F107" s="482">
        <v>0</v>
      </c>
      <c r="G107" s="483"/>
      <c r="H107" s="482">
        <v>0</v>
      </c>
      <c r="I107" s="481"/>
      <c r="J107" s="482">
        <v>0</v>
      </c>
      <c r="K107" s="481"/>
      <c r="L107" s="482">
        <v>469678</v>
      </c>
      <c r="M107" s="481"/>
      <c r="N107" s="482">
        <v>104375</v>
      </c>
    </row>
    <row r="109" spans="2:14" ht="16.5" thickBot="1">
      <c r="D109" s="473">
        <f>+'ENT IS'!D16-D106</f>
        <v>-3929988</v>
      </c>
      <c r="F109" s="473">
        <f>+F16-F106</f>
        <v>86437</v>
      </c>
      <c r="H109" s="473">
        <f>+H16-H106</f>
        <v>464129</v>
      </c>
      <c r="J109" s="473">
        <f>+J16-J106</f>
        <v>120950</v>
      </c>
      <c r="N109" s="473">
        <f>+N16-N106</f>
        <v>2126645</v>
      </c>
    </row>
    <row r="110" spans="2:14" ht="16.5" thickTop="1">
      <c r="D110" s="370">
        <f>+D109/D107</f>
        <v>-8.3674091611699932</v>
      </c>
      <c r="F110" s="281" t="e">
        <f>+F109/F107</f>
        <v>#DIV/0!</v>
      </c>
      <c r="H110" s="370" t="e">
        <f>+H109/H107</f>
        <v>#DIV/0!</v>
      </c>
      <c r="J110" s="370" t="e">
        <f>+J109/J107</f>
        <v>#DIV/0!</v>
      </c>
      <c r="N110" s="370">
        <f>+N109/N107</f>
        <v>20.375041916167664</v>
      </c>
    </row>
    <row r="112" spans="2:14" ht="16.5" thickBot="1">
      <c r="D112" s="473">
        <f>+'ENT IS'!D17-D107</f>
        <v>-469678</v>
      </c>
      <c r="F112" s="473">
        <f>+F17-F107</f>
        <v>0</v>
      </c>
      <c r="H112" s="473">
        <f>+H17-H107</f>
        <v>0</v>
      </c>
      <c r="J112" s="473">
        <f>+J17-J107</f>
        <v>0</v>
      </c>
      <c r="N112" s="473">
        <f>+N17-N107</f>
        <v>1746990</v>
      </c>
    </row>
    <row r="113" spans="1:14" ht="16.5" thickTop="1">
      <c r="D113" s="370">
        <f>+D112/D110</f>
        <v>56131.831365388389</v>
      </c>
      <c r="F113" s="370" t="e">
        <f>+F112/F110</f>
        <v>#DIV/0!</v>
      </c>
      <c r="H113" s="370" t="e">
        <f>+H112/H110</f>
        <v>#DIV/0!</v>
      </c>
      <c r="J113" s="370" t="e">
        <f>+J112/J110</f>
        <v>#DIV/0!</v>
      </c>
      <c r="N113" s="370">
        <f>+N112/N110</f>
        <v>85741.664100026101</v>
      </c>
    </row>
    <row r="121" spans="1:14">
      <c r="A121" s="681" t="s">
        <v>2755</v>
      </c>
      <c r="B121" s="682"/>
      <c r="C121" s="682"/>
      <c r="D121" s="682"/>
      <c r="E121" s="682"/>
      <c r="F121" s="682"/>
      <c r="G121" s="682"/>
      <c r="H121" s="536"/>
    </row>
    <row r="122" spans="1:14">
      <c r="A122" s="537"/>
      <c r="H122" s="539"/>
    </row>
    <row r="123" spans="1:14" ht="30">
      <c r="A123" s="537"/>
      <c r="B123" s="858"/>
      <c r="C123" s="859"/>
      <c r="D123" s="737" t="s">
        <v>2583</v>
      </c>
      <c r="F123" s="867" t="s">
        <v>2583</v>
      </c>
      <c r="H123" s="539"/>
    </row>
    <row r="124" spans="1:14" ht="15">
      <c r="A124" s="537"/>
      <c r="B124" s="860" t="s">
        <v>2584</v>
      </c>
      <c r="C124" s="859"/>
      <c r="D124" s="861">
        <f>F82</f>
        <v>1488603</v>
      </c>
      <c r="F124" s="862">
        <f>+F82</f>
        <v>1488603</v>
      </c>
      <c r="H124" s="539"/>
    </row>
    <row r="125" spans="1:14" ht="15">
      <c r="A125" s="537"/>
      <c r="B125" s="858" t="s">
        <v>2585</v>
      </c>
      <c r="C125" s="859"/>
      <c r="D125" s="738">
        <f>F84</f>
        <v>801556</v>
      </c>
      <c r="F125" s="847">
        <f>+F84</f>
        <v>801556</v>
      </c>
      <c r="H125" s="539"/>
    </row>
    <row r="126" spans="1:14" ht="15.75" thickBot="1">
      <c r="A126" s="537"/>
      <c r="B126" s="860" t="s">
        <v>958</v>
      </c>
      <c r="C126" s="859"/>
      <c r="D126" s="739">
        <f>D124-D125</f>
        <v>687047</v>
      </c>
      <c r="F126" s="377">
        <f>F124-F125</f>
        <v>687047</v>
      </c>
      <c r="H126" s="539"/>
    </row>
    <row r="127" spans="1:14" ht="15.75" thickTop="1">
      <c r="A127" s="537"/>
      <c r="B127" s="860"/>
      <c r="C127" s="859"/>
      <c r="D127" s="863"/>
      <c r="H127" s="539"/>
    </row>
    <row r="128" spans="1:14" ht="15">
      <c r="A128" s="537"/>
      <c r="B128" s="860" t="s">
        <v>2586</v>
      </c>
      <c r="C128" s="859"/>
      <c r="D128" s="861">
        <f>F90</f>
        <v>98091</v>
      </c>
      <c r="F128" s="288">
        <f>+F90</f>
        <v>98091</v>
      </c>
      <c r="H128" s="539"/>
    </row>
    <row r="129" spans="1:8" ht="15">
      <c r="A129" s="537"/>
      <c r="B129" s="860" t="s">
        <v>2587</v>
      </c>
      <c r="C129" s="859"/>
      <c r="D129" s="864">
        <f>D126/D128</f>
        <v>7.0041797922337423</v>
      </c>
      <c r="F129" s="865">
        <f>F126/F128</f>
        <v>7.0041797922337423</v>
      </c>
      <c r="H129" s="539"/>
    </row>
    <row r="130" spans="1:8">
      <c r="A130" s="537"/>
      <c r="H130" s="539"/>
    </row>
    <row r="131" spans="1:8">
      <c r="A131" s="537"/>
      <c r="H131" s="539"/>
    </row>
    <row r="132" spans="1:8">
      <c r="A132" s="537"/>
      <c r="H132" s="539"/>
    </row>
    <row r="133" spans="1:8">
      <c r="A133" s="537"/>
      <c r="H133" s="539"/>
    </row>
    <row r="134" spans="1:8">
      <c r="A134" s="866"/>
      <c r="B134" s="467"/>
      <c r="C134" s="467"/>
      <c r="D134" s="467"/>
      <c r="E134" s="467"/>
      <c r="F134" s="467"/>
      <c r="G134" s="467"/>
      <c r="H134" s="542"/>
    </row>
  </sheetData>
  <phoneticPr fontId="0" type="noConversion"/>
  <printOptions horizontalCentered="1"/>
  <pageMargins left="0.35" right="0.35" top="0.5" bottom="0.75" header="0.5" footer="0.25"/>
  <pageSetup scale="69" firstPageNumber="27" orientation="portrait" useFirstPageNumber="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codeName="Sheet19"/>
  <dimension ref="B1:Z164"/>
  <sheetViews>
    <sheetView showGridLines="0" topLeftCell="A6" zoomScaleNormal="100" workbookViewId="0">
      <selection activeCell="Q53" sqref="Q53"/>
    </sheetView>
  </sheetViews>
  <sheetFormatPr defaultColWidth="9.7109375" defaultRowHeight="12.75"/>
  <cols>
    <col min="1" max="1" width="2.7109375" style="288" customWidth="1"/>
    <col min="2" max="2" width="56.5703125" style="288" customWidth="1"/>
    <col min="3" max="3" width="2.42578125" style="288" customWidth="1"/>
    <col min="4" max="4" width="18.7109375" style="288" hidden="1" customWidth="1"/>
    <col min="5" max="5" width="2.140625" style="288" hidden="1" customWidth="1"/>
    <col min="6" max="6" width="14.28515625" style="288" customWidth="1"/>
    <col min="7" max="7" width="2.28515625" style="288" customWidth="1"/>
    <col min="8" max="8" width="14.7109375" style="288" customWidth="1"/>
    <col min="9" max="9" width="2.28515625" style="288" customWidth="1"/>
    <col min="10" max="10" width="16.7109375" style="288" customWidth="1"/>
    <col min="11" max="11" width="2.28515625" style="288" customWidth="1"/>
    <col min="12" max="12" width="15.85546875" style="288" customWidth="1"/>
    <col min="13" max="13" width="2.28515625" style="288" customWidth="1"/>
    <col min="14" max="14" width="20.7109375" style="288" customWidth="1"/>
    <col min="15" max="15" width="8.5703125" style="288" customWidth="1"/>
    <col min="16" max="21" width="16.7109375" style="288" customWidth="1"/>
    <col min="22" max="22" width="14.28515625" style="288" bestFit="1" customWidth="1"/>
    <col min="23" max="25" width="10.28515625" style="288" bestFit="1" customWidth="1"/>
    <col min="26" max="16384" width="9.7109375" style="288"/>
  </cols>
  <sheetData>
    <row r="1" spans="2:26" ht="12.75" customHeight="1"/>
    <row r="2" spans="2:26" ht="12.75" customHeight="1"/>
    <row r="3" spans="2:26" ht="15.75">
      <c r="B3" s="1313" t="s">
        <v>1049</v>
      </c>
      <c r="C3" s="1313"/>
      <c r="D3" s="1313"/>
      <c r="E3" s="1313"/>
      <c r="F3" s="1313"/>
      <c r="G3" s="1313"/>
      <c r="H3" s="1313"/>
      <c r="I3" s="1313"/>
      <c r="J3" s="1313"/>
      <c r="K3" s="1313"/>
      <c r="L3" s="1313"/>
      <c r="M3" s="1313"/>
      <c r="N3" s="1313"/>
      <c r="O3" s="287"/>
      <c r="P3" s="374"/>
      <c r="Q3" s="374"/>
      <c r="R3" s="374"/>
      <c r="S3" s="374"/>
      <c r="T3" s="374"/>
      <c r="U3" s="374"/>
    </row>
    <row r="4" spans="2:26" ht="15.75">
      <c r="B4" s="1313" t="s">
        <v>374</v>
      </c>
      <c r="C4" s="1327"/>
      <c r="D4" s="1327"/>
      <c r="E4" s="1327"/>
      <c r="F4" s="1327"/>
      <c r="G4" s="1327"/>
      <c r="H4" s="1327"/>
      <c r="I4" s="1327"/>
      <c r="J4" s="1327"/>
      <c r="K4" s="1327"/>
      <c r="L4" s="1327"/>
      <c r="M4" s="1327"/>
      <c r="N4" s="1327"/>
      <c r="O4" s="374"/>
      <c r="P4" s="374"/>
      <c r="Q4" s="374"/>
      <c r="R4" s="374"/>
      <c r="S4" s="374"/>
      <c r="T4" s="374"/>
      <c r="U4" s="374"/>
    </row>
    <row r="5" spans="2:26" ht="15.75">
      <c r="B5" s="1313" t="s">
        <v>1221</v>
      </c>
      <c r="C5" s="1327"/>
      <c r="D5" s="1327"/>
      <c r="E5" s="1327"/>
      <c r="F5" s="1327"/>
      <c r="G5" s="1327"/>
      <c r="H5" s="1327"/>
      <c r="I5" s="1327"/>
      <c r="J5" s="1327"/>
      <c r="K5" s="1327"/>
      <c r="L5" s="1327"/>
      <c r="M5" s="1327"/>
      <c r="N5" s="1327"/>
      <c r="O5" s="374"/>
      <c r="P5" s="374"/>
      <c r="Q5" s="374"/>
      <c r="R5" s="374"/>
      <c r="S5" s="374"/>
      <c r="T5" s="374"/>
      <c r="U5" s="374"/>
    </row>
    <row r="6" spans="2:26" ht="15.75">
      <c r="B6" s="1313" t="str">
        <f>+'Sys INPUT'!B2</f>
        <v>For the  Fiscal Year Ended June 30, 2023</v>
      </c>
      <c r="C6" s="1327"/>
      <c r="D6" s="1327"/>
      <c r="E6" s="1327"/>
      <c r="F6" s="1327"/>
      <c r="G6" s="1327"/>
      <c r="H6" s="1327"/>
      <c r="I6" s="1327"/>
      <c r="J6" s="1327"/>
      <c r="K6" s="1327"/>
      <c r="L6" s="1327"/>
      <c r="M6" s="1327"/>
      <c r="N6" s="1327"/>
      <c r="O6" s="374"/>
      <c r="P6" s="374"/>
      <c r="Q6" s="374"/>
      <c r="R6" s="374"/>
      <c r="S6" s="374"/>
      <c r="T6" s="374"/>
      <c r="U6" s="374"/>
    </row>
    <row r="7" spans="2:26" ht="15.75" hidden="1">
      <c r="B7" s="305"/>
      <c r="C7" s="277"/>
      <c r="D7" s="277"/>
      <c r="E7" s="277"/>
      <c r="F7" s="277"/>
      <c r="G7" s="277"/>
      <c r="H7" s="277"/>
      <c r="I7" s="277"/>
      <c r="J7" s="277"/>
      <c r="K7" s="277"/>
      <c r="L7" s="277"/>
      <c r="M7" s="277"/>
      <c r="N7" s="277"/>
      <c r="O7" s="277"/>
      <c r="P7" s="277"/>
      <c r="Q7" s="277"/>
      <c r="R7" s="277"/>
      <c r="S7" s="277"/>
      <c r="T7" s="277"/>
      <c r="U7" s="277"/>
    </row>
    <row r="8" spans="2:26" ht="15.75" hidden="1">
      <c r="C8" s="277"/>
      <c r="D8" s="277"/>
      <c r="E8" s="277"/>
      <c r="F8" s="277"/>
      <c r="G8" s="277"/>
      <c r="H8" s="277"/>
      <c r="I8" s="277"/>
      <c r="J8" s="277"/>
      <c r="K8" s="277"/>
      <c r="L8" s="277"/>
      <c r="M8" s="277"/>
      <c r="N8" s="277"/>
      <c r="O8" s="277"/>
      <c r="P8" s="277"/>
      <c r="Q8" s="277"/>
      <c r="R8" s="277"/>
      <c r="S8" s="277"/>
      <c r="T8" s="277"/>
      <c r="U8" s="277"/>
    </row>
    <row r="9" spans="2:26" ht="15.75" hidden="1">
      <c r="C9" s="277"/>
      <c r="D9" s="277"/>
      <c r="E9" s="277"/>
      <c r="F9" s="277"/>
      <c r="G9" s="277"/>
      <c r="H9" s="277"/>
      <c r="I9" s="277"/>
      <c r="J9" s="277"/>
      <c r="K9" s="277"/>
      <c r="L9" s="277"/>
      <c r="M9" s="277"/>
      <c r="N9" s="277"/>
      <c r="O9" s="277"/>
      <c r="P9" s="277"/>
      <c r="Q9" s="277"/>
      <c r="R9" s="277"/>
      <c r="S9" s="277"/>
      <c r="T9" s="277"/>
      <c r="U9" s="277"/>
    </row>
    <row r="10" spans="2:26" ht="15.75">
      <c r="B10" s="305"/>
      <c r="C10" s="277"/>
      <c r="D10" s="277"/>
      <c r="E10" s="277"/>
      <c r="F10" s="277"/>
      <c r="G10" s="277"/>
      <c r="H10" s="277"/>
      <c r="I10" s="277"/>
      <c r="J10" s="277"/>
      <c r="K10" s="277"/>
      <c r="L10" s="277"/>
      <c r="M10" s="277"/>
      <c r="N10" s="277"/>
      <c r="O10" s="277"/>
      <c r="P10" s="277"/>
      <c r="Q10" s="277"/>
      <c r="R10" s="277"/>
      <c r="S10" s="277"/>
      <c r="T10" s="277"/>
      <c r="U10" s="277"/>
    </row>
    <row r="11" spans="2:26" ht="15.75">
      <c r="B11" s="305"/>
      <c r="C11" s="357" t="s">
        <v>1222</v>
      </c>
      <c r="D11" s="357"/>
      <c r="E11" s="357"/>
      <c r="F11" s="357"/>
      <c r="G11" s="357"/>
      <c r="H11" s="357"/>
      <c r="I11" s="357"/>
      <c r="J11" s="357"/>
      <c r="K11" s="357"/>
      <c r="L11" s="357"/>
      <c r="M11" s="308"/>
      <c r="N11" s="287" t="s">
        <v>338</v>
      </c>
      <c r="O11" s="287"/>
      <c r="P11" s="287"/>
      <c r="Q11" s="287"/>
      <c r="R11" s="287"/>
      <c r="S11" s="287"/>
      <c r="T11" s="287"/>
      <c r="U11" s="287"/>
    </row>
    <row r="12" spans="2:26" ht="15.75">
      <c r="B12" s="276"/>
      <c r="C12" s="287"/>
      <c r="D12" s="287"/>
      <c r="E12" s="287"/>
      <c r="F12" s="308"/>
      <c r="G12" s="308"/>
      <c r="H12" s="308"/>
      <c r="I12" s="308"/>
      <c r="J12" s="287" t="s">
        <v>956</v>
      </c>
      <c r="K12" s="308"/>
      <c r="L12" s="308"/>
      <c r="M12" s="276"/>
      <c r="N12" s="287" t="s">
        <v>211</v>
      </c>
      <c r="O12" s="287"/>
      <c r="P12" s="287"/>
      <c r="Q12" s="287"/>
      <c r="R12" s="287"/>
      <c r="S12" s="287"/>
      <c r="T12" s="287"/>
      <c r="U12" s="287"/>
    </row>
    <row r="13" spans="2:26" ht="15.75">
      <c r="B13" s="308"/>
      <c r="C13" s="287"/>
      <c r="E13" s="287"/>
      <c r="F13" s="287" t="s">
        <v>517</v>
      </c>
      <c r="G13" s="287"/>
      <c r="H13" s="287" t="s">
        <v>1004</v>
      </c>
      <c r="I13" s="287"/>
      <c r="J13" s="287" t="s">
        <v>71</v>
      </c>
      <c r="K13" s="287"/>
      <c r="L13" s="287"/>
      <c r="M13" s="287"/>
      <c r="N13" s="287" t="s">
        <v>534</v>
      </c>
      <c r="O13" s="287"/>
      <c r="P13" s="287"/>
      <c r="Q13" s="287"/>
      <c r="R13" s="287"/>
      <c r="S13" s="287"/>
      <c r="T13" s="287"/>
      <c r="U13" s="287"/>
    </row>
    <row r="14" spans="2:26" ht="15.75">
      <c r="B14" s="308"/>
      <c r="C14" s="287"/>
      <c r="E14" s="287"/>
      <c r="F14" s="290" t="s">
        <v>194</v>
      </c>
      <c r="G14" s="287"/>
      <c r="H14" s="290" t="s">
        <v>71</v>
      </c>
      <c r="I14" s="287"/>
      <c r="J14" s="290" t="s">
        <v>540</v>
      </c>
      <c r="K14" s="308"/>
      <c r="L14" s="290" t="s">
        <v>315</v>
      </c>
      <c r="M14" s="308"/>
      <c r="N14" s="290" t="s">
        <v>210</v>
      </c>
      <c r="O14" s="287"/>
      <c r="P14" s="287"/>
      <c r="Q14" s="287"/>
      <c r="R14" s="287"/>
      <c r="S14" s="287"/>
      <c r="T14" s="287"/>
      <c r="U14" s="287"/>
    </row>
    <row r="15" spans="2:26" ht="15.75">
      <c r="B15" s="308" t="s">
        <v>148</v>
      </c>
      <c r="C15" s="276"/>
      <c r="E15" s="276"/>
      <c r="F15" s="276"/>
      <c r="G15" s="276"/>
      <c r="H15" s="276"/>
      <c r="I15" s="276"/>
      <c r="J15" s="276"/>
      <c r="K15" s="276"/>
      <c r="L15" s="276"/>
      <c r="M15" s="276"/>
      <c r="N15" s="276"/>
      <c r="O15" s="276"/>
      <c r="P15" s="276"/>
      <c r="Q15" s="276"/>
      <c r="R15" s="276">
        <f>SUM(R16:R17)</f>
        <v>5747293</v>
      </c>
      <c r="S15" s="276">
        <f>+S16+S17</f>
        <v>966150</v>
      </c>
      <c r="T15" s="276">
        <f>+T16+T17</f>
        <v>857979</v>
      </c>
      <c r="U15" s="276">
        <f>+T15+S15</f>
        <v>1824129</v>
      </c>
    </row>
    <row r="16" spans="2:26" ht="15.75">
      <c r="B16" s="276" t="s">
        <v>367</v>
      </c>
      <c r="C16" s="292"/>
      <c r="E16" s="292"/>
      <c r="F16" s="292">
        <f>+INPUT!CG13-INPUT!CG89+PROPNA!F63+F130-F141</f>
        <v>1349538</v>
      </c>
      <c r="G16" s="292"/>
      <c r="H16" s="292">
        <f>+INPUT!CC13-INPUT!CC89+PROPNA!H63+H130-H141-1</f>
        <v>1257476</v>
      </c>
      <c r="I16" s="292"/>
      <c r="J16" s="292">
        <f>+'ENT CF'!O16</f>
        <v>1731288</v>
      </c>
      <c r="K16" s="292"/>
      <c r="L16" s="292">
        <f>SUM(E16:K16)</f>
        <v>4338302</v>
      </c>
      <c r="M16" s="292"/>
      <c r="N16" s="292">
        <f>+'IS CF'!T15</f>
        <v>12250773</v>
      </c>
      <c r="O16" s="292"/>
      <c r="P16" s="294"/>
      <c r="Q16" s="294">
        <f>5272439+384639-584727-98733+55960</f>
        <v>5029578</v>
      </c>
      <c r="R16" s="294">
        <f>+Q16-'ENT CF'!D16</f>
        <v>5029578</v>
      </c>
      <c r="S16" s="294">
        <v>966150</v>
      </c>
      <c r="T16" s="294">
        <v>857979</v>
      </c>
      <c r="U16" s="294"/>
      <c r="V16" s="288">
        <f>+'ENT IS'!N16-'ENT BS'!N19+'ENT BS'!N62+704049-0-50000</f>
        <v>2194993</v>
      </c>
      <c r="W16" s="288">
        <f>+V16-J16</f>
        <v>463705</v>
      </c>
      <c r="X16" s="288" t="s">
        <v>757</v>
      </c>
      <c r="Y16" s="288">
        <f>+'IS IS'!T15-'IS BS'!R19+22442</f>
        <v>12024970</v>
      </c>
      <c r="Z16" s="288">
        <f>+Y16-N16</f>
        <v>-225803</v>
      </c>
    </row>
    <row r="17" spans="2:25" ht="15.75">
      <c r="B17" s="276" t="s">
        <v>368</v>
      </c>
      <c r="C17" s="303"/>
      <c r="E17" s="294"/>
      <c r="F17" s="294">
        <f>-INPUT!CG32-INPUT!CG246+INPUT!CG258+INPUT!CG306-INPUT!CG318-INPUT!CG33-INPUT!CG247+INPUT!CG307+F163-F164</f>
        <v>-549867</v>
      </c>
      <c r="G17" s="294"/>
      <c r="H17" s="294">
        <f>-INPUT!CC32-INPUT!CC246+INPUT!CC258+INPUT!CC306-INPUT!CC318-INPUT!CC33-INPUT!CC247+INPUT!CC307+PROPNA!H60-INPUT!CC305-H139+1</f>
        <v>-1148912</v>
      </c>
      <c r="I17" s="303"/>
      <c r="J17" s="294">
        <f>+'ENT CF'!O17</f>
        <v>-1703944</v>
      </c>
      <c r="K17" s="303"/>
      <c r="L17" s="294">
        <f>SUM(E17:K17)</f>
        <v>-3402723</v>
      </c>
      <c r="M17" s="303"/>
      <c r="N17" s="294">
        <f>+'IS CF'!T16</f>
        <v>-13040329</v>
      </c>
      <c r="O17" s="294"/>
      <c r="P17" s="294"/>
      <c r="Q17" s="294">
        <f>144017+539072-251892</f>
        <v>431197</v>
      </c>
      <c r="R17" s="294">
        <f>-Q17-H17</f>
        <v>717715</v>
      </c>
      <c r="S17" s="294">
        <f>-INPUT!CB32-INPUT!CB246+S131+INPUT!CB306-'ENT BS'!D24+'ENT CF'!D145</f>
        <v>0</v>
      </c>
      <c r="T17" s="294">
        <f>-INPUT!CB33-INPUT!CB247-INPUT!CB248-INPUT!CB250+INPUT!CB307+INPUT!CB308+INPUT!CB310</f>
        <v>0</v>
      </c>
      <c r="U17" s="294"/>
      <c r="V17" s="288">
        <f>+'ENT IS'!N22+'ENT IS'!N23+'ENT IS'!N24-'ENT BS'!N59+'ENT BS'!N24-'ENT BS'!N76+266267+145572-34309-50000+101466</f>
        <v>2102213</v>
      </c>
      <c r="W17" s="288">
        <f>+V17+J17+J18</f>
        <v>331302</v>
      </c>
      <c r="X17" s="288">
        <f>+'IS IS'!T21+'IS IS'!T22+'IS IS'!T23-'IS BS'!R49+'IS BS'!R24-'IS BS'!R57-'IS BS'!R67+66964+102405-14007+129526+20598+10088</f>
        <v>15100214</v>
      </c>
      <c r="Y17" s="288">
        <f>+X17+N17+N18</f>
        <v>-556600</v>
      </c>
    </row>
    <row r="18" spans="2:25" ht="15.75">
      <c r="B18" s="276" t="s">
        <v>369</v>
      </c>
      <c r="C18" s="303"/>
      <c r="E18" s="294"/>
      <c r="F18" s="294">
        <f>-INPUT!CG31-INPUT!CG245-INPUT!CG269+INPUT!CG305+INPUT!CG329</f>
        <v>-248529</v>
      </c>
      <c r="G18" s="294"/>
      <c r="H18" s="294">
        <f>-INPUT!CC31-INPUT!CC245-INPUT!CC269+INPUT!CC305+INPUT!CC329</f>
        <v>-514085</v>
      </c>
      <c r="I18" s="303"/>
      <c r="J18" s="294">
        <f>+'ENT CF'!O18</f>
        <v>-66967</v>
      </c>
      <c r="K18" s="303"/>
      <c r="L18" s="294">
        <f>SUM(E18:K18)</f>
        <v>-829581</v>
      </c>
      <c r="M18" s="303"/>
      <c r="N18" s="294">
        <f>+'IS CF'!T17</f>
        <v>-2616485</v>
      </c>
      <c r="O18" s="294"/>
      <c r="P18" s="294" t="s">
        <v>2309</v>
      </c>
      <c r="Q18" s="294">
        <v>3796280</v>
      </c>
      <c r="R18" s="294">
        <f>-Q18-'ENT CF'!D18</f>
        <v>-3796280</v>
      </c>
      <c r="S18" s="294"/>
      <c r="T18" s="294"/>
      <c r="U18" s="294"/>
    </row>
    <row r="19" spans="2:25" ht="15.75">
      <c r="B19" s="276" t="s">
        <v>680</v>
      </c>
      <c r="C19" s="303"/>
      <c r="E19" s="294"/>
      <c r="F19" s="294">
        <f>+INPUT!CG15</f>
        <v>0</v>
      </c>
      <c r="G19" s="294"/>
      <c r="H19" s="294">
        <f>+INPUT!CC15+INPUT!CC10-INPUT!CC88+H128</f>
        <v>551891</v>
      </c>
      <c r="I19" s="303"/>
      <c r="J19" s="294">
        <f>+'ENT CF'!O19</f>
        <v>0</v>
      </c>
      <c r="K19" s="303"/>
      <c r="L19" s="294">
        <f>SUM(E19:K19)</f>
        <v>551891</v>
      </c>
      <c r="M19" s="303"/>
      <c r="N19" s="294">
        <f>+'IS CF'!T18</f>
        <v>1851365</v>
      </c>
      <c r="O19" s="294"/>
      <c r="P19" s="294"/>
      <c r="Q19" s="294">
        <v>300738</v>
      </c>
      <c r="R19" s="294">
        <f>+Q19-'ENT CF'!D19</f>
        <v>300738</v>
      </c>
      <c r="S19" s="294"/>
      <c r="T19" s="294"/>
      <c r="U19" s="294"/>
    </row>
    <row r="20" spans="2:25" ht="15.75">
      <c r="B20" s="276" t="s">
        <v>638</v>
      </c>
      <c r="C20" s="303"/>
      <c r="E20" s="294"/>
      <c r="F20" s="294">
        <f>+PROPNA!F77-PROPCF!F143</f>
        <v>23309</v>
      </c>
      <c r="G20" s="294"/>
      <c r="H20" s="294">
        <v>0</v>
      </c>
      <c r="I20" s="303"/>
      <c r="J20" s="294">
        <f>+'ENT CF'!O20</f>
        <v>-15300</v>
      </c>
      <c r="K20" s="303"/>
      <c r="L20" s="294">
        <f>SUM(E20:K20)</f>
        <v>8009</v>
      </c>
      <c r="M20" s="303"/>
      <c r="N20" s="294">
        <f>+'IS CF'!T19</f>
        <v>0</v>
      </c>
      <c r="O20" s="294"/>
      <c r="P20" s="294"/>
      <c r="Q20" s="294"/>
      <c r="R20" s="294">
        <f>+Q20-'ENT CF'!D20</f>
        <v>0</v>
      </c>
      <c r="S20" s="294"/>
      <c r="T20" s="294">
        <f>+T21+H18</f>
        <v>-67340</v>
      </c>
      <c r="U20" s="294"/>
      <c r="X20" s="288">
        <f>+X21+F18</f>
        <v>21993</v>
      </c>
    </row>
    <row r="21" spans="2:25" ht="15.75">
      <c r="B21" s="308" t="s">
        <v>1105</v>
      </c>
      <c r="C21" s="303"/>
      <c r="E21" s="294"/>
      <c r="F21" s="298"/>
      <c r="G21" s="294"/>
      <c r="H21" s="298"/>
      <c r="I21" s="303"/>
      <c r="J21" s="298"/>
      <c r="K21" s="303"/>
      <c r="L21" s="298"/>
      <c r="M21" s="303"/>
      <c r="N21" s="298"/>
      <c r="O21" s="294"/>
      <c r="P21" s="294"/>
      <c r="Q21" s="294"/>
      <c r="R21" s="294"/>
      <c r="S21" s="294"/>
      <c r="T21" s="294">
        <v>446745</v>
      </c>
      <c r="U21" s="294">
        <v>38827</v>
      </c>
      <c r="V21" s="288">
        <v>10934</v>
      </c>
      <c r="W21" s="288">
        <v>42203</v>
      </c>
      <c r="X21" s="288">
        <v>270522</v>
      </c>
    </row>
    <row r="22" spans="2:25" ht="15.75">
      <c r="B22" s="308" t="s">
        <v>1106</v>
      </c>
      <c r="C22" s="303"/>
      <c r="E22" s="697"/>
      <c r="F22" s="706">
        <f>SUM(F16:F20)</f>
        <v>574451</v>
      </c>
      <c r="G22" s="697"/>
      <c r="H22" s="706">
        <f>SUM(H16:H20)</f>
        <v>146370</v>
      </c>
      <c r="I22" s="704"/>
      <c r="J22" s="706">
        <f>SUM(J16:J20)</f>
        <v>-54923</v>
      </c>
      <c r="K22" s="704"/>
      <c r="L22" s="706">
        <f>SUM(L16:L20)</f>
        <v>665898</v>
      </c>
      <c r="M22" s="704"/>
      <c r="N22" s="706">
        <f>SUM(N16:N20)</f>
        <v>-1554676</v>
      </c>
      <c r="O22" s="339"/>
      <c r="P22" s="300"/>
      <c r="Q22" s="300"/>
      <c r="R22" s="300"/>
      <c r="S22" s="300"/>
      <c r="T22" s="300">
        <v>240673</v>
      </c>
      <c r="U22" s="300">
        <v>5620</v>
      </c>
      <c r="V22" s="288">
        <v>7616</v>
      </c>
      <c r="W22" s="288">
        <v>73572</v>
      </c>
      <c r="X22" s="288">
        <v>265147</v>
      </c>
    </row>
    <row r="23" spans="2:25" ht="9.9499999999999993" customHeight="1">
      <c r="B23" s="276"/>
      <c r="C23" s="303"/>
      <c r="E23" s="294"/>
      <c r="F23" s="294"/>
      <c r="G23" s="294"/>
      <c r="H23" s="294"/>
      <c r="I23" s="294"/>
      <c r="J23" s="294"/>
      <c r="K23" s="294"/>
      <c r="L23" s="294"/>
      <c r="M23" s="294"/>
      <c r="N23" s="294"/>
      <c r="O23" s="294"/>
      <c r="P23" s="294"/>
      <c r="Q23" s="294"/>
      <c r="R23" s="294"/>
      <c r="S23" s="294"/>
      <c r="T23" s="294">
        <v>610473</v>
      </c>
      <c r="U23" s="294">
        <v>36752</v>
      </c>
      <c r="V23" s="288">
        <v>110762</v>
      </c>
      <c r="W23" s="288">
        <v>1249133</v>
      </c>
      <c r="X23" s="288">
        <v>162641</v>
      </c>
    </row>
    <row r="24" spans="2:25" ht="15.75">
      <c r="B24" s="308" t="s">
        <v>242</v>
      </c>
      <c r="C24" s="303"/>
      <c r="E24" s="294"/>
      <c r="F24" s="294"/>
      <c r="G24" s="294"/>
      <c r="H24" s="294"/>
      <c r="I24" s="303"/>
      <c r="J24" s="294"/>
      <c r="K24" s="303"/>
      <c r="L24" s="294"/>
      <c r="M24" s="303"/>
      <c r="N24" s="294"/>
      <c r="O24" s="294"/>
      <c r="P24" s="294"/>
      <c r="Q24" s="294"/>
      <c r="R24" s="294"/>
      <c r="S24" s="294"/>
      <c r="T24" s="294">
        <v>130670</v>
      </c>
      <c r="U24" s="294">
        <v>46340</v>
      </c>
      <c r="V24" s="288">
        <v>0</v>
      </c>
      <c r="W24" s="288">
        <v>17000</v>
      </c>
      <c r="X24" s="288">
        <v>457855</v>
      </c>
    </row>
    <row r="25" spans="2:25" ht="15.75" hidden="1">
      <c r="B25" s="276" t="s">
        <v>572</v>
      </c>
      <c r="C25" s="276"/>
      <c r="E25" s="294"/>
      <c r="F25" s="294"/>
      <c r="G25" s="294"/>
      <c r="H25" s="294"/>
      <c r="I25" s="303"/>
      <c r="J25" s="294"/>
      <c r="K25" s="303"/>
      <c r="L25" s="294"/>
      <c r="M25" s="303"/>
      <c r="N25" s="294"/>
      <c r="O25" s="294"/>
      <c r="P25" s="294"/>
      <c r="Q25" s="312" t="s">
        <v>1700</v>
      </c>
      <c r="R25" s="294"/>
      <c r="S25" s="294"/>
      <c r="T25" s="294"/>
      <c r="U25" s="294"/>
    </row>
    <row r="26" spans="2:25" ht="15.75" hidden="1">
      <c r="B26" s="276" t="s">
        <v>765</v>
      </c>
      <c r="C26" s="276"/>
      <c r="E26" s="294"/>
      <c r="F26" s="294">
        <v>0</v>
      </c>
      <c r="G26" s="294"/>
      <c r="H26" s="294">
        <v>0</v>
      </c>
      <c r="I26" s="303"/>
      <c r="J26" s="294">
        <f>+'ENT CF'!O26</f>
        <v>0</v>
      </c>
      <c r="K26" s="303"/>
      <c r="L26" s="294">
        <f t="shared" ref="L26:L37" si="0">SUM(E26:K26)</f>
        <v>0</v>
      </c>
      <c r="M26" s="303"/>
      <c r="N26" s="294">
        <f>+'IS CF'!T25</f>
        <v>0</v>
      </c>
      <c r="O26" s="294"/>
      <c r="P26" s="294"/>
      <c r="Q26" s="294"/>
      <c r="R26" s="294"/>
      <c r="S26" s="294"/>
      <c r="T26" s="294"/>
      <c r="U26" s="294"/>
    </row>
    <row r="27" spans="2:25" ht="15.75">
      <c r="B27" s="276" t="s">
        <v>3518</v>
      </c>
      <c r="C27" s="276"/>
      <c r="E27" s="294"/>
      <c r="F27" s="294">
        <v>0</v>
      </c>
      <c r="G27" s="294"/>
      <c r="H27" s="294">
        <v>0</v>
      </c>
      <c r="I27" s="303"/>
      <c r="J27" s="294">
        <v>0</v>
      </c>
      <c r="K27" s="303"/>
      <c r="L27" s="294">
        <v>0</v>
      </c>
      <c r="M27" s="303"/>
      <c r="N27" s="294">
        <f>+'IS CF'!T26</f>
        <v>-238719</v>
      </c>
      <c r="O27" s="294"/>
      <c r="P27" s="294"/>
      <c r="Q27" s="294"/>
      <c r="R27" s="294"/>
      <c r="S27" s="294"/>
      <c r="T27" s="294"/>
      <c r="U27" s="294"/>
    </row>
    <row r="28" spans="2:25" ht="15.75" hidden="1" customHeight="1">
      <c r="B28" s="276" t="s">
        <v>1380</v>
      </c>
      <c r="C28" s="276"/>
      <c r="E28" s="294"/>
      <c r="F28" s="294">
        <v>0</v>
      </c>
      <c r="G28" s="294"/>
      <c r="H28" s="294">
        <v>0</v>
      </c>
      <c r="I28" s="303"/>
      <c r="J28" s="294">
        <v>0</v>
      </c>
      <c r="K28" s="303"/>
      <c r="L28" s="294">
        <f t="shared" si="0"/>
        <v>0</v>
      </c>
      <c r="M28" s="303"/>
      <c r="N28" s="294">
        <v>0</v>
      </c>
      <c r="O28" s="294"/>
      <c r="P28" s="294"/>
      <c r="Q28" s="294"/>
      <c r="R28" s="294"/>
      <c r="S28" s="294"/>
      <c r="T28" s="294"/>
      <c r="U28" s="294"/>
    </row>
    <row r="29" spans="2:25" ht="15.75">
      <c r="B29" s="276" t="s">
        <v>1650</v>
      </c>
      <c r="C29" s="276"/>
      <c r="E29" s="294"/>
      <c r="F29" s="294">
        <f>+'Sys INPUT'!CG12</f>
        <v>0</v>
      </c>
      <c r="G29" s="294"/>
      <c r="H29" s="294">
        <f>+'Sys INPUT'!CC12</f>
        <v>19350</v>
      </c>
      <c r="I29" s="303"/>
      <c r="J29" s="294">
        <f>+'ENT CF'!O28</f>
        <v>0</v>
      </c>
      <c r="K29" s="303"/>
      <c r="L29" s="294">
        <f t="shared" si="0"/>
        <v>19350</v>
      </c>
      <c r="M29" s="303"/>
      <c r="N29" s="294">
        <f>+'IS CF'!T27</f>
        <v>0</v>
      </c>
      <c r="O29" s="294"/>
      <c r="P29" s="294"/>
      <c r="Q29" s="294"/>
      <c r="R29" s="294"/>
      <c r="S29" s="294"/>
      <c r="T29" s="294"/>
      <c r="U29" s="294"/>
    </row>
    <row r="30" spans="2:25" ht="15" hidden="1" customHeight="1">
      <c r="B30" s="276" t="s">
        <v>480</v>
      </c>
      <c r="C30" s="276"/>
      <c r="E30" s="294"/>
      <c r="F30" s="294">
        <v>0</v>
      </c>
      <c r="G30" s="294"/>
      <c r="H30" s="294">
        <v>0</v>
      </c>
      <c r="I30" s="303"/>
      <c r="J30" s="294">
        <f>+'ENT CF'!O29</f>
        <v>0</v>
      </c>
      <c r="K30" s="303"/>
      <c r="L30" s="294">
        <f t="shared" si="0"/>
        <v>0</v>
      </c>
      <c r="M30" s="303"/>
      <c r="N30" s="294">
        <f>+'IS CF'!T28</f>
        <v>0</v>
      </c>
      <c r="O30" s="294"/>
      <c r="P30" s="294"/>
      <c r="Q30" s="294"/>
      <c r="R30" s="294"/>
      <c r="S30" s="294"/>
      <c r="T30" s="294"/>
      <c r="U30" s="294"/>
    </row>
    <row r="31" spans="2:25" ht="15.75">
      <c r="B31" s="276" t="s">
        <v>2577</v>
      </c>
      <c r="C31" s="276"/>
      <c r="E31" s="294"/>
      <c r="F31" s="294">
        <f>+PROPREV!F50</f>
        <v>82</v>
      </c>
      <c r="G31" s="294"/>
      <c r="H31" s="294">
        <f>+PROPREV!H50</f>
        <v>50000</v>
      </c>
      <c r="I31" s="303"/>
      <c r="J31" s="294">
        <f>+'ENT CF'!O30</f>
        <v>0</v>
      </c>
      <c r="K31" s="303"/>
      <c r="L31" s="294">
        <f t="shared" si="0"/>
        <v>50082</v>
      </c>
      <c r="M31" s="303"/>
      <c r="N31" s="294">
        <f>+'IS CF'!T29</f>
        <v>2156877</v>
      </c>
      <c r="O31" s="294"/>
      <c r="P31" s="294"/>
      <c r="Q31" s="294">
        <v>219833</v>
      </c>
      <c r="R31" s="294">
        <f>+Q31-'ENT CF'!D30</f>
        <v>219833</v>
      </c>
      <c r="S31" s="294"/>
      <c r="T31" s="294"/>
      <c r="U31" s="294"/>
    </row>
    <row r="32" spans="2:25" ht="15.75">
      <c r="B32" s="276" t="s">
        <v>2578</v>
      </c>
      <c r="C32" s="276"/>
      <c r="E32" s="294"/>
      <c r="F32" s="294">
        <f>+PROPREV!F51</f>
        <v>-2545</v>
      </c>
      <c r="G32" s="294"/>
      <c r="H32" s="294">
        <f>+PROPREV!H51</f>
        <v>0</v>
      </c>
      <c r="I32" s="303"/>
      <c r="J32" s="294">
        <f>+'ENT CF'!O31</f>
        <v>-82</v>
      </c>
      <c r="K32" s="303"/>
      <c r="L32" s="294">
        <f t="shared" si="0"/>
        <v>-2627</v>
      </c>
      <c r="M32" s="303"/>
      <c r="N32" s="294">
        <f>+'IS CF'!T30</f>
        <v>-566057</v>
      </c>
      <c r="O32" s="294"/>
      <c r="P32" s="294"/>
      <c r="Q32" s="294">
        <v>6352</v>
      </c>
      <c r="R32" s="294">
        <f>-Q32-'ENT CF'!D31</f>
        <v>-6352</v>
      </c>
      <c r="S32" s="294"/>
      <c r="T32" s="294"/>
      <c r="U32" s="294"/>
    </row>
    <row r="33" spans="2:21" ht="15.75" hidden="1">
      <c r="B33" s="276" t="s">
        <v>1227</v>
      </c>
      <c r="C33" s="276"/>
      <c r="E33" s="294"/>
      <c r="F33" s="294">
        <f>+PROPNA!F62+0</f>
        <v>0</v>
      </c>
      <c r="G33" s="294"/>
      <c r="H33" s="294">
        <f>+PROPNA!H62-H140</f>
        <v>0</v>
      </c>
      <c r="I33" s="303"/>
      <c r="J33" s="294">
        <f>+'ENT CF'!O32</f>
        <v>0</v>
      </c>
      <c r="K33" s="303"/>
      <c r="L33" s="294">
        <f t="shared" si="0"/>
        <v>0</v>
      </c>
      <c r="M33" s="303"/>
      <c r="N33" s="294">
        <f>+'IS CF'!T31</f>
        <v>0</v>
      </c>
      <c r="O33" s="294"/>
      <c r="P33" s="294"/>
      <c r="Q33" s="484" t="s">
        <v>1350</v>
      </c>
      <c r="R33" s="294"/>
      <c r="S33" s="294"/>
      <c r="T33" s="294"/>
      <c r="U33" s="294"/>
    </row>
    <row r="34" spans="2:21" ht="15.75">
      <c r="B34" s="276" t="s">
        <v>56</v>
      </c>
      <c r="C34" s="276"/>
      <c r="E34" s="294"/>
      <c r="F34" s="294">
        <f>+PROPNA!F69-F142</f>
        <v>-86100</v>
      </c>
      <c r="G34" s="294"/>
      <c r="H34" s="294">
        <f>+PROPNA!H69-PROPCF!H142</f>
        <v>0</v>
      </c>
      <c r="I34" s="303"/>
      <c r="J34" s="294">
        <v>0</v>
      </c>
      <c r="K34" s="303"/>
      <c r="L34" s="294">
        <f t="shared" si="0"/>
        <v>-86100</v>
      </c>
      <c r="M34" s="303"/>
      <c r="N34" s="294">
        <v>0</v>
      </c>
      <c r="O34" s="294"/>
      <c r="P34" s="294"/>
      <c r="Q34" s="484" t="s">
        <v>1350</v>
      </c>
      <c r="R34" s="294"/>
      <c r="S34" s="294"/>
      <c r="T34" s="294"/>
      <c r="U34" s="294"/>
    </row>
    <row r="35" spans="2:21" ht="15.75" hidden="1" customHeight="1">
      <c r="B35" s="276" t="s">
        <v>1218</v>
      </c>
      <c r="C35" s="276"/>
      <c r="E35" s="294"/>
      <c r="F35" s="294">
        <v>0</v>
      </c>
      <c r="G35" s="294"/>
      <c r="H35" s="294">
        <v>0</v>
      </c>
      <c r="I35" s="303"/>
      <c r="J35" s="294">
        <f>+'ENT CF'!O34</f>
        <v>0</v>
      </c>
      <c r="K35" s="303"/>
      <c r="L35" s="294">
        <f t="shared" si="0"/>
        <v>0</v>
      </c>
      <c r="M35" s="303"/>
      <c r="N35" s="294">
        <f>+'IS CF'!T32</f>
        <v>0</v>
      </c>
      <c r="O35" s="294"/>
      <c r="P35" s="294"/>
      <c r="Q35" s="294"/>
      <c r="R35" s="294"/>
      <c r="S35" s="294"/>
      <c r="T35" s="294"/>
      <c r="U35" s="294"/>
    </row>
    <row r="36" spans="2:21" ht="15.75" customHeight="1">
      <c r="B36" s="276" t="s">
        <v>3502</v>
      </c>
      <c r="C36" s="276"/>
      <c r="E36" s="294"/>
      <c r="F36" s="294">
        <v>0</v>
      </c>
      <c r="G36" s="294"/>
      <c r="H36" s="294">
        <v>0</v>
      </c>
      <c r="I36" s="303"/>
      <c r="J36" s="294">
        <f>+'ENT CF'!O35</f>
        <v>0</v>
      </c>
      <c r="K36" s="303"/>
      <c r="L36" s="294">
        <f t="shared" ref="L36" si="1">SUM(E36:K36)</f>
        <v>0</v>
      </c>
      <c r="M36" s="303"/>
      <c r="N36" s="294">
        <f>+'IS CF'!T33</f>
        <v>547482</v>
      </c>
      <c r="O36" s="294"/>
      <c r="P36" s="294"/>
      <c r="Q36" s="294"/>
      <c r="R36" s="294"/>
      <c r="S36" s="294"/>
      <c r="T36" s="294"/>
      <c r="U36" s="294"/>
    </row>
    <row r="37" spans="2:21" ht="15.75" hidden="1" customHeight="1">
      <c r="B37" s="276" t="s">
        <v>764</v>
      </c>
      <c r="C37" s="303"/>
      <c r="E37" s="294"/>
      <c r="F37" s="294">
        <v>0</v>
      </c>
      <c r="G37" s="294"/>
      <c r="H37" s="294">
        <v>0</v>
      </c>
      <c r="I37" s="303"/>
      <c r="J37" s="294">
        <f>+'ENT CF'!O35</f>
        <v>0</v>
      </c>
      <c r="K37" s="303"/>
      <c r="L37" s="294">
        <f t="shared" si="0"/>
        <v>0</v>
      </c>
      <c r="M37" s="303"/>
      <c r="N37" s="294">
        <f>+'IS CF'!T34</f>
        <v>0</v>
      </c>
      <c r="O37" s="294"/>
      <c r="P37" s="294"/>
      <c r="Q37" s="294"/>
      <c r="R37" s="294"/>
      <c r="S37" s="294"/>
      <c r="T37" s="294"/>
      <c r="U37" s="294"/>
    </row>
    <row r="38" spans="2:21" ht="5.25" customHeight="1">
      <c r="B38" s="276"/>
      <c r="C38" s="303"/>
      <c r="E38" s="294"/>
      <c r="F38" s="294"/>
      <c r="G38" s="294"/>
      <c r="H38" s="294"/>
      <c r="I38" s="303"/>
      <c r="J38" s="294"/>
      <c r="K38" s="303"/>
      <c r="L38" s="294"/>
      <c r="M38" s="303"/>
      <c r="N38" s="294"/>
      <c r="O38" s="294"/>
      <c r="P38" s="294"/>
      <c r="Q38" s="294"/>
      <c r="R38" s="294"/>
      <c r="S38" s="294"/>
      <c r="T38" s="294"/>
      <c r="U38" s="294"/>
    </row>
    <row r="39" spans="2:21" ht="15.75">
      <c r="B39" s="308" t="s">
        <v>1105</v>
      </c>
      <c r="C39" s="303"/>
      <c r="E39" s="298"/>
      <c r="F39" s="298"/>
      <c r="G39" s="294"/>
      <c r="H39" s="298"/>
      <c r="I39" s="303"/>
      <c r="J39" s="298"/>
      <c r="K39" s="303"/>
      <c r="L39" s="298"/>
      <c r="M39" s="303"/>
      <c r="N39" s="298"/>
      <c r="O39" s="294"/>
      <c r="P39" s="294"/>
      <c r="Q39" s="294"/>
      <c r="R39" s="294"/>
      <c r="S39" s="294"/>
      <c r="T39" s="294"/>
      <c r="U39" s="294"/>
    </row>
    <row r="40" spans="2:21" ht="15.75">
      <c r="B40" s="308" t="s">
        <v>1107</v>
      </c>
      <c r="C40" s="303"/>
      <c r="E40" s="697"/>
      <c r="F40" s="706">
        <f>SUM(F25:F38)</f>
        <v>-88563</v>
      </c>
      <c r="G40" s="697"/>
      <c r="H40" s="706">
        <f>SUM(H25:H38)</f>
        <v>69350</v>
      </c>
      <c r="I40" s="704"/>
      <c r="J40" s="706">
        <f>SUM(J25:J38)</f>
        <v>-82</v>
      </c>
      <c r="K40" s="704"/>
      <c r="L40" s="706">
        <f>SUM(L25:L38)</f>
        <v>-19295</v>
      </c>
      <c r="M40" s="704"/>
      <c r="N40" s="706">
        <f>SUM(N25:N38)</f>
        <v>1899583</v>
      </c>
      <c r="O40" s="339"/>
      <c r="P40" s="300"/>
      <c r="Q40" s="300"/>
      <c r="R40" s="300"/>
      <c r="S40" s="300"/>
      <c r="T40" s="300"/>
      <c r="U40" s="300"/>
    </row>
    <row r="41" spans="2:21" ht="9.9499999999999993" customHeight="1">
      <c r="B41" s="276"/>
      <c r="C41" s="303"/>
      <c r="E41" s="294"/>
      <c r="F41" s="294"/>
      <c r="G41" s="294"/>
      <c r="H41" s="294"/>
      <c r="I41" s="294"/>
      <c r="J41" s="294"/>
      <c r="K41" s="294"/>
      <c r="L41" s="294"/>
      <c r="M41" s="294"/>
      <c r="N41" s="294"/>
      <c r="O41" s="294"/>
      <c r="P41" s="294"/>
      <c r="Q41" s="294"/>
      <c r="R41" s="294"/>
      <c r="S41" s="294"/>
      <c r="T41" s="294"/>
      <c r="U41" s="294"/>
    </row>
    <row r="42" spans="2:21" ht="15.75">
      <c r="B42" s="308" t="s">
        <v>146</v>
      </c>
      <c r="C42" s="303"/>
      <c r="E42" s="294"/>
      <c r="F42" s="294"/>
      <c r="G42" s="294"/>
      <c r="H42" s="294"/>
      <c r="I42" s="303"/>
      <c r="J42" s="294"/>
      <c r="K42" s="303"/>
      <c r="L42" s="294"/>
      <c r="M42" s="303"/>
      <c r="N42" s="294"/>
      <c r="O42" s="294"/>
      <c r="P42" s="294"/>
      <c r="Q42" s="294"/>
      <c r="R42" s="294"/>
      <c r="S42" s="294"/>
      <c r="T42" s="294"/>
      <c r="U42" s="294"/>
    </row>
    <row r="43" spans="2:21" ht="15.75">
      <c r="B43" s="276" t="s">
        <v>520</v>
      </c>
      <c r="C43" s="276"/>
      <c r="E43" s="294"/>
      <c r="F43" s="294">
        <f>-PROPNA!F38-PROPNA!F39-PROPREV!F26+F135+F159-F160+F116-0</f>
        <v>-6344</v>
      </c>
      <c r="G43" s="294"/>
      <c r="H43" s="294">
        <f>-PROPNA!H38-PROPNA!H39-PROPREV!H26+H135+H157+H156+0-H160+H159+0</f>
        <v>0</v>
      </c>
      <c r="I43" s="303"/>
      <c r="J43" s="294">
        <f>+'ENT CF'!O41</f>
        <v>-73848</v>
      </c>
      <c r="K43" s="303"/>
      <c r="L43" s="294">
        <f t="shared" ref="L43:L52" si="2">SUM(E43:K43)</f>
        <v>-80192</v>
      </c>
      <c r="M43" s="303"/>
      <c r="N43" s="294">
        <f>+'IS CF'!T40</f>
        <v>-813812</v>
      </c>
      <c r="O43" s="294"/>
      <c r="P43" s="294"/>
      <c r="Q43" s="294">
        <v>44128</v>
      </c>
      <c r="R43" s="294">
        <f>-Q43-'ENT CF'!D41</f>
        <v>-44128</v>
      </c>
      <c r="S43" s="294"/>
      <c r="T43" s="294"/>
      <c r="U43" s="294"/>
    </row>
    <row r="44" spans="2:21" ht="15.75" hidden="1">
      <c r="B44" s="276" t="s">
        <v>1239</v>
      </c>
      <c r="C44" s="276"/>
      <c r="E44" s="294"/>
      <c r="F44" s="294">
        <f>+PROPREV!F41-F156-F116</f>
        <v>0</v>
      </c>
      <c r="G44" s="294"/>
      <c r="H44" s="294">
        <f>+PROPREV!H41-H156+0</f>
        <v>0</v>
      </c>
      <c r="I44" s="303"/>
      <c r="J44" s="294">
        <f>+'ENT CF'!O42</f>
        <v>0</v>
      </c>
      <c r="K44" s="303"/>
      <c r="L44" s="294">
        <f t="shared" si="2"/>
        <v>0</v>
      </c>
      <c r="M44" s="303"/>
      <c r="N44" s="294">
        <f>+'IS CF'!T41</f>
        <v>0</v>
      </c>
      <c r="O44" s="294"/>
      <c r="P44" s="294"/>
      <c r="Q44" s="294"/>
      <c r="R44" s="294"/>
      <c r="S44" s="294"/>
      <c r="T44" s="294"/>
      <c r="U44" s="294"/>
    </row>
    <row r="45" spans="2:21" ht="15.75" hidden="1">
      <c r="B45" s="276" t="s">
        <v>1654</v>
      </c>
      <c r="C45" s="276"/>
      <c r="E45" s="294"/>
      <c r="F45" s="294">
        <v>0</v>
      </c>
      <c r="G45" s="294"/>
      <c r="H45" s="294">
        <v>0</v>
      </c>
      <c r="I45" s="303"/>
      <c r="J45" s="294">
        <v>0</v>
      </c>
      <c r="K45" s="303"/>
      <c r="L45" s="294">
        <f t="shared" si="2"/>
        <v>0</v>
      </c>
      <c r="M45" s="303"/>
      <c r="N45" s="294">
        <v>0</v>
      </c>
      <c r="O45" s="294"/>
      <c r="P45" s="294"/>
      <c r="Q45" s="294"/>
      <c r="R45" s="294"/>
      <c r="S45" s="294"/>
      <c r="T45" s="294"/>
      <c r="U45" s="294"/>
    </row>
    <row r="46" spans="2:21" ht="15.75" hidden="1">
      <c r="B46" s="276" t="s">
        <v>481</v>
      </c>
      <c r="C46" s="276"/>
      <c r="E46" s="294"/>
      <c r="F46" s="294">
        <v>0</v>
      </c>
      <c r="G46" s="294"/>
      <c r="H46" s="294">
        <v>0</v>
      </c>
      <c r="I46" s="303"/>
      <c r="J46" s="294">
        <f>+'ENT CF'!O44</f>
        <v>0</v>
      </c>
      <c r="K46" s="303"/>
      <c r="L46" s="294">
        <f t="shared" si="2"/>
        <v>0</v>
      </c>
      <c r="M46" s="303"/>
      <c r="N46" s="294">
        <f>+'IS CF'!T42</f>
        <v>0</v>
      </c>
      <c r="O46" s="294"/>
      <c r="P46" s="294"/>
      <c r="Q46" s="294"/>
      <c r="R46" s="294"/>
      <c r="S46" s="294"/>
      <c r="T46" s="294"/>
      <c r="U46" s="294"/>
    </row>
    <row r="47" spans="2:21" ht="15" hidden="1" customHeight="1">
      <c r="B47" s="276" t="s">
        <v>124</v>
      </c>
      <c r="C47" s="276"/>
      <c r="E47" s="294"/>
      <c r="F47" s="294">
        <v>0</v>
      </c>
      <c r="G47" s="294"/>
      <c r="H47" s="294">
        <v>0</v>
      </c>
      <c r="I47" s="303"/>
      <c r="J47" s="294">
        <f>+'ENT CF'!O45</f>
        <v>0</v>
      </c>
      <c r="K47" s="303"/>
      <c r="L47" s="294">
        <f t="shared" si="2"/>
        <v>0</v>
      </c>
      <c r="M47" s="303"/>
      <c r="N47" s="294">
        <f>+'IS CF'!T43</f>
        <v>0</v>
      </c>
      <c r="O47" s="294"/>
      <c r="P47" s="294"/>
      <c r="Q47" s="294"/>
      <c r="R47" s="294"/>
      <c r="S47" s="294"/>
      <c r="T47" s="294"/>
      <c r="U47" s="294"/>
    </row>
    <row r="48" spans="2:21" ht="15.75" hidden="1">
      <c r="B48" s="276" t="s">
        <v>125</v>
      </c>
      <c r="C48" s="276"/>
      <c r="E48" s="294"/>
      <c r="F48" s="294">
        <f>-F152</f>
        <v>0</v>
      </c>
      <c r="G48" s="294"/>
      <c r="H48" s="294">
        <f>-H152</f>
        <v>0</v>
      </c>
      <c r="I48" s="303"/>
      <c r="J48" s="294">
        <f>+'ENT CF'!O46</f>
        <v>0</v>
      </c>
      <c r="K48" s="303"/>
      <c r="L48" s="294">
        <f t="shared" si="2"/>
        <v>0</v>
      </c>
      <c r="M48" s="303"/>
      <c r="N48" s="294">
        <f>+'IS CF'!T44</f>
        <v>0</v>
      </c>
      <c r="O48" s="294"/>
      <c r="P48" s="294"/>
      <c r="Q48" s="294">
        <v>85000</v>
      </c>
      <c r="R48" s="294">
        <f>-Q48-'ENT CF'!D46</f>
        <v>-85000</v>
      </c>
      <c r="S48" s="294"/>
      <c r="T48" s="294"/>
      <c r="U48" s="294"/>
    </row>
    <row r="49" spans="2:21" ht="15.75" hidden="1">
      <c r="B49" s="276" t="s">
        <v>923</v>
      </c>
      <c r="C49" s="276"/>
      <c r="E49" s="294"/>
      <c r="F49" s="294">
        <f>-F153</f>
        <v>0</v>
      </c>
      <c r="G49" s="294"/>
      <c r="H49" s="294">
        <f>-H154</f>
        <v>0</v>
      </c>
      <c r="I49" s="303"/>
      <c r="J49" s="294">
        <f>+'ENT CF'!O47</f>
        <v>0</v>
      </c>
      <c r="K49" s="303"/>
      <c r="L49" s="294">
        <f t="shared" si="2"/>
        <v>0</v>
      </c>
      <c r="M49" s="303"/>
      <c r="N49" s="294">
        <f>+'IS CF'!T45</f>
        <v>0</v>
      </c>
      <c r="O49" s="294"/>
      <c r="P49" s="294"/>
      <c r="Q49" s="294">
        <v>44128</v>
      </c>
      <c r="R49" s="294">
        <f>-Q49-'ENT CF'!D47</f>
        <v>-44128</v>
      </c>
      <c r="S49" s="294"/>
      <c r="T49" s="294"/>
      <c r="U49" s="294"/>
    </row>
    <row r="50" spans="2:21" ht="15.75" hidden="1">
      <c r="B50" s="276" t="s">
        <v>1202</v>
      </c>
      <c r="C50" s="276"/>
      <c r="E50" s="294"/>
      <c r="F50" s="294"/>
      <c r="G50" s="294"/>
      <c r="H50" s="294">
        <v>0</v>
      </c>
      <c r="I50" s="303"/>
      <c r="J50" s="294">
        <f>+'ENT CF'!O48</f>
        <v>0</v>
      </c>
      <c r="K50" s="303"/>
      <c r="L50" s="294">
        <f t="shared" si="2"/>
        <v>0</v>
      </c>
      <c r="M50" s="303"/>
      <c r="N50" s="294">
        <f>+'IS CF'!T46</f>
        <v>0</v>
      </c>
      <c r="O50" s="294"/>
      <c r="P50" s="294"/>
      <c r="Q50" s="294">
        <v>44128</v>
      </c>
      <c r="R50" s="294">
        <f>-Q50-'ENT CF'!D48</f>
        <v>-44128</v>
      </c>
      <c r="S50" s="294"/>
      <c r="T50" s="294"/>
      <c r="U50" s="294"/>
    </row>
    <row r="51" spans="2:21" ht="15.75">
      <c r="B51" s="276" t="s">
        <v>1240</v>
      </c>
      <c r="C51" s="276"/>
      <c r="E51" s="294"/>
      <c r="F51" s="294">
        <f>+PROPREV!F36+F155+0</f>
        <v>-23768</v>
      </c>
      <c r="G51" s="294"/>
      <c r="H51" s="294">
        <f>+PROPREV!H360</f>
        <v>0</v>
      </c>
      <c r="I51" s="303"/>
      <c r="J51" s="294">
        <f>+'ENT CF'!O49</f>
        <v>0</v>
      </c>
      <c r="K51" s="303"/>
      <c r="L51" s="294">
        <f t="shared" si="2"/>
        <v>-23768</v>
      </c>
      <c r="M51" s="303"/>
      <c r="N51" s="294">
        <f>+'IS CF'!T47</f>
        <v>0</v>
      </c>
      <c r="O51" s="294"/>
      <c r="P51" s="294"/>
      <c r="Q51" s="294">
        <v>56050</v>
      </c>
      <c r="R51" s="294">
        <f>-Q51-'ENT CF'!D49</f>
        <v>-56050</v>
      </c>
      <c r="S51" s="294"/>
      <c r="T51" s="294"/>
      <c r="U51" s="294"/>
    </row>
    <row r="52" spans="2:21" ht="15" hidden="1" customHeight="1">
      <c r="B52" s="276" t="s">
        <v>840</v>
      </c>
      <c r="C52" s="303"/>
      <c r="E52" s="294"/>
      <c r="F52" s="294">
        <f>+PROPREV!F49</f>
        <v>0</v>
      </c>
      <c r="G52" s="294"/>
      <c r="H52" s="294">
        <f>+PROPREV!H49</f>
        <v>0</v>
      </c>
      <c r="I52" s="303"/>
      <c r="J52" s="294">
        <f>+'ENT CF'!O50</f>
        <v>0</v>
      </c>
      <c r="K52" s="303"/>
      <c r="L52" s="294">
        <f t="shared" si="2"/>
        <v>0</v>
      </c>
      <c r="M52" s="303"/>
      <c r="N52" s="294">
        <f>+'IS CF'!T48</f>
        <v>0</v>
      </c>
      <c r="O52" s="294"/>
      <c r="P52" s="294"/>
      <c r="Q52" s="294"/>
      <c r="R52" s="294"/>
      <c r="S52" s="294"/>
      <c r="T52" s="294"/>
      <c r="U52" s="294"/>
    </row>
    <row r="53" spans="2:21" ht="15.75">
      <c r="B53" s="308" t="s">
        <v>1105</v>
      </c>
      <c r="C53" s="303"/>
      <c r="E53" s="294"/>
      <c r="F53" s="298"/>
      <c r="G53" s="294"/>
      <c r="H53" s="298"/>
      <c r="I53" s="303"/>
      <c r="J53" s="298"/>
      <c r="K53" s="303"/>
      <c r="L53" s="298"/>
      <c r="M53" s="303"/>
      <c r="N53" s="298"/>
      <c r="O53" s="294"/>
      <c r="P53" s="294"/>
      <c r="Q53" s="294"/>
      <c r="R53" s="294"/>
      <c r="S53" s="294"/>
      <c r="T53" s="294"/>
      <c r="U53" s="294"/>
    </row>
    <row r="54" spans="2:21" ht="15.75">
      <c r="B54" s="308" t="s">
        <v>635</v>
      </c>
      <c r="C54" s="303"/>
      <c r="E54" s="697"/>
      <c r="F54" s="706">
        <f>SUM(F43:F52)</f>
        <v>-30112</v>
      </c>
      <c r="G54" s="697"/>
      <c r="H54" s="706">
        <f>SUM(H43:H52)</f>
        <v>0</v>
      </c>
      <c r="I54" s="704"/>
      <c r="J54" s="706">
        <f>SUM(J43:J52)</f>
        <v>-73848</v>
      </c>
      <c r="K54" s="704"/>
      <c r="L54" s="706">
        <f>SUM(L43:L52)</f>
        <v>-103960</v>
      </c>
      <c r="M54" s="704"/>
      <c r="N54" s="706">
        <f>SUM(N43:N52)</f>
        <v>-813812</v>
      </c>
      <c r="O54" s="339"/>
      <c r="P54" s="300"/>
      <c r="Q54" s="300"/>
      <c r="R54" s="300"/>
      <c r="S54" s="300"/>
      <c r="T54" s="300"/>
      <c r="U54" s="300"/>
    </row>
    <row r="55" spans="2:21" ht="9.9499999999999993" customHeight="1">
      <c r="B55" s="276"/>
      <c r="C55" s="303"/>
      <c r="E55" s="294"/>
      <c r="F55" s="710"/>
      <c r="G55" s="710"/>
      <c r="H55" s="710"/>
      <c r="I55" s="710"/>
      <c r="J55" s="710"/>
      <c r="K55" s="710"/>
      <c r="L55" s="710"/>
      <c r="M55" s="710"/>
      <c r="N55" s="710"/>
      <c r="O55" s="710"/>
      <c r="P55" s="294"/>
      <c r="Q55" s="294"/>
      <c r="R55" s="294"/>
      <c r="S55" s="294"/>
      <c r="T55" s="294"/>
      <c r="U55" s="294"/>
    </row>
    <row r="56" spans="2:21" ht="15.75">
      <c r="B56" s="308" t="s">
        <v>147</v>
      </c>
      <c r="C56" s="303"/>
      <c r="E56" s="294"/>
      <c r="F56" s="294"/>
      <c r="G56" s="294"/>
      <c r="H56" s="294"/>
      <c r="I56" s="303"/>
      <c r="J56" s="294"/>
      <c r="K56" s="303"/>
      <c r="L56" s="294"/>
      <c r="M56" s="303"/>
      <c r="N56" s="294"/>
      <c r="O56" s="294"/>
      <c r="P56" s="294"/>
      <c r="Q56" s="294"/>
      <c r="R56" s="294"/>
      <c r="S56" s="294"/>
      <c r="T56" s="294"/>
      <c r="U56" s="294"/>
    </row>
    <row r="57" spans="2:21" ht="15.75">
      <c r="B57" s="276" t="s">
        <v>508</v>
      </c>
      <c r="C57" s="303"/>
      <c r="E57" s="294"/>
      <c r="F57" s="294">
        <f>+PROPREV!F35+INPUT!CG227+INPUT!CG230-INPUT!CG287-INPUT!CG290</f>
        <v>132256</v>
      </c>
      <c r="G57" s="294"/>
      <c r="H57" s="294">
        <f>+PROPREV!H35+INPUT!CC227+INPUT!CC230-INPUT!CC287-INPUT!CC290-0</f>
        <v>11854</v>
      </c>
      <c r="I57" s="303"/>
      <c r="J57" s="294">
        <f>+'ENT CF'!O55</f>
        <v>37352</v>
      </c>
      <c r="K57" s="303"/>
      <c r="L57" s="294">
        <f>SUM(E57:K57)</f>
        <v>181462</v>
      </c>
      <c r="M57" s="303"/>
      <c r="N57" s="294">
        <f>+'IS CF'!T53</f>
        <v>186785</v>
      </c>
      <c r="O57" s="294"/>
      <c r="P57" s="294"/>
      <c r="Q57" s="294"/>
      <c r="R57" s="294"/>
      <c r="S57" s="294"/>
      <c r="T57" s="294"/>
      <c r="U57" s="294"/>
    </row>
    <row r="58" spans="2:21" ht="15.75">
      <c r="B58" s="276" t="s">
        <v>3286</v>
      </c>
      <c r="C58" s="303"/>
      <c r="E58" s="294"/>
      <c r="F58" s="294">
        <f>-PROPNA!F16-PROPNA!F31+INPUT!CG100+F127+F134-F154</f>
        <v>-428148</v>
      </c>
      <c r="G58" s="294"/>
      <c r="H58" s="294">
        <f>-PROPNA!H16-PROPNA!H31+INPUT!CC100+H127+H134-H154</f>
        <v>-85639</v>
      </c>
      <c r="I58" s="303"/>
      <c r="J58" s="294">
        <f>+'ENT CF'!O56</f>
        <v>-117824</v>
      </c>
      <c r="K58" s="303"/>
      <c r="L58" s="294">
        <f>SUM(E58:K58)</f>
        <v>-631611</v>
      </c>
      <c r="M58" s="303"/>
      <c r="N58" s="294">
        <f>+'IS CF'!T54</f>
        <v>-483517</v>
      </c>
      <c r="O58" s="294"/>
      <c r="P58" s="294"/>
      <c r="Q58" s="294">
        <f>23538-854</f>
        <v>22684</v>
      </c>
      <c r="R58" s="294">
        <f>+Q58-'ENT CF'!D56</f>
        <v>22684</v>
      </c>
      <c r="S58" s="294"/>
      <c r="T58" s="294"/>
      <c r="U58" s="294"/>
    </row>
    <row r="59" spans="2:21" ht="15" hidden="1" customHeight="1">
      <c r="B59" s="276" t="s">
        <v>1193</v>
      </c>
      <c r="C59" s="303"/>
      <c r="E59" s="294"/>
      <c r="F59" s="294"/>
      <c r="G59" s="294"/>
      <c r="H59" s="294"/>
      <c r="I59" s="303"/>
      <c r="J59" s="294">
        <f>+'ENT CF'!O57</f>
        <v>0</v>
      </c>
      <c r="K59" s="303"/>
      <c r="L59" s="294">
        <f>SUM(E59:K59)</f>
        <v>0</v>
      </c>
      <c r="M59" s="303"/>
      <c r="N59" s="294">
        <f>+'IS CF'!T55</f>
        <v>0</v>
      </c>
      <c r="O59" s="294"/>
      <c r="P59" s="294"/>
      <c r="Q59" s="294"/>
      <c r="R59" s="294"/>
      <c r="S59" s="294"/>
      <c r="T59" s="294"/>
      <c r="U59" s="294"/>
    </row>
    <row r="60" spans="2:21" ht="9" hidden="1" customHeight="1">
      <c r="B60" s="276"/>
      <c r="C60" s="303"/>
      <c r="E60" s="294"/>
      <c r="F60" s="294"/>
      <c r="G60" s="294"/>
      <c r="H60" s="294"/>
      <c r="I60" s="303"/>
      <c r="J60" s="294"/>
      <c r="K60" s="303"/>
      <c r="L60" s="294"/>
      <c r="M60" s="303"/>
      <c r="N60" s="294"/>
      <c r="O60" s="294"/>
      <c r="P60" s="294"/>
      <c r="Q60" s="294"/>
      <c r="R60" s="294"/>
      <c r="S60" s="294"/>
      <c r="T60" s="294"/>
      <c r="U60" s="294"/>
    </row>
    <row r="61" spans="2:21" ht="15.75">
      <c r="B61" s="308" t="s">
        <v>1105</v>
      </c>
      <c r="C61" s="303"/>
      <c r="E61" s="294"/>
      <c r="F61" s="298"/>
      <c r="G61" s="294"/>
      <c r="H61" s="298"/>
      <c r="I61" s="303"/>
      <c r="J61" s="298"/>
      <c r="K61" s="303"/>
      <c r="L61" s="298"/>
      <c r="M61" s="303"/>
      <c r="N61" s="298"/>
      <c r="O61" s="294"/>
      <c r="P61" s="294"/>
      <c r="Q61" s="294"/>
      <c r="R61" s="294"/>
      <c r="S61" s="294"/>
      <c r="T61" s="294"/>
      <c r="U61" s="294"/>
    </row>
    <row r="62" spans="2:21" ht="15.75">
      <c r="B62" s="308" t="s">
        <v>510</v>
      </c>
      <c r="C62" s="303"/>
      <c r="E62" s="697"/>
      <c r="F62" s="706">
        <f>SUM(F57:F60)</f>
        <v>-295892</v>
      </c>
      <c r="G62" s="697"/>
      <c r="H62" s="706">
        <f>SUM(H57:H60)</f>
        <v>-73785</v>
      </c>
      <c r="I62" s="704"/>
      <c r="J62" s="706">
        <f>SUM(J57:J60)</f>
        <v>-80472</v>
      </c>
      <c r="K62" s="704"/>
      <c r="L62" s="706">
        <f>SUM(L57:L60)</f>
        <v>-450149</v>
      </c>
      <c r="M62" s="704"/>
      <c r="N62" s="706">
        <f>SUM(N57:N60)</f>
        <v>-296732</v>
      </c>
      <c r="O62" s="339"/>
      <c r="P62" s="300"/>
      <c r="Q62" s="300"/>
      <c r="R62" s="300"/>
      <c r="S62" s="300"/>
      <c r="T62" s="300"/>
      <c r="U62" s="300"/>
    </row>
    <row r="63" spans="2:21" ht="9.9499999999999993" customHeight="1">
      <c r="B63" s="276"/>
      <c r="C63" s="303"/>
      <c r="E63" s="294"/>
      <c r="F63" s="294"/>
      <c r="G63" s="294"/>
      <c r="H63" s="294"/>
      <c r="I63" s="303"/>
      <c r="J63" s="294"/>
      <c r="K63" s="303"/>
      <c r="L63" s="294"/>
      <c r="M63" s="303"/>
      <c r="N63" s="294"/>
      <c r="O63" s="294"/>
      <c r="P63" s="294"/>
      <c r="Q63" s="294"/>
      <c r="R63" s="294"/>
      <c r="S63" s="294"/>
      <c r="T63" s="294"/>
      <c r="U63" s="294"/>
    </row>
    <row r="64" spans="2:21" ht="15.75">
      <c r="B64" s="308" t="s">
        <v>511</v>
      </c>
    </row>
    <row r="65" spans="2:21" ht="15.75">
      <c r="B65" s="308" t="s">
        <v>512</v>
      </c>
      <c r="C65" s="303"/>
      <c r="E65" s="339"/>
      <c r="F65" s="697">
        <f>+F62+F54+F40+F22</f>
        <v>159884</v>
      </c>
      <c r="G65" s="697"/>
      <c r="H65" s="697">
        <f>+H62+H54+H40+H22</f>
        <v>141935</v>
      </c>
      <c r="I65" s="704"/>
      <c r="J65" s="697">
        <f>+J62+J54+J40+J22</f>
        <v>-209325</v>
      </c>
      <c r="K65" s="704"/>
      <c r="L65" s="697">
        <f>+L62+L54+L40+L22</f>
        <v>92494</v>
      </c>
      <c r="M65" s="704"/>
      <c r="N65" s="697">
        <f>+N62+N54+N40+N22</f>
        <v>-765637</v>
      </c>
      <c r="O65" s="339"/>
      <c r="P65" s="300"/>
      <c r="Q65" s="300"/>
      <c r="R65" s="300"/>
      <c r="S65" s="300"/>
      <c r="T65" s="300"/>
      <c r="U65" s="300"/>
    </row>
    <row r="66" spans="2:21" ht="9.9499999999999993" customHeight="1">
      <c r="B66" s="276"/>
      <c r="C66" s="303"/>
      <c r="E66" s="294"/>
      <c r="F66" s="294"/>
      <c r="G66" s="294"/>
      <c r="H66" s="294"/>
      <c r="I66" s="303"/>
      <c r="J66" s="294"/>
      <c r="K66" s="303"/>
      <c r="L66" s="294"/>
      <c r="M66" s="303"/>
      <c r="N66" s="294"/>
      <c r="O66" s="294"/>
      <c r="P66" s="294"/>
      <c r="Q66" s="294"/>
      <c r="R66" s="294"/>
      <c r="S66" s="294"/>
      <c r="T66" s="294"/>
      <c r="U66" s="294"/>
    </row>
    <row r="67" spans="2:21" ht="15.75">
      <c r="B67" s="276" t="s">
        <v>513</v>
      </c>
      <c r="C67" s="303"/>
      <c r="E67" s="294"/>
      <c r="F67" s="317">
        <f>+F126+F133</f>
        <v>3368373</v>
      </c>
      <c r="G67" s="294"/>
      <c r="H67" s="317">
        <f>+H126+H133</f>
        <v>495832</v>
      </c>
      <c r="I67" s="303"/>
      <c r="J67" s="317">
        <f>+'ENT CF'!O65</f>
        <v>1336848</v>
      </c>
      <c r="K67" s="303"/>
      <c r="L67" s="317">
        <f>SUM(E67:K67)</f>
        <v>5201053</v>
      </c>
      <c r="M67" s="303"/>
      <c r="N67" s="317">
        <f>+'IS CF'!T63</f>
        <v>5334995</v>
      </c>
      <c r="O67" s="294"/>
      <c r="P67" s="294"/>
      <c r="Q67" s="294"/>
      <c r="R67" s="294"/>
      <c r="S67" s="294"/>
      <c r="T67" s="294"/>
      <c r="U67" s="294"/>
    </row>
    <row r="68" spans="2:21" ht="9.9499999999999993" customHeight="1">
      <c r="B68" s="276"/>
      <c r="C68" s="303"/>
      <c r="E68" s="294"/>
      <c r="F68" s="294"/>
      <c r="G68" s="294"/>
      <c r="H68" s="294"/>
      <c r="I68" s="303"/>
      <c r="J68" s="294"/>
      <c r="K68" s="303"/>
      <c r="L68" s="294"/>
      <c r="M68" s="303"/>
      <c r="N68" s="294"/>
      <c r="O68" s="294"/>
      <c r="P68" s="294"/>
      <c r="Q68" s="294"/>
      <c r="R68" s="294"/>
      <c r="S68" s="294"/>
      <c r="T68" s="294"/>
      <c r="U68" s="294"/>
    </row>
    <row r="69" spans="2:21" ht="16.5" thickBot="1">
      <c r="B69" s="308" t="s">
        <v>1371</v>
      </c>
      <c r="C69" s="292"/>
      <c r="E69" s="705"/>
      <c r="F69" s="703">
        <f>+F67+F65</f>
        <v>3528257</v>
      </c>
      <c r="G69" s="705"/>
      <c r="H69" s="703">
        <f>+H67+H65</f>
        <v>637767</v>
      </c>
      <c r="I69" s="716"/>
      <c r="J69" s="703">
        <f>+J67+J65</f>
        <v>1127523</v>
      </c>
      <c r="K69" s="716"/>
      <c r="L69" s="703">
        <f>+L67+L65</f>
        <v>5293547</v>
      </c>
      <c r="M69" s="716"/>
      <c r="N69" s="703">
        <f>+N67+N65</f>
        <v>4569358</v>
      </c>
      <c r="O69" s="385"/>
      <c r="P69" s="300"/>
      <c r="Q69" s="300"/>
      <c r="R69" s="300"/>
      <c r="S69" s="300"/>
      <c r="T69" s="300"/>
      <c r="U69" s="300"/>
    </row>
    <row r="70" spans="2:21" ht="16.5" thickTop="1">
      <c r="B70" s="276"/>
      <c r="C70" s="303"/>
      <c r="E70" s="348"/>
      <c r="F70" s="348" t="str">
        <f>IF(F69-F76=0," ",+F76)</f>
        <v xml:space="preserve"> </v>
      </c>
      <c r="G70" s="348"/>
      <c r="H70" s="348" t="str">
        <f>IF(H69-H76=0," ",+H76)</f>
        <v xml:space="preserve"> </v>
      </c>
      <c r="I70" s="348"/>
      <c r="J70" s="348" t="str">
        <f>IF(J69-(ROUND(PROPNA!J15+PROPNA!J30,0))=0," ",+PROPNA!J15+PROPNA!J30)</f>
        <v xml:space="preserve"> </v>
      </c>
      <c r="K70" s="486"/>
      <c r="L70" s="348" t="str">
        <f>IF(L69-L76=0," ",+L76)</f>
        <v xml:space="preserve"> </v>
      </c>
      <c r="M70" s="486"/>
      <c r="N70" s="294" t="str">
        <f>IF(N69-(ROUND(PROPNA!N15+PROPNA!N30,0))=0," ",+PROPNA!N15+PROPNA!N30)</f>
        <v xml:space="preserve"> </v>
      </c>
      <c r="O70" s="294"/>
      <c r="P70" s="294"/>
      <c r="Q70" s="294"/>
      <c r="R70" s="294"/>
      <c r="S70" s="294"/>
      <c r="T70" s="294"/>
      <c r="U70" s="294"/>
    </row>
    <row r="71" spans="2:21" ht="15" customHeight="1">
      <c r="B71" s="276"/>
      <c r="C71" s="303"/>
      <c r="E71" s="348"/>
      <c r="F71" s="348"/>
      <c r="G71" s="348"/>
      <c r="H71" s="348"/>
      <c r="I71" s="486"/>
      <c r="J71" s="348"/>
      <c r="K71" s="486"/>
      <c r="L71" s="348"/>
      <c r="M71" s="486"/>
      <c r="N71" s="294"/>
      <c r="O71" s="294"/>
      <c r="P71" s="294"/>
      <c r="Q71" s="294"/>
      <c r="R71" s="294"/>
      <c r="S71" s="294"/>
      <c r="T71" s="294"/>
      <c r="U71" s="294"/>
    </row>
    <row r="72" spans="2:21" ht="15" customHeight="1">
      <c r="B72" s="276"/>
      <c r="C72" s="303"/>
      <c r="E72" s="348"/>
      <c r="F72" s="348" t="str">
        <f>IF(+F70=0," ",+F69-F70)</f>
        <v xml:space="preserve"> </v>
      </c>
      <c r="G72" s="348"/>
      <c r="H72" s="348" t="str">
        <f>IF(+H70=0," ",+H69-H70)</f>
        <v xml:space="preserve"> </v>
      </c>
      <c r="I72" s="486"/>
      <c r="J72" s="348" t="str">
        <f>IF(+J70=0," ",+J69-J70)</f>
        <v xml:space="preserve"> </v>
      </c>
      <c r="K72" s="486"/>
      <c r="L72" s="348" t="str">
        <f>IF(+L70=0," ",+L69-L70)</f>
        <v xml:space="preserve"> </v>
      </c>
      <c r="M72" s="486"/>
      <c r="N72" s="346" t="str">
        <f>IF(+N70=0," ",+N69-N70)</f>
        <v xml:space="preserve"> </v>
      </c>
      <c r="O72" s="346"/>
      <c r="P72" s="294"/>
      <c r="Q72" s="294"/>
      <c r="R72" s="294"/>
      <c r="S72" s="294"/>
      <c r="T72" s="294"/>
      <c r="U72" s="294"/>
    </row>
    <row r="73" spans="2:21" ht="15" customHeight="1">
      <c r="B73" s="276" t="s">
        <v>834</v>
      </c>
      <c r="C73" s="303"/>
      <c r="E73" s="292"/>
      <c r="F73" s="292">
        <f>+PROPNA!F15</f>
        <v>3528257</v>
      </c>
      <c r="G73" s="292"/>
      <c r="H73" s="292">
        <f>+PROPNA!H15</f>
        <v>637767</v>
      </c>
      <c r="I73" s="303"/>
      <c r="J73" s="292">
        <f>+PROPNA!J15</f>
        <v>1127523</v>
      </c>
      <c r="K73" s="303"/>
      <c r="L73" s="292">
        <f>+PROPNA!L15</f>
        <v>5293547</v>
      </c>
      <c r="M73" s="303"/>
      <c r="N73" s="292">
        <f>+PROPNA!N15</f>
        <v>4569358</v>
      </c>
      <c r="O73" s="292"/>
      <c r="P73" s="294"/>
      <c r="Q73" s="294"/>
      <c r="R73" s="294"/>
      <c r="S73" s="294"/>
      <c r="T73" s="294"/>
      <c r="U73" s="294"/>
    </row>
    <row r="74" spans="2:21" ht="15" hidden="1" customHeight="1">
      <c r="B74" s="276" t="s">
        <v>195</v>
      </c>
      <c r="C74" s="303"/>
      <c r="E74" s="294"/>
      <c r="F74" s="294">
        <f>+PROPNA!F30</f>
        <v>0</v>
      </c>
      <c r="G74" s="294"/>
      <c r="H74" s="294">
        <f>+PROPNA!H30</f>
        <v>0</v>
      </c>
      <c r="I74" s="303"/>
      <c r="J74" s="294">
        <f>+PROPNA!J30</f>
        <v>0</v>
      </c>
      <c r="K74" s="303"/>
      <c r="L74" s="294">
        <f>+PROPNA!L30</f>
        <v>0</v>
      </c>
      <c r="M74" s="303"/>
      <c r="N74" s="294">
        <f>+PROPNA!N30</f>
        <v>0</v>
      </c>
      <c r="O74" s="294"/>
      <c r="P74" s="294"/>
      <c r="Q74" s="294"/>
      <c r="R74" s="294"/>
      <c r="S74" s="294"/>
      <c r="T74" s="294"/>
      <c r="U74" s="294"/>
    </row>
    <row r="75" spans="2:21" ht="9.75" customHeight="1">
      <c r="B75" s="276"/>
      <c r="C75" s="303"/>
      <c r="E75" s="294"/>
      <c r="F75" s="298"/>
      <c r="G75" s="294"/>
      <c r="H75" s="298"/>
      <c r="I75" s="303"/>
      <c r="J75" s="298"/>
      <c r="K75" s="303"/>
      <c r="L75" s="298"/>
      <c r="M75" s="303"/>
      <c r="N75" s="298"/>
      <c r="O75" s="294"/>
      <c r="P75" s="294"/>
      <c r="Q75" s="294"/>
      <c r="R75" s="294"/>
      <c r="S75" s="294"/>
      <c r="T75" s="294"/>
      <c r="U75" s="294"/>
    </row>
    <row r="76" spans="2:21" ht="15" customHeight="1" thickBot="1">
      <c r="B76" s="308" t="s">
        <v>196</v>
      </c>
      <c r="C76" s="319"/>
      <c r="E76" s="705"/>
      <c r="F76" s="703">
        <f>SUM(F73:F74)</f>
        <v>3528257</v>
      </c>
      <c r="G76" s="705"/>
      <c r="H76" s="703">
        <f>SUM(H73:H74)</f>
        <v>637767</v>
      </c>
      <c r="I76" s="708"/>
      <c r="J76" s="703">
        <f>SUM(J73:J74)</f>
        <v>1127523</v>
      </c>
      <c r="K76" s="708"/>
      <c r="L76" s="703">
        <f>SUM(L73:L74)</f>
        <v>5293547</v>
      </c>
      <c r="M76" s="708"/>
      <c r="N76" s="703">
        <f>SUM(N73:N74)</f>
        <v>4569358</v>
      </c>
      <c r="O76" s="385"/>
      <c r="P76" s="294"/>
      <c r="Q76" s="294"/>
      <c r="R76" s="294"/>
      <c r="S76" s="294"/>
      <c r="T76" s="294"/>
      <c r="U76" s="294"/>
    </row>
    <row r="77" spans="2:21" ht="9.9499999999999993" customHeight="1" thickTop="1">
      <c r="B77" s="276"/>
      <c r="C77" s="303"/>
      <c r="E77" s="294"/>
      <c r="F77" s="294"/>
      <c r="G77" s="294"/>
      <c r="H77" s="294"/>
      <c r="I77" s="303"/>
      <c r="J77" s="294"/>
      <c r="K77" s="303"/>
      <c r="L77" s="294"/>
      <c r="M77" s="303"/>
      <c r="N77" s="294"/>
      <c r="O77" s="294"/>
      <c r="P77" s="294"/>
      <c r="Q77" s="294"/>
      <c r="R77" s="294"/>
      <c r="S77" s="294"/>
      <c r="T77" s="294">
        <v>366099</v>
      </c>
      <c r="U77" s="294"/>
    </row>
    <row r="78" spans="2:21" ht="15.75">
      <c r="B78" s="308" t="s">
        <v>267</v>
      </c>
      <c r="C78" s="303"/>
      <c r="E78" s="294"/>
      <c r="F78" s="294"/>
      <c r="G78" s="294"/>
      <c r="H78" s="294"/>
      <c r="I78" s="303"/>
      <c r="J78" s="294"/>
      <c r="K78" s="303"/>
      <c r="L78" s="294"/>
      <c r="M78" s="303"/>
      <c r="N78" s="294"/>
      <c r="O78" s="294"/>
      <c r="P78" s="294"/>
      <c r="Q78" s="294"/>
      <c r="R78" s="294"/>
      <c r="S78" s="294"/>
      <c r="T78" s="294"/>
      <c r="U78" s="294"/>
    </row>
    <row r="79" spans="2:21" ht="15.75">
      <c r="B79" s="308" t="s">
        <v>268</v>
      </c>
      <c r="C79" s="303"/>
      <c r="E79" s="294"/>
      <c r="F79" s="294"/>
      <c r="G79" s="294"/>
      <c r="H79" s="294"/>
      <c r="I79" s="303"/>
      <c r="J79" s="294"/>
      <c r="K79" s="303"/>
      <c r="L79" s="294"/>
      <c r="M79" s="303"/>
      <c r="N79" s="294"/>
      <c r="O79" s="294"/>
      <c r="P79" s="294"/>
      <c r="Q79" s="294"/>
      <c r="R79" s="294"/>
      <c r="S79" s="294"/>
      <c r="T79" s="294"/>
      <c r="U79" s="294"/>
    </row>
    <row r="80" spans="2:21" ht="15.75">
      <c r="B80" s="276" t="s">
        <v>289</v>
      </c>
      <c r="C80" s="292"/>
      <c r="E80" s="292"/>
      <c r="F80" s="292">
        <f>+PROPREV!F30</f>
        <v>174370</v>
      </c>
      <c r="G80" s="292"/>
      <c r="H80" s="292">
        <f>+PROPREV!H30</f>
        <v>-211085</v>
      </c>
      <c r="I80" s="292"/>
      <c r="J80" s="292">
        <f>+'ENT CF'!O78</f>
        <v>-44972</v>
      </c>
      <c r="K80" s="292"/>
      <c r="L80" s="292">
        <f>SUM(E80:K80)</f>
        <v>-81687</v>
      </c>
      <c r="M80" s="292"/>
      <c r="N80" s="292">
        <f>+'IS CF'!T76</f>
        <v>-1774093</v>
      </c>
      <c r="O80" s="292"/>
      <c r="P80" s="294"/>
      <c r="Q80" s="294"/>
      <c r="R80" s="294"/>
      <c r="S80" s="294"/>
      <c r="T80" s="294"/>
      <c r="U80" s="294"/>
    </row>
    <row r="81" spans="2:21" ht="9.9499999999999993" customHeight="1">
      <c r="B81" s="276"/>
      <c r="C81" s="303"/>
      <c r="E81" s="294"/>
      <c r="F81" s="294"/>
      <c r="G81" s="294"/>
      <c r="H81" s="294"/>
      <c r="I81" s="303"/>
      <c r="J81" s="294"/>
      <c r="K81" s="303"/>
      <c r="L81" s="294"/>
      <c r="M81" s="303"/>
      <c r="N81" s="294"/>
      <c r="O81" s="294"/>
      <c r="P81" s="294"/>
      <c r="Q81" s="294"/>
      <c r="R81" s="294"/>
      <c r="S81" s="294"/>
      <c r="T81" s="294"/>
      <c r="U81" s="294"/>
    </row>
    <row r="82" spans="2:21" ht="15.75">
      <c r="B82" s="308" t="s">
        <v>269</v>
      </c>
      <c r="C82" s="303"/>
      <c r="E82" s="294"/>
      <c r="F82" s="294"/>
      <c r="G82" s="294"/>
      <c r="H82" s="294"/>
      <c r="I82" s="303"/>
      <c r="J82" s="294"/>
      <c r="K82" s="303"/>
      <c r="L82" s="294"/>
      <c r="M82" s="303"/>
      <c r="N82" s="294"/>
      <c r="O82" s="294"/>
      <c r="P82" s="294"/>
      <c r="Q82" s="294"/>
      <c r="R82" s="294"/>
      <c r="S82" s="294"/>
      <c r="T82" s="294"/>
      <c r="U82" s="294"/>
    </row>
    <row r="83" spans="2:21" ht="15.75">
      <c r="B83" s="308" t="s">
        <v>475</v>
      </c>
      <c r="C83" s="303"/>
      <c r="E83" s="294"/>
      <c r="F83" s="294"/>
      <c r="G83" s="294"/>
      <c r="H83" s="294"/>
      <c r="I83" s="303"/>
      <c r="J83" s="294"/>
      <c r="K83" s="303"/>
      <c r="L83" s="294"/>
      <c r="M83" s="303"/>
      <c r="N83" s="294"/>
      <c r="O83" s="294"/>
      <c r="P83" s="294"/>
      <c r="Q83" s="294"/>
      <c r="R83" s="294"/>
      <c r="S83" s="294"/>
      <c r="T83" s="294"/>
      <c r="U83" s="294"/>
    </row>
    <row r="84" spans="2:21" ht="15.75">
      <c r="B84" s="276" t="s">
        <v>287</v>
      </c>
      <c r="C84" s="303"/>
      <c r="E84" s="294"/>
      <c r="F84" s="294">
        <f>+PROPREV!F26</f>
        <v>380339</v>
      </c>
      <c r="G84" s="294"/>
      <c r="H84" s="294">
        <f>+PROPREV!H26</f>
        <v>324769</v>
      </c>
      <c r="I84" s="303"/>
      <c r="J84" s="294">
        <f>+'ENT CF'!O82</f>
        <v>13429</v>
      </c>
      <c r="K84" s="303"/>
      <c r="L84" s="294">
        <f>SUM(E84:K84)</f>
        <v>718537</v>
      </c>
      <c r="M84" s="303"/>
      <c r="N84" s="294">
        <f>+'IS CF'!T80</f>
        <v>362340</v>
      </c>
      <c r="O84" s="294"/>
      <c r="P84" s="294"/>
      <c r="Q84" s="294"/>
      <c r="R84" s="294"/>
      <c r="S84" s="294"/>
      <c r="T84" s="294"/>
      <c r="U84" s="294"/>
    </row>
    <row r="85" spans="2:21" ht="9.9499999999999993" customHeight="1">
      <c r="C85" s="303"/>
      <c r="E85" s="294"/>
      <c r="F85" s="294"/>
      <c r="G85" s="294"/>
      <c r="H85" s="294"/>
      <c r="I85" s="303"/>
      <c r="J85" s="294"/>
      <c r="K85" s="303"/>
      <c r="L85" s="294"/>
      <c r="M85" s="303"/>
      <c r="N85" s="294"/>
      <c r="O85" s="294"/>
      <c r="P85" s="294"/>
      <c r="Q85" s="294"/>
      <c r="R85" s="294"/>
      <c r="S85" s="294"/>
      <c r="T85" s="294"/>
      <c r="U85" s="294"/>
    </row>
    <row r="86" spans="2:21" ht="15.75">
      <c r="B86" s="276" t="s">
        <v>936</v>
      </c>
      <c r="C86" s="276"/>
      <c r="I86" s="303"/>
      <c r="K86" s="303"/>
      <c r="M86" s="303"/>
    </row>
    <row r="87" spans="2:21" ht="15.75">
      <c r="B87" s="276" t="s">
        <v>140</v>
      </c>
      <c r="C87" s="276"/>
      <c r="E87" s="294"/>
      <c r="F87" s="294">
        <f>F130-PROPNA!F19-F151-0</f>
        <v>-6727</v>
      </c>
      <c r="G87" s="294"/>
      <c r="H87" s="294">
        <f>-PROPNA!H18-PROPNA!H19+H128+H130+H129</f>
        <v>-901</v>
      </c>
      <c r="I87" s="303"/>
      <c r="J87" s="294">
        <f>+'ENT CF'!O85</f>
        <v>-11889</v>
      </c>
      <c r="K87" s="303"/>
      <c r="L87" s="294">
        <f t="shared" ref="L87:L104" si="3">SUM(E87:K87)</f>
        <v>-19517</v>
      </c>
      <c r="M87" s="303"/>
      <c r="N87" s="294">
        <f>+'IS CF'!T83</f>
        <v>-1804</v>
      </c>
      <c r="O87" s="294"/>
      <c r="P87" s="294"/>
      <c r="Q87" s="294"/>
      <c r="R87" s="294"/>
      <c r="S87" s="294"/>
      <c r="T87" s="294"/>
      <c r="U87" s="294"/>
    </row>
    <row r="88" spans="2:21" ht="15.75" hidden="1">
      <c r="B88" s="276"/>
      <c r="C88" s="276"/>
      <c r="E88" s="294"/>
      <c r="F88" s="294"/>
      <c r="G88" s="294"/>
      <c r="H88" s="294"/>
      <c r="I88" s="303"/>
      <c r="J88" s="294"/>
      <c r="K88" s="303"/>
      <c r="L88" s="294">
        <f t="shared" si="3"/>
        <v>0</v>
      </c>
      <c r="M88" s="303"/>
      <c r="N88" s="294">
        <f>+'IS CF'!T84</f>
        <v>0</v>
      </c>
      <c r="O88" s="294"/>
      <c r="P88" s="294"/>
      <c r="Q88" s="294"/>
      <c r="R88" s="294"/>
      <c r="S88" s="294"/>
      <c r="T88" s="294"/>
      <c r="U88" s="294"/>
    </row>
    <row r="89" spans="2:21" ht="15.75">
      <c r="B89" s="276" t="s">
        <v>3283</v>
      </c>
      <c r="C89" s="276"/>
      <c r="E89" s="294"/>
      <c r="F89" s="294">
        <v>0</v>
      </c>
      <c r="G89" s="294"/>
      <c r="H89" s="294">
        <v>0</v>
      </c>
      <c r="I89" s="303"/>
      <c r="J89" s="294">
        <v>0</v>
      </c>
      <c r="K89" s="303"/>
      <c r="L89" s="294">
        <f t="shared" si="3"/>
        <v>0</v>
      </c>
      <c r="M89" s="303"/>
      <c r="N89" s="294">
        <f>+'IS CF'!T85</f>
        <v>235276</v>
      </c>
      <c r="O89" s="294"/>
      <c r="P89" s="294"/>
      <c r="Q89" s="294"/>
      <c r="R89" s="294"/>
      <c r="S89" s="294"/>
      <c r="T89" s="294"/>
      <c r="U89" s="294"/>
    </row>
    <row r="90" spans="2:21" ht="15.75" hidden="1">
      <c r="B90" s="276" t="s">
        <v>2059</v>
      </c>
      <c r="E90" s="294"/>
      <c r="F90" s="294">
        <v>0</v>
      </c>
      <c r="G90" s="294"/>
      <c r="H90" s="294">
        <v>0</v>
      </c>
      <c r="I90" s="303"/>
      <c r="J90" s="294">
        <v>0</v>
      </c>
      <c r="K90" s="303"/>
      <c r="L90" s="294">
        <f t="shared" si="3"/>
        <v>0</v>
      </c>
      <c r="M90" s="303"/>
      <c r="N90" s="294">
        <f>+'IS CF'!T86</f>
        <v>0</v>
      </c>
      <c r="O90" s="294"/>
      <c r="P90" s="294"/>
      <c r="Q90" s="294"/>
      <c r="R90" s="294"/>
      <c r="S90" s="294"/>
      <c r="T90" s="294"/>
      <c r="U90" s="294"/>
    </row>
    <row r="91" spans="2:21" ht="15.75">
      <c r="B91" s="276" t="s">
        <v>679</v>
      </c>
      <c r="C91" s="276"/>
      <c r="E91" s="294"/>
      <c r="F91" s="294">
        <f>F131-PROPNA!F24</f>
        <v>1311</v>
      </c>
      <c r="G91" s="294"/>
      <c r="H91" s="294">
        <f>-PROPNA!H24+H131</f>
        <v>0</v>
      </c>
      <c r="I91" s="303"/>
      <c r="J91" s="294">
        <f>+'ENT CF'!O87</f>
        <v>0</v>
      </c>
      <c r="K91" s="303"/>
      <c r="L91" s="294">
        <f t="shared" si="3"/>
        <v>1311</v>
      </c>
      <c r="M91" s="303"/>
      <c r="N91" s="294">
        <f>+'IS CF'!T87</f>
        <v>23288</v>
      </c>
      <c r="O91" s="294"/>
      <c r="P91" s="294"/>
      <c r="Q91" s="294"/>
      <c r="R91" s="294"/>
      <c r="S91" s="294"/>
      <c r="T91" s="294"/>
      <c r="U91" s="294"/>
    </row>
    <row r="92" spans="2:21" ht="15.75" hidden="1">
      <c r="B92" s="276" t="s">
        <v>2475</v>
      </c>
      <c r="E92" s="294"/>
      <c r="F92" s="294"/>
      <c r="G92" s="294"/>
      <c r="H92" s="294">
        <v>0</v>
      </c>
      <c r="I92" s="294"/>
      <c r="J92" s="294">
        <v>0</v>
      </c>
      <c r="K92" s="303"/>
      <c r="L92" s="294">
        <f t="shared" si="3"/>
        <v>0</v>
      </c>
      <c r="M92" s="303"/>
      <c r="N92" s="294">
        <v>0</v>
      </c>
      <c r="O92" s="294"/>
      <c r="P92" s="294"/>
      <c r="Q92" s="294"/>
      <c r="R92" s="294"/>
      <c r="S92" s="294"/>
      <c r="T92" s="294"/>
      <c r="U92" s="294"/>
    </row>
    <row r="93" spans="2:21" ht="15.75" hidden="1">
      <c r="B93" s="276" t="s">
        <v>371</v>
      </c>
      <c r="C93" s="276"/>
      <c r="E93" s="294"/>
      <c r="F93" s="294">
        <v>0</v>
      </c>
      <c r="G93" s="294"/>
      <c r="H93" s="294">
        <f>-H141</f>
        <v>0</v>
      </c>
      <c r="I93" s="303"/>
      <c r="J93" s="294">
        <f>+'ENT CF'!O89</f>
        <v>0</v>
      </c>
      <c r="K93" s="303"/>
      <c r="L93" s="294">
        <f t="shared" si="3"/>
        <v>0</v>
      </c>
      <c r="M93" s="303"/>
      <c r="N93" s="294">
        <f>+'IS CF'!T88</f>
        <v>0</v>
      </c>
      <c r="O93" s="294"/>
      <c r="P93" s="294"/>
      <c r="Q93" s="294"/>
      <c r="R93" s="294"/>
      <c r="S93" s="294"/>
      <c r="T93" s="294"/>
      <c r="U93" s="294"/>
    </row>
    <row r="94" spans="2:21" ht="15.75">
      <c r="B94" s="276" t="s">
        <v>75</v>
      </c>
      <c r="C94" s="276"/>
      <c r="E94" s="294"/>
      <c r="F94" s="294">
        <f>+PROPNA!F78+PROPNA!F70-F144</f>
        <v>1333</v>
      </c>
      <c r="G94" s="294"/>
      <c r="H94" s="294">
        <f>+PROPNA!H78+PROPNA!H70-H144-0</f>
        <v>4361</v>
      </c>
      <c r="I94" s="303"/>
      <c r="J94" s="294">
        <f>+'ENT CF'!O90</f>
        <v>1194</v>
      </c>
      <c r="K94" s="303"/>
      <c r="L94" s="294">
        <f t="shared" si="3"/>
        <v>6888</v>
      </c>
      <c r="M94" s="303"/>
      <c r="N94" s="294">
        <f>+'IS CF'!T89</f>
        <v>-9152</v>
      </c>
      <c r="O94" s="294"/>
      <c r="P94" s="294"/>
      <c r="Q94" s="294"/>
      <c r="R94" s="294"/>
      <c r="S94" s="294"/>
      <c r="T94" s="294"/>
      <c r="U94" s="294"/>
    </row>
    <row r="95" spans="2:21" ht="15.75">
      <c r="B95" s="276" t="s">
        <v>389</v>
      </c>
      <c r="C95" s="276"/>
      <c r="E95" s="294"/>
      <c r="F95" s="294">
        <f>-F139+PROPNA!F60</f>
        <v>-5828</v>
      </c>
      <c r="G95" s="294"/>
      <c r="H95" s="294">
        <f>+PROPNA!H60-H139-H159+H160-0</f>
        <v>29226</v>
      </c>
      <c r="I95" s="303"/>
      <c r="J95" s="294">
        <f>+'ENT CF'!O91</f>
        <v>2615</v>
      </c>
      <c r="K95" s="303"/>
      <c r="L95" s="294">
        <f t="shared" si="3"/>
        <v>26013</v>
      </c>
      <c r="M95" s="303"/>
      <c r="N95" s="294">
        <f>+'IS CF'!T90</f>
        <v>-7909</v>
      </c>
      <c r="O95" s="294"/>
      <c r="P95" s="294"/>
      <c r="Q95" s="294"/>
      <c r="R95" s="294"/>
      <c r="S95" s="294"/>
      <c r="T95" s="294"/>
      <c r="U95" s="294"/>
    </row>
    <row r="96" spans="2:21" ht="15.75" hidden="1">
      <c r="B96" s="276" t="s">
        <v>3490</v>
      </c>
      <c r="C96" s="276"/>
      <c r="E96" s="294"/>
      <c r="F96" s="294">
        <v>0</v>
      </c>
      <c r="G96" s="294"/>
      <c r="H96" s="294">
        <v>0</v>
      </c>
      <c r="I96" s="303"/>
      <c r="J96" s="294">
        <v>0</v>
      </c>
      <c r="K96" s="303"/>
      <c r="L96" s="294">
        <f t="shared" si="3"/>
        <v>0</v>
      </c>
      <c r="M96" s="303"/>
      <c r="N96" s="294">
        <f>+'IS CF'!T91</f>
        <v>0</v>
      </c>
      <c r="O96" s="294"/>
      <c r="P96" s="294"/>
      <c r="Q96" s="294"/>
      <c r="R96" s="294"/>
      <c r="S96" s="294"/>
      <c r="T96" s="294"/>
      <c r="U96" s="294"/>
    </row>
    <row r="97" spans="2:21" ht="15.75">
      <c r="B97" s="276" t="s">
        <v>1006</v>
      </c>
      <c r="C97" s="523"/>
      <c r="E97" s="294"/>
      <c r="F97" s="294">
        <f>-F159+F160</f>
        <v>6344</v>
      </c>
      <c r="G97" s="294"/>
      <c r="H97" s="294">
        <f>+PROPNA!H61-H140-H160+H161+0</f>
        <v>0</v>
      </c>
      <c r="I97" s="303"/>
      <c r="J97" s="294">
        <f>+'ENT CF'!O92</f>
        <v>0</v>
      </c>
      <c r="K97" s="303"/>
      <c r="L97" s="294">
        <f t="shared" si="3"/>
        <v>6344</v>
      </c>
      <c r="M97" s="303"/>
      <c r="N97" s="294">
        <f>+'IS CF'!T92</f>
        <v>0</v>
      </c>
      <c r="O97" s="294"/>
      <c r="P97" s="294"/>
      <c r="Q97" s="294"/>
      <c r="R97" s="294"/>
      <c r="S97" s="294"/>
      <c r="T97" s="294"/>
      <c r="U97" s="294"/>
    </row>
    <row r="98" spans="2:21" ht="15.75" hidden="1">
      <c r="B98" s="276" t="s">
        <v>2275</v>
      </c>
      <c r="E98" s="294"/>
      <c r="F98" s="294">
        <v>0</v>
      </c>
      <c r="G98" s="294"/>
      <c r="H98" s="294">
        <v>0</v>
      </c>
      <c r="I98" s="303"/>
      <c r="J98" s="294">
        <v>0</v>
      </c>
      <c r="K98" s="303"/>
      <c r="L98" s="294">
        <f t="shared" si="3"/>
        <v>0</v>
      </c>
      <c r="M98" s="303"/>
      <c r="N98" s="294">
        <f>+'IS CF'!T93</f>
        <v>0</v>
      </c>
      <c r="O98" s="294"/>
      <c r="P98" s="294"/>
      <c r="Q98" s="294"/>
      <c r="R98" s="294"/>
      <c r="S98" s="294"/>
      <c r="T98" s="294"/>
      <c r="U98" s="294"/>
    </row>
    <row r="99" spans="2:21" ht="15.75">
      <c r="B99" s="276" t="s">
        <v>766</v>
      </c>
      <c r="E99" s="294"/>
      <c r="F99" s="294">
        <v>0</v>
      </c>
      <c r="G99" s="294"/>
      <c r="H99" s="294">
        <v>0</v>
      </c>
      <c r="I99" s="303"/>
      <c r="J99" s="294">
        <v>0</v>
      </c>
      <c r="K99" s="303"/>
      <c r="L99" s="294">
        <f t="shared" si="3"/>
        <v>0</v>
      </c>
      <c r="M99" s="303"/>
      <c r="N99" s="294">
        <f>+'IS CF'!T94</f>
        <v>-135246</v>
      </c>
      <c r="O99" s="294"/>
      <c r="P99" s="294"/>
      <c r="Q99" s="294"/>
      <c r="R99" s="294"/>
      <c r="S99" s="294"/>
      <c r="T99" s="294"/>
      <c r="U99" s="294"/>
    </row>
    <row r="100" spans="2:21" ht="15.75">
      <c r="B100" s="276" t="s">
        <v>1201</v>
      </c>
      <c r="C100" s="276"/>
      <c r="E100" s="294"/>
      <c r="F100" s="294">
        <f>+PROPNA!F77-F143</f>
        <v>23309</v>
      </c>
      <c r="G100" s="294"/>
      <c r="H100" s="294">
        <v>0</v>
      </c>
      <c r="I100" s="303"/>
      <c r="J100" s="294">
        <f>+'ENT CF'!O95</f>
        <v>-15300</v>
      </c>
      <c r="K100" s="303"/>
      <c r="L100" s="294">
        <f t="shared" si="3"/>
        <v>8009</v>
      </c>
      <c r="M100" s="303"/>
      <c r="N100" s="294">
        <v>0</v>
      </c>
      <c r="O100" s="294"/>
      <c r="P100" s="294"/>
      <c r="Q100" s="294"/>
      <c r="R100" s="294"/>
      <c r="S100" s="294"/>
      <c r="T100" s="294"/>
      <c r="U100" s="294"/>
    </row>
    <row r="101" spans="2:21" ht="15.75" hidden="1">
      <c r="B101" s="276" t="s">
        <v>2579</v>
      </c>
      <c r="C101" s="276"/>
      <c r="E101" s="294"/>
      <c r="F101" s="294">
        <v>0</v>
      </c>
      <c r="G101" s="294"/>
      <c r="H101" s="294">
        <v>0</v>
      </c>
      <c r="I101" s="303"/>
      <c r="J101" s="294">
        <v>0</v>
      </c>
      <c r="K101" s="303"/>
      <c r="L101" s="294">
        <f t="shared" si="3"/>
        <v>0</v>
      </c>
      <c r="M101" s="303"/>
      <c r="N101" s="294">
        <v>0</v>
      </c>
      <c r="O101" s="294"/>
      <c r="P101" s="294"/>
      <c r="Q101" s="294"/>
      <c r="R101" s="294"/>
      <c r="S101" s="294"/>
      <c r="T101" s="294"/>
      <c r="U101" s="294"/>
    </row>
    <row r="102" spans="2:21" ht="15" hidden="1" customHeight="1">
      <c r="B102" s="276" t="s">
        <v>550</v>
      </c>
      <c r="C102" s="303"/>
      <c r="E102" s="294"/>
      <c r="F102" s="294">
        <v>0</v>
      </c>
      <c r="G102" s="294"/>
      <c r="H102" s="294">
        <v>0</v>
      </c>
      <c r="I102" s="303"/>
      <c r="J102" s="294">
        <v>0</v>
      </c>
      <c r="K102" s="303"/>
      <c r="L102" s="294">
        <f t="shared" si="3"/>
        <v>0</v>
      </c>
      <c r="M102" s="303"/>
      <c r="N102" s="294">
        <v>0</v>
      </c>
      <c r="O102" s="294"/>
      <c r="P102" s="294"/>
      <c r="Q102" s="294"/>
      <c r="R102" s="294"/>
      <c r="S102" s="294"/>
      <c r="T102" s="294"/>
      <c r="U102" s="294"/>
    </row>
    <row r="103" spans="2:21" ht="15" hidden="1" customHeight="1">
      <c r="B103" s="276" t="s">
        <v>896</v>
      </c>
      <c r="C103" s="303"/>
      <c r="E103" s="294"/>
      <c r="F103" s="294">
        <f>F132-PROPNA!F25</f>
        <v>0</v>
      </c>
      <c r="G103" s="294"/>
      <c r="H103" s="294">
        <f>H132-PROPNA!H25</f>
        <v>0</v>
      </c>
      <c r="I103" s="303"/>
      <c r="J103" s="294">
        <f>+'ENT CF'!O99</f>
        <v>0</v>
      </c>
      <c r="K103" s="303"/>
      <c r="L103" s="294">
        <f t="shared" si="3"/>
        <v>0</v>
      </c>
      <c r="M103" s="303"/>
      <c r="N103" s="294">
        <f>+'IS CF'!T98</f>
        <v>0</v>
      </c>
      <c r="O103" s="294"/>
      <c r="P103" s="294"/>
      <c r="Q103" s="294"/>
      <c r="R103" s="294"/>
      <c r="S103" s="294"/>
      <c r="T103" s="294"/>
      <c r="U103" s="294"/>
    </row>
    <row r="104" spans="2:21" ht="15" customHeight="1">
      <c r="B104" s="276" t="s">
        <v>3284</v>
      </c>
      <c r="C104" s="303"/>
      <c r="E104" s="294"/>
      <c r="F104" s="294">
        <v>0</v>
      </c>
      <c r="G104" s="294"/>
      <c r="H104" s="294">
        <v>0</v>
      </c>
      <c r="I104" s="303"/>
      <c r="J104" s="294">
        <v>0</v>
      </c>
      <c r="K104" s="303"/>
      <c r="L104" s="294">
        <f t="shared" si="3"/>
        <v>0</v>
      </c>
      <c r="M104" s="303"/>
      <c r="N104" s="294">
        <f>+'IS CF'!T96</f>
        <v>-247376</v>
      </c>
      <c r="O104" s="294"/>
      <c r="P104" s="294"/>
      <c r="Q104" s="294"/>
      <c r="R104" s="294"/>
      <c r="S104" s="294"/>
      <c r="T104" s="294"/>
      <c r="U104" s="294"/>
    </row>
    <row r="105" spans="2:21" ht="9.9499999999999993" customHeight="1">
      <c r="B105" s="276"/>
      <c r="C105" s="303"/>
      <c r="E105" s="294"/>
      <c r="F105" s="337"/>
      <c r="G105" s="294"/>
      <c r="H105" s="337"/>
      <c r="I105" s="303"/>
      <c r="J105" s="337"/>
      <c r="K105" s="303"/>
      <c r="L105" s="337"/>
      <c r="M105" s="303"/>
      <c r="N105" s="337"/>
      <c r="O105" s="294"/>
      <c r="P105" s="294"/>
      <c r="Q105" s="294"/>
      <c r="R105" s="294"/>
      <c r="S105" s="294"/>
      <c r="T105" s="294"/>
      <c r="U105" s="294"/>
    </row>
    <row r="106" spans="2:21" ht="16.5" thickBot="1">
      <c r="B106" s="308" t="s">
        <v>243</v>
      </c>
      <c r="C106" s="292"/>
      <c r="E106" s="705"/>
      <c r="F106" s="703">
        <f>SUM(F80:F104)</f>
        <v>574451</v>
      </c>
      <c r="G106" s="705"/>
      <c r="H106" s="703">
        <f>SUM(H80:H104)</f>
        <v>146370</v>
      </c>
      <c r="I106" s="705"/>
      <c r="J106" s="703">
        <f>SUM(J80:J104)</f>
        <v>-54923</v>
      </c>
      <c r="K106" s="716"/>
      <c r="L106" s="703">
        <f>SUM(L80:L104)</f>
        <v>665898</v>
      </c>
      <c r="M106" s="716"/>
      <c r="N106" s="703">
        <f>SUM(N80:N104)</f>
        <v>-1554676</v>
      </c>
      <c r="O106" s="385"/>
      <c r="P106" s="300"/>
      <c r="Q106" s="300"/>
      <c r="R106" s="300"/>
      <c r="S106" s="300"/>
      <c r="T106" s="300"/>
      <c r="U106" s="300"/>
    </row>
    <row r="107" spans="2:21" ht="16.5" thickTop="1">
      <c r="B107" s="276"/>
      <c r="C107" s="294"/>
      <c r="E107" s="348"/>
      <c r="F107" s="348" t="str">
        <f>IF((+F106-F22)=0," ",+F106-F22)</f>
        <v xml:space="preserve"> </v>
      </c>
      <c r="G107" s="348"/>
      <c r="H107" s="348" t="str">
        <f>IF((+H106-H22)=0," ",+H106-H22)</f>
        <v xml:space="preserve"> </v>
      </c>
      <c r="I107" s="348"/>
      <c r="J107" s="348" t="str">
        <f>IF((+J106-J22)=0," ",+J106-J22)</f>
        <v xml:space="preserve"> </v>
      </c>
      <c r="K107" s="348"/>
      <c r="L107" s="348" t="str">
        <f>IF((+L106-L22)=0," ",+L106-L22)</f>
        <v xml:space="preserve"> </v>
      </c>
      <c r="M107" s="294"/>
      <c r="N107" s="346" t="str">
        <f>IF((+N106-N22)=0," ",+N106-N22)</f>
        <v xml:space="preserve"> </v>
      </c>
      <c r="O107" s="346"/>
      <c r="P107" s="294"/>
      <c r="Q107" s="294"/>
      <c r="R107" s="294"/>
      <c r="S107" s="294"/>
      <c r="T107" s="294"/>
      <c r="U107" s="294"/>
    </row>
    <row r="108" spans="2:21" ht="15" hidden="1" customHeight="1">
      <c r="B108" s="276"/>
      <c r="C108" s="294"/>
      <c r="E108" s="294"/>
      <c r="F108" s="294"/>
      <c r="G108" s="294"/>
      <c r="H108" s="294"/>
      <c r="I108" s="294"/>
      <c r="J108" s="294">
        <f>+J106-J22</f>
        <v>0</v>
      </c>
      <c r="K108" s="294"/>
      <c r="L108" s="294">
        <f>+L106-L22</f>
        <v>0</v>
      </c>
      <c r="M108" s="294"/>
      <c r="N108" s="294">
        <f>+N106-N22</f>
        <v>0</v>
      </c>
      <c r="O108" s="294"/>
      <c r="P108" s="294"/>
      <c r="Q108" s="294"/>
      <c r="R108" s="294"/>
      <c r="S108" s="294"/>
      <c r="T108" s="294"/>
      <c r="U108" s="294"/>
    </row>
    <row r="109" spans="2:21" ht="15.75">
      <c r="B109" s="308" t="s">
        <v>1036</v>
      </c>
      <c r="C109" s="294"/>
      <c r="E109" s="294"/>
      <c r="F109" s="294"/>
      <c r="G109" s="294"/>
      <c r="H109" s="294"/>
      <c r="I109" s="294"/>
      <c r="J109" s="294"/>
      <c r="K109" s="294"/>
      <c r="L109" s="294"/>
      <c r="M109" s="294"/>
      <c r="N109" s="294"/>
      <c r="O109" s="294"/>
      <c r="P109" s="294"/>
      <c r="Q109" s="294"/>
      <c r="R109" s="294"/>
      <c r="S109" s="294"/>
      <c r="T109" s="294"/>
      <c r="U109" s="294"/>
    </row>
    <row r="110" spans="2:21" ht="15.75" hidden="1">
      <c r="B110" s="276" t="s">
        <v>3171</v>
      </c>
      <c r="C110" s="276"/>
      <c r="E110" s="294"/>
      <c r="F110" s="292">
        <f>+PROPREV!F49</f>
        <v>0</v>
      </c>
      <c r="G110" s="292"/>
      <c r="H110" s="292">
        <f>+PROPREV!H49</f>
        <v>0</v>
      </c>
      <c r="I110" s="292"/>
      <c r="J110" s="292">
        <v>0</v>
      </c>
      <c r="K110" s="292"/>
      <c r="L110" s="292">
        <f t="shared" ref="L110:L120" si="4">SUM(E110:K110)</f>
        <v>0</v>
      </c>
      <c r="M110" s="292"/>
      <c r="N110" s="292">
        <v>0</v>
      </c>
      <c r="O110" s="294"/>
      <c r="P110" s="1217" t="s">
        <v>3336</v>
      </c>
      <c r="Q110" s="294"/>
      <c r="R110" s="294"/>
      <c r="S110" s="294"/>
      <c r="T110" s="294"/>
      <c r="U110" s="294"/>
    </row>
    <row r="111" spans="2:21" ht="15.75" hidden="1">
      <c r="B111" s="276" t="s">
        <v>1158</v>
      </c>
      <c r="C111" s="276"/>
      <c r="E111" s="294"/>
      <c r="F111" s="294">
        <v>0</v>
      </c>
      <c r="G111" s="294"/>
      <c r="H111" s="294">
        <v>0</v>
      </c>
      <c r="I111" s="303"/>
      <c r="J111" s="294">
        <v>0</v>
      </c>
      <c r="K111" s="303"/>
      <c r="L111" s="294">
        <f t="shared" si="4"/>
        <v>0</v>
      </c>
      <c r="M111" s="303"/>
      <c r="N111" s="294">
        <f>+'IS CF'!T104</f>
        <v>0</v>
      </c>
      <c r="O111" s="294"/>
      <c r="P111" s="294"/>
      <c r="Q111" s="294"/>
      <c r="R111" s="294"/>
      <c r="S111" s="294"/>
      <c r="T111" s="294"/>
      <c r="U111" s="294"/>
    </row>
    <row r="112" spans="2:21" ht="15.75">
      <c r="B112" s="276" t="s">
        <v>816</v>
      </c>
      <c r="C112" s="276"/>
      <c r="E112" s="292"/>
      <c r="F112" s="292">
        <v>0</v>
      </c>
      <c r="G112" s="292"/>
      <c r="H112" s="292">
        <f>+INPUT!CC334</f>
        <v>300</v>
      </c>
      <c r="I112" s="292"/>
      <c r="J112" s="292">
        <v>0</v>
      </c>
      <c r="K112" s="292"/>
      <c r="L112" s="292">
        <f t="shared" si="4"/>
        <v>300</v>
      </c>
      <c r="M112" s="292"/>
      <c r="N112" s="292">
        <v>0</v>
      </c>
      <c r="O112" s="292"/>
      <c r="P112" s="294"/>
      <c r="Q112" s="294"/>
      <c r="R112" s="294"/>
      <c r="S112" s="294"/>
      <c r="T112" s="294"/>
      <c r="U112" s="294"/>
    </row>
    <row r="113" spans="2:22" ht="15" customHeight="1">
      <c r="B113" s="276" t="s">
        <v>832</v>
      </c>
      <c r="C113" s="276"/>
      <c r="E113" s="294"/>
      <c r="F113" s="294">
        <f>+INPUT!CG334</f>
        <v>0</v>
      </c>
      <c r="G113" s="294"/>
      <c r="H113" s="294">
        <v>0</v>
      </c>
      <c r="I113" s="303"/>
      <c r="J113" s="294">
        <f>+'ENT CF'!O108</f>
        <v>4127</v>
      </c>
      <c r="K113" s="303"/>
      <c r="L113" s="294">
        <f t="shared" si="4"/>
        <v>4127</v>
      </c>
      <c r="M113" s="303"/>
      <c r="N113" s="294">
        <f>+'IS CF'!T106</f>
        <v>0</v>
      </c>
      <c r="O113" s="294"/>
      <c r="P113" s="294"/>
      <c r="Q113" s="294"/>
      <c r="R113" s="294"/>
      <c r="S113" s="294"/>
      <c r="T113" s="294"/>
      <c r="U113" s="294"/>
    </row>
    <row r="114" spans="2:22" ht="15" hidden="1" customHeight="1">
      <c r="B114" s="276" t="s">
        <v>127</v>
      </c>
      <c r="C114" s="276"/>
      <c r="E114" s="294"/>
      <c r="F114" s="294">
        <v>0</v>
      </c>
      <c r="G114" s="294"/>
      <c r="H114" s="294">
        <v>0</v>
      </c>
      <c r="I114" s="303"/>
      <c r="J114" s="294">
        <f>+'ENT CF'!O111</f>
        <v>0</v>
      </c>
      <c r="K114" s="303"/>
      <c r="L114" s="294">
        <f t="shared" si="4"/>
        <v>0</v>
      </c>
      <c r="M114" s="303"/>
      <c r="N114" s="294">
        <f>+'IS CF'!T107</f>
        <v>0</v>
      </c>
      <c r="O114" s="294"/>
      <c r="P114" s="294"/>
      <c r="Q114" s="294"/>
      <c r="R114" s="294"/>
      <c r="S114" s="294"/>
      <c r="T114" s="294"/>
      <c r="U114" s="294"/>
    </row>
    <row r="115" spans="2:22" ht="15.75" hidden="1" customHeight="1">
      <c r="B115" s="276" t="s">
        <v>1005</v>
      </c>
      <c r="C115" s="276"/>
      <c r="E115" s="294"/>
      <c r="F115" s="294">
        <v>0</v>
      </c>
      <c r="G115" s="294"/>
      <c r="H115" s="294">
        <v>0</v>
      </c>
      <c r="I115" s="303"/>
      <c r="J115" s="294">
        <f>+'ENT CF'!O107</f>
        <v>0</v>
      </c>
      <c r="K115" s="303"/>
      <c r="L115" s="294">
        <f t="shared" si="4"/>
        <v>0</v>
      </c>
      <c r="M115" s="303"/>
      <c r="N115" s="294">
        <f>+'IS CF'!T108</f>
        <v>0</v>
      </c>
      <c r="O115" s="294"/>
      <c r="P115" s="294"/>
      <c r="Q115" s="294"/>
      <c r="R115" s="294"/>
      <c r="S115" s="294"/>
      <c r="T115" s="294"/>
      <c r="U115" s="294"/>
    </row>
    <row r="116" spans="2:22" ht="15.75" hidden="1" customHeight="1">
      <c r="B116" s="276" t="s">
        <v>2276</v>
      </c>
      <c r="C116" s="276"/>
      <c r="E116" s="294"/>
      <c r="F116" s="294">
        <v>0</v>
      </c>
      <c r="G116" s="294"/>
      <c r="H116" s="294">
        <f>H156</f>
        <v>0</v>
      </c>
      <c r="I116" s="303"/>
      <c r="J116" s="294">
        <f>+'ENT CF'!O112</f>
        <v>0</v>
      </c>
      <c r="K116" s="303"/>
      <c r="L116" s="294">
        <f t="shared" si="4"/>
        <v>0</v>
      </c>
      <c r="M116" s="303"/>
      <c r="N116" s="294">
        <f>+'IS CF'!T109</f>
        <v>0</v>
      </c>
      <c r="O116" s="294"/>
      <c r="P116" s="294"/>
      <c r="Q116" s="294"/>
      <c r="R116" s="294"/>
      <c r="S116" s="294"/>
      <c r="T116" s="294"/>
      <c r="U116" s="294"/>
    </row>
    <row r="117" spans="2:22" ht="15.75" customHeight="1">
      <c r="B117" s="276" t="s">
        <v>3506</v>
      </c>
      <c r="C117" s="276"/>
      <c r="E117" s="294"/>
      <c r="F117" s="294">
        <v>0</v>
      </c>
      <c r="G117" s="294"/>
      <c r="H117" s="294">
        <v>0</v>
      </c>
      <c r="I117" s="303"/>
      <c r="J117" s="294">
        <v>0</v>
      </c>
      <c r="K117" s="303"/>
      <c r="L117" s="294">
        <f t="shared" si="4"/>
        <v>0</v>
      </c>
      <c r="M117" s="303"/>
      <c r="N117" s="294">
        <f>+'IS CF'!T110</f>
        <v>813813</v>
      </c>
      <c r="O117" s="294"/>
      <c r="P117" s="294"/>
      <c r="Q117" s="294"/>
      <c r="R117" s="294"/>
      <c r="S117" s="294"/>
      <c r="T117" s="294"/>
      <c r="U117" s="294"/>
    </row>
    <row r="118" spans="2:22" ht="15.75" customHeight="1">
      <c r="B118" s="276" t="s">
        <v>3519</v>
      </c>
      <c r="C118" s="276"/>
      <c r="E118" s="294"/>
      <c r="F118" s="294">
        <v>0</v>
      </c>
      <c r="G118" s="294"/>
      <c r="H118" s="294">
        <v>0</v>
      </c>
      <c r="I118" s="303"/>
      <c r="J118" s="294">
        <v>0</v>
      </c>
      <c r="K118" s="303"/>
      <c r="L118" s="294">
        <f t="shared" ref="L118" si="5">SUM(E118:K118)</f>
        <v>0</v>
      </c>
      <c r="M118" s="303"/>
      <c r="N118" s="294">
        <f>+'IS CF'!T111</f>
        <v>547482</v>
      </c>
      <c r="O118" s="294"/>
      <c r="P118" s="294"/>
      <c r="Q118" s="294"/>
      <c r="R118" s="294"/>
      <c r="S118" s="294"/>
      <c r="T118" s="294"/>
      <c r="U118" s="294"/>
    </row>
    <row r="119" spans="2:22" ht="15.75" hidden="1" customHeight="1">
      <c r="B119" s="276" t="s">
        <v>1771</v>
      </c>
      <c r="C119" s="276"/>
      <c r="E119" s="294"/>
      <c r="F119" s="294">
        <v>0</v>
      </c>
      <c r="G119" s="294"/>
      <c r="H119" s="294">
        <v>0</v>
      </c>
      <c r="I119" s="303"/>
      <c r="J119" s="294">
        <f>+'ENT CF'!O113</f>
        <v>0</v>
      </c>
      <c r="K119" s="303"/>
      <c r="L119" s="294">
        <f t="shared" si="4"/>
        <v>0</v>
      </c>
      <c r="M119" s="303"/>
      <c r="N119" s="294">
        <v>0</v>
      </c>
      <c r="O119" s="294"/>
      <c r="P119" s="294"/>
      <c r="Q119" s="294"/>
      <c r="R119" s="294"/>
      <c r="S119" s="294"/>
      <c r="T119" s="294"/>
      <c r="U119" s="294"/>
    </row>
    <row r="120" spans="2:22" ht="15.75" hidden="1" customHeight="1">
      <c r="B120" s="276" t="s">
        <v>1701</v>
      </c>
      <c r="C120" s="276"/>
      <c r="E120" s="294"/>
      <c r="F120" s="294">
        <v>0</v>
      </c>
      <c r="G120" s="294"/>
      <c r="H120" s="294">
        <f>-H158</f>
        <v>0</v>
      </c>
      <c r="I120" s="303"/>
      <c r="J120" s="294">
        <f>+'ENT CF'!O114</f>
        <v>0</v>
      </c>
      <c r="K120" s="303"/>
      <c r="L120" s="294">
        <f t="shared" si="4"/>
        <v>0</v>
      </c>
      <c r="M120" s="303"/>
      <c r="N120" s="294">
        <f>+'IS CF'!T112</f>
        <v>0</v>
      </c>
      <c r="O120" s="294"/>
      <c r="P120" s="294"/>
      <c r="Q120" s="294"/>
      <c r="R120" s="294"/>
      <c r="S120" s="294"/>
      <c r="T120" s="294"/>
      <c r="U120" s="294"/>
    </row>
    <row r="121" spans="2:22" ht="15.75">
      <c r="B121" s="350"/>
      <c r="C121" s="303"/>
      <c r="F121" s="303"/>
      <c r="G121" s="303"/>
      <c r="H121" s="303"/>
      <c r="I121" s="303"/>
      <c r="J121" s="294"/>
      <c r="K121" s="294"/>
      <c r="L121" s="294"/>
      <c r="M121" s="294"/>
      <c r="N121" s="294"/>
      <c r="O121" s="294"/>
      <c r="P121" s="294"/>
      <c r="Q121" s="294"/>
      <c r="R121" s="294"/>
      <c r="S121" s="294"/>
      <c r="T121" s="294"/>
      <c r="U121" s="294"/>
    </row>
    <row r="122" spans="2:22" ht="15.75">
      <c r="B122" s="284"/>
    </row>
    <row r="123" spans="2:22" ht="15.75">
      <c r="B123" s="276"/>
      <c r="C123" s="303"/>
      <c r="F123" s="303"/>
      <c r="G123" s="303"/>
      <c r="I123" s="303"/>
      <c r="J123" s="294"/>
      <c r="K123" s="294"/>
      <c r="L123" s="294"/>
      <c r="M123" s="294"/>
      <c r="N123" s="294"/>
      <c r="O123" s="294"/>
      <c r="P123" s="294"/>
      <c r="Q123" s="294"/>
      <c r="R123" s="294"/>
      <c r="S123" s="294"/>
      <c r="T123" s="294"/>
      <c r="U123" s="294">
        <v>70325.47</v>
      </c>
      <c r="V123" s="288">
        <v>68464.45</v>
      </c>
    </row>
    <row r="124" spans="2:22">
      <c r="N124" s="431" t="s">
        <v>1037</v>
      </c>
      <c r="O124" s="431"/>
      <c r="P124" s="431"/>
      <c r="Q124" s="431"/>
      <c r="R124" s="431"/>
      <c r="S124" s="431"/>
      <c r="T124" s="431"/>
      <c r="U124" s="431">
        <v>83000</v>
      </c>
      <c r="V124" s="288">
        <v>82000</v>
      </c>
    </row>
    <row r="125" spans="2:22">
      <c r="F125" s="1057" t="s">
        <v>3492</v>
      </c>
      <c r="G125" s="354"/>
      <c r="H125" s="354"/>
      <c r="N125" s="288" t="s">
        <v>1226</v>
      </c>
      <c r="U125" s="288">
        <v>69388.72</v>
      </c>
      <c r="V125" s="288">
        <v>67552.490000000005</v>
      </c>
    </row>
    <row r="126" spans="2:22" ht="15.75">
      <c r="B126" s="288" t="s">
        <v>1363</v>
      </c>
      <c r="E126" s="310"/>
      <c r="F126" s="310">
        <v>3368373</v>
      </c>
      <c r="G126" s="310"/>
      <c r="H126" s="310">
        <v>495832</v>
      </c>
      <c r="U126" s="288">
        <v>82000</v>
      </c>
    </row>
    <row r="127" spans="2:22" ht="15.75">
      <c r="B127" s="288" t="s">
        <v>661</v>
      </c>
      <c r="E127" s="310"/>
      <c r="F127" s="310">
        <v>245757</v>
      </c>
      <c r="G127" s="310"/>
      <c r="H127" s="310">
        <v>36176</v>
      </c>
      <c r="U127" s="288">
        <f>SUM(U123:U126)</f>
        <v>304714.19</v>
      </c>
      <c r="V127" s="288">
        <v>80000</v>
      </c>
    </row>
    <row r="128" spans="2:22" ht="15.75">
      <c r="B128" s="288" t="s">
        <v>320</v>
      </c>
      <c r="E128" s="310"/>
      <c r="F128" s="310"/>
      <c r="G128" s="310"/>
      <c r="H128" s="310">
        <v>13784</v>
      </c>
      <c r="V128" s="288">
        <f>SUM(V123:V127)</f>
        <v>298016.94</v>
      </c>
    </row>
    <row r="129" spans="2:15" ht="15.75">
      <c r="B129" s="288" t="s">
        <v>1631</v>
      </c>
      <c r="E129" s="310"/>
      <c r="F129" s="310"/>
      <c r="G129" s="310"/>
      <c r="H129" s="310"/>
      <c r="J129" s="748"/>
    </row>
    <row r="130" spans="2:15" ht="15.75">
      <c r="B130" s="288" t="s">
        <v>662</v>
      </c>
      <c r="E130" s="310"/>
      <c r="F130" s="310">
        <v>98909</v>
      </c>
      <c r="G130" s="310"/>
      <c r="H130" s="310">
        <v>0</v>
      </c>
    </row>
    <row r="131" spans="2:15" ht="15.75">
      <c r="B131" s="288" t="s">
        <v>1365</v>
      </c>
      <c r="E131" s="310"/>
      <c r="F131" s="310">
        <v>13572</v>
      </c>
      <c r="G131" s="310"/>
      <c r="H131" s="310"/>
    </row>
    <row r="132" spans="2:15" ht="15.75">
      <c r="B132" s="288" t="s">
        <v>897</v>
      </c>
      <c r="E132" s="310"/>
      <c r="F132" s="310"/>
      <c r="G132" s="310"/>
      <c r="H132" s="310"/>
    </row>
    <row r="133" spans="2:15" ht="15.75">
      <c r="B133" s="288" t="s">
        <v>1364</v>
      </c>
      <c r="E133" s="310"/>
      <c r="F133" s="310">
        <v>0</v>
      </c>
      <c r="G133" s="310"/>
      <c r="H133" s="310">
        <v>0</v>
      </c>
    </row>
    <row r="134" spans="2:15" ht="15.75">
      <c r="B134" s="288" t="s">
        <v>663</v>
      </c>
      <c r="E134" s="310"/>
      <c r="F134" s="310">
        <v>0</v>
      </c>
      <c r="G134" s="310"/>
      <c r="H134" s="310">
        <v>0</v>
      </c>
    </row>
    <row r="135" spans="2:15" ht="15.75">
      <c r="B135" s="288" t="s">
        <v>711</v>
      </c>
      <c r="E135" s="310"/>
      <c r="F135" s="310">
        <v>5508289</v>
      </c>
      <c r="G135" s="310"/>
      <c r="H135" s="310">
        <v>7433601</v>
      </c>
    </row>
    <row r="136" spans="2:15" ht="15.75">
      <c r="E136" s="310"/>
      <c r="F136" s="310"/>
      <c r="G136" s="310"/>
      <c r="H136" s="310"/>
    </row>
    <row r="137" spans="2:15" ht="15.75">
      <c r="B137" s="276" t="s">
        <v>2476</v>
      </c>
      <c r="E137" s="310"/>
      <c r="F137" s="310">
        <v>0</v>
      </c>
      <c r="G137" s="310"/>
      <c r="H137" s="310">
        <v>0</v>
      </c>
    </row>
    <row r="138" spans="2:15" ht="15.75">
      <c r="E138" s="310"/>
      <c r="F138" s="310"/>
      <c r="G138" s="310"/>
      <c r="H138" s="310"/>
    </row>
    <row r="139" spans="2:15" ht="15.75">
      <c r="B139" s="288" t="s">
        <v>274</v>
      </c>
      <c r="E139" s="310"/>
      <c r="F139" s="310">
        <v>6344</v>
      </c>
      <c r="G139" s="310"/>
      <c r="H139" s="310">
        <v>26435</v>
      </c>
    </row>
    <row r="140" spans="2:15" ht="15.75">
      <c r="B140" s="288" t="s">
        <v>549</v>
      </c>
      <c r="E140" s="310"/>
      <c r="F140" s="310"/>
      <c r="G140" s="310"/>
      <c r="H140" s="310"/>
    </row>
    <row r="141" spans="2:15" ht="15.75">
      <c r="B141" s="288" t="s">
        <v>712</v>
      </c>
      <c r="E141" s="310"/>
      <c r="F141" s="310"/>
      <c r="G141" s="310"/>
      <c r="H141" s="310"/>
      <c r="L141" s="374"/>
      <c r="M141" s="748"/>
      <c r="N141" s="748"/>
      <c r="O141" s="748"/>
    </row>
    <row r="142" spans="2:15" ht="15.75">
      <c r="B142" s="288" t="s">
        <v>1351</v>
      </c>
      <c r="E142" s="310"/>
      <c r="F142" s="310">
        <v>1209825</v>
      </c>
      <c r="G142" s="310"/>
      <c r="H142" s="310">
        <v>0</v>
      </c>
      <c r="L142" s="748"/>
      <c r="M142" s="748"/>
      <c r="N142" s="748"/>
      <c r="O142" s="748"/>
    </row>
    <row r="143" spans="2:15" ht="15.75">
      <c r="B143" s="288" t="s">
        <v>276</v>
      </c>
      <c r="E143" s="310"/>
      <c r="F143" s="310">
        <v>1075257</v>
      </c>
      <c r="G143" s="310"/>
      <c r="H143" s="310"/>
    </row>
    <row r="144" spans="2:15" ht="15.75">
      <c r="B144" s="288" t="s">
        <v>149</v>
      </c>
      <c r="E144" s="310"/>
      <c r="F144" s="276">
        <f>+INPUT!CG269</f>
        <v>24156</v>
      </c>
      <c r="G144" s="310"/>
      <c r="H144" s="276">
        <f>+INPUT!CC269</f>
        <v>41840</v>
      </c>
    </row>
    <row r="145" spans="2:16" ht="15.75">
      <c r="B145" s="288" t="s">
        <v>2044</v>
      </c>
      <c r="E145" s="310"/>
      <c r="F145" s="334">
        <v>0</v>
      </c>
      <c r="G145" s="310"/>
      <c r="H145" s="334">
        <v>0</v>
      </c>
    </row>
    <row r="146" spans="2:16" ht="15.75">
      <c r="B146" s="288" t="s">
        <v>567</v>
      </c>
      <c r="E146" s="310"/>
      <c r="F146" s="334">
        <v>0</v>
      </c>
      <c r="G146" s="334"/>
      <c r="H146" s="334">
        <v>0</v>
      </c>
    </row>
    <row r="147" spans="2:16" ht="15.75">
      <c r="E147" s="310"/>
      <c r="F147" s="276"/>
      <c r="G147" s="310"/>
      <c r="H147" s="276"/>
    </row>
    <row r="148" spans="2:16" ht="15.75">
      <c r="B148" s="276" t="s">
        <v>2477</v>
      </c>
      <c r="E148" s="310"/>
      <c r="F148" s="310">
        <v>0</v>
      </c>
      <c r="G148" s="310"/>
      <c r="H148" s="310">
        <v>0</v>
      </c>
    </row>
    <row r="149" spans="2:16" ht="15.75">
      <c r="B149" s="276"/>
      <c r="E149" s="310"/>
      <c r="F149" s="310"/>
      <c r="G149" s="310"/>
      <c r="H149" s="310"/>
    </row>
    <row r="150" spans="2:16" ht="15.75">
      <c r="B150" s="288" t="s">
        <v>817</v>
      </c>
      <c r="E150" s="310"/>
      <c r="F150" s="310"/>
      <c r="G150" s="310"/>
      <c r="H150" s="276">
        <f>+INPUT!CC334</f>
        <v>300</v>
      </c>
    </row>
    <row r="151" spans="2:16" ht="15.75">
      <c r="B151" s="288" t="s">
        <v>1192</v>
      </c>
      <c r="E151" s="310"/>
      <c r="F151" s="310"/>
      <c r="G151" s="310"/>
      <c r="H151" s="310"/>
    </row>
    <row r="152" spans="2:16" ht="15.75">
      <c r="B152" s="288" t="s">
        <v>551</v>
      </c>
      <c r="E152" s="488"/>
      <c r="F152" s="488">
        <v>0</v>
      </c>
      <c r="G152" s="488"/>
      <c r="H152" s="489">
        <v>0</v>
      </c>
      <c r="J152" s="490" t="s">
        <v>2428</v>
      </c>
      <c r="P152" s="418"/>
    </row>
    <row r="153" spans="2:16" ht="15.75">
      <c r="B153" s="288" t="s">
        <v>660</v>
      </c>
      <c r="E153" s="310"/>
      <c r="F153" s="310">
        <v>0</v>
      </c>
      <c r="G153" s="310"/>
      <c r="H153" s="310"/>
      <c r="J153" s="490" t="s">
        <v>3020</v>
      </c>
    </row>
    <row r="154" spans="2:16" ht="15.75">
      <c r="B154" s="288" t="s">
        <v>275</v>
      </c>
      <c r="E154" s="310"/>
      <c r="F154" s="310">
        <f>+INPUT!CG227</f>
        <v>0</v>
      </c>
      <c r="G154" s="310"/>
      <c r="H154" s="276">
        <f>+INPUT!CC227</f>
        <v>0</v>
      </c>
    </row>
    <row r="155" spans="2:16" ht="15.75">
      <c r="B155" s="288" t="s">
        <v>796</v>
      </c>
      <c r="E155" s="310"/>
      <c r="F155" s="310">
        <v>0</v>
      </c>
      <c r="G155" s="310"/>
      <c r="H155" s="310"/>
    </row>
    <row r="156" spans="2:16" ht="15.75">
      <c r="B156" s="288" t="s">
        <v>1309</v>
      </c>
      <c r="E156" s="310"/>
      <c r="F156" s="334">
        <v>0</v>
      </c>
      <c r="G156" s="310"/>
      <c r="H156" s="491">
        <v>0</v>
      </c>
    </row>
    <row r="157" spans="2:16" ht="15.75">
      <c r="B157" s="288" t="s">
        <v>238</v>
      </c>
      <c r="E157" s="310"/>
      <c r="F157" s="310"/>
      <c r="G157" s="310"/>
      <c r="H157" s="310"/>
    </row>
    <row r="158" spans="2:16" ht="15.75">
      <c r="B158" s="288" t="s">
        <v>239</v>
      </c>
      <c r="E158" s="310"/>
      <c r="F158" s="310"/>
      <c r="G158" s="310"/>
      <c r="H158" s="310">
        <v>0</v>
      </c>
    </row>
    <row r="159" spans="2:16" ht="15.75">
      <c r="B159" s="288" t="s">
        <v>416</v>
      </c>
      <c r="E159" s="310"/>
      <c r="F159" s="276">
        <f>+INPUT!CG309</f>
        <v>0</v>
      </c>
      <c r="G159" s="310"/>
      <c r="H159" s="276">
        <v>0</v>
      </c>
    </row>
    <row r="160" spans="2:16" ht="15.75">
      <c r="B160" s="288" t="s">
        <v>415</v>
      </c>
      <c r="E160" s="310"/>
      <c r="F160" s="276">
        <f>+INPUT!CG249</f>
        <v>6344</v>
      </c>
      <c r="G160" s="310"/>
      <c r="H160" s="276">
        <f>+INPUT!CC249</f>
        <v>0</v>
      </c>
      <c r="J160" s="288" t="s">
        <v>57</v>
      </c>
    </row>
    <row r="163" spans="2:8">
      <c r="B163" s="288" t="s">
        <v>2310</v>
      </c>
      <c r="F163" s="391">
        <v>516</v>
      </c>
      <c r="H163" s="288">
        <v>0</v>
      </c>
    </row>
    <row r="164" spans="2:8">
      <c r="B164" s="288" t="s">
        <v>2425</v>
      </c>
      <c r="F164" s="391">
        <v>0</v>
      </c>
      <c r="H164" s="391">
        <v>0</v>
      </c>
    </row>
  </sheetData>
  <mergeCells count="4">
    <mergeCell ref="B3:N3"/>
    <mergeCell ref="B4:N4"/>
    <mergeCell ref="B5:N5"/>
    <mergeCell ref="B6:N6"/>
  </mergeCells>
  <phoneticPr fontId="0" type="noConversion"/>
  <printOptions horizontalCentered="1"/>
  <pageMargins left="0.35" right="0.35" top="0.5" bottom="0.54" header="0.25" footer="0.2"/>
  <pageSetup scale="55" firstPageNumber="28" orientation="portrait" useFirstPageNumber="1" r:id="rId1"/>
  <headerFooter alignWithMargins="0"/>
  <ignoredErrors>
    <ignoredError sqref="L118 L36"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codeName="Sheet20"/>
  <dimension ref="B1:T95"/>
  <sheetViews>
    <sheetView showGridLines="0" zoomScale="74" zoomScaleNormal="74" workbookViewId="0">
      <selection activeCell="L37" sqref="L37"/>
    </sheetView>
  </sheetViews>
  <sheetFormatPr defaultColWidth="9.7109375" defaultRowHeight="12.75"/>
  <cols>
    <col min="1" max="1" width="10" style="288" customWidth="1"/>
    <col min="2" max="2" width="53.85546875" style="288" customWidth="1"/>
    <col min="3" max="3" width="2.7109375" style="288" customWidth="1"/>
    <col min="4" max="4" width="23.7109375" style="288" customWidth="1"/>
    <col min="5" max="5" width="3.7109375" style="427" customWidth="1"/>
    <col min="6" max="6" width="20.7109375" style="427" customWidth="1"/>
    <col min="7" max="7" width="3.7109375" style="427" customWidth="1"/>
    <col min="8" max="8" width="20.7109375" style="427" customWidth="1"/>
    <col min="9" max="9" width="4" style="427" customWidth="1"/>
    <col min="10" max="10" width="18.7109375" style="427" customWidth="1"/>
    <col min="11" max="11" width="16.5703125" style="427" customWidth="1"/>
    <col min="12" max="12" width="19.28515625" style="427" customWidth="1"/>
    <col min="13" max="13" width="18.28515625" style="427" bestFit="1" customWidth="1"/>
    <col min="14" max="14" width="22.7109375" style="288" customWidth="1"/>
    <col min="15" max="15" width="2.7109375" style="288" customWidth="1"/>
    <col min="16" max="16" width="12.7109375" style="288" customWidth="1"/>
    <col min="17" max="17" width="5.42578125" style="288" customWidth="1"/>
    <col min="18" max="18" width="6.7109375" style="288" customWidth="1"/>
    <col min="19" max="19" width="36.5703125" style="288" bestFit="1" customWidth="1"/>
    <col min="20" max="20" width="15.140625" style="288" bestFit="1" customWidth="1"/>
    <col min="21" max="16384" width="9.7109375" style="288"/>
  </cols>
  <sheetData>
    <row r="1" spans="2:20" ht="15.75">
      <c r="B1" s="276"/>
      <c r="C1" s="276"/>
      <c r="D1" s="276"/>
      <c r="E1" s="303"/>
      <c r="F1" s="303"/>
      <c r="G1" s="303"/>
      <c r="H1" s="303"/>
      <c r="I1" s="277"/>
      <c r="J1" s="303"/>
    </row>
    <row r="2" spans="2:20" ht="15.75">
      <c r="B2" s="276"/>
      <c r="C2" s="276"/>
      <c r="D2" s="276"/>
      <c r="E2" s="303"/>
      <c r="F2" s="303"/>
      <c r="G2" s="303"/>
      <c r="H2" s="303"/>
      <c r="I2" s="277"/>
      <c r="J2" s="303"/>
    </row>
    <row r="3" spans="2:20" ht="15.75">
      <c r="B3" s="276"/>
      <c r="C3" s="276"/>
      <c r="D3" s="276"/>
      <c r="E3" s="303"/>
      <c r="F3" s="303"/>
      <c r="G3" s="303"/>
      <c r="H3" s="303"/>
      <c r="I3" s="277"/>
      <c r="J3" s="303"/>
    </row>
    <row r="4" spans="2:20" ht="15.75">
      <c r="B4" s="276"/>
      <c r="C4" s="276"/>
      <c r="D4" s="276"/>
      <c r="E4" s="303"/>
      <c r="F4" s="303"/>
      <c r="G4" s="303"/>
      <c r="H4" s="303"/>
      <c r="I4" s="277"/>
      <c r="J4" s="303"/>
    </row>
    <row r="5" spans="2:20" ht="15.75">
      <c r="B5" s="1313" t="s">
        <v>10</v>
      </c>
      <c r="C5" s="1313"/>
      <c r="D5" s="1313"/>
      <c r="E5" s="1313"/>
      <c r="F5" s="1313"/>
      <c r="G5" s="1313"/>
      <c r="H5" s="1313"/>
      <c r="I5" s="277"/>
      <c r="J5" s="277"/>
    </row>
    <row r="6" spans="2:20" ht="15.75">
      <c r="B6" s="1313" t="s">
        <v>1688</v>
      </c>
      <c r="C6" s="1313"/>
      <c r="D6" s="1313"/>
      <c r="E6" s="1313"/>
      <c r="F6" s="1313"/>
      <c r="G6" s="1313"/>
      <c r="H6" s="1313"/>
      <c r="I6" s="277"/>
      <c r="J6" s="277"/>
    </row>
    <row r="7" spans="2:20" ht="15.75">
      <c r="B7" s="1313" t="s">
        <v>870</v>
      </c>
      <c r="C7" s="1313"/>
      <c r="D7" s="1313"/>
      <c r="E7" s="1313"/>
      <c r="F7" s="1313"/>
      <c r="G7" s="1313"/>
      <c r="H7" s="1313"/>
      <c r="I7" s="277"/>
      <c r="J7" s="277"/>
    </row>
    <row r="8" spans="2:20" ht="15.75">
      <c r="B8" s="1314">
        <f>+'Sys INPUT'!B1</f>
        <v>45107</v>
      </c>
      <c r="C8" s="1314"/>
      <c r="D8" s="1314"/>
      <c r="E8" s="1314"/>
      <c r="F8" s="1314"/>
      <c r="G8" s="1314"/>
      <c r="H8" s="1314"/>
      <c r="I8" s="277"/>
      <c r="J8" s="277"/>
    </row>
    <row r="9" spans="2:20" ht="15.75">
      <c r="B9" s="276"/>
      <c r="C9" s="276"/>
      <c r="D9" s="276"/>
      <c r="E9" s="277"/>
      <c r="F9" s="277"/>
      <c r="G9" s="277"/>
      <c r="H9" s="277"/>
      <c r="I9" s="277"/>
      <c r="J9" s="277"/>
      <c r="K9" s="289"/>
      <c r="L9" s="289"/>
      <c r="M9" s="289"/>
      <c r="N9" s="289"/>
      <c r="O9" s="289"/>
      <c r="P9" s="289"/>
      <c r="Q9" s="289"/>
      <c r="R9" s="289"/>
    </row>
    <row r="10" spans="2:20" ht="15.75">
      <c r="B10" s="276"/>
      <c r="C10" s="276"/>
      <c r="D10" s="276"/>
      <c r="E10" s="303"/>
      <c r="G10" s="303"/>
      <c r="H10" s="303"/>
      <c r="I10" s="303"/>
      <c r="J10" s="303"/>
    </row>
    <row r="11" spans="2:20" ht="15.75">
      <c r="B11" s="276"/>
      <c r="C11" s="276"/>
      <c r="D11" s="287" t="s">
        <v>1163</v>
      </c>
      <c r="E11" s="303"/>
      <c r="F11" s="303"/>
      <c r="G11" s="303"/>
      <c r="H11" s="303"/>
      <c r="I11" s="303"/>
      <c r="J11" s="303"/>
      <c r="S11" s="995" t="s">
        <v>134</v>
      </c>
      <c r="T11" s="972"/>
    </row>
    <row r="12" spans="2:20" ht="15.75">
      <c r="B12" s="276"/>
      <c r="C12" s="276"/>
      <c r="D12" s="287" t="s">
        <v>1164</v>
      </c>
      <c r="E12" s="303"/>
      <c r="F12" s="287" t="s">
        <v>1017</v>
      </c>
      <c r="G12" s="287"/>
      <c r="H12" s="287"/>
      <c r="I12" s="287"/>
      <c r="J12" s="287"/>
      <c r="K12" s="372"/>
      <c r="L12" s="372"/>
      <c r="M12" s="372" t="s">
        <v>315</v>
      </c>
      <c r="S12" s="995" t="s">
        <v>3075</v>
      </c>
      <c r="T12" s="972"/>
    </row>
    <row r="13" spans="2:20" ht="15.75">
      <c r="B13" s="276"/>
      <c r="C13" s="276"/>
      <c r="D13" s="287" t="s">
        <v>889</v>
      </c>
      <c r="E13" s="303"/>
      <c r="F13" s="287" t="s">
        <v>889</v>
      </c>
      <c r="G13" s="287"/>
      <c r="H13" s="287" t="s">
        <v>2875</v>
      </c>
      <c r="I13" s="287"/>
      <c r="J13" s="287"/>
      <c r="K13" s="372"/>
      <c r="L13" s="372"/>
      <c r="M13" s="372" t="s">
        <v>1050</v>
      </c>
      <c r="S13" s="573" t="s">
        <v>3076</v>
      </c>
    </row>
    <row r="14" spans="2:20" ht="15.75">
      <c r="B14" s="276"/>
      <c r="C14" s="276"/>
      <c r="D14" s="290" t="s">
        <v>747</v>
      </c>
      <c r="E14" s="303"/>
      <c r="F14" s="290" t="s">
        <v>540</v>
      </c>
      <c r="G14" s="287"/>
      <c r="H14" s="290" t="s">
        <v>540</v>
      </c>
      <c r="I14" s="287"/>
      <c r="J14" s="287" t="s">
        <v>2626</v>
      </c>
      <c r="K14" s="372"/>
      <c r="L14" s="372"/>
      <c r="M14" s="492" t="s">
        <v>1054</v>
      </c>
      <c r="S14" s="374"/>
    </row>
    <row r="15" spans="2:20" ht="15.75">
      <c r="B15" s="308" t="s">
        <v>937</v>
      </c>
      <c r="C15" s="308"/>
      <c r="D15" s="287"/>
      <c r="E15" s="303"/>
      <c r="F15" s="287"/>
      <c r="G15" s="287"/>
      <c r="H15" s="287"/>
      <c r="I15" s="287"/>
      <c r="J15" s="996"/>
      <c r="K15" s="372"/>
      <c r="L15" s="372"/>
      <c r="M15" s="372"/>
      <c r="Q15" s="942"/>
      <c r="S15" s="944" t="s">
        <v>2418</v>
      </c>
    </row>
    <row r="16" spans="2:20" ht="15.75">
      <c r="B16" s="276" t="str">
        <f>INPUT!B85</f>
        <v xml:space="preserve">     Cash and cash equivalents</v>
      </c>
      <c r="C16" s="276"/>
      <c r="D16" s="292">
        <f>+'FIDCOMBIT NP'!D14</f>
        <v>49083341</v>
      </c>
      <c r="E16" s="303"/>
      <c r="F16" s="292">
        <f>+'FIDCOMBIT NP'!F14</f>
        <v>4704521</v>
      </c>
      <c r="G16" s="292"/>
      <c r="H16" s="292">
        <f>+'Cust Funds NP'!AO16+J15</f>
        <v>6807929</v>
      </c>
      <c r="I16" s="292"/>
      <c r="J16" s="294">
        <f>+H16-'Cust Funds NP'!AO16</f>
        <v>0</v>
      </c>
      <c r="K16" s="292">
        <f>SUM(D16:H16)</f>
        <v>60595791</v>
      </c>
      <c r="L16" s="292"/>
      <c r="M16" s="493">
        <f>IF(SUM(D16:H16)&lt;&gt;0,SUM(D16:H16),"-  ")</f>
        <v>60595791</v>
      </c>
      <c r="N16" s="288">
        <f>+M16+M17</f>
        <v>60595791</v>
      </c>
      <c r="S16" s="945" t="s">
        <v>2882</v>
      </c>
      <c r="T16" s="1083">
        <f>+INPUT!C84</f>
        <v>3.4264000000000003E-2</v>
      </c>
    </row>
    <row r="17" spans="2:20" ht="15.75">
      <c r="B17" s="276" t="str">
        <f>INPUT!B86</f>
        <v xml:space="preserve">     Investments </v>
      </c>
      <c r="C17" s="276"/>
      <c r="D17" s="294"/>
      <c r="E17" s="303"/>
      <c r="F17" s="294"/>
      <c r="G17" s="294"/>
      <c r="H17" s="294"/>
      <c r="I17" s="294"/>
      <c r="J17" s="997" t="s">
        <v>2961</v>
      </c>
      <c r="K17" s="294"/>
      <c r="L17" s="294"/>
      <c r="M17" s="493" t="str">
        <f>IF(SUM(F17:H17)&lt;&gt;0,SUM(F17:H17),"-  ")</f>
        <v xml:space="preserve">-  </v>
      </c>
      <c r="N17" s="288">
        <f>+'FIDCOMBIT NP'!D15</f>
        <v>9375020</v>
      </c>
      <c r="P17" s="288">
        <f>+'Cust Funds NP'!AO17</f>
        <v>1270717</v>
      </c>
      <c r="S17" s="945" t="s">
        <v>2883</v>
      </c>
      <c r="T17" s="1083">
        <f>+INPUT!C85</f>
        <v>0.12610689999999999</v>
      </c>
    </row>
    <row r="18" spans="2:20" ht="15.75">
      <c r="B18" s="276" t="s">
        <v>2878</v>
      </c>
      <c r="C18" s="276"/>
      <c r="D18" s="294">
        <f>ROUND((('FIDCOMBIT NP'!D$14+'FIDCOMBIT NP'!D$15)*+'FID NA'!T16),0)+0</f>
        <v>2003017</v>
      </c>
      <c r="E18" s="303"/>
      <c r="F18" s="294">
        <v>0</v>
      </c>
      <c r="G18" s="294"/>
      <c r="H18" s="294">
        <f>ROUND(((+'Cust Funds NP'!AO16+'Cust Funds NP'!AO17-'Cust Funds NP'!AK16-'Cust Funds NP'!AK17)*+'FID NA'!T16),0)-1</f>
        <v>271494</v>
      </c>
      <c r="I18" s="276"/>
      <c r="J18" s="294">
        <f>+H18+H19-'Cust Funds NP'!AO17</f>
        <v>0</v>
      </c>
      <c r="K18" s="294"/>
      <c r="L18" s="294"/>
      <c r="M18" s="493"/>
      <c r="S18" s="945" t="s">
        <v>2884</v>
      </c>
      <c r="T18" s="1058">
        <v>0</v>
      </c>
    </row>
    <row r="19" spans="2:20" ht="16.5" thickBot="1">
      <c r="B19" s="276" t="s">
        <v>2879</v>
      </c>
      <c r="C19" s="276"/>
      <c r="D19" s="294">
        <f>ROUND((('FIDCOMBIT NP'!D$14+'FIDCOMBIT NP'!D$15)*+'FID NA'!T17),0)</f>
        <v>7372003</v>
      </c>
      <c r="E19" s="303"/>
      <c r="F19" s="294">
        <v>0</v>
      </c>
      <c r="G19" s="294"/>
      <c r="H19" s="294">
        <f>ROUND(((+'Cust Funds NP'!AO16+'Cust Funds NP'!AO17-'Cust Funds NP'!AK16-'Cust Funds NP'!AK17)*+'FID NA'!T17),0)+J19</f>
        <v>999223</v>
      </c>
      <c r="I19" s="276"/>
      <c r="J19" s="996">
        <v>0</v>
      </c>
      <c r="K19" s="294"/>
      <c r="L19" s="294"/>
      <c r="M19" s="493"/>
      <c r="S19" s="945" t="s">
        <v>2885</v>
      </c>
      <c r="T19" s="941">
        <f>SUM(T16:T18)</f>
        <v>0.16037089999999998</v>
      </c>
    </row>
    <row r="20" spans="2:20" ht="17.25" hidden="1" thickTop="1" thickBot="1">
      <c r="B20" s="276" t="s">
        <v>2880</v>
      </c>
      <c r="C20" s="276"/>
      <c r="D20" s="294"/>
      <c r="E20" s="303"/>
      <c r="F20" s="294">
        <f>+'FIDCOMBIT NP'!F15*'FIDCOMBIT NP'!N14</f>
        <v>0</v>
      </c>
      <c r="G20" s="294"/>
      <c r="H20" s="294">
        <f>ROUND(((+'Cust Funds NP'!AO16+'Cust Funds NP'!AO17-'Cust Funds NP'!AK16-'Cust Funds NP'!AK17)*+'FID NA'!T18),0)+J20</f>
        <v>0</v>
      </c>
      <c r="I20" s="294"/>
      <c r="J20" s="996"/>
      <c r="K20" s="294"/>
      <c r="L20" s="294"/>
      <c r="M20" s="493"/>
      <c r="T20" s="941">
        <f>+T19-INPUT!C86</f>
        <v>0</v>
      </c>
    </row>
    <row r="21" spans="2:20" ht="16.5" thickTop="1">
      <c r="B21" s="276" t="s">
        <v>2881</v>
      </c>
      <c r="C21" s="276"/>
      <c r="D21" s="521">
        <f>SUM(D18:D20)</f>
        <v>9375020</v>
      </c>
      <c r="E21" s="303"/>
      <c r="F21" s="521">
        <f>SUM(F18:F20)</f>
        <v>0</v>
      </c>
      <c r="G21" s="294"/>
      <c r="H21" s="521">
        <f>SUM(H18:H20)</f>
        <v>1270717</v>
      </c>
      <c r="I21" s="294"/>
      <c r="J21" s="294"/>
      <c r="K21" s="521">
        <f>SUM(D21:H21)</f>
        <v>10645737</v>
      </c>
      <c r="L21" s="294"/>
      <c r="M21" s="493"/>
      <c r="T21" s="288">
        <f>+T19*'FIDCOMBIT NP'!K14</f>
        <v>7871539.5711768996</v>
      </c>
    </row>
    <row r="22" spans="2:20" ht="16.5" thickBot="1">
      <c r="B22" s="276" t="str">
        <f>INPUT!B87</f>
        <v xml:space="preserve">     Receivables (net of allowance):</v>
      </c>
      <c r="C22" s="276"/>
      <c r="D22" s="294"/>
      <c r="E22" s="294"/>
      <c r="F22" s="294"/>
      <c r="G22" s="294"/>
      <c r="H22" s="294"/>
      <c r="I22" s="294"/>
      <c r="J22" s="294"/>
      <c r="K22" s="494">
        <f>SUM(K16:K21)</f>
        <v>71241528</v>
      </c>
      <c r="L22" s="493"/>
      <c r="M22" s="493"/>
      <c r="N22" s="288">
        <f>SUM(F18:F19)</f>
        <v>0</v>
      </c>
      <c r="P22" s="288">
        <f>SUM(H18:H19)</f>
        <v>1270717</v>
      </c>
      <c r="T22" s="288">
        <f>+T21-'FIDCOMBIT NP'!D15</f>
        <v>-1503480.4288231004</v>
      </c>
    </row>
    <row r="23" spans="2:20" ht="17.25" thickTop="1" thickBot="1">
      <c r="B23" s="276" t="str">
        <f>INPUT!B88</f>
        <v xml:space="preserve">          Taxes/assessments</v>
      </c>
      <c r="C23" s="276"/>
      <c r="D23" s="294">
        <v>0</v>
      </c>
      <c r="E23" s="303"/>
      <c r="F23" s="294">
        <v>0</v>
      </c>
      <c r="G23" s="294"/>
      <c r="H23" s="294">
        <f>+'Cust Funds NP'!AO19</f>
        <v>2771480</v>
      </c>
      <c r="I23" s="294"/>
      <c r="J23" s="294"/>
      <c r="K23" s="493"/>
      <c r="L23" s="493"/>
      <c r="M23" s="493"/>
      <c r="N23" s="943">
        <f>+N22-N17</f>
        <v>-9375020</v>
      </c>
      <c r="P23" s="943">
        <f>+P22-P17</f>
        <v>0</v>
      </c>
    </row>
    <row r="24" spans="2:20" ht="16.5" hidden="1" thickTop="1">
      <c r="B24" s="276" t="str">
        <f>INPUT!B92</f>
        <v xml:space="preserve">     Due from other funds</v>
      </c>
      <c r="C24" s="276"/>
      <c r="D24" s="294"/>
      <c r="E24" s="303"/>
      <c r="F24" s="294">
        <v>0</v>
      </c>
      <c r="G24" s="294"/>
      <c r="H24" s="294">
        <f>+'Cust Funds NP'!AO20</f>
        <v>0</v>
      </c>
      <c r="I24" s="294"/>
      <c r="J24" s="294"/>
      <c r="K24" s="493"/>
      <c r="L24" s="493"/>
      <c r="M24" s="493"/>
    </row>
    <row r="25" spans="2:20" ht="16.5" thickTop="1">
      <c r="B25" s="276" t="str">
        <f>INPUT!B105</f>
        <v xml:space="preserve">     Land held for resale</v>
      </c>
      <c r="C25" s="276"/>
      <c r="D25" s="317">
        <v>0</v>
      </c>
      <c r="E25" s="303"/>
      <c r="F25" s="317">
        <v>0</v>
      </c>
      <c r="G25" s="294"/>
      <c r="H25" s="317">
        <f>+'Cust Funds NP'!AO21</f>
        <v>15629</v>
      </c>
      <c r="I25" s="294"/>
      <c r="J25" s="294"/>
      <c r="K25" s="493"/>
      <c r="L25" s="493"/>
      <c r="M25" s="495">
        <f>IF(SUM(D25:H25)&lt;&gt;0,SUM(D25:H25),"-  ")</f>
        <v>15629</v>
      </c>
    </row>
    <row r="26" spans="2:20" ht="15.75">
      <c r="B26" s="276"/>
      <c r="C26" s="276"/>
      <c r="D26" s="294"/>
      <c r="E26" s="303"/>
      <c r="F26" s="294"/>
      <c r="G26" s="294"/>
      <c r="H26" s="294"/>
      <c r="I26" s="294"/>
      <c r="J26" s="294"/>
      <c r="K26" s="493"/>
      <c r="L26" s="493"/>
      <c r="M26" s="493"/>
    </row>
    <row r="27" spans="2:20" ht="16.5" thickBot="1">
      <c r="B27" s="308" t="s">
        <v>494</v>
      </c>
      <c r="C27" s="308"/>
      <c r="D27" s="706">
        <f>SUM(D16:D25)-D21</f>
        <v>58458361</v>
      </c>
      <c r="E27" s="319"/>
      <c r="F27" s="706">
        <f>SUM(F16:F25)-F21</f>
        <v>4704521</v>
      </c>
      <c r="G27" s="697"/>
      <c r="H27" s="706">
        <f>SUM(H16:H25)-H21</f>
        <v>10865755</v>
      </c>
      <c r="I27" s="697"/>
      <c r="J27" s="339"/>
      <c r="K27" s="496"/>
      <c r="L27" s="496"/>
      <c r="M27" s="497">
        <f>IF(SUM(D27:H27)&lt;&gt;0,SUM(D27:H27),"-  ")</f>
        <v>74028637</v>
      </c>
      <c r="R27" s="374"/>
      <c r="S27" s="374">
        <f>SUM(M16:M25)</f>
        <v>60611420</v>
      </c>
      <c r="T27" s="374"/>
    </row>
    <row r="28" spans="2:20" ht="16.5" thickTop="1">
      <c r="B28" s="276"/>
      <c r="C28" s="276"/>
      <c r="D28" s="294"/>
      <c r="E28" s="294"/>
      <c r="F28" s="294"/>
      <c r="G28" s="294"/>
      <c r="H28" s="294"/>
      <c r="I28" s="294"/>
      <c r="J28" s="294"/>
      <c r="K28" s="493"/>
      <c r="L28" s="493"/>
      <c r="M28" s="493"/>
    </row>
    <row r="29" spans="2:20" ht="15.75">
      <c r="B29" s="308" t="s">
        <v>941</v>
      </c>
      <c r="C29" s="308"/>
      <c r="D29" s="294"/>
      <c r="E29" s="303"/>
      <c r="F29" s="294"/>
      <c r="G29" s="294"/>
      <c r="H29" s="294"/>
      <c r="I29" s="294"/>
      <c r="J29" s="294"/>
      <c r="K29" s="493"/>
      <c r="L29" s="493"/>
      <c r="M29" s="493"/>
    </row>
    <row r="30" spans="2:20" ht="15.75">
      <c r="B30" s="276" t="str">
        <f>INPUT!B132</f>
        <v xml:space="preserve">     Accounts payable</v>
      </c>
      <c r="C30" s="276"/>
      <c r="D30" s="294">
        <v>0</v>
      </c>
      <c r="E30" s="303"/>
      <c r="F30" s="294">
        <v>0</v>
      </c>
      <c r="G30" s="294"/>
      <c r="H30" s="294">
        <f>+'Cust Funds NP'!AO26</f>
        <v>2809208</v>
      </c>
      <c r="I30" s="294"/>
      <c r="J30" s="294"/>
      <c r="K30" s="493"/>
      <c r="L30" s="493"/>
      <c r="M30" s="498">
        <f>IF(SUM(D30:H30)&lt;&gt;0,SUM(D30:H30),"-  ")</f>
        <v>2809208</v>
      </c>
    </row>
    <row r="31" spans="2:20" ht="15.75" hidden="1">
      <c r="B31" s="276" t="str">
        <f>INPUT!B134</f>
        <v xml:space="preserve">     Intergovernmental payable</v>
      </c>
      <c r="C31" s="276"/>
      <c r="D31" s="294"/>
      <c r="E31" s="303"/>
      <c r="F31" s="294">
        <v>0</v>
      </c>
      <c r="G31" s="294"/>
      <c r="H31" s="294">
        <f>+'Cust Funds NP'!AO27</f>
        <v>0</v>
      </c>
      <c r="I31" s="294"/>
      <c r="J31" s="294"/>
      <c r="K31" s="493"/>
      <c r="L31" s="493"/>
      <c r="M31" s="496"/>
    </row>
    <row r="32" spans="2:20" ht="15.75" hidden="1">
      <c r="B32" s="276" t="str">
        <f>INPUT!B145</f>
        <v xml:space="preserve">     Contracts/loans payable</v>
      </c>
      <c r="C32" s="276"/>
      <c r="D32" s="294"/>
      <c r="E32" s="303"/>
      <c r="F32" s="294">
        <v>0</v>
      </c>
      <c r="G32" s="294"/>
      <c r="H32" s="294">
        <f>+'Cust Funds NP'!AO28</f>
        <v>0</v>
      </c>
      <c r="I32" s="294"/>
      <c r="J32" s="294"/>
      <c r="K32" s="493"/>
      <c r="L32" s="493"/>
      <c r="M32" s="496"/>
    </row>
    <row r="33" spans="2:20" ht="15.75">
      <c r="B33" s="276"/>
      <c r="C33" s="276"/>
      <c r="D33" s="298"/>
      <c r="E33" s="303"/>
      <c r="F33" s="298"/>
      <c r="G33" s="294"/>
      <c r="H33" s="298"/>
      <c r="I33" s="294"/>
      <c r="J33" s="294"/>
      <c r="K33" s="493"/>
      <c r="L33" s="493"/>
      <c r="M33" s="493"/>
    </row>
    <row r="34" spans="2:20" ht="15.75">
      <c r="B34" s="308" t="s">
        <v>646</v>
      </c>
      <c r="C34" s="308"/>
      <c r="D34" s="706">
        <v>0</v>
      </c>
      <c r="E34" s="319"/>
      <c r="F34" s="706">
        <f>SUM(F30:F32)</f>
        <v>0</v>
      </c>
      <c r="G34" s="697"/>
      <c r="H34" s="706">
        <f>SUM(H30:H32)</f>
        <v>2809208</v>
      </c>
      <c r="I34" s="697"/>
      <c r="J34" s="339"/>
      <c r="K34" s="496"/>
      <c r="L34" s="496"/>
      <c r="M34" s="498">
        <f>IF(SUM(D34:H34)&lt;&gt;0,SUM(D34:H34),"-  ")</f>
        <v>2809208</v>
      </c>
      <c r="N34" s="374"/>
      <c r="O34" s="374"/>
      <c r="P34" s="374"/>
      <c r="Q34" s="374"/>
      <c r="R34" s="374"/>
      <c r="S34" s="374"/>
      <c r="T34" s="374"/>
    </row>
    <row r="35" spans="2:20" ht="15.75">
      <c r="B35" s="276"/>
      <c r="C35" s="276"/>
      <c r="D35" s="294"/>
      <c r="E35" s="303"/>
      <c r="F35" s="294"/>
      <c r="G35" s="294"/>
      <c r="H35" s="294"/>
      <c r="I35" s="294"/>
      <c r="J35" s="294"/>
      <c r="K35" s="493"/>
      <c r="L35" s="493"/>
      <c r="M35" s="493"/>
    </row>
    <row r="36" spans="2:20" ht="15.75">
      <c r="B36" s="308" t="s">
        <v>1673</v>
      </c>
      <c r="C36" s="308"/>
      <c r="D36" s="294"/>
      <c r="E36" s="303"/>
      <c r="F36" s="294"/>
      <c r="G36" s="294"/>
      <c r="H36" s="294"/>
      <c r="I36" s="294"/>
      <c r="J36" s="294"/>
      <c r="K36" s="493"/>
      <c r="L36" s="493"/>
      <c r="M36" s="493"/>
    </row>
    <row r="37" spans="2:20" ht="15.75">
      <c r="B37" s="276" t="s">
        <v>3012</v>
      </c>
      <c r="C37" s="276"/>
      <c r="D37" s="294"/>
      <c r="E37" s="303"/>
      <c r="F37" s="294"/>
      <c r="G37" s="294"/>
      <c r="H37" s="294"/>
      <c r="I37" s="294"/>
      <c r="J37" s="294"/>
      <c r="K37" s="493"/>
      <c r="L37" s="493"/>
      <c r="M37" s="493"/>
    </row>
    <row r="38" spans="2:20" ht="15.75">
      <c r="B38" s="276" t="s">
        <v>1271</v>
      </c>
      <c r="C38" s="276"/>
      <c r="D38" s="294">
        <f>+'FIDCOMBIT NP'!H29</f>
        <v>58458361</v>
      </c>
      <c r="E38" s="303"/>
      <c r="F38" s="294">
        <v>0</v>
      </c>
      <c r="G38" s="294"/>
      <c r="H38" s="294">
        <v>0</v>
      </c>
      <c r="I38" s="294"/>
      <c r="J38" s="294"/>
      <c r="K38" s="493"/>
      <c r="L38" s="493"/>
      <c r="M38" s="493"/>
    </row>
    <row r="39" spans="2:20" ht="15.75">
      <c r="B39" s="276" t="s">
        <v>1272</v>
      </c>
      <c r="C39" s="276"/>
      <c r="D39" s="294">
        <v>0</v>
      </c>
      <c r="E39" s="303"/>
      <c r="F39" s="294">
        <f>+'FIDCOMBIT NP'!H30</f>
        <v>4704521</v>
      </c>
      <c r="G39" s="294"/>
      <c r="H39" s="294">
        <v>0</v>
      </c>
      <c r="I39" s="294"/>
      <c r="J39" s="294"/>
      <c r="K39" s="493"/>
      <c r="L39" s="493"/>
      <c r="M39" s="493"/>
    </row>
    <row r="40" spans="2:20" ht="15.75">
      <c r="B40" s="276" t="s">
        <v>2886</v>
      </c>
      <c r="C40" s="276"/>
      <c r="D40" s="294"/>
      <c r="E40" s="303"/>
      <c r="F40" s="294"/>
      <c r="G40" s="294"/>
      <c r="H40" s="294"/>
      <c r="I40" s="294"/>
      <c r="J40" s="294"/>
      <c r="K40" s="493"/>
      <c r="L40" s="493"/>
      <c r="M40" s="493"/>
    </row>
    <row r="41" spans="2:20" ht="15.75">
      <c r="B41" s="276" t="s">
        <v>2887</v>
      </c>
      <c r="C41" s="276"/>
      <c r="D41" s="317">
        <v>0</v>
      </c>
      <c r="E41" s="288"/>
      <c r="F41" s="317">
        <v>0</v>
      </c>
      <c r="G41" s="294"/>
      <c r="H41" s="317">
        <f>+'Cust Funds NP'!AO35</f>
        <v>8056547</v>
      </c>
      <c r="I41" s="294"/>
      <c r="J41" s="294"/>
      <c r="K41" s="493"/>
      <c r="L41" s="493"/>
      <c r="M41" s="493"/>
    </row>
    <row r="42" spans="2:20" ht="15.75">
      <c r="B42" s="276"/>
      <c r="C42" s="276"/>
      <c r="D42" s="294"/>
      <c r="E42" s="303"/>
      <c r="F42" s="294"/>
      <c r="G42" s="294"/>
      <c r="H42" s="294"/>
      <c r="I42" s="294"/>
      <c r="J42" s="294"/>
      <c r="K42" s="493"/>
      <c r="L42" s="493"/>
      <c r="M42" s="493"/>
    </row>
    <row r="43" spans="2:20" ht="16.5" thickBot="1">
      <c r="B43" s="308" t="s">
        <v>1689</v>
      </c>
      <c r="C43" s="308"/>
      <c r="D43" s="703">
        <f>SUM(D27-D34)</f>
        <v>58458361</v>
      </c>
      <c r="E43" s="319"/>
      <c r="F43" s="703">
        <f>SUM(F27-F34)</f>
        <v>4704521</v>
      </c>
      <c r="G43" s="705"/>
      <c r="H43" s="703">
        <f>SUM(H27-H34)</f>
        <v>8056547</v>
      </c>
      <c r="I43" s="705"/>
      <c r="J43" s="385"/>
      <c r="K43" s="496" t="s">
        <v>298</v>
      </c>
      <c r="L43" s="496"/>
      <c r="M43" s="497">
        <f>IF(SUM(D43:H43)&lt;&gt;0,SUM(D43:H43),"-  ")</f>
        <v>71219429</v>
      </c>
      <c r="N43" s="374"/>
      <c r="O43" s="374"/>
      <c r="P43" s="374"/>
      <c r="Q43" s="374"/>
      <c r="R43" s="374"/>
      <c r="S43" s="374"/>
      <c r="T43" s="374"/>
    </row>
    <row r="44" spans="2:20" ht="15.75" thickTop="1">
      <c r="B44" s="350"/>
      <c r="C44" s="350"/>
      <c r="D44" s="427"/>
    </row>
    <row r="45" spans="2:20">
      <c r="D45" s="427">
        <f>SUM(D38:D41)-D43</f>
        <v>0</v>
      </c>
      <c r="F45" s="427">
        <f>SUM(F38:F41)-F43</f>
        <v>0</v>
      </c>
      <c r="H45" s="427">
        <f>SUM(H38:H41)-H43</f>
        <v>0</v>
      </c>
    </row>
    <row r="46" spans="2:20">
      <c r="D46" s="427">
        <f>+'FIDCH NA'!D42</f>
        <v>58458361</v>
      </c>
      <c r="F46" s="427">
        <f>+'FIDCH NA'!F42</f>
        <v>4704521</v>
      </c>
      <c r="H46" s="427">
        <f>+'FIDCH NA'!H42</f>
        <v>8056547</v>
      </c>
    </row>
    <row r="47" spans="2:20">
      <c r="D47" s="427">
        <f>+D46-D43</f>
        <v>0</v>
      </c>
      <c r="F47" s="427">
        <f>+F46-F43</f>
        <v>0</v>
      </c>
      <c r="H47" s="427">
        <f>+H46-H43</f>
        <v>0</v>
      </c>
    </row>
    <row r="49" spans="4:4">
      <c r="D49" s="997" t="s">
        <v>3235</v>
      </c>
    </row>
    <row r="95" spans="2:18">
      <c r="B95" s="289" t="s">
        <v>378</v>
      </c>
      <c r="C95" s="289"/>
      <c r="D95" s="289"/>
      <c r="E95" s="289"/>
      <c r="F95" s="289"/>
      <c r="G95" s="289"/>
      <c r="H95" s="289"/>
      <c r="I95" s="289"/>
      <c r="J95" s="289"/>
      <c r="K95" s="289"/>
      <c r="L95" s="289"/>
      <c r="M95" s="289"/>
      <c r="N95" s="289"/>
      <c r="O95" s="289"/>
      <c r="P95" s="289"/>
      <c r="Q95" s="289"/>
      <c r="R95" s="289"/>
    </row>
  </sheetData>
  <mergeCells count="4">
    <mergeCell ref="B6:H6"/>
    <mergeCell ref="B7:H7"/>
    <mergeCell ref="B8:H8"/>
    <mergeCell ref="B5:H5"/>
  </mergeCells>
  <phoneticPr fontId="0" type="noConversion"/>
  <printOptions horizontalCentered="1"/>
  <pageMargins left="0.5" right="0.5" top="0.5" bottom="0.75" header="0.5" footer="0.25"/>
  <pageSetup scale="75" firstPageNumber="29" orientation="portrait" useFirstPageNumber="1" horizontalDpi="4294967292"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codeName="Sheet21"/>
  <dimension ref="A1:L201"/>
  <sheetViews>
    <sheetView showGridLines="0" zoomScale="75" zoomScaleNormal="75" workbookViewId="0">
      <selection activeCell="F15" sqref="F15"/>
    </sheetView>
  </sheetViews>
  <sheetFormatPr defaultColWidth="9.7109375" defaultRowHeight="12.75"/>
  <cols>
    <col min="1" max="1" width="3.7109375" style="288" customWidth="1"/>
    <col min="2" max="2" width="62" style="288" customWidth="1"/>
    <col min="3" max="3" width="2.85546875" style="288" customWidth="1"/>
    <col min="4" max="4" width="23.5703125" style="288" customWidth="1"/>
    <col min="5" max="5" width="3.7109375" style="288" customWidth="1"/>
    <col min="6" max="6" width="20.7109375" style="288" customWidth="1"/>
    <col min="7" max="7" width="3.7109375" style="288" customWidth="1"/>
    <col min="8" max="8" width="20.7109375" style="288" customWidth="1"/>
    <col min="9" max="9" width="3.7109375" style="288" customWidth="1"/>
    <col min="10" max="10" width="15.7109375" style="288" customWidth="1"/>
    <col min="11" max="11" width="17.7109375" style="288" customWidth="1"/>
    <col min="12" max="12" width="5.7109375" style="288" customWidth="1"/>
    <col min="13" max="16384" width="9.7109375" style="288"/>
  </cols>
  <sheetData>
    <row r="1" spans="2:12" ht="15.75">
      <c r="B1" s="276"/>
      <c r="C1" s="276"/>
      <c r="D1" s="276"/>
      <c r="E1" s="276"/>
      <c r="F1" s="276"/>
      <c r="G1" s="276"/>
      <c r="H1" s="276"/>
    </row>
    <row r="2" spans="2:12" ht="15.75">
      <c r="B2" s="276"/>
      <c r="C2" s="276"/>
      <c r="D2" s="276"/>
      <c r="E2" s="276"/>
      <c r="F2" s="276"/>
      <c r="G2" s="276"/>
      <c r="H2" s="276"/>
    </row>
    <row r="3" spans="2:12" ht="15.75">
      <c r="B3" s="276"/>
      <c r="C3" s="276"/>
      <c r="D3" s="276"/>
      <c r="E3" s="276"/>
      <c r="F3" s="276"/>
      <c r="G3" s="276"/>
      <c r="H3" s="276"/>
    </row>
    <row r="4" spans="2:12" ht="15.75">
      <c r="B4" s="276"/>
      <c r="C4" s="276"/>
      <c r="D4" s="276"/>
      <c r="E4" s="276"/>
      <c r="F4" s="276"/>
      <c r="G4" s="276"/>
      <c r="H4" s="276"/>
      <c r="L4" s="288" t="s">
        <v>924</v>
      </c>
    </row>
    <row r="5" spans="2:12" ht="15.75">
      <c r="B5" s="305" t="s">
        <v>10</v>
      </c>
      <c r="C5" s="305"/>
      <c r="D5" s="305"/>
      <c r="E5" s="305"/>
      <c r="F5" s="305"/>
      <c r="G5" s="277"/>
      <c r="H5" s="277"/>
      <c r="L5" s="288" t="s">
        <v>925</v>
      </c>
    </row>
    <row r="6" spans="2:12" ht="15.75">
      <c r="B6" s="305" t="s">
        <v>1690</v>
      </c>
      <c r="C6" s="305"/>
      <c r="D6" s="305"/>
      <c r="E6" s="305"/>
      <c r="F6" s="305"/>
      <c r="G6" s="277"/>
      <c r="H6" s="277"/>
    </row>
    <row r="7" spans="2:12" ht="15.75">
      <c r="B7" s="305" t="s">
        <v>870</v>
      </c>
      <c r="C7" s="305"/>
      <c r="D7" s="305"/>
      <c r="E7" s="305"/>
      <c r="F7" s="305"/>
      <c r="G7" s="277"/>
      <c r="H7" s="277"/>
    </row>
    <row r="8" spans="2:12" ht="15.75">
      <c r="B8" s="395" t="str">
        <f>+'Sys INPUT'!B2</f>
        <v>For the  Fiscal Year Ended June 30, 2023</v>
      </c>
      <c r="C8" s="395"/>
      <c r="D8" s="395"/>
      <c r="E8" s="305"/>
      <c r="F8" s="305"/>
      <c r="G8" s="277"/>
      <c r="H8" s="277"/>
    </row>
    <row r="9" spans="2:12" ht="15.75">
      <c r="B9" s="305"/>
      <c r="C9" s="305"/>
      <c r="D9" s="305"/>
      <c r="E9" s="305"/>
      <c r="F9" s="305"/>
      <c r="G9" s="305"/>
      <c r="H9" s="276"/>
      <c r="I9" s="499"/>
      <c r="K9" s="289"/>
    </row>
    <row r="10" spans="2:12" ht="15.75">
      <c r="B10" s="276"/>
      <c r="C10" s="276"/>
      <c r="D10" s="276"/>
      <c r="E10" s="303"/>
      <c r="G10" s="303"/>
      <c r="H10" s="276"/>
      <c r="I10" s="427"/>
    </row>
    <row r="11" spans="2:12" ht="15.75">
      <c r="B11" s="276"/>
      <c r="C11" s="276"/>
      <c r="D11" s="287" t="s">
        <v>1163</v>
      </c>
      <c r="E11" s="303"/>
      <c r="F11" s="303"/>
      <c r="G11" s="303"/>
      <c r="H11" s="276"/>
      <c r="I11" s="427"/>
    </row>
    <row r="12" spans="2:12" ht="15.75">
      <c r="B12" s="308"/>
      <c r="C12" s="308"/>
      <c r="D12" s="287" t="s">
        <v>1164</v>
      </c>
      <c r="E12" s="319"/>
      <c r="F12" s="287" t="s">
        <v>1017</v>
      </c>
      <c r="G12" s="287"/>
      <c r="H12" s="303"/>
      <c r="I12" s="372"/>
      <c r="K12" s="372" t="s">
        <v>315</v>
      </c>
      <c r="L12" s="374"/>
    </row>
    <row r="13" spans="2:12" ht="15.75">
      <c r="B13" s="308"/>
      <c r="C13" s="308"/>
      <c r="D13" s="287" t="s">
        <v>889</v>
      </c>
      <c r="E13" s="319"/>
      <c r="F13" s="287" t="s">
        <v>889</v>
      </c>
      <c r="G13" s="287"/>
      <c r="H13" s="287" t="s">
        <v>2875</v>
      </c>
      <c r="I13" s="372"/>
      <c r="K13" s="372" t="s">
        <v>324</v>
      </c>
      <c r="L13" s="374"/>
    </row>
    <row r="14" spans="2:12" ht="15.75">
      <c r="B14" s="308"/>
      <c r="C14" s="308"/>
      <c r="D14" s="290" t="s">
        <v>747</v>
      </c>
      <c r="E14" s="319"/>
      <c r="F14" s="290" t="s">
        <v>540</v>
      </c>
      <c r="G14" s="287"/>
      <c r="H14" s="290" t="s">
        <v>540</v>
      </c>
      <c r="I14" s="372"/>
      <c r="K14" s="492" t="s">
        <v>1054</v>
      </c>
      <c r="L14" s="374"/>
    </row>
    <row r="15" spans="2:12" ht="15.75">
      <c r="B15" s="308" t="s">
        <v>325</v>
      </c>
      <c r="C15" s="308"/>
      <c r="D15" s="303"/>
      <c r="E15" s="303"/>
      <c r="F15" s="303"/>
      <c r="G15" s="303"/>
      <c r="H15" s="287"/>
      <c r="I15" s="427"/>
      <c r="K15" s="427"/>
    </row>
    <row r="16" spans="2:12" ht="15.75">
      <c r="B16" s="276" t="s">
        <v>2971</v>
      </c>
      <c r="C16" s="276"/>
      <c r="D16" s="292">
        <f>+'FIDCOMBCH NP'!D14</f>
        <v>172447584</v>
      </c>
      <c r="E16" s="303"/>
      <c r="F16" s="292">
        <f>+'FIDCOMBCH NP'!F14</f>
        <v>5274294</v>
      </c>
      <c r="G16" s="292"/>
      <c r="H16" s="292">
        <v>0</v>
      </c>
      <c r="I16" s="292"/>
      <c r="K16" s="292">
        <f>SUM(D16:H16)</f>
        <v>177721878</v>
      </c>
    </row>
    <row r="17" spans="2:12" ht="15.75">
      <c r="B17" s="920" t="s">
        <v>2865</v>
      </c>
      <c r="C17" s="920"/>
      <c r="D17" s="929">
        <v>0</v>
      </c>
      <c r="E17" s="303"/>
      <c r="F17" s="929">
        <v>0</v>
      </c>
      <c r="G17" s="292"/>
      <c r="H17" s="929">
        <f>+'Cust Funds Chg in NP'!AO14</f>
        <v>107324602</v>
      </c>
      <c r="I17" s="929"/>
      <c r="K17" s="294">
        <f t="shared" ref="K17:K22" si="0">SUM(D17:H17)</f>
        <v>107324602</v>
      </c>
    </row>
    <row r="18" spans="2:12" ht="15.75">
      <c r="B18" s="920" t="s">
        <v>444</v>
      </c>
      <c r="C18" s="920"/>
      <c r="D18" s="294">
        <v>0</v>
      </c>
      <c r="E18" s="303"/>
      <c r="F18" s="294">
        <v>0</v>
      </c>
      <c r="G18" s="292"/>
      <c r="H18" s="294">
        <f>+'Cust Funds Chg in NP'!AO15</f>
        <v>386891</v>
      </c>
      <c r="I18" s="294"/>
      <c r="K18" s="294">
        <f t="shared" si="0"/>
        <v>386891</v>
      </c>
    </row>
    <row r="19" spans="2:12" ht="15.75">
      <c r="B19" s="920" t="s">
        <v>974</v>
      </c>
      <c r="C19" s="920"/>
      <c r="D19" s="929">
        <v>0</v>
      </c>
      <c r="E19" s="303"/>
      <c r="F19" s="929">
        <v>0</v>
      </c>
      <c r="G19" s="292"/>
      <c r="H19" s="294">
        <f>+'Cust Funds Chg in NP'!AO16</f>
        <v>129099630</v>
      </c>
      <c r="I19" s="294"/>
      <c r="K19" s="294">
        <f t="shared" si="0"/>
        <v>129099630</v>
      </c>
    </row>
    <row r="20" spans="2:12" ht="15.75">
      <c r="B20" s="920" t="s">
        <v>2864</v>
      </c>
      <c r="C20" s="920"/>
      <c r="D20" s="929"/>
      <c r="E20" s="303"/>
      <c r="F20" s="929"/>
      <c r="G20" s="292"/>
      <c r="H20" s="294"/>
      <c r="I20" s="294"/>
      <c r="K20" s="294">
        <f t="shared" si="0"/>
        <v>0</v>
      </c>
    </row>
    <row r="21" spans="2:12" ht="15.75">
      <c r="B21" s="920" t="s">
        <v>2867</v>
      </c>
      <c r="C21" s="920"/>
      <c r="D21" s="929">
        <f>+'FIDCOMBCH NP'!D16</f>
        <v>268777</v>
      </c>
      <c r="E21" s="303"/>
      <c r="F21" s="929">
        <f>+'FIDCOMBCH NP'!F16</f>
        <v>20696</v>
      </c>
      <c r="G21" s="292"/>
      <c r="H21" s="294">
        <f>+'Cust Funds Chg in NP'!AO18</f>
        <v>131627</v>
      </c>
      <c r="I21" s="294"/>
      <c r="K21" s="294">
        <f t="shared" si="0"/>
        <v>421100</v>
      </c>
    </row>
    <row r="22" spans="2:12" ht="15.75">
      <c r="B22" s="920" t="s">
        <v>2868</v>
      </c>
      <c r="C22" s="920"/>
      <c r="D22" s="318">
        <f>+'FIDCOMBCH NP'!D17</f>
        <v>-8063</v>
      </c>
      <c r="E22" s="303"/>
      <c r="F22" s="318">
        <f>+'FIDCOMBCH NP'!F17</f>
        <v>-621</v>
      </c>
      <c r="G22" s="292"/>
      <c r="H22" s="294">
        <f>+'Cust Funds Chg in NP'!AO19</f>
        <v>-3948</v>
      </c>
      <c r="I22" s="294"/>
      <c r="K22" s="294">
        <f t="shared" si="0"/>
        <v>-12632</v>
      </c>
    </row>
    <row r="23" spans="2:12" ht="15.75">
      <c r="B23" s="920" t="s">
        <v>2869</v>
      </c>
      <c r="C23" s="920"/>
      <c r="D23" s="521">
        <f>+D21+D22</f>
        <v>260714</v>
      </c>
      <c r="E23" s="303"/>
      <c r="F23" s="521">
        <f>+F21+F22</f>
        <v>20075</v>
      </c>
      <c r="G23" s="303"/>
      <c r="H23" s="521">
        <f>+H21+H22</f>
        <v>127679</v>
      </c>
      <c r="I23" s="427"/>
      <c r="K23" s="521">
        <f>+K21+K22</f>
        <v>408468</v>
      </c>
    </row>
    <row r="24" spans="2:12" ht="15.75">
      <c r="B24" s="276"/>
      <c r="C24" s="276"/>
      <c r="D24" s="303"/>
      <c r="E24" s="303"/>
      <c r="F24" s="303"/>
      <c r="G24" s="303"/>
      <c r="H24" s="303"/>
      <c r="I24" s="427"/>
      <c r="K24" s="303"/>
    </row>
    <row r="25" spans="2:12" ht="15.75">
      <c r="B25" s="308" t="s">
        <v>789</v>
      </c>
      <c r="C25" s="308"/>
      <c r="D25" s="711">
        <f>SUM(D16:D23)-D23</f>
        <v>172708298</v>
      </c>
      <c r="E25" s="319"/>
      <c r="F25" s="711">
        <f>SUM(F16:F23)-F23</f>
        <v>5294369</v>
      </c>
      <c r="G25" s="303"/>
      <c r="H25" s="711">
        <f>SUM(H16:H23)-H23</f>
        <v>236938802</v>
      </c>
      <c r="I25" s="500"/>
      <c r="K25" s="711">
        <f>SUM(K16:K23)-K23</f>
        <v>414941469</v>
      </c>
      <c r="L25" s="374"/>
    </row>
    <row r="26" spans="2:12" ht="15.75">
      <c r="B26" s="276"/>
      <c r="C26" s="276"/>
      <c r="D26" s="303"/>
      <c r="E26" s="303"/>
      <c r="F26" s="303"/>
      <c r="G26" s="303"/>
      <c r="H26" s="303"/>
      <c r="I26" s="427"/>
      <c r="K26" s="427"/>
    </row>
    <row r="27" spans="2:12" ht="15.75">
      <c r="B27" s="308" t="s">
        <v>593</v>
      </c>
      <c r="C27" s="308"/>
      <c r="D27" s="303"/>
      <c r="E27" s="303"/>
      <c r="F27" s="303"/>
      <c r="G27" s="303"/>
      <c r="H27" s="303"/>
      <c r="I27" s="427"/>
      <c r="K27" s="427"/>
    </row>
    <row r="28" spans="2:12" ht="15.75">
      <c r="B28" s="276" t="s">
        <v>2972</v>
      </c>
      <c r="C28" s="276"/>
      <c r="D28" s="294">
        <f>+'FIDCOMBCH NP'!D23</f>
        <v>166997728</v>
      </c>
      <c r="E28" s="303"/>
      <c r="F28" s="294">
        <f>+'FIDCOMBCH NP'!F23</f>
        <v>4441691</v>
      </c>
      <c r="G28" s="303"/>
      <c r="H28" s="294">
        <f>+'Cust Funds Chg in NP'!AO25</f>
        <v>172447584</v>
      </c>
      <c r="I28" s="427"/>
      <c r="K28" s="929">
        <f>SUM(D28:H28)</f>
        <v>343887003</v>
      </c>
    </row>
    <row r="29" spans="2:12" ht="15.75">
      <c r="B29" s="276" t="s">
        <v>2862</v>
      </c>
      <c r="C29" s="276"/>
      <c r="D29" s="294">
        <v>0</v>
      </c>
      <c r="E29" s="303"/>
      <c r="F29" s="294">
        <v>0</v>
      </c>
      <c r="G29" s="303"/>
      <c r="H29" s="294">
        <f>+'Cust Funds Chg in NP'!AO26</f>
        <v>63570535</v>
      </c>
      <c r="I29" s="427"/>
      <c r="K29" s="929">
        <f>SUM(D29:H29)</f>
        <v>63570535</v>
      </c>
    </row>
    <row r="30" spans="2:12" ht="15.75" hidden="1">
      <c r="B30" s="276" t="s">
        <v>353</v>
      </c>
      <c r="C30" s="276"/>
      <c r="D30" s="294"/>
      <c r="E30" s="303"/>
      <c r="F30" s="294">
        <f>+'FIDCOMBCH NP'!H24</f>
        <v>0</v>
      </c>
      <c r="G30" s="303"/>
      <c r="H30" s="294">
        <v>0</v>
      </c>
      <c r="I30" s="427"/>
      <c r="K30" s="929">
        <f>SUM(F30:H30)</f>
        <v>0</v>
      </c>
    </row>
    <row r="31" spans="2:12" ht="15.75">
      <c r="B31" s="276"/>
      <c r="C31" s="276"/>
      <c r="D31" s="999"/>
      <c r="E31" s="303"/>
      <c r="F31" s="999"/>
      <c r="G31" s="303"/>
      <c r="H31" s="999"/>
      <c r="I31" s="427"/>
      <c r="K31" s="999"/>
    </row>
    <row r="32" spans="2:12" ht="15.75">
      <c r="B32" s="308" t="s">
        <v>443</v>
      </c>
      <c r="C32" s="308"/>
      <c r="D32" s="711">
        <f>SUM(D28:D30)</f>
        <v>166997728</v>
      </c>
      <c r="E32" s="319"/>
      <c r="F32" s="711">
        <f>SUM(F28:F30)</f>
        <v>4441691</v>
      </c>
      <c r="G32" s="303"/>
      <c r="H32" s="711">
        <f>SUM(H28:H30)</f>
        <v>236018119</v>
      </c>
      <c r="I32" s="500"/>
      <c r="K32" s="711">
        <f>SUM(K28:K30)</f>
        <v>407457538</v>
      </c>
      <c r="L32" s="374"/>
    </row>
    <row r="33" spans="1:11" ht="15.75">
      <c r="B33" s="276"/>
      <c r="C33" s="276"/>
      <c r="D33" s="303"/>
      <c r="E33" s="303"/>
      <c r="F33" s="303"/>
      <c r="G33" s="303"/>
      <c r="H33" s="303"/>
      <c r="I33" s="303"/>
      <c r="J33" s="303"/>
      <c r="K33" s="303"/>
    </row>
    <row r="34" spans="1:11" ht="15.75">
      <c r="B34" s="925" t="s">
        <v>2891</v>
      </c>
      <c r="C34" s="925"/>
      <c r="D34" s="300">
        <f>SUM(D25-D32)</f>
        <v>5710570</v>
      </c>
      <c r="E34" s="303"/>
      <c r="F34" s="300">
        <f>SUM(F25-F32)</f>
        <v>852678</v>
      </c>
      <c r="G34" s="319"/>
      <c r="H34" s="300">
        <f>SUM(H25-H32)</f>
        <v>920683</v>
      </c>
      <c r="I34" s="500"/>
      <c r="K34" s="300">
        <f>SUM(D34:H34)</f>
        <v>7483931</v>
      </c>
    </row>
    <row r="35" spans="1:11" ht="15.75">
      <c r="B35" s="276"/>
      <c r="C35" s="276"/>
      <c r="D35" s="294"/>
      <c r="E35" s="303"/>
      <c r="F35" s="294"/>
      <c r="G35" s="303"/>
      <c r="H35" s="294"/>
      <c r="I35" s="427"/>
      <c r="K35" s="294"/>
    </row>
    <row r="36" spans="1:11" ht="15.75">
      <c r="B36" s="276" t="s">
        <v>3013</v>
      </c>
      <c r="C36" s="276"/>
      <c r="D36" s="294">
        <f>+'FIDCOMBCH NP'!D30</f>
        <v>52747791</v>
      </c>
      <c r="E36" s="303"/>
      <c r="F36" s="294">
        <f>+'FIDCOMBCH NP'!F30</f>
        <v>3851843</v>
      </c>
      <c r="G36" s="303"/>
      <c r="H36" s="294">
        <f>+'Cust Funds Chg in NP'!AO32</f>
        <v>7135864</v>
      </c>
      <c r="I36" s="427"/>
      <c r="K36" s="929">
        <f>SUM(D36:H36)</f>
        <v>63735498</v>
      </c>
    </row>
    <row r="37" spans="1:11" ht="15.75" hidden="1">
      <c r="B37" s="276"/>
      <c r="C37" s="276"/>
      <c r="D37" s="294"/>
      <c r="E37" s="303"/>
      <c r="F37" s="294"/>
      <c r="G37" s="303"/>
      <c r="H37" s="294"/>
      <c r="I37" s="427"/>
      <c r="K37" s="294"/>
    </row>
    <row r="38" spans="1:11" ht="15.75" hidden="1">
      <c r="A38" s="288" t="s">
        <v>299</v>
      </c>
      <c r="B38" s="276" t="s">
        <v>385</v>
      </c>
      <c r="C38" s="276"/>
      <c r="D38" s="317">
        <f>+'FIDCOMBCH NP'!D32</f>
        <v>0</v>
      </c>
      <c r="E38" s="303"/>
      <c r="F38" s="317">
        <f>+'FIDCOMBCH NP'!F32</f>
        <v>0</v>
      </c>
      <c r="G38" s="303"/>
      <c r="H38" s="317">
        <f>+'Cust Funds Chg in NP'!AO34</f>
        <v>0</v>
      </c>
      <c r="I38" s="427"/>
      <c r="K38" s="317">
        <f>SUM(D38:H38)</f>
        <v>0</v>
      </c>
    </row>
    <row r="39" spans="1:11" ht="15.75" hidden="1">
      <c r="A39" s="288" t="s">
        <v>299</v>
      </c>
      <c r="B39" s="276"/>
      <c r="C39" s="276"/>
      <c r="D39" s="294"/>
      <c r="E39" s="303"/>
      <c r="F39" s="294"/>
      <c r="G39" s="303"/>
      <c r="H39" s="294"/>
      <c r="I39" s="427"/>
      <c r="K39" s="294"/>
    </row>
    <row r="40" spans="1:11" ht="15.75" hidden="1">
      <c r="A40" s="288" t="s">
        <v>299</v>
      </c>
      <c r="B40" s="276" t="s">
        <v>3015</v>
      </c>
      <c r="C40" s="276"/>
      <c r="D40" s="294">
        <f>+D38+D36</f>
        <v>52747791</v>
      </c>
      <c r="E40" s="303"/>
      <c r="F40" s="294">
        <f>+F38+F36</f>
        <v>3851843</v>
      </c>
      <c r="G40" s="303"/>
      <c r="H40" s="294">
        <f>+H38+H36</f>
        <v>7135864</v>
      </c>
      <c r="I40" s="427"/>
      <c r="K40" s="294">
        <f>+K38+K36</f>
        <v>63735498</v>
      </c>
    </row>
    <row r="41" spans="1:11" ht="15.75">
      <c r="B41" s="276"/>
      <c r="C41" s="276"/>
      <c r="D41" s="683"/>
      <c r="E41" s="683"/>
      <c r="F41" s="683"/>
      <c r="G41" s="683"/>
      <c r="H41" s="683"/>
      <c r="I41" s="427"/>
      <c r="K41" s="683"/>
    </row>
    <row r="42" spans="1:11" ht="16.5" thickBot="1">
      <c r="B42" s="308" t="s">
        <v>3014</v>
      </c>
      <c r="C42" s="308"/>
      <c r="D42" s="703">
        <f>SUM(D34+D40)</f>
        <v>58458361</v>
      </c>
      <c r="E42" s="319"/>
      <c r="F42" s="703">
        <f>SUM(F34+F40)</f>
        <v>4704521</v>
      </c>
      <c r="G42" s="326"/>
      <c r="H42" s="703">
        <f>SUM(H34+H40)</f>
        <v>8056547</v>
      </c>
      <c r="I42" s="500"/>
      <c r="K42" s="703">
        <f>SUM(K34+K40)</f>
        <v>71219429</v>
      </c>
    </row>
    <row r="43" spans="1:11" ht="15.75" thickTop="1">
      <c r="B43" s="350"/>
      <c r="C43" s="350"/>
      <c r="D43" s="350"/>
      <c r="E43" s="350"/>
      <c r="F43" s="350"/>
      <c r="G43" s="350"/>
      <c r="H43" s="350"/>
      <c r="I43" s="427"/>
      <c r="J43" s="427"/>
    </row>
    <row r="44" spans="1:11" ht="15.75">
      <c r="E44" s="501"/>
      <c r="F44" s="427"/>
      <c r="G44" s="427"/>
      <c r="H44" s="303"/>
      <c r="I44" s="427"/>
      <c r="J44" s="427"/>
    </row>
    <row r="45" spans="1:11" ht="15.75">
      <c r="E45" s="501"/>
      <c r="F45" s="427"/>
      <c r="G45" s="427"/>
      <c r="H45" s="303"/>
      <c r="I45" s="427"/>
      <c r="J45" s="427"/>
    </row>
    <row r="46" spans="1:11" ht="15.75">
      <c r="E46" s="427"/>
      <c r="F46" s="427"/>
      <c r="G46" s="427"/>
      <c r="H46" s="303"/>
      <c r="I46" s="427"/>
      <c r="J46" s="427"/>
    </row>
    <row r="47" spans="1:11" ht="15.75">
      <c r="E47" s="427"/>
      <c r="F47" s="427"/>
      <c r="G47" s="427"/>
      <c r="H47" s="303"/>
      <c r="I47" s="427"/>
      <c r="J47" s="427"/>
    </row>
    <row r="48" spans="1:11" ht="15.75">
      <c r="E48" s="427"/>
      <c r="F48" s="427"/>
      <c r="G48" s="427"/>
      <c r="H48" s="303"/>
      <c r="I48" s="427"/>
      <c r="J48" s="427"/>
    </row>
    <row r="49" spans="5:10" ht="15.75">
      <c r="E49" s="427"/>
      <c r="F49" s="427"/>
      <c r="G49" s="427"/>
      <c r="H49" s="303"/>
      <c r="I49" s="427"/>
      <c r="J49" s="427"/>
    </row>
    <row r="50" spans="5:10" ht="15.75">
      <c r="E50" s="427"/>
      <c r="F50" s="427"/>
      <c r="G50" s="427"/>
      <c r="H50" s="303"/>
      <c r="I50" s="427"/>
      <c r="J50" s="427"/>
    </row>
    <row r="51" spans="5:10" ht="15.75">
      <c r="E51" s="427"/>
      <c r="F51" s="427"/>
      <c r="G51" s="427"/>
      <c r="H51" s="303"/>
      <c r="I51" s="427"/>
      <c r="J51" s="427"/>
    </row>
    <row r="52" spans="5:10" ht="15.75">
      <c r="E52" s="427"/>
      <c r="F52" s="427"/>
      <c r="G52" s="427"/>
      <c r="H52" s="303"/>
      <c r="I52" s="427"/>
      <c r="J52" s="427"/>
    </row>
    <row r="53" spans="5:10" ht="15.75">
      <c r="E53" s="427"/>
      <c r="F53" s="427"/>
      <c r="G53" s="427"/>
      <c r="H53" s="303"/>
      <c r="I53" s="427"/>
      <c r="J53" s="427"/>
    </row>
    <row r="54" spans="5:10" ht="15.75">
      <c r="E54" s="427"/>
      <c r="F54" s="427"/>
      <c r="G54" s="427"/>
      <c r="H54" s="303"/>
      <c r="I54" s="427"/>
      <c r="J54" s="427"/>
    </row>
    <row r="55" spans="5:10" ht="15.75">
      <c r="E55" s="427"/>
      <c r="F55" s="427"/>
      <c r="G55" s="427"/>
      <c r="H55" s="303"/>
      <c r="I55" s="427"/>
      <c r="J55" s="427"/>
    </row>
    <row r="56" spans="5:10" ht="15.75">
      <c r="E56" s="427"/>
      <c r="F56" s="427"/>
      <c r="G56" s="427"/>
      <c r="H56" s="303"/>
      <c r="I56" s="427"/>
      <c r="J56" s="427"/>
    </row>
    <row r="57" spans="5:10" ht="15.75">
      <c r="E57" s="427"/>
      <c r="F57" s="427"/>
      <c r="G57" s="427"/>
      <c r="H57" s="303"/>
      <c r="I57" s="427"/>
      <c r="J57" s="427"/>
    </row>
    <row r="58" spans="5:10" ht="15.75">
      <c r="E58" s="427"/>
      <c r="F58" s="427"/>
      <c r="G58" s="427"/>
      <c r="H58" s="303"/>
      <c r="I58" s="427"/>
      <c r="J58" s="427"/>
    </row>
    <row r="59" spans="5:10" ht="15.75">
      <c r="E59" s="427"/>
      <c r="F59" s="427"/>
      <c r="G59" s="427"/>
      <c r="H59" s="303"/>
      <c r="I59" s="427"/>
      <c r="J59" s="427"/>
    </row>
    <row r="60" spans="5:10" ht="15.75">
      <c r="E60" s="427"/>
      <c r="F60" s="427"/>
      <c r="G60" s="427"/>
      <c r="H60" s="303"/>
      <c r="I60" s="427"/>
      <c r="J60" s="427"/>
    </row>
    <row r="61" spans="5:10" ht="15.75">
      <c r="E61" s="427"/>
      <c r="F61" s="427"/>
      <c r="G61" s="427"/>
      <c r="H61" s="303"/>
      <c r="I61" s="427"/>
      <c r="J61" s="427"/>
    </row>
    <row r="62" spans="5:10" ht="15.75">
      <c r="E62" s="427"/>
      <c r="F62" s="427"/>
      <c r="G62" s="427"/>
      <c r="H62" s="303"/>
      <c r="I62" s="427"/>
      <c r="J62" s="427"/>
    </row>
    <row r="63" spans="5:10" ht="15.75">
      <c r="E63" s="427"/>
      <c r="F63" s="427"/>
      <c r="G63" s="427"/>
      <c r="H63" s="303"/>
      <c r="I63" s="427"/>
      <c r="J63" s="427"/>
    </row>
    <row r="64" spans="5:10" ht="15.75">
      <c r="E64" s="427"/>
      <c r="F64" s="427"/>
      <c r="G64" s="427"/>
      <c r="H64" s="303"/>
      <c r="I64" s="427"/>
      <c r="J64" s="427"/>
    </row>
    <row r="65" spans="5:10" ht="15.75">
      <c r="E65" s="427"/>
      <c r="F65" s="427"/>
      <c r="G65" s="427"/>
      <c r="H65" s="303"/>
      <c r="I65" s="427"/>
      <c r="J65" s="427"/>
    </row>
    <row r="66" spans="5:10" ht="15.75">
      <c r="E66" s="427"/>
      <c r="F66" s="427"/>
      <c r="G66" s="427"/>
      <c r="H66" s="303"/>
      <c r="I66" s="427"/>
      <c r="J66" s="427"/>
    </row>
    <row r="67" spans="5:10" ht="15.75">
      <c r="E67" s="427"/>
      <c r="F67" s="427"/>
      <c r="G67" s="427"/>
      <c r="H67" s="303"/>
      <c r="I67" s="427"/>
      <c r="J67" s="427"/>
    </row>
    <row r="68" spans="5:10" ht="15.75">
      <c r="E68" s="427"/>
      <c r="F68" s="427"/>
      <c r="G68" s="427"/>
      <c r="H68" s="303"/>
      <c r="I68" s="427"/>
      <c r="J68" s="427"/>
    </row>
    <row r="69" spans="5:10" ht="15.75">
      <c r="E69" s="427"/>
      <c r="F69" s="427"/>
      <c r="G69" s="427"/>
      <c r="H69" s="303"/>
      <c r="I69" s="427"/>
      <c r="J69" s="427"/>
    </row>
    <row r="70" spans="5:10" ht="15.75">
      <c r="E70" s="427"/>
      <c r="F70" s="427"/>
      <c r="G70" s="427"/>
      <c r="H70" s="303"/>
      <c r="I70" s="427"/>
      <c r="J70" s="427"/>
    </row>
    <row r="71" spans="5:10" ht="15.75">
      <c r="E71" s="427"/>
      <c r="F71" s="427"/>
      <c r="G71" s="427"/>
      <c r="H71" s="303"/>
      <c r="I71" s="427"/>
      <c r="J71" s="427"/>
    </row>
    <row r="72" spans="5:10" ht="15.75">
      <c r="E72" s="427"/>
      <c r="F72" s="427"/>
      <c r="G72" s="427"/>
      <c r="H72" s="303"/>
      <c r="I72" s="427"/>
      <c r="J72" s="427"/>
    </row>
    <row r="73" spans="5:10" ht="15.75">
      <c r="E73" s="427"/>
      <c r="F73" s="427"/>
      <c r="G73" s="427"/>
      <c r="H73" s="303"/>
      <c r="I73" s="427"/>
      <c r="J73" s="427"/>
    </row>
    <row r="74" spans="5:10" ht="15.75">
      <c r="E74" s="427"/>
      <c r="F74" s="427"/>
      <c r="G74" s="427"/>
      <c r="H74" s="303"/>
      <c r="I74" s="427"/>
      <c r="J74" s="427"/>
    </row>
    <row r="75" spans="5:10" ht="15.75">
      <c r="E75" s="427"/>
      <c r="F75" s="427"/>
      <c r="G75" s="427"/>
      <c r="H75" s="303"/>
      <c r="I75" s="427"/>
      <c r="J75" s="427"/>
    </row>
    <row r="76" spans="5:10" ht="15.75">
      <c r="E76" s="427"/>
      <c r="F76" s="427"/>
      <c r="G76" s="427"/>
      <c r="H76" s="303"/>
      <c r="I76" s="427"/>
      <c r="J76" s="427"/>
    </row>
    <row r="77" spans="5:10" ht="15.75">
      <c r="E77" s="427"/>
      <c r="F77" s="427"/>
      <c r="G77" s="427"/>
      <c r="H77" s="303"/>
      <c r="I77" s="427"/>
      <c r="J77" s="427"/>
    </row>
    <row r="78" spans="5:10" ht="15.75">
      <c r="E78" s="427"/>
      <c r="F78" s="427"/>
      <c r="G78" s="427"/>
      <c r="H78" s="303"/>
      <c r="I78" s="427"/>
      <c r="J78" s="427"/>
    </row>
    <row r="79" spans="5:10" ht="15.75">
      <c r="E79" s="427"/>
      <c r="F79" s="427"/>
      <c r="G79" s="427"/>
      <c r="H79" s="303"/>
      <c r="I79" s="427"/>
      <c r="J79" s="427"/>
    </row>
    <row r="80" spans="5:10" ht="15.75">
      <c r="E80" s="427"/>
      <c r="F80" s="427"/>
      <c r="G80" s="427"/>
      <c r="H80" s="303"/>
      <c r="I80" s="427"/>
      <c r="J80" s="427"/>
    </row>
    <row r="81" spans="1:12" ht="15.75">
      <c r="E81" s="427"/>
      <c r="F81" s="427"/>
      <c r="G81" s="427"/>
      <c r="H81" s="303"/>
      <c r="I81" s="427"/>
      <c r="J81" s="427"/>
    </row>
    <row r="82" spans="1:12" ht="15.75">
      <c r="E82" s="427"/>
      <c r="F82" s="427"/>
      <c r="G82" s="427"/>
      <c r="H82" s="303"/>
      <c r="I82" s="427"/>
      <c r="J82" s="427"/>
    </row>
    <row r="83" spans="1:12" ht="15.75">
      <c r="E83" s="427"/>
      <c r="F83" s="427"/>
      <c r="G83" s="427"/>
      <c r="H83" s="303"/>
      <c r="I83" s="427"/>
      <c r="J83" s="427"/>
    </row>
    <row r="84" spans="1:12" ht="15.75">
      <c r="E84" s="427"/>
      <c r="F84" s="427"/>
      <c r="G84" s="427"/>
      <c r="H84" s="303"/>
      <c r="I84" s="427"/>
      <c r="J84" s="427"/>
    </row>
    <row r="85" spans="1:12" ht="15.75">
      <c r="A85" s="289" t="s">
        <v>378</v>
      </c>
      <c r="B85" s="289"/>
      <c r="C85" s="289"/>
      <c r="D85" s="289"/>
      <c r="E85" s="289"/>
      <c r="F85" s="289"/>
      <c r="G85" s="289"/>
      <c r="H85" s="303"/>
      <c r="I85" s="289"/>
      <c r="J85" s="289"/>
      <c r="K85" s="289"/>
      <c r="L85" s="330"/>
    </row>
    <row r="86" spans="1:12" ht="15.75">
      <c r="H86" s="303"/>
    </row>
    <row r="87" spans="1:12" ht="15.75">
      <c r="H87" s="303"/>
    </row>
    <row r="88" spans="1:12" ht="15.75">
      <c r="H88" s="303"/>
    </row>
    <row r="89" spans="1:12" ht="15.75">
      <c r="H89" s="303"/>
    </row>
    <row r="90" spans="1:12" ht="15.75">
      <c r="H90" s="303"/>
    </row>
    <row r="91" spans="1:12" ht="15.75">
      <c r="H91" s="303"/>
    </row>
    <row r="92" spans="1:12" ht="15.75">
      <c r="H92" s="303"/>
    </row>
    <row r="93" spans="1:12" ht="15.75">
      <c r="H93" s="303"/>
    </row>
    <row r="94" spans="1:12" ht="15.75">
      <c r="H94" s="303"/>
    </row>
    <row r="95" spans="1:12" ht="15.75">
      <c r="H95" s="303"/>
    </row>
    <row r="96" spans="1:12" ht="15.75">
      <c r="H96" s="303"/>
    </row>
    <row r="97" spans="8:8" ht="15.75">
      <c r="H97" s="303"/>
    </row>
    <row r="98" spans="8:8" ht="15.75">
      <c r="H98" s="303"/>
    </row>
    <row r="99" spans="8:8" ht="15.75">
      <c r="H99" s="303"/>
    </row>
    <row r="100" spans="8:8" ht="15.75">
      <c r="H100" s="303"/>
    </row>
    <row r="101" spans="8:8" ht="15.75">
      <c r="H101" s="303"/>
    </row>
    <row r="102" spans="8:8" ht="15.75">
      <c r="H102" s="303"/>
    </row>
    <row r="103" spans="8:8" ht="15.75">
      <c r="H103" s="303"/>
    </row>
    <row r="104" spans="8:8" ht="15.75">
      <c r="H104" s="303"/>
    </row>
    <row r="105" spans="8:8" ht="15.75">
      <c r="H105" s="303"/>
    </row>
    <row r="106" spans="8:8" ht="15.75">
      <c r="H106" s="303"/>
    </row>
    <row r="107" spans="8:8" ht="15.75">
      <c r="H107" s="303"/>
    </row>
    <row r="108" spans="8:8" ht="15.75">
      <c r="H108" s="303"/>
    </row>
    <row r="109" spans="8:8" ht="15.75">
      <c r="H109" s="303"/>
    </row>
    <row r="110" spans="8:8" ht="15.75">
      <c r="H110" s="303"/>
    </row>
    <row r="111" spans="8:8" ht="15.75">
      <c r="H111" s="303"/>
    </row>
    <row r="112" spans="8:8" ht="15.75">
      <c r="H112" s="303"/>
    </row>
    <row r="113" spans="8:8" ht="15.75">
      <c r="H113" s="303"/>
    </row>
    <row r="114" spans="8:8" ht="15.75">
      <c r="H114" s="303"/>
    </row>
    <row r="115" spans="8:8" ht="15.75">
      <c r="H115" s="303"/>
    </row>
    <row r="116" spans="8:8" ht="15.75">
      <c r="H116" s="303"/>
    </row>
    <row r="117" spans="8:8" ht="15.75">
      <c r="H117" s="303"/>
    </row>
    <row r="118" spans="8:8" ht="15.75">
      <c r="H118" s="303"/>
    </row>
    <row r="119" spans="8:8" ht="15.75">
      <c r="H119" s="303"/>
    </row>
    <row r="120" spans="8:8" ht="15.75">
      <c r="H120" s="303"/>
    </row>
    <row r="121" spans="8:8" ht="15.75">
      <c r="H121" s="303"/>
    </row>
    <row r="122" spans="8:8" ht="15.75">
      <c r="H122" s="303"/>
    </row>
    <row r="123" spans="8:8" ht="15.75">
      <c r="H123" s="303"/>
    </row>
    <row r="124" spans="8:8" ht="15.75">
      <c r="H124" s="303"/>
    </row>
    <row r="125" spans="8:8" ht="15.75">
      <c r="H125" s="303"/>
    </row>
    <row r="126" spans="8:8" ht="15.75">
      <c r="H126" s="303"/>
    </row>
    <row r="127" spans="8:8" ht="15.75">
      <c r="H127" s="303"/>
    </row>
    <row r="128" spans="8:8" ht="15.75">
      <c r="H128" s="303"/>
    </row>
    <row r="129" spans="8:8" ht="15.75">
      <c r="H129" s="303"/>
    </row>
    <row r="130" spans="8:8" ht="15.75">
      <c r="H130" s="303"/>
    </row>
    <row r="131" spans="8:8" ht="15.75">
      <c r="H131" s="303"/>
    </row>
    <row r="132" spans="8:8" ht="15.75">
      <c r="H132" s="303"/>
    </row>
    <row r="133" spans="8:8" ht="15.75">
      <c r="H133" s="303"/>
    </row>
    <row r="134" spans="8:8" ht="15.75">
      <c r="H134" s="303"/>
    </row>
    <row r="135" spans="8:8" ht="15.75">
      <c r="H135" s="303"/>
    </row>
    <row r="136" spans="8:8" ht="15.75">
      <c r="H136" s="303"/>
    </row>
    <row r="137" spans="8:8" ht="15.75">
      <c r="H137" s="303"/>
    </row>
    <row r="138" spans="8:8" ht="15.75">
      <c r="H138" s="303"/>
    </row>
    <row r="139" spans="8:8" ht="15.75">
      <c r="H139" s="303"/>
    </row>
    <row r="140" spans="8:8" ht="15.75">
      <c r="H140" s="303"/>
    </row>
    <row r="141" spans="8:8" ht="15.75">
      <c r="H141" s="303"/>
    </row>
    <row r="142" spans="8:8" ht="15.75">
      <c r="H142" s="303"/>
    </row>
    <row r="143" spans="8:8" ht="15.75">
      <c r="H143" s="303"/>
    </row>
    <row r="144" spans="8:8" ht="15.75">
      <c r="H144" s="303"/>
    </row>
    <row r="145" spans="8:8" ht="15.75">
      <c r="H145" s="303"/>
    </row>
    <row r="146" spans="8:8" ht="15.75">
      <c r="H146" s="303"/>
    </row>
    <row r="147" spans="8:8" ht="15.75">
      <c r="H147" s="303"/>
    </row>
    <row r="148" spans="8:8" ht="15.75">
      <c r="H148" s="303"/>
    </row>
    <row r="149" spans="8:8" ht="15.75">
      <c r="H149" s="303"/>
    </row>
    <row r="150" spans="8:8" ht="15.75">
      <c r="H150" s="303"/>
    </row>
    <row r="151" spans="8:8" ht="15.75">
      <c r="H151" s="303"/>
    </row>
    <row r="152" spans="8:8" ht="15.75">
      <c r="H152" s="303"/>
    </row>
    <row r="153" spans="8:8" ht="15.75">
      <c r="H153" s="303"/>
    </row>
    <row r="154" spans="8:8" ht="15.75">
      <c r="H154" s="303"/>
    </row>
    <row r="155" spans="8:8" ht="15.75">
      <c r="H155" s="303"/>
    </row>
    <row r="156" spans="8:8" ht="15.75">
      <c r="H156" s="303"/>
    </row>
    <row r="157" spans="8:8" ht="15.75">
      <c r="H157" s="303"/>
    </row>
    <row r="158" spans="8:8" ht="15.75">
      <c r="H158" s="303"/>
    </row>
    <row r="159" spans="8:8" ht="15.75">
      <c r="H159" s="303"/>
    </row>
    <row r="160" spans="8:8" ht="15.75">
      <c r="H160" s="303"/>
    </row>
    <row r="161" spans="8:8" ht="15.75">
      <c r="H161" s="303"/>
    </row>
    <row r="162" spans="8:8" ht="15.75">
      <c r="H162" s="303"/>
    </row>
    <row r="163" spans="8:8" ht="15.75">
      <c r="H163" s="303"/>
    </row>
    <row r="164" spans="8:8" ht="15.75">
      <c r="H164" s="303"/>
    </row>
    <row r="165" spans="8:8" ht="15.75">
      <c r="H165" s="303"/>
    </row>
    <row r="166" spans="8:8" ht="15.75">
      <c r="H166" s="303"/>
    </row>
    <row r="167" spans="8:8" ht="15.75">
      <c r="H167" s="303"/>
    </row>
    <row r="168" spans="8:8" ht="15.75">
      <c r="H168" s="303"/>
    </row>
    <row r="169" spans="8:8" ht="15.75">
      <c r="H169" s="303"/>
    </row>
    <row r="170" spans="8:8" ht="15.75">
      <c r="H170" s="303"/>
    </row>
    <row r="171" spans="8:8" ht="15.75">
      <c r="H171" s="303"/>
    </row>
    <row r="172" spans="8:8" ht="15.75">
      <c r="H172" s="303"/>
    </row>
    <row r="173" spans="8:8" ht="15.75">
      <c r="H173" s="303"/>
    </row>
    <row r="174" spans="8:8" ht="15.75">
      <c r="H174" s="303"/>
    </row>
    <row r="175" spans="8:8" ht="15.75">
      <c r="H175" s="303"/>
    </row>
    <row r="176" spans="8:8" ht="15.75">
      <c r="H176" s="303"/>
    </row>
    <row r="177" spans="8:8" ht="15.75">
      <c r="H177" s="303"/>
    </row>
    <row r="178" spans="8:8" ht="15.75">
      <c r="H178" s="303"/>
    </row>
    <row r="179" spans="8:8" ht="15.75">
      <c r="H179" s="303"/>
    </row>
    <row r="180" spans="8:8" ht="15.75">
      <c r="H180" s="303"/>
    </row>
    <row r="181" spans="8:8" ht="15.75">
      <c r="H181" s="303"/>
    </row>
    <row r="182" spans="8:8" ht="15.75">
      <c r="H182" s="303"/>
    </row>
    <row r="183" spans="8:8" ht="15.75">
      <c r="H183" s="303"/>
    </row>
    <row r="184" spans="8:8" ht="15.75">
      <c r="H184" s="303"/>
    </row>
    <row r="185" spans="8:8" ht="15.75">
      <c r="H185" s="303"/>
    </row>
    <row r="186" spans="8:8" ht="15.75">
      <c r="H186" s="303"/>
    </row>
    <row r="187" spans="8:8" ht="15.75">
      <c r="H187" s="303"/>
    </row>
    <row r="188" spans="8:8" ht="15.75">
      <c r="H188" s="303"/>
    </row>
    <row r="189" spans="8:8" ht="15.75">
      <c r="H189" s="303"/>
    </row>
    <row r="190" spans="8:8" ht="15.75">
      <c r="H190" s="303"/>
    </row>
    <row r="191" spans="8:8" ht="15.75">
      <c r="H191" s="303"/>
    </row>
    <row r="192" spans="8:8" ht="15.75">
      <c r="H192" s="303"/>
    </row>
    <row r="193" spans="8:8" ht="15.75">
      <c r="H193" s="303"/>
    </row>
    <row r="194" spans="8:8" ht="15.75">
      <c r="H194" s="303"/>
    </row>
    <row r="195" spans="8:8" ht="15.75">
      <c r="H195" s="303"/>
    </row>
    <row r="196" spans="8:8" ht="15.75">
      <c r="H196" s="303"/>
    </row>
    <row r="197" spans="8:8" ht="15.75">
      <c r="H197" s="303"/>
    </row>
    <row r="198" spans="8:8" ht="15.75">
      <c r="H198" s="303"/>
    </row>
    <row r="199" spans="8:8" ht="15.75">
      <c r="H199" s="303"/>
    </row>
    <row r="200" spans="8:8" ht="15.75">
      <c r="H200" s="303"/>
    </row>
    <row r="201" spans="8:8" ht="15.75">
      <c r="H201" s="303"/>
    </row>
  </sheetData>
  <phoneticPr fontId="0" type="noConversion"/>
  <printOptions horizontalCentered="1"/>
  <pageMargins left="0.5" right="0.5" top="0.5" bottom="0.75" header="0.5" footer="0.25"/>
  <pageSetup scale="70" firstPageNumber="30" orientation="portrait" useFirstPageNumber="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codeName="Sheet22"/>
  <dimension ref="A3:N96"/>
  <sheetViews>
    <sheetView showGridLines="0" topLeftCell="A15" zoomScale="70" workbookViewId="0">
      <selection activeCell="Q67" sqref="Q67"/>
    </sheetView>
  </sheetViews>
  <sheetFormatPr defaultColWidth="9.7109375" defaultRowHeight="12.75"/>
  <cols>
    <col min="1" max="1" width="2.7109375" style="288" customWidth="1"/>
    <col min="2" max="2" width="50.7109375" style="288" customWidth="1"/>
    <col min="3" max="3" width="2.7109375" style="288" customWidth="1"/>
    <col min="4" max="4" width="16.7109375" style="288" customWidth="1"/>
    <col min="5" max="5" width="2.7109375" style="288" customWidth="1"/>
    <col min="6" max="6" width="16.7109375" style="288" customWidth="1"/>
    <col min="7" max="7" width="2.7109375" style="288" customWidth="1"/>
    <col min="8" max="8" width="16.7109375" style="288" customWidth="1"/>
    <col min="9" max="9" width="2.7109375" style="288" customWidth="1"/>
    <col min="10" max="10" width="16.7109375" style="288" customWidth="1"/>
    <col min="11" max="11" width="2.7109375" style="288" customWidth="1"/>
    <col min="12" max="12" width="20" style="288" customWidth="1"/>
    <col min="13" max="13" width="2.85546875" style="288" customWidth="1"/>
    <col min="14" max="14" width="20" style="288" customWidth="1"/>
    <col min="15" max="16384" width="9.7109375" style="288"/>
  </cols>
  <sheetData>
    <row r="3" spans="1:14" ht="15.75">
      <c r="B3" s="305" t="s">
        <v>1049</v>
      </c>
      <c r="C3" s="277"/>
      <c r="D3" s="277"/>
      <c r="E3" s="277"/>
      <c r="F3" s="277"/>
      <c r="G3" s="277"/>
      <c r="H3" s="277"/>
      <c r="I3" s="277"/>
      <c r="J3" s="277"/>
      <c r="K3" s="289"/>
      <c r="L3" s="289"/>
      <c r="M3" s="276"/>
      <c r="N3" s="289"/>
    </row>
    <row r="4" spans="1:14" ht="15.75">
      <c r="B4" s="305" t="s">
        <v>248</v>
      </c>
      <c r="C4" s="277"/>
      <c r="D4" s="277"/>
      <c r="E4" s="277"/>
      <c r="F4" s="277"/>
      <c r="G4" s="277"/>
      <c r="H4" s="277"/>
      <c r="I4" s="277"/>
      <c r="J4" s="277"/>
      <c r="K4" s="289"/>
      <c r="L4" s="289"/>
      <c r="M4" s="276"/>
      <c r="N4" s="289"/>
    </row>
    <row r="5" spans="1:14" ht="15.75">
      <c r="B5" s="305" t="s">
        <v>7</v>
      </c>
      <c r="C5" s="277"/>
      <c r="D5" s="277"/>
      <c r="E5" s="277"/>
      <c r="F5" s="277"/>
      <c r="G5" s="277"/>
      <c r="H5" s="277"/>
      <c r="I5" s="277"/>
      <c r="J5" s="277"/>
      <c r="K5" s="289"/>
      <c r="L5" s="289"/>
      <c r="M5" s="276"/>
      <c r="N5" s="289"/>
    </row>
    <row r="6" spans="1:14" ht="15.75">
      <c r="B6" s="307">
        <f>+'Sys INPUT'!B1</f>
        <v>45107</v>
      </c>
      <c r="C6" s="277"/>
      <c r="D6" s="277"/>
      <c r="E6" s="277"/>
      <c r="F6" s="277"/>
      <c r="G6" s="277"/>
      <c r="H6" s="277"/>
      <c r="I6" s="277"/>
      <c r="J6" s="277"/>
      <c r="K6" s="289"/>
      <c r="L6" s="289"/>
      <c r="M6" s="276"/>
      <c r="N6" s="289"/>
    </row>
    <row r="7" spans="1:14" ht="15.75">
      <c r="A7" s="276"/>
      <c r="B7" s="320"/>
      <c r="C7" s="308"/>
      <c r="D7" s="502"/>
      <c r="E7" s="308"/>
      <c r="F7" s="502"/>
      <c r="G7" s="308"/>
      <c r="H7" s="502"/>
      <c r="I7" s="308"/>
      <c r="J7" s="502"/>
      <c r="K7" s="308"/>
      <c r="M7" s="276"/>
    </row>
    <row r="8" spans="1:14" ht="15.75">
      <c r="A8" s="276"/>
      <c r="B8" s="320"/>
      <c r="C8" s="308"/>
      <c r="D8" s="308"/>
      <c r="E8" s="308"/>
      <c r="F8" s="308"/>
      <c r="G8" s="308"/>
      <c r="H8" s="308"/>
      <c r="I8" s="308"/>
      <c r="J8" s="287" t="s">
        <v>9</v>
      </c>
      <c r="K8" s="308"/>
      <c r="M8" s="276"/>
    </row>
    <row r="9" spans="1:14" ht="15.75">
      <c r="A9" s="276"/>
      <c r="B9" s="308"/>
      <c r="C9" s="308"/>
      <c r="D9" s="308"/>
      <c r="E9" s="308"/>
      <c r="F9" s="308"/>
      <c r="G9" s="308"/>
      <c r="H9" s="308"/>
      <c r="I9" s="308"/>
      <c r="J9" s="328" t="s">
        <v>762</v>
      </c>
      <c r="K9" s="308"/>
      <c r="L9" s="287" t="s">
        <v>315</v>
      </c>
      <c r="M9" s="276"/>
      <c r="N9" s="287"/>
    </row>
    <row r="10" spans="1:14" ht="15.75">
      <c r="A10" s="276"/>
      <c r="B10" s="308"/>
      <c r="C10" s="308"/>
      <c r="D10" s="308"/>
      <c r="E10" s="308"/>
      <c r="F10" s="308"/>
      <c r="G10" s="308"/>
      <c r="H10" s="308"/>
      <c r="I10" s="308"/>
      <c r="J10" s="287" t="s">
        <v>901</v>
      </c>
      <c r="K10" s="308"/>
      <c r="L10" s="287" t="s">
        <v>4</v>
      </c>
      <c r="M10" s="276"/>
      <c r="N10" s="287"/>
    </row>
    <row r="11" spans="1:14" ht="15.75">
      <c r="A11" s="276"/>
      <c r="B11" s="308"/>
      <c r="C11" s="308"/>
      <c r="D11" s="287" t="s">
        <v>1297</v>
      </c>
      <c r="E11" s="308"/>
      <c r="F11" s="287" t="s">
        <v>65</v>
      </c>
      <c r="G11" s="308"/>
      <c r="H11" s="287" t="s">
        <v>67</v>
      </c>
      <c r="I11" s="308"/>
      <c r="J11" s="287" t="s">
        <v>746</v>
      </c>
      <c r="K11" s="308"/>
      <c r="L11" s="287" t="s">
        <v>338</v>
      </c>
      <c r="M11" s="276"/>
      <c r="N11" s="287"/>
    </row>
    <row r="12" spans="1:14" ht="15.75">
      <c r="A12" s="276"/>
      <c r="B12" s="308"/>
      <c r="C12" s="308"/>
      <c r="D12" s="290" t="s">
        <v>221</v>
      </c>
      <c r="E12" s="308"/>
      <c r="F12" s="290" t="s">
        <v>223</v>
      </c>
      <c r="G12" s="308"/>
      <c r="H12" s="290" t="s">
        <v>224</v>
      </c>
      <c r="I12" s="308"/>
      <c r="J12" s="290" t="s">
        <v>73</v>
      </c>
      <c r="K12" s="308"/>
      <c r="L12" s="290" t="s">
        <v>540</v>
      </c>
      <c r="M12" s="276"/>
      <c r="N12" s="290"/>
    </row>
    <row r="13" spans="1:14" ht="15.75">
      <c r="A13" s="276"/>
      <c r="B13" s="308" t="str">
        <f>INPUT!B83</f>
        <v>ASSETS</v>
      </c>
      <c r="C13" s="276"/>
      <c r="D13" s="333"/>
      <c r="E13" s="276"/>
      <c r="F13" s="333"/>
      <c r="G13" s="276"/>
      <c r="H13" s="333"/>
      <c r="I13" s="276"/>
      <c r="J13" s="333"/>
      <c r="K13" s="276"/>
      <c r="L13" s="333"/>
      <c r="M13" s="276"/>
      <c r="N13" s="333"/>
    </row>
    <row r="14" spans="1:14" ht="15.75">
      <c r="A14" s="276"/>
      <c r="B14" s="276" t="str">
        <f>INPUT!B85</f>
        <v xml:space="preserve">     Cash and cash equivalents</v>
      </c>
      <c r="C14" s="303"/>
      <c r="D14" s="292">
        <f>+'SR BS'!DZ14</f>
        <v>10380827</v>
      </c>
      <c r="E14" s="292"/>
      <c r="F14" s="292">
        <f>+'DS BS'!P14</f>
        <v>422735</v>
      </c>
      <c r="G14" s="292"/>
      <c r="H14" s="292">
        <f>+'CP BS'!N14</f>
        <v>2060137</v>
      </c>
      <c r="I14" s="292"/>
      <c r="J14" s="292">
        <f>+'PERM BS'!D16</f>
        <v>0</v>
      </c>
      <c r="K14" s="292"/>
      <c r="L14" s="292">
        <f>SUM(D14:J14)</f>
        <v>12863699</v>
      </c>
      <c r="M14" s="303"/>
      <c r="N14" s="292"/>
    </row>
    <row r="15" spans="1:14" ht="15.75">
      <c r="A15" s="276"/>
      <c r="B15" s="276" t="str">
        <f>INPUT!B86</f>
        <v xml:space="preserve">     Investments </v>
      </c>
      <c r="C15" s="276"/>
      <c r="D15" s="294">
        <f>+'SR BS'!DZ15</f>
        <v>1982757</v>
      </c>
      <c r="E15" s="296"/>
      <c r="F15" s="294">
        <f>+'DS BS'!P15</f>
        <v>80743</v>
      </c>
      <c r="G15" s="296"/>
      <c r="H15" s="294">
        <f>+'CP BS'!N15</f>
        <v>393491</v>
      </c>
      <c r="I15" s="296"/>
      <c r="J15" s="294">
        <f>+'PERM BS'!D17</f>
        <v>0</v>
      </c>
      <c r="K15" s="296"/>
      <c r="L15" s="294">
        <f>SUM(D15:J15)</f>
        <v>2456991</v>
      </c>
      <c r="M15" s="303"/>
      <c r="N15" s="294"/>
    </row>
    <row r="16" spans="1:14" ht="15.75">
      <c r="A16" s="276"/>
      <c r="B16" s="276" t="str">
        <f>INPUT!B87</f>
        <v xml:space="preserve">     Receivables (net of allowance):</v>
      </c>
      <c r="C16" s="276"/>
      <c r="D16" s="294"/>
      <c r="E16" s="296"/>
      <c r="F16" s="294"/>
      <c r="G16" s="296"/>
      <c r="H16" s="294"/>
      <c r="I16" s="296"/>
      <c r="J16" s="294"/>
      <c r="K16" s="296"/>
      <c r="L16" s="294"/>
      <c r="M16" s="303"/>
      <c r="N16" s="294"/>
    </row>
    <row r="17" spans="1:14" ht="15.75">
      <c r="A17" s="276"/>
      <c r="B17" s="276" t="str">
        <f>INPUT!B88</f>
        <v xml:space="preserve">          Taxes/assessments</v>
      </c>
      <c r="C17" s="276"/>
      <c r="D17" s="294">
        <f>+'SR BS'!DZ17</f>
        <v>361260</v>
      </c>
      <c r="E17" s="296"/>
      <c r="F17" s="294">
        <f>+'DS BS'!P17</f>
        <v>39642</v>
      </c>
      <c r="G17" s="296"/>
      <c r="H17" s="294">
        <f>+'CP BS'!N17</f>
        <v>0</v>
      </c>
      <c r="I17" s="296"/>
      <c r="J17" s="294">
        <f>+'PERM BS'!D19</f>
        <v>0</v>
      </c>
      <c r="K17" s="296"/>
      <c r="L17" s="294">
        <f t="shared" ref="L17:L23" si="0">SUM(D17:J17)</f>
        <v>400902</v>
      </c>
      <c r="M17" s="303"/>
      <c r="N17" s="294"/>
    </row>
    <row r="18" spans="1:14" ht="15.75">
      <c r="A18" s="276"/>
      <c r="B18" s="276" t="str">
        <f>INPUT!B89</f>
        <v xml:space="preserve">          Accounts/contracts</v>
      </c>
      <c r="C18" s="276"/>
      <c r="D18" s="294">
        <f>+'SR BS'!DZ18</f>
        <v>4500</v>
      </c>
      <c r="E18" s="296"/>
      <c r="F18" s="294">
        <f>+'DS BS'!P18</f>
        <v>0</v>
      </c>
      <c r="G18" s="296"/>
      <c r="H18" s="294">
        <f>+'CP BS'!N18</f>
        <v>0</v>
      </c>
      <c r="I18" s="296"/>
      <c r="J18" s="294">
        <v>0</v>
      </c>
      <c r="K18" s="296"/>
      <c r="L18" s="294">
        <f t="shared" si="0"/>
        <v>4500</v>
      </c>
      <c r="M18" s="303"/>
      <c r="N18" s="294"/>
    </row>
    <row r="19" spans="1:14" ht="15.75" hidden="1">
      <c r="A19" s="276"/>
      <c r="B19" s="276" t="str">
        <f>INPUT!B92</f>
        <v xml:space="preserve">     Due from other funds</v>
      </c>
      <c r="C19" s="276"/>
      <c r="D19" s="294">
        <f>+'SR BS'!DZ21</f>
        <v>0</v>
      </c>
      <c r="E19" s="296"/>
      <c r="F19" s="294">
        <f>+'DS BS'!P21</f>
        <v>0</v>
      </c>
      <c r="G19" s="296"/>
      <c r="H19" s="294">
        <f>+'CP BS'!N21</f>
        <v>0</v>
      </c>
      <c r="I19" s="296"/>
      <c r="J19" s="294">
        <f>+'PERM BS'!D20</f>
        <v>0</v>
      </c>
      <c r="K19" s="296"/>
      <c r="L19" s="294">
        <f t="shared" si="0"/>
        <v>0</v>
      </c>
      <c r="M19" s="303"/>
      <c r="N19" s="294"/>
    </row>
    <row r="20" spans="1:14" ht="15.75" hidden="1">
      <c r="A20" s="276"/>
      <c r="B20" s="276" t="str">
        <f>INPUT!B90</f>
        <v xml:space="preserve">          Notes receivable</v>
      </c>
      <c r="C20" s="276"/>
      <c r="D20" s="294">
        <f>+'SR BS'!DZ19</f>
        <v>0</v>
      </c>
      <c r="E20" s="296"/>
      <c r="F20" s="294">
        <f>+'DS BS'!P19</f>
        <v>0</v>
      </c>
      <c r="G20" s="296"/>
      <c r="H20" s="294">
        <f>+'CP BS'!N19</f>
        <v>0</v>
      </c>
      <c r="I20" s="296"/>
      <c r="J20" s="294">
        <v>0</v>
      </c>
      <c r="K20" s="296"/>
      <c r="L20" s="294">
        <f>SUM(D20:J20)</f>
        <v>0</v>
      </c>
      <c r="M20" s="303"/>
      <c r="N20" s="294"/>
    </row>
    <row r="21" spans="1:14" ht="15.75" hidden="1">
      <c r="A21" s="276"/>
      <c r="B21" s="276" t="str">
        <f>INPUT!B91</f>
        <v xml:space="preserve">          Leases</v>
      </c>
      <c r="C21" s="276"/>
      <c r="D21" s="294">
        <f>+'SR BS'!DZ20</f>
        <v>0</v>
      </c>
      <c r="E21" s="296"/>
      <c r="F21" s="294">
        <f>+'DS BS'!P20</f>
        <v>0</v>
      </c>
      <c r="G21" s="296"/>
      <c r="H21" s="294">
        <f>+'CP BS'!N20</f>
        <v>0</v>
      </c>
      <c r="I21" s="296"/>
      <c r="J21" s="294">
        <v>0</v>
      </c>
      <c r="K21" s="296"/>
      <c r="L21" s="294">
        <f>SUM(D21:J21)</f>
        <v>0</v>
      </c>
      <c r="M21" s="303"/>
      <c r="N21" s="294"/>
    </row>
    <row r="22" spans="1:14" ht="15.75">
      <c r="A22" s="276"/>
      <c r="B22" s="276" t="str">
        <f>INPUT!B93</f>
        <v xml:space="preserve">     Due from other governments</v>
      </c>
      <c r="C22" s="276"/>
      <c r="D22" s="294">
        <f>+'SR BS'!DZ22</f>
        <v>491270</v>
      </c>
      <c r="E22" s="296"/>
      <c r="F22" s="294">
        <f>+'DS BS'!P22</f>
        <v>0</v>
      </c>
      <c r="G22" s="296"/>
      <c r="H22" s="294">
        <f>+'CP BS'!N22</f>
        <v>0</v>
      </c>
      <c r="I22" s="296"/>
      <c r="J22" s="294">
        <v>0</v>
      </c>
      <c r="K22" s="296"/>
      <c r="L22" s="294">
        <f t="shared" si="0"/>
        <v>491270</v>
      </c>
      <c r="M22" s="303"/>
      <c r="N22" s="294"/>
    </row>
    <row r="23" spans="1:14" ht="15.75">
      <c r="A23" s="276"/>
      <c r="B23" s="276" t="str">
        <f>INPUT!B94</f>
        <v xml:space="preserve">     Inventories</v>
      </c>
      <c r="C23" s="276"/>
      <c r="D23" s="294">
        <f>+'SR BS'!DZ23</f>
        <v>474123</v>
      </c>
      <c r="E23" s="296"/>
      <c r="F23" s="294">
        <f>+'DS BS'!P23</f>
        <v>0</v>
      </c>
      <c r="G23" s="296"/>
      <c r="H23" s="294">
        <f>+'CP BS'!N23</f>
        <v>0</v>
      </c>
      <c r="I23" s="296"/>
      <c r="J23" s="294">
        <v>0</v>
      </c>
      <c r="K23" s="296"/>
      <c r="L23" s="294">
        <f t="shared" si="0"/>
        <v>474123</v>
      </c>
      <c r="M23" s="303"/>
      <c r="N23" s="294"/>
    </row>
    <row r="24" spans="1:14" ht="15.75">
      <c r="A24" s="276"/>
      <c r="B24" s="276" t="str">
        <f>INPUT!B96</f>
        <v>Noncurrent assets:</v>
      </c>
      <c r="C24" s="276"/>
      <c r="D24" s="294"/>
      <c r="E24" s="296"/>
      <c r="F24" s="294"/>
      <c r="G24" s="296"/>
      <c r="H24" s="294"/>
      <c r="I24" s="296"/>
      <c r="J24" s="294"/>
      <c r="K24" s="296"/>
      <c r="L24" s="294"/>
      <c r="M24" s="303"/>
      <c r="N24" s="294"/>
    </row>
    <row r="25" spans="1:14" ht="15.75">
      <c r="A25" s="276"/>
      <c r="B25" s="276" t="str">
        <f>INPUT!B97</f>
        <v xml:space="preserve">     Restricted assets:</v>
      </c>
      <c r="C25" s="276"/>
      <c r="D25" s="294"/>
      <c r="E25" s="296"/>
      <c r="F25" s="294"/>
      <c r="G25" s="296"/>
      <c r="H25" s="294"/>
      <c r="I25" s="296"/>
      <c r="J25" s="294"/>
      <c r="K25" s="296"/>
      <c r="L25" s="294"/>
      <c r="M25" s="303"/>
      <c r="N25" s="294"/>
    </row>
    <row r="26" spans="1:14" ht="15.75">
      <c r="A26" s="276"/>
      <c r="B26" s="276" t="str">
        <f>INPUT!B98</f>
        <v xml:space="preserve">          Cash and cash equivalents</v>
      </c>
      <c r="C26" s="276"/>
      <c r="D26" s="294">
        <f>+'SR BS'!DZ26</f>
        <v>20819</v>
      </c>
      <c r="E26" s="296"/>
      <c r="F26" s="294">
        <f>+'DS BS'!P26</f>
        <v>0</v>
      </c>
      <c r="G26" s="296"/>
      <c r="H26" s="294">
        <f>+'CP BS'!N26</f>
        <v>0</v>
      </c>
      <c r="I26" s="296"/>
      <c r="J26" s="294">
        <f>+'PERM BS'!D23</f>
        <v>20810</v>
      </c>
      <c r="K26" s="296"/>
      <c r="L26" s="294">
        <f t="shared" ref="L26:L31" si="1">SUM(D26:J26)</f>
        <v>41629</v>
      </c>
      <c r="M26" s="303"/>
      <c r="N26" s="294"/>
    </row>
    <row r="27" spans="1:14" ht="15.75">
      <c r="A27" s="276"/>
      <c r="B27" s="276" t="str">
        <f>INPUT!B99</f>
        <v xml:space="preserve">          Investments</v>
      </c>
      <c r="C27" s="276"/>
      <c r="D27" s="294">
        <f>+'SR BS'!DZ27</f>
        <v>350827</v>
      </c>
      <c r="E27" s="296"/>
      <c r="F27" s="294">
        <f>+'DS BS'!P27</f>
        <v>0</v>
      </c>
      <c r="G27" s="296"/>
      <c r="H27" s="294">
        <f>+'CP BS'!N27</f>
        <v>0</v>
      </c>
      <c r="I27" s="296"/>
      <c r="J27" s="294">
        <f>+'PERM BS'!D24</f>
        <v>345087</v>
      </c>
      <c r="K27" s="296"/>
      <c r="L27" s="294">
        <f t="shared" si="1"/>
        <v>695914</v>
      </c>
      <c r="M27" s="303"/>
      <c r="N27" s="294"/>
    </row>
    <row r="28" spans="1:14" ht="15.75" hidden="1">
      <c r="A28" s="276" t="s">
        <v>299</v>
      </c>
      <c r="B28" s="276" t="str">
        <f>INPUT!B100</f>
        <v xml:space="preserve">     Valuation of investments to fair value</v>
      </c>
      <c r="C28" s="276"/>
      <c r="D28" s="294">
        <f>+'SR BS'!DZ28</f>
        <v>0</v>
      </c>
      <c r="E28" s="296"/>
      <c r="F28" s="294">
        <f>+'DS BS'!P28</f>
        <v>0</v>
      </c>
      <c r="G28" s="296"/>
      <c r="H28" s="294">
        <f>+'CP BS'!N28</f>
        <v>0</v>
      </c>
      <c r="I28" s="296"/>
      <c r="J28" s="294">
        <v>0</v>
      </c>
      <c r="K28" s="296"/>
      <c r="L28" s="294">
        <f t="shared" si="1"/>
        <v>0</v>
      </c>
      <c r="M28" s="303"/>
      <c r="N28" s="294"/>
    </row>
    <row r="29" spans="1:14" ht="15.75" hidden="1">
      <c r="A29" s="276"/>
      <c r="B29" s="276" t="str">
        <f>INPUT!B101</f>
        <v xml:space="preserve">     Long-term accounts/contracts receivable</v>
      </c>
      <c r="C29" s="276"/>
      <c r="D29" s="294">
        <f>+'SR BS'!DZ29</f>
        <v>0</v>
      </c>
      <c r="E29" s="296"/>
      <c r="F29" s="294">
        <f>+'DS BS'!P29</f>
        <v>0</v>
      </c>
      <c r="G29" s="296"/>
      <c r="H29" s="294">
        <f>+'CP BS'!N29</f>
        <v>0</v>
      </c>
      <c r="I29" s="296"/>
      <c r="J29" s="294">
        <v>0</v>
      </c>
      <c r="K29" s="296"/>
      <c r="L29" s="294">
        <f t="shared" si="1"/>
        <v>0</v>
      </c>
      <c r="M29" s="303"/>
      <c r="N29" s="294"/>
    </row>
    <row r="30" spans="1:14" ht="15.75" hidden="1">
      <c r="A30" s="276"/>
      <c r="B30" s="276" t="str">
        <f>INPUT!B102</f>
        <v xml:space="preserve">     Long-term notes receivable</v>
      </c>
      <c r="C30" s="276"/>
      <c r="D30" s="294">
        <f>+'SR BS'!DZ30</f>
        <v>0</v>
      </c>
      <c r="E30" s="296"/>
      <c r="F30" s="294">
        <f>+'DS BS'!P30</f>
        <v>0</v>
      </c>
      <c r="G30" s="296"/>
      <c r="H30" s="294">
        <f>+'CP BS'!N30</f>
        <v>0</v>
      </c>
      <c r="I30" s="296"/>
      <c r="J30" s="294">
        <v>0</v>
      </c>
      <c r="K30" s="296"/>
      <c r="L30" s="294">
        <f t="shared" si="1"/>
        <v>0</v>
      </c>
      <c r="M30" s="303"/>
      <c r="N30" s="294"/>
    </row>
    <row r="31" spans="1:14" ht="15.75" hidden="1">
      <c r="A31" s="276"/>
      <c r="B31" s="276" t="str">
        <f>INPUT!B103</f>
        <v xml:space="preserve">     Advances to other funds</v>
      </c>
      <c r="C31" s="276"/>
      <c r="D31" s="294">
        <f>+'SR BS'!DZ31</f>
        <v>0</v>
      </c>
      <c r="E31" s="296"/>
      <c r="F31" s="294">
        <f>+'DS BS'!P31</f>
        <v>0</v>
      </c>
      <c r="G31" s="296"/>
      <c r="H31" s="294">
        <f>+'CP BS'!N31</f>
        <v>0</v>
      </c>
      <c r="I31" s="296"/>
      <c r="J31" s="294">
        <v>0</v>
      </c>
      <c r="K31" s="296"/>
      <c r="L31" s="294">
        <f t="shared" si="1"/>
        <v>0</v>
      </c>
      <c r="M31" s="303"/>
      <c r="N31" s="294"/>
    </row>
    <row r="32" spans="1:14" ht="15" hidden="1" customHeight="1">
      <c r="A32" s="276"/>
      <c r="B32" s="276" t="str">
        <f>INPUT!B105</f>
        <v xml:space="preserve">     Land held for resale</v>
      </c>
      <c r="C32" s="276"/>
      <c r="D32" s="294"/>
      <c r="E32" s="296"/>
      <c r="F32" s="294"/>
      <c r="G32" s="296"/>
      <c r="H32" s="294"/>
      <c r="I32" s="296"/>
      <c r="J32" s="294"/>
      <c r="K32" s="296"/>
      <c r="L32" s="294"/>
      <c r="M32" s="303"/>
      <c r="N32" s="294"/>
    </row>
    <row r="33" spans="1:14" ht="15" hidden="1" customHeight="1">
      <c r="A33" s="276"/>
      <c r="B33" s="276" t="e">
        <f>INPUT!#REF!</f>
        <v>#REF!</v>
      </c>
      <c r="C33" s="276"/>
      <c r="D33" s="294"/>
      <c r="E33" s="296"/>
      <c r="F33" s="294"/>
      <c r="G33" s="296"/>
      <c r="H33" s="294"/>
      <c r="I33" s="296"/>
      <c r="J33" s="294"/>
      <c r="K33" s="296"/>
      <c r="L33" s="294"/>
      <c r="M33" s="303"/>
      <c r="N33" s="294"/>
    </row>
    <row r="34" spans="1:14" ht="15" hidden="1" customHeight="1">
      <c r="A34" s="276"/>
      <c r="B34" s="276" t="str">
        <f>INPUT!B107</f>
        <v xml:space="preserve">     Land and construction in progress</v>
      </c>
      <c r="C34" s="276"/>
      <c r="D34" s="294"/>
      <c r="E34" s="296"/>
      <c r="F34" s="294"/>
      <c r="G34" s="296"/>
      <c r="H34" s="294"/>
      <c r="I34" s="296"/>
      <c r="J34" s="294"/>
      <c r="K34" s="296"/>
      <c r="L34" s="294"/>
      <c r="M34" s="303"/>
      <c r="N34" s="294"/>
    </row>
    <row r="35" spans="1:14" ht="15" hidden="1" customHeight="1">
      <c r="A35" s="276"/>
      <c r="B35" s="276"/>
      <c r="C35" s="276"/>
      <c r="D35" s="294"/>
      <c r="E35" s="296"/>
      <c r="F35" s="294"/>
      <c r="G35" s="296"/>
      <c r="H35" s="294"/>
      <c r="I35" s="296"/>
      <c r="J35" s="294"/>
      <c r="K35" s="296"/>
      <c r="L35" s="294"/>
      <c r="M35" s="303"/>
      <c r="N35" s="294"/>
    </row>
    <row r="36" spans="1:14" ht="15" hidden="1" customHeight="1">
      <c r="A36" s="276"/>
      <c r="B36" s="276" t="str">
        <f>INPUT!B108</f>
        <v xml:space="preserve">     Buildings, improvements, vehicles and equipment (net)</v>
      </c>
      <c r="C36" s="276"/>
      <c r="D36" s="294"/>
      <c r="E36" s="296"/>
      <c r="F36" s="294"/>
      <c r="G36" s="296"/>
      <c r="H36" s="294"/>
      <c r="I36" s="296"/>
      <c r="J36" s="294"/>
      <c r="K36" s="296"/>
      <c r="L36" s="294"/>
      <c r="M36" s="303"/>
      <c r="N36" s="294"/>
    </row>
    <row r="37" spans="1:14" ht="15" hidden="1" customHeight="1">
      <c r="A37" s="276"/>
      <c r="B37" s="276" t="str">
        <f>INPUT!B110</f>
        <v xml:space="preserve">     Amount available in debt service fund</v>
      </c>
      <c r="C37" s="276"/>
      <c r="D37" s="294"/>
      <c r="E37" s="296"/>
      <c r="F37" s="294"/>
      <c r="G37" s="296"/>
      <c r="H37" s="294"/>
      <c r="I37" s="296"/>
      <c r="J37" s="294"/>
      <c r="K37" s="296"/>
      <c r="L37" s="294"/>
      <c r="M37" s="303"/>
      <c r="N37" s="294"/>
    </row>
    <row r="38" spans="1:14" ht="15" hidden="1" customHeight="1">
      <c r="A38" s="276"/>
      <c r="B38" s="276" t="str">
        <f>INPUT!B111</f>
        <v xml:space="preserve">     Amount to be provided for compensated absences</v>
      </c>
      <c r="C38" s="276"/>
      <c r="D38" s="294"/>
      <c r="E38" s="296"/>
      <c r="F38" s="294"/>
      <c r="G38" s="296"/>
      <c r="H38" s="294"/>
      <c r="I38" s="296"/>
      <c r="J38" s="294"/>
      <c r="K38" s="296"/>
      <c r="L38" s="294"/>
      <c r="M38" s="303"/>
      <c r="N38" s="294"/>
    </row>
    <row r="39" spans="1:14" ht="15" hidden="1" customHeight="1">
      <c r="A39" s="276"/>
      <c r="B39" s="276" t="str">
        <f>INPUT!B112</f>
        <v xml:space="preserve">     Amount to be provided for retirement of</v>
      </c>
      <c r="C39" s="276"/>
      <c r="D39" s="294"/>
      <c r="E39" s="296"/>
      <c r="F39" s="294"/>
      <c r="G39" s="296"/>
      <c r="H39" s="294"/>
      <c r="I39" s="296"/>
      <c r="J39" s="294"/>
      <c r="K39" s="296"/>
      <c r="L39" s="294"/>
      <c r="M39" s="303"/>
      <c r="N39" s="294"/>
    </row>
    <row r="40" spans="1:14" ht="15" hidden="1" customHeight="1">
      <c r="A40" s="276"/>
      <c r="B40" s="276" t="str">
        <f>INPUT!B113</f>
        <v xml:space="preserve">          general long-term debt</v>
      </c>
      <c r="C40" s="276"/>
      <c r="D40" s="294"/>
      <c r="E40" s="296"/>
      <c r="F40" s="294"/>
      <c r="G40" s="296"/>
      <c r="H40" s="294"/>
      <c r="I40" s="296"/>
      <c r="J40" s="294"/>
      <c r="K40" s="296"/>
      <c r="L40" s="317"/>
      <c r="M40" s="303"/>
      <c r="N40" s="317"/>
    </row>
    <row r="41" spans="1:14" ht="15.75">
      <c r="A41" s="276"/>
      <c r="B41" s="276"/>
      <c r="C41" s="276"/>
      <c r="D41" s="337"/>
      <c r="E41" s="296"/>
      <c r="F41" s="337"/>
      <c r="G41" s="296"/>
      <c r="H41" s="337"/>
      <c r="I41" s="296"/>
      <c r="J41" s="337"/>
      <c r="K41" s="296"/>
      <c r="L41" s="337"/>
      <c r="M41" s="303"/>
      <c r="N41" s="337"/>
    </row>
    <row r="42" spans="1:14" ht="16.5" thickBot="1">
      <c r="A42" s="276"/>
      <c r="B42" s="308" t="str">
        <f>INPUT!B114</f>
        <v xml:space="preserve">          Total assets</v>
      </c>
      <c r="C42" s="303"/>
      <c r="D42" s="568">
        <f>SUM(D14:D41)</f>
        <v>14066383</v>
      </c>
      <c r="E42" s="296"/>
      <c r="F42" s="568">
        <f>SUM(F14:F41)</f>
        <v>543120</v>
      </c>
      <c r="G42" s="296"/>
      <c r="H42" s="568">
        <f>SUM(H14:H41)</f>
        <v>2453628</v>
      </c>
      <c r="I42" s="296"/>
      <c r="J42" s="568">
        <f>SUM(J14:J41)</f>
        <v>365897</v>
      </c>
      <c r="K42" s="296"/>
      <c r="L42" s="568">
        <f>SUM(L14:L41)</f>
        <v>17429028</v>
      </c>
      <c r="M42" s="303"/>
      <c r="N42" s="302">
        <f>SUM(D42:K42)</f>
        <v>17429028</v>
      </c>
    </row>
    <row r="43" spans="1:14" ht="16.5" hidden="1" thickTop="1">
      <c r="A43" s="276"/>
      <c r="B43" s="308"/>
      <c r="C43" s="303"/>
      <c r="D43" s="326"/>
      <c r="E43" s="303"/>
      <c r="F43" s="326"/>
      <c r="G43" s="303"/>
      <c r="H43" s="326"/>
      <c r="I43" s="303"/>
      <c r="J43" s="326"/>
      <c r="K43" s="303"/>
      <c r="L43" s="326"/>
      <c r="M43" s="303"/>
      <c r="N43" s="326"/>
    </row>
    <row r="44" spans="1:14" ht="9" customHeight="1" thickTop="1">
      <c r="A44" s="276"/>
      <c r="B44" s="308"/>
      <c r="C44" s="303"/>
      <c r="D44" s="326"/>
      <c r="E44" s="303"/>
      <c r="F44" s="326"/>
      <c r="G44" s="303"/>
      <c r="H44" s="326"/>
      <c r="I44" s="303"/>
      <c r="J44" s="326"/>
      <c r="K44" s="303"/>
      <c r="L44" s="326"/>
      <c r="M44" s="303"/>
      <c r="N44" s="326"/>
    </row>
    <row r="45" spans="1:14" ht="15.75">
      <c r="A45" s="276"/>
      <c r="B45" s="308" t="str">
        <f>INPUT!B116</f>
        <v>DEFERRED OUTFLOWS OF RESOURCES</v>
      </c>
      <c r="C45" s="303"/>
      <c r="D45" s="326"/>
      <c r="E45" s="303"/>
      <c r="F45" s="326"/>
      <c r="G45" s="303"/>
      <c r="H45" s="326"/>
      <c r="I45" s="303"/>
      <c r="J45" s="326"/>
      <c r="K45" s="303"/>
      <c r="L45" s="326"/>
      <c r="M45" s="303"/>
      <c r="N45" s="326"/>
    </row>
    <row r="46" spans="1:14" ht="15.75">
      <c r="A46" s="276"/>
      <c r="B46" s="276" t="str">
        <f>INPUT!B117</f>
        <v xml:space="preserve">     Prepayments of costs</v>
      </c>
      <c r="C46" s="303"/>
      <c r="D46" s="318">
        <f>+'SR BS'!DZ40</f>
        <v>4635</v>
      </c>
      <c r="E46" s="296"/>
      <c r="F46" s="318">
        <v>0</v>
      </c>
      <c r="G46" s="296"/>
      <c r="H46" s="318">
        <v>0</v>
      </c>
      <c r="I46" s="296"/>
      <c r="J46" s="318">
        <v>0</v>
      </c>
      <c r="K46" s="296"/>
      <c r="L46" s="318">
        <f t="shared" ref="L46" si="2">SUM(D46:J46)</f>
        <v>4635</v>
      </c>
      <c r="M46" s="303"/>
      <c r="N46" s="326"/>
    </row>
    <row r="47" spans="1:14" ht="15.75">
      <c r="A47" s="276"/>
      <c r="B47" s="276"/>
      <c r="C47" s="276"/>
      <c r="D47" s="294"/>
      <c r="E47" s="294"/>
      <c r="F47" s="294"/>
      <c r="G47" s="294"/>
      <c r="H47" s="294"/>
      <c r="I47" s="294"/>
      <c r="J47" s="294"/>
      <c r="K47" s="294"/>
      <c r="L47" s="294"/>
      <c r="M47" s="303"/>
      <c r="N47" s="294"/>
    </row>
    <row r="48" spans="1:14" ht="16.5" thickBot="1">
      <c r="A48" s="276"/>
      <c r="B48" s="308" t="s">
        <v>3528</v>
      </c>
      <c r="C48" s="276"/>
      <c r="D48" s="302">
        <f>+D42+D46</f>
        <v>14071018</v>
      </c>
      <c r="E48" s="303"/>
      <c r="F48" s="302">
        <f>+F42+F46</f>
        <v>543120</v>
      </c>
      <c r="G48" s="303"/>
      <c r="H48" s="302">
        <f>+H42+H46</f>
        <v>2453628</v>
      </c>
      <c r="I48" s="303"/>
      <c r="J48" s="302">
        <f>+J42+J46</f>
        <v>365897</v>
      </c>
      <c r="K48" s="303"/>
      <c r="L48" s="302">
        <f>+L42+L46</f>
        <v>17433663</v>
      </c>
      <c r="M48" s="303"/>
      <c r="N48" s="294"/>
    </row>
    <row r="49" spans="1:14" ht="16.5" thickTop="1">
      <c r="A49" s="276"/>
      <c r="B49" s="276"/>
      <c r="C49" s="276"/>
      <c r="D49" s="294"/>
      <c r="E49" s="294"/>
      <c r="F49" s="294"/>
      <c r="G49" s="294"/>
      <c r="H49" s="294"/>
      <c r="I49" s="294"/>
      <c r="J49" s="294"/>
      <c r="K49" s="294"/>
      <c r="L49" s="294"/>
      <c r="M49" s="303"/>
      <c r="N49" s="294"/>
    </row>
    <row r="50" spans="1:14" ht="15.75">
      <c r="A50" s="276"/>
      <c r="B50" s="308" t="str">
        <f>INPUT!B129</f>
        <v>LIABILITIES</v>
      </c>
      <c r="C50" s="276"/>
      <c r="D50" s="294"/>
      <c r="E50" s="276"/>
      <c r="F50" s="296"/>
      <c r="G50" s="276"/>
      <c r="H50" s="296"/>
      <c r="I50" s="276"/>
      <c r="J50" s="296"/>
      <c r="K50" s="276"/>
      <c r="L50" s="294"/>
      <c r="M50" s="303"/>
      <c r="N50" s="294"/>
    </row>
    <row r="51" spans="1:14" ht="15.75" hidden="1">
      <c r="A51" s="276"/>
      <c r="B51" s="276" t="str">
        <f>INPUT!B130</f>
        <v>LIABILITIES</v>
      </c>
      <c r="C51" s="276"/>
      <c r="D51" s="294"/>
      <c r="E51" s="276"/>
      <c r="F51" s="296"/>
      <c r="G51" s="276"/>
      <c r="H51" s="296"/>
      <c r="I51" s="276"/>
      <c r="J51" s="296"/>
      <c r="K51" s="276"/>
      <c r="L51" s="294"/>
      <c r="M51" s="303"/>
      <c r="N51" s="294"/>
    </row>
    <row r="52" spans="1:14" ht="15.75">
      <c r="A52" s="276"/>
      <c r="B52" s="276" t="str">
        <f>INPUT!B132</f>
        <v xml:space="preserve">     Accounts payable</v>
      </c>
      <c r="C52" s="276"/>
      <c r="D52" s="292">
        <f>+'SR BS'!DZ46</f>
        <v>1007712</v>
      </c>
      <c r="E52" s="292"/>
      <c r="F52" s="292">
        <f>+'DS BS'!P46</f>
        <v>0</v>
      </c>
      <c r="G52" s="292"/>
      <c r="H52" s="292">
        <f>+'CP BS'!N41</f>
        <v>111170</v>
      </c>
      <c r="I52" s="292"/>
      <c r="J52" s="292">
        <f>+'PERM BS'!D36</f>
        <v>0</v>
      </c>
      <c r="K52" s="292"/>
      <c r="L52" s="292">
        <f t="shared" ref="L52:L61" si="3">SUM(D52:J52)</f>
        <v>1118882</v>
      </c>
      <c r="M52" s="303"/>
      <c r="N52" s="292"/>
    </row>
    <row r="53" spans="1:14" ht="15.75" hidden="1">
      <c r="A53" s="276"/>
      <c r="B53" s="276" t="str">
        <f>INPUT!B133</f>
        <v xml:space="preserve">     Contracts/loans payable - current</v>
      </c>
      <c r="C53" s="276"/>
      <c r="D53" s="294">
        <f>+'SR BS'!DZ47</f>
        <v>0</v>
      </c>
      <c r="E53" s="276"/>
      <c r="F53" s="294">
        <f>+'DS BS'!P47</f>
        <v>0</v>
      </c>
      <c r="G53" s="276"/>
      <c r="H53" s="294">
        <f>+'CP BS'!N42</f>
        <v>0</v>
      </c>
      <c r="I53" s="276"/>
      <c r="J53" s="294">
        <v>0</v>
      </c>
      <c r="K53" s="276"/>
      <c r="L53" s="294">
        <f t="shared" si="3"/>
        <v>0</v>
      </c>
      <c r="M53" s="303"/>
      <c r="N53" s="294"/>
    </row>
    <row r="54" spans="1:14" ht="15.75" hidden="1">
      <c r="A54" s="276"/>
      <c r="B54" s="276" t="str">
        <f>INPUT!B134</f>
        <v xml:space="preserve">     Intergovernmental payable</v>
      </c>
      <c r="C54" s="276"/>
      <c r="D54" s="294">
        <f>+'SR BS'!DZ48</f>
        <v>0</v>
      </c>
      <c r="E54" s="276"/>
      <c r="F54" s="294">
        <f>+'DS BS'!P48</f>
        <v>0</v>
      </c>
      <c r="G54" s="276"/>
      <c r="H54" s="294">
        <f>+'CP BS'!N43</f>
        <v>0</v>
      </c>
      <c r="I54" s="276"/>
      <c r="J54" s="294">
        <f>+'PERM BS'!D37</f>
        <v>0</v>
      </c>
      <c r="K54" s="276"/>
      <c r="L54" s="294">
        <f t="shared" si="3"/>
        <v>0</v>
      </c>
      <c r="M54" s="303"/>
      <c r="N54" s="294"/>
    </row>
    <row r="55" spans="1:14" ht="15.75">
      <c r="A55" s="276"/>
      <c r="B55" s="276" t="str">
        <f>INPUT!B135</f>
        <v xml:space="preserve">     Due to other funds</v>
      </c>
      <c r="C55" s="276"/>
      <c r="D55" s="294">
        <f>+'SR BS'!DZ49</f>
        <v>479513</v>
      </c>
      <c r="E55" s="276"/>
      <c r="F55" s="294">
        <f>+'DS BS'!P49</f>
        <v>0</v>
      </c>
      <c r="G55" s="276"/>
      <c r="H55" s="294">
        <f>+'CP BS'!N44</f>
        <v>24383</v>
      </c>
      <c r="I55" s="276"/>
      <c r="J55" s="294">
        <f>+'PERM BS'!D38</f>
        <v>0</v>
      </c>
      <c r="K55" s="276"/>
      <c r="L55" s="294">
        <f t="shared" si="3"/>
        <v>503896</v>
      </c>
      <c r="M55" s="303"/>
      <c r="N55" s="294"/>
    </row>
    <row r="56" spans="1:14" ht="15.75" hidden="1">
      <c r="A56" s="276"/>
      <c r="M56" s="303"/>
      <c r="N56" s="294"/>
    </row>
    <row r="57" spans="1:14" ht="15.75" hidden="1">
      <c r="A57" s="276"/>
      <c r="B57" s="276" t="str">
        <f>INPUT!B138</f>
        <v xml:space="preserve">     Revenue bonds payable</v>
      </c>
      <c r="C57" s="276"/>
      <c r="D57" s="294">
        <f>+'SR BS'!DZ53</f>
        <v>0</v>
      </c>
      <c r="E57" s="276"/>
      <c r="F57" s="294">
        <f>+'DS BS'!P51</f>
        <v>0</v>
      </c>
      <c r="G57" s="276"/>
      <c r="H57" s="294">
        <f>+'CP BS'!N47</f>
        <v>0</v>
      </c>
      <c r="I57" s="276"/>
      <c r="J57" s="294">
        <v>0</v>
      </c>
      <c r="K57" s="276"/>
      <c r="L57" s="294">
        <f t="shared" si="3"/>
        <v>0</v>
      </c>
      <c r="M57" s="303"/>
      <c r="N57" s="294"/>
    </row>
    <row r="58" spans="1:14" ht="15.75" hidden="1">
      <c r="A58" s="276"/>
      <c r="B58" s="276" t="str">
        <f>INPUT!B139</f>
        <v xml:space="preserve">     Landfill postclosure costs payable - current</v>
      </c>
      <c r="C58" s="276"/>
      <c r="D58" s="294">
        <f>+'SR BS'!DZ55</f>
        <v>0</v>
      </c>
      <c r="E58" s="276"/>
      <c r="F58" s="294">
        <f>+'DS BS'!P52</f>
        <v>0</v>
      </c>
      <c r="G58" s="276"/>
      <c r="H58" s="294">
        <f>+'CP BS'!N48</f>
        <v>0</v>
      </c>
      <c r="I58" s="276"/>
      <c r="J58" s="294">
        <v>0</v>
      </c>
      <c r="K58" s="276"/>
      <c r="L58" s="294">
        <f t="shared" si="3"/>
        <v>0</v>
      </c>
      <c r="M58" s="303"/>
      <c r="N58" s="294"/>
    </row>
    <row r="59" spans="1:14" ht="15.75" hidden="1">
      <c r="A59" s="276"/>
      <c r="B59" s="276" t="str">
        <f>INPUT!B140</f>
        <v xml:space="preserve">     Claims payable</v>
      </c>
      <c r="C59" s="276"/>
      <c r="D59" s="294">
        <f>+'SR BS'!DZ56</f>
        <v>0</v>
      </c>
      <c r="E59" s="276"/>
      <c r="F59" s="294">
        <f>+'DS BS'!P53</f>
        <v>0</v>
      </c>
      <c r="G59" s="276"/>
      <c r="H59" s="294">
        <f>+'CP BS'!N50</f>
        <v>0</v>
      </c>
      <c r="I59" s="276"/>
      <c r="J59" s="294">
        <v>0</v>
      </c>
      <c r="K59" s="276"/>
      <c r="L59" s="294">
        <f t="shared" si="3"/>
        <v>0</v>
      </c>
      <c r="M59" s="303"/>
      <c r="N59" s="294"/>
    </row>
    <row r="60" spans="1:14" ht="15.75" hidden="1">
      <c r="A60" s="276"/>
      <c r="B60" s="276" t="str">
        <f>INPUT!B141</f>
        <v xml:space="preserve">     Advances from other funds</v>
      </c>
      <c r="C60" s="276"/>
      <c r="D60" s="294">
        <f>+'SR BS'!DZ58</f>
        <v>0</v>
      </c>
      <c r="E60" s="276"/>
      <c r="F60" s="294">
        <f>+'DS BS'!P55</f>
        <v>0</v>
      </c>
      <c r="G60" s="276"/>
      <c r="H60" s="294">
        <f>+'CP BS'!N53</f>
        <v>0</v>
      </c>
      <c r="I60" s="276"/>
      <c r="J60" s="294">
        <v>0</v>
      </c>
      <c r="K60" s="276"/>
      <c r="L60" s="294">
        <f t="shared" si="3"/>
        <v>0</v>
      </c>
      <c r="M60" s="303"/>
      <c r="N60" s="294"/>
    </row>
    <row r="61" spans="1:14" ht="15.75" hidden="1">
      <c r="A61" s="276"/>
      <c r="B61" s="276" t="str">
        <f>INPUT!B142</f>
        <v xml:space="preserve">     General obligation bonds payable</v>
      </c>
      <c r="C61" s="276"/>
      <c r="D61" s="294">
        <f>+'SR BS'!DZ59</f>
        <v>0</v>
      </c>
      <c r="E61" s="276"/>
      <c r="F61" s="294">
        <f>+'DS BS'!P56</f>
        <v>0</v>
      </c>
      <c r="G61" s="276"/>
      <c r="H61" s="294">
        <f>+'CP BS'!N54</f>
        <v>0</v>
      </c>
      <c r="I61" s="276"/>
      <c r="J61" s="294">
        <v>0</v>
      </c>
      <c r="K61" s="276"/>
      <c r="L61" s="294">
        <f t="shared" si="3"/>
        <v>0</v>
      </c>
      <c r="M61" s="303"/>
      <c r="N61" s="294"/>
    </row>
    <row r="62" spans="1:14" ht="15.75" hidden="1">
      <c r="A62" s="276"/>
      <c r="B62" s="276" t="s">
        <v>300</v>
      </c>
      <c r="C62" s="276"/>
      <c r="D62" s="294">
        <f>+'SR BS'!DZ60</f>
        <v>0</v>
      </c>
      <c r="E62" s="276"/>
      <c r="F62" s="294"/>
      <c r="G62" s="276"/>
      <c r="H62" s="294"/>
      <c r="I62" s="276"/>
      <c r="J62" s="294">
        <v>0</v>
      </c>
      <c r="K62" s="276"/>
      <c r="L62" s="294"/>
      <c r="M62" s="303"/>
      <c r="N62" s="294"/>
    </row>
    <row r="63" spans="1:14" ht="15.75" hidden="1">
      <c r="A63" s="276"/>
      <c r="B63" s="276" t="s">
        <v>1124</v>
      </c>
      <c r="C63" s="276"/>
      <c r="D63" s="294">
        <f>+'SR BS'!DZ61</f>
        <v>0</v>
      </c>
      <c r="E63" s="276"/>
      <c r="F63" s="294">
        <f>+'DS BS'!P56</f>
        <v>0</v>
      </c>
      <c r="G63" s="276"/>
      <c r="H63" s="294">
        <f>+'CP BS'!N54</f>
        <v>0</v>
      </c>
      <c r="I63" s="276"/>
      <c r="J63" s="294">
        <v>0</v>
      </c>
      <c r="K63" s="276"/>
      <c r="L63" s="294">
        <f>SUM(D63:J63)</f>
        <v>0</v>
      </c>
      <c r="M63" s="303"/>
      <c r="N63" s="294"/>
    </row>
    <row r="64" spans="1:14" ht="15.75" hidden="1">
      <c r="A64" s="276"/>
      <c r="B64" s="276" t="str">
        <f>INPUT!B145</f>
        <v xml:space="preserve">     Contracts/loans payable</v>
      </c>
      <c r="C64" s="276"/>
      <c r="D64" s="294">
        <f>+'SR BS'!DZ62</f>
        <v>0</v>
      </c>
      <c r="E64" s="276"/>
      <c r="F64" s="294">
        <f>+'DS BS'!P57</f>
        <v>0</v>
      </c>
      <c r="G64" s="276"/>
      <c r="H64" s="294">
        <f>+'CP BS'!N55</f>
        <v>0</v>
      </c>
      <c r="I64" s="276"/>
      <c r="J64" s="294">
        <v>0</v>
      </c>
      <c r="K64" s="276"/>
      <c r="L64" s="294">
        <f>SUM(D64:J64)</f>
        <v>0</v>
      </c>
      <c r="M64" s="303"/>
      <c r="N64" s="294"/>
    </row>
    <row r="65" spans="1:14" ht="15.75" hidden="1">
      <c r="A65" s="276"/>
      <c r="B65" s="276" t="str">
        <f>INPUT!B146</f>
        <v xml:space="preserve">     Revenue bonds payable</v>
      </c>
      <c r="C65" s="276"/>
      <c r="D65" s="294">
        <f>+'SR BS'!DZ63</f>
        <v>0</v>
      </c>
      <c r="E65" s="276"/>
      <c r="F65" s="294">
        <f>+'DS BS'!P58</f>
        <v>0</v>
      </c>
      <c r="G65" s="276"/>
      <c r="H65" s="294">
        <f>+'CP BS'!N57</f>
        <v>0</v>
      </c>
      <c r="I65" s="276"/>
      <c r="J65" s="294">
        <v>0</v>
      </c>
      <c r="K65" s="276"/>
      <c r="L65" s="294">
        <f>SUM(D65:J65)</f>
        <v>0</v>
      </c>
      <c r="M65" s="303"/>
      <c r="N65" s="294"/>
    </row>
    <row r="66" spans="1:14" ht="15.75" hidden="1">
      <c r="A66" s="276"/>
      <c r="B66" s="276"/>
      <c r="C66" s="276"/>
      <c r="D66" s="294">
        <f>+'SR BS'!DZ64</f>
        <v>0</v>
      </c>
      <c r="E66" s="276"/>
      <c r="F66" s="294">
        <f>+'DS BS'!P59</f>
        <v>0</v>
      </c>
      <c r="G66" s="276"/>
      <c r="H66" s="294">
        <f>+'CP BS'!N58</f>
        <v>0</v>
      </c>
      <c r="I66" s="276"/>
      <c r="J66" s="294">
        <v>0</v>
      </c>
      <c r="K66" s="276"/>
      <c r="L66" s="294">
        <f>SUM(D66:J66)</f>
        <v>0</v>
      </c>
      <c r="M66" s="303"/>
      <c r="N66" s="294"/>
    </row>
    <row r="67" spans="1:14" ht="15.75">
      <c r="A67" s="276"/>
      <c r="B67" s="276"/>
      <c r="C67" s="276"/>
      <c r="D67" s="337"/>
      <c r="E67" s="276"/>
      <c r="F67" s="337"/>
      <c r="G67" s="276"/>
      <c r="H67" s="337"/>
      <c r="I67" s="276"/>
      <c r="J67" s="337"/>
      <c r="K67" s="276"/>
      <c r="L67" s="337"/>
      <c r="M67" s="303"/>
      <c r="N67" s="337"/>
    </row>
    <row r="68" spans="1:14" ht="15.75">
      <c r="A68" s="276"/>
      <c r="B68" s="308" t="str">
        <f>INPUT!B154</f>
        <v xml:space="preserve">          Total liabilities</v>
      </c>
      <c r="C68" s="308"/>
      <c r="D68" s="301">
        <f>SUM(D52:D67)</f>
        <v>1487225</v>
      </c>
      <c r="E68" s="308"/>
      <c r="F68" s="301">
        <f>SUM(F52:F67)</f>
        <v>0</v>
      </c>
      <c r="G68" s="308"/>
      <c r="H68" s="301">
        <f>SUM(H52:H67)</f>
        <v>135553</v>
      </c>
      <c r="I68" s="308"/>
      <c r="J68" s="301">
        <f>SUM(J52:J67)</f>
        <v>0</v>
      </c>
      <c r="K68" s="308"/>
      <c r="L68" s="301">
        <f>SUM(L52:L67)</f>
        <v>1622778</v>
      </c>
      <c r="M68" s="303"/>
      <c r="N68" s="301">
        <f>SUM(D68:K68)</f>
        <v>1622778</v>
      </c>
    </row>
    <row r="69" spans="1:14" ht="15.75">
      <c r="A69" s="276"/>
      <c r="B69" s="308"/>
      <c r="C69" s="308"/>
      <c r="D69" s="300"/>
      <c r="E69" s="300"/>
      <c r="F69" s="300"/>
      <c r="G69" s="300"/>
      <c r="H69" s="300"/>
      <c r="I69" s="300"/>
      <c r="J69" s="300"/>
      <c r="K69" s="300"/>
      <c r="L69" s="300"/>
      <c r="M69" s="303"/>
      <c r="N69" s="300"/>
    </row>
    <row r="70" spans="1:14" ht="15.75">
      <c r="A70" s="276"/>
      <c r="B70" s="308" t="s">
        <v>1815</v>
      </c>
      <c r="C70" s="308"/>
      <c r="D70" s="300"/>
      <c r="E70" s="308"/>
      <c r="F70" s="300"/>
      <c r="G70" s="308"/>
      <c r="H70" s="300"/>
      <c r="I70" s="308"/>
      <c r="J70" s="300"/>
      <c r="K70" s="308"/>
      <c r="L70" s="300"/>
      <c r="M70" s="303"/>
      <c r="N70" s="300"/>
    </row>
    <row r="71" spans="1:14" ht="15.75">
      <c r="A71" s="276"/>
      <c r="B71" s="276" t="str">
        <f>INPUT!B157</f>
        <v xml:space="preserve">     Deferred inflows of tax revenues</v>
      </c>
      <c r="C71" s="276"/>
      <c r="D71" s="318">
        <f>+'SR BS'!DZ71</f>
        <v>224050</v>
      </c>
      <c r="E71" s="276"/>
      <c r="F71" s="318">
        <f>+'DS BS'!P65</f>
        <v>39642</v>
      </c>
      <c r="G71" s="276"/>
      <c r="H71" s="318">
        <f>+'CP BS'!N66</f>
        <v>0</v>
      </c>
      <c r="I71" s="276"/>
      <c r="J71" s="318">
        <v>0</v>
      </c>
      <c r="K71" s="276"/>
      <c r="L71" s="318">
        <f>SUM(D71:J71)</f>
        <v>263692</v>
      </c>
      <c r="M71" s="303"/>
      <c r="N71" s="301">
        <f>SUM(D71:K71)</f>
        <v>263692</v>
      </c>
    </row>
    <row r="72" spans="1:14" ht="15.75">
      <c r="A72" s="276"/>
      <c r="B72" s="276"/>
      <c r="C72" s="276"/>
      <c r="D72" s="294"/>
      <c r="E72" s="276"/>
      <c r="F72" s="294"/>
      <c r="G72" s="276"/>
      <c r="H72" s="294"/>
      <c r="I72" s="276"/>
      <c r="J72" s="294"/>
      <c r="K72" s="276"/>
      <c r="L72" s="294"/>
      <c r="M72" s="303"/>
      <c r="N72" s="294"/>
    </row>
    <row r="73" spans="1:14" ht="15.75">
      <c r="A73" s="276"/>
      <c r="B73" s="276"/>
      <c r="C73" s="276"/>
      <c r="D73" s="294"/>
      <c r="E73" s="276"/>
      <c r="F73" s="294"/>
      <c r="G73" s="276"/>
      <c r="H73" s="294"/>
      <c r="I73" s="276"/>
      <c r="J73" s="294"/>
      <c r="K73" s="276"/>
      <c r="L73" s="294"/>
      <c r="M73" s="303"/>
      <c r="N73" s="294"/>
    </row>
    <row r="74" spans="1:14" ht="15.75">
      <c r="A74" s="276"/>
      <c r="B74" s="308" t="str">
        <f>INPUT!B186</f>
        <v>FUND BALANCE</v>
      </c>
      <c r="C74" s="276"/>
      <c r="D74" s="294"/>
      <c r="E74" s="276"/>
      <c r="F74" s="294"/>
      <c r="G74" s="276"/>
      <c r="H74" s="294"/>
      <c r="I74" s="276"/>
      <c r="J74" s="294"/>
      <c r="K74" s="276"/>
      <c r="L74" s="294"/>
      <c r="M74" s="303"/>
      <c r="N74" s="294"/>
    </row>
    <row r="75" spans="1:14" ht="15.75" hidden="1">
      <c r="A75" s="276"/>
      <c r="B75" s="276"/>
      <c r="C75" s="276"/>
      <c r="D75" s="294"/>
      <c r="E75" s="276"/>
      <c r="F75" s="294"/>
      <c r="G75" s="276"/>
      <c r="H75" s="294"/>
      <c r="I75" s="276"/>
      <c r="J75" s="294"/>
      <c r="K75" s="276"/>
      <c r="L75" s="294"/>
      <c r="M75" s="303"/>
      <c r="N75" s="294"/>
    </row>
    <row r="76" spans="1:14" ht="15.75">
      <c r="A76" s="276"/>
      <c r="B76" s="276" t="str">
        <f>INPUT!B188</f>
        <v xml:space="preserve">          Nonspendable</v>
      </c>
      <c r="C76" s="276"/>
      <c r="D76" s="294">
        <f>+'SR BS'!DZ75</f>
        <v>845769</v>
      </c>
      <c r="E76" s="276"/>
      <c r="F76" s="294">
        <f>+'DS BS'!P70</f>
        <v>0</v>
      </c>
      <c r="G76" s="276"/>
      <c r="H76" s="294">
        <f>+'CP BS'!N70</f>
        <v>0</v>
      </c>
      <c r="I76" s="276"/>
      <c r="J76" s="294">
        <f>+'PERM BS'!D45</f>
        <v>365897</v>
      </c>
      <c r="K76" s="276"/>
      <c r="L76" s="294">
        <f>SUM(D76:K76)</f>
        <v>1211666</v>
      </c>
      <c r="M76" s="303"/>
      <c r="N76" s="294"/>
    </row>
    <row r="77" spans="1:14" ht="15.75">
      <c r="A77" s="276"/>
      <c r="B77" s="276" t="str">
        <f>INPUT!B189</f>
        <v xml:space="preserve">          Restricted</v>
      </c>
      <c r="C77" s="276"/>
      <c r="D77" s="294">
        <f>+'SR BS'!DZ76</f>
        <v>3857564</v>
      </c>
      <c r="E77" s="276"/>
      <c r="F77" s="294">
        <f>+'DS BS'!P71</f>
        <v>503478</v>
      </c>
      <c r="G77" s="276"/>
      <c r="H77" s="294">
        <f>+'CP BS'!N71</f>
        <v>-111170</v>
      </c>
      <c r="I77" s="276"/>
      <c r="J77" s="294">
        <v>0</v>
      </c>
      <c r="K77" s="276"/>
      <c r="L77" s="294">
        <f>SUM(D77:K77)</f>
        <v>4249872</v>
      </c>
      <c r="M77" s="303"/>
      <c r="N77" s="294"/>
    </row>
    <row r="78" spans="1:14" ht="15.75">
      <c r="A78" s="276"/>
      <c r="B78" s="276" t="str">
        <f>INPUT!B190</f>
        <v xml:space="preserve">          Unrestricted:</v>
      </c>
      <c r="C78" s="276"/>
      <c r="D78" s="294"/>
      <c r="E78" s="276"/>
      <c r="F78" s="294"/>
      <c r="G78" s="276"/>
      <c r="H78" s="294"/>
      <c r="I78" s="276"/>
      <c r="J78" s="294"/>
      <c r="K78" s="276"/>
      <c r="L78" s="294"/>
      <c r="M78" s="303"/>
      <c r="N78" s="294"/>
    </row>
    <row r="79" spans="1:14" ht="15.75">
      <c r="A79" s="276"/>
      <c r="B79" s="276" t="str">
        <f>INPUT!B191</f>
        <v xml:space="preserve">               Committed</v>
      </c>
      <c r="C79" s="276"/>
      <c r="D79" s="294">
        <f>+'SR BS'!DZ78</f>
        <v>7738584</v>
      </c>
      <c r="E79" s="276"/>
      <c r="F79" s="294">
        <f>+'DS BS'!P73</f>
        <v>0</v>
      </c>
      <c r="G79" s="276"/>
      <c r="H79" s="294">
        <f>+'CP BS'!N73</f>
        <v>2453628</v>
      </c>
      <c r="I79" s="276"/>
      <c r="J79" s="294">
        <v>0</v>
      </c>
      <c r="K79" s="276"/>
      <c r="L79" s="294">
        <f>SUM(D79:K79)</f>
        <v>10192212</v>
      </c>
      <c r="M79" s="303"/>
      <c r="N79" s="294"/>
    </row>
    <row r="80" spans="1:14" ht="15.75">
      <c r="A80" s="276"/>
      <c r="B80" s="276" t="str">
        <f>INPUT!B192</f>
        <v xml:space="preserve">               Assigned</v>
      </c>
      <c r="C80" s="276"/>
      <c r="D80" s="294">
        <f>+'SR BS'!DZ79</f>
        <v>63912</v>
      </c>
      <c r="E80" s="276"/>
      <c r="F80" s="294">
        <f>+'DS BS'!P74</f>
        <v>0</v>
      </c>
      <c r="G80" s="276"/>
      <c r="H80" s="294">
        <f>+'CP BS'!N74</f>
        <v>0</v>
      </c>
      <c r="I80" s="276"/>
      <c r="J80" s="294">
        <v>0</v>
      </c>
      <c r="K80" s="276"/>
      <c r="L80" s="294">
        <f>SUM(D80:K80)</f>
        <v>63912</v>
      </c>
      <c r="M80" s="303"/>
      <c r="N80" s="294"/>
    </row>
    <row r="81" spans="1:14" ht="15.75">
      <c r="A81" s="276"/>
      <c r="B81" s="276" t="str">
        <f>INPUT!B193</f>
        <v xml:space="preserve">               Unassigned</v>
      </c>
      <c r="C81" s="276"/>
      <c r="D81" s="294">
        <f>+'SR BS'!DZ80</f>
        <v>-146086</v>
      </c>
      <c r="E81" s="276"/>
      <c r="F81" s="294">
        <f>+'DS BS'!P75</f>
        <v>0</v>
      </c>
      <c r="G81" s="276"/>
      <c r="H81" s="294">
        <f>+'CP BS'!N75</f>
        <v>-24383</v>
      </c>
      <c r="I81" s="276"/>
      <c r="J81" s="294">
        <v>0</v>
      </c>
      <c r="K81" s="276"/>
      <c r="L81" s="294">
        <f>SUM(D81:K81)</f>
        <v>-170469</v>
      </c>
      <c r="M81" s="303"/>
      <c r="N81" s="294"/>
    </row>
    <row r="82" spans="1:14" ht="15.75" hidden="1">
      <c r="A82" s="276"/>
      <c r="B82" s="276"/>
      <c r="C82" s="276"/>
      <c r="D82" s="294"/>
      <c r="E82" s="276"/>
      <c r="F82" s="294"/>
      <c r="G82" s="276"/>
      <c r="H82" s="294"/>
      <c r="I82" s="276"/>
      <c r="J82" s="294"/>
      <c r="K82" s="276"/>
      <c r="L82" s="294"/>
      <c r="M82" s="303"/>
      <c r="N82" s="294"/>
    </row>
    <row r="83" spans="1:14" ht="15.75" hidden="1">
      <c r="A83" s="276"/>
      <c r="B83" s="276"/>
      <c r="C83" s="276"/>
      <c r="D83" s="294"/>
      <c r="E83" s="276"/>
      <c r="F83" s="294"/>
      <c r="G83" s="276"/>
      <c r="H83" s="294"/>
      <c r="I83" s="276"/>
      <c r="J83" s="294"/>
      <c r="K83" s="276"/>
      <c r="L83" s="294"/>
      <c r="M83" s="303"/>
      <c r="N83" s="294"/>
    </row>
    <row r="84" spans="1:14" ht="15.75">
      <c r="A84" s="276"/>
      <c r="B84" s="276"/>
      <c r="C84" s="276"/>
      <c r="D84" s="337"/>
      <c r="E84" s="276"/>
      <c r="F84" s="337"/>
      <c r="G84" s="276"/>
      <c r="H84" s="337"/>
      <c r="I84" s="276"/>
      <c r="J84" s="337"/>
      <c r="K84" s="276"/>
      <c r="L84" s="337"/>
      <c r="M84" s="303"/>
      <c r="N84" s="337"/>
    </row>
    <row r="85" spans="1:14" ht="15.75">
      <c r="A85" s="276"/>
      <c r="B85" s="308" t="str">
        <f>INPUT!B207</f>
        <v xml:space="preserve">          Total fund balance</v>
      </c>
      <c r="C85" s="308"/>
      <c r="D85" s="301">
        <f>SUM(D76:D81)</f>
        <v>12359743</v>
      </c>
      <c r="E85" s="308"/>
      <c r="F85" s="301">
        <f>SUM(F76:F81)</f>
        <v>503478</v>
      </c>
      <c r="G85" s="308"/>
      <c r="H85" s="301">
        <f>SUM(H76:H81)</f>
        <v>2318075</v>
      </c>
      <c r="I85" s="308"/>
      <c r="J85" s="301">
        <f>SUM(J76:J81)</f>
        <v>365897</v>
      </c>
      <c r="K85" s="308"/>
      <c r="L85" s="301">
        <f>SUM(L76:L81)</f>
        <v>15547193</v>
      </c>
      <c r="M85" s="303"/>
      <c r="N85" s="301">
        <f>SUM(N76:N80)</f>
        <v>0</v>
      </c>
    </row>
    <row r="86" spans="1:14" ht="15.75">
      <c r="A86" s="276"/>
      <c r="B86" s="276"/>
      <c r="C86" s="276"/>
      <c r="D86" s="294"/>
      <c r="E86" s="294"/>
      <c r="F86" s="294"/>
      <c r="G86" s="294"/>
      <c r="H86" s="294"/>
      <c r="I86" s="294"/>
      <c r="J86" s="294"/>
      <c r="K86" s="294"/>
      <c r="L86" s="294"/>
      <c r="M86" s="303"/>
      <c r="N86" s="294"/>
    </row>
    <row r="87" spans="1:14" ht="36.75" customHeight="1" thickBot="1">
      <c r="A87" s="276"/>
      <c r="B87" s="388" t="s">
        <v>2349</v>
      </c>
      <c r="C87" s="319"/>
      <c r="D87" s="302">
        <f>SUM(D68+D71+D85)</f>
        <v>14071018</v>
      </c>
      <c r="E87" s="319"/>
      <c r="F87" s="302">
        <f>SUM(F68+F71+F85)</f>
        <v>543120</v>
      </c>
      <c r="G87" s="319"/>
      <c r="H87" s="302">
        <f>SUM(H68+H71+H85)</f>
        <v>2453628</v>
      </c>
      <c r="I87" s="319"/>
      <c r="J87" s="302">
        <f>SUM(J68+J71+J85)</f>
        <v>365897</v>
      </c>
      <c r="K87" s="319"/>
      <c r="L87" s="302">
        <f>SUM(L68+L71+L85)</f>
        <v>17433663</v>
      </c>
      <c r="M87" s="303"/>
      <c r="N87" s="302">
        <f>SUM(N68+N71+N85)</f>
        <v>1886470</v>
      </c>
    </row>
    <row r="88" spans="1:14" ht="16.5" thickTop="1">
      <c r="A88" s="276"/>
      <c r="B88" s="276"/>
      <c r="C88" s="276"/>
      <c r="D88" s="303"/>
      <c r="E88" s="303"/>
      <c r="F88" s="303"/>
      <c r="G88" s="303"/>
      <c r="H88" s="303"/>
      <c r="I88" s="303"/>
      <c r="J88" s="303"/>
      <c r="K88" s="303"/>
      <c r="L88" s="303"/>
      <c r="M88" s="303"/>
      <c r="N88" s="303"/>
    </row>
    <row r="89" spans="1:14" ht="15.75">
      <c r="A89" s="276"/>
      <c r="B89" s="276"/>
      <c r="C89" s="276"/>
      <c r="D89" s="303"/>
      <c r="E89" s="276"/>
      <c r="F89" s="276"/>
      <c r="G89" s="276"/>
      <c r="H89" s="276"/>
      <c r="I89" s="276"/>
      <c r="J89" s="276"/>
      <c r="K89" s="303"/>
      <c r="L89" s="303"/>
      <c r="M89" s="303"/>
      <c r="N89" s="303"/>
    </row>
    <row r="90" spans="1:14" ht="15.75">
      <c r="A90" s="276"/>
      <c r="B90" s="276"/>
      <c r="C90" s="277"/>
      <c r="D90" s="277"/>
      <c r="E90" s="277"/>
      <c r="F90" s="277"/>
      <c r="G90" s="277"/>
      <c r="H90" s="277"/>
      <c r="I90" s="277"/>
      <c r="J90" s="277"/>
      <c r="K90" s="277"/>
      <c r="L90" s="277"/>
      <c r="M90" s="303"/>
      <c r="N90" s="277"/>
    </row>
    <row r="91" spans="1:14" ht="15.75">
      <c r="A91" s="276"/>
      <c r="B91" s="276"/>
      <c r="C91" s="277"/>
      <c r="D91" s="288">
        <f>+D87-D42-D46</f>
        <v>0</v>
      </c>
      <c r="F91" s="288">
        <f t="shared" ref="F91" si="4">+F87-F42-F46</f>
        <v>0</v>
      </c>
      <c r="H91" s="288">
        <f t="shared" ref="H91" si="5">+H87-H42-H46</f>
        <v>0</v>
      </c>
      <c r="J91" s="288">
        <f t="shared" ref="J91" si="6">+J87-J42-J46</f>
        <v>0</v>
      </c>
      <c r="K91" s="277"/>
      <c r="L91" s="288">
        <f>+L87-L42-L46</f>
        <v>0</v>
      </c>
      <c r="M91" s="303"/>
      <c r="N91" s="277"/>
    </row>
    <row r="92" spans="1:14" ht="15.75">
      <c r="D92" s="288">
        <f>+'COMBING IS'!D66</f>
        <v>12359743</v>
      </c>
      <c r="F92" s="288">
        <f>+'COMBING IS'!F66</f>
        <v>503478</v>
      </c>
      <c r="H92" s="288">
        <f>+'COMBING IS'!H66</f>
        <v>2318075</v>
      </c>
      <c r="J92" s="288">
        <f>+'COMBING IS'!J66</f>
        <v>365897</v>
      </c>
      <c r="K92" s="277"/>
      <c r="L92" s="288">
        <f>SUM(D92:K92)</f>
        <v>15547193</v>
      </c>
    </row>
    <row r="93" spans="1:14" ht="15.75">
      <c r="D93" s="288">
        <f>+D92-D85</f>
        <v>0</v>
      </c>
      <c r="F93" s="288">
        <f>+F92-F85</f>
        <v>0</v>
      </c>
      <c r="H93" s="288">
        <f>+H92-H85</f>
        <v>0</v>
      </c>
      <c r="J93" s="288">
        <f>+J92-J85</f>
        <v>0</v>
      </c>
      <c r="K93" s="277"/>
      <c r="L93" s="288">
        <f>+L92-L85</f>
        <v>0</v>
      </c>
    </row>
    <row r="94" spans="1:14" ht="15.75">
      <c r="K94" s="277"/>
    </row>
    <row r="95" spans="1:14" ht="15.75">
      <c r="K95" s="277"/>
    </row>
    <row r="96" spans="1:14" ht="15.75">
      <c r="K96" s="277"/>
    </row>
  </sheetData>
  <phoneticPr fontId="0" type="noConversion"/>
  <printOptions horizontalCentered="1"/>
  <pageMargins left="0.5" right="0.5" top="0.5" bottom="0.75" header="0.5" footer="0.25"/>
  <pageSetup scale="65" firstPageNumber="74" orientation="portrait" useFirstPageNumber="1" r:id="rId1"/>
  <headerFooter alignWithMargins="0">
    <oddFooter xml:space="preserve">&amp;C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codeName="Sheet23"/>
  <dimension ref="A2:EC129"/>
  <sheetViews>
    <sheetView showGridLines="0" zoomScale="60" zoomScaleNormal="60" workbookViewId="0">
      <selection activeCell="DO25" sqref="DO25"/>
    </sheetView>
  </sheetViews>
  <sheetFormatPr defaultColWidth="9.7109375" defaultRowHeight="12.75"/>
  <cols>
    <col min="1" max="1" width="2.7109375" style="288" customWidth="1"/>
    <col min="2" max="2" width="68.5703125" style="288" customWidth="1"/>
    <col min="3" max="3" width="16.7109375" style="288" customWidth="1"/>
    <col min="4" max="4" width="2.7109375" style="288" customWidth="1"/>
    <col min="5" max="5" width="16.7109375" style="288" customWidth="1"/>
    <col min="6" max="6" width="2.7109375" style="288" customWidth="1"/>
    <col min="7" max="7" width="16.7109375" style="288" customWidth="1"/>
    <col min="8" max="8" width="2.7109375" style="288" customWidth="1"/>
    <col min="9" max="9" width="16.7109375" style="288" customWidth="1"/>
    <col min="10" max="10" width="2.7109375" style="288" customWidth="1"/>
    <col min="11" max="11" width="16.7109375" style="288" customWidth="1"/>
    <col min="12" max="12" width="2.7109375" style="288" customWidth="1"/>
    <col min="13" max="13" width="68.5703125" style="288" customWidth="1"/>
    <col min="14" max="14" width="16.7109375" style="288" customWidth="1"/>
    <col min="15" max="15" width="2.5703125" style="288" customWidth="1"/>
    <col min="16" max="16" width="16.7109375" style="288" customWidth="1"/>
    <col min="17" max="17" width="2.5703125" style="288" customWidth="1"/>
    <col min="18" max="18" width="18.140625" style="288" customWidth="1"/>
    <col min="19" max="19" width="2.5703125" style="288" customWidth="1"/>
    <col min="20" max="20" width="16.7109375" style="288" customWidth="1"/>
    <col min="21" max="21" width="2.5703125" style="288" customWidth="1"/>
    <col min="22" max="22" width="17.7109375" style="288" customWidth="1"/>
    <col min="23" max="23" width="2.7109375" style="288" customWidth="1"/>
    <col min="24" max="24" width="68.5703125" style="288" customWidth="1"/>
    <col min="25" max="25" width="16.7109375" style="288" customWidth="1"/>
    <col min="26" max="26" width="2.5703125" style="288" customWidth="1"/>
    <col min="27" max="27" width="16.7109375" style="288" customWidth="1"/>
    <col min="28" max="28" width="2.7109375" style="288" customWidth="1"/>
    <col min="29" max="29" width="16.7109375" style="288" customWidth="1"/>
    <col min="30" max="30" width="2.7109375" style="288" customWidth="1"/>
    <col min="31" max="31" width="16.7109375" style="288" customWidth="1"/>
    <col min="32" max="32" width="2.7109375" style="288" customWidth="1"/>
    <col min="33" max="33" width="16.7109375" style="288" customWidth="1"/>
    <col min="34" max="34" width="2.7109375" style="288" customWidth="1"/>
    <col min="35" max="35" width="68.5703125" style="288" customWidth="1"/>
    <col min="36" max="36" width="16.7109375" style="288" customWidth="1"/>
    <col min="37" max="37" width="2.7109375" style="288" customWidth="1"/>
    <col min="38" max="38" width="16.7109375" style="288" customWidth="1"/>
    <col min="39" max="39" width="2.7109375" style="288" customWidth="1"/>
    <col min="40" max="40" width="16.7109375" style="288" customWidth="1"/>
    <col min="41" max="41" width="2.7109375" style="288" customWidth="1"/>
    <col min="42" max="42" width="16.85546875" style="288" customWidth="1"/>
    <col min="43" max="43" width="2.7109375" style="288" customWidth="1"/>
    <col min="44" max="44" width="16.7109375" style="288" customWidth="1"/>
    <col min="45" max="45" width="2.7109375" style="288" customWidth="1"/>
    <col min="46" max="46" width="68.5703125" style="288" customWidth="1"/>
    <col min="47" max="47" width="17" style="288" customWidth="1"/>
    <col min="48" max="48" width="2.7109375" style="288" customWidth="1"/>
    <col min="49" max="49" width="17" style="288" customWidth="1"/>
    <col min="50" max="50" width="2.7109375" style="288" customWidth="1"/>
    <col min="51" max="51" width="17.42578125" style="288" customWidth="1"/>
    <col min="52" max="52" width="2.7109375" style="288" customWidth="1"/>
    <col min="53" max="53" width="16.7109375" style="288" customWidth="1"/>
    <col min="54" max="54" width="2.7109375" style="288" customWidth="1"/>
    <col min="55" max="55" width="16.7109375" style="288" customWidth="1"/>
    <col min="56" max="56" width="2.7109375" style="288" customWidth="1"/>
    <col min="58" max="58" width="2.7109375" style="288" customWidth="1"/>
    <col min="59" max="59" width="68.5703125" style="288" customWidth="1"/>
    <col min="60" max="60" width="16.7109375" style="288" customWidth="1"/>
    <col min="61" max="61" width="2.7109375" style="288" customWidth="1"/>
    <col min="62" max="62" width="16.7109375" style="288" customWidth="1"/>
    <col min="63" max="63" width="2.7109375" style="288" customWidth="1"/>
    <col min="64" max="64" width="16.7109375" style="288" customWidth="1"/>
    <col min="65" max="65" width="2.7109375" style="288" customWidth="1"/>
    <col min="66" max="66" width="16.7109375" style="288" customWidth="1"/>
    <col min="67" max="67" width="2.7109375" style="288" customWidth="1"/>
    <col min="68" max="68" width="17.7109375" style="288" customWidth="1"/>
    <col min="69" max="69" width="2.7109375" style="288" customWidth="1"/>
    <col min="71" max="71" width="2.7109375" style="288" customWidth="1"/>
    <col min="72" max="72" width="68.5703125" style="288" customWidth="1"/>
    <col min="73" max="73" width="16.7109375" style="288" customWidth="1"/>
    <col min="74" max="74" width="2.7109375" style="288" customWidth="1"/>
    <col min="75" max="75" width="16.7109375" style="288" customWidth="1"/>
    <col min="76" max="76" width="2.7109375" style="288" customWidth="1"/>
    <col min="77" max="77" width="16.7109375" style="288" customWidth="1"/>
    <col min="78" max="78" width="2.7109375" style="288" customWidth="1"/>
    <col min="79" max="79" width="19.28515625" style="288" customWidth="1"/>
    <col min="80" max="80" width="2.7109375" style="288" hidden="1" customWidth="1"/>
    <col min="81" max="81" width="16.7109375" style="288" hidden="1" customWidth="1"/>
    <col min="82" max="82" width="2.7109375" style="288" customWidth="1"/>
    <col min="84" max="84" width="2.7109375" style="288" customWidth="1"/>
    <col min="85" max="85" width="68.5703125" style="288" customWidth="1"/>
    <col min="86" max="86" width="16.7109375" style="288" customWidth="1"/>
    <col min="87" max="87" width="2.7109375" style="288" customWidth="1"/>
    <col min="88" max="88" width="18.28515625" style="288" customWidth="1"/>
    <col min="89" max="89" width="2.7109375" style="288" customWidth="1"/>
    <col min="90" max="90" width="16.7109375" style="288" customWidth="1"/>
    <col min="91" max="91" width="2.7109375" style="288" customWidth="1"/>
    <col min="92" max="92" width="16.7109375" style="288" customWidth="1"/>
    <col min="93" max="93" width="2.7109375" style="288" customWidth="1"/>
    <col min="94" max="94" width="18.5703125" style="288" customWidth="1"/>
    <col min="95" max="95" width="2.7109375" style="288" customWidth="1"/>
    <col min="97" max="97" width="2.7109375" style="288" customWidth="1"/>
    <col min="98" max="98" width="68.5703125" style="288" customWidth="1"/>
    <col min="99" max="99" width="16.7109375" style="288" customWidth="1"/>
    <col min="100" max="100" width="3.7109375" style="288" customWidth="1"/>
    <col min="101" max="101" width="16.7109375" style="288" customWidth="1"/>
    <col min="102" max="102" width="3.140625" style="288" customWidth="1"/>
    <col min="103" max="103" width="17.28515625" style="288" customWidth="1"/>
    <col min="104" max="104" width="2.7109375" style="288" customWidth="1"/>
    <col min="105" max="105" width="17.7109375" style="288" customWidth="1"/>
    <col min="106" max="106" width="2.7109375" style="288" customWidth="1"/>
    <col min="107" max="107" width="18" style="288" customWidth="1"/>
    <col min="108" max="109" width="0" hidden="1" customWidth="1"/>
    <col min="110" max="110" width="2.7109375" style="288" hidden="1" customWidth="1"/>
    <col min="111" max="111" width="0" hidden="1" customWidth="1"/>
    <col min="112" max="112" width="2.7109375" style="288" customWidth="1"/>
    <col min="114" max="114" width="2.7109375" style="288" customWidth="1"/>
    <col min="115" max="115" width="68.5703125" style="288" customWidth="1"/>
    <col min="116" max="116" width="16.140625" style="288" customWidth="1"/>
    <col min="117" max="117" width="2.7109375" style="288" hidden="1" customWidth="1"/>
    <col min="118" max="118" width="16.7109375" style="288" hidden="1" customWidth="1"/>
    <col min="119" max="119" width="2.7109375" style="288" customWidth="1"/>
    <col min="120" max="120" width="17.7109375" style="288" customWidth="1"/>
    <col min="121" max="121" width="10.140625" style="288" hidden="1" customWidth="1"/>
    <col min="122" max="122" width="1.5703125" style="288" hidden="1" customWidth="1"/>
    <col min="123" max="123" width="2.7109375" style="288" hidden="1" customWidth="1"/>
    <col min="124" max="124" width="17.42578125" style="288" customWidth="1"/>
    <col min="125" max="125" width="2" style="288" customWidth="1"/>
    <col min="126" max="126" width="17.7109375" style="288" customWidth="1"/>
    <col min="127" max="127" width="2.7109375" style="288" customWidth="1"/>
    <col min="128" max="128" width="16.7109375" style="288" hidden="1" customWidth="1"/>
    <col min="129" max="129" width="2.7109375" style="288" hidden="1" customWidth="1"/>
    <col min="130" max="130" width="20.5703125" style="288" bestFit="1" customWidth="1"/>
    <col min="131" max="131" width="18.7109375" style="288" customWidth="1"/>
    <col min="132" max="132" width="9.7109375" style="288"/>
    <col min="133" max="133" width="10.7109375" style="288" bestFit="1" customWidth="1"/>
    <col min="134" max="16384" width="9.7109375" style="288"/>
  </cols>
  <sheetData>
    <row r="2" spans="1:131">
      <c r="B2" s="503"/>
      <c r="C2" s="503"/>
      <c r="D2" s="503"/>
      <c r="E2" s="503"/>
      <c r="F2" s="503"/>
      <c r="G2" s="503"/>
      <c r="H2" s="503"/>
      <c r="I2" s="503"/>
      <c r="J2" s="503"/>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3"/>
      <c r="AJ2" s="503"/>
      <c r="AK2" s="503"/>
      <c r="AL2" s="503"/>
      <c r="AM2" s="503"/>
      <c r="AN2" s="503"/>
      <c r="AO2" s="503"/>
      <c r="AP2" s="503"/>
      <c r="AQ2" s="503"/>
      <c r="AR2" s="503"/>
      <c r="AS2" s="503"/>
      <c r="AT2" s="503"/>
      <c r="AU2" s="503"/>
      <c r="AV2" s="503"/>
      <c r="AW2" s="503"/>
      <c r="AX2" s="503"/>
      <c r="AY2" s="503"/>
      <c r="AZ2" s="503"/>
      <c r="BA2" s="503"/>
      <c r="BB2" s="503"/>
      <c r="BC2" s="503"/>
      <c r="BD2" s="503"/>
      <c r="BF2" s="503"/>
      <c r="BG2" s="503"/>
      <c r="BH2" s="503"/>
      <c r="BI2" s="503"/>
      <c r="BJ2" s="503"/>
      <c r="BK2" s="503"/>
      <c r="BL2" s="503"/>
      <c r="BM2" s="503"/>
      <c r="BN2" s="503"/>
      <c r="BO2" s="503"/>
      <c r="BP2" s="503"/>
      <c r="BQ2" s="503"/>
      <c r="BS2" s="503"/>
      <c r="BT2" s="503"/>
      <c r="BU2" s="503"/>
      <c r="BV2" s="503"/>
      <c r="BW2" s="503"/>
      <c r="BX2" s="503"/>
      <c r="BY2" s="503"/>
      <c r="BZ2" s="503"/>
      <c r="CA2" s="503"/>
      <c r="CB2" s="503"/>
      <c r="CC2" s="503"/>
      <c r="CD2" s="503"/>
      <c r="CF2" s="503"/>
      <c r="CG2" s="503"/>
      <c r="CH2" s="503"/>
      <c r="CI2" s="503"/>
      <c r="CJ2" s="503"/>
      <c r="CK2" s="503"/>
      <c r="CL2" s="503"/>
      <c r="CM2" s="503"/>
      <c r="CN2" s="503"/>
      <c r="CO2" s="503"/>
      <c r="CP2" s="503"/>
      <c r="CQ2" s="503"/>
      <c r="CS2" s="503"/>
      <c r="CT2" s="503"/>
      <c r="CU2" s="503"/>
      <c r="CV2" s="503"/>
      <c r="CW2" s="503"/>
      <c r="CX2" s="503"/>
      <c r="CY2" s="503"/>
      <c r="CZ2" s="503"/>
      <c r="DA2" s="503"/>
      <c r="DB2" s="503"/>
      <c r="DC2" s="503"/>
      <c r="DF2" s="503"/>
      <c r="DH2" s="503"/>
      <c r="DJ2" s="503"/>
      <c r="DK2" s="503"/>
      <c r="DL2" s="503"/>
      <c r="DM2" s="503"/>
      <c r="DN2" s="758"/>
      <c r="DO2" s="758"/>
      <c r="DP2" s="758"/>
      <c r="DQ2" s="758"/>
      <c r="DR2" s="758"/>
      <c r="DS2" s="758"/>
      <c r="DT2" s="758"/>
      <c r="DU2" s="758"/>
      <c r="DV2" s="758"/>
      <c r="DW2" s="758"/>
      <c r="DX2" s="758"/>
      <c r="DY2" s="330"/>
      <c r="DZ2" s="330"/>
    </row>
    <row r="3" spans="1:131" ht="15.75">
      <c r="A3" s="276"/>
      <c r="B3" s="305" t="s">
        <v>1049</v>
      </c>
      <c r="C3" s="277"/>
      <c r="D3" s="277"/>
      <c r="E3" s="277"/>
      <c r="F3" s="277"/>
      <c r="G3" s="277"/>
      <c r="H3" s="277"/>
      <c r="I3" s="277"/>
      <c r="J3" s="277"/>
      <c r="K3" s="277"/>
      <c r="L3" s="277"/>
      <c r="M3" s="305" t="str">
        <f>B3</f>
        <v>LEWIS AND CLARK COUNTY, MONTANA</v>
      </c>
      <c r="N3" s="277"/>
      <c r="O3" s="277"/>
      <c r="P3" s="277"/>
      <c r="Q3" s="277"/>
      <c r="R3" s="277"/>
      <c r="S3" s="277"/>
      <c r="T3" s="277"/>
      <c r="U3" s="277"/>
      <c r="V3" s="277"/>
      <c r="W3" s="277"/>
      <c r="X3" s="305" t="str">
        <f>M3</f>
        <v>LEWIS AND CLARK COUNTY, MONTANA</v>
      </c>
      <c r="Y3" s="277"/>
      <c r="Z3" s="277"/>
      <c r="AA3" s="277"/>
      <c r="AB3" s="277"/>
      <c r="AC3" s="277"/>
      <c r="AD3" s="277"/>
      <c r="AE3" s="277"/>
      <c r="AF3" s="277"/>
      <c r="AG3" s="277"/>
      <c r="AH3" s="277"/>
      <c r="AI3" s="305" t="str">
        <f>X3</f>
        <v>LEWIS AND CLARK COUNTY, MONTANA</v>
      </c>
      <c r="AJ3" s="277"/>
      <c r="AK3" s="277"/>
      <c r="AL3" s="277"/>
      <c r="AM3" s="277"/>
      <c r="AN3" s="277"/>
      <c r="AO3" s="277"/>
      <c r="AP3" s="277"/>
      <c r="AQ3" s="277"/>
      <c r="AR3" s="277"/>
      <c r="AS3" s="277"/>
      <c r="AT3" s="305" t="str">
        <f>AI3</f>
        <v>LEWIS AND CLARK COUNTY, MONTANA</v>
      </c>
      <c r="AU3" s="277"/>
      <c r="AV3" s="277"/>
      <c r="AW3" s="277"/>
      <c r="AX3" s="277"/>
      <c r="AY3" s="277"/>
      <c r="AZ3" s="277"/>
      <c r="BA3" s="277"/>
      <c r="BB3" s="277"/>
      <c r="BC3" s="277"/>
      <c r="BD3" s="277"/>
      <c r="BF3" s="277"/>
      <c r="BG3" s="305" t="str">
        <f>AT3</f>
        <v>LEWIS AND CLARK COUNTY, MONTANA</v>
      </c>
      <c r="BH3" s="277"/>
      <c r="BI3" s="305"/>
      <c r="BJ3" s="277"/>
      <c r="BK3" s="277"/>
      <c r="BL3" s="277"/>
      <c r="BM3" s="277"/>
      <c r="BN3" s="277"/>
      <c r="BO3" s="277"/>
      <c r="BP3" s="277"/>
      <c r="BQ3" s="277"/>
      <c r="BS3" s="277"/>
      <c r="BT3" s="305" t="str">
        <f>+BG3</f>
        <v>LEWIS AND CLARK COUNTY, MONTANA</v>
      </c>
      <c r="BU3" s="305"/>
      <c r="BV3" s="305"/>
      <c r="BW3" s="277"/>
      <c r="BX3" s="277"/>
      <c r="BY3" s="277"/>
      <c r="BZ3" s="277"/>
      <c r="CA3" s="277"/>
      <c r="CB3" s="277"/>
      <c r="CC3" s="277"/>
      <c r="CD3" s="277"/>
      <c r="CF3" s="277"/>
      <c r="CG3" s="305" t="str">
        <f>+BT3</f>
        <v>LEWIS AND CLARK COUNTY, MONTANA</v>
      </c>
      <c r="CH3" s="277"/>
      <c r="CI3" s="305"/>
      <c r="CJ3" s="277"/>
      <c r="CK3" s="277"/>
      <c r="CL3" s="277"/>
      <c r="CM3" s="277"/>
      <c r="CN3" s="277"/>
      <c r="CO3" s="277"/>
      <c r="CP3" s="277"/>
      <c r="CQ3" s="277"/>
      <c r="CS3" s="277"/>
      <c r="CT3" s="305" t="str">
        <f>+CG3</f>
        <v>LEWIS AND CLARK COUNTY, MONTANA</v>
      </c>
      <c r="CU3" s="277"/>
      <c r="CV3" s="277"/>
      <c r="CW3" s="277"/>
      <c r="CX3" s="305"/>
      <c r="CY3" s="277"/>
      <c r="CZ3" s="277"/>
      <c r="DA3" s="277"/>
      <c r="DB3" s="277"/>
      <c r="DC3" s="277"/>
      <c r="DF3" s="277"/>
      <c r="DH3" s="277"/>
      <c r="DJ3" s="277"/>
      <c r="DK3" s="305" t="str">
        <f>+CT3</f>
        <v>LEWIS AND CLARK COUNTY, MONTANA</v>
      </c>
      <c r="DL3" s="277"/>
      <c r="DM3" s="277"/>
      <c r="DN3" s="277"/>
      <c r="DO3" s="305"/>
      <c r="DP3" s="277"/>
      <c r="DQ3" s="277"/>
      <c r="DR3" s="277"/>
      <c r="DS3" s="277"/>
      <c r="DT3" s="277"/>
      <c r="DU3" s="277"/>
      <c r="DV3" s="277"/>
      <c r="DW3" s="305"/>
      <c r="DX3" s="277"/>
      <c r="DY3" s="277"/>
      <c r="DZ3" s="277"/>
    </row>
    <row r="4" spans="1:131" ht="15.75">
      <c r="A4" s="276"/>
      <c r="B4" s="305" t="s">
        <v>248</v>
      </c>
      <c r="C4" s="277"/>
      <c r="D4" s="277"/>
      <c r="E4" s="277"/>
      <c r="F4" s="277"/>
      <c r="G4" s="277"/>
      <c r="H4" s="277"/>
      <c r="I4" s="277"/>
      <c r="J4" s="277"/>
      <c r="K4" s="277"/>
      <c r="L4" s="277"/>
      <c r="M4" s="305" t="str">
        <f>B4</f>
        <v>COMBINING BALANCE SHEET</v>
      </c>
      <c r="N4" s="277"/>
      <c r="O4" s="277"/>
      <c r="P4" s="277"/>
      <c r="Q4" s="277"/>
      <c r="R4" s="277"/>
      <c r="S4" s="277"/>
      <c r="T4" s="277"/>
      <c r="U4" s="277"/>
      <c r="V4" s="277"/>
      <c r="W4" s="277"/>
      <c r="X4" s="305" t="str">
        <f>M4</f>
        <v>COMBINING BALANCE SHEET</v>
      </c>
      <c r="Y4" s="277"/>
      <c r="Z4" s="277"/>
      <c r="AA4" s="277"/>
      <c r="AB4" s="277"/>
      <c r="AC4" s="277"/>
      <c r="AD4" s="277"/>
      <c r="AE4" s="277"/>
      <c r="AF4" s="277"/>
      <c r="AG4" s="277"/>
      <c r="AH4" s="277"/>
      <c r="AI4" s="305" t="str">
        <f>X4</f>
        <v>COMBINING BALANCE SHEET</v>
      </c>
      <c r="AJ4" s="277"/>
      <c r="AK4" s="277"/>
      <c r="AL4" s="277"/>
      <c r="AM4" s="277"/>
      <c r="AN4" s="277"/>
      <c r="AO4" s="277"/>
      <c r="AP4" s="277"/>
      <c r="AQ4" s="277"/>
      <c r="AR4" s="277"/>
      <c r="AS4" s="277"/>
      <c r="AT4" s="305" t="str">
        <f>AI4</f>
        <v>COMBINING BALANCE SHEET</v>
      </c>
      <c r="AU4" s="277"/>
      <c r="AV4" s="277"/>
      <c r="AW4" s="277"/>
      <c r="AX4" s="277"/>
      <c r="AY4" s="277"/>
      <c r="AZ4" s="277"/>
      <c r="BA4" s="277"/>
      <c r="BB4" s="277"/>
      <c r="BC4" s="277"/>
      <c r="BD4" s="277"/>
      <c r="BF4" s="277"/>
      <c r="BG4" s="305" t="str">
        <f>AT4</f>
        <v>COMBINING BALANCE SHEET</v>
      </c>
      <c r="BH4" s="277"/>
      <c r="BI4" s="305"/>
      <c r="BJ4" s="277"/>
      <c r="BK4" s="277"/>
      <c r="BL4" s="277"/>
      <c r="BM4" s="277"/>
      <c r="BN4" s="277"/>
      <c r="BO4" s="277"/>
      <c r="BP4" s="277"/>
      <c r="BQ4" s="277"/>
      <c r="BS4" s="277"/>
      <c r="BT4" s="305" t="str">
        <f>+BG4</f>
        <v>COMBINING BALANCE SHEET</v>
      </c>
      <c r="BU4" s="305"/>
      <c r="BV4" s="305"/>
      <c r="BW4" s="277"/>
      <c r="BX4" s="277"/>
      <c r="BY4" s="277"/>
      <c r="BZ4" s="277"/>
      <c r="CA4" s="277"/>
      <c r="CB4" s="277"/>
      <c r="CC4" s="277"/>
      <c r="CD4" s="277"/>
      <c r="CF4" s="277"/>
      <c r="CG4" s="305" t="str">
        <f>+BT4</f>
        <v>COMBINING BALANCE SHEET</v>
      </c>
      <c r="CH4" s="277"/>
      <c r="CI4" s="305"/>
      <c r="CJ4" s="277"/>
      <c r="CK4" s="277"/>
      <c r="CL4" s="277"/>
      <c r="CM4" s="277"/>
      <c r="CN4" s="277"/>
      <c r="CO4" s="277"/>
      <c r="CP4" s="277"/>
      <c r="CQ4" s="277"/>
      <c r="CS4" s="277"/>
      <c r="CT4" s="305" t="str">
        <f>+CG4</f>
        <v>COMBINING BALANCE SHEET</v>
      </c>
      <c r="CU4" s="277"/>
      <c r="CV4" s="277"/>
      <c r="CW4" s="277"/>
      <c r="CX4" s="305"/>
      <c r="CY4" s="277"/>
      <c r="CZ4" s="277"/>
      <c r="DA4" s="277"/>
      <c r="DB4" s="277"/>
      <c r="DC4" s="277"/>
      <c r="DF4" s="277"/>
      <c r="DH4" s="277"/>
      <c r="DJ4" s="277"/>
      <c r="DK4" s="305" t="str">
        <f>+CT4</f>
        <v>COMBINING BALANCE SHEET</v>
      </c>
      <c r="DL4" s="277"/>
      <c r="DM4" s="277"/>
      <c r="DN4" s="277"/>
      <c r="DO4" s="305"/>
      <c r="DP4" s="277"/>
      <c r="DQ4" s="277"/>
      <c r="DR4" s="277"/>
      <c r="DS4" s="277"/>
      <c r="DT4" s="277"/>
      <c r="DU4" s="277"/>
      <c r="DV4" s="277"/>
      <c r="DW4" s="305"/>
      <c r="DX4" s="277"/>
      <c r="DY4" s="277"/>
      <c r="DZ4" s="277"/>
    </row>
    <row r="5" spans="1:131" ht="15.75">
      <c r="A5" s="276"/>
      <c r="B5" s="305" t="s">
        <v>3</v>
      </c>
      <c r="C5" s="277"/>
      <c r="D5" s="277"/>
      <c r="E5" s="277"/>
      <c r="F5" s="277"/>
      <c r="G5" s="277"/>
      <c r="H5" s="277"/>
      <c r="I5" s="277"/>
      <c r="J5" s="277"/>
      <c r="K5" s="277"/>
      <c r="L5" s="277"/>
      <c r="M5" s="305" t="str">
        <f>B5</f>
        <v>NONMAJOR SPECIAL REVENUE FUNDS</v>
      </c>
      <c r="N5" s="277"/>
      <c r="O5" s="277"/>
      <c r="P5" s="277"/>
      <c r="Q5" s="277"/>
      <c r="R5" s="277"/>
      <c r="S5" s="277"/>
      <c r="T5" s="277"/>
      <c r="U5" s="277"/>
      <c r="V5" s="277"/>
      <c r="W5" s="277"/>
      <c r="X5" s="305" t="str">
        <f>M5</f>
        <v>NONMAJOR SPECIAL REVENUE FUNDS</v>
      </c>
      <c r="Y5" s="277"/>
      <c r="Z5" s="277"/>
      <c r="AA5" s="277"/>
      <c r="AB5" s="277"/>
      <c r="AC5" s="277"/>
      <c r="AD5" s="277"/>
      <c r="AE5" s="277"/>
      <c r="AF5" s="277"/>
      <c r="AG5" s="277"/>
      <c r="AH5" s="277"/>
      <c r="AI5" s="305" t="str">
        <f>X5</f>
        <v>NONMAJOR SPECIAL REVENUE FUNDS</v>
      </c>
      <c r="AJ5" s="277"/>
      <c r="AK5" s="277"/>
      <c r="AL5" s="277"/>
      <c r="AM5" s="277"/>
      <c r="AN5" s="277"/>
      <c r="AO5" s="277"/>
      <c r="AP5" s="277"/>
      <c r="AQ5" s="277"/>
      <c r="AR5" s="277"/>
      <c r="AS5" s="277"/>
      <c r="AT5" s="305" t="str">
        <f>AI5</f>
        <v>NONMAJOR SPECIAL REVENUE FUNDS</v>
      </c>
      <c r="AU5" s="277"/>
      <c r="AV5" s="277"/>
      <c r="AW5" s="277"/>
      <c r="AX5" s="277"/>
      <c r="AY5" s="277"/>
      <c r="AZ5" s="277"/>
      <c r="BA5" s="277"/>
      <c r="BB5" s="277"/>
      <c r="BC5" s="277"/>
      <c r="BD5" s="277"/>
      <c r="BF5" s="277"/>
      <c r="BG5" s="305" t="str">
        <f>AT5</f>
        <v>NONMAJOR SPECIAL REVENUE FUNDS</v>
      </c>
      <c r="BH5" s="277"/>
      <c r="BI5" s="305"/>
      <c r="BJ5" s="277"/>
      <c r="BK5" s="277"/>
      <c r="BL5" s="277"/>
      <c r="BM5" s="277"/>
      <c r="BN5" s="277"/>
      <c r="BO5" s="277"/>
      <c r="BP5" s="277"/>
      <c r="BQ5" s="277"/>
      <c r="BS5" s="277"/>
      <c r="BT5" s="305" t="str">
        <f>+BG5</f>
        <v>NONMAJOR SPECIAL REVENUE FUNDS</v>
      </c>
      <c r="BU5" s="305"/>
      <c r="BV5" s="305"/>
      <c r="BW5" s="277"/>
      <c r="BX5" s="277"/>
      <c r="BY5" s="277"/>
      <c r="BZ5" s="277"/>
      <c r="CA5" s="277"/>
      <c r="CB5" s="277"/>
      <c r="CC5" s="277"/>
      <c r="CD5" s="277"/>
      <c r="CF5" s="277"/>
      <c r="CG5" s="305" t="str">
        <f>+BT5</f>
        <v>NONMAJOR SPECIAL REVENUE FUNDS</v>
      </c>
      <c r="CH5" s="277"/>
      <c r="CI5" s="305"/>
      <c r="CJ5" s="277"/>
      <c r="CK5" s="277"/>
      <c r="CL5" s="277"/>
      <c r="CM5" s="277"/>
      <c r="CN5" s="277"/>
      <c r="CO5" s="277"/>
      <c r="CP5" s="277"/>
      <c r="CQ5" s="277"/>
      <c r="CS5" s="277"/>
      <c r="CT5" s="305" t="str">
        <f>+CG5</f>
        <v>NONMAJOR SPECIAL REVENUE FUNDS</v>
      </c>
      <c r="CU5" s="277"/>
      <c r="CV5" s="277"/>
      <c r="CW5" s="277"/>
      <c r="CX5" s="305"/>
      <c r="CY5" s="277"/>
      <c r="CZ5" s="277"/>
      <c r="DA5" s="277"/>
      <c r="DB5" s="277"/>
      <c r="DC5" s="277"/>
      <c r="DF5" s="277"/>
      <c r="DH5" s="277"/>
      <c r="DJ5" s="277"/>
      <c r="DK5" s="305" t="str">
        <f>+CT5</f>
        <v>NONMAJOR SPECIAL REVENUE FUNDS</v>
      </c>
      <c r="DL5" s="277"/>
      <c r="DM5" s="277"/>
      <c r="DN5" s="277"/>
      <c r="DO5" s="305"/>
      <c r="DP5" s="277"/>
      <c r="DQ5" s="277"/>
      <c r="DR5" s="277"/>
      <c r="DS5" s="277"/>
      <c r="DT5" s="277"/>
      <c r="DU5" s="277"/>
      <c r="DV5" s="277"/>
      <c r="DW5" s="305"/>
      <c r="DX5" s="277"/>
      <c r="DY5" s="277"/>
      <c r="DZ5" s="277"/>
    </row>
    <row r="6" spans="1:131" ht="15.75">
      <c r="A6" s="276"/>
      <c r="B6" s="307">
        <f>+'Sys INPUT'!B1</f>
        <v>45107</v>
      </c>
      <c r="C6" s="504"/>
      <c r="D6" s="504"/>
      <c r="E6" s="504"/>
      <c r="F6" s="504"/>
      <c r="G6" s="504"/>
      <c r="H6" s="504"/>
      <c r="I6" s="504"/>
      <c r="J6" s="504"/>
      <c r="K6" s="504"/>
      <c r="L6" s="504"/>
      <c r="M6" s="307">
        <f>B6</f>
        <v>45107</v>
      </c>
      <c r="N6" s="504"/>
      <c r="O6" s="504"/>
      <c r="P6" s="504"/>
      <c r="Q6" s="504"/>
      <c r="R6" s="504"/>
      <c r="S6" s="504"/>
      <c r="T6" s="504"/>
      <c r="U6" s="504"/>
      <c r="V6" s="504"/>
      <c r="W6" s="504"/>
      <c r="X6" s="307">
        <f>M6</f>
        <v>45107</v>
      </c>
      <c r="Y6" s="504"/>
      <c r="Z6" s="504"/>
      <c r="AA6" s="504"/>
      <c r="AB6" s="504"/>
      <c r="AC6" s="504"/>
      <c r="AD6" s="504"/>
      <c r="AE6" s="504"/>
      <c r="AF6" s="504"/>
      <c r="AG6" s="504"/>
      <c r="AH6" s="504"/>
      <c r="AI6" s="307">
        <f>X6</f>
        <v>45107</v>
      </c>
      <c r="AJ6" s="504"/>
      <c r="AK6" s="504"/>
      <c r="AL6" s="504"/>
      <c r="AM6" s="504"/>
      <c r="AN6" s="504"/>
      <c r="AO6" s="504"/>
      <c r="AP6" s="504"/>
      <c r="AQ6" s="504"/>
      <c r="AR6" s="504"/>
      <c r="AS6" s="504"/>
      <c r="AT6" s="307">
        <f>AI6</f>
        <v>45107</v>
      </c>
      <c r="AU6" s="504"/>
      <c r="AV6" s="504"/>
      <c r="AW6" s="504"/>
      <c r="AX6" s="504"/>
      <c r="AY6" s="504"/>
      <c r="AZ6" s="504"/>
      <c r="BA6" s="504"/>
      <c r="BB6" s="504"/>
      <c r="BC6" s="504"/>
      <c r="BD6" s="504"/>
      <c r="BF6" s="504"/>
      <c r="BG6" s="307">
        <f>AT6</f>
        <v>45107</v>
      </c>
      <c r="BH6" s="504"/>
      <c r="BI6" s="307"/>
      <c r="BJ6" s="504"/>
      <c r="BK6" s="504"/>
      <c r="BL6" s="504"/>
      <c r="BM6" s="504"/>
      <c r="BN6" s="504"/>
      <c r="BO6" s="504"/>
      <c r="BP6" s="504"/>
      <c r="BQ6" s="504"/>
      <c r="BS6" s="504"/>
      <c r="BT6" s="307">
        <f>+BG6</f>
        <v>45107</v>
      </c>
      <c r="BU6" s="307"/>
      <c r="BV6" s="307"/>
      <c r="BW6" s="504"/>
      <c r="BX6" s="504"/>
      <c r="BY6" s="504"/>
      <c r="BZ6" s="504"/>
      <c r="CA6" s="504"/>
      <c r="CB6" s="504"/>
      <c r="CC6" s="504"/>
      <c r="CD6" s="504"/>
      <c r="CF6" s="504"/>
      <c r="CG6" s="307">
        <f>+BT6</f>
        <v>45107</v>
      </c>
      <c r="CH6" s="504"/>
      <c r="CI6" s="307"/>
      <c r="CJ6" s="504"/>
      <c r="CK6" s="504"/>
      <c r="CL6" s="504"/>
      <c r="CM6" s="504"/>
      <c r="CN6" s="504"/>
      <c r="CO6" s="504"/>
      <c r="CP6" s="504"/>
      <c r="CQ6" s="504"/>
      <c r="CS6" s="504"/>
      <c r="CT6" s="307">
        <f>+CG6</f>
        <v>45107</v>
      </c>
      <c r="CU6" s="504"/>
      <c r="CV6" s="504"/>
      <c r="CW6" s="277"/>
      <c r="CX6" s="307"/>
      <c r="CY6" s="277"/>
      <c r="CZ6" s="277"/>
      <c r="DA6" s="277"/>
      <c r="DB6" s="277"/>
      <c r="DC6" s="277"/>
      <c r="DF6" s="277"/>
      <c r="DH6" s="504"/>
      <c r="DJ6" s="504"/>
      <c r="DK6" s="307">
        <f>+CT6</f>
        <v>45107</v>
      </c>
      <c r="DL6" s="504"/>
      <c r="DM6" s="504"/>
      <c r="DN6" s="277"/>
      <c r="DO6" s="307"/>
      <c r="DP6" s="277"/>
      <c r="DQ6" s="277"/>
      <c r="DR6" s="277"/>
      <c r="DS6" s="277"/>
      <c r="DT6" s="277"/>
      <c r="DU6" s="277"/>
      <c r="DV6" s="277"/>
      <c r="DW6" s="307"/>
      <c r="DX6" s="504"/>
      <c r="DY6" s="504"/>
      <c r="DZ6" s="277"/>
    </row>
    <row r="7" spans="1:131" ht="15.75">
      <c r="A7" s="276"/>
      <c r="B7" s="305" t="s">
        <v>1566</v>
      </c>
      <c r="C7" s="305"/>
      <c r="D7" s="305"/>
      <c r="E7" s="305"/>
      <c r="F7" s="305"/>
      <c r="G7" s="305"/>
      <c r="H7" s="305"/>
      <c r="I7" s="305"/>
      <c r="J7" s="305"/>
      <c r="K7" s="305"/>
      <c r="L7" s="305"/>
      <c r="M7" s="305" t="s">
        <v>1567</v>
      </c>
      <c r="N7" s="277"/>
      <c r="O7" s="277"/>
      <c r="P7" s="277"/>
      <c r="Q7" s="277"/>
      <c r="R7" s="277"/>
      <c r="S7" s="277"/>
      <c r="T7" s="277"/>
      <c r="U7" s="277"/>
      <c r="V7" s="277"/>
      <c r="W7" s="305"/>
      <c r="X7" s="305" t="s">
        <v>1568</v>
      </c>
      <c r="Y7" s="277"/>
      <c r="Z7" s="277"/>
      <c r="AA7" s="277"/>
      <c r="AB7" s="277"/>
      <c r="AC7" s="277"/>
      <c r="AD7" s="277"/>
      <c r="AE7" s="277"/>
      <c r="AF7" s="277"/>
      <c r="AG7" s="277"/>
      <c r="AH7" s="305"/>
      <c r="AI7" s="305" t="s">
        <v>1569</v>
      </c>
      <c r="AJ7" s="277"/>
      <c r="AK7" s="277"/>
      <c r="AL7" s="277"/>
      <c r="AM7" s="277"/>
      <c r="AN7" s="277"/>
      <c r="AO7" s="277"/>
      <c r="AP7" s="277"/>
      <c r="AQ7" s="277"/>
      <c r="AR7" s="277"/>
      <c r="AS7" s="305"/>
      <c r="AT7" s="305" t="s">
        <v>1570</v>
      </c>
      <c r="AU7" s="277"/>
      <c r="AV7" s="277"/>
      <c r="AW7" s="277"/>
      <c r="AX7" s="277"/>
      <c r="AY7" s="277"/>
      <c r="AZ7" s="277"/>
      <c r="BA7" s="277"/>
      <c r="BB7" s="277"/>
      <c r="BC7" s="277"/>
      <c r="BD7" s="277"/>
      <c r="BF7" s="305"/>
      <c r="BG7" s="305" t="s">
        <v>1571</v>
      </c>
      <c r="BH7" s="277"/>
      <c r="BI7" s="305"/>
      <c r="BJ7" s="277"/>
      <c r="BK7" s="277"/>
      <c r="BL7" s="277"/>
      <c r="BM7" s="277"/>
      <c r="BN7" s="277"/>
      <c r="BO7" s="277"/>
      <c r="BP7" s="277"/>
      <c r="BQ7" s="277"/>
      <c r="BS7" s="305"/>
      <c r="BT7" s="305" t="s">
        <v>1572</v>
      </c>
      <c r="BU7" s="305"/>
      <c r="BV7" s="305"/>
      <c r="BW7" s="277"/>
      <c r="BX7" s="277"/>
      <c r="BY7" s="277"/>
      <c r="BZ7" s="277"/>
      <c r="CA7" s="277"/>
      <c r="CB7" s="277"/>
      <c r="CC7" s="277"/>
      <c r="CD7" s="277"/>
      <c r="CF7" s="305"/>
      <c r="CG7" s="305" t="s">
        <v>1573</v>
      </c>
      <c r="CH7" s="277"/>
      <c r="CI7" s="305"/>
      <c r="CJ7" s="277"/>
      <c r="CK7" s="277"/>
      <c r="CL7" s="277"/>
      <c r="CM7" s="277"/>
      <c r="CN7" s="277"/>
      <c r="CO7" s="277"/>
      <c r="CP7" s="277"/>
      <c r="CQ7" s="277"/>
      <c r="CS7" s="305"/>
      <c r="CT7" s="305" t="s">
        <v>1574</v>
      </c>
      <c r="CU7" s="277"/>
      <c r="CV7" s="277"/>
      <c r="CW7" s="277"/>
      <c r="CX7" s="305"/>
      <c r="CY7" s="277"/>
      <c r="CZ7" s="277"/>
      <c r="DA7" s="277"/>
      <c r="DB7" s="277"/>
      <c r="DC7" s="277"/>
      <c r="DF7" s="277"/>
      <c r="DH7" s="305"/>
      <c r="DJ7" s="305"/>
      <c r="DK7" s="305" t="s">
        <v>1575</v>
      </c>
      <c r="DL7" s="277"/>
      <c r="DM7" s="277"/>
      <c r="DN7" s="277"/>
      <c r="DO7" s="305"/>
      <c r="DP7" s="277"/>
      <c r="DQ7" s="277"/>
      <c r="DR7" s="277"/>
      <c r="DS7" s="277"/>
      <c r="DT7" s="277"/>
      <c r="DU7" s="277"/>
      <c r="DV7" s="277"/>
      <c r="DW7" s="305"/>
      <c r="DX7" s="277"/>
      <c r="DY7" s="277"/>
      <c r="DZ7" s="277"/>
    </row>
    <row r="8" spans="1:131" ht="15.75">
      <c r="A8" s="276"/>
      <c r="B8" s="277"/>
      <c r="C8" s="277"/>
      <c r="D8" s="277"/>
      <c r="E8" s="277"/>
      <c r="F8" s="277"/>
      <c r="G8" s="277"/>
      <c r="H8" s="277"/>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84"/>
      <c r="AZ8" s="277"/>
      <c r="BA8" s="284"/>
      <c r="BB8" s="284"/>
      <c r="BC8" s="284"/>
      <c r="BD8" s="284"/>
      <c r="BF8" s="277"/>
      <c r="BG8" s="277"/>
      <c r="BH8" s="277"/>
      <c r="BI8" s="277"/>
      <c r="BJ8" s="277"/>
      <c r="BK8" s="284"/>
      <c r="BL8" s="277"/>
      <c r="BM8" s="277"/>
      <c r="BN8" s="277"/>
      <c r="BO8" s="277"/>
      <c r="BP8" s="277"/>
      <c r="BQ8" s="277"/>
      <c r="BS8" s="277"/>
      <c r="BT8" s="277"/>
      <c r="BU8" s="277"/>
      <c r="BV8" s="277"/>
      <c r="BW8" s="277"/>
      <c r="BX8" s="277"/>
      <c r="BY8" s="277"/>
      <c r="BZ8" s="277"/>
      <c r="CA8" s="277"/>
      <c r="CB8" s="277"/>
      <c r="CC8" s="277"/>
      <c r="CD8" s="277"/>
      <c r="CF8" s="277"/>
      <c r="CG8" s="277"/>
      <c r="CH8" s="277"/>
      <c r="CI8" s="277"/>
      <c r="CJ8" s="277"/>
      <c r="CK8" s="277"/>
      <c r="CL8" s="277"/>
      <c r="CM8" s="277"/>
      <c r="CN8" s="277"/>
      <c r="CO8" s="277"/>
      <c r="CP8" s="277"/>
      <c r="CQ8" s="277"/>
      <c r="CS8" s="277"/>
      <c r="CT8" s="277"/>
      <c r="CU8" s="277"/>
      <c r="CV8" s="277"/>
      <c r="CW8" s="276"/>
      <c r="CX8" s="277"/>
      <c r="CY8" s="276"/>
      <c r="CZ8" s="276"/>
      <c r="DA8" s="276"/>
      <c r="DB8" s="276"/>
      <c r="DC8" s="276"/>
      <c r="DF8" s="276"/>
      <c r="DH8" s="277"/>
      <c r="DJ8" s="277"/>
      <c r="DK8" s="277"/>
      <c r="DL8" s="277"/>
      <c r="DM8" s="277"/>
      <c r="DN8" s="277"/>
      <c r="DO8" s="305"/>
      <c r="DP8" s="277"/>
      <c r="DQ8" s="277"/>
      <c r="DR8" s="277"/>
      <c r="DS8" s="277"/>
      <c r="DT8" s="277"/>
      <c r="DU8" s="277"/>
      <c r="DV8" s="277"/>
      <c r="DW8" s="305"/>
      <c r="DX8" s="277"/>
      <c r="DY8" s="277"/>
      <c r="DZ8" s="277"/>
    </row>
    <row r="9" spans="1:131" ht="15.75">
      <c r="A9" s="276"/>
      <c r="B9" s="305"/>
      <c r="C9" s="305"/>
      <c r="D9" s="305"/>
      <c r="E9" s="305"/>
      <c r="F9" s="305"/>
      <c r="G9" s="305"/>
      <c r="H9" s="305"/>
      <c r="I9" s="305"/>
      <c r="J9" s="305"/>
      <c r="K9" s="305"/>
      <c r="L9" s="305"/>
      <c r="M9" s="305"/>
      <c r="N9" s="305"/>
      <c r="O9" s="305"/>
      <c r="P9" s="305"/>
      <c r="Q9" s="305"/>
      <c r="R9" s="305"/>
      <c r="S9" s="305"/>
      <c r="T9" s="305"/>
      <c r="U9" s="305"/>
      <c r="V9" s="305"/>
      <c r="W9" s="305"/>
      <c r="X9" s="305"/>
      <c r="Y9" s="305"/>
      <c r="Z9" s="305"/>
      <c r="AA9" s="308"/>
      <c r="AB9" s="308"/>
      <c r="AC9" s="308"/>
      <c r="AD9" s="308"/>
      <c r="AE9" s="308"/>
      <c r="AF9" s="308"/>
      <c r="AG9" s="308"/>
      <c r="AH9" s="305"/>
      <c r="AI9" s="305"/>
      <c r="AJ9" s="308"/>
      <c r="AK9" s="308"/>
      <c r="AL9" s="308"/>
      <c r="AM9" s="308"/>
      <c r="AN9" s="308"/>
      <c r="AO9" s="308"/>
      <c r="AP9" s="308"/>
      <c r="AQ9" s="308"/>
      <c r="AR9" s="308"/>
      <c r="AS9" s="305"/>
      <c r="AT9" s="305"/>
      <c r="AU9" s="308"/>
      <c r="AV9" s="308"/>
      <c r="AW9" s="308"/>
      <c r="AX9" s="308"/>
      <c r="AY9" s="305"/>
      <c r="AZ9" s="308"/>
      <c r="BA9" s="305"/>
      <c r="BB9" s="305"/>
      <c r="BC9" s="305"/>
      <c r="BD9" s="305"/>
      <c r="BF9" s="305"/>
      <c r="BG9" s="305"/>
      <c r="BH9" s="308"/>
      <c r="BI9" s="305"/>
      <c r="BJ9" s="308"/>
      <c r="BK9" s="305"/>
      <c r="BL9" s="308"/>
      <c r="BM9" s="308"/>
      <c r="BN9" s="308"/>
      <c r="BO9" s="308"/>
      <c r="BP9" s="308"/>
      <c r="BQ9" s="308"/>
      <c r="BS9" s="305"/>
      <c r="BT9" s="305"/>
      <c r="BU9" s="308"/>
      <c r="BV9" s="305"/>
      <c r="BW9" s="308"/>
      <c r="BX9" s="308"/>
      <c r="BY9" s="308"/>
      <c r="BZ9" s="308"/>
      <c r="CA9" s="308"/>
      <c r="CB9" s="308"/>
      <c r="CC9" s="308"/>
      <c r="CD9" s="308"/>
      <c r="CF9" s="305"/>
      <c r="CG9" s="305"/>
      <c r="CH9" s="308"/>
      <c r="CI9" s="305"/>
      <c r="CJ9" s="308"/>
      <c r="CK9" s="308"/>
      <c r="CL9" s="308"/>
      <c r="CM9" s="308"/>
      <c r="CN9" s="308"/>
      <c r="CO9" s="308"/>
      <c r="CP9" s="308"/>
      <c r="CQ9" s="308"/>
      <c r="CS9" s="305"/>
      <c r="CT9" s="305"/>
      <c r="CU9" s="308"/>
      <c r="CV9" s="308"/>
      <c r="CW9" s="308"/>
      <c r="CX9" s="305"/>
      <c r="CY9" s="308"/>
      <c r="CZ9" s="308"/>
      <c r="DA9" s="308"/>
      <c r="DB9" s="308"/>
      <c r="DC9" s="308"/>
      <c r="DF9" s="308"/>
      <c r="DH9" s="305"/>
      <c r="DJ9" s="305"/>
      <c r="DK9" s="305"/>
      <c r="DL9" s="305"/>
      <c r="DM9" s="305"/>
      <c r="DN9" s="308"/>
      <c r="DO9" s="308"/>
      <c r="DP9" s="308"/>
      <c r="DQ9" s="308"/>
      <c r="DR9" s="308"/>
      <c r="DS9" s="308"/>
      <c r="DT9" s="308"/>
      <c r="DU9" s="308"/>
      <c r="DV9" s="308"/>
      <c r="DW9" s="308"/>
      <c r="DX9" s="308"/>
      <c r="DY9" s="308"/>
      <c r="DZ9" s="308"/>
      <c r="EA9" s="287"/>
    </row>
    <row r="10" spans="1:131" ht="15.75">
      <c r="A10" s="276"/>
      <c r="B10" s="308"/>
      <c r="C10" s="287" t="str">
        <f>+INPUT!E5</f>
        <v>HEALTH</v>
      </c>
      <c r="D10" s="308"/>
      <c r="E10" s="287" t="str">
        <f>INPUT!F5</f>
        <v>CRAIG</v>
      </c>
      <c r="F10" s="308"/>
      <c r="G10" s="287"/>
      <c r="H10" s="308"/>
      <c r="I10" s="287"/>
      <c r="J10" s="308"/>
      <c r="K10" s="287"/>
      <c r="L10" s="308"/>
      <c r="M10" s="308"/>
      <c r="N10" s="287"/>
      <c r="O10" s="287"/>
      <c r="P10" s="287" t="str">
        <f>INPUT!K5</f>
        <v>PREDATORY</v>
      </c>
      <c r="Q10" s="287"/>
      <c r="R10" s="287" t="str">
        <f>INPUT!L5</f>
        <v>CATTLE</v>
      </c>
      <c r="S10" s="287"/>
      <c r="T10" s="287"/>
      <c r="U10" s="287"/>
      <c r="V10" s="287" t="str">
        <f>INPUT!N5</f>
        <v>SEARCH &amp;</v>
      </c>
      <c r="W10" s="308"/>
      <c r="X10" s="308"/>
      <c r="Y10" s="287"/>
      <c r="Z10" s="287"/>
      <c r="AA10" s="287"/>
      <c r="AB10" s="276"/>
      <c r="AC10" s="276"/>
      <c r="AD10" s="276"/>
      <c r="AE10" s="276"/>
      <c r="AH10" s="308"/>
      <c r="AI10" s="308"/>
      <c r="AL10" s="287"/>
      <c r="AN10" s="287"/>
      <c r="AO10" s="287"/>
      <c r="AP10" s="287" t="str">
        <f>INPUT!Y5</f>
        <v>PUBLIC</v>
      </c>
      <c r="AQ10" s="308"/>
      <c r="AR10" s="308"/>
      <c r="AS10" s="308"/>
      <c r="AT10" s="308"/>
      <c r="AU10" s="308"/>
      <c r="AV10" s="308"/>
      <c r="AW10" s="287" t="str">
        <f>INPUT!AB5</f>
        <v>DETENTION &amp;</v>
      </c>
      <c r="AX10" s="308"/>
      <c r="AY10" s="287"/>
      <c r="AZ10" s="308"/>
      <c r="BA10" s="287"/>
      <c r="BB10" s="287"/>
      <c r="BC10" s="287"/>
      <c r="BD10" s="287"/>
      <c r="BF10" s="308"/>
      <c r="BG10" s="308"/>
      <c r="BH10" s="287"/>
      <c r="BI10" s="308"/>
      <c r="BJ10" s="287" t="str">
        <f>INPUT!AG5</f>
        <v>MISSOURI</v>
      </c>
      <c r="BK10" s="287"/>
      <c r="BL10" s="287" t="str">
        <f>INPUT!AH5</f>
        <v>MRDTF</v>
      </c>
      <c r="BM10" s="287"/>
      <c r="BN10" s="287" t="str">
        <f>INPUT!AI5</f>
        <v>HARD ROCK</v>
      </c>
      <c r="BO10" s="287"/>
      <c r="BP10" s="287" t="str">
        <f>INPUT!AJ5</f>
        <v>METAL MINES</v>
      </c>
      <c r="BQ10" s="287"/>
      <c r="BS10" s="308"/>
      <c r="BT10" s="308"/>
      <c r="BU10" s="287" t="str">
        <f>INPUT!AK5</f>
        <v>WOLF CREEK</v>
      </c>
      <c r="BV10" s="308"/>
      <c r="BW10" s="287" t="str">
        <f>INPUT!AL5</f>
        <v>CRAIG</v>
      </c>
      <c r="BX10" s="287"/>
      <c r="BY10" s="287" t="str">
        <f>INPUT!AM5</f>
        <v>CRAIG</v>
      </c>
      <c r="BZ10" s="287"/>
      <c r="CA10" s="287" t="str">
        <f>INPUT!AN5</f>
        <v>SEPTIC</v>
      </c>
      <c r="CB10" s="287"/>
      <c r="CC10" s="287" t="str">
        <f>INPUT!AO5</f>
        <v>SEPTIC</v>
      </c>
      <c r="CD10" s="287"/>
      <c r="CF10" s="308"/>
      <c r="CG10" s="308"/>
      <c r="CH10" s="287"/>
      <c r="CI10" s="308"/>
      <c r="CJ10" s="287" t="str">
        <f>INPUT!AQ5</f>
        <v>ROAD</v>
      </c>
      <c r="CK10" s="287"/>
      <c r="CL10" s="308"/>
      <c r="CM10" s="308"/>
      <c r="CN10" s="308"/>
      <c r="CO10" s="308"/>
      <c r="CP10" s="287" t="str">
        <f>+INPUT!AT5</f>
        <v>GAS TAX</v>
      </c>
      <c r="CQ10" s="308"/>
      <c r="CS10" s="308"/>
      <c r="CT10" s="308"/>
      <c r="CW10" s="287" t="s">
        <v>1357</v>
      </c>
      <c r="CX10" s="308"/>
      <c r="CY10" s="505" t="s">
        <v>1046</v>
      </c>
      <c r="CZ10" s="308"/>
      <c r="DA10" s="287"/>
      <c r="DB10" s="308"/>
      <c r="DC10" s="287" t="str">
        <f>INPUT!AZ5</f>
        <v>NOXIOUS</v>
      </c>
      <c r="DF10" s="308"/>
      <c r="DH10" s="308"/>
      <c r="DJ10" s="308"/>
      <c r="DK10" s="308"/>
      <c r="DL10" s="287" t="str">
        <f>INPUT!BA5</f>
        <v>HOMELAND</v>
      </c>
      <c r="DN10" s="287"/>
      <c r="DP10" s="287" t="s">
        <v>901</v>
      </c>
      <c r="DR10" s="308"/>
      <c r="DV10" s="308"/>
      <c r="DW10" s="287"/>
      <c r="DX10" s="287"/>
      <c r="DY10" s="287"/>
      <c r="DZ10" s="287" t="str">
        <f>INPUT!BF5</f>
        <v>TOTAL</v>
      </c>
    </row>
    <row r="11" spans="1:131" ht="15.75">
      <c r="A11" s="276"/>
      <c r="B11" s="308"/>
      <c r="C11" s="287" t="str">
        <f>+INPUT!E6</f>
        <v>RELATED</v>
      </c>
      <c r="D11" s="308"/>
      <c r="E11" s="287" t="str">
        <f>INPUT!F6</f>
        <v>MOSQUITO</v>
      </c>
      <c r="F11" s="308"/>
      <c r="G11" s="287" t="str">
        <f>INPUT!G6</f>
        <v>MOSQUITO</v>
      </c>
      <c r="H11" s="308"/>
      <c r="I11" s="287" t="str">
        <f>INPUT!H6</f>
        <v>WATER</v>
      </c>
      <c r="J11" s="308"/>
      <c r="K11" s="287" t="str">
        <f>INPUT!I6</f>
        <v>MENTAL</v>
      </c>
      <c r="L11" s="308"/>
      <c r="M11" s="308"/>
      <c r="N11" s="287"/>
      <c r="O11" s="287"/>
      <c r="P11" s="287" t="str">
        <f>INPUT!K6</f>
        <v>ANIMAL</v>
      </c>
      <c r="Q11" s="287"/>
      <c r="R11" s="287" t="str">
        <f>INPUT!L6</f>
        <v>PROTECTION</v>
      </c>
      <c r="S11" s="287"/>
      <c r="T11" s="287" t="s">
        <v>893</v>
      </c>
      <c r="U11" s="287"/>
      <c r="V11" s="287" t="str">
        <f>INPUT!N6</f>
        <v>RESCUE</v>
      </c>
      <c r="W11" s="308"/>
      <c r="X11" s="308"/>
      <c r="Y11" s="287"/>
      <c r="Z11" s="287"/>
      <c r="AA11" s="287" t="str">
        <f>INPUT!Q6</f>
        <v>PERMISSIVE</v>
      </c>
      <c r="AB11" s="287"/>
      <c r="AC11" s="287" t="str">
        <f>INPUT!R6</f>
        <v>FORESTVALE</v>
      </c>
      <c r="AD11" s="287"/>
      <c r="AE11" s="287" t="s">
        <v>517</v>
      </c>
      <c r="AF11" s="287"/>
      <c r="AG11" s="287" t="str">
        <f>INPUT!T6</f>
        <v>EMERGENCY</v>
      </c>
      <c r="AH11" s="308"/>
      <c r="AI11" s="308"/>
      <c r="AJ11" s="287" t="s">
        <v>517</v>
      </c>
      <c r="AL11" s="287" t="str">
        <f>INPUT!V6</f>
        <v>SENIOR</v>
      </c>
      <c r="AN11" s="287" t="str">
        <f>INPUT!W6</f>
        <v>COUNTY</v>
      </c>
      <c r="AO11" s="287"/>
      <c r="AP11" s="287" t="str">
        <f>INPUT!Y6</f>
        <v>SAFETY RADIO</v>
      </c>
      <c r="AQ11" s="308"/>
      <c r="AR11" s="287" t="str">
        <f>INPUT!Z6</f>
        <v>INMATE</v>
      </c>
      <c r="AS11" s="308"/>
      <c r="AT11" s="308"/>
      <c r="AU11" s="287" t="str">
        <f>INPUT!AA6</f>
        <v>RECORDS</v>
      </c>
      <c r="AV11" s="308"/>
      <c r="AW11" s="287" t="str">
        <f>INPUT!AB6</f>
        <v>DIVERSION</v>
      </c>
      <c r="AX11" s="308"/>
      <c r="AY11" s="287" t="str">
        <f>INPUT!AC6</f>
        <v>PARKS</v>
      </c>
      <c r="AZ11" s="308"/>
      <c r="BA11" s="287" t="str">
        <f>INPUT!AD6</f>
        <v>LINCOLN</v>
      </c>
      <c r="BC11" s="287" t="s">
        <v>313</v>
      </c>
      <c r="BF11" s="308"/>
      <c r="BG11" s="308"/>
      <c r="BH11" s="287" t="str">
        <f>INPUT!AF6</f>
        <v>CITY/COUNTY</v>
      </c>
      <c r="BI11" s="308"/>
      <c r="BJ11" s="287" t="str">
        <f>INPUT!AG6</f>
        <v>RIVER DRUG</v>
      </c>
      <c r="BL11" s="287" t="str">
        <f>INPUT!AH6</f>
        <v>FEDERAL</v>
      </c>
      <c r="BN11" s="287" t="str">
        <f>INPUT!AI6</f>
        <v>MINE</v>
      </c>
      <c r="BO11" s="287"/>
      <c r="BP11" s="287" t="str">
        <f>INPUT!AJ6</f>
        <v>TAX</v>
      </c>
      <c r="BQ11" s="287"/>
      <c r="BS11" s="308"/>
      <c r="BT11" s="308"/>
      <c r="BU11" s="287" t="str">
        <f>INPUT!AK6</f>
        <v>WASTEWATER</v>
      </c>
      <c r="BV11" s="308"/>
      <c r="BW11" s="287" t="str">
        <f>INPUT!AL6</f>
        <v>WASTEWATER</v>
      </c>
      <c r="BX11" s="287"/>
      <c r="BY11" s="287" t="str">
        <f>INPUT!AM6</f>
        <v>TRAINING</v>
      </c>
      <c r="BZ11" s="287"/>
      <c r="CA11" s="287" t="str">
        <f>INPUT!AN6</f>
        <v>MAINTENANCE</v>
      </c>
      <c r="CB11" s="287"/>
      <c r="CC11" s="287" t="str">
        <f>INPUT!AO6</f>
        <v>Closed to</v>
      </c>
      <c r="CD11" s="287"/>
      <c r="CF11" s="308"/>
      <c r="CG11" s="308"/>
      <c r="CH11" s="287" t="str">
        <f>INPUT!AP6</f>
        <v>OPEN</v>
      </c>
      <c r="CI11" s="308"/>
      <c r="CJ11" s="287" t="str">
        <f>INPUT!AQ6</f>
        <v>IMPROVEMENT -</v>
      </c>
      <c r="CK11" s="287"/>
      <c r="CL11" s="308"/>
      <c r="CM11" s="308"/>
      <c r="CN11" s="287" t="str">
        <f>INPUT!AS6</f>
        <v>GAS</v>
      </c>
      <c r="CO11" s="308"/>
      <c r="CP11" s="287" t="str">
        <f>+INPUT!AT6</f>
        <v>SPECIAL ROAD</v>
      </c>
      <c r="CQ11" s="308"/>
      <c r="CS11" s="308"/>
      <c r="CT11" s="308"/>
      <c r="CW11" s="287" t="s">
        <v>114</v>
      </c>
      <c r="CX11" s="308"/>
      <c r="CY11" s="505" t="s">
        <v>1001</v>
      </c>
      <c r="CZ11" s="308"/>
      <c r="DA11" s="287" t="str">
        <f>INPUT!AY6</f>
        <v>ECONOMIC</v>
      </c>
      <c r="DB11" s="308"/>
      <c r="DC11" s="287" t="str">
        <f>INPUT!AZ6</f>
        <v>WEED</v>
      </c>
      <c r="DF11" s="308"/>
      <c r="DH11" s="308"/>
      <c r="DJ11" s="308"/>
      <c r="DK11" s="308"/>
      <c r="DL11" s="287" t="str">
        <f>INPUT!BA6</f>
        <v>SECURITY</v>
      </c>
      <c r="DN11" s="287"/>
      <c r="DP11" s="287" t="s">
        <v>119</v>
      </c>
      <c r="DR11" s="308"/>
      <c r="DV11" s="308"/>
      <c r="DW11" s="287"/>
      <c r="DX11" s="287"/>
      <c r="DY11" s="287"/>
      <c r="DZ11" s="287" t="str">
        <f>INPUT!BF6</f>
        <v>SPECIAL</v>
      </c>
    </row>
    <row r="12" spans="1:131" ht="15.75">
      <c r="A12" s="276"/>
      <c r="B12" s="308"/>
      <c r="C12" s="290" t="str">
        <f>+INPUT!E7</f>
        <v>GRANTS</v>
      </c>
      <c r="D12" s="308"/>
      <c r="E12" s="290" t="str">
        <f>INPUT!F7</f>
        <v>CONTROL</v>
      </c>
      <c r="F12" s="308"/>
      <c r="G12" s="290" t="str">
        <f>INPUT!G7</f>
        <v>CONTROL</v>
      </c>
      <c r="H12" s="308"/>
      <c r="I12" s="290" t="str">
        <f>INPUT!H7</f>
        <v>QUALITY</v>
      </c>
      <c r="J12" s="308"/>
      <c r="K12" s="290" t="str">
        <f>INPUT!I7</f>
        <v>HEALTH</v>
      </c>
      <c r="L12" s="308"/>
      <c r="M12" s="308"/>
      <c r="N12" s="290" t="str">
        <f>INPUT!J7</f>
        <v>ROAD</v>
      </c>
      <c r="O12" s="308"/>
      <c r="P12" s="290" t="str">
        <f>INPUT!K7</f>
        <v>CONTROL</v>
      </c>
      <c r="Q12" s="287"/>
      <c r="R12" s="290" t="str">
        <f>INPUT!L7</f>
        <v>PROGRAM</v>
      </c>
      <c r="S12" s="287"/>
      <c r="T12" s="290" t="s">
        <v>535</v>
      </c>
      <c r="U12" s="308"/>
      <c r="V12" s="290" t="str">
        <f>INPUT!N7</f>
        <v>OPERATIONS</v>
      </c>
      <c r="W12" s="308"/>
      <c r="X12" s="308"/>
      <c r="Y12" s="290" t="str">
        <f>INPUT!O7</f>
        <v>PARKS</v>
      </c>
      <c r="Z12" s="308"/>
      <c r="AA12" s="290" t="str">
        <f>INPUT!Q7</f>
        <v>MEDICAL</v>
      </c>
      <c r="AB12" s="308"/>
      <c r="AC12" s="290" t="str">
        <f>INPUT!R7</f>
        <v>CEMETERY</v>
      </c>
      <c r="AD12" s="308"/>
      <c r="AE12" s="290" t="str">
        <f>INPUT!S7</f>
        <v>PLANNING</v>
      </c>
      <c r="AF12" s="308"/>
      <c r="AG12" s="290" t="str">
        <f>INPUT!T7</f>
        <v>DISASTER</v>
      </c>
      <c r="AH12" s="308"/>
      <c r="AI12" s="308"/>
      <c r="AJ12" s="290" t="str">
        <f>INPUT!U7</f>
        <v>HEALTH</v>
      </c>
      <c r="AK12" s="308"/>
      <c r="AL12" s="290" t="str">
        <f>INPUT!V7</f>
        <v>CITIZENS</v>
      </c>
      <c r="AM12" s="308"/>
      <c r="AN12" s="290" t="str">
        <f>INPUT!W7</f>
        <v>EXTENSION</v>
      </c>
      <c r="AO12" s="308"/>
      <c r="AP12" s="290" t="str">
        <f>INPUT!Y7</f>
        <v>PROJECT</v>
      </c>
      <c r="AQ12" s="308"/>
      <c r="AR12" s="290" t="str">
        <f>INPUT!Z7</f>
        <v>PROGRAMS</v>
      </c>
      <c r="AS12" s="308"/>
      <c r="AT12" s="308"/>
      <c r="AU12" s="290" t="str">
        <f>INPUT!AA7</f>
        <v>PRESERVATION</v>
      </c>
      <c r="AV12" s="308"/>
      <c r="AW12" s="290" t="str">
        <f>INPUT!AB7</f>
        <v>SERVICES</v>
      </c>
      <c r="AX12" s="308"/>
      <c r="AY12" s="290" t="str">
        <f>INPUT!AC7</f>
        <v>DEVELOPMENT</v>
      </c>
      <c r="AZ12" s="308"/>
      <c r="BA12" s="290" t="str">
        <f>INPUT!AD7</f>
        <v>PARKS</v>
      </c>
      <c r="BC12" s="290" t="s">
        <v>538</v>
      </c>
      <c r="BF12" s="308"/>
      <c r="BG12" s="308"/>
      <c r="BH12" s="290" t="str">
        <f>INPUT!AF7</f>
        <v>DRUG</v>
      </c>
      <c r="BI12" s="308"/>
      <c r="BJ12" s="290" t="str">
        <f>INPUT!AG7</f>
        <v>TASK FORCE</v>
      </c>
      <c r="BL12" s="290" t="str">
        <f>INPUT!AH7</f>
        <v>SHARING</v>
      </c>
      <c r="BN12" s="290" t="str">
        <f>INPUT!AI7</f>
        <v>RESERVE</v>
      </c>
      <c r="BO12" s="308"/>
      <c r="BP12" s="290" t="str">
        <f>INPUT!AJ7</f>
        <v>RESERVE</v>
      </c>
      <c r="BQ12" s="308"/>
      <c r="BS12" s="308"/>
      <c r="BT12" s="308"/>
      <c r="BU12" s="290" t="str">
        <f>INPUT!AK7</f>
        <v>FAC MAINT</v>
      </c>
      <c r="BV12" s="308"/>
      <c r="BW12" s="290" t="str">
        <f>INPUT!AL7</f>
        <v>FAC MAINT</v>
      </c>
      <c r="BX12" s="308"/>
      <c r="BY12" s="290" t="str">
        <f>INPUT!AM7</f>
        <v>CNTR MAINT</v>
      </c>
      <c r="BZ12" s="308"/>
      <c r="CA12" s="290" t="str">
        <f>INPUT!AN7</f>
        <v>REVOLVING LN</v>
      </c>
      <c r="CB12" s="308"/>
      <c r="CC12" s="290" t="str">
        <f>INPUT!AO7</f>
        <v>227(FY21)</v>
      </c>
      <c r="CD12" s="308"/>
      <c r="CF12" s="308"/>
      <c r="CG12" s="308"/>
      <c r="CH12" s="290" t="str">
        <f>INPUT!AP7</f>
        <v>SPACE</v>
      </c>
      <c r="CI12" s="308"/>
      <c r="CJ12" s="290" t="str">
        <f>INPUT!AQ7</f>
        <v>SUBDIVISION</v>
      </c>
      <c r="CK12" s="308"/>
      <c r="CL12" s="290" t="str">
        <f>INPUT!AR7</f>
        <v>ALCOHOLISM</v>
      </c>
      <c r="CM12" s="308"/>
      <c r="CN12" s="290" t="str">
        <f>INPUT!AS7</f>
        <v>TAX</v>
      </c>
      <c r="CO12" s="308"/>
      <c r="CP12" s="290" t="str">
        <f>+INPUT!AT7</f>
        <v>PROGRAM</v>
      </c>
      <c r="CQ12" s="308"/>
      <c r="CS12" s="308"/>
      <c r="CT12" s="308"/>
      <c r="CU12" s="290" t="str">
        <f>INPUT!AU7</f>
        <v>HIDTA</v>
      </c>
      <c r="CV12" s="287"/>
      <c r="CW12" s="290" t="s">
        <v>761</v>
      </c>
      <c r="CX12" s="308"/>
      <c r="CY12" s="290" t="s">
        <v>327</v>
      </c>
      <c r="CZ12" s="308"/>
      <c r="DA12" s="290" t="str">
        <f>INPUT!AY7</f>
        <v>DEVELOPMENT</v>
      </c>
      <c r="DB12" s="308"/>
      <c r="DC12" s="290" t="str">
        <f>INPUT!AZ7</f>
        <v>GRANT</v>
      </c>
      <c r="DF12" s="308"/>
      <c r="DH12" s="308"/>
      <c r="DJ12" s="308"/>
      <c r="DK12" s="308"/>
      <c r="DL12" s="290" t="str">
        <f>INPUT!BA7</f>
        <v>GRANT</v>
      </c>
      <c r="DN12" s="290"/>
      <c r="DP12" s="290" t="s">
        <v>762</v>
      </c>
      <c r="DR12" s="308"/>
      <c r="DV12" s="308"/>
      <c r="DW12" s="287"/>
      <c r="DX12" s="287"/>
      <c r="DY12" s="287"/>
      <c r="DZ12" s="290" t="str">
        <f>INPUT!BF7</f>
        <v>REVENUE</v>
      </c>
    </row>
    <row r="13" spans="1:131" ht="15.75">
      <c r="A13" s="276"/>
      <c r="B13" s="308" t="str">
        <f>INPUT!B83</f>
        <v>ASSETS</v>
      </c>
      <c r="C13" s="276"/>
      <c r="D13" s="276"/>
      <c r="E13" s="276"/>
      <c r="F13" s="276"/>
      <c r="G13" s="276"/>
      <c r="H13" s="276"/>
      <c r="I13" s="276"/>
      <c r="J13" s="276"/>
      <c r="K13" s="276"/>
      <c r="L13" s="276"/>
      <c r="M13" s="308" t="str">
        <f t="shared" ref="M13:M33" si="0">B13</f>
        <v>ASSETS</v>
      </c>
      <c r="N13" s="276"/>
      <c r="O13" s="276"/>
      <c r="P13" s="276"/>
      <c r="Q13" s="276"/>
      <c r="R13" s="276"/>
      <c r="S13" s="276"/>
      <c r="T13" s="276"/>
      <c r="U13" s="276"/>
      <c r="V13" s="276"/>
      <c r="W13" s="276"/>
      <c r="X13" s="308" t="str">
        <f>M13</f>
        <v>ASSETS</v>
      </c>
      <c r="Y13" s="276"/>
      <c r="Z13" s="276"/>
      <c r="AA13" s="276"/>
      <c r="AB13" s="276"/>
      <c r="AC13" s="276"/>
      <c r="AD13" s="276"/>
      <c r="AE13" s="276"/>
      <c r="AF13" s="276"/>
      <c r="AG13" s="276"/>
      <c r="AH13" s="276"/>
      <c r="AI13" s="308" t="str">
        <f>X13</f>
        <v>ASSETS</v>
      </c>
      <c r="AJ13" s="276"/>
      <c r="AK13" s="276"/>
      <c r="AL13" s="276"/>
      <c r="AM13" s="276"/>
      <c r="AN13" s="276"/>
      <c r="AO13" s="276"/>
      <c r="AP13" s="276"/>
      <c r="AQ13" s="308"/>
      <c r="AR13" s="276"/>
      <c r="AS13" s="276"/>
      <c r="AT13" s="308" t="str">
        <f>AI13</f>
        <v>ASSETS</v>
      </c>
      <c r="AU13" s="276"/>
      <c r="AV13" s="308"/>
      <c r="AW13" s="276"/>
      <c r="AX13" s="308"/>
      <c r="AY13" s="276"/>
      <c r="AZ13" s="308"/>
      <c r="BA13" s="276"/>
      <c r="BC13" s="276"/>
      <c r="BF13" s="276"/>
      <c r="BG13" s="308" t="str">
        <f>AT13</f>
        <v>ASSETS</v>
      </c>
      <c r="BH13" s="276"/>
      <c r="BI13" s="308"/>
      <c r="BJ13" s="276"/>
      <c r="BL13" s="276"/>
      <c r="BN13" s="276"/>
      <c r="BO13" s="276"/>
      <c r="BP13" s="276"/>
      <c r="BQ13" s="276"/>
      <c r="BS13" s="276"/>
      <c r="BT13" s="308" t="str">
        <f>BG13</f>
        <v>ASSETS</v>
      </c>
      <c r="BU13" s="276"/>
      <c r="BV13" s="308"/>
      <c r="BW13" s="276"/>
      <c r="BX13" s="276"/>
      <c r="BY13" s="276"/>
      <c r="BZ13" s="276"/>
      <c r="CA13" s="276"/>
      <c r="CB13" s="276"/>
      <c r="CC13" s="276"/>
      <c r="CD13" s="276"/>
      <c r="CF13" s="276"/>
      <c r="CG13" s="308" t="str">
        <f>B13</f>
        <v>ASSETS</v>
      </c>
      <c r="CH13" s="276"/>
      <c r="CI13" s="308"/>
      <c r="CJ13" s="276"/>
      <c r="CK13" s="276"/>
      <c r="CL13" s="276"/>
      <c r="CM13" s="308"/>
      <c r="CN13" s="276"/>
      <c r="CO13" s="308"/>
      <c r="CP13" s="276"/>
      <c r="CQ13" s="308"/>
      <c r="CS13" s="276"/>
      <c r="CT13" s="308" t="str">
        <f>CG13</f>
        <v>ASSETS</v>
      </c>
      <c r="CU13" s="276"/>
      <c r="CV13" s="276"/>
      <c r="CW13" s="276"/>
      <c r="CX13" s="308"/>
      <c r="CY13" s="276"/>
      <c r="CZ13" s="308"/>
      <c r="DA13" s="276"/>
      <c r="DB13" s="308"/>
      <c r="DC13" s="276"/>
      <c r="DF13" s="308"/>
      <c r="DH13" s="276"/>
      <c r="DJ13" s="276"/>
      <c r="DK13" s="308" t="str">
        <f>CT13</f>
        <v>ASSETS</v>
      </c>
      <c r="DL13" s="276"/>
      <c r="DN13" s="276"/>
      <c r="DP13" s="276"/>
      <c r="DR13" s="308"/>
      <c r="DV13" s="308"/>
      <c r="DW13" s="287"/>
      <c r="DX13" s="287"/>
      <c r="DY13" s="276"/>
      <c r="DZ13" s="276"/>
    </row>
    <row r="14" spans="1:131" ht="15.75">
      <c r="A14" s="276"/>
      <c r="B14" s="296" t="str">
        <f>INPUT!B85</f>
        <v xml:space="preserve">     Cash and cash equivalents</v>
      </c>
      <c r="C14" s="292">
        <f>+INPUT!E85</f>
        <v>169067</v>
      </c>
      <c r="D14" s="294"/>
      <c r="E14" s="292">
        <f>+INPUT!F85</f>
        <v>3100</v>
      </c>
      <c r="F14" s="294"/>
      <c r="G14" s="292">
        <f>+INPUT!G85</f>
        <v>61972</v>
      </c>
      <c r="H14" s="294"/>
      <c r="I14" s="292">
        <f>+INPUT!H85</f>
        <v>300039</v>
      </c>
      <c r="J14" s="294"/>
      <c r="K14" s="292">
        <f>INPUT!I85</f>
        <v>52517</v>
      </c>
      <c r="L14" s="294"/>
      <c r="M14" s="296" t="str">
        <f t="shared" si="0"/>
        <v xml:space="preserve">     Cash and cash equivalents</v>
      </c>
      <c r="N14" s="292">
        <f>INPUT!J85</f>
        <v>1445435</v>
      </c>
      <c r="O14" s="294"/>
      <c r="P14" s="292">
        <f>INPUT!K85</f>
        <v>1094</v>
      </c>
      <c r="Q14" s="292"/>
      <c r="R14" s="292">
        <f>INPUT!L85</f>
        <v>18170</v>
      </c>
      <c r="S14" s="292"/>
      <c r="T14" s="292">
        <f>INPUT!M85</f>
        <v>564287</v>
      </c>
      <c r="U14" s="294"/>
      <c r="V14" s="292">
        <f>INPUT!N85</f>
        <v>70785</v>
      </c>
      <c r="W14" s="294"/>
      <c r="X14" s="296" t="str">
        <f t="shared" ref="X14:X33" si="1">B14</f>
        <v xml:space="preserve">     Cash and cash equivalents</v>
      </c>
      <c r="Y14" s="292">
        <f>INPUT!O85</f>
        <v>50718</v>
      </c>
      <c r="Z14" s="294"/>
      <c r="AA14" s="292">
        <f>INPUT!Q85</f>
        <v>155860</v>
      </c>
      <c r="AB14" s="294"/>
      <c r="AC14" s="292">
        <f>+INPUT!R85</f>
        <v>319240</v>
      </c>
      <c r="AD14" s="294"/>
      <c r="AE14" s="292">
        <f>+INPUT!S85</f>
        <v>888450</v>
      </c>
      <c r="AF14" s="294"/>
      <c r="AG14" s="292">
        <f>INPUT!T85</f>
        <v>259</v>
      </c>
      <c r="AH14" s="294"/>
      <c r="AI14" s="296" t="str">
        <f t="shared" ref="AI14:AI33" si="2">B14</f>
        <v xml:space="preserve">     Cash and cash equivalents</v>
      </c>
      <c r="AJ14" s="292">
        <f>+INPUT!U85</f>
        <v>513033</v>
      </c>
      <c r="AK14" s="294"/>
      <c r="AL14" s="292">
        <f>INPUT!V85</f>
        <v>2113</v>
      </c>
      <c r="AM14" s="294"/>
      <c r="AN14" s="292">
        <f>+INPUT!W85</f>
        <v>214169</v>
      </c>
      <c r="AO14" s="294"/>
      <c r="AP14" s="292">
        <f>+INPUT!Y85</f>
        <v>30041</v>
      </c>
      <c r="AQ14" s="308"/>
      <c r="AR14" s="292">
        <f>+INPUT!Z85</f>
        <v>89843</v>
      </c>
      <c r="AS14" s="294"/>
      <c r="AT14" s="296" t="str">
        <f t="shared" ref="AT14:AT33" si="3">B14</f>
        <v xml:space="preserve">     Cash and cash equivalents</v>
      </c>
      <c r="AU14" s="292">
        <f>INPUT!AA85</f>
        <v>83996</v>
      </c>
      <c r="AV14" s="308"/>
      <c r="AW14" s="292">
        <f>INPUT!AB85</f>
        <v>1400316</v>
      </c>
      <c r="AX14" s="308"/>
      <c r="AY14" s="292">
        <f>INPUT!AC85</f>
        <v>200598</v>
      </c>
      <c r="AZ14" s="308"/>
      <c r="BA14" s="292">
        <f>INPUT!AD85</f>
        <v>23621</v>
      </c>
      <c r="BC14" s="292">
        <f>+INPUT!AE85</f>
        <v>69215</v>
      </c>
      <c r="BF14" s="294"/>
      <c r="BG14" s="296" t="str">
        <f t="shared" ref="BG14:BG33" si="4">+B14</f>
        <v xml:space="preserve">     Cash and cash equivalents</v>
      </c>
      <c r="BH14" s="292">
        <f>INPUT!AF85</f>
        <v>17802</v>
      </c>
      <c r="BI14" s="296"/>
      <c r="BJ14" s="292">
        <f>INPUT!AG85</f>
        <v>354862</v>
      </c>
      <c r="BL14" s="292">
        <f>+INPUT!AH85</f>
        <v>213046</v>
      </c>
      <c r="BN14" s="292">
        <f>+INPUT!AI85</f>
        <v>18326</v>
      </c>
      <c r="BO14" s="294"/>
      <c r="BP14" s="292">
        <f>+INPUT!AJ85</f>
        <v>52447</v>
      </c>
      <c r="BQ14" s="294"/>
      <c r="BS14" s="294"/>
      <c r="BT14" s="296" t="str">
        <f t="shared" ref="BT14:BT33" si="5">B14</f>
        <v xml:space="preserve">     Cash and cash equivalents</v>
      </c>
      <c r="BU14" s="292">
        <f>+INPUT!AK85</f>
        <v>4843</v>
      </c>
      <c r="BV14" s="296"/>
      <c r="BW14" s="292">
        <f>+INPUT!AL85</f>
        <v>29835</v>
      </c>
      <c r="BX14" s="294"/>
      <c r="BY14" s="292">
        <f>+INPUT!AM85</f>
        <v>33500</v>
      </c>
      <c r="BZ14" s="294"/>
      <c r="CA14" s="292">
        <f>+INPUT!AN85</f>
        <v>141432</v>
      </c>
      <c r="CB14" s="294"/>
      <c r="CC14" s="292">
        <f>+INPUT!AO85</f>
        <v>0</v>
      </c>
      <c r="CD14" s="294"/>
      <c r="CF14" s="294"/>
      <c r="CG14" s="296" t="str">
        <f t="shared" ref="CG14:CG33" si="6">M14</f>
        <v xml:space="preserve">     Cash and cash equivalents</v>
      </c>
      <c r="CH14" s="292">
        <f>+INPUT!AP85</f>
        <v>1406989</v>
      </c>
      <c r="CI14" s="296"/>
      <c r="CJ14" s="292">
        <f>+INPUT!AQ85</f>
        <v>732323</v>
      </c>
      <c r="CK14" s="294"/>
      <c r="CL14" s="292">
        <f>+INPUT!AR85</f>
        <v>0</v>
      </c>
      <c r="CM14" s="308"/>
      <c r="CN14" s="292">
        <f>+INPUT!AS85</f>
        <v>81342</v>
      </c>
      <c r="CO14" s="308"/>
      <c r="CP14" s="292">
        <f>+INPUT!AT85</f>
        <v>551388</v>
      </c>
      <c r="CQ14" s="308"/>
      <c r="CS14" s="294"/>
      <c r="CT14" s="296" t="str">
        <f t="shared" ref="CT14:CT33" si="7">X14</f>
        <v xml:space="preserve">     Cash and cash equivalents</v>
      </c>
      <c r="CU14" s="292">
        <f>INPUT!AU85</f>
        <v>0</v>
      </c>
      <c r="CV14" s="292"/>
      <c r="CW14" s="292">
        <f>+INPUT!AV85</f>
        <v>0</v>
      </c>
      <c r="CX14" s="296"/>
      <c r="CY14" s="292">
        <f>+INPUT!AX85</f>
        <v>0</v>
      </c>
      <c r="CZ14" s="308"/>
      <c r="DA14" s="292">
        <f>INPUT!AY85</f>
        <v>0</v>
      </c>
      <c r="DB14" s="308"/>
      <c r="DC14" s="292">
        <f>+INPUT!AZ85</f>
        <v>14754</v>
      </c>
      <c r="DF14" s="308"/>
      <c r="DH14" s="294"/>
      <c r="DJ14" s="294"/>
      <c r="DK14" s="296" t="str">
        <f t="shared" ref="DK14:DK33" si="8">AI14</f>
        <v xml:space="preserve">     Cash and cash equivalents</v>
      </c>
      <c r="DL14" s="292">
        <f>+INPUT!BA85</f>
        <v>0</v>
      </c>
      <c r="DN14" s="292"/>
      <c r="DP14" s="292">
        <f>+INPUT!BD85</f>
        <v>0</v>
      </c>
      <c r="DR14" s="308"/>
      <c r="DV14" s="308"/>
      <c r="DW14" s="287"/>
      <c r="DX14" s="287"/>
      <c r="DY14" s="292"/>
      <c r="DZ14" s="292">
        <f>SUM(C14:DY14)</f>
        <v>10380827</v>
      </c>
    </row>
    <row r="15" spans="1:131" ht="15.75">
      <c r="A15" s="276"/>
      <c r="B15" s="296" t="str">
        <f>INPUT!B86</f>
        <v xml:space="preserve">     Investments </v>
      </c>
      <c r="C15" s="294">
        <f>+INPUT!E86+INPUT!E100</f>
        <v>32292</v>
      </c>
      <c r="D15" s="296"/>
      <c r="E15" s="294">
        <f>+INPUT!F86+INPUT!F100</f>
        <v>592</v>
      </c>
      <c r="F15" s="296"/>
      <c r="G15" s="294">
        <f>+INPUT!G86+INPUT!G100</f>
        <v>11837</v>
      </c>
      <c r="H15" s="296"/>
      <c r="I15" s="294">
        <f>+INPUT!H86+INPUT!H100</f>
        <v>57308</v>
      </c>
      <c r="J15" s="296"/>
      <c r="K15" s="294">
        <f>INPUT!I86+INPUT!I100</f>
        <v>10031</v>
      </c>
      <c r="L15" s="296"/>
      <c r="M15" s="296" t="str">
        <f t="shared" si="0"/>
        <v xml:space="preserve">     Investments </v>
      </c>
      <c r="N15" s="294">
        <f>INPUT!J86+INPUT!J100</f>
        <v>276081</v>
      </c>
      <c r="O15" s="296"/>
      <c r="P15" s="294">
        <f>INPUT!K86+INPUT!K100</f>
        <v>209</v>
      </c>
      <c r="Q15" s="294"/>
      <c r="R15" s="294">
        <f>INPUT!L86+INPUT!L100</f>
        <v>3470</v>
      </c>
      <c r="S15" s="294"/>
      <c r="T15" s="294">
        <f>INPUT!M86+INPUT!M100</f>
        <v>107780</v>
      </c>
      <c r="U15" s="296"/>
      <c r="V15" s="294">
        <f>INPUT!N86+INPUT!N100</f>
        <v>13520</v>
      </c>
      <c r="W15" s="296"/>
      <c r="X15" s="296" t="str">
        <f t="shared" si="1"/>
        <v xml:space="preserve">     Investments </v>
      </c>
      <c r="Y15" s="294">
        <f>INPUT!O86+INPUT!O100</f>
        <v>9687</v>
      </c>
      <c r="Z15" s="296"/>
      <c r="AA15" s="294">
        <f>INPUT!Q86+INPUT!Q100</f>
        <v>29769</v>
      </c>
      <c r="AB15" s="296"/>
      <c r="AC15" s="294">
        <f>+INPUT!R86+INPUT!R100</f>
        <v>60975</v>
      </c>
      <c r="AD15" s="296"/>
      <c r="AE15" s="294">
        <f>+INPUT!S86+INPUT!S100</f>
        <v>169696</v>
      </c>
      <c r="AF15" s="296"/>
      <c r="AG15" s="294">
        <f>INPUT!T86+INPUT!T100</f>
        <v>49</v>
      </c>
      <c r="AH15" s="296"/>
      <c r="AI15" s="296" t="str">
        <f t="shared" si="2"/>
        <v xml:space="preserve">     Investments </v>
      </c>
      <c r="AJ15" s="294">
        <f>+INPUT!U86+INPUT!U100</f>
        <v>97990</v>
      </c>
      <c r="AK15" s="296"/>
      <c r="AL15" s="294">
        <f>INPUT!V86+INPUT!V100</f>
        <v>404</v>
      </c>
      <c r="AM15" s="296"/>
      <c r="AN15" s="294">
        <f>+INPUT!W86+INPUT!W100</f>
        <v>40907</v>
      </c>
      <c r="AO15" s="296"/>
      <c r="AP15" s="294">
        <f>+INPUT!Y86+INPUT!Y100</f>
        <v>5738</v>
      </c>
      <c r="AQ15" s="308"/>
      <c r="AR15" s="294">
        <f>+INPUT!Z86+INPUT!Z100</f>
        <v>17160</v>
      </c>
      <c r="AS15" s="296"/>
      <c r="AT15" s="296" t="str">
        <f t="shared" si="3"/>
        <v xml:space="preserve">     Investments </v>
      </c>
      <c r="AU15" s="294">
        <f>INPUT!AA86+INPUT!AA100</f>
        <v>16043</v>
      </c>
      <c r="AV15" s="308"/>
      <c r="AW15" s="294">
        <f>INPUT!AB86+INPUT!AB100</f>
        <v>267463</v>
      </c>
      <c r="AX15" s="308"/>
      <c r="AY15" s="294">
        <f>INPUT!AC86+INPUT!AC100</f>
        <v>38315</v>
      </c>
      <c r="AZ15" s="308"/>
      <c r="BA15" s="294">
        <f>INPUT!AD86+INPUT!AD100</f>
        <v>4512</v>
      </c>
      <c r="BC15" s="294">
        <f>+INPUT!AE86+INPUT!AE100</f>
        <v>13220</v>
      </c>
      <c r="BF15" s="296"/>
      <c r="BG15" s="296" t="str">
        <f t="shared" si="4"/>
        <v xml:space="preserve">     Investments </v>
      </c>
      <c r="BH15" s="294">
        <f>INPUT!AF86+INPUT!AF100</f>
        <v>3400</v>
      </c>
      <c r="BI15" s="296"/>
      <c r="BJ15" s="294">
        <f>INPUT!AG86+INPUT!AG100</f>
        <v>67779</v>
      </c>
      <c r="BL15" s="294">
        <f>+INPUT!AH86+INPUT!AH100</f>
        <v>40692</v>
      </c>
      <c r="BN15" s="294">
        <f>+INPUT!AI86+INPUT!AI100</f>
        <v>3500</v>
      </c>
      <c r="BO15" s="296"/>
      <c r="BP15" s="294">
        <f>+INPUT!AJ86+INPUT!AJ100</f>
        <v>10017</v>
      </c>
      <c r="BQ15" s="296"/>
      <c r="BS15" s="296"/>
      <c r="BT15" s="296" t="str">
        <f t="shared" si="5"/>
        <v xml:space="preserve">     Investments </v>
      </c>
      <c r="BU15" s="294">
        <f>+INPUT!AK86+INPUT!AK100</f>
        <v>925</v>
      </c>
      <c r="BV15" s="296"/>
      <c r="BW15" s="294">
        <f>+INPUT!AL86+INPUT!AL100</f>
        <v>5699</v>
      </c>
      <c r="BX15" s="296"/>
      <c r="BY15" s="294">
        <f>+INPUT!AM86+INPUT!AM100</f>
        <v>6399</v>
      </c>
      <c r="BZ15" s="296"/>
      <c r="CA15" s="294">
        <f>+INPUT!AN86+INPUT!AN100</f>
        <v>27014</v>
      </c>
      <c r="CB15" s="296"/>
      <c r="CC15" s="294">
        <f>+INPUT!AO86+INPUT!AO100</f>
        <v>0</v>
      </c>
      <c r="CD15" s="296"/>
      <c r="CF15" s="296"/>
      <c r="CG15" s="296" t="str">
        <f t="shared" si="6"/>
        <v xml:space="preserve">     Investments </v>
      </c>
      <c r="CH15" s="294">
        <f>+INPUT!AP86+INPUT!AP100</f>
        <v>268738</v>
      </c>
      <c r="CI15" s="296"/>
      <c r="CJ15" s="294">
        <f>+INPUT!AQ86+INPUT!AQ100</f>
        <v>139875</v>
      </c>
      <c r="CK15" s="296"/>
      <c r="CL15" s="294">
        <f>+INPUT!AR86+INPUT!AR100</f>
        <v>0</v>
      </c>
      <c r="CM15" s="308"/>
      <c r="CN15" s="294">
        <f>+INPUT!AS86+INPUT!AS100</f>
        <v>15537</v>
      </c>
      <c r="CO15" s="308"/>
      <c r="CP15" s="294">
        <f>+INPUT!AT86+INPUT!AT100</f>
        <v>105316</v>
      </c>
      <c r="CQ15" s="308"/>
      <c r="CS15" s="296"/>
      <c r="CT15" s="296" t="str">
        <f t="shared" si="7"/>
        <v xml:space="preserve">     Investments </v>
      </c>
      <c r="CU15" s="294">
        <f>INPUT!AU86+INPUT!AU100</f>
        <v>0</v>
      </c>
      <c r="CV15" s="294"/>
      <c r="CW15" s="294">
        <f>+INPUT!AV86+INPUT!AV100</f>
        <v>0</v>
      </c>
      <c r="CX15" s="296"/>
      <c r="CY15" s="294">
        <f>+INPUT!AX86+INPUT!AX100</f>
        <v>0</v>
      </c>
      <c r="CZ15" s="308"/>
      <c r="DA15" s="294">
        <f>INPUT!AY86+INPUT!AY100</f>
        <v>0</v>
      </c>
      <c r="DB15" s="308"/>
      <c r="DC15" s="294">
        <f>+INPUT!AZ86+INPUT!AZ100</f>
        <v>2818</v>
      </c>
      <c r="DF15" s="308"/>
      <c r="DH15" s="296"/>
      <c r="DJ15" s="296"/>
      <c r="DK15" s="296" t="str">
        <f t="shared" si="8"/>
        <v xml:space="preserve">     Investments </v>
      </c>
      <c r="DL15" s="294">
        <f>+INPUT!BA86+INPUT!BA100</f>
        <v>0</v>
      </c>
      <c r="DN15" s="294"/>
      <c r="DP15" s="294">
        <f>+INPUT!BD86</f>
        <v>0</v>
      </c>
      <c r="DR15" s="308"/>
      <c r="DV15" s="308"/>
      <c r="DW15" s="287"/>
      <c r="DX15" s="287"/>
      <c r="DY15" s="294"/>
      <c r="DZ15" s="294">
        <f>SUM(C15:DY15)</f>
        <v>1982757</v>
      </c>
    </row>
    <row r="16" spans="1:131" ht="15.75">
      <c r="A16" s="276"/>
      <c r="B16" s="296" t="str">
        <f>INPUT!B87</f>
        <v xml:space="preserve">     Receivables (net of allowance):</v>
      </c>
      <c r="C16" s="294"/>
      <c r="D16" s="296"/>
      <c r="E16" s="294"/>
      <c r="F16" s="296"/>
      <c r="G16" s="294"/>
      <c r="H16" s="296"/>
      <c r="I16" s="294"/>
      <c r="J16" s="296"/>
      <c r="K16" s="294"/>
      <c r="L16" s="296"/>
      <c r="M16" s="296" t="str">
        <f t="shared" si="0"/>
        <v xml:space="preserve">     Receivables (net of allowance):</v>
      </c>
      <c r="N16" s="294"/>
      <c r="O16" s="296"/>
      <c r="P16" s="294"/>
      <c r="Q16" s="294"/>
      <c r="R16" s="294"/>
      <c r="S16" s="294"/>
      <c r="T16" s="294"/>
      <c r="U16" s="296"/>
      <c r="V16" s="294"/>
      <c r="W16" s="296"/>
      <c r="X16" s="296" t="str">
        <f t="shared" si="1"/>
        <v xml:space="preserve">     Receivables (net of allowance):</v>
      </c>
      <c r="Y16" s="294"/>
      <c r="Z16" s="296"/>
      <c r="AA16" s="294"/>
      <c r="AB16" s="296"/>
      <c r="AC16" s="294"/>
      <c r="AD16" s="296"/>
      <c r="AE16" s="294"/>
      <c r="AF16" s="296"/>
      <c r="AG16" s="294"/>
      <c r="AH16" s="296"/>
      <c r="AI16" s="296" t="str">
        <f t="shared" si="2"/>
        <v xml:space="preserve">     Receivables (net of allowance):</v>
      </c>
      <c r="AJ16" s="294"/>
      <c r="AK16" s="296"/>
      <c r="AL16" s="294"/>
      <c r="AM16" s="296"/>
      <c r="AN16" s="294"/>
      <c r="AO16" s="296"/>
      <c r="AP16" s="294"/>
      <c r="AQ16" s="308"/>
      <c r="AR16" s="294"/>
      <c r="AS16" s="296"/>
      <c r="AT16" s="296" t="str">
        <f t="shared" si="3"/>
        <v xml:space="preserve">     Receivables (net of allowance):</v>
      </c>
      <c r="AU16" s="294"/>
      <c r="AV16" s="308"/>
      <c r="AW16" s="294"/>
      <c r="AX16" s="308"/>
      <c r="AY16" s="294"/>
      <c r="AZ16" s="308"/>
      <c r="BA16" s="294"/>
      <c r="BC16" s="294"/>
      <c r="BF16" s="296"/>
      <c r="BG16" s="296" t="str">
        <f t="shared" si="4"/>
        <v xml:space="preserve">     Receivables (net of allowance):</v>
      </c>
      <c r="BH16" s="294"/>
      <c r="BI16" s="296"/>
      <c r="BJ16" s="294"/>
      <c r="BL16" s="294"/>
      <c r="BN16" s="294"/>
      <c r="BO16" s="296"/>
      <c r="BP16" s="294"/>
      <c r="BQ16" s="296"/>
      <c r="BS16" s="296"/>
      <c r="BT16" s="296" t="str">
        <f t="shared" si="5"/>
        <v xml:space="preserve">     Receivables (net of allowance):</v>
      </c>
      <c r="BU16" s="294"/>
      <c r="BV16" s="296"/>
      <c r="BW16" s="294"/>
      <c r="BX16" s="296"/>
      <c r="BY16" s="294"/>
      <c r="BZ16" s="296"/>
      <c r="CA16" s="294"/>
      <c r="CB16" s="296"/>
      <c r="CC16" s="294"/>
      <c r="CD16" s="296"/>
      <c r="CF16" s="296"/>
      <c r="CG16" s="296" t="str">
        <f t="shared" si="6"/>
        <v xml:space="preserve">     Receivables (net of allowance):</v>
      </c>
      <c r="CH16" s="294"/>
      <c r="CI16" s="296"/>
      <c r="CJ16" s="294"/>
      <c r="CK16" s="296"/>
      <c r="CL16" s="294"/>
      <c r="CM16" s="308"/>
      <c r="CN16" s="294"/>
      <c r="CO16" s="308"/>
      <c r="CP16" s="294"/>
      <c r="CQ16" s="308"/>
      <c r="CS16" s="296"/>
      <c r="CT16" s="296" t="str">
        <f t="shared" si="7"/>
        <v xml:space="preserve">     Receivables (net of allowance):</v>
      </c>
      <c r="CU16" s="294"/>
      <c r="CV16" s="294"/>
      <c r="CW16" s="294"/>
      <c r="CX16" s="296"/>
      <c r="CY16" s="294"/>
      <c r="CZ16" s="308"/>
      <c r="DA16" s="294"/>
      <c r="DB16" s="308"/>
      <c r="DC16" s="294"/>
      <c r="DF16" s="308"/>
      <c r="DH16" s="296"/>
      <c r="DJ16" s="296"/>
      <c r="DK16" s="296" t="str">
        <f t="shared" si="8"/>
        <v xml:space="preserve">     Receivables (net of allowance):</v>
      </c>
      <c r="DL16" s="294"/>
      <c r="DN16" s="294"/>
      <c r="DP16" s="294"/>
      <c r="DR16" s="308"/>
      <c r="DV16" s="308"/>
      <c r="DW16" s="287"/>
      <c r="DX16" s="287"/>
      <c r="DY16" s="294"/>
      <c r="DZ16" s="294"/>
    </row>
    <row r="17" spans="1:130" ht="15.75">
      <c r="A17" s="276"/>
      <c r="B17" s="296" t="str">
        <f>INPUT!B88</f>
        <v xml:space="preserve">          Taxes/assessments</v>
      </c>
      <c r="C17" s="294">
        <f>+INPUT!E88</f>
        <v>0</v>
      </c>
      <c r="D17" s="296"/>
      <c r="E17" s="294">
        <f>+INPUT!F88</f>
        <v>277</v>
      </c>
      <c r="F17" s="296"/>
      <c r="G17" s="294">
        <f>+INPUT!G88</f>
        <v>7744</v>
      </c>
      <c r="H17" s="296"/>
      <c r="I17" s="294">
        <f>+INPUT!H88</f>
        <v>30251</v>
      </c>
      <c r="J17" s="296"/>
      <c r="K17" s="294">
        <f>INPUT!I88</f>
        <v>2881</v>
      </c>
      <c r="L17" s="296"/>
      <c r="M17" s="296" t="str">
        <f t="shared" si="0"/>
        <v xml:space="preserve">          Taxes/assessments</v>
      </c>
      <c r="N17" s="294">
        <f>INPUT!J88</f>
        <v>68875</v>
      </c>
      <c r="O17" s="296"/>
      <c r="P17" s="294">
        <f>INPUT!K88</f>
        <v>67</v>
      </c>
      <c r="Q17" s="294"/>
      <c r="R17" s="294">
        <f>INPUT!L88</f>
        <v>3879</v>
      </c>
      <c r="S17" s="294"/>
      <c r="T17" s="294">
        <f>INPUT!M88</f>
        <v>45701</v>
      </c>
      <c r="U17" s="296"/>
      <c r="V17" s="294">
        <f>INPUT!N88</f>
        <v>3894</v>
      </c>
      <c r="W17" s="296"/>
      <c r="X17" s="296" t="str">
        <f t="shared" si="1"/>
        <v xml:space="preserve">          Taxes/assessments</v>
      </c>
      <c r="Y17" s="294">
        <f>INPUT!O88</f>
        <v>405</v>
      </c>
      <c r="Z17" s="296"/>
      <c r="AA17" s="294">
        <f>INPUT!Q88</f>
        <v>38716</v>
      </c>
      <c r="AB17" s="296"/>
      <c r="AC17" s="294">
        <f>+INPUT!R88</f>
        <v>9535</v>
      </c>
      <c r="AD17" s="296"/>
      <c r="AE17" s="294">
        <f>+INPUT!S88</f>
        <v>6179</v>
      </c>
      <c r="AF17" s="296"/>
      <c r="AG17" s="294">
        <f>INPUT!T88</f>
        <v>53</v>
      </c>
      <c r="AH17" s="296"/>
      <c r="AI17" s="296" t="str">
        <f t="shared" si="2"/>
        <v xml:space="preserve">          Taxes/assessments</v>
      </c>
      <c r="AJ17" s="294">
        <f>+INPUT!U88</f>
        <v>31675</v>
      </c>
      <c r="AK17" s="296"/>
      <c r="AL17" s="294">
        <f>INPUT!V88</f>
        <v>4460</v>
      </c>
      <c r="AM17" s="296"/>
      <c r="AN17" s="294">
        <f>+INPUT!W88</f>
        <v>5558</v>
      </c>
      <c r="AO17" s="296"/>
      <c r="AP17" s="294">
        <f>+INPUT!Y88</f>
        <v>0</v>
      </c>
      <c r="AQ17" s="308"/>
      <c r="AR17" s="294">
        <f>+INPUT!Z88</f>
        <v>0</v>
      </c>
      <c r="AS17" s="296"/>
      <c r="AT17" s="296" t="str">
        <f t="shared" si="3"/>
        <v xml:space="preserve">          Taxes/assessments</v>
      </c>
      <c r="AU17" s="294">
        <f>INPUT!AA88</f>
        <v>0</v>
      </c>
      <c r="AV17" s="308"/>
      <c r="AW17" s="294">
        <f>INPUT!AB88</f>
        <v>101110</v>
      </c>
      <c r="AX17" s="308"/>
      <c r="AY17" s="294">
        <f>INPUT!AC88</f>
        <v>0</v>
      </c>
      <c r="AZ17" s="308"/>
      <c r="BA17" s="294">
        <f>INPUT!AD88</f>
        <v>0</v>
      </c>
      <c r="BC17" s="294">
        <f>+INPUT!AE88</f>
        <v>0</v>
      </c>
      <c r="BF17" s="296"/>
      <c r="BG17" s="296" t="str">
        <f t="shared" si="4"/>
        <v xml:space="preserve">          Taxes/assessments</v>
      </c>
      <c r="BH17" s="294">
        <f>INPUT!AF88</f>
        <v>0</v>
      </c>
      <c r="BI17" s="296"/>
      <c r="BJ17" s="294">
        <f>INPUT!AG88</f>
        <v>0</v>
      </c>
      <c r="BL17" s="294">
        <f>+INPUT!AH88</f>
        <v>0</v>
      </c>
      <c r="BN17" s="294">
        <f>+INPUT!AI88</f>
        <v>0</v>
      </c>
      <c r="BO17" s="296"/>
      <c r="BP17" s="294">
        <f>+INPUT!AJ88</f>
        <v>0</v>
      </c>
      <c r="BQ17" s="296"/>
      <c r="BS17" s="296"/>
      <c r="BT17" s="296" t="str">
        <f t="shared" si="5"/>
        <v xml:space="preserve">          Taxes/assessments</v>
      </c>
      <c r="BU17" s="294">
        <f>+INPUT!AK88</f>
        <v>0</v>
      </c>
      <c r="BV17" s="296"/>
      <c r="BW17" s="294">
        <f>+INPUT!AL88</f>
        <v>0</v>
      </c>
      <c r="BX17" s="296"/>
      <c r="BY17" s="294">
        <f>+INPUT!AM88</f>
        <v>0</v>
      </c>
      <c r="BZ17" s="296"/>
      <c r="CA17" s="294">
        <f>+INPUT!AN88</f>
        <v>0</v>
      </c>
      <c r="CB17" s="296"/>
      <c r="CC17" s="294">
        <f>+INPUT!AO88</f>
        <v>0</v>
      </c>
      <c r="CD17" s="296"/>
      <c r="CF17" s="296"/>
      <c r="CG17" s="296" t="str">
        <f t="shared" si="6"/>
        <v xml:space="preserve">          Taxes/assessments</v>
      </c>
      <c r="CH17" s="294">
        <f>+INPUT!AP88</f>
        <v>0</v>
      </c>
      <c r="CI17" s="296"/>
      <c r="CJ17" s="294">
        <f>+INPUT!AQ88</f>
        <v>0</v>
      </c>
      <c r="CK17" s="296"/>
      <c r="CL17" s="294">
        <f>+INPUT!AR88</f>
        <v>0</v>
      </c>
      <c r="CM17" s="308"/>
      <c r="CN17" s="294">
        <f>+INPUT!AS88</f>
        <v>0</v>
      </c>
      <c r="CO17" s="308"/>
      <c r="CP17" s="294">
        <f>+INPUT!AT88</f>
        <v>0</v>
      </c>
      <c r="CQ17" s="308"/>
      <c r="CS17" s="296"/>
      <c r="CT17" s="296" t="str">
        <f t="shared" si="7"/>
        <v xml:space="preserve">          Taxes/assessments</v>
      </c>
      <c r="CU17" s="294">
        <f>INPUT!AU88</f>
        <v>0</v>
      </c>
      <c r="CV17" s="294"/>
      <c r="CW17" s="294">
        <f>+INPUT!AV88</f>
        <v>0</v>
      </c>
      <c r="CX17" s="296"/>
      <c r="CY17" s="294">
        <f>+INPUT!AX88</f>
        <v>0</v>
      </c>
      <c r="CZ17" s="308"/>
      <c r="DA17" s="294">
        <f>INPUT!AY88</f>
        <v>0</v>
      </c>
      <c r="DB17" s="308"/>
      <c r="DC17" s="294">
        <f>+INPUT!AZ88</f>
        <v>0</v>
      </c>
      <c r="DF17" s="308"/>
      <c r="DH17" s="296"/>
      <c r="DJ17" s="296"/>
      <c r="DK17" s="296" t="str">
        <f t="shared" si="8"/>
        <v xml:space="preserve">          Taxes/assessments</v>
      </c>
      <c r="DL17" s="294">
        <f>+INPUT!BA88</f>
        <v>0</v>
      </c>
      <c r="DN17" s="294"/>
      <c r="DP17" s="294">
        <f>+INPUT!BD88</f>
        <v>0</v>
      </c>
      <c r="DR17" s="308"/>
      <c r="DV17" s="308"/>
      <c r="DW17" s="287"/>
      <c r="DX17" s="287"/>
      <c r="DY17" s="294"/>
      <c r="DZ17" s="294">
        <f t="shared" ref="DZ17:DZ23" si="9">SUM(C17:DY17)</f>
        <v>361260</v>
      </c>
    </row>
    <row r="18" spans="1:130" ht="15.75">
      <c r="A18" s="276"/>
      <c r="B18" s="296" t="str">
        <f>INPUT!B89</f>
        <v xml:space="preserve">          Accounts/contracts</v>
      </c>
      <c r="C18" s="294">
        <f>+INPUT!E89</f>
        <v>0</v>
      </c>
      <c r="D18" s="296"/>
      <c r="E18" s="294">
        <f>+INPUT!F89</f>
        <v>0</v>
      </c>
      <c r="F18" s="296"/>
      <c r="G18" s="294">
        <f>+INPUT!G89</f>
        <v>0</v>
      </c>
      <c r="H18" s="296"/>
      <c r="I18" s="294">
        <f>+INPUT!H89</f>
        <v>0</v>
      </c>
      <c r="J18" s="296"/>
      <c r="K18" s="294">
        <f>INPUT!I89</f>
        <v>4500</v>
      </c>
      <c r="L18" s="296"/>
      <c r="M18" s="296" t="str">
        <f t="shared" si="0"/>
        <v xml:space="preserve">          Accounts/contracts</v>
      </c>
      <c r="N18" s="294">
        <f>INPUT!J89</f>
        <v>0</v>
      </c>
      <c r="O18" s="296"/>
      <c r="P18" s="294">
        <f>INPUT!K89</f>
        <v>0</v>
      </c>
      <c r="Q18" s="294"/>
      <c r="R18" s="294">
        <f>INPUT!L89</f>
        <v>0</v>
      </c>
      <c r="S18" s="294"/>
      <c r="T18" s="294">
        <f>INPUT!M89</f>
        <v>0</v>
      </c>
      <c r="U18" s="296"/>
      <c r="V18" s="294">
        <f>INPUT!N89</f>
        <v>0</v>
      </c>
      <c r="W18" s="296"/>
      <c r="X18" s="296" t="str">
        <f t="shared" si="1"/>
        <v xml:space="preserve">          Accounts/contracts</v>
      </c>
      <c r="Y18" s="294">
        <f>INPUT!O89</f>
        <v>0</v>
      </c>
      <c r="Z18" s="296"/>
      <c r="AA18" s="294">
        <f>INPUT!Q89</f>
        <v>0</v>
      </c>
      <c r="AB18" s="296"/>
      <c r="AC18" s="294">
        <f>+INPUT!R89</f>
        <v>0</v>
      </c>
      <c r="AD18" s="296"/>
      <c r="AE18" s="294">
        <f>+INPUT!S89</f>
        <v>0</v>
      </c>
      <c r="AF18" s="296"/>
      <c r="AG18" s="294">
        <f>INPUT!T89</f>
        <v>0</v>
      </c>
      <c r="AH18" s="296"/>
      <c r="AI18" s="296" t="str">
        <f t="shared" si="2"/>
        <v xml:space="preserve">          Accounts/contracts</v>
      </c>
      <c r="AJ18" s="294">
        <f>+INPUT!U89</f>
        <v>0</v>
      </c>
      <c r="AK18" s="296"/>
      <c r="AL18" s="294">
        <f>INPUT!V89</f>
        <v>0</v>
      </c>
      <c r="AM18" s="296"/>
      <c r="AN18" s="294">
        <f>+INPUT!W89</f>
        <v>0</v>
      </c>
      <c r="AO18" s="296"/>
      <c r="AP18" s="294">
        <f>+INPUT!Y89</f>
        <v>0</v>
      </c>
      <c r="AQ18" s="308"/>
      <c r="AR18" s="294">
        <f>+INPUT!Z89</f>
        <v>0</v>
      </c>
      <c r="AS18" s="296"/>
      <c r="AT18" s="296" t="str">
        <f t="shared" si="3"/>
        <v xml:space="preserve">          Accounts/contracts</v>
      </c>
      <c r="AU18" s="294">
        <f>INPUT!AA89</f>
        <v>0</v>
      </c>
      <c r="AV18" s="308"/>
      <c r="AW18" s="294">
        <f>INPUT!AB89</f>
        <v>0</v>
      </c>
      <c r="AX18" s="308"/>
      <c r="AY18" s="294">
        <f>INPUT!AC89</f>
        <v>0</v>
      </c>
      <c r="AZ18" s="308"/>
      <c r="BA18" s="294">
        <f>INPUT!AD89</f>
        <v>0</v>
      </c>
      <c r="BC18" s="294">
        <f>+INPUT!AE89</f>
        <v>0</v>
      </c>
      <c r="BF18" s="296"/>
      <c r="BG18" s="296" t="str">
        <f t="shared" si="4"/>
        <v xml:space="preserve">          Accounts/contracts</v>
      </c>
      <c r="BH18" s="294">
        <f>INPUT!AF89</f>
        <v>0</v>
      </c>
      <c r="BI18" s="296"/>
      <c r="BJ18" s="294">
        <f>INPUT!AG89</f>
        <v>0</v>
      </c>
      <c r="BL18" s="294">
        <f>+INPUT!AH89</f>
        <v>0</v>
      </c>
      <c r="BN18" s="294">
        <f>+INPUT!AI89</f>
        <v>0</v>
      </c>
      <c r="BO18" s="296"/>
      <c r="BP18" s="294">
        <f>+INPUT!AJ89</f>
        <v>0</v>
      </c>
      <c r="BQ18" s="296"/>
      <c r="BS18" s="296"/>
      <c r="BT18" s="296" t="str">
        <f t="shared" si="5"/>
        <v xml:space="preserve">          Accounts/contracts</v>
      </c>
      <c r="BU18" s="294" t="str">
        <f>IF(+INPUT!AK89&lt;&gt;0,+INPUT!AK89,"-")</f>
        <v>-</v>
      </c>
      <c r="BV18" s="296"/>
      <c r="BW18" s="294" t="str">
        <f>IF(+INPUT!AL89&lt;&gt;0,+INPUT!AL89,"-")</f>
        <v>-</v>
      </c>
      <c r="BX18" s="296"/>
      <c r="BY18" s="294" t="str">
        <f>IF(+INPUT!AM89&lt;&gt;0,+INPUT!AM89,"-")</f>
        <v>-</v>
      </c>
      <c r="BZ18" s="296"/>
      <c r="CA18" s="294" t="str">
        <f>IF(+INPUT!AN89&lt;&gt;0,+INPUT!AN89,"-")</f>
        <v>-</v>
      </c>
      <c r="CB18" s="296"/>
      <c r="CC18" s="294" t="str">
        <f>IF(+INPUT!AO89&lt;&gt;0,+INPUT!AO89,"-")</f>
        <v>-</v>
      </c>
      <c r="CD18" s="296"/>
      <c r="CF18" s="296"/>
      <c r="CG18" s="296" t="str">
        <f t="shared" si="6"/>
        <v xml:space="preserve">          Accounts/contracts</v>
      </c>
      <c r="CH18" s="294" t="str">
        <f>IF(+INPUT!AP89&lt;&gt;0,+INPUT!AP89,"-")</f>
        <v>-</v>
      </c>
      <c r="CI18" s="296"/>
      <c r="CJ18" s="294">
        <f>+INPUT!AQ89</f>
        <v>0</v>
      </c>
      <c r="CK18" s="296"/>
      <c r="CL18" s="294">
        <f>+INPUT!AR89</f>
        <v>0</v>
      </c>
      <c r="CM18" s="308"/>
      <c r="CN18" s="294">
        <f>+INPUT!AS89</f>
        <v>0</v>
      </c>
      <c r="CO18" s="308"/>
      <c r="CP18" s="294">
        <f>+INPUT!AT89</f>
        <v>0</v>
      </c>
      <c r="CQ18" s="308"/>
      <c r="CS18" s="296"/>
      <c r="CT18" s="296" t="str">
        <f t="shared" si="7"/>
        <v xml:space="preserve">          Accounts/contracts</v>
      </c>
      <c r="CU18" s="294">
        <f>INPUT!AU89</f>
        <v>0</v>
      </c>
      <c r="CV18" s="294"/>
      <c r="CW18" s="294">
        <f>+INPUT!AV89</f>
        <v>0</v>
      </c>
      <c r="CX18" s="296"/>
      <c r="CY18" s="294">
        <f>+INPUT!AX89</f>
        <v>0</v>
      </c>
      <c r="CZ18" s="308"/>
      <c r="DA18" s="294">
        <f>INPUT!AY89</f>
        <v>0</v>
      </c>
      <c r="DB18" s="308"/>
      <c r="DC18" s="294">
        <f>+INPUT!AZ89</f>
        <v>0</v>
      </c>
      <c r="DF18" s="308"/>
      <c r="DH18" s="296"/>
      <c r="DJ18" s="296"/>
      <c r="DK18" s="296" t="str">
        <f t="shared" si="8"/>
        <v xml:space="preserve">          Accounts/contracts</v>
      </c>
      <c r="DL18" s="294">
        <f>+INPUT!BA89</f>
        <v>0</v>
      </c>
      <c r="DN18" s="294"/>
      <c r="DP18" s="294">
        <f>+INPUT!BD89</f>
        <v>0</v>
      </c>
      <c r="DR18" s="308"/>
      <c r="DV18" s="308"/>
      <c r="DW18" s="287"/>
      <c r="DX18" s="287"/>
      <c r="DY18" s="294"/>
      <c r="DZ18" s="294">
        <f t="shared" si="9"/>
        <v>4500</v>
      </c>
    </row>
    <row r="19" spans="1:130" ht="15.75" hidden="1" customHeight="1">
      <c r="A19" s="276"/>
      <c r="B19" s="296" t="str">
        <f>INPUT!B90</f>
        <v xml:space="preserve">          Notes receivable</v>
      </c>
      <c r="C19" s="294">
        <f>+INPUT!E90</f>
        <v>0</v>
      </c>
      <c r="D19" s="296"/>
      <c r="E19" s="294">
        <f>+INPUT!F90</f>
        <v>0</v>
      </c>
      <c r="F19" s="296"/>
      <c r="G19" s="294">
        <f>+INPUT!G90</f>
        <v>0</v>
      </c>
      <c r="H19" s="296"/>
      <c r="I19" s="294">
        <f>+INPUT!H90</f>
        <v>0</v>
      </c>
      <c r="J19" s="296"/>
      <c r="K19" s="294">
        <f>INPUT!I90</f>
        <v>0</v>
      </c>
      <c r="L19" s="296"/>
      <c r="M19" s="296" t="str">
        <f t="shared" si="0"/>
        <v xml:space="preserve">          Notes receivable</v>
      </c>
      <c r="N19" s="294">
        <f>INPUT!J90</f>
        <v>0</v>
      </c>
      <c r="O19" s="296"/>
      <c r="P19" s="294">
        <f>INPUT!K90</f>
        <v>0</v>
      </c>
      <c r="Q19" s="294"/>
      <c r="R19" s="294">
        <f>INPUT!L90</f>
        <v>0</v>
      </c>
      <c r="S19" s="294"/>
      <c r="T19" s="294">
        <f>INPUT!M90</f>
        <v>0</v>
      </c>
      <c r="U19" s="296"/>
      <c r="V19" s="294">
        <f>INPUT!N90</f>
        <v>0</v>
      </c>
      <c r="W19" s="296"/>
      <c r="X19" s="296" t="str">
        <f t="shared" si="1"/>
        <v xml:space="preserve">          Notes receivable</v>
      </c>
      <c r="Y19" s="294">
        <f>INPUT!O90</f>
        <v>0</v>
      </c>
      <c r="Z19" s="296"/>
      <c r="AA19" s="294">
        <f>INPUT!Q90</f>
        <v>0</v>
      </c>
      <c r="AB19" s="296"/>
      <c r="AC19" s="294">
        <f>+INPUT!R90</f>
        <v>0</v>
      </c>
      <c r="AD19" s="296"/>
      <c r="AE19" s="294">
        <f>+INPUT!S90</f>
        <v>0</v>
      </c>
      <c r="AF19" s="296"/>
      <c r="AG19" s="294">
        <f>INPUT!T90</f>
        <v>0</v>
      </c>
      <c r="AH19" s="296"/>
      <c r="AI19" s="296" t="str">
        <f t="shared" si="2"/>
        <v xml:space="preserve">          Notes receivable</v>
      </c>
      <c r="AJ19" s="294">
        <f>+INPUT!U90</f>
        <v>0</v>
      </c>
      <c r="AK19" s="296"/>
      <c r="AL19" s="294">
        <f>INPUT!V90</f>
        <v>0</v>
      </c>
      <c r="AM19" s="296"/>
      <c r="AN19" s="294">
        <f>+INPUT!W90</f>
        <v>0</v>
      </c>
      <c r="AO19" s="296"/>
      <c r="AP19" s="294">
        <f>+INPUT!Y90</f>
        <v>0</v>
      </c>
      <c r="AQ19" s="308"/>
      <c r="AR19" s="294">
        <f>+INPUT!Z90</f>
        <v>0</v>
      </c>
      <c r="AS19" s="296"/>
      <c r="AT19" s="296" t="str">
        <f t="shared" si="3"/>
        <v xml:space="preserve">          Notes receivable</v>
      </c>
      <c r="AU19" s="294">
        <f>INPUT!AA90</f>
        <v>0</v>
      </c>
      <c r="AV19" s="308"/>
      <c r="AW19" s="294">
        <f>INPUT!AB90</f>
        <v>0</v>
      </c>
      <c r="AX19" s="308"/>
      <c r="AY19" s="294">
        <f>INPUT!AC90</f>
        <v>0</v>
      </c>
      <c r="AZ19" s="308"/>
      <c r="BA19" s="294">
        <f>INPUT!AD90</f>
        <v>0</v>
      </c>
      <c r="BC19" s="294">
        <f>+INPUT!AE90</f>
        <v>0</v>
      </c>
      <c r="BF19" s="296"/>
      <c r="BG19" s="296" t="str">
        <f t="shared" si="4"/>
        <v xml:space="preserve">          Notes receivable</v>
      </c>
      <c r="BH19" s="294">
        <f>INPUT!AF90</f>
        <v>0</v>
      </c>
      <c r="BI19" s="296"/>
      <c r="BJ19" s="294">
        <f>INPUT!AG90</f>
        <v>0</v>
      </c>
      <c r="BL19" s="294">
        <f>+INPUT!AH90</f>
        <v>0</v>
      </c>
      <c r="BN19" s="294">
        <f>+INPUT!AI90</f>
        <v>0</v>
      </c>
      <c r="BO19" s="296"/>
      <c r="BP19" s="294">
        <f>+INPUT!AJ90</f>
        <v>0</v>
      </c>
      <c r="BQ19" s="296"/>
      <c r="BS19" s="296"/>
      <c r="BT19" s="296" t="str">
        <f t="shared" si="5"/>
        <v xml:space="preserve">          Notes receivable</v>
      </c>
      <c r="BU19" s="294" t="str">
        <f>IF(+INPUT!AK90&lt;&gt;0,+INPUT!AK90,"-")</f>
        <v>-</v>
      </c>
      <c r="BV19" s="296"/>
      <c r="BW19" s="294" t="str">
        <f>IF(+INPUT!AL90&lt;&gt;0,+INPUT!AL90,"-")</f>
        <v>-</v>
      </c>
      <c r="BX19" s="296"/>
      <c r="BY19" s="294" t="str">
        <f>IF(+INPUT!AM90&lt;&gt;0,+INPUT!AM90,"-")</f>
        <v>-</v>
      </c>
      <c r="BZ19" s="296"/>
      <c r="CA19" s="294" t="str">
        <f>IF(+INPUT!AN90&lt;&gt;0,+INPUT!AN90,"-")</f>
        <v>-</v>
      </c>
      <c r="CB19" s="296"/>
      <c r="CC19" s="294" t="str">
        <f>IF(+INPUT!AO90&lt;&gt;0,+INPUT!AO90,"-")</f>
        <v>-</v>
      </c>
      <c r="CD19" s="296"/>
      <c r="CF19" s="296"/>
      <c r="CG19" s="296" t="str">
        <f t="shared" si="6"/>
        <v xml:space="preserve">          Notes receivable</v>
      </c>
      <c r="CH19" s="294" t="str">
        <f>IF(+INPUT!AP90&lt;&gt;0,+INPUT!AP90,"-")</f>
        <v>-</v>
      </c>
      <c r="CI19" s="296"/>
      <c r="CJ19" s="294">
        <f>+INPUT!AQ90</f>
        <v>0</v>
      </c>
      <c r="CK19" s="296"/>
      <c r="CL19" s="294">
        <f>+INPUT!AR90</f>
        <v>0</v>
      </c>
      <c r="CM19" s="308"/>
      <c r="CN19" s="294">
        <f>+INPUT!AS90</f>
        <v>0</v>
      </c>
      <c r="CO19" s="308"/>
      <c r="CP19" s="294">
        <f>+INPUT!AT90</f>
        <v>0</v>
      </c>
      <c r="CQ19" s="308"/>
      <c r="CS19" s="296"/>
      <c r="CT19" s="296" t="str">
        <f t="shared" si="7"/>
        <v xml:space="preserve">          Notes receivable</v>
      </c>
      <c r="CU19" s="294">
        <f>INPUT!AU90</f>
        <v>0</v>
      </c>
      <c r="CV19" s="294"/>
      <c r="CW19" s="294">
        <f>+INPUT!AV90</f>
        <v>0</v>
      </c>
      <c r="CX19" s="296"/>
      <c r="CY19" s="294">
        <f>+INPUT!AX90</f>
        <v>0</v>
      </c>
      <c r="CZ19" s="308"/>
      <c r="DA19" s="294">
        <f>INPUT!AY90</f>
        <v>0</v>
      </c>
      <c r="DB19" s="308"/>
      <c r="DC19" s="294">
        <f>+INPUT!AZ90</f>
        <v>0</v>
      </c>
      <c r="DF19" s="308"/>
      <c r="DH19" s="296"/>
      <c r="DJ19" s="296"/>
      <c r="DK19" s="296" t="str">
        <f t="shared" si="8"/>
        <v xml:space="preserve">          Notes receivable</v>
      </c>
      <c r="DL19" s="294">
        <f>+INPUT!BA90</f>
        <v>0</v>
      </c>
      <c r="DN19" s="294"/>
      <c r="DP19" s="294">
        <f>+INPUT!BD90</f>
        <v>0</v>
      </c>
      <c r="DR19" s="308"/>
      <c r="DV19" s="308"/>
      <c r="DW19" s="287"/>
      <c r="DX19" s="287"/>
      <c r="DY19" s="294"/>
      <c r="DZ19" s="294">
        <f t="shared" si="9"/>
        <v>0</v>
      </c>
    </row>
    <row r="20" spans="1:130" ht="15.75" hidden="1" customHeight="1">
      <c r="A20" s="276"/>
      <c r="B20" s="296" t="str">
        <f>INPUT!B91</f>
        <v xml:space="preserve">          Leases</v>
      </c>
      <c r="C20" s="294">
        <f>+INPUT!E91</f>
        <v>0</v>
      </c>
      <c r="D20" s="296"/>
      <c r="E20" s="294">
        <f>+INPUT!F91</f>
        <v>0</v>
      </c>
      <c r="F20" s="296"/>
      <c r="G20" s="294">
        <f>+INPUT!G91</f>
        <v>0</v>
      </c>
      <c r="H20" s="296"/>
      <c r="I20" s="294">
        <f>+INPUT!H91</f>
        <v>0</v>
      </c>
      <c r="J20" s="296"/>
      <c r="K20" s="294">
        <f>INPUT!I91</f>
        <v>0</v>
      </c>
      <c r="L20" s="296"/>
      <c r="M20" s="296" t="str">
        <f t="shared" ref="M20" si="10">B20</f>
        <v xml:space="preserve">          Leases</v>
      </c>
      <c r="N20" s="294">
        <f>INPUT!J91</f>
        <v>0</v>
      </c>
      <c r="O20" s="296"/>
      <c r="P20" s="294">
        <f>INPUT!K91</f>
        <v>0</v>
      </c>
      <c r="Q20" s="294"/>
      <c r="R20" s="294">
        <f>INPUT!L91</f>
        <v>0</v>
      </c>
      <c r="S20" s="294"/>
      <c r="T20" s="294">
        <f>INPUT!M91</f>
        <v>0</v>
      </c>
      <c r="U20" s="296"/>
      <c r="V20" s="294">
        <f>INPUT!N91</f>
        <v>0</v>
      </c>
      <c r="W20" s="296"/>
      <c r="X20" s="296" t="str">
        <f t="shared" ref="X20" si="11">B20</f>
        <v xml:space="preserve">          Leases</v>
      </c>
      <c r="Y20" s="294">
        <f>INPUT!O91</f>
        <v>0</v>
      </c>
      <c r="Z20" s="296"/>
      <c r="AA20" s="294">
        <f>INPUT!Q91</f>
        <v>0</v>
      </c>
      <c r="AB20" s="296"/>
      <c r="AC20" s="294">
        <f>+INPUT!R91</f>
        <v>0</v>
      </c>
      <c r="AD20" s="296"/>
      <c r="AE20" s="294">
        <f>+INPUT!S91</f>
        <v>0</v>
      </c>
      <c r="AF20" s="296"/>
      <c r="AG20" s="294">
        <f>INPUT!T91</f>
        <v>0</v>
      </c>
      <c r="AH20" s="296"/>
      <c r="AI20" s="296" t="str">
        <f t="shared" ref="AI20" si="12">B20</f>
        <v xml:space="preserve">          Leases</v>
      </c>
      <c r="AJ20" s="294">
        <f>+INPUT!U91</f>
        <v>0</v>
      </c>
      <c r="AK20" s="296"/>
      <c r="AL20" s="294">
        <f>INPUT!V91</f>
        <v>0</v>
      </c>
      <c r="AM20" s="296"/>
      <c r="AN20" s="294">
        <f>+INPUT!W91</f>
        <v>0</v>
      </c>
      <c r="AO20" s="296"/>
      <c r="AP20" s="294">
        <f>+INPUT!Y91</f>
        <v>0</v>
      </c>
      <c r="AQ20" s="308"/>
      <c r="AR20" s="294">
        <f>+INPUT!Z91</f>
        <v>0</v>
      </c>
      <c r="AS20" s="296"/>
      <c r="AT20" s="296" t="str">
        <f t="shared" ref="AT20" si="13">B20</f>
        <v xml:space="preserve">          Leases</v>
      </c>
      <c r="AU20" s="294">
        <f>INPUT!AA91</f>
        <v>0</v>
      </c>
      <c r="AV20" s="308"/>
      <c r="AW20" s="294">
        <f>INPUT!AB91</f>
        <v>0</v>
      </c>
      <c r="AX20" s="308"/>
      <c r="AY20" s="294">
        <f>INPUT!AC91</f>
        <v>0</v>
      </c>
      <c r="AZ20" s="308"/>
      <c r="BA20" s="294">
        <f>INPUT!AD91</f>
        <v>0</v>
      </c>
      <c r="BC20" s="294">
        <f>+INPUT!AE91</f>
        <v>0</v>
      </c>
      <c r="BF20" s="296"/>
      <c r="BG20" s="296" t="str">
        <f t="shared" ref="BG20" si="14">+B20</f>
        <v xml:space="preserve">          Leases</v>
      </c>
      <c r="BH20" s="294">
        <f>INPUT!AF91</f>
        <v>0</v>
      </c>
      <c r="BI20" s="296"/>
      <c r="BJ20" s="294">
        <f>INPUT!AG91</f>
        <v>0</v>
      </c>
      <c r="BL20" s="294">
        <f>+INPUT!AH91</f>
        <v>0</v>
      </c>
      <c r="BN20" s="294">
        <f>+INPUT!AI91</f>
        <v>0</v>
      </c>
      <c r="BO20" s="296"/>
      <c r="BP20" s="294">
        <f>+INPUT!AJ91</f>
        <v>0</v>
      </c>
      <c r="BQ20" s="296"/>
      <c r="BS20" s="296"/>
      <c r="BT20" s="296" t="str">
        <f t="shared" ref="BT20" si="15">B20</f>
        <v xml:space="preserve">          Leases</v>
      </c>
      <c r="BU20" s="294" t="str">
        <f>IF(+INPUT!AK91&lt;&gt;0,+INPUT!AK91,"-")</f>
        <v>-</v>
      </c>
      <c r="BV20" s="296"/>
      <c r="BW20" s="294" t="str">
        <f>IF(+INPUT!AL91&lt;&gt;0,+INPUT!AL91,"-")</f>
        <v>-</v>
      </c>
      <c r="BX20" s="296"/>
      <c r="BY20" s="294" t="str">
        <f>IF(+INPUT!AM91&lt;&gt;0,+INPUT!AM91,"-")</f>
        <v>-</v>
      </c>
      <c r="BZ20" s="296"/>
      <c r="CA20" s="294" t="str">
        <f>IF(+INPUT!AN91&lt;&gt;0,+INPUT!AN91,"-")</f>
        <v>-</v>
      </c>
      <c r="CB20" s="296"/>
      <c r="CC20" s="294" t="str">
        <f>IF(+INPUT!AO91&lt;&gt;0,+INPUT!AO91,"-")</f>
        <v>-</v>
      </c>
      <c r="CD20" s="296"/>
      <c r="CF20" s="296"/>
      <c r="CG20" s="296" t="str">
        <f t="shared" ref="CG20" si="16">M20</f>
        <v xml:space="preserve">          Leases</v>
      </c>
      <c r="CH20" s="294" t="str">
        <f>IF(+INPUT!AP91&lt;&gt;0,+INPUT!AP91,"-")</f>
        <v>-</v>
      </c>
      <c r="CI20" s="296"/>
      <c r="CJ20" s="294">
        <f>+INPUT!AQ91</f>
        <v>0</v>
      </c>
      <c r="CK20" s="296"/>
      <c r="CL20" s="294">
        <f>+INPUT!AR91</f>
        <v>0</v>
      </c>
      <c r="CM20" s="308"/>
      <c r="CN20" s="294">
        <f>+INPUT!AS91</f>
        <v>0</v>
      </c>
      <c r="CO20" s="308"/>
      <c r="CP20" s="294">
        <f>+INPUT!AT91</f>
        <v>0</v>
      </c>
      <c r="CQ20" s="308"/>
      <c r="CS20" s="296"/>
      <c r="CT20" s="296" t="str">
        <f t="shared" ref="CT20" si="17">X20</f>
        <v xml:space="preserve">          Leases</v>
      </c>
      <c r="CU20" s="294">
        <f>INPUT!AU91</f>
        <v>0</v>
      </c>
      <c r="CV20" s="294"/>
      <c r="CW20" s="294">
        <f>+INPUT!AV91</f>
        <v>0</v>
      </c>
      <c r="CX20" s="296"/>
      <c r="CY20" s="294">
        <f>+INPUT!AX91</f>
        <v>0</v>
      </c>
      <c r="CZ20" s="308"/>
      <c r="DA20" s="294">
        <f>INPUT!AY91</f>
        <v>0</v>
      </c>
      <c r="DB20" s="308"/>
      <c r="DC20" s="294">
        <f>+INPUT!AZ91</f>
        <v>0</v>
      </c>
      <c r="DF20" s="308"/>
      <c r="DH20" s="296"/>
      <c r="DJ20" s="296"/>
      <c r="DK20" s="296" t="str">
        <f t="shared" ref="DK20" si="18">AI20</f>
        <v xml:space="preserve">          Leases</v>
      </c>
      <c r="DL20" s="294">
        <f>+INPUT!BA91</f>
        <v>0</v>
      </c>
      <c r="DN20" s="294"/>
      <c r="DP20" s="294">
        <f>+INPUT!BD91</f>
        <v>0</v>
      </c>
      <c r="DR20" s="308"/>
      <c r="DV20" s="308"/>
      <c r="DW20" s="287"/>
      <c r="DX20" s="287"/>
      <c r="DY20" s="294"/>
      <c r="DZ20" s="294">
        <f t="shared" ref="DZ20" si="19">SUM(C20:DY20)</f>
        <v>0</v>
      </c>
    </row>
    <row r="21" spans="1:130" ht="15.75" hidden="1" customHeight="1">
      <c r="A21" s="276" t="s">
        <v>299</v>
      </c>
      <c r="B21" s="296" t="str">
        <f>INPUT!B92</f>
        <v xml:space="preserve">     Due from other funds</v>
      </c>
      <c r="C21" s="294">
        <f>+INPUT!E92</f>
        <v>0</v>
      </c>
      <c r="D21" s="296"/>
      <c r="E21" s="294">
        <f>+INPUT!F92</f>
        <v>0</v>
      </c>
      <c r="F21" s="296"/>
      <c r="G21" s="294">
        <f>+INPUT!G92</f>
        <v>0</v>
      </c>
      <c r="H21" s="296"/>
      <c r="I21" s="294">
        <f>+INPUT!H92</f>
        <v>0</v>
      </c>
      <c r="J21" s="296"/>
      <c r="K21" s="294">
        <f>INPUT!I92</f>
        <v>0</v>
      </c>
      <c r="L21" s="296"/>
      <c r="M21" s="296" t="str">
        <f t="shared" si="0"/>
        <v xml:space="preserve">     Due from other funds</v>
      </c>
      <c r="N21" s="294">
        <f>INPUT!J92</f>
        <v>0</v>
      </c>
      <c r="O21" s="296"/>
      <c r="P21" s="294">
        <f>INPUT!K92</f>
        <v>0</v>
      </c>
      <c r="Q21" s="294"/>
      <c r="R21" s="294">
        <f>INPUT!L92</f>
        <v>0</v>
      </c>
      <c r="S21" s="294"/>
      <c r="T21" s="294">
        <f>INPUT!M92</f>
        <v>0</v>
      </c>
      <c r="U21" s="296"/>
      <c r="V21" s="294">
        <f>INPUT!N92</f>
        <v>0</v>
      </c>
      <c r="W21" s="296"/>
      <c r="X21" s="296" t="str">
        <f t="shared" si="1"/>
        <v xml:space="preserve">     Due from other funds</v>
      </c>
      <c r="Y21" s="294">
        <f>INPUT!O92</f>
        <v>0</v>
      </c>
      <c r="Z21" s="296"/>
      <c r="AA21" s="294">
        <f>INPUT!Q92</f>
        <v>0</v>
      </c>
      <c r="AB21" s="296"/>
      <c r="AC21" s="294">
        <f>+INPUT!R92</f>
        <v>0</v>
      </c>
      <c r="AD21" s="296"/>
      <c r="AE21" s="294">
        <f>+INPUT!S92</f>
        <v>0</v>
      </c>
      <c r="AF21" s="296"/>
      <c r="AG21" s="294">
        <f>INPUT!T92</f>
        <v>0</v>
      </c>
      <c r="AH21" s="296"/>
      <c r="AI21" s="296" t="str">
        <f t="shared" si="2"/>
        <v xml:space="preserve">     Due from other funds</v>
      </c>
      <c r="AJ21" s="294">
        <f>+INPUT!U92</f>
        <v>0</v>
      </c>
      <c r="AK21" s="296"/>
      <c r="AL21" s="294">
        <f>INPUT!V92</f>
        <v>0</v>
      </c>
      <c r="AM21" s="296"/>
      <c r="AN21" s="294">
        <f>+INPUT!W92</f>
        <v>0</v>
      </c>
      <c r="AO21" s="296"/>
      <c r="AP21" s="294">
        <f>+INPUT!Y92</f>
        <v>0</v>
      </c>
      <c r="AQ21" s="308"/>
      <c r="AR21" s="294">
        <f>+INPUT!Z92</f>
        <v>0</v>
      </c>
      <c r="AS21" s="296"/>
      <c r="AT21" s="296" t="str">
        <f t="shared" si="3"/>
        <v xml:space="preserve">     Due from other funds</v>
      </c>
      <c r="AU21" s="294">
        <f>INPUT!AA92</f>
        <v>0</v>
      </c>
      <c r="AV21" s="308"/>
      <c r="AW21" s="294">
        <f>INPUT!AB92</f>
        <v>0</v>
      </c>
      <c r="AX21" s="308"/>
      <c r="AY21" s="294">
        <f>INPUT!AC92</f>
        <v>0</v>
      </c>
      <c r="AZ21" s="308"/>
      <c r="BA21" s="294">
        <f>INPUT!AD92</f>
        <v>0</v>
      </c>
      <c r="BC21" s="294">
        <f>+INPUT!AE92</f>
        <v>0</v>
      </c>
      <c r="BF21" s="296"/>
      <c r="BG21" s="296" t="str">
        <f t="shared" si="4"/>
        <v xml:space="preserve">     Due from other funds</v>
      </c>
      <c r="BH21" s="294">
        <f>INPUT!AF92</f>
        <v>0</v>
      </c>
      <c r="BI21" s="296"/>
      <c r="BJ21" s="294">
        <f>INPUT!AG92</f>
        <v>0</v>
      </c>
      <c r="BL21" s="294">
        <f>+INPUT!AH92</f>
        <v>0</v>
      </c>
      <c r="BN21" s="294">
        <f>+INPUT!AI92</f>
        <v>0</v>
      </c>
      <c r="BO21" s="296"/>
      <c r="BP21" s="294">
        <f>+INPUT!AJ92</f>
        <v>0</v>
      </c>
      <c r="BQ21" s="296"/>
      <c r="BS21" s="296"/>
      <c r="BT21" s="296" t="str">
        <f t="shared" si="5"/>
        <v xml:space="preserve">     Due from other funds</v>
      </c>
      <c r="BU21" s="294" t="str">
        <f>IF(+INPUT!AK92&lt;&gt;0,+INPUT!AK92,"-")</f>
        <v>-</v>
      </c>
      <c r="BV21" s="296"/>
      <c r="BW21" s="294" t="str">
        <f>IF(+INPUT!AL92&lt;&gt;0,+INPUT!AL92,"-")</f>
        <v>-</v>
      </c>
      <c r="BX21" s="296"/>
      <c r="BY21" s="294" t="str">
        <f>IF(+INPUT!AM92&lt;&gt;0,+INPUT!AM92,"-")</f>
        <v>-</v>
      </c>
      <c r="BZ21" s="296"/>
      <c r="CA21" s="294" t="str">
        <f>IF(+INPUT!AN92&lt;&gt;0,+INPUT!AN92,"-")</f>
        <v>-</v>
      </c>
      <c r="CB21" s="296"/>
      <c r="CC21" s="294" t="str">
        <f>IF(+INPUT!AO92&lt;&gt;0,+INPUT!AO92,"-")</f>
        <v>-</v>
      </c>
      <c r="CD21" s="296"/>
      <c r="CF21" s="296"/>
      <c r="CG21" s="296" t="str">
        <f t="shared" si="6"/>
        <v xml:space="preserve">     Due from other funds</v>
      </c>
      <c r="CH21" s="294" t="str">
        <f>IF(+INPUT!AP92&lt;&gt;0,+INPUT!AP92,"-")</f>
        <v>-</v>
      </c>
      <c r="CI21" s="296"/>
      <c r="CJ21" s="294">
        <f>+INPUT!AQ92</f>
        <v>0</v>
      </c>
      <c r="CK21" s="296"/>
      <c r="CL21" s="294">
        <f>+INPUT!AR92</f>
        <v>0</v>
      </c>
      <c r="CM21" s="308"/>
      <c r="CN21" s="294">
        <f>+INPUT!AS92</f>
        <v>0</v>
      </c>
      <c r="CO21" s="308"/>
      <c r="CP21" s="294">
        <f>+INPUT!AT92</f>
        <v>0</v>
      </c>
      <c r="CQ21" s="308"/>
      <c r="CS21" s="296"/>
      <c r="CT21" s="296" t="str">
        <f t="shared" si="7"/>
        <v xml:space="preserve">     Due from other funds</v>
      </c>
      <c r="CU21" s="294">
        <f>INPUT!AU92</f>
        <v>0</v>
      </c>
      <c r="CV21" s="294"/>
      <c r="CW21" s="294">
        <f>+INPUT!AV92</f>
        <v>0</v>
      </c>
      <c r="CX21" s="296"/>
      <c r="CY21" s="294">
        <f>+INPUT!AX92</f>
        <v>0</v>
      </c>
      <c r="CZ21" s="308"/>
      <c r="DA21" s="294">
        <f>INPUT!AY92</f>
        <v>0</v>
      </c>
      <c r="DB21" s="308"/>
      <c r="DC21" s="294">
        <f>+INPUT!AZ92</f>
        <v>0</v>
      </c>
      <c r="DF21" s="308"/>
      <c r="DH21" s="296"/>
      <c r="DJ21" s="296"/>
      <c r="DK21" s="296" t="str">
        <f t="shared" si="8"/>
        <v xml:space="preserve">     Due from other funds</v>
      </c>
      <c r="DL21" s="294">
        <f>+INPUT!BA92</f>
        <v>0</v>
      </c>
      <c r="DN21" s="294"/>
      <c r="DP21" s="294">
        <f>+INPUT!BD92</f>
        <v>0</v>
      </c>
      <c r="DR21" s="308"/>
      <c r="DV21" s="308"/>
      <c r="DW21" s="287"/>
      <c r="DX21" s="287"/>
      <c r="DY21" s="294"/>
      <c r="DZ21" s="294">
        <f t="shared" si="9"/>
        <v>0</v>
      </c>
    </row>
    <row r="22" spans="1:130" ht="15.75">
      <c r="A22" s="276"/>
      <c r="B22" s="296" t="str">
        <f>INPUT!B93</f>
        <v xml:space="preserve">     Due from other governments</v>
      </c>
      <c r="C22" s="294">
        <f>+INPUT!E93</f>
        <v>172353</v>
      </c>
      <c r="D22" s="296"/>
      <c r="E22" s="294">
        <f>+INPUT!F93</f>
        <v>0</v>
      </c>
      <c r="F22" s="296"/>
      <c r="G22" s="294">
        <f>+INPUT!G93</f>
        <v>0</v>
      </c>
      <c r="H22" s="296"/>
      <c r="I22" s="294">
        <f>+INPUT!H93</f>
        <v>0</v>
      </c>
      <c r="J22" s="296"/>
      <c r="K22" s="294">
        <f>INPUT!I93</f>
        <v>124313</v>
      </c>
      <c r="L22" s="296"/>
      <c r="M22" s="296" t="str">
        <f t="shared" si="0"/>
        <v xml:space="preserve">     Due from other governments</v>
      </c>
      <c r="N22" s="294">
        <f>INPUT!J93</f>
        <v>0</v>
      </c>
      <c r="O22" s="296"/>
      <c r="P22" s="294">
        <f>INPUT!K93</f>
        <v>0</v>
      </c>
      <c r="Q22" s="294"/>
      <c r="R22" s="294">
        <f>INPUT!L93</f>
        <v>0</v>
      </c>
      <c r="S22" s="294"/>
      <c r="T22" s="294">
        <f>INPUT!M93</f>
        <v>0</v>
      </c>
      <c r="U22" s="296"/>
      <c r="V22" s="294">
        <f>INPUT!N93</f>
        <v>0</v>
      </c>
      <c r="W22" s="296"/>
      <c r="X22" s="296" t="str">
        <f t="shared" si="1"/>
        <v xml:space="preserve">     Due from other governments</v>
      </c>
      <c r="Y22" s="294">
        <f>INPUT!O93</f>
        <v>0</v>
      </c>
      <c r="Z22" s="296"/>
      <c r="AA22" s="294">
        <f>INPUT!Q93</f>
        <v>0</v>
      </c>
      <c r="AB22" s="296"/>
      <c r="AC22" s="294">
        <f>+INPUT!R93</f>
        <v>0</v>
      </c>
      <c r="AD22" s="296"/>
      <c r="AE22" s="294">
        <f>+INPUT!S93</f>
        <v>0</v>
      </c>
      <c r="AF22" s="296"/>
      <c r="AG22" s="294">
        <f>INPUT!T93</f>
        <v>0</v>
      </c>
      <c r="AH22" s="296"/>
      <c r="AI22" s="296" t="str">
        <f t="shared" si="2"/>
        <v xml:space="preserve">     Due from other governments</v>
      </c>
      <c r="AJ22" s="294">
        <f>+INPUT!U93</f>
        <v>28910</v>
      </c>
      <c r="AK22" s="296"/>
      <c r="AL22" s="294">
        <f>INPUT!V93</f>
        <v>0</v>
      </c>
      <c r="AM22" s="296"/>
      <c r="AN22" s="294">
        <f>+INPUT!W93</f>
        <v>0</v>
      </c>
      <c r="AO22" s="296"/>
      <c r="AP22" s="294">
        <f>+INPUT!Y93</f>
        <v>0</v>
      </c>
      <c r="AQ22" s="308"/>
      <c r="AR22" s="294">
        <f>+INPUT!Z93</f>
        <v>0</v>
      </c>
      <c r="AS22" s="296"/>
      <c r="AT22" s="296" t="str">
        <f t="shared" si="3"/>
        <v xml:space="preserve">     Due from other governments</v>
      </c>
      <c r="AU22" s="294">
        <f>INPUT!AA93</f>
        <v>0</v>
      </c>
      <c r="AV22" s="308"/>
      <c r="AW22" s="294">
        <f>INPUT!AB93</f>
        <v>0</v>
      </c>
      <c r="AX22" s="308"/>
      <c r="AY22" s="294">
        <f>INPUT!AC93</f>
        <v>0</v>
      </c>
      <c r="AZ22" s="308"/>
      <c r="BA22" s="294">
        <f>INPUT!AD93</f>
        <v>0</v>
      </c>
      <c r="BC22" s="294">
        <f>+INPUT!AE93</f>
        <v>0</v>
      </c>
      <c r="BF22" s="296"/>
      <c r="BG22" s="296" t="str">
        <f t="shared" si="4"/>
        <v xml:space="preserve">     Due from other governments</v>
      </c>
      <c r="BH22" s="294">
        <f>INPUT!AF93</f>
        <v>0</v>
      </c>
      <c r="BI22" s="296"/>
      <c r="BJ22" s="294">
        <f>INPUT!AG93</f>
        <v>0</v>
      </c>
      <c r="BL22" s="294">
        <f>+INPUT!AH93</f>
        <v>0</v>
      </c>
      <c r="BN22" s="294">
        <f>+INPUT!AI93</f>
        <v>0</v>
      </c>
      <c r="BO22" s="296"/>
      <c r="BP22" s="294">
        <f>+INPUT!AJ93</f>
        <v>0</v>
      </c>
      <c r="BQ22" s="296"/>
      <c r="BS22" s="296"/>
      <c r="BT22" s="296" t="str">
        <f t="shared" si="5"/>
        <v xml:space="preserve">     Due from other governments</v>
      </c>
      <c r="BU22" s="294" t="str">
        <f>IF(+INPUT!AK93&lt;&gt;0,+INPUT!AK93,"-")</f>
        <v>-</v>
      </c>
      <c r="BV22" s="296"/>
      <c r="BW22" s="294" t="str">
        <f>IF(+INPUT!AL93&lt;&gt;0,+INPUT!AL93,"-")</f>
        <v>-</v>
      </c>
      <c r="BX22" s="296"/>
      <c r="BY22" s="294" t="str">
        <f>IF(+INPUT!AM93&lt;&gt;0,+INPUT!AM93,"-")</f>
        <v>-</v>
      </c>
      <c r="BZ22" s="296"/>
      <c r="CA22" s="294" t="str">
        <f>IF(+INPUT!AN93&lt;&gt;0,+INPUT!AN93,"-")</f>
        <v>-</v>
      </c>
      <c r="CB22" s="296"/>
      <c r="CC22" s="294" t="str">
        <f>IF(+INPUT!AO93&lt;&gt;0,+INPUT!AO93,"-")</f>
        <v>-</v>
      </c>
      <c r="CD22" s="296"/>
      <c r="CF22" s="296"/>
      <c r="CG22" s="296" t="str">
        <f t="shared" si="6"/>
        <v xml:space="preserve">     Due from other governments</v>
      </c>
      <c r="CH22" s="294" t="str">
        <f>IF(+INPUT!AP93&lt;&gt;0,+INPUT!AP93,"-")</f>
        <v>-</v>
      </c>
      <c r="CI22" s="296"/>
      <c r="CJ22" s="294">
        <f>+INPUT!AQ93</f>
        <v>0</v>
      </c>
      <c r="CK22" s="296"/>
      <c r="CL22" s="294">
        <f>+INPUT!AR93</f>
        <v>104504</v>
      </c>
      <c r="CM22" s="308"/>
      <c r="CN22" s="294">
        <f>+INPUT!AS93</f>
        <v>0</v>
      </c>
      <c r="CO22" s="308"/>
      <c r="CP22" s="294">
        <f>+INPUT!AT93</f>
        <v>0</v>
      </c>
      <c r="CQ22" s="308"/>
      <c r="CS22" s="296"/>
      <c r="CT22" s="296" t="str">
        <f t="shared" si="7"/>
        <v xml:space="preserve">     Due from other governments</v>
      </c>
      <c r="CU22" s="294">
        <f>INPUT!AU93</f>
        <v>61190</v>
      </c>
      <c r="CV22" s="294"/>
      <c r="CW22" s="294">
        <f>+INPUT!AV93</f>
        <v>0</v>
      </c>
      <c r="CX22" s="296"/>
      <c r="CY22" s="294">
        <f>+INPUT!AX93</f>
        <v>0</v>
      </c>
      <c r="CZ22" s="308"/>
      <c r="DA22" s="294">
        <f>INPUT!AY93</f>
        <v>0</v>
      </c>
      <c r="DB22" s="308"/>
      <c r="DC22" s="294">
        <f>+INPUT!AZ93</f>
        <v>0</v>
      </c>
      <c r="DF22" s="308"/>
      <c r="DH22" s="296"/>
      <c r="DJ22" s="296"/>
      <c r="DK22" s="296" t="str">
        <f t="shared" si="8"/>
        <v xml:space="preserve">     Due from other governments</v>
      </c>
      <c r="DL22" s="294">
        <f>+INPUT!BA93</f>
        <v>0</v>
      </c>
      <c r="DN22" s="294"/>
      <c r="DP22" s="294">
        <f>+INPUT!BD93</f>
        <v>0</v>
      </c>
      <c r="DR22" s="308"/>
      <c r="DV22" s="308"/>
      <c r="DW22" s="287"/>
      <c r="DX22" s="287"/>
      <c r="DY22" s="294"/>
      <c r="DZ22" s="294">
        <f t="shared" si="9"/>
        <v>491270</v>
      </c>
    </row>
    <row r="23" spans="1:130" ht="15.75">
      <c r="A23" s="276"/>
      <c r="B23" s="296" t="str">
        <f>INPUT!B94</f>
        <v xml:space="preserve">     Inventories</v>
      </c>
      <c r="C23" s="294">
        <f>+INPUT!E94</f>
        <v>0</v>
      </c>
      <c r="D23" s="296"/>
      <c r="E23" s="294">
        <f>+INPUT!F94</f>
        <v>0</v>
      </c>
      <c r="F23" s="296"/>
      <c r="G23" s="294">
        <f>+INPUT!G94</f>
        <v>0</v>
      </c>
      <c r="H23" s="296"/>
      <c r="I23" s="294">
        <f>+INPUT!H94</f>
        <v>0</v>
      </c>
      <c r="J23" s="296"/>
      <c r="K23" s="294">
        <f>INPUT!I94</f>
        <v>0</v>
      </c>
      <c r="L23" s="296"/>
      <c r="M23" s="296" t="str">
        <f t="shared" si="0"/>
        <v xml:space="preserve">     Inventories</v>
      </c>
      <c r="N23" s="294">
        <f>INPUT!J94</f>
        <v>397710</v>
      </c>
      <c r="O23" s="296"/>
      <c r="P23" s="294">
        <f>INPUT!K94</f>
        <v>0</v>
      </c>
      <c r="Q23" s="294"/>
      <c r="R23" s="294">
        <f>INPUT!L94</f>
        <v>0</v>
      </c>
      <c r="S23" s="294"/>
      <c r="T23" s="294">
        <f>INPUT!M94</f>
        <v>0</v>
      </c>
      <c r="U23" s="296"/>
      <c r="V23" s="294">
        <f>INPUT!N94</f>
        <v>0</v>
      </c>
      <c r="W23" s="296"/>
      <c r="X23" s="296" t="str">
        <f t="shared" si="1"/>
        <v xml:space="preserve">     Inventories</v>
      </c>
      <c r="Y23" s="294">
        <f>INPUT!O94</f>
        <v>0</v>
      </c>
      <c r="Z23" s="296"/>
      <c r="AA23" s="294">
        <f>INPUT!Q94</f>
        <v>0</v>
      </c>
      <c r="AB23" s="296"/>
      <c r="AC23" s="294">
        <f>+INPUT!R94</f>
        <v>0</v>
      </c>
      <c r="AD23" s="296"/>
      <c r="AE23" s="294">
        <f>+INPUT!S94</f>
        <v>0</v>
      </c>
      <c r="AF23" s="296"/>
      <c r="AG23" s="294">
        <f>INPUT!T94</f>
        <v>0</v>
      </c>
      <c r="AH23" s="296"/>
      <c r="AI23" s="296" t="str">
        <f t="shared" si="2"/>
        <v xml:space="preserve">     Inventories</v>
      </c>
      <c r="AJ23" s="294">
        <f>+INPUT!U94</f>
        <v>76413</v>
      </c>
      <c r="AK23" s="296"/>
      <c r="AL23" s="294">
        <f>INPUT!V94</f>
        <v>0</v>
      </c>
      <c r="AM23" s="296"/>
      <c r="AN23" s="294">
        <f>+INPUT!W94</f>
        <v>0</v>
      </c>
      <c r="AO23" s="296"/>
      <c r="AP23" s="294">
        <f>+INPUT!Y94</f>
        <v>0</v>
      </c>
      <c r="AQ23" s="308"/>
      <c r="AR23" s="294">
        <f>+INPUT!Z94</f>
        <v>0</v>
      </c>
      <c r="AS23" s="296"/>
      <c r="AT23" s="296" t="str">
        <f t="shared" si="3"/>
        <v xml:space="preserve">     Inventories</v>
      </c>
      <c r="AU23" s="294">
        <f>INPUT!AA94</f>
        <v>0</v>
      </c>
      <c r="AV23" s="308"/>
      <c r="AW23" s="294">
        <f>INPUT!AB94</f>
        <v>0</v>
      </c>
      <c r="AX23" s="308"/>
      <c r="AY23" s="294">
        <f>INPUT!AC94</f>
        <v>0</v>
      </c>
      <c r="AZ23" s="308"/>
      <c r="BA23" s="294">
        <f>INPUT!AD94</f>
        <v>0</v>
      </c>
      <c r="BC23" s="294">
        <f>+INPUT!AE94</f>
        <v>0</v>
      </c>
      <c r="BF23" s="296"/>
      <c r="BG23" s="296" t="str">
        <f t="shared" si="4"/>
        <v xml:space="preserve">     Inventories</v>
      </c>
      <c r="BH23" s="294">
        <f>INPUT!AF94</f>
        <v>0</v>
      </c>
      <c r="BI23" s="296"/>
      <c r="BJ23" s="294">
        <f>INPUT!AG94</f>
        <v>0</v>
      </c>
      <c r="BL23" s="294">
        <f>+INPUT!AH94</f>
        <v>0</v>
      </c>
      <c r="BN23" s="294">
        <f>+INPUT!AI94</f>
        <v>0</v>
      </c>
      <c r="BO23" s="296"/>
      <c r="BP23" s="294">
        <f>+INPUT!AJ94</f>
        <v>0</v>
      </c>
      <c r="BQ23" s="296"/>
      <c r="BS23" s="296"/>
      <c r="BT23" s="296" t="str">
        <f t="shared" si="5"/>
        <v xml:space="preserve">     Inventories</v>
      </c>
      <c r="BU23" s="294" t="str">
        <f>IF(+INPUT!AK94&lt;&gt;0,+INPUT!AK94,"-")</f>
        <v>-</v>
      </c>
      <c r="BV23" s="296"/>
      <c r="BW23" s="294" t="str">
        <f>IF(+INPUT!AL94&lt;&gt;0,+INPUT!AL94,"-")</f>
        <v>-</v>
      </c>
      <c r="BX23" s="296"/>
      <c r="BY23" s="294" t="str">
        <f>IF(+INPUT!AM94&lt;&gt;0,+INPUT!AM94,"-")</f>
        <v>-</v>
      </c>
      <c r="BZ23" s="296"/>
      <c r="CA23" s="294" t="str">
        <f>IF(+INPUT!AN94&lt;&gt;0,+INPUT!AN94,"-")</f>
        <v>-</v>
      </c>
      <c r="CB23" s="296"/>
      <c r="CC23" s="294" t="str">
        <f>IF(+INPUT!AO94&lt;&gt;0,+INPUT!AO94,"-")</f>
        <v>-</v>
      </c>
      <c r="CD23" s="296"/>
      <c r="CF23" s="296"/>
      <c r="CG23" s="296" t="str">
        <f t="shared" si="6"/>
        <v xml:space="preserve">     Inventories</v>
      </c>
      <c r="CH23" s="294" t="str">
        <f>IF(+INPUT!AP94&lt;&gt;0,+INPUT!AP94,"-")</f>
        <v>-</v>
      </c>
      <c r="CI23" s="296"/>
      <c r="CJ23" s="294">
        <f>+INPUT!AQ94</f>
        <v>0</v>
      </c>
      <c r="CK23" s="296"/>
      <c r="CL23" s="294">
        <f>+INPUT!AR94</f>
        <v>0</v>
      </c>
      <c r="CM23" s="308"/>
      <c r="CN23" s="294">
        <f>+INPUT!AS94</f>
        <v>0</v>
      </c>
      <c r="CO23" s="308"/>
      <c r="CP23" s="294">
        <f>+INPUT!AT94</f>
        <v>0</v>
      </c>
      <c r="CQ23" s="308"/>
      <c r="CS23" s="296"/>
      <c r="CT23" s="296" t="str">
        <f t="shared" si="7"/>
        <v xml:space="preserve">     Inventories</v>
      </c>
      <c r="CU23" s="294">
        <f>INPUT!AU94</f>
        <v>0</v>
      </c>
      <c r="CV23" s="294"/>
      <c r="CW23" s="294">
        <f>+INPUT!AV94</f>
        <v>0</v>
      </c>
      <c r="CX23" s="296"/>
      <c r="CY23" s="294">
        <f>+INPUT!AX94</f>
        <v>0</v>
      </c>
      <c r="CZ23" s="308"/>
      <c r="DA23" s="294">
        <f>INPUT!AY94</f>
        <v>0</v>
      </c>
      <c r="DB23" s="308"/>
      <c r="DC23" s="294">
        <f>+INPUT!AZ94</f>
        <v>0</v>
      </c>
      <c r="DF23" s="308"/>
      <c r="DH23" s="296"/>
      <c r="DJ23" s="296"/>
      <c r="DK23" s="296" t="str">
        <f t="shared" si="8"/>
        <v xml:space="preserve">     Inventories</v>
      </c>
      <c r="DL23" s="294">
        <f>+INPUT!BA94</f>
        <v>0</v>
      </c>
      <c r="DN23" s="294"/>
      <c r="DP23" s="294">
        <f>+INPUT!BD94</f>
        <v>0</v>
      </c>
      <c r="DR23" s="308"/>
      <c r="DV23" s="308"/>
      <c r="DW23" s="287"/>
      <c r="DX23" s="287"/>
      <c r="DY23" s="294"/>
      <c r="DZ23" s="294">
        <f t="shared" si="9"/>
        <v>474123</v>
      </c>
    </row>
    <row r="24" spans="1:130" ht="15.75">
      <c r="A24" s="276"/>
      <c r="B24" s="296" t="str">
        <f>INPUT!B96</f>
        <v>Noncurrent assets:</v>
      </c>
      <c r="C24" s="294"/>
      <c r="D24" s="296"/>
      <c r="E24" s="294"/>
      <c r="F24" s="296"/>
      <c r="G24" s="294"/>
      <c r="H24" s="296"/>
      <c r="I24" s="294"/>
      <c r="J24" s="296"/>
      <c r="K24" s="294"/>
      <c r="L24" s="296"/>
      <c r="M24" s="296" t="str">
        <f t="shared" si="0"/>
        <v>Noncurrent assets:</v>
      </c>
      <c r="N24" s="294"/>
      <c r="O24" s="296"/>
      <c r="P24" s="294"/>
      <c r="Q24" s="294"/>
      <c r="R24" s="294"/>
      <c r="S24" s="294"/>
      <c r="T24" s="294"/>
      <c r="U24" s="296"/>
      <c r="V24" s="294"/>
      <c r="W24" s="296"/>
      <c r="X24" s="296" t="str">
        <f t="shared" si="1"/>
        <v>Noncurrent assets:</v>
      </c>
      <c r="Y24" s="294"/>
      <c r="Z24" s="296"/>
      <c r="AA24" s="294"/>
      <c r="AB24" s="296"/>
      <c r="AC24" s="294"/>
      <c r="AD24" s="296"/>
      <c r="AE24" s="294"/>
      <c r="AF24" s="296"/>
      <c r="AG24" s="294"/>
      <c r="AH24" s="296"/>
      <c r="AI24" s="296" t="str">
        <f t="shared" si="2"/>
        <v>Noncurrent assets:</v>
      </c>
      <c r="AJ24" s="294"/>
      <c r="AK24" s="296"/>
      <c r="AL24" s="294"/>
      <c r="AM24" s="296"/>
      <c r="AN24" s="294"/>
      <c r="AO24" s="296"/>
      <c r="AP24" s="294"/>
      <c r="AQ24" s="308"/>
      <c r="AR24" s="294"/>
      <c r="AS24" s="296"/>
      <c r="AT24" s="296" t="str">
        <f t="shared" si="3"/>
        <v>Noncurrent assets:</v>
      </c>
      <c r="AU24" s="294"/>
      <c r="AV24" s="308"/>
      <c r="AW24" s="294"/>
      <c r="AX24" s="308"/>
      <c r="AY24" s="294"/>
      <c r="AZ24" s="308"/>
      <c r="BA24" s="294"/>
      <c r="BC24" s="294"/>
      <c r="BF24" s="296"/>
      <c r="BG24" s="296" t="str">
        <f t="shared" si="4"/>
        <v>Noncurrent assets:</v>
      </c>
      <c r="BH24" s="294"/>
      <c r="BI24" s="296"/>
      <c r="BJ24" s="294"/>
      <c r="BL24" s="294"/>
      <c r="BN24" s="294"/>
      <c r="BO24" s="296"/>
      <c r="BP24" s="294"/>
      <c r="BQ24" s="296"/>
      <c r="BS24" s="296"/>
      <c r="BT24" s="296" t="str">
        <f t="shared" si="5"/>
        <v>Noncurrent assets:</v>
      </c>
      <c r="BU24" s="294"/>
      <c r="BV24" s="296"/>
      <c r="BW24" s="294"/>
      <c r="BX24" s="296"/>
      <c r="BY24" s="294"/>
      <c r="BZ24" s="296"/>
      <c r="CA24" s="294"/>
      <c r="CB24" s="296"/>
      <c r="CC24" s="294"/>
      <c r="CD24" s="296"/>
      <c r="CF24" s="296"/>
      <c r="CG24" s="296" t="str">
        <f t="shared" si="6"/>
        <v>Noncurrent assets:</v>
      </c>
      <c r="CH24" s="294"/>
      <c r="CI24" s="296"/>
      <c r="CJ24" s="294"/>
      <c r="CK24" s="296"/>
      <c r="CL24" s="294"/>
      <c r="CM24" s="308"/>
      <c r="CN24" s="294"/>
      <c r="CO24" s="308"/>
      <c r="CP24" s="294"/>
      <c r="CQ24" s="308"/>
      <c r="CS24" s="296"/>
      <c r="CT24" s="296" t="str">
        <f t="shared" si="7"/>
        <v>Noncurrent assets:</v>
      </c>
      <c r="CU24" s="294"/>
      <c r="CV24" s="294"/>
      <c r="CW24" s="294"/>
      <c r="CX24" s="296"/>
      <c r="CY24" s="294"/>
      <c r="CZ24" s="308"/>
      <c r="DA24" s="294"/>
      <c r="DB24" s="308"/>
      <c r="DC24" s="294"/>
      <c r="DF24" s="308"/>
      <c r="DH24" s="296"/>
      <c r="DJ24" s="296"/>
      <c r="DK24" s="296" t="str">
        <f t="shared" si="8"/>
        <v>Noncurrent assets:</v>
      </c>
      <c r="DL24" s="294"/>
      <c r="DN24" s="294"/>
      <c r="DP24" s="294"/>
      <c r="DR24" s="308"/>
      <c r="DV24" s="308"/>
      <c r="DW24" s="287"/>
      <c r="DX24" s="287"/>
      <c r="DY24" s="294"/>
      <c r="DZ24" s="294"/>
    </row>
    <row r="25" spans="1:130" ht="15.75">
      <c r="A25" s="276"/>
      <c r="B25" s="296" t="str">
        <f>INPUT!B97</f>
        <v xml:space="preserve">     Restricted assets:</v>
      </c>
      <c r="C25" s="294"/>
      <c r="D25" s="296"/>
      <c r="E25" s="294"/>
      <c r="F25" s="296"/>
      <c r="G25" s="294"/>
      <c r="H25" s="296"/>
      <c r="I25" s="294"/>
      <c r="J25" s="296"/>
      <c r="K25" s="294"/>
      <c r="L25" s="296"/>
      <c r="M25" s="296" t="str">
        <f t="shared" si="0"/>
        <v xml:space="preserve">     Restricted assets:</v>
      </c>
      <c r="N25" s="294"/>
      <c r="O25" s="296"/>
      <c r="P25" s="294"/>
      <c r="Q25" s="294"/>
      <c r="R25" s="294"/>
      <c r="S25" s="294"/>
      <c r="T25" s="294"/>
      <c r="U25" s="296"/>
      <c r="V25" s="294"/>
      <c r="W25" s="296"/>
      <c r="X25" s="296" t="str">
        <f t="shared" si="1"/>
        <v xml:space="preserve">     Restricted assets:</v>
      </c>
      <c r="Y25" s="294"/>
      <c r="Z25" s="296"/>
      <c r="AA25" s="294"/>
      <c r="AB25" s="296"/>
      <c r="AC25" s="294"/>
      <c r="AD25" s="296"/>
      <c r="AE25" s="294"/>
      <c r="AF25" s="296"/>
      <c r="AG25" s="294"/>
      <c r="AH25" s="296"/>
      <c r="AI25" s="296" t="str">
        <f t="shared" si="2"/>
        <v xml:space="preserve">     Restricted assets:</v>
      </c>
      <c r="AJ25" s="294"/>
      <c r="AK25" s="296"/>
      <c r="AL25" s="294"/>
      <c r="AM25" s="296"/>
      <c r="AN25" s="294"/>
      <c r="AO25" s="296"/>
      <c r="AP25" s="294"/>
      <c r="AQ25" s="308"/>
      <c r="AR25" s="294"/>
      <c r="AS25" s="296"/>
      <c r="AT25" s="296" t="str">
        <f t="shared" si="3"/>
        <v xml:space="preserve">     Restricted assets:</v>
      </c>
      <c r="AU25" s="294"/>
      <c r="AV25" s="308"/>
      <c r="AW25" s="294"/>
      <c r="AX25" s="308"/>
      <c r="AY25" s="294"/>
      <c r="AZ25" s="308"/>
      <c r="BA25" s="294"/>
      <c r="BC25" s="294"/>
      <c r="BF25" s="296"/>
      <c r="BG25" s="296" t="str">
        <f t="shared" si="4"/>
        <v xml:space="preserve">     Restricted assets:</v>
      </c>
      <c r="BH25" s="294"/>
      <c r="BI25" s="296"/>
      <c r="BJ25" s="294"/>
      <c r="BL25" s="294"/>
      <c r="BN25" s="294"/>
      <c r="BO25" s="296"/>
      <c r="BP25" s="294"/>
      <c r="BQ25" s="296"/>
      <c r="BS25" s="296"/>
      <c r="BT25" s="296" t="str">
        <f t="shared" si="5"/>
        <v xml:space="preserve">     Restricted assets:</v>
      </c>
      <c r="BU25" s="294"/>
      <c r="BV25" s="296"/>
      <c r="BW25" s="294"/>
      <c r="BX25" s="296"/>
      <c r="BY25" s="294"/>
      <c r="BZ25" s="296"/>
      <c r="CA25" s="294"/>
      <c r="CB25" s="296"/>
      <c r="CC25" s="294"/>
      <c r="CD25" s="296"/>
      <c r="CF25" s="296"/>
      <c r="CG25" s="296" t="str">
        <f t="shared" si="6"/>
        <v xml:space="preserve">     Restricted assets:</v>
      </c>
      <c r="CH25" s="294"/>
      <c r="CI25" s="296"/>
      <c r="CJ25" s="294"/>
      <c r="CK25" s="296"/>
      <c r="CL25" s="294"/>
      <c r="CM25" s="308"/>
      <c r="CN25" s="294"/>
      <c r="CO25" s="308"/>
      <c r="CP25" s="294"/>
      <c r="CQ25" s="308"/>
      <c r="CS25" s="296"/>
      <c r="CT25" s="296" t="str">
        <f t="shared" si="7"/>
        <v xml:space="preserve">     Restricted assets:</v>
      </c>
      <c r="CU25" s="294"/>
      <c r="CV25" s="294"/>
      <c r="CW25" s="294"/>
      <c r="CX25" s="296"/>
      <c r="CY25" s="294"/>
      <c r="CZ25" s="308"/>
      <c r="DA25" s="294"/>
      <c r="DB25" s="308"/>
      <c r="DC25" s="294"/>
      <c r="DF25" s="308"/>
      <c r="DH25" s="296"/>
      <c r="DJ25" s="296"/>
      <c r="DK25" s="296" t="str">
        <f t="shared" si="8"/>
        <v xml:space="preserve">     Restricted assets:</v>
      </c>
      <c r="DL25" s="294"/>
      <c r="DN25" s="294"/>
      <c r="DP25" s="294"/>
      <c r="DR25" s="308"/>
      <c r="DV25" s="308"/>
      <c r="DW25" s="287"/>
      <c r="DX25" s="287"/>
      <c r="DY25" s="294"/>
      <c r="DZ25" s="294"/>
    </row>
    <row r="26" spans="1:130" ht="15.75">
      <c r="A26" s="276"/>
      <c r="B26" s="296" t="str">
        <f>INPUT!B98</f>
        <v xml:space="preserve">          Cash and cash equivalents</v>
      </c>
      <c r="C26" s="294">
        <f>+INPUT!E98</f>
        <v>0</v>
      </c>
      <c r="D26" s="296"/>
      <c r="E26" s="294">
        <f>+INPUT!F98</f>
        <v>0</v>
      </c>
      <c r="F26" s="296"/>
      <c r="G26" s="294">
        <f>+INPUT!G98</f>
        <v>0</v>
      </c>
      <c r="H26" s="296"/>
      <c r="I26" s="294">
        <f>+INPUT!H98</f>
        <v>0</v>
      </c>
      <c r="J26" s="296"/>
      <c r="K26" s="294">
        <f>INPUT!I98</f>
        <v>0</v>
      </c>
      <c r="L26" s="296"/>
      <c r="M26" s="296" t="str">
        <f t="shared" si="0"/>
        <v xml:space="preserve">          Cash and cash equivalents</v>
      </c>
      <c r="N26" s="294">
        <f>INPUT!J98</f>
        <v>0</v>
      </c>
      <c r="O26" s="296"/>
      <c r="P26" s="294">
        <f>INPUT!K98</f>
        <v>0</v>
      </c>
      <c r="Q26" s="294"/>
      <c r="R26" s="294">
        <f>INPUT!L98</f>
        <v>0</v>
      </c>
      <c r="S26" s="294"/>
      <c r="T26" s="294">
        <f>INPUT!M98</f>
        <v>0</v>
      </c>
      <c r="U26" s="296"/>
      <c r="V26" s="294">
        <f>INPUT!N98</f>
        <v>0</v>
      </c>
      <c r="W26" s="296"/>
      <c r="X26" s="296" t="str">
        <f t="shared" si="1"/>
        <v xml:space="preserve">          Cash and cash equivalents</v>
      </c>
      <c r="Y26" s="294">
        <f>INPUT!O98</f>
        <v>0</v>
      </c>
      <c r="Z26" s="296"/>
      <c r="AA26" s="294">
        <f>INPUT!Q98</f>
        <v>0</v>
      </c>
      <c r="AB26" s="296"/>
      <c r="AC26" s="294">
        <f>+INPUT!R98</f>
        <v>0</v>
      </c>
      <c r="AD26" s="296"/>
      <c r="AE26" s="294">
        <f>+INPUT!S98</f>
        <v>0</v>
      </c>
      <c r="AF26" s="296"/>
      <c r="AG26" s="294">
        <f>INPUT!T98</f>
        <v>0</v>
      </c>
      <c r="AH26" s="296"/>
      <c r="AI26" s="296" t="str">
        <f t="shared" si="2"/>
        <v xml:space="preserve">          Cash and cash equivalents</v>
      </c>
      <c r="AJ26" s="294">
        <f>+INPUT!U98</f>
        <v>0</v>
      </c>
      <c r="AK26" s="296"/>
      <c r="AL26" s="294">
        <f>INPUT!V98</f>
        <v>0</v>
      </c>
      <c r="AM26" s="296"/>
      <c r="AN26" s="294">
        <f>+INPUT!W98</f>
        <v>0</v>
      </c>
      <c r="AO26" s="296"/>
      <c r="AP26" s="294">
        <f>+INPUT!Y98</f>
        <v>0</v>
      </c>
      <c r="AQ26" s="308"/>
      <c r="AR26" s="294">
        <f>+INPUT!Z98</f>
        <v>0</v>
      </c>
      <c r="AS26" s="296"/>
      <c r="AT26" s="296" t="str">
        <f t="shared" si="3"/>
        <v xml:space="preserve">          Cash and cash equivalents</v>
      </c>
      <c r="AU26" s="294">
        <f>INPUT!AA98</f>
        <v>0</v>
      </c>
      <c r="AV26" s="308"/>
      <c r="AW26" s="294">
        <f>INPUT!AB98</f>
        <v>0</v>
      </c>
      <c r="AX26" s="308"/>
      <c r="AY26" s="294">
        <f>INPUT!AC98</f>
        <v>0</v>
      </c>
      <c r="AZ26" s="308"/>
      <c r="BA26" s="294">
        <f>INPUT!AD98</f>
        <v>0</v>
      </c>
      <c r="BC26" s="294">
        <f>+INPUT!AE98</f>
        <v>0</v>
      </c>
      <c r="BF26" s="296"/>
      <c r="BG26" s="296" t="str">
        <f t="shared" si="4"/>
        <v xml:space="preserve">          Cash and cash equivalents</v>
      </c>
      <c r="BH26" s="294">
        <f>INPUT!AF98</f>
        <v>0</v>
      </c>
      <c r="BI26" s="296"/>
      <c r="BJ26" s="294">
        <f>INPUT!AG98</f>
        <v>0</v>
      </c>
      <c r="BL26" s="294">
        <f>+INPUT!AH98</f>
        <v>0</v>
      </c>
      <c r="BN26" s="294">
        <f>+INPUT!AI98</f>
        <v>0</v>
      </c>
      <c r="BO26" s="296"/>
      <c r="BP26" s="294">
        <f>+INPUT!AJ98</f>
        <v>0</v>
      </c>
      <c r="BQ26" s="296"/>
      <c r="BS26" s="296"/>
      <c r="BT26" s="296" t="str">
        <f t="shared" si="5"/>
        <v xml:space="preserve">          Cash and cash equivalents</v>
      </c>
      <c r="BU26" s="294">
        <f>+INPUT!AK98</f>
        <v>0</v>
      </c>
      <c r="BV26" s="296"/>
      <c r="BW26" s="294">
        <f>+INPUT!AL98</f>
        <v>0</v>
      </c>
      <c r="BX26" s="296"/>
      <c r="BY26" s="294">
        <f>+INPUT!AM98</f>
        <v>0</v>
      </c>
      <c r="BZ26" s="296"/>
      <c r="CA26" s="294">
        <f>+INPUT!AN98</f>
        <v>0</v>
      </c>
      <c r="CB26" s="296"/>
      <c r="CC26" s="294">
        <f>+INPUT!AO98</f>
        <v>0</v>
      </c>
      <c r="CD26" s="296"/>
      <c r="CF26" s="296"/>
      <c r="CG26" s="296" t="str">
        <f t="shared" si="6"/>
        <v xml:space="preserve">          Cash and cash equivalents</v>
      </c>
      <c r="CH26" s="294">
        <f>+INPUT!AP98</f>
        <v>0</v>
      </c>
      <c r="CI26" s="296"/>
      <c r="CJ26" s="294">
        <f>+INPUT!AQ98</f>
        <v>0</v>
      </c>
      <c r="CK26" s="296"/>
      <c r="CL26" s="294">
        <f>+INPUT!AR98</f>
        <v>0</v>
      </c>
      <c r="CM26" s="308"/>
      <c r="CN26" s="294">
        <f>+INPUT!AS98</f>
        <v>0</v>
      </c>
      <c r="CO26" s="308"/>
      <c r="CP26" s="294">
        <f>+INPUT!AT98</f>
        <v>0</v>
      </c>
      <c r="CQ26" s="308"/>
      <c r="CS26" s="296"/>
      <c r="CT26" s="296" t="str">
        <f t="shared" si="7"/>
        <v xml:space="preserve">          Cash and cash equivalents</v>
      </c>
      <c r="CU26" s="294">
        <f>INPUT!AU98</f>
        <v>0</v>
      </c>
      <c r="CV26" s="294"/>
      <c r="CW26" s="294">
        <f>+INPUT!AV98</f>
        <v>0</v>
      </c>
      <c r="CX26" s="296"/>
      <c r="CY26" s="294">
        <f>+INPUT!AX98</f>
        <v>0</v>
      </c>
      <c r="CZ26" s="308"/>
      <c r="DA26" s="294">
        <f>INPUT!AY98</f>
        <v>0</v>
      </c>
      <c r="DB26" s="308"/>
      <c r="DC26" s="294">
        <f>+INPUT!AZ98</f>
        <v>0</v>
      </c>
      <c r="DF26" s="308"/>
      <c r="DH26" s="296"/>
      <c r="DJ26" s="296"/>
      <c r="DK26" s="296" t="str">
        <f t="shared" si="8"/>
        <v xml:space="preserve">          Cash and cash equivalents</v>
      </c>
      <c r="DL26" s="294">
        <f>+INPUT!BA98</f>
        <v>0</v>
      </c>
      <c r="DN26" s="294"/>
      <c r="DP26" s="294">
        <f>+INPUT!BD98</f>
        <v>20819</v>
      </c>
      <c r="DR26" s="308"/>
      <c r="DV26" s="308"/>
      <c r="DW26" s="287"/>
      <c r="DX26" s="287"/>
      <c r="DY26" s="294"/>
      <c r="DZ26" s="294">
        <f t="shared" ref="DZ26:DZ35" si="20">SUM(C26:DY26)</f>
        <v>20819</v>
      </c>
    </row>
    <row r="27" spans="1:130" ht="15.75">
      <c r="A27" s="276"/>
      <c r="B27" s="296" t="str">
        <f>INPUT!B99</f>
        <v xml:space="preserve">          Investments</v>
      </c>
      <c r="C27" s="294">
        <f>+INPUT!E99</f>
        <v>0</v>
      </c>
      <c r="D27" s="296"/>
      <c r="E27" s="294">
        <f>+INPUT!F99</f>
        <v>0</v>
      </c>
      <c r="F27" s="296"/>
      <c r="G27" s="294">
        <f>+INPUT!G99</f>
        <v>0</v>
      </c>
      <c r="H27" s="296"/>
      <c r="I27" s="294">
        <f>+INPUT!H99</f>
        <v>0</v>
      </c>
      <c r="J27" s="296"/>
      <c r="K27" s="294">
        <f>INPUT!I99</f>
        <v>0</v>
      </c>
      <c r="L27" s="296"/>
      <c r="M27" s="296" t="str">
        <f t="shared" si="0"/>
        <v xml:space="preserve">          Investments</v>
      </c>
      <c r="N27" s="294">
        <f>INPUT!J99</f>
        <v>0</v>
      </c>
      <c r="O27" s="296"/>
      <c r="P27" s="294">
        <f>INPUT!K99</f>
        <v>0</v>
      </c>
      <c r="Q27" s="294"/>
      <c r="R27" s="294">
        <f>INPUT!L99</f>
        <v>0</v>
      </c>
      <c r="S27" s="294"/>
      <c r="T27" s="294">
        <f>INPUT!M99</f>
        <v>0</v>
      </c>
      <c r="U27" s="296"/>
      <c r="V27" s="294">
        <f>INPUT!N99</f>
        <v>0</v>
      </c>
      <c r="W27" s="296"/>
      <c r="X27" s="296" t="str">
        <f t="shared" si="1"/>
        <v xml:space="preserve">          Investments</v>
      </c>
      <c r="Y27" s="294">
        <f>INPUT!O99</f>
        <v>0</v>
      </c>
      <c r="Z27" s="296"/>
      <c r="AA27" s="294">
        <f>INPUT!Q99</f>
        <v>0</v>
      </c>
      <c r="AB27" s="296"/>
      <c r="AC27" s="294">
        <f>+INPUT!R99</f>
        <v>0</v>
      </c>
      <c r="AD27" s="296"/>
      <c r="AE27" s="294">
        <f>+INPUT!S99</f>
        <v>0</v>
      </c>
      <c r="AF27" s="296"/>
      <c r="AG27" s="294">
        <f>INPUT!T99</f>
        <v>0</v>
      </c>
      <c r="AH27" s="296"/>
      <c r="AI27" s="296" t="str">
        <f t="shared" si="2"/>
        <v xml:space="preserve">          Investments</v>
      </c>
      <c r="AJ27" s="294">
        <f>+INPUT!U99</f>
        <v>0</v>
      </c>
      <c r="AK27" s="296"/>
      <c r="AL27" s="294">
        <f>INPUT!V99</f>
        <v>0</v>
      </c>
      <c r="AM27" s="296"/>
      <c r="AN27" s="294">
        <f>+INPUT!W99</f>
        <v>0</v>
      </c>
      <c r="AO27" s="296"/>
      <c r="AP27" s="294">
        <f>+INPUT!Y99</f>
        <v>0</v>
      </c>
      <c r="AQ27" s="308"/>
      <c r="AR27" s="294">
        <f>+INPUT!Z99</f>
        <v>0</v>
      </c>
      <c r="AS27" s="296"/>
      <c r="AT27" s="296" t="str">
        <f t="shared" si="3"/>
        <v xml:space="preserve">          Investments</v>
      </c>
      <c r="AU27" s="294">
        <f>INPUT!AA99</f>
        <v>0</v>
      </c>
      <c r="AV27" s="308"/>
      <c r="AW27" s="294">
        <f>INPUT!AB99</f>
        <v>0</v>
      </c>
      <c r="AX27" s="308"/>
      <c r="AY27" s="294">
        <f>INPUT!AC99</f>
        <v>0</v>
      </c>
      <c r="AZ27" s="308"/>
      <c r="BA27" s="294">
        <f>INPUT!AD99</f>
        <v>0</v>
      </c>
      <c r="BC27" s="294">
        <f>+INPUT!AE99</f>
        <v>0</v>
      </c>
      <c r="BF27" s="296"/>
      <c r="BG27" s="296" t="str">
        <f t="shared" si="4"/>
        <v xml:space="preserve">          Investments</v>
      </c>
      <c r="BH27" s="294">
        <f>INPUT!AF99</f>
        <v>0</v>
      </c>
      <c r="BI27" s="296"/>
      <c r="BJ27" s="294">
        <f>INPUT!AG99</f>
        <v>0</v>
      </c>
      <c r="BL27" s="294">
        <f>+INPUT!AH99</f>
        <v>0</v>
      </c>
      <c r="BN27" s="294">
        <f>+INPUT!AI99</f>
        <v>0</v>
      </c>
      <c r="BO27" s="296"/>
      <c r="BP27" s="294">
        <f>+INPUT!AJ99</f>
        <v>0</v>
      </c>
      <c r="BQ27" s="296"/>
      <c r="BS27" s="296"/>
      <c r="BT27" s="296" t="str">
        <f t="shared" si="5"/>
        <v xml:space="preserve">          Investments</v>
      </c>
      <c r="BU27" s="294">
        <f>+INPUT!AK99</f>
        <v>0</v>
      </c>
      <c r="BV27" s="296"/>
      <c r="BW27" s="294">
        <f>+INPUT!AL99</f>
        <v>0</v>
      </c>
      <c r="BX27" s="296"/>
      <c r="BY27" s="294">
        <f>+INPUT!AM99</f>
        <v>0</v>
      </c>
      <c r="BZ27" s="296"/>
      <c r="CA27" s="294">
        <f>+INPUT!AN99</f>
        <v>0</v>
      </c>
      <c r="CB27" s="296"/>
      <c r="CC27" s="294">
        <f>+INPUT!AO99</f>
        <v>0</v>
      </c>
      <c r="CD27" s="296"/>
      <c r="CF27" s="296"/>
      <c r="CG27" s="296" t="str">
        <f t="shared" si="6"/>
        <v xml:space="preserve">          Investments</v>
      </c>
      <c r="CH27" s="294">
        <f>+INPUT!AP99</f>
        <v>0</v>
      </c>
      <c r="CI27" s="296"/>
      <c r="CJ27" s="294">
        <f>+INPUT!AQ99</f>
        <v>0</v>
      </c>
      <c r="CK27" s="296"/>
      <c r="CL27" s="294">
        <f>+INPUT!AR99</f>
        <v>0</v>
      </c>
      <c r="CM27" s="308"/>
      <c r="CN27" s="294">
        <f>+INPUT!AS99</f>
        <v>0</v>
      </c>
      <c r="CO27" s="308"/>
      <c r="CP27" s="294">
        <f>+INPUT!AT99</f>
        <v>0</v>
      </c>
      <c r="CQ27" s="308"/>
      <c r="CS27" s="296"/>
      <c r="CT27" s="296" t="str">
        <f t="shared" si="7"/>
        <v xml:space="preserve">          Investments</v>
      </c>
      <c r="CU27" s="294">
        <f>INPUT!AU99</f>
        <v>0</v>
      </c>
      <c r="CV27" s="294"/>
      <c r="CW27" s="294">
        <f>+INPUT!AV99</f>
        <v>0</v>
      </c>
      <c r="CX27" s="296"/>
      <c r="CY27" s="294">
        <f>+INPUT!AX99</f>
        <v>0</v>
      </c>
      <c r="CZ27" s="308"/>
      <c r="DA27" s="294">
        <f>INPUT!AY99</f>
        <v>0</v>
      </c>
      <c r="DB27" s="308"/>
      <c r="DC27" s="294">
        <f>+INPUT!AZ99</f>
        <v>0</v>
      </c>
      <c r="DF27" s="308"/>
      <c r="DH27" s="296"/>
      <c r="DJ27" s="296"/>
      <c r="DK27" s="296" t="str">
        <f t="shared" si="8"/>
        <v xml:space="preserve">          Investments</v>
      </c>
      <c r="DL27" s="294">
        <f>+INPUT!BA99</f>
        <v>0</v>
      </c>
      <c r="DN27" s="294"/>
      <c r="DP27" s="294">
        <f>+INPUT!BD99+INPUT!BD100</f>
        <v>350827</v>
      </c>
      <c r="DR27" s="308"/>
      <c r="DV27" s="308"/>
      <c r="DW27" s="287"/>
      <c r="DX27" s="287"/>
      <c r="DY27" s="294"/>
      <c r="DZ27" s="294">
        <f t="shared" si="20"/>
        <v>350827</v>
      </c>
    </row>
    <row r="28" spans="1:130" ht="15.75" hidden="1" customHeight="1">
      <c r="A28" s="276" t="s">
        <v>299</v>
      </c>
      <c r="B28" s="296" t="str">
        <f>INPUT!B100</f>
        <v xml:space="preserve">     Valuation of investments to fair value</v>
      </c>
      <c r="C28" s="294">
        <f>+INPUT!E100</f>
        <v>0</v>
      </c>
      <c r="D28" s="296"/>
      <c r="E28" s="294">
        <f>+INPUT!F100</f>
        <v>0</v>
      </c>
      <c r="F28" s="296"/>
      <c r="G28" s="294">
        <f>+INPUT!G100</f>
        <v>0</v>
      </c>
      <c r="H28" s="296"/>
      <c r="I28" s="294">
        <f>+INPUT!H100</f>
        <v>0</v>
      </c>
      <c r="J28" s="296"/>
      <c r="K28" s="294">
        <f>INPUT!I100</f>
        <v>0</v>
      </c>
      <c r="L28" s="296"/>
      <c r="M28" s="296" t="str">
        <f t="shared" si="0"/>
        <v xml:space="preserve">     Valuation of investments to fair value</v>
      </c>
      <c r="N28" s="294">
        <f>INPUT!J100</f>
        <v>0</v>
      </c>
      <c r="O28" s="296"/>
      <c r="P28" s="294">
        <f>INPUT!K100</f>
        <v>0</v>
      </c>
      <c r="Q28" s="294"/>
      <c r="R28" s="294">
        <f>INPUT!L100</f>
        <v>0</v>
      </c>
      <c r="S28" s="294"/>
      <c r="T28" s="294">
        <f>INPUT!M100</f>
        <v>0</v>
      </c>
      <c r="U28" s="296"/>
      <c r="V28" s="294">
        <f>INPUT!N100</f>
        <v>0</v>
      </c>
      <c r="W28" s="296"/>
      <c r="X28" s="296" t="str">
        <f t="shared" si="1"/>
        <v xml:space="preserve">     Valuation of investments to fair value</v>
      </c>
      <c r="Y28" s="294">
        <f>INPUT!O100</f>
        <v>0</v>
      </c>
      <c r="Z28" s="296"/>
      <c r="AA28" s="294">
        <f>INPUT!Q100</f>
        <v>0</v>
      </c>
      <c r="AB28" s="296"/>
      <c r="AC28" s="294">
        <f>+INPUT!R100</f>
        <v>0</v>
      </c>
      <c r="AD28" s="296"/>
      <c r="AE28" s="294">
        <f>+INPUT!S100</f>
        <v>0</v>
      </c>
      <c r="AF28" s="296"/>
      <c r="AG28" s="294">
        <f>INPUT!T100</f>
        <v>0</v>
      </c>
      <c r="AH28" s="296"/>
      <c r="AI28" s="296" t="str">
        <f t="shared" si="2"/>
        <v xml:space="preserve">     Valuation of investments to fair value</v>
      </c>
      <c r="AJ28" s="294">
        <f>+INPUT!U100</f>
        <v>0</v>
      </c>
      <c r="AK28" s="296"/>
      <c r="AL28" s="294">
        <f>INPUT!V100</f>
        <v>0</v>
      </c>
      <c r="AM28" s="296"/>
      <c r="AN28" s="294">
        <f>+INPUT!W100</f>
        <v>0</v>
      </c>
      <c r="AO28" s="296"/>
      <c r="AP28" s="294">
        <f>+INPUT!Y100</f>
        <v>0</v>
      </c>
      <c r="AQ28" s="308"/>
      <c r="AR28" s="294">
        <f>+INPUT!Z100</f>
        <v>0</v>
      </c>
      <c r="AS28" s="296"/>
      <c r="AT28" s="296" t="str">
        <f t="shared" si="3"/>
        <v xml:space="preserve">     Valuation of investments to fair value</v>
      </c>
      <c r="AU28" s="294">
        <f>INPUT!AA100</f>
        <v>0</v>
      </c>
      <c r="AV28" s="308"/>
      <c r="AW28" s="294">
        <f>INPUT!AB100</f>
        <v>0</v>
      </c>
      <c r="AX28" s="308"/>
      <c r="AY28" s="294">
        <f>INPUT!AC100</f>
        <v>0</v>
      </c>
      <c r="AZ28" s="308"/>
      <c r="BA28" s="294">
        <f>INPUT!AD100</f>
        <v>0</v>
      </c>
      <c r="BC28" s="294">
        <f>+INPUT!AE100</f>
        <v>0</v>
      </c>
      <c r="BF28" s="296"/>
      <c r="BG28" s="296" t="str">
        <f t="shared" si="4"/>
        <v xml:space="preserve">     Valuation of investments to fair value</v>
      </c>
      <c r="BH28" s="294">
        <f>INPUT!AF100</f>
        <v>0</v>
      </c>
      <c r="BI28" s="296"/>
      <c r="BJ28" s="294">
        <f>INPUT!AG100</f>
        <v>0</v>
      </c>
      <c r="BL28" s="294">
        <f>+INPUT!AH100</f>
        <v>0</v>
      </c>
      <c r="BN28" s="294">
        <f>+INPUT!AI100</f>
        <v>0</v>
      </c>
      <c r="BO28" s="296"/>
      <c r="BP28" s="294">
        <f>+INPUT!AJ100</f>
        <v>0</v>
      </c>
      <c r="BQ28" s="296"/>
      <c r="BS28" s="296"/>
      <c r="BT28" s="296" t="str">
        <f t="shared" si="5"/>
        <v xml:space="preserve">     Valuation of investments to fair value</v>
      </c>
      <c r="BU28" s="294" t="str">
        <f>IF(+INPUT!AK100&lt;&gt;0,+INPUT!AK100,"-")</f>
        <v>-</v>
      </c>
      <c r="BV28" s="296"/>
      <c r="BW28" s="294" t="str">
        <f>IF(+INPUT!AL100&lt;&gt;0,+INPUT!AL100,"-")</f>
        <v>-</v>
      </c>
      <c r="BX28" s="296"/>
      <c r="BY28" s="294" t="str">
        <f>IF(+INPUT!AM100&lt;&gt;0,+INPUT!AM100,"-")</f>
        <v>-</v>
      </c>
      <c r="BZ28" s="296"/>
      <c r="CA28" s="294" t="str">
        <f>IF(+INPUT!AN100&lt;&gt;0,+INPUT!AN100,"-")</f>
        <v>-</v>
      </c>
      <c r="CB28" s="296"/>
      <c r="CC28" s="294" t="str">
        <f>IF(+INPUT!AO100&lt;&gt;0,+INPUT!AO100,"-")</f>
        <v>-</v>
      </c>
      <c r="CD28" s="296"/>
      <c r="CF28" s="296"/>
      <c r="CG28" s="296" t="str">
        <f t="shared" si="6"/>
        <v xml:space="preserve">     Valuation of investments to fair value</v>
      </c>
      <c r="CH28" s="294" t="str">
        <f>IF(+INPUT!AP100&lt;&gt;0,+INPUT!AP100,"-")</f>
        <v>-</v>
      </c>
      <c r="CI28" s="296"/>
      <c r="CJ28" s="294">
        <f>+INPUT!AQ100</f>
        <v>0</v>
      </c>
      <c r="CK28" s="296"/>
      <c r="CL28" s="294">
        <f>+INPUT!AR100</f>
        <v>0</v>
      </c>
      <c r="CM28" s="308"/>
      <c r="CN28" s="294">
        <f>+INPUT!AS100</f>
        <v>0</v>
      </c>
      <c r="CO28" s="308"/>
      <c r="CP28" s="294">
        <f>+INPUT!AT100</f>
        <v>0</v>
      </c>
      <c r="CQ28" s="308"/>
      <c r="CS28" s="296"/>
      <c r="CT28" s="296" t="str">
        <f t="shared" si="7"/>
        <v xml:space="preserve">     Valuation of investments to fair value</v>
      </c>
      <c r="CU28" s="294">
        <f>INPUT!AU100</f>
        <v>0</v>
      </c>
      <c r="CV28" s="294"/>
      <c r="CW28" s="294">
        <f>+INPUT!AV100</f>
        <v>0</v>
      </c>
      <c r="CX28" s="296"/>
      <c r="CY28" s="294">
        <f>+INPUT!AX100</f>
        <v>0</v>
      </c>
      <c r="CZ28" s="308"/>
      <c r="DA28" s="294">
        <f>INPUT!AY100</f>
        <v>0</v>
      </c>
      <c r="DB28" s="308"/>
      <c r="DC28" s="294">
        <f>+INPUT!AZ100</f>
        <v>0</v>
      </c>
      <c r="DF28" s="308"/>
      <c r="DH28" s="296"/>
      <c r="DJ28" s="296"/>
      <c r="DK28" s="296" t="str">
        <f t="shared" si="8"/>
        <v xml:space="preserve">     Valuation of investments to fair value</v>
      </c>
      <c r="DL28" s="294">
        <f>+INPUT!BA100</f>
        <v>0</v>
      </c>
      <c r="DN28" s="294"/>
      <c r="DP28" s="294">
        <f>+INPUT!BD100</f>
        <v>0</v>
      </c>
      <c r="DR28" s="308"/>
      <c r="DV28" s="308"/>
      <c r="DW28" s="287"/>
      <c r="DX28" s="287"/>
      <c r="DY28" s="294"/>
      <c r="DZ28" s="294">
        <f t="shared" si="20"/>
        <v>0</v>
      </c>
    </row>
    <row r="29" spans="1:130" ht="15.75" hidden="1" customHeight="1">
      <c r="A29" s="276"/>
      <c r="B29" s="296" t="str">
        <f>INPUT!B101</f>
        <v xml:space="preserve">     Long-term accounts/contracts receivable</v>
      </c>
      <c r="C29" s="294">
        <f>+INPUT!E101</f>
        <v>0</v>
      </c>
      <c r="D29" s="296"/>
      <c r="E29" s="294">
        <f>+INPUT!F101</f>
        <v>0</v>
      </c>
      <c r="F29" s="296"/>
      <c r="G29" s="294">
        <f>+INPUT!G101</f>
        <v>0</v>
      </c>
      <c r="H29" s="296"/>
      <c r="I29" s="294">
        <f>+INPUT!H101</f>
        <v>0</v>
      </c>
      <c r="J29" s="296"/>
      <c r="K29" s="294">
        <f>INPUT!I101</f>
        <v>0</v>
      </c>
      <c r="L29" s="296"/>
      <c r="M29" s="296" t="str">
        <f t="shared" si="0"/>
        <v xml:space="preserve">     Long-term accounts/contracts receivable</v>
      </c>
      <c r="N29" s="294">
        <f>INPUT!J101</f>
        <v>0</v>
      </c>
      <c r="O29" s="296"/>
      <c r="P29" s="294">
        <f>INPUT!K101</f>
        <v>0</v>
      </c>
      <c r="Q29" s="294"/>
      <c r="R29" s="294">
        <f>INPUT!L101</f>
        <v>0</v>
      </c>
      <c r="S29" s="294"/>
      <c r="T29" s="294">
        <f>INPUT!M101</f>
        <v>0</v>
      </c>
      <c r="U29" s="296"/>
      <c r="V29" s="294">
        <f>INPUT!N101</f>
        <v>0</v>
      </c>
      <c r="W29" s="296"/>
      <c r="X29" s="296" t="str">
        <f t="shared" si="1"/>
        <v xml:space="preserve">     Long-term accounts/contracts receivable</v>
      </c>
      <c r="Y29" s="294">
        <f>INPUT!O101</f>
        <v>0</v>
      </c>
      <c r="Z29" s="296"/>
      <c r="AA29" s="294">
        <f>INPUT!Q101</f>
        <v>0</v>
      </c>
      <c r="AB29" s="296"/>
      <c r="AC29" s="294">
        <f>+INPUT!R101</f>
        <v>0</v>
      </c>
      <c r="AD29" s="296"/>
      <c r="AE29" s="294">
        <f>+INPUT!S101</f>
        <v>0</v>
      </c>
      <c r="AF29" s="296"/>
      <c r="AG29" s="294">
        <f>INPUT!T101</f>
        <v>0</v>
      </c>
      <c r="AH29" s="296"/>
      <c r="AI29" s="296" t="str">
        <f t="shared" si="2"/>
        <v xml:space="preserve">     Long-term accounts/contracts receivable</v>
      </c>
      <c r="AJ29" s="294">
        <f>+INPUT!U101</f>
        <v>0</v>
      </c>
      <c r="AK29" s="296"/>
      <c r="AL29" s="294">
        <f>INPUT!V101</f>
        <v>0</v>
      </c>
      <c r="AM29" s="296"/>
      <c r="AN29" s="294">
        <f>+INPUT!W101</f>
        <v>0</v>
      </c>
      <c r="AO29" s="296"/>
      <c r="AP29" s="294">
        <f>+INPUT!Y101</f>
        <v>0</v>
      </c>
      <c r="AQ29" s="308"/>
      <c r="AR29" s="294">
        <f>+INPUT!Z101</f>
        <v>0</v>
      </c>
      <c r="AS29" s="296"/>
      <c r="AT29" s="296" t="str">
        <f t="shared" si="3"/>
        <v xml:space="preserve">     Long-term accounts/contracts receivable</v>
      </c>
      <c r="AU29" s="294">
        <f>INPUT!AA101</f>
        <v>0</v>
      </c>
      <c r="AV29" s="308"/>
      <c r="AW29" s="294">
        <f>INPUT!AB101</f>
        <v>0</v>
      </c>
      <c r="AX29" s="308"/>
      <c r="AY29" s="294">
        <f>INPUT!AC101</f>
        <v>0</v>
      </c>
      <c r="AZ29" s="308"/>
      <c r="BA29" s="294">
        <f>INPUT!AD101</f>
        <v>0</v>
      </c>
      <c r="BC29" s="294">
        <f>+INPUT!AE101</f>
        <v>0</v>
      </c>
      <c r="BF29" s="296"/>
      <c r="BG29" s="296" t="str">
        <f t="shared" si="4"/>
        <v xml:space="preserve">     Long-term accounts/contracts receivable</v>
      </c>
      <c r="BH29" s="294">
        <f>INPUT!AF101</f>
        <v>0</v>
      </c>
      <c r="BI29" s="296"/>
      <c r="BJ29" s="294">
        <f>INPUT!AG101</f>
        <v>0</v>
      </c>
      <c r="BL29" s="294">
        <f>+INPUT!AH101</f>
        <v>0</v>
      </c>
      <c r="BN29" s="294">
        <f>+INPUT!AI101</f>
        <v>0</v>
      </c>
      <c r="BO29" s="296"/>
      <c r="BP29" s="294">
        <f>+INPUT!AJ101</f>
        <v>0</v>
      </c>
      <c r="BQ29" s="296"/>
      <c r="BS29" s="296"/>
      <c r="BT29" s="296" t="str">
        <f t="shared" si="5"/>
        <v xml:space="preserve">     Long-term accounts/contracts receivable</v>
      </c>
      <c r="BU29" s="294" t="str">
        <f>IF(+INPUT!AK101&lt;&gt;0,+INPUT!AK101,"-")</f>
        <v>-</v>
      </c>
      <c r="BV29" s="296"/>
      <c r="BW29" s="294" t="str">
        <f>IF(+INPUT!AL101&lt;&gt;0,+INPUT!AL101,"-")</f>
        <v>-</v>
      </c>
      <c r="BX29" s="296"/>
      <c r="BY29" s="294" t="str">
        <f>IF(+INPUT!AM101&lt;&gt;0,+INPUT!AM101,"-")</f>
        <v>-</v>
      </c>
      <c r="BZ29" s="296"/>
      <c r="CA29" s="294" t="str">
        <f>IF(+INPUT!AN101&lt;&gt;0,+INPUT!AN101,"-")</f>
        <v>-</v>
      </c>
      <c r="CB29" s="296"/>
      <c r="CC29" s="294" t="str">
        <f>IF(+INPUT!AO101&lt;&gt;0,+INPUT!AO101,"-")</f>
        <v>-</v>
      </c>
      <c r="CD29" s="296"/>
      <c r="CF29" s="296"/>
      <c r="CG29" s="296" t="str">
        <f t="shared" si="6"/>
        <v xml:space="preserve">     Long-term accounts/contracts receivable</v>
      </c>
      <c r="CH29" s="294" t="str">
        <f>IF(+INPUT!AP101&lt;&gt;0,+INPUT!AP101,"-")</f>
        <v>-</v>
      </c>
      <c r="CI29" s="296"/>
      <c r="CJ29" s="294">
        <f>+INPUT!AQ101</f>
        <v>0</v>
      </c>
      <c r="CK29" s="296"/>
      <c r="CL29" s="294">
        <f>+INPUT!AR101</f>
        <v>0</v>
      </c>
      <c r="CM29" s="308"/>
      <c r="CN29" s="294">
        <f>+INPUT!AS101</f>
        <v>0</v>
      </c>
      <c r="CO29" s="308"/>
      <c r="CP29" s="294">
        <f>+INPUT!AT101</f>
        <v>0</v>
      </c>
      <c r="CQ29" s="308"/>
      <c r="CS29" s="296"/>
      <c r="CT29" s="296" t="str">
        <f t="shared" si="7"/>
        <v xml:space="preserve">     Long-term accounts/contracts receivable</v>
      </c>
      <c r="CU29" s="294">
        <f>INPUT!AU101</f>
        <v>0</v>
      </c>
      <c r="CV29" s="294"/>
      <c r="CW29" s="294">
        <f>+INPUT!AV101</f>
        <v>0</v>
      </c>
      <c r="CX29" s="296"/>
      <c r="CY29" s="294">
        <f>+INPUT!AX101</f>
        <v>0</v>
      </c>
      <c r="CZ29" s="308"/>
      <c r="DA29" s="294">
        <f>INPUT!AY101</f>
        <v>0</v>
      </c>
      <c r="DB29" s="308"/>
      <c r="DC29" s="294">
        <f>+INPUT!AZ101</f>
        <v>0</v>
      </c>
      <c r="DF29" s="308"/>
      <c r="DH29" s="296"/>
      <c r="DJ29" s="296"/>
      <c r="DK29" s="296" t="str">
        <f t="shared" si="8"/>
        <v xml:space="preserve">     Long-term accounts/contracts receivable</v>
      </c>
      <c r="DL29" s="294">
        <f>+INPUT!BA101</f>
        <v>0</v>
      </c>
      <c r="DN29" s="294"/>
      <c r="DP29" s="294">
        <f>+INPUT!BD101</f>
        <v>0</v>
      </c>
      <c r="DR29" s="308"/>
      <c r="DV29" s="308"/>
      <c r="DW29" s="287"/>
      <c r="DX29" s="287"/>
      <c r="DY29" s="294"/>
      <c r="DZ29" s="294">
        <f t="shared" si="20"/>
        <v>0</v>
      </c>
    </row>
    <row r="30" spans="1:130" ht="15.75" hidden="1" customHeight="1">
      <c r="A30" s="276"/>
      <c r="B30" s="296" t="str">
        <f>INPUT!B102</f>
        <v xml:space="preserve">     Long-term notes receivable</v>
      </c>
      <c r="C30" s="294">
        <f>+INPUT!E102</f>
        <v>0</v>
      </c>
      <c r="D30" s="296"/>
      <c r="E30" s="294">
        <f>+INPUT!F102</f>
        <v>0</v>
      </c>
      <c r="F30" s="296"/>
      <c r="G30" s="294">
        <f>+INPUT!G102</f>
        <v>0</v>
      </c>
      <c r="H30" s="296"/>
      <c r="I30" s="294">
        <f>+INPUT!H102</f>
        <v>0</v>
      </c>
      <c r="J30" s="296"/>
      <c r="K30" s="294">
        <f>INPUT!I102</f>
        <v>0</v>
      </c>
      <c r="L30" s="296"/>
      <c r="M30" s="296" t="str">
        <f t="shared" si="0"/>
        <v xml:space="preserve">     Long-term notes receivable</v>
      </c>
      <c r="N30" s="294">
        <f>INPUT!J102</f>
        <v>0</v>
      </c>
      <c r="O30" s="296"/>
      <c r="P30" s="294">
        <f>INPUT!K102</f>
        <v>0</v>
      </c>
      <c r="Q30" s="294"/>
      <c r="R30" s="294">
        <f>INPUT!L102</f>
        <v>0</v>
      </c>
      <c r="S30" s="294"/>
      <c r="T30" s="294">
        <f>INPUT!M102</f>
        <v>0</v>
      </c>
      <c r="U30" s="296"/>
      <c r="V30" s="294">
        <f>INPUT!N102</f>
        <v>0</v>
      </c>
      <c r="W30" s="296"/>
      <c r="X30" s="296" t="str">
        <f t="shared" si="1"/>
        <v xml:space="preserve">     Long-term notes receivable</v>
      </c>
      <c r="Y30" s="294">
        <f>INPUT!O102</f>
        <v>0</v>
      </c>
      <c r="Z30" s="296"/>
      <c r="AA30" s="294">
        <f>INPUT!Q102</f>
        <v>0</v>
      </c>
      <c r="AB30" s="296"/>
      <c r="AC30" s="294">
        <f>+INPUT!R102</f>
        <v>0</v>
      </c>
      <c r="AD30" s="296"/>
      <c r="AE30" s="294">
        <f>+INPUT!S102</f>
        <v>0</v>
      </c>
      <c r="AF30" s="296"/>
      <c r="AG30" s="294">
        <f>INPUT!T102</f>
        <v>0</v>
      </c>
      <c r="AH30" s="296"/>
      <c r="AI30" s="296" t="str">
        <f t="shared" si="2"/>
        <v xml:space="preserve">     Long-term notes receivable</v>
      </c>
      <c r="AJ30" s="294">
        <f>+INPUT!U102</f>
        <v>0</v>
      </c>
      <c r="AK30" s="296"/>
      <c r="AL30" s="294">
        <f>INPUT!V102</f>
        <v>0</v>
      </c>
      <c r="AM30" s="296"/>
      <c r="AN30" s="294">
        <f>+INPUT!W102</f>
        <v>0</v>
      </c>
      <c r="AO30" s="296"/>
      <c r="AP30" s="294">
        <f>+INPUT!Y102</f>
        <v>0</v>
      </c>
      <c r="AQ30" s="308"/>
      <c r="AR30" s="294">
        <f>+INPUT!Z102</f>
        <v>0</v>
      </c>
      <c r="AS30" s="296"/>
      <c r="AT30" s="296" t="str">
        <f t="shared" si="3"/>
        <v xml:space="preserve">     Long-term notes receivable</v>
      </c>
      <c r="AU30" s="294">
        <f>INPUT!AA102</f>
        <v>0</v>
      </c>
      <c r="AV30" s="308"/>
      <c r="AW30" s="294">
        <f>INPUT!AB102</f>
        <v>0</v>
      </c>
      <c r="AX30" s="308"/>
      <c r="AY30" s="294">
        <f>INPUT!AC102</f>
        <v>0</v>
      </c>
      <c r="AZ30" s="308"/>
      <c r="BA30" s="294">
        <f>INPUT!AD102</f>
        <v>0</v>
      </c>
      <c r="BC30" s="294">
        <f>+INPUT!AE102</f>
        <v>0</v>
      </c>
      <c r="BF30" s="296"/>
      <c r="BG30" s="296" t="str">
        <f t="shared" si="4"/>
        <v xml:space="preserve">     Long-term notes receivable</v>
      </c>
      <c r="BH30" s="294">
        <f>INPUT!AF102</f>
        <v>0</v>
      </c>
      <c r="BI30" s="296"/>
      <c r="BJ30" s="294">
        <f>INPUT!AG102</f>
        <v>0</v>
      </c>
      <c r="BL30" s="294">
        <f>+INPUT!AH102</f>
        <v>0</v>
      </c>
      <c r="BN30" s="294">
        <f>+INPUT!AI102</f>
        <v>0</v>
      </c>
      <c r="BO30" s="296"/>
      <c r="BP30" s="294">
        <f>+INPUT!AJ102</f>
        <v>0</v>
      </c>
      <c r="BQ30" s="296"/>
      <c r="BS30" s="296"/>
      <c r="BT30" s="296" t="str">
        <f t="shared" si="5"/>
        <v xml:space="preserve">     Long-term notes receivable</v>
      </c>
      <c r="BU30" s="294" t="str">
        <f>IF(+INPUT!AK102&lt;&gt;0,+INPUT!AK102,"-")</f>
        <v>-</v>
      </c>
      <c r="BV30" s="296"/>
      <c r="BW30" s="294" t="str">
        <f>IF(+INPUT!AL102&lt;&gt;0,+INPUT!AL102,"-")</f>
        <v>-</v>
      </c>
      <c r="BX30" s="296"/>
      <c r="BY30" s="294" t="str">
        <f>IF(+INPUT!AM102&lt;&gt;0,+INPUT!AM102,"-")</f>
        <v>-</v>
      </c>
      <c r="BZ30" s="296"/>
      <c r="CA30" s="294" t="str">
        <f>IF(+INPUT!AN102&lt;&gt;0,+INPUT!AN102,"-")</f>
        <v>-</v>
      </c>
      <c r="CB30" s="296"/>
      <c r="CC30" s="294" t="str">
        <f>IF(+INPUT!AO102&lt;&gt;0,+INPUT!AO102,"-")</f>
        <v>-</v>
      </c>
      <c r="CD30" s="296"/>
      <c r="CF30" s="296"/>
      <c r="CG30" s="296" t="str">
        <f t="shared" si="6"/>
        <v xml:space="preserve">     Long-term notes receivable</v>
      </c>
      <c r="CH30" s="294" t="str">
        <f>IF(+INPUT!AP102&lt;&gt;0,+INPUT!AP102,"-")</f>
        <v>-</v>
      </c>
      <c r="CI30" s="296"/>
      <c r="CJ30" s="294">
        <f>+INPUT!AQ102</f>
        <v>0</v>
      </c>
      <c r="CK30" s="296"/>
      <c r="CL30" s="294">
        <f>+INPUT!AR102</f>
        <v>0</v>
      </c>
      <c r="CM30" s="308"/>
      <c r="CN30" s="294">
        <f>+INPUT!AS102</f>
        <v>0</v>
      </c>
      <c r="CO30" s="308"/>
      <c r="CP30" s="294">
        <f>+INPUT!AT102</f>
        <v>0</v>
      </c>
      <c r="CQ30" s="308"/>
      <c r="CS30" s="296"/>
      <c r="CT30" s="296" t="str">
        <f t="shared" si="7"/>
        <v xml:space="preserve">     Long-term notes receivable</v>
      </c>
      <c r="CU30" s="294">
        <f>INPUT!AU102</f>
        <v>0</v>
      </c>
      <c r="CV30" s="294"/>
      <c r="CW30" s="294">
        <f>+INPUT!AV102</f>
        <v>0</v>
      </c>
      <c r="CX30" s="296"/>
      <c r="CY30" s="294">
        <f>+INPUT!AX102</f>
        <v>0</v>
      </c>
      <c r="CZ30" s="308"/>
      <c r="DA30" s="294">
        <f>INPUT!AY102</f>
        <v>0</v>
      </c>
      <c r="DB30" s="308"/>
      <c r="DC30" s="294">
        <f>+INPUT!AZ102</f>
        <v>0</v>
      </c>
      <c r="DF30" s="308"/>
      <c r="DH30" s="296"/>
      <c r="DJ30" s="296"/>
      <c r="DK30" s="296" t="str">
        <f t="shared" si="8"/>
        <v xml:space="preserve">     Long-term notes receivable</v>
      </c>
      <c r="DL30" s="294">
        <f>+INPUT!BA102</f>
        <v>0</v>
      </c>
      <c r="DN30" s="294"/>
      <c r="DP30" s="294">
        <f>+INPUT!BD102</f>
        <v>0</v>
      </c>
      <c r="DR30" s="308"/>
      <c r="DV30" s="308"/>
      <c r="DW30" s="287"/>
      <c r="DX30" s="287"/>
      <c r="DY30" s="294"/>
      <c r="DZ30" s="294">
        <f t="shared" si="20"/>
        <v>0</v>
      </c>
    </row>
    <row r="31" spans="1:130" ht="15.75" hidden="1" customHeight="1">
      <c r="A31" s="276"/>
      <c r="B31" s="296" t="str">
        <f>INPUT!B103</f>
        <v xml:space="preserve">     Advances to other funds</v>
      </c>
      <c r="C31" s="294">
        <f>+INPUT!E103</f>
        <v>0</v>
      </c>
      <c r="D31" s="296"/>
      <c r="E31" s="294">
        <f>+INPUT!F103</f>
        <v>0</v>
      </c>
      <c r="F31" s="296"/>
      <c r="G31" s="294">
        <f>+INPUT!G103</f>
        <v>0</v>
      </c>
      <c r="H31" s="296"/>
      <c r="I31" s="294">
        <f>+INPUT!H103</f>
        <v>0</v>
      </c>
      <c r="J31" s="296"/>
      <c r="K31" s="294">
        <f>INPUT!I103</f>
        <v>0</v>
      </c>
      <c r="L31" s="296"/>
      <c r="M31" s="296" t="str">
        <f t="shared" si="0"/>
        <v xml:space="preserve">     Advances to other funds</v>
      </c>
      <c r="N31" s="294">
        <f>INPUT!J103</f>
        <v>0</v>
      </c>
      <c r="O31" s="296"/>
      <c r="P31" s="294">
        <f>INPUT!K103</f>
        <v>0</v>
      </c>
      <c r="Q31" s="294"/>
      <c r="R31" s="294">
        <f>INPUT!L103</f>
        <v>0</v>
      </c>
      <c r="S31" s="294"/>
      <c r="T31" s="294">
        <f>INPUT!M103</f>
        <v>0</v>
      </c>
      <c r="U31" s="296"/>
      <c r="V31" s="294">
        <f>INPUT!N103</f>
        <v>0</v>
      </c>
      <c r="W31" s="296"/>
      <c r="X31" s="296" t="str">
        <f t="shared" si="1"/>
        <v xml:space="preserve">     Advances to other funds</v>
      </c>
      <c r="Y31" s="294">
        <f>INPUT!O103</f>
        <v>0</v>
      </c>
      <c r="Z31" s="296"/>
      <c r="AA31" s="294">
        <f>INPUT!Q103</f>
        <v>0</v>
      </c>
      <c r="AB31" s="296"/>
      <c r="AC31" s="294">
        <f>+INPUT!R103</f>
        <v>0</v>
      </c>
      <c r="AD31" s="296"/>
      <c r="AE31" s="294">
        <f>+INPUT!S103</f>
        <v>0</v>
      </c>
      <c r="AF31" s="296"/>
      <c r="AG31" s="294">
        <f>INPUT!T103</f>
        <v>0</v>
      </c>
      <c r="AH31" s="296"/>
      <c r="AI31" s="296" t="str">
        <f t="shared" si="2"/>
        <v xml:space="preserve">     Advances to other funds</v>
      </c>
      <c r="AJ31" s="294">
        <f>+INPUT!U103</f>
        <v>0</v>
      </c>
      <c r="AK31" s="296"/>
      <c r="AL31" s="294">
        <f>INPUT!V103</f>
        <v>0</v>
      </c>
      <c r="AM31" s="296"/>
      <c r="AN31" s="294">
        <f>+INPUT!W103</f>
        <v>0</v>
      </c>
      <c r="AO31" s="296"/>
      <c r="AP31" s="294">
        <f>+INPUT!Y103</f>
        <v>0</v>
      </c>
      <c r="AQ31" s="308"/>
      <c r="AR31" s="294">
        <f>+INPUT!Z103</f>
        <v>0</v>
      </c>
      <c r="AS31" s="296"/>
      <c r="AT31" s="296" t="str">
        <f t="shared" si="3"/>
        <v xml:space="preserve">     Advances to other funds</v>
      </c>
      <c r="AU31" s="294">
        <f>INPUT!AA103</f>
        <v>0</v>
      </c>
      <c r="AV31" s="308"/>
      <c r="AW31" s="294">
        <f>INPUT!AB103</f>
        <v>0</v>
      </c>
      <c r="AX31" s="308"/>
      <c r="AY31" s="294">
        <f>INPUT!AC103</f>
        <v>0</v>
      </c>
      <c r="AZ31" s="308"/>
      <c r="BA31" s="294">
        <f>INPUT!AD103</f>
        <v>0</v>
      </c>
      <c r="BC31" s="294">
        <f>+INPUT!AE103</f>
        <v>0</v>
      </c>
      <c r="BF31" s="296"/>
      <c r="BG31" s="296" t="str">
        <f t="shared" si="4"/>
        <v xml:space="preserve">     Advances to other funds</v>
      </c>
      <c r="BH31" s="294">
        <f>INPUT!AF103</f>
        <v>0</v>
      </c>
      <c r="BI31" s="296"/>
      <c r="BJ31" s="294">
        <f>INPUT!AG103</f>
        <v>0</v>
      </c>
      <c r="BL31" s="294">
        <f>+INPUT!AH103</f>
        <v>0</v>
      </c>
      <c r="BN31" s="294">
        <f>+INPUT!AI103</f>
        <v>0</v>
      </c>
      <c r="BO31" s="296"/>
      <c r="BP31" s="294">
        <f>+INPUT!AJ103</f>
        <v>0</v>
      </c>
      <c r="BQ31" s="296"/>
      <c r="BS31" s="296"/>
      <c r="BT31" s="296" t="str">
        <f t="shared" si="5"/>
        <v xml:space="preserve">     Advances to other funds</v>
      </c>
      <c r="BU31" s="294" t="str">
        <f>IF(+INPUT!AK103&lt;&gt;0,+INPUT!AK103,"-")</f>
        <v>-</v>
      </c>
      <c r="BV31" s="296"/>
      <c r="BW31" s="294" t="str">
        <f>IF(+INPUT!AL103&lt;&gt;0,+INPUT!AL103,"-")</f>
        <v>-</v>
      </c>
      <c r="BX31" s="296"/>
      <c r="BY31" s="294" t="str">
        <f>IF(+INPUT!AM103&lt;&gt;0,+INPUT!AM103,"-")</f>
        <v>-</v>
      </c>
      <c r="BZ31" s="296"/>
      <c r="CA31" s="294" t="str">
        <f>IF(+INPUT!AN103&lt;&gt;0,+INPUT!AN103,"-")</f>
        <v>-</v>
      </c>
      <c r="CB31" s="296"/>
      <c r="CC31" s="294" t="str">
        <f>IF(+INPUT!AO103&lt;&gt;0,+INPUT!AO103,"-")</f>
        <v>-</v>
      </c>
      <c r="CD31" s="296"/>
      <c r="CF31" s="296"/>
      <c r="CG31" s="296" t="str">
        <f t="shared" si="6"/>
        <v xml:space="preserve">     Advances to other funds</v>
      </c>
      <c r="CH31" s="294" t="str">
        <f>IF(+INPUT!AP103&lt;&gt;0,+INPUT!AP103,"-")</f>
        <v>-</v>
      </c>
      <c r="CI31" s="296"/>
      <c r="CJ31" s="294">
        <f>+INPUT!AQ103</f>
        <v>0</v>
      </c>
      <c r="CK31" s="296"/>
      <c r="CL31" s="294">
        <f>+INPUT!AR103</f>
        <v>0</v>
      </c>
      <c r="CM31" s="308"/>
      <c r="CN31" s="294">
        <f>+INPUT!AS103</f>
        <v>0</v>
      </c>
      <c r="CO31" s="308"/>
      <c r="CP31" s="294">
        <f>+INPUT!AT103</f>
        <v>0</v>
      </c>
      <c r="CQ31" s="308"/>
      <c r="CS31" s="296"/>
      <c r="CT31" s="296" t="str">
        <f t="shared" si="7"/>
        <v xml:space="preserve">     Advances to other funds</v>
      </c>
      <c r="CU31" s="294">
        <f>INPUT!AU103</f>
        <v>0</v>
      </c>
      <c r="CV31" s="294"/>
      <c r="CW31" s="294">
        <f>+INPUT!AV103</f>
        <v>0</v>
      </c>
      <c r="CX31" s="296"/>
      <c r="CY31" s="294">
        <f>+INPUT!AX103</f>
        <v>0</v>
      </c>
      <c r="CZ31" s="308"/>
      <c r="DA31" s="294">
        <f>INPUT!AY103</f>
        <v>0</v>
      </c>
      <c r="DB31" s="308"/>
      <c r="DC31" s="294">
        <f>+INPUT!AZ103</f>
        <v>0</v>
      </c>
      <c r="DF31" s="308"/>
      <c r="DH31" s="296"/>
      <c r="DJ31" s="296"/>
      <c r="DK31" s="296" t="str">
        <f t="shared" si="8"/>
        <v xml:space="preserve">     Advances to other funds</v>
      </c>
      <c r="DL31" s="294">
        <f>+INPUT!BA103</f>
        <v>0</v>
      </c>
      <c r="DN31" s="294"/>
      <c r="DP31" s="294">
        <f>+INPUT!BD103</f>
        <v>0</v>
      </c>
      <c r="DR31" s="308"/>
      <c r="DV31" s="308"/>
      <c r="DW31" s="287"/>
      <c r="DX31" s="287"/>
      <c r="DY31" s="294"/>
      <c r="DZ31" s="294">
        <f t="shared" si="20"/>
        <v>0</v>
      </c>
    </row>
    <row r="32" spans="1:130" ht="15.75" hidden="1" customHeight="1">
      <c r="A32" s="276" t="s">
        <v>299</v>
      </c>
      <c r="B32" s="296" t="str">
        <f>INPUT!B105</f>
        <v xml:space="preserve">     Land held for resale</v>
      </c>
      <c r="C32" s="294">
        <f>+INPUT!E105</f>
        <v>0</v>
      </c>
      <c r="D32" s="296"/>
      <c r="E32" s="294">
        <f>+INPUT!F105</f>
        <v>0</v>
      </c>
      <c r="F32" s="296"/>
      <c r="G32" s="294">
        <f>+INPUT!G105</f>
        <v>0</v>
      </c>
      <c r="H32" s="296"/>
      <c r="I32" s="294">
        <f>+INPUT!H105</f>
        <v>0</v>
      </c>
      <c r="J32" s="296"/>
      <c r="K32" s="294">
        <f>INPUT!I105</f>
        <v>0</v>
      </c>
      <c r="L32" s="296"/>
      <c r="M32" s="296" t="str">
        <f t="shared" si="0"/>
        <v xml:space="preserve">     Land held for resale</v>
      </c>
      <c r="N32" s="294">
        <f>INPUT!J105</f>
        <v>0</v>
      </c>
      <c r="O32" s="296"/>
      <c r="P32" s="294">
        <f>INPUT!K105</f>
        <v>0</v>
      </c>
      <c r="Q32" s="294"/>
      <c r="R32" s="294">
        <f>INPUT!L105</f>
        <v>0</v>
      </c>
      <c r="S32" s="294"/>
      <c r="T32" s="294">
        <f>INPUT!M105</f>
        <v>0</v>
      </c>
      <c r="U32" s="296"/>
      <c r="V32" s="294">
        <f>INPUT!N105</f>
        <v>0</v>
      </c>
      <c r="W32" s="296"/>
      <c r="X32" s="296" t="str">
        <f t="shared" si="1"/>
        <v xml:space="preserve">     Land held for resale</v>
      </c>
      <c r="Y32" s="294">
        <f>INPUT!O105</f>
        <v>0</v>
      </c>
      <c r="Z32" s="296"/>
      <c r="AA32" s="294">
        <f>INPUT!Q105</f>
        <v>0</v>
      </c>
      <c r="AB32" s="296"/>
      <c r="AC32" s="294">
        <f>+INPUT!R105</f>
        <v>0</v>
      </c>
      <c r="AD32" s="296"/>
      <c r="AE32" s="294">
        <f>+INPUT!S105</f>
        <v>0</v>
      </c>
      <c r="AF32" s="296"/>
      <c r="AG32" s="294">
        <f>INPUT!T105</f>
        <v>0</v>
      </c>
      <c r="AH32" s="296"/>
      <c r="AI32" s="296" t="str">
        <f t="shared" si="2"/>
        <v xml:space="preserve">     Land held for resale</v>
      </c>
      <c r="AJ32" s="294">
        <f>+INPUT!U105</f>
        <v>0</v>
      </c>
      <c r="AK32" s="296"/>
      <c r="AL32" s="294">
        <f>INPUT!V105</f>
        <v>0</v>
      </c>
      <c r="AM32" s="296"/>
      <c r="AN32" s="294">
        <f>+INPUT!W105</f>
        <v>0</v>
      </c>
      <c r="AO32" s="296"/>
      <c r="AP32" s="294">
        <f>+INPUT!Y105</f>
        <v>0</v>
      </c>
      <c r="AQ32" s="308"/>
      <c r="AR32" s="294">
        <f>+INPUT!Z105</f>
        <v>0</v>
      </c>
      <c r="AS32" s="296"/>
      <c r="AT32" s="296" t="str">
        <f t="shared" si="3"/>
        <v xml:space="preserve">     Land held for resale</v>
      </c>
      <c r="AU32" s="294">
        <f>INPUT!AA105</f>
        <v>0</v>
      </c>
      <c r="AV32" s="308"/>
      <c r="AW32" s="294">
        <f>INPUT!AB105</f>
        <v>0</v>
      </c>
      <c r="AX32" s="308"/>
      <c r="AY32" s="294">
        <f>INPUT!AC105</f>
        <v>0</v>
      </c>
      <c r="AZ32" s="308"/>
      <c r="BA32" s="294">
        <f>INPUT!AD105</f>
        <v>0</v>
      </c>
      <c r="BC32" s="294">
        <f>+INPUT!AE105</f>
        <v>0</v>
      </c>
      <c r="BF32" s="296"/>
      <c r="BG32" s="296" t="str">
        <f t="shared" si="4"/>
        <v xml:space="preserve">     Land held for resale</v>
      </c>
      <c r="BH32" s="294">
        <f>INPUT!AF105</f>
        <v>0</v>
      </c>
      <c r="BI32" s="296"/>
      <c r="BJ32" s="294">
        <f>INPUT!AG105</f>
        <v>0</v>
      </c>
      <c r="BL32" s="294">
        <f>+INPUT!AH105</f>
        <v>0</v>
      </c>
      <c r="BN32" s="294">
        <f>+INPUT!AI105</f>
        <v>0</v>
      </c>
      <c r="BO32" s="296"/>
      <c r="BP32" s="294">
        <f>+INPUT!AJ105</f>
        <v>0</v>
      </c>
      <c r="BQ32" s="296"/>
      <c r="BS32" s="296"/>
      <c r="BT32" s="296" t="str">
        <f t="shared" si="5"/>
        <v xml:space="preserve">     Land held for resale</v>
      </c>
      <c r="BU32" s="294">
        <f>INPUT!AK105</f>
        <v>0</v>
      </c>
      <c r="BV32" s="296"/>
      <c r="BW32" s="294">
        <f>INPUT!AL105</f>
        <v>0</v>
      </c>
      <c r="BX32" s="296"/>
      <c r="BY32" s="294">
        <f>INPUT!AM105</f>
        <v>0</v>
      </c>
      <c r="BZ32" s="296"/>
      <c r="CA32" s="294">
        <f>INPUT!AN105</f>
        <v>0</v>
      </c>
      <c r="CB32" s="296"/>
      <c r="CC32" s="294">
        <f>INPUT!AO105</f>
        <v>0</v>
      </c>
      <c r="CD32" s="296"/>
      <c r="CF32" s="296"/>
      <c r="CG32" s="296" t="str">
        <f t="shared" si="6"/>
        <v xml:space="preserve">     Land held for resale</v>
      </c>
      <c r="CH32" s="294">
        <f>INPUT!AP105</f>
        <v>0</v>
      </c>
      <c r="CI32" s="296"/>
      <c r="CJ32" s="294">
        <f>+INPUT!AQ105</f>
        <v>0</v>
      </c>
      <c r="CK32" s="296"/>
      <c r="CL32" s="294">
        <f>+INPUT!AR105</f>
        <v>0</v>
      </c>
      <c r="CM32" s="308"/>
      <c r="CN32" s="294">
        <f>+INPUT!AS105</f>
        <v>0</v>
      </c>
      <c r="CO32" s="308"/>
      <c r="CP32" s="294">
        <f>+INPUT!AT105</f>
        <v>0</v>
      </c>
      <c r="CQ32" s="308"/>
      <c r="CS32" s="296"/>
      <c r="CT32" s="296" t="str">
        <f t="shared" si="7"/>
        <v xml:space="preserve">     Land held for resale</v>
      </c>
      <c r="CU32" s="294">
        <f>INPUT!AU105</f>
        <v>0</v>
      </c>
      <c r="CV32" s="294"/>
      <c r="CW32" s="294">
        <f>+INPUT!AV105</f>
        <v>0</v>
      </c>
      <c r="CX32" s="296"/>
      <c r="CY32" s="294">
        <f>+INPUT!AX105</f>
        <v>0</v>
      </c>
      <c r="CZ32" s="308"/>
      <c r="DA32" s="294">
        <f>INPUT!AY105</f>
        <v>0</v>
      </c>
      <c r="DB32" s="308"/>
      <c r="DC32" s="294">
        <f>+INPUT!AZ105</f>
        <v>0</v>
      </c>
      <c r="DF32" s="308"/>
      <c r="DH32" s="296"/>
      <c r="DJ32" s="296"/>
      <c r="DK32" s="296" t="str">
        <f t="shared" si="8"/>
        <v xml:space="preserve">     Land held for resale</v>
      </c>
      <c r="DL32" s="294">
        <f>+INPUT!BA105</f>
        <v>0</v>
      </c>
      <c r="DN32" s="294"/>
      <c r="DP32" s="294">
        <f>INPUT!BD105</f>
        <v>0</v>
      </c>
      <c r="DR32" s="308"/>
      <c r="DV32" s="308"/>
      <c r="DW32" s="287"/>
      <c r="DX32" s="287"/>
      <c r="DY32" s="294"/>
      <c r="DZ32" s="294">
        <f t="shared" si="20"/>
        <v>0</v>
      </c>
    </row>
    <row r="33" spans="1:130" ht="15.75" hidden="1" customHeight="1">
      <c r="A33" s="276" t="s">
        <v>299</v>
      </c>
      <c r="B33" s="296" t="str">
        <f>INPUT!B107</f>
        <v xml:space="preserve">     Land and construction in progress</v>
      </c>
      <c r="C33" s="294">
        <f>+INPUT!E107</f>
        <v>0</v>
      </c>
      <c r="D33" s="296"/>
      <c r="E33" s="294">
        <f>+INPUT!F107</f>
        <v>0</v>
      </c>
      <c r="F33" s="296"/>
      <c r="G33" s="294">
        <f>+INPUT!G107</f>
        <v>0</v>
      </c>
      <c r="H33" s="296"/>
      <c r="I33" s="294">
        <f>+INPUT!H107</f>
        <v>0</v>
      </c>
      <c r="J33" s="296"/>
      <c r="K33" s="294">
        <f>INPUT!I107</f>
        <v>0</v>
      </c>
      <c r="L33" s="296"/>
      <c r="M33" s="296" t="str">
        <f t="shared" si="0"/>
        <v xml:space="preserve">     Land and construction in progress</v>
      </c>
      <c r="N33" s="294">
        <f>INPUT!J107</f>
        <v>0</v>
      </c>
      <c r="O33" s="296"/>
      <c r="P33" s="294">
        <f>INPUT!K107</f>
        <v>0</v>
      </c>
      <c r="Q33" s="294"/>
      <c r="R33" s="294">
        <f>INPUT!L107</f>
        <v>0</v>
      </c>
      <c r="S33" s="294"/>
      <c r="T33" s="294">
        <f>INPUT!M107</f>
        <v>0</v>
      </c>
      <c r="U33" s="296"/>
      <c r="V33" s="294">
        <f>INPUT!N107</f>
        <v>0</v>
      </c>
      <c r="W33" s="296"/>
      <c r="X33" s="296" t="str">
        <f t="shared" si="1"/>
        <v xml:space="preserve">     Land and construction in progress</v>
      </c>
      <c r="Y33" s="294">
        <f>INPUT!O107</f>
        <v>0</v>
      </c>
      <c r="Z33" s="296"/>
      <c r="AA33" s="294">
        <f>INPUT!Q107</f>
        <v>0</v>
      </c>
      <c r="AB33" s="296"/>
      <c r="AC33" s="294">
        <f>+INPUT!R107</f>
        <v>0</v>
      </c>
      <c r="AD33" s="296"/>
      <c r="AE33" s="294">
        <f>+INPUT!S107</f>
        <v>0</v>
      </c>
      <c r="AF33" s="296"/>
      <c r="AG33" s="294">
        <f>INPUT!T107</f>
        <v>0</v>
      </c>
      <c r="AH33" s="296"/>
      <c r="AI33" s="296" t="str">
        <f t="shared" si="2"/>
        <v xml:space="preserve">     Land and construction in progress</v>
      </c>
      <c r="AJ33" s="294">
        <f>+INPUT!U107</f>
        <v>0</v>
      </c>
      <c r="AK33" s="296"/>
      <c r="AL33" s="294">
        <f>INPUT!V107</f>
        <v>0</v>
      </c>
      <c r="AM33" s="296"/>
      <c r="AN33" s="294">
        <f>+INPUT!W107</f>
        <v>0</v>
      </c>
      <c r="AO33" s="296"/>
      <c r="AP33" s="294">
        <f>+INPUT!Y107</f>
        <v>0</v>
      </c>
      <c r="AQ33" s="308"/>
      <c r="AR33" s="294">
        <f>+INPUT!Z107</f>
        <v>0</v>
      </c>
      <c r="AS33" s="296"/>
      <c r="AT33" s="296" t="str">
        <f t="shared" si="3"/>
        <v xml:space="preserve">     Land and construction in progress</v>
      </c>
      <c r="AU33" s="294">
        <f>INPUT!AA107</f>
        <v>0</v>
      </c>
      <c r="AV33" s="308"/>
      <c r="AW33" s="294">
        <f>INPUT!AB107</f>
        <v>0</v>
      </c>
      <c r="AX33" s="308"/>
      <c r="AY33" s="294">
        <f>INPUT!AC107</f>
        <v>0</v>
      </c>
      <c r="AZ33" s="308"/>
      <c r="BA33" s="294">
        <f>INPUT!AD107</f>
        <v>0</v>
      </c>
      <c r="BC33" s="294">
        <f>+INPUT!AE107</f>
        <v>0</v>
      </c>
      <c r="BF33" s="296"/>
      <c r="BG33" s="296" t="str">
        <f t="shared" si="4"/>
        <v xml:space="preserve">     Land and construction in progress</v>
      </c>
      <c r="BH33" s="294">
        <f>INPUT!AF107</f>
        <v>0</v>
      </c>
      <c r="BI33" s="296"/>
      <c r="BJ33" s="294">
        <f>INPUT!AG107</f>
        <v>0</v>
      </c>
      <c r="BL33" s="294">
        <f>+INPUT!AH107</f>
        <v>0</v>
      </c>
      <c r="BN33" s="294">
        <f>+INPUT!AI107</f>
        <v>0</v>
      </c>
      <c r="BO33" s="296"/>
      <c r="BP33" s="294">
        <f>+INPUT!AJ107</f>
        <v>0</v>
      </c>
      <c r="BQ33" s="296"/>
      <c r="BS33" s="296"/>
      <c r="BT33" s="296" t="str">
        <f t="shared" si="5"/>
        <v xml:space="preserve">     Land and construction in progress</v>
      </c>
      <c r="BU33" s="294" t="str">
        <f>IF(+INPUT!AK107&lt;&gt;0,+INPUT!AK107,"-")</f>
        <v>-</v>
      </c>
      <c r="BV33" s="296"/>
      <c r="BW33" s="294" t="str">
        <f>IF(+INPUT!AL107&lt;&gt;0,+INPUT!AL107,"-")</f>
        <v>-</v>
      </c>
      <c r="BX33" s="296"/>
      <c r="BY33" s="294" t="str">
        <f>IF(+INPUT!AM107&lt;&gt;0,+INPUT!AM107,"-")</f>
        <v>-</v>
      </c>
      <c r="BZ33" s="296"/>
      <c r="CA33" s="294" t="str">
        <f>IF(+INPUT!AN107&lt;&gt;0,+INPUT!AN107,"-")</f>
        <v>-</v>
      </c>
      <c r="CB33" s="296"/>
      <c r="CC33" s="294" t="str">
        <f>IF(+INPUT!AO107&lt;&gt;0,+INPUT!AO107,"-")</f>
        <v>-</v>
      </c>
      <c r="CD33" s="296"/>
      <c r="CF33" s="296"/>
      <c r="CG33" s="296" t="str">
        <f t="shared" si="6"/>
        <v xml:space="preserve">     Land and construction in progress</v>
      </c>
      <c r="CH33" s="294" t="str">
        <f>IF(+INPUT!AP107&lt;&gt;0,+INPUT!AP107,"-")</f>
        <v>-</v>
      </c>
      <c r="CI33" s="296"/>
      <c r="CJ33" s="294">
        <f>+INPUT!AQ107</f>
        <v>0</v>
      </c>
      <c r="CK33" s="296"/>
      <c r="CL33" s="294">
        <f>+INPUT!AR107</f>
        <v>0</v>
      </c>
      <c r="CM33" s="308"/>
      <c r="CN33" s="294">
        <f>+INPUT!AS107</f>
        <v>0</v>
      </c>
      <c r="CO33" s="308"/>
      <c r="CP33" s="294">
        <f>+INPUT!AT107</f>
        <v>0</v>
      </c>
      <c r="CQ33" s="308"/>
      <c r="CS33" s="296"/>
      <c r="CT33" s="296" t="str">
        <f t="shared" si="7"/>
        <v xml:space="preserve">     Land and construction in progress</v>
      </c>
      <c r="CU33" s="294">
        <f>INPUT!AU107</f>
        <v>0</v>
      </c>
      <c r="CV33" s="294"/>
      <c r="CW33" s="294">
        <f>+INPUT!AV107</f>
        <v>0</v>
      </c>
      <c r="CX33" s="296"/>
      <c r="CY33" s="294">
        <f>+INPUT!AX107</f>
        <v>0</v>
      </c>
      <c r="CZ33" s="308"/>
      <c r="DA33" s="294">
        <f>INPUT!AY107</f>
        <v>0</v>
      </c>
      <c r="DB33" s="308"/>
      <c r="DC33" s="294">
        <f>+INPUT!AZ107</f>
        <v>0</v>
      </c>
      <c r="DF33" s="308"/>
      <c r="DH33" s="296"/>
      <c r="DJ33" s="296"/>
      <c r="DK33" s="296" t="str">
        <f t="shared" si="8"/>
        <v xml:space="preserve">     Land and construction in progress</v>
      </c>
      <c r="DL33" s="294">
        <f>+INPUT!BA107</f>
        <v>0</v>
      </c>
      <c r="DN33" s="294"/>
      <c r="DP33" s="294">
        <f>+INPUT!BD107</f>
        <v>0</v>
      </c>
      <c r="DR33" s="308"/>
      <c r="DV33" s="308"/>
      <c r="DW33" s="287"/>
      <c r="DX33" s="287"/>
      <c r="DY33" s="294"/>
      <c r="DZ33" s="294">
        <f t="shared" si="20"/>
        <v>0</v>
      </c>
    </row>
    <row r="34" spans="1:130" ht="15.75" hidden="1" customHeight="1">
      <c r="A34" s="276" t="s">
        <v>299</v>
      </c>
      <c r="B34" s="296" t="str">
        <f>INPUT!B108</f>
        <v xml:space="preserve">     Buildings, improvements, vehicles and equipment (net)</v>
      </c>
      <c r="C34" s="294"/>
      <c r="D34" s="296"/>
      <c r="E34" s="294"/>
      <c r="F34" s="296"/>
      <c r="G34" s="294"/>
      <c r="H34" s="296"/>
      <c r="I34" s="294"/>
      <c r="J34" s="296"/>
      <c r="K34" s="294"/>
      <c r="L34" s="296"/>
      <c r="M34" s="296"/>
      <c r="N34" s="294"/>
      <c r="O34" s="296"/>
      <c r="P34" s="294"/>
      <c r="Q34" s="294"/>
      <c r="R34" s="294"/>
      <c r="S34" s="294"/>
      <c r="T34" s="294"/>
      <c r="U34" s="296"/>
      <c r="V34" s="294"/>
      <c r="W34" s="296"/>
      <c r="X34" s="296"/>
      <c r="Y34" s="294"/>
      <c r="Z34" s="296"/>
      <c r="AA34" s="294"/>
      <c r="AB34" s="296"/>
      <c r="AC34" s="294"/>
      <c r="AD34" s="296"/>
      <c r="AE34" s="294"/>
      <c r="AF34" s="296"/>
      <c r="AG34" s="294"/>
      <c r="AH34" s="296"/>
      <c r="AI34" s="296"/>
      <c r="AJ34" s="294"/>
      <c r="AK34" s="296"/>
      <c r="AL34" s="294"/>
      <c r="AM34" s="296"/>
      <c r="AN34" s="294"/>
      <c r="AO34" s="296"/>
      <c r="AP34" s="294"/>
      <c r="AQ34" s="308"/>
      <c r="AR34" s="294"/>
      <c r="AS34" s="296"/>
      <c r="AT34" s="296"/>
      <c r="AU34" s="294"/>
      <c r="AV34" s="308"/>
      <c r="AW34" s="294"/>
      <c r="AX34" s="308"/>
      <c r="AY34" s="294"/>
      <c r="AZ34" s="308"/>
      <c r="BA34" s="294"/>
      <c r="BC34" s="294"/>
      <c r="BF34" s="296"/>
      <c r="BG34" s="296"/>
      <c r="BH34" s="294"/>
      <c r="BI34" s="296"/>
      <c r="BJ34" s="294"/>
      <c r="BL34" s="294"/>
      <c r="BN34" s="294"/>
      <c r="BO34" s="296"/>
      <c r="BP34" s="294"/>
      <c r="BQ34" s="296"/>
      <c r="BS34" s="296"/>
      <c r="BT34" s="296"/>
      <c r="BU34" s="294"/>
      <c r="BV34" s="296"/>
      <c r="BW34" s="294"/>
      <c r="BX34" s="296"/>
      <c r="BY34" s="294"/>
      <c r="BZ34" s="296"/>
      <c r="CA34" s="294"/>
      <c r="CB34" s="296"/>
      <c r="CC34" s="294"/>
      <c r="CD34" s="296"/>
      <c r="CF34" s="296"/>
      <c r="CG34" s="296"/>
      <c r="CH34" s="294"/>
      <c r="CI34" s="296"/>
      <c r="CJ34" s="294"/>
      <c r="CK34" s="296"/>
      <c r="CL34" s="294"/>
      <c r="CM34" s="308"/>
      <c r="CN34" s="294"/>
      <c r="CO34" s="308"/>
      <c r="CP34" s="294"/>
      <c r="CQ34" s="308"/>
      <c r="CS34" s="296"/>
      <c r="CT34" s="296"/>
      <c r="CU34" s="294"/>
      <c r="CV34" s="294"/>
      <c r="CW34" s="294"/>
      <c r="CX34" s="296"/>
      <c r="CY34" s="294"/>
      <c r="CZ34" s="308"/>
      <c r="DA34" s="294"/>
      <c r="DB34" s="308"/>
      <c r="DC34" s="294"/>
      <c r="DF34" s="308"/>
      <c r="DH34" s="296"/>
      <c r="DJ34" s="296"/>
      <c r="DK34" s="296"/>
      <c r="DL34" s="294"/>
      <c r="DN34" s="294"/>
      <c r="DP34" s="294"/>
      <c r="DR34" s="308"/>
      <c r="DV34" s="308"/>
      <c r="DW34" s="287"/>
      <c r="DX34" s="287"/>
      <c r="DY34" s="294"/>
      <c r="DZ34" s="294">
        <f t="shared" si="20"/>
        <v>0</v>
      </c>
    </row>
    <row r="35" spans="1:130" ht="15.75" hidden="1" customHeight="1">
      <c r="A35" s="276" t="s">
        <v>299</v>
      </c>
      <c r="B35" s="296"/>
      <c r="C35" s="294"/>
      <c r="D35" s="296"/>
      <c r="E35" s="294"/>
      <c r="F35" s="296"/>
      <c r="G35" s="294"/>
      <c r="H35" s="296"/>
      <c r="I35" s="294"/>
      <c r="J35" s="296"/>
      <c r="K35" s="294"/>
      <c r="L35" s="296"/>
      <c r="M35" s="296">
        <f>B35</f>
        <v>0</v>
      </c>
      <c r="N35" s="294"/>
      <c r="O35" s="296"/>
      <c r="P35" s="294"/>
      <c r="Q35" s="294"/>
      <c r="R35" s="294"/>
      <c r="S35" s="294"/>
      <c r="U35" s="296"/>
      <c r="V35" s="294"/>
      <c r="W35" s="296"/>
      <c r="X35" s="296">
        <f>B35</f>
        <v>0</v>
      </c>
      <c r="Y35" s="294"/>
      <c r="Z35" s="296"/>
      <c r="AA35" s="294"/>
      <c r="AB35" s="296"/>
      <c r="AC35" s="294"/>
      <c r="AD35" s="296"/>
      <c r="AE35" s="294"/>
      <c r="AF35" s="296"/>
      <c r="AG35" s="294"/>
      <c r="AH35" s="296"/>
      <c r="AI35" s="296">
        <f>B35</f>
        <v>0</v>
      </c>
      <c r="AJ35" s="294"/>
      <c r="AK35" s="296"/>
      <c r="AL35" s="294"/>
      <c r="AM35" s="296"/>
      <c r="AN35" s="294"/>
      <c r="AO35" s="296"/>
      <c r="AP35" s="294"/>
      <c r="AQ35" s="308"/>
      <c r="AR35" s="294"/>
      <c r="AS35" s="296"/>
      <c r="AT35" s="296">
        <f>B35</f>
        <v>0</v>
      </c>
      <c r="AU35" s="294"/>
      <c r="AV35" s="308"/>
      <c r="AW35" s="294"/>
      <c r="AX35" s="308"/>
      <c r="AY35" s="294"/>
      <c r="AZ35" s="308"/>
      <c r="BA35" s="294"/>
      <c r="BC35" s="294"/>
      <c r="BF35" s="296"/>
      <c r="BG35" s="296">
        <f>+B35</f>
        <v>0</v>
      </c>
      <c r="BH35" s="294"/>
      <c r="BI35" s="296"/>
      <c r="BJ35" s="294"/>
      <c r="BL35" s="294"/>
      <c r="BN35" s="294"/>
      <c r="BO35" s="296"/>
      <c r="BP35" s="294"/>
      <c r="BQ35" s="296"/>
      <c r="BS35" s="296"/>
      <c r="BT35" s="296">
        <f>B35</f>
        <v>0</v>
      </c>
      <c r="BU35" s="294"/>
      <c r="BV35" s="296"/>
      <c r="BW35" s="294"/>
      <c r="BX35" s="296"/>
      <c r="BY35" s="294"/>
      <c r="BZ35" s="296"/>
      <c r="CA35" s="294"/>
      <c r="CB35" s="296"/>
      <c r="CC35" s="294"/>
      <c r="CD35" s="296"/>
      <c r="CF35" s="296"/>
      <c r="CG35" s="296">
        <f>M35</f>
        <v>0</v>
      </c>
      <c r="CH35" s="294"/>
      <c r="CI35" s="296"/>
      <c r="CJ35" s="294"/>
      <c r="CK35" s="296"/>
      <c r="CL35" s="294"/>
      <c r="CM35" s="308"/>
      <c r="CN35" s="294"/>
      <c r="CO35" s="308"/>
      <c r="CP35" s="294"/>
      <c r="CQ35" s="308"/>
      <c r="CS35" s="296"/>
      <c r="CT35" s="296">
        <f>X35</f>
        <v>0</v>
      </c>
      <c r="CU35" s="294"/>
      <c r="CV35" s="294"/>
      <c r="CW35" s="294"/>
      <c r="CX35" s="296"/>
      <c r="CY35" s="294"/>
      <c r="CZ35" s="308"/>
      <c r="DA35" s="294"/>
      <c r="DB35" s="308"/>
      <c r="DC35" s="294"/>
      <c r="DF35" s="308"/>
      <c r="DH35" s="296"/>
      <c r="DJ35" s="296"/>
      <c r="DK35" s="296">
        <f>AI35</f>
        <v>0</v>
      </c>
      <c r="DL35" s="294"/>
      <c r="DN35" s="294"/>
      <c r="DP35" s="294"/>
      <c r="DR35" s="308"/>
      <c r="DV35" s="308"/>
      <c r="DW35" s="287"/>
      <c r="DX35" s="287"/>
      <c r="DY35" s="294"/>
      <c r="DZ35" s="294">
        <f t="shared" si="20"/>
        <v>0</v>
      </c>
    </row>
    <row r="36" spans="1:130" ht="15.75">
      <c r="A36" s="276"/>
      <c r="B36" s="296"/>
      <c r="C36" s="337"/>
      <c r="D36" s="296"/>
      <c r="E36" s="337"/>
      <c r="F36" s="296"/>
      <c r="G36" s="337"/>
      <c r="H36" s="296"/>
      <c r="I36" s="337"/>
      <c r="J36" s="296"/>
      <c r="K36" s="337"/>
      <c r="L36" s="296"/>
      <c r="M36" s="296"/>
      <c r="N36" s="337"/>
      <c r="O36" s="296"/>
      <c r="P36" s="337"/>
      <c r="Q36" s="294"/>
      <c r="R36" s="337"/>
      <c r="S36" s="294"/>
      <c r="T36" s="337"/>
      <c r="U36" s="296"/>
      <c r="V36" s="337"/>
      <c r="W36" s="296"/>
      <c r="X36" s="296"/>
      <c r="Y36" s="337"/>
      <c r="Z36" s="296"/>
      <c r="AA36" s="337"/>
      <c r="AB36" s="296"/>
      <c r="AC36" s="337"/>
      <c r="AD36" s="296"/>
      <c r="AE36" s="337"/>
      <c r="AF36" s="296"/>
      <c r="AG36" s="337"/>
      <c r="AH36" s="296"/>
      <c r="AI36" s="296"/>
      <c r="AJ36" s="337"/>
      <c r="AK36" s="296"/>
      <c r="AL36" s="337"/>
      <c r="AM36" s="296"/>
      <c r="AN36" s="337"/>
      <c r="AO36" s="296"/>
      <c r="AP36" s="337"/>
      <c r="AQ36" s="308"/>
      <c r="AR36" s="337"/>
      <c r="AS36" s="296"/>
      <c r="AT36" s="296"/>
      <c r="AU36" s="337"/>
      <c r="AV36" s="308"/>
      <c r="AW36" s="337"/>
      <c r="AX36" s="308"/>
      <c r="AY36" s="337"/>
      <c r="AZ36" s="308"/>
      <c r="BA36" s="337"/>
      <c r="BC36" s="337"/>
      <c r="BF36" s="296"/>
      <c r="BG36" s="296"/>
      <c r="BH36" s="337"/>
      <c r="BI36" s="296"/>
      <c r="BJ36" s="337"/>
      <c r="BL36" s="337"/>
      <c r="BN36" s="337"/>
      <c r="BO36" s="296"/>
      <c r="BP36" s="337"/>
      <c r="BQ36" s="296"/>
      <c r="BS36" s="296"/>
      <c r="BT36" s="296"/>
      <c r="BU36" s="337"/>
      <c r="BV36" s="296"/>
      <c r="BW36" s="337"/>
      <c r="BX36" s="296"/>
      <c r="BY36" s="337"/>
      <c r="BZ36" s="296"/>
      <c r="CA36" s="337"/>
      <c r="CB36" s="296"/>
      <c r="CC36" s="337"/>
      <c r="CD36" s="296"/>
      <c r="CF36" s="296"/>
      <c r="CG36" s="296"/>
      <c r="CH36" s="337"/>
      <c r="CI36" s="296"/>
      <c r="CJ36" s="337"/>
      <c r="CK36" s="296"/>
      <c r="CL36" s="337"/>
      <c r="CM36" s="308"/>
      <c r="CN36" s="337"/>
      <c r="CO36" s="308"/>
      <c r="CP36" s="337"/>
      <c r="CQ36" s="308"/>
      <c r="CS36" s="296"/>
      <c r="CT36" s="296"/>
      <c r="CU36" s="337"/>
      <c r="CV36" s="294"/>
      <c r="CW36" s="337"/>
      <c r="CX36" s="296"/>
      <c r="CY36" s="337"/>
      <c r="CZ36" s="308"/>
      <c r="DA36" s="337"/>
      <c r="DB36" s="308"/>
      <c r="DC36" s="337"/>
      <c r="DF36" s="308"/>
      <c r="DH36" s="296"/>
      <c r="DJ36" s="296"/>
      <c r="DK36" s="296"/>
      <c r="DL36" s="337"/>
      <c r="DN36" s="337"/>
      <c r="DP36" s="337"/>
      <c r="DR36" s="308"/>
      <c r="DV36" s="308"/>
      <c r="DW36" s="287"/>
      <c r="DX36" s="287"/>
      <c r="DY36" s="294"/>
      <c r="DZ36" s="337"/>
    </row>
    <row r="37" spans="1:130" ht="21.75" customHeight="1">
      <c r="A37" s="276"/>
      <c r="B37" s="314" t="str">
        <f>INPUT!B114</f>
        <v xml:space="preserve">          Total assets</v>
      </c>
      <c r="C37" s="568">
        <f>SUM(C14:C35)</f>
        <v>373712</v>
      </c>
      <c r="D37" s="314"/>
      <c r="E37" s="568">
        <f t="shared" ref="E37" si="21">SUM(E14:E35)</f>
        <v>3969</v>
      </c>
      <c r="F37" s="314"/>
      <c r="G37" s="568">
        <f t="shared" ref="G37" si="22">SUM(G14:G35)</f>
        <v>81553</v>
      </c>
      <c r="H37" s="314"/>
      <c r="I37" s="568">
        <f t="shared" ref="I37" si="23">SUM(I14:I35)</f>
        <v>387598</v>
      </c>
      <c r="J37" s="314"/>
      <c r="K37" s="568">
        <f t="shared" ref="K37" si="24">SUM(K14:K35)</f>
        <v>194242</v>
      </c>
      <c r="L37" s="314"/>
      <c r="M37" s="314" t="str">
        <f>B37</f>
        <v xml:space="preserve">          Total assets</v>
      </c>
      <c r="N37" s="568">
        <f t="shared" ref="N37:V37" si="25">SUM(N14:N35)</f>
        <v>2188101</v>
      </c>
      <c r="O37" s="314"/>
      <c r="P37" s="568">
        <f t="shared" si="25"/>
        <v>1370</v>
      </c>
      <c r="Q37" s="314"/>
      <c r="R37" s="568">
        <f t="shared" si="25"/>
        <v>25519</v>
      </c>
      <c r="S37" s="314"/>
      <c r="T37" s="568">
        <f t="shared" si="25"/>
        <v>717768</v>
      </c>
      <c r="U37" s="314"/>
      <c r="V37" s="568">
        <f t="shared" si="25"/>
        <v>88199</v>
      </c>
      <c r="W37" s="314"/>
      <c r="X37" s="314" t="str">
        <f>B37</f>
        <v xml:space="preserve">          Total assets</v>
      </c>
      <c r="Y37" s="568">
        <f>SUM(Y14:Y35)</f>
        <v>60810</v>
      </c>
      <c r="Z37" s="314"/>
      <c r="AA37" s="568">
        <f>SUM(AA14:AA35)</f>
        <v>224345</v>
      </c>
      <c r="AB37" s="314"/>
      <c r="AC37" s="568">
        <f>SUM(AC14:AC35)</f>
        <v>389750</v>
      </c>
      <c r="AD37" s="314"/>
      <c r="AE37" s="568">
        <f>SUM(AE14:AE35)</f>
        <v>1064325</v>
      </c>
      <c r="AF37" s="314"/>
      <c r="AG37" s="568">
        <f>SUM(AG14:AG35)</f>
        <v>361</v>
      </c>
      <c r="AH37" s="314"/>
      <c r="AI37" s="314" t="str">
        <f>B37</f>
        <v xml:space="preserve">          Total assets</v>
      </c>
      <c r="AJ37" s="568">
        <f>SUM(AJ14:AJ35)</f>
        <v>748021</v>
      </c>
      <c r="AK37" s="314"/>
      <c r="AL37" s="568">
        <f>SUM(AL14:AL35)</f>
        <v>6977</v>
      </c>
      <c r="AM37" s="314"/>
      <c r="AN37" s="568">
        <f>SUM(AN14:AN35)</f>
        <v>260634</v>
      </c>
      <c r="AO37" s="314"/>
      <c r="AP37" s="568">
        <f>SUM(AP14:AP35)</f>
        <v>35779</v>
      </c>
      <c r="AQ37" s="314"/>
      <c r="AR37" s="568">
        <f>SUM(AR14:AR35)</f>
        <v>107003</v>
      </c>
      <c r="AS37" s="314"/>
      <c r="AT37" s="314" t="str">
        <f>B37</f>
        <v xml:space="preserve">          Total assets</v>
      </c>
      <c r="AU37" s="568">
        <f>SUM(AU14:AU35)</f>
        <v>100039</v>
      </c>
      <c r="AV37" s="314"/>
      <c r="AW37" s="568">
        <f>SUM(AW14:AW35)</f>
        <v>1768889</v>
      </c>
      <c r="AX37" s="314"/>
      <c r="AY37" s="568">
        <f>SUM(AY14:AY35)</f>
        <v>238913</v>
      </c>
      <c r="AZ37" s="314"/>
      <c r="BA37" s="568">
        <f>SUM(BA14:BA35)</f>
        <v>28133</v>
      </c>
      <c r="BB37" s="314"/>
      <c r="BC37" s="568">
        <f>SUM(BC14:BC35)</f>
        <v>82435</v>
      </c>
      <c r="BF37" s="314"/>
      <c r="BG37" s="314" t="str">
        <f>+B37</f>
        <v xml:space="preserve">          Total assets</v>
      </c>
      <c r="BH37" s="568">
        <f>SUM(BH14:BH35)</f>
        <v>21202</v>
      </c>
      <c r="BI37" s="314"/>
      <c r="BJ37" s="568">
        <f>SUM(BJ14:BJ35)</f>
        <v>422641</v>
      </c>
      <c r="BK37" s="314"/>
      <c r="BL37" s="568">
        <f>SUM(BL14:BL35)</f>
        <v>253738</v>
      </c>
      <c r="BM37" s="314"/>
      <c r="BN37" s="568">
        <f>SUM(BN14:BN35)</f>
        <v>21826</v>
      </c>
      <c r="BO37" s="314"/>
      <c r="BP37" s="568">
        <f>SUM(BP14:BP35)</f>
        <v>62464</v>
      </c>
      <c r="BQ37" s="314"/>
      <c r="BS37" s="314"/>
      <c r="BT37" s="314" t="str">
        <f>B37</f>
        <v xml:space="preserve">          Total assets</v>
      </c>
      <c r="BU37" s="568">
        <f>SUM(BU14:BU36)</f>
        <v>5768</v>
      </c>
      <c r="BV37" s="314"/>
      <c r="BW37" s="568">
        <f>SUM(BW14:BW36)</f>
        <v>35534</v>
      </c>
      <c r="BX37" s="314"/>
      <c r="BY37" s="568">
        <f>SUM(BY14:BY36)</f>
        <v>39899</v>
      </c>
      <c r="BZ37" s="314"/>
      <c r="CA37" s="568">
        <f>SUM(CA14:CA36)</f>
        <v>168446</v>
      </c>
      <c r="CB37" s="314"/>
      <c r="CC37" s="568">
        <f>SUM(CC14:CC36)</f>
        <v>0</v>
      </c>
      <c r="CD37" s="314"/>
      <c r="CF37" s="314"/>
      <c r="CG37" s="314" t="str">
        <f>M37</f>
        <v xml:space="preserve">          Total assets</v>
      </c>
      <c r="CH37" s="568">
        <f>SUM(CH14:CH36)</f>
        <v>1675727</v>
      </c>
      <c r="CI37" s="314"/>
      <c r="CJ37" s="568">
        <f>SUM(CJ14:CJ35)</f>
        <v>872198</v>
      </c>
      <c r="CK37" s="314"/>
      <c r="CL37" s="568">
        <f>SUM(CL14:CL35)</f>
        <v>104504</v>
      </c>
      <c r="CM37" s="314"/>
      <c r="CN37" s="568">
        <f>SUM(CN14:CN35)</f>
        <v>96879</v>
      </c>
      <c r="CO37" s="314"/>
      <c r="CP37" s="568">
        <f>SUM(CP14:CP35)</f>
        <v>656704</v>
      </c>
      <c r="CQ37" s="308"/>
      <c r="CS37" s="314"/>
      <c r="CT37" s="314" t="str">
        <f>X37</f>
        <v xml:space="preserve">          Total assets</v>
      </c>
      <c r="CU37" s="568">
        <f>SUM(CU14:CU35)</f>
        <v>61190</v>
      </c>
      <c r="CV37" s="314"/>
      <c r="CW37" s="568">
        <f>SUM(CW14:CW35)</f>
        <v>0</v>
      </c>
      <c r="CX37" s="314"/>
      <c r="CY37" s="568">
        <f>SUM(CY14:CY35)</f>
        <v>0</v>
      </c>
      <c r="CZ37" s="314"/>
      <c r="DA37" s="568">
        <f>SUM(DA14:DA35)</f>
        <v>0</v>
      </c>
      <c r="DB37" s="314"/>
      <c r="DC37" s="568">
        <f>SUM(DC14:DC35)</f>
        <v>17572</v>
      </c>
      <c r="DF37" s="308"/>
      <c r="DH37" s="314"/>
      <c r="DJ37" s="314"/>
      <c r="DK37" s="314" t="str">
        <f>AI37</f>
        <v xml:space="preserve">          Total assets</v>
      </c>
      <c r="DL37" s="568">
        <f>SUM(DL14:DL35)</f>
        <v>0</v>
      </c>
      <c r="DM37" s="374"/>
      <c r="DN37" s="300"/>
      <c r="DO37" s="374"/>
      <c r="DP37" s="568">
        <f>SUM(DP14:DP36)</f>
        <v>371646</v>
      </c>
      <c r="DR37" s="308"/>
      <c r="DV37" s="308"/>
      <c r="DW37" s="287"/>
      <c r="DX37" s="287"/>
      <c r="DY37" s="326"/>
      <c r="DZ37" s="568">
        <f>SUM(DZ14:DZ35)</f>
        <v>14066383</v>
      </c>
    </row>
    <row r="38" spans="1:130" ht="8.25" customHeight="1">
      <c r="A38" s="276"/>
      <c r="B38" s="314"/>
      <c r="C38" s="326"/>
      <c r="D38" s="314"/>
      <c r="E38" s="326"/>
      <c r="F38" s="314"/>
      <c r="G38" s="326"/>
      <c r="H38" s="314"/>
      <c r="I38" s="326"/>
      <c r="J38" s="314"/>
      <c r="K38" s="326"/>
      <c r="L38" s="314"/>
      <c r="M38" s="314"/>
      <c r="N38" s="326"/>
      <c r="O38" s="314"/>
      <c r="P38" s="326"/>
      <c r="Q38" s="314"/>
      <c r="R38" s="326"/>
      <c r="S38" s="314"/>
      <c r="T38" s="326"/>
      <c r="U38" s="314"/>
      <c r="V38" s="326"/>
      <c r="W38" s="314"/>
      <c r="X38" s="314"/>
      <c r="Y38" s="326"/>
      <c r="Z38" s="314"/>
      <c r="AA38" s="326"/>
      <c r="AB38" s="314"/>
      <c r="AC38" s="326"/>
      <c r="AD38" s="314"/>
      <c r="AE38" s="326"/>
      <c r="AF38" s="314"/>
      <c r="AG38" s="326"/>
      <c r="AH38" s="314"/>
      <c r="AI38" s="314"/>
      <c r="AJ38" s="326"/>
      <c r="AK38" s="314"/>
      <c r="AL38" s="326"/>
      <c r="AM38" s="314"/>
      <c r="AN38" s="326"/>
      <c r="AO38" s="314"/>
      <c r="AP38" s="326"/>
      <c r="AQ38" s="308"/>
      <c r="AR38" s="326"/>
      <c r="AS38" s="314"/>
      <c r="AT38" s="314"/>
      <c r="AU38" s="326"/>
      <c r="AV38" s="308"/>
      <c r="AW38" s="326"/>
      <c r="AX38" s="308"/>
      <c r="AY38" s="326"/>
      <c r="AZ38" s="308"/>
      <c r="BA38" s="326"/>
      <c r="BC38" s="326"/>
      <c r="BF38" s="314"/>
      <c r="BG38" s="314"/>
      <c r="BH38" s="326"/>
      <c r="BI38" s="314"/>
      <c r="BJ38" s="326"/>
      <c r="BL38" s="326"/>
      <c r="BN38" s="326"/>
      <c r="BO38" s="314"/>
      <c r="BP38" s="326"/>
      <c r="BQ38" s="314"/>
      <c r="BS38" s="314"/>
      <c r="BT38" s="314"/>
      <c r="BU38" s="326"/>
      <c r="BV38" s="314"/>
      <c r="BW38" s="326"/>
      <c r="BX38" s="314"/>
      <c r="BY38" s="326"/>
      <c r="BZ38" s="314"/>
      <c r="CA38" s="326"/>
      <c r="CB38" s="314"/>
      <c r="CC38" s="326"/>
      <c r="CD38" s="314"/>
      <c r="CF38" s="314"/>
      <c r="CG38" s="314"/>
      <c r="CH38" s="326"/>
      <c r="CI38" s="314"/>
      <c r="CJ38" s="326"/>
      <c r="CK38" s="314"/>
      <c r="CL38" s="326"/>
      <c r="CM38" s="308"/>
      <c r="CN38" s="326"/>
      <c r="CO38" s="308"/>
      <c r="CP38" s="326"/>
      <c r="CQ38" s="308"/>
      <c r="CS38" s="314"/>
      <c r="CT38" s="314"/>
      <c r="CU38" s="326"/>
      <c r="CV38" s="326"/>
      <c r="CW38" s="326"/>
      <c r="CX38" s="314"/>
      <c r="CY38" s="326"/>
      <c r="CZ38" s="308"/>
      <c r="DA38" s="326"/>
      <c r="DB38" s="308"/>
      <c r="DC38" s="326"/>
      <c r="DF38" s="308"/>
      <c r="DH38" s="314"/>
      <c r="DJ38" s="314"/>
      <c r="DK38" s="314"/>
      <c r="DL38" s="326"/>
      <c r="DN38" s="326"/>
      <c r="DP38" s="326"/>
      <c r="DR38" s="308"/>
      <c r="DV38" s="308"/>
      <c r="DW38" s="287"/>
      <c r="DX38" s="287"/>
      <c r="DY38" s="326"/>
      <c r="DZ38" s="326"/>
    </row>
    <row r="39" spans="1:130" ht="21.75" customHeight="1">
      <c r="A39" s="276"/>
      <c r="B39" s="314" t="str">
        <f>INPUT!B116</f>
        <v>DEFERRED OUTFLOWS OF RESOURCES</v>
      </c>
      <c r="C39" s="326"/>
      <c r="D39" s="314"/>
      <c r="E39" s="326"/>
      <c r="F39" s="314"/>
      <c r="G39" s="326"/>
      <c r="H39" s="314"/>
      <c r="I39" s="326"/>
      <c r="J39" s="314"/>
      <c r="K39" s="326"/>
      <c r="L39" s="314"/>
      <c r="M39" s="314" t="str">
        <f>INPUT!B116</f>
        <v>DEFERRED OUTFLOWS OF RESOURCES</v>
      </c>
      <c r="N39" s="326"/>
      <c r="O39" s="314"/>
      <c r="P39" s="326"/>
      <c r="Q39" s="314"/>
      <c r="R39" s="326"/>
      <c r="S39" s="314"/>
      <c r="T39" s="326"/>
      <c r="U39" s="314"/>
      <c r="V39" s="326"/>
      <c r="W39" s="314"/>
      <c r="X39" s="314" t="str">
        <f>INPUT!B116</f>
        <v>DEFERRED OUTFLOWS OF RESOURCES</v>
      </c>
      <c r="Y39" s="326"/>
      <c r="Z39" s="314"/>
      <c r="AA39" s="326"/>
      <c r="AB39" s="314"/>
      <c r="AC39" s="326"/>
      <c r="AD39" s="314"/>
      <c r="AE39" s="326"/>
      <c r="AF39" s="314"/>
      <c r="AG39" s="326"/>
      <c r="AH39" s="314"/>
      <c r="AI39" s="314" t="str">
        <f>INPUT!B116</f>
        <v>DEFERRED OUTFLOWS OF RESOURCES</v>
      </c>
      <c r="AJ39" s="326"/>
      <c r="AK39" s="314"/>
      <c r="AL39" s="326"/>
      <c r="AM39" s="314"/>
      <c r="AN39" s="326"/>
      <c r="AO39" s="314"/>
      <c r="AP39" s="326"/>
      <c r="AQ39" s="308"/>
      <c r="AR39" s="326"/>
      <c r="AS39" s="314"/>
      <c r="AT39" s="314" t="str">
        <f>INPUT!B116</f>
        <v>DEFERRED OUTFLOWS OF RESOURCES</v>
      </c>
      <c r="AU39" s="326"/>
      <c r="AV39" s="308"/>
      <c r="AW39" s="326"/>
      <c r="AX39" s="308"/>
      <c r="AY39" s="326"/>
      <c r="AZ39" s="308"/>
      <c r="BA39" s="326"/>
      <c r="BC39" s="326"/>
      <c r="BF39" s="314"/>
      <c r="BG39" s="314" t="str">
        <f>INPUT!B116</f>
        <v>DEFERRED OUTFLOWS OF RESOURCES</v>
      </c>
      <c r="BH39" s="326"/>
      <c r="BI39" s="314"/>
      <c r="BJ39" s="326"/>
      <c r="BL39" s="326"/>
      <c r="BN39" s="326"/>
      <c r="BO39" s="314"/>
      <c r="BP39" s="326"/>
      <c r="BQ39" s="314"/>
      <c r="BS39" s="314"/>
      <c r="BT39" s="314" t="str">
        <f>INPUT!B116</f>
        <v>DEFERRED OUTFLOWS OF RESOURCES</v>
      </c>
      <c r="BU39" s="326"/>
      <c r="BV39" s="314"/>
      <c r="BW39" s="326"/>
      <c r="BX39" s="314"/>
      <c r="BY39" s="326"/>
      <c r="BZ39" s="314"/>
      <c r="CA39" s="326"/>
      <c r="CB39" s="314"/>
      <c r="CC39" s="326"/>
      <c r="CD39" s="314"/>
      <c r="CF39" s="314"/>
      <c r="CG39" s="314" t="str">
        <f>INPUT!B116</f>
        <v>DEFERRED OUTFLOWS OF RESOURCES</v>
      </c>
      <c r="CH39" s="326"/>
      <c r="CI39" s="314"/>
      <c r="CJ39" s="326"/>
      <c r="CK39" s="314"/>
      <c r="CL39" s="326"/>
      <c r="CM39" s="308"/>
      <c r="CN39" s="326"/>
      <c r="CO39" s="308"/>
      <c r="CP39" s="326"/>
      <c r="CQ39" s="308"/>
      <c r="CS39" s="314"/>
      <c r="CT39" s="314" t="str">
        <f>INPUT!B116</f>
        <v>DEFERRED OUTFLOWS OF RESOURCES</v>
      </c>
      <c r="CU39" s="326"/>
      <c r="CV39" s="326"/>
      <c r="CW39" s="326"/>
      <c r="CX39" s="314"/>
      <c r="CY39" s="326"/>
      <c r="CZ39" s="308"/>
      <c r="DA39" s="326"/>
      <c r="DB39" s="308"/>
      <c r="DC39" s="326"/>
      <c r="DF39" s="308"/>
      <c r="DH39" s="314"/>
      <c r="DJ39" s="314"/>
      <c r="DK39" s="314" t="str">
        <f>INPUT!B116</f>
        <v>DEFERRED OUTFLOWS OF RESOURCES</v>
      </c>
      <c r="DL39" s="326"/>
      <c r="DN39" s="326"/>
      <c r="DP39" s="326"/>
      <c r="DR39" s="308"/>
      <c r="DV39" s="308"/>
      <c r="DW39" s="287"/>
      <c r="DX39" s="287"/>
      <c r="DY39" s="326"/>
      <c r="DZ39" s="326"/>
    </row>
    <row r="40" spans="1:130" ht="21.75" customHeight="1">
      <c r="A40" s="276"/>
      <c r="B40" s="296" t="str">
        <f>INPUT!B117</f>
        <v xml:space="preserve">     Prepayments of costs</v>
      </c>
      <c r="C40" s="318">
        <f>+INPUT!E117</f>
        <v>0</v>
      </c>
      <c r="D40" s="296"/>
      <c r="E40" s="318">
        <f>+INPUT!F117</f>
        <v>0</v>
      </c>
      <c r="F40" s="296"/>
      <c r="G40" s="318">
        <f>+INPUT!G117</f>
        <v>0</v>
      </c>
      <c r="H40" s="296"/>
      <c r="I40" s="318">
        <f>+INPUT!H117</f>
        <v>0</v>
      </c>
      <c r="J40" s="296"/>
      <c r="K40" s="318">
        <f>INPUT!I117</f>
        <v>4635</v>
      </c>
      <c r="L40" s="296"/>
      <c r="M40" s="296" t="str">
        <f t="shared" ref="M40" si="26">B40</f>
        <v xml:space="preserve">     Prepayments of costs</v>
      </c>
      <c r="N40" s="318">
        <f>INPUT!J117</f>
        <v>0</v>
      </c>
      <c r="O40" s="296"/>
      <c r="P40" s="318">
        <f>INPUT!K117</f>
        <v>0</v>
      </c>
      <c r="Q40" s="294"/>
      <c r="R40" s="318">
        <f>INPUT!L117</f>
        <v>0</v>
      </c>
      <c r="S40" s="294"/>
      <c r="T40" s="318">
        <f>INPUT!M117</f>
        <v>0</v>
      </c>
      <c r="U40" s="296"/>
      <c r="V40" s="318">
        <f>INPUT!N117</f>
        <v>0</v>
      </c>
      <c r="W40" s="296"/>
      <c r="X40" s="296" t="str">
        <f t="shared" ref="X40" si="27">B40</f>
        <v xml:space="preserve">     Prepayments of costs</v>
      </c>
      <c r="Y40" s="318">
        <f>INPUT!O117</f>
        <v>0</v>
      </c>
      <c r="Z40" s="296"/>
      <c r="AA40" s="318">
        <f>INPUT!Q117</f>
        <v>0</v>
      </c>
      <c r="AB40" s="296"/>
      <c r="AC40" s="318">
        <f>+INPUT!R117</f>
        <v>0</v>
      </c>
      <c r="AD40" s="296"/>
      <c r="AE40" s="318">
        <f>+INPUT!S117</f>
        <v>0</v>
      </c>
      <c r="AF40" s="296"/>
      <c r="AG40" s="318">
        <f>INPUT!T117</f>
        <v>0</v>
      </c>
      <c r="AH40" s="296"/>
      <c r="AI40" s="296" t="str">
        <f t="shared" ref="AI40" si="28">B40</f>
        <v xml:space="preserve">     Prepayments of costs</v>
      </c>
      <c r="AJ40" s="318">
        <f>+INPUT!U117</f>
        <v>0</v>
      </c>
      <c r="AK40" s="296"/>
      <c r="AL40" s="318">
        <f>INPUT!V117</f>
        <v>0</v>
      </c>
      <c r="AM40" s="296"/>
      <c r="AN40" s="318">
        <f>+INPUT!W117</f>
        <v>0</v>
      </c>
      <c r="AO40" s="296"/>
      <c r="AP40" s="318">
        <f>+INPUT!Y117</f>
        <v>0</v>
      </c>
      <c r="AQ40" s="308"/>
      <c r="AR40" s="318">
        <f>+INPUT!Z117</f>
        <v>0</v>
      </c>
      <c r="AS40" s="296"/>
      <c r="AT40" s="296" t="str">
        <f t="shared" ref="AT40" si="29">B40</f>
        <v xml:space="preserve">     Prepayments of costs</v>
      </c>
      <c r="AU40" s="318">
        <f>INPUT!AA117</f>
        <v>0</v>
      </c>
      <c r="AV40" s="308"/>
      <c r="AW40" s="318">
        <f>INPUT!AB117</f>
        <v>0</v>
      </c>
      <c r="AX40" s="308"/>
      <c r="AY40" s="318">
        <f>INPUT!AC117</f>
        <v>0</v>
      </c>
      <c r="AZ40" s="308"/>
      <c r="BA40" s="318">
        <f>INPUT!AD117</f>
        <v>0</v>
      </c>
      <c r="BC40" s="318">
        <f>+INPUT!AE117</f>
        <v>0</v>
      </c>
      <c r="BF40" s="296"/>
      <c r="BG40" s="296" t="str">
        <f t="shared" ref="BG40" si="30">+B40</f>
        <v xml:space="preserve">     Prepayments of costs</v>
      </c>
      <c r="BH40" s="318">
        <f>INPUT!AF117</f>
        <v>0</v>
      </c>
      <c r="BI40" s="296"/>
      <c r="BJ40" s="318">
        <f>INPUT!AG117</f>
        <v>0</v>
      </c>
      <c r="BL40" s="318">
        <f>+INPUT!AH117</f>
        <v>0</v>
      </c>
      <c r="BN40" s="318">
        <f>+INPUT!AI117</f>
        <v>0</v>
      </c>
      <c r="BO40" s="296"/>
      <c r="BP40" s="318">
        <f>+INPUT!AJ117</f>
        <v>0</v>
      </c>
      <c r="BQ40" s="296"/>
      <c r="BS40" s="296"/>
      <c r="BT40" s="296" t="str">
        <f t="shared" ref="BT40" si="31">B40</f>
        <v xml:space="preserve">     Prepayments of costs</v>
      </c>
      <c r="BU40" s="318">
        <f>+INPUT!AK117</f>
        <v>0</v>
      </c>
      <c r="BV40" s="296"/>
      <c r="BW40" s="318">
        <f>+INPUT!AL117</f>
        <v>0</v>
      </c>
      <c r="BX40" s="296"/>
      <c r="BY40" s="318">
        <f>+INPUT!AM117</f>
        <v>0</v>
      </c>
      <c r="BZ40" s="296"/>
      <c r="CA40" s="318">
        <f>+INPUT!AN117</f>
        <v>0</v>
      </c>
      <c r="CB40" s="296"/>
      <c r="CC40" s="294">
        <f>+INPUT!AO117</f>
        <v>0</v>
      </c>
      <c r="CD40" s="296"/>
      <c r="CF40" s="296"/>
      <c r="CG40" s="296" t="str">
        <f t="shared" ref="CG40" si="32">M40</f>
        <v xml:space="preserve">     Prepayments of costs</v>
      </c>
      <c r="CH40" s="318">
        <f>+INPUT!AP117</f>
        <v>0</v>
      </c>
      <c r="CI40" s="296"/>
      <c r="CJ40" s="318">
        <f>+INPUT!AQ117</f>
        <v>0</v>
      </c>
      <c r="CK40" s="296"/>
      <c r="CL40" s="318">
        <f>+INPUT!AR117</f>
        <v>0</v>
      </c>
      <c r="CM40" s="308"/>
      <c r="CN40" s="318">
        <f>+INPUT!AS117</f>
        <v>0</v>
      </c>
      <c r="CO40" s="308"/>
      <c r="CP40" s="318">
        <f>+INPUT!AT117</f>
        <v>0</v>
      </c>
      <c r="CQ40" s="308"/>
      <c r="CS40" s="296"/>
      <c r="CT40" s="296" t="str">
        <f t="shared" ref="CT40" si="33">X40</f>
        <v xml:space="preserve">     Prepayments of costs</v>
      </c>
      <c r="CU40" s="318">
        <f>INPUT!AU117</f>
        <v>0</v>
      </c>
      <c r="CV40" s="294"/>
      <c r="CW40" s="318">
        <f>+INPUT!AV117</f>
        <v>0</v>
      </c>
      <c r="CX40" s="296"/>
      <c r="CY40" s="318">
        <f>+INPUT!AX117</f>
        <v>0</v>
      </c>
      <c r="CZ40" s="308"/>
      <c r="DA40" s="318">
        <f>INPUT!AY117</f>
        <v>0</v>
      </c>
      <c r="DB40" s="308"/>
      <c r="DC40" s="318">
        <f>+INPUT!AZ117</f>
        <v>0</v>
      </c>
      <c r="DF40" s="308"/>
      <c r="DH40" s="296"/>
      <c r="DJ40" s="296"/>
      <c r="DK40" s="296" t="str">
        <f t="shared" ref="DK40" si="34">AI40</f>
        <v xml:space="preserve">     Prepayments of costs</v>
      </c>
      <c r="DL40" s="318">
        <f>+INPUT!BA117</f>
        <v>0</v>
      </c>
      <c r="DN40" s="294"/>
      <c r="DP40" s="318">
        <f>+INPUT!BD117</f>
        <v>0</v>
      </c>
      <c r="DR40" s="308"/>
      <c r="DV40" s="308"/>
      <c r="DW40" s="287"/>
      <c r="DX40" s="287"/>
      <c r="DY40" s="294"/>
      <c r="DZ40" s="318">
        <f t="shared" ref="DZ40" si="35">SUM(C40:DY40)</f>
        <v>4635</v>
      </c>
    </row>
    <row r="41" spans="1:130" ht="21.75" customHeight="1">
      <c r="A41" s="276"/>
      <c r="B41" s="296"/>
      <c r="C41" s="294"/>
      <c r="D41" s="296"/>
      <c r="E41" s="294"/>
      <c r="F41" s="296"/>
      <c r="G41" s="294"/>
      <c r="H41" s="296"/>
      <c r="I41" s="294"/>
      <c r="J41" s="296"/>
      <c r="K41" s="294"/>
      <c r="L41" s="296"/>
      <c r="M41" s="296"/>
      <c r="N41" s="294"/>
      <c r="O41" s="296"/>
      <c r="P41" s="294"/>
      <c r="Q41" s="294"/>
      <c r="R41" s="294"/>
      <c r="S41" s="294"/>
      <c r="T41" s="294"/>
      <c r="U41" s="296"/>
      <c r="V41" s="294"/>
      <c r="W41" s="296"/>
      <c r="X41" s="296"/>
      <c r="Y41" s="294"/>
      <c r="Z41" s="296"/>
      <c r="AA41" s="294"/>
      <c r="AB41" s="296"/>
      <c r="AC41" s="294"/>
      <c r="AD41" s="296"/>
      <c r="AE41" s="294"/>
      <c r="AF41" s="296"/>
      <c r="AG41" s="294"/>
      <c r="AH41" s="296"/>
      <c r="AI41" s="296"/>
      <c r="AJ41" s="294"/>
      <c r="AK41" s="296"/>
      <c r="AL41" s="294"/>
      <c r="AM41" s="296"/>
      <c r="AN41" s="294"/>
      <c r="AO41" s="296"/>
      <c r="AP41" s="294"/>
      <c r="AQ41" s="308"/>
      <c r="AR41" s="294"/>
      <c r="AS41" s="296"/>
      <c r="AT41" s="296"/>
      <c r="AU41" s="294"/>
      <c r="AV41" s="308"/>
      <c r="AW41" s="294"/>
      <c r="AX41" s="308"/>
      <c r="AY41" s="294"/>
      <c r="AZ41" s="308"/>
      <c r="BA41" s="294"/>
      <c r="BC41" s="294"/>
      <c r="BF41" s="296"/>
      <c r="BG41" s="296"/>
      <c r="BH41" s="294"/>
      <c r="BI41" s="296"/>
      <c r="BJ41" s="294"/>
      <c r="BL41" s="294"/>
      <c r="BN41" s="294"/>
      <c r="BO41" s="296"/>
      <c r="BP41" s="294"/>
      <c r="BQ41" s="296"/>
      <c r="BS41" s="296"/>
      <c r="BT41" s="296"/>
      <c r="BU41" s="294"/>
      <c r="BV41" s="296"/>
      <c r="BW41" s="294"/>
      <c r="BX41" s="296"/>
      <c r="BY41" s="294"/>
      <c r="BZ41" s="296"/>
      <c r="CA41" s="294"/>
      <c r="CB41" s="296"/>
      <c r="CC41" s="294"/>
      <c r="CD41" s="296"/>
      <c r="CF41" s="296"/>
      <c r="CG41" s="296"/>
      <c r="CH41" s="294"/>
      <c r="CI41" s="296"/>
      <c r="CJ41" s="294"/>
      <c r="CK41" s="296"/>
      <c r="CL41" s="294"/>
      <c r="CM41" s="308"/>
      <c r="CN41" s="294"/>
      <c r="CO41" s="308"/>
      <c r="CP41" s="294"/>
      <c r="CQ41" s="308"/>
      <c r="CS41" s="296"/>
      <c r="CT41" s="296"/>
      <c r="CU41" s="294"/>
      <c r="CV41" s="294"/>
      <c r="CW41" s="294"/>
      <c r="CX41" s="296"/>
      <c r="CY41" s="294"/>
      <c r="CZ41" s="308"/>
      <c r="DA41" s="294"/>
      <c r="DB41" s="308"/>
      <c r="DC41" s="294"/>
      <c r="DF41" s="308"/>
      <c r="DH41" s="296"/>
      <c r="DJ41" s="296"/>
      <c r="DK41" s="296"/>
      <c r="DL41" s="294"/>
      <c r="DN41" s="294"/>
      <c r="DP41" s="294"/>
      <c r="DR41" s="308"/>
      <c r="DV41" s="308"/>
      <c r="DW41" s="287"/>
      <c r="DX41" s="287"/>
      <c r="DY41" s="294"/>
      <c r="DZ41" s="294"/>
    </row>
    <row r="42" spans="1:130" ht="21.75" customHeight="1" thickBot="1">
      <c r="A42" s="276"/>
      <c r="B42" s="308" t="s">
        <v>3528</v>
      </c>
      <c r="C42" s="302">
        <f>+C37+C40</f>
        <v>373712</v>
      </c>
      <c r="D42" s="314"/>
      <c r="E42" s="302">
        <f>+E37+E40</f>
        <v>3969</v>
      </c>
      <c r="F42" s="314"/>
      <c r="G42" s="302">
        <f>+G37+G40</f>
        <v>81553</v>
      </c>
      <c r="H42" s="314"/>
      <c r="I42" s="302">
        <f>+I37+I40</f>
        <v>387598</v>
      </c>
      <c r="J42" s="314"/>
      <c r="K42" s="302">
        <f>+K37+K40</f>
        <v>198877</v>
      </c>
      <c r="L42" s="296"/>
      <c r="M42" s="308" t="s">
        <v>3528</v>
      </c>
      <c r="N42" s="302">
        <f>+N37+N40</f>
        <v>2188101</v>
      </c>
      <c r="O42" s="314"/>
      <c r="P42" s="302">
        <f>+P37+P40</f>
        <v>1370</v>
      </c>
      <c r="Q42" s="314"/>
      <c r="R42" s="302">
        <f>+R37+R40</f>
        <v>25519</v>
      </c>
      <c r="S42" s="314"/>
      <c r="T42" s="302">
        <f>+T37+T40</f>
        <v>717768</v>
      </c>
      <c r="U42" s="314"/>
      <c r="V42" s="302">
        <f>+V37+V40</f>
        <v>88199</v>
      </c>
      <c r="W42" s="296"/>
      <c r="X42" s="308" t="s">
        <v>3528</v>
      </c>
      <c r="Y42" s="302">
        <f>+Y37+Y40</f>
        <v>60810</v>
      </c>
      <c r="Z42" s="314"/>
      <c r="AA42" s="302">
        <f>+AA37+AA40</f>
        <v>224345</v>
      </c>
      <c r="AB42" s="314"/>
      <c r="AC42" s="302">
        <f>+AC37+AC40</f>
        <v>389750</v>
      </c>
      <c r="AD42" s="314"/>
      <c r="AE42" s="302">
        <f>+AE37+AE40</f>
        <v>1064325</v>
      </c>
      <c r="AF42" s="314"/>
      <c r="AG42" s="302">
        <f>+AG37+AG40</f>
        <v>361</v>
      </c>
      <c r="AH42" s="296"/>
      <c r="AI42" s="308" t="s">
        <v>3528</v>
      </c>
      <c r="AJ42" s="302">
        <f>+AJ37+AJ40</f>
        <v>748021</v>
      </c>
      <c r="AK42" s="314"/>
      <c r="AL42" s="302">
        <f>+AL37+AL40</f>
        <v>6977</v>
      </c>
      <c r="AM42" s="314"/>
      <c r="AN42" s="302">
        <f>+AN37+AN40</f>
        <v>260634</v>
      </c>
      <c r="AO42" s="314"/>
      <c r="AP42" s="302">
        <f>+AP37+AP40</f>
        <v>35779</v>
      </c>
      <c r="AQ42" s="314"/>
      <c r="AR42" s="302">
        <f>+AR37+AR40</f>
        <v>107003</v>
      </c>
      <c r="AS42" s="296"/>
      <c r="AT42" s="308" t="s">
        <v>3528</v>
      </c>
      <c r="AU42" s="302">
        <f>+AU37+AU40</f>
        <v>100039</v>
      </c>
      <c r="AV42" s="314"/>
      <c r="AW42" s="302">
        <f>+AW37+AW40</f>
        <v>1768889</v>
      </c>
      <c r="AX42" s="314"/>
      <c r="AY42" s="302">
        <f>+AY37+AY40</f>
        <v>238913</v>
      </c>
      <c r="AZ42" s="314"/>
      <c r="BA42" s="302">
        <f>+BA37+BA40</f>
        <v>28133</v>
      </c>
      <c r="BB42" s="314"/>
      <c r="BC42" s="302">
        <f>+BC37+BC40</f>
        <v>82435</v>
      </c>
      <c r="BF42" s="296"/>
      <c r="BG42" s="308" t="s">
        <v>3528</v>
      </c>
      <c r="BH42" s="302">
        <f>+BH37+BH40</f>
        <v>21202</v>
      </c>
      <c r="BI42" s="314"/>
      <c r="BJ42" s="302">
        <f>+BJ37+BJ40</f>
        <v>422641</v>
      </c>
      <c r="BK42" s="314"/>
      <c r="BL42" s="302">
        <f>+BL37+BL40</f>
        <v>253738</v>
      </c>
      <c r="BM42" s="314"/>
      <c r="BN42" s="302">
        <f>+BN37+BN40</f>
        <v>21826</v>
      </c>
      <c r="BO42" s="314"/>
      <c r="BP42" s="302">
        <f>+BP37+BP40</f>
        <v>62464</v>
      </c>
      <c r="BQ42" s="296"/>
      <c r="BS42" s="296"/>
      <c r="BT42" s="308" t="s">
        <v>3528</v>
      </c>
      <c r="BU42" s="302">
        <f>+BU37+BU40</f>
        <v>5768</v>
      </c>
      <c r="BV42" s="314"/>
      <c r="BW42" s="302">
        <f>+BW37+BW40</f>
        <v>35534</v>
      </c>
      <c r="BX42" s="314"/>
      <c r="BY42" s="302">
        <f>+BY37+BY40</f>
        <v>39899</v>
      </c>
      <c r="BZ42" s="314"/>
      <c r="CA42" s="302">
        <f>+CA37+CA40</f>
        <v>168446</v>
      </c>
      <c r="CB42" s="314"/>
      <c r="CC42" s="302"/>
      <c r="CD42" s="296"/>
      <c r="CF42" s="296"/>
      <c r="CG42" s="308" t="s">
        <v>3528</v>
      </c>
      <c r="CH42" s="302">
        <f>+CH37+CH40</f>
        <v>1675727</v>
      </c>
      <c r="CI42" s="314"/>
      <c r="CJ42" s="302">
        <f>+CJ37+CJ40</f>
        <v>872198</v>
      </c>
      <c r="CK42" s="314"/>
      <c r="CL42" s="302">
        <f>+CL37+CL40</f>
        <v>104504</v>
      </c>
      <c r="CM42" s="314"/>
      <c r="CN42" s="302">
        <f>+CN37+CN40</f>
        <v>96879</v>
      </c>
      <c r="CO42" s="314"/>
      <c r="CP42" s="302">
        <f>+CP37+CP40</f>
        <v>656704</v>
      </c>
      <c r="CQ42" s="308"/>
      <c r="CS42" s="296"/>
      <c r="CT42" s="308" t="s">
        <v>3528</v>
      </c>
      <c r="CU42" s="302">
        <f>+CU37+CU40</f>
        <v>61190</v>
      </c>
      <c r="CV42" s="314"/>
      <c r="CW42" s="302">
        <f>+CW37+CW40</f>
        <v>0</v>
      </c>
      <c r="CX42" s="314"/>
      <c r="CY42" s="302">
        <f>+CY37+CY40</f>
        <v>0</v>
      </c>
      <c r="CZ42" s="314"/>
      <c r="DA42" s="302">
        <f>+DA37+DA40</f>
        <v>0</v>
      </c>
      <c r="DB42" s="314"/>
      <c r="DC42" s="302">
        <f>+DC37+DC40</f>
        <v>17572</v>
      </c>
      <c r="DF42" s="308"/>
      <c r="DH42" s="296"/>
      <c r="DJ42" s="296"/>
      <c r="DK42" s="308" t="s">
        <v>3528</v>
      </c>
      <c r="DL42" s="302">
        <f>+DL37+DL40</f>
        <v>0</v>
      </c>
      <c r="DN42" s="302"/>
      <c r="DP42" s="302">
        <f>+DP37+DP40</f>
        <v>371646</v>
      </c>
      <c r="DR42" s="308"/>
      <c r="DV42" s="308"/>
      <c r="DW42" s="287"/>
      <c r="DX42" s="287"/>
      <c r="DY42" s="294"/>
      <c r="DZ42" s="302">
        <f>+DZ37+DZ40</f>
        <v>14071018</v>
      </c>
    </row>
    <row r="43" spans="1:130" ht="16.5" thickTop="1">
      <c r="A43" s="276"/>
      <c r="B43" s="296"/>
      <c r="C43" s="294"/>
      <c r="D43" s="296"/>
      <c r="E43" s="294"/>
      <c r="F43" s="296"/>
      <c r="G43" s="294"/>
      <c r="H43" s="296"/>
      <c r="I43" s="294"/>
      <c r="J43" s="296"/>
      <c r="K43" s="294"/>
      <c r="L43" s="296"/>
      <c r="M43" s="296"/>
      <c r="N43" s="294"/>
      <c r="O43" s="296"/>
      <c r="P43" s="294"/>
      <c r="Q43" s="294"/>
      <c r="R43" s="294"/>
      <c r="S43" s="294"/>
      <c r="T43" s="294"/>
      <c r="U43" s="296"/>
      <c r="V43" s="294"/>
      <c r="W43" s="296"/>
      <c r="X43" s="296"/>
      <c r="Y43" s="294"/>
      <c r="Z43" s="296"/>
      <c r="AA43" s="294"/>
      <c r="AB43" s="296"/>
      <c r="AC43" s="294"/>
      <c r="AD43" s="296"/>
      <c r="AE43" s="294"/>
      <c r="AF43" s="296"/>
      <c r="AG43" s="294"/>
      <c r="AH43" s="296"/>
      <c r="AI43" s="296"/>
      <c r="AJ43" s="294"/>
      <c r="AK43" s="296"/>
      <c r="AL43" s="294"/>
      <c r="AM43" s="296"/>
      <c r="AN43" s="294"/>
      <c r="AO43" s="296"/>
      <c r="AP43" s="294"/>
      <c r="AQ43" s="308"/>
      <c r="AR43" s="294"/>
      <c r="AS43" s="296"/>
      <c r="AT43" s="296"/>
      <c r="AU43" s="294"/>
      <c r="AV43" s="308"/>
      <c r="AW43" s="294"/>
      <c r="AX43" s="308"/>
      <c r="AY43" s="294"/>
      <c r="AZ43" s="308"/>
      <c r="BA43" s="294"/>
      <c r="BC43" s="294"/>
      <c r="BF43" s="296"/>
      <c r="BG43" s="296"/>
      <c r="BH43" s="294"/>
      <c r="BI43" s="296"/>
      <c r="BJ43" s="294"/>
      <c r="BL43" s="294"/>
      <c r="BN43" s="294"/>
      <c r="BO43" s="296"/>
      <c r="BP43" s="294"/>
      <c r="BQ43" s="296"/>
      <c r="BS43" s="296"/>
      <c r="BT43" s="296"/>
      <c r="BU43" s="294"/>
      <c r="BV43" s="296"/>
      <c r="BW43" s="294"/>
      <c r="BX43" s="296"/>
      <c r="BY43" s="294"/>
      <c r="BZ43" s="296"/>
      <c r="CA43" s="294"/>
      <c r="CB43" s="296"/>
      <c r="CC43" s="294"/>
      <c r="CD43" s="296"/>
      <c r="CF43" s="296"/>
      <c r="CG43" s="296"/>
      <c r="CH43" s="294"/>
      <c r="CI43" s="296"/>
      <c r="CJ43" s="294"/>
      <c r="CK43" s="296"/>
      <c r="CL43" s="294"/>
      <c r="CM43" s="308"/>
      <c r="CN43" s="294"/>
      <c r="CO43" s="308"/>
      <c r="CP43" s="294"/>
      <c r="CQ43" s="308"/>
      <c r="CS43" s="296"/>
      <c r="CT43" s="296"/>
      <c r="CU43" s="294"/>
      <c r="CV43" s="294"/>
      <c r="CW43" s="294"/>
      <c r="CX43" s="296"/>
      <c r="CY43" s="294"/>
      <c r="CZ43" s="308"/>
      <c r="DA43" s="294"/>
      <c r="DB43" s="308"/>
      <c r="DC43" s="294"/>
      <c r="DF43" s="308"/>
      <c r="DH43" s="296"/>
      <c r="DJ43" s="296"/>
      <c r="DK43" s="296"/>
      <c r="DL43" s="294"/>
      <c r="DN43" s="294"/>
      <c r="DP43" s="294"/>
      <c r="DR43" s="308"/>
      <c r="DV43" s="308"/>
      <c r="DW43" s="287"/>
      <c r="DX43" s="287"/>
      <c r="DY43" s="294"/>
      <c r="DZ43" s="294"/>
    </row>
    <row r="44" spans="1:130" ht="15.75">
      <c r="A44" s="276"/>
      <c r="B44" s="314" t="str">
        <f>INPUT!B129</f>
        <v>LIABILITIES</v>
      </c>
      <c r="C44" s="294"/>
      <c r="D44" s="296"/>
      <c r="E44" s="294"/>
      <c r="F44" s="296"/>
      <c r="G44" s="294"/>
      <c r="H44" s="296"/>
      <c r="I44" s="294"/>
      <c r="J44" s="296"/>
      <c r="K44" s="294"/>
      <c r="L44" s="296"/>
      <c r="M44" s="314" t="str">
        <f t="shared" ref="M44:M49" si="36">B44</f>
        <v>LIABILITIES</v>
      </c>
      <c r="N44" s="294"/>
      <c r="O44" s="296"/>
      <c r="P44" s="294"/>
      <c r="Q44" s="294"/>
      <c r="R44" s="294"/>
      <c r="S44" s="294"/>
      <c r="T44" s="294"/>
      <c r="U44" s="296"/>
      <c r="V44" s="294"/>
      <c r="W44" s="296"/>
      <c r="X44" s="314" t="str">
        <f t="shared" ref="X44:X49" si="37">B44</f>
        <v>LIABILITIES</v>
      </c>
      <c r="Y44" s="294"/>
      <c r="Z44" s="296"/>
      <c r="AA44" s="294"/>
      <c r="AB44" s="296"/>
      <c r="AC44" s="294"/>
      <c r="AD44" s="296"/>
      <c r="AE44" s="294"/>
      <c r="AF44" s="296"/>
      <c r="AG44" s="294"/>
      <c r="AH44" s="296"/>
      <c r="AI44" s="314" t="str">
        <f t="shared" ref="AI44:AI49" si="38">B44</f>
        <v>LIABILITIES</v>
      </c>
      <c r="AJ44" s="294"/>
      <c r="AK44" s="296"/>
      <c r="AL44" s="294"/>
      <c r="AM44" s="296"/>
      <c r="AN44" s="294"/>
      <c r="AO44" s="296"/>
      <c r="AP44" s="294"/>
      <c r="AQ44" s="308"/>
      <c r="AR44" s="294"/>
      <c r="AS44" s="296"/>
      <c r="AT44" s="314" t="str">
        <f t="shared" ref="AT44:AT49" si="39">B44</f>
        <v>LIABILITIES</v>
      </c>
      <c r="AU44" s="294"/>
      <c r="AV44" s="308"/>
      <c r="AW44" s="294"/>
      <c r="AX44" s="308"/>
      <c r="AY44" s="294"/>
      <c r="AZ44" s="308"/>
      <c r="BA44" s="294"/>
      <c r="BC44" s="294"/>
      <c r="BF44" s="296"/>
      <c r="BG44" s="314" t="str">
        <f t="shared" ref="BG44:BG49" si="40">+B44</f>
        <v>LIABILITIES</v>
      </c>
      <c r="BH44" s="294"/>
      <c r="BI44" s="314"/>
      <c r="BJ44" s="294"/>
      <c r="BL44" s="294"/>
      <c r="BN44" s="294"/>
      <c r="BO44" s="296"/>
      <c r="BP44" s="294"/>
      <c r="BQ44" s="296"/>
      <c r="BS44" s="296"/>
      <c r="BT44" s="314" t="str">
        <f t="shared" ref="BT44:BT49" si="41">B44</f>
        <v>LIABILITIES</v>
      </c>
      <c r="BU44" s="294"/>
      <c r="BV44" s="314"/>
      <c r="BW44" s="294"/>
      <c r="BX44" s="296"/>
      <c r="BY44" s="294"/>
      <c r="BZ44" s="296"/>
      <c r="CA44" s="294"/>
      <c r="CB44" s="296"/>
      <c r="CC44" s="294"/>
      <c r="CD44" s="296"/>
      <c r="CF44" s="296"/>
      <c r="CG44" s="314" t="str">
        <f t="shared" ref="CG44:CG49" si="42">M44</f>
        <v>LIABILITIES</v>
      </c>
      <c r="CH44" s="294"/>
      <c r="CI44" s="314"/>
      <c r="CJ44" s="294"/>
      <c r="CK44" s="296"/>
      <c r="CL44" s="294"/>
      <c r="CM44" s="308"/>
      <c r="CN44" s="294"/>
      <c r="CO44" s="308"/>
      <c r="CP44" s="294"/>
      <c r="CQ44" s="308"/>
      <c r="CS44" s="296"/>
      <c r="CT44" s="314" t="str">
        <f t="shared" ref="CT44:CT49" si="43">X44</f>
        <v>LIABILITIES</v>
      </c>
      <c r="CU44" s="294"/>
      <c r="CV44" s="294"/>
      <c r="CW44" s="294"/>
      <c r="CX44" s="314"/>
      <c r="CY44" s="294"/>
      <c r="CZ44" s="308"/>
      <c r="DA44" s="294"/>
      <c r="DB44" s="308"/>
      <c r="DC44" s="294"/>
      <c r="DF44" s="308"/>
      <c r="DH44" s="296"/>
      <c r="DJ44" s="296"/>
      <c r="DK44" s="314" t="str">
        <f t="shared" ref="DK44:DK49" si="44">AI44</f>
        <v>LIABILITIES</v>
      </c>
      <c r="DL44" s="294"/>
      <c r="DN44" s="294"/>
      <c r="DP44" s="294"/>
      <c r="DR44" s="308"/>
      <c r="DV44" s="308"/>
      <c r="DW44" s="287"/>
      <c r="DX44" s="287"/>
      <c r="DY44" s="294"/>
      <c r="DZ44" s="294"/>
    </row>
    <row r="45" spans="1:130" ht="15.75" hidden="1" customHeight="1">
      <c r="A45" s="276"/>
      <c r="B45" s="296" t="s">
        <v>709</v>
      </c>
      <c r="C45" s="294"/>
      <c r="D45" s="296"/>
      <c r="E45" s="294"/>
      <c r="F45" s="296"/>
      <c r="G45" s="294"/>
      <c r="H45" s="296"/>
      <c r="I45" s="294"/>
      <c r="J45" s="296"/>
      <c r="K45" s="294"/>
      <c r="L45" s="296"/>
      <c r="M45" s="296" t="str">
        <f t="shared" si="36"/>
        <v>Liabilities:</v>
      </c>
      <c r="N45" s="294"/>
      <c r="O45" s="296"/>
      <c r="P45" s="294"/>
      <c r="Q45" s="294"/>
      <c r="R45" s="294"/>
      <c r="S45" s="294"/>
      <c r="T45" s="294"/>
      <c r="U45" s="296"/>
      <c r="V45" s="294"/>
      <c r="W45" s="296"/>
      <c r="X45" s="296" t="str">
        <f t="shared" si="37"/>
        <v>Liabilities:</v>
      </c>
      <c r="Y45" s="294"/>
      <c r="Z45" s="296"/>
      <c r="AA45" s="294"/>
      <c r="AB45" s="296"/>
      <c r="AC45" s="294"/>
      <c r="AD45" s="296"/>
      <c r="AE45" s="294"/>
      <c r="AF45" s="296"/>
      <c r="AG45" s="294"/>
      <c r="AH45" s="296"/>
      <c r="AI45" s="296" t="str">
        <f t="shared" si="38"/>
        <v>Liabilities:</v>
      </c>
      <c r="AJ45" s="294"/>
      <c r="AK45" s="296"/>
      <c r="AL45" s="294"/>
      <c r="AM45" s="296"/>
      <c r="AN45" s="294"/>
      <c r="AO45" s="296"/>
      <c r="AP45" s="294"/>
      <c r="AQ45" s="308"/>
      <c r="AR45" s="294"/>
      <c r="AS45" s="296"/>
      <c r="AT45" s="296" t="str">
        <f t="shared" si="39"/>
        <v>Liabilities:</v>
      </c>
      <c r="AU45" s="294"/>
      <c r="AV45" s="308"/>
      <c r="AW45" s="294"/>
      <c r="AX45" s="308"/>
      <c r="AY45" s="294"/>
      <c r="AZ45" s="308"/>
      <c r="BA45" s="294"/>
      <c r="BC45" s="294"/>
      <c r="BF45" s="296"/>
      <c r="BG45" s="296" t="str">
        <f t="shared" si="40"/>
        <v>Liabilities:</v>
      </c>
      <c r="BH45" s="294"/>
      <c r="BI45" s="296"/>
      <c r="BJ45" s="294"/>
      <c r="BL45" s="294"/>
      <c r="BN45" s="294"/>
      <c r="BO45" s="296"/>
      <c r="BP45" s="294"/>
      <c r="BQ45" s="296"/>
      <c r="BS45" s="296"/>
      <c r="BT45" s="296" t="str">
        <f t="shared" si="41"/>
        <v>Liabilities:</v>
      </c>
      <c r="BU45" s="294"/>
      <c r="BV45" s="296"/>
      <c r="BW45" s="294"/>
      <c r="BX45" s="296"/>
      <c r="BY45" s="294"/>
      <c r="BZ45" s="296"/>
      <c r="CA45" s="294"/>
      <c r="CB45" s="296"/>
      <c r="CC45" s="294"/>
      <c r="CD45" s="296"/>
      <c r="CF45" s="296"/>
      <c r="CG45" s="296" t="str">
        <f t="shared" si="42"/>
        <v>Liabilities:</v>
      </c>
      <c r="CH45" s="294"/>
      <c r="CI45" s="296"/>
      <c r="CJ45" s="294"/>
      <c r="CK45" s="296"/>
      <c r="CL45" s="294"/>
      <c r="CM45" s="308"/>
      <c r="CN45" s="294"/>
      <c r="CO45" s="308"/>
      <c r="CP45" s="294"/>
      <c r="CQ45" s="308"/>
      <c r="CS45" s="296"/>
      <c r="CT45" s="296" t="str">
        <f t="shared" si="43"/>
        <v>Liabilities:</v>
      </c>
      <c r="CU45" s="294"/>
      <c r="CV45" s="294"/>
      <c r="CW45" s="294"/>
      <c r="CX45" s="296"/>
      <c r="CY45" s="294"/>
      <c r="CZ45" s="308"/>
      <c r="DA45" s="294"/>
      <c r="DB45" s="308"/>
      <c r="DC45" s="294"/>
      <c r="DF45" s="308"/>
      <c r="DH45" s="296"/>
      <c r="DJ45" s="296"/>
      <c r="DK45" s="296" t="str">
        <f t="shared" si="44"/>
        <v>Liabilities:</v>
      </c>
      <c r="DL45" s="294"/>
      <c r="DN45" s="294"/>
      <c r="DP45" s="294"/>
      <c r="DR45" s="308"/>
      <c r="DV45" s="308"/>
      <c r="DW45" s="287"/>
      <c r="DX45" s="287"/>
      <c r="DY45" s="294"/>
      <c r="DZ45" s="294"/>
    </row>
    <row r="46" spans="1:130" ht="15.75">
      <c r="A46" s="276"/>
      <c r="B46" s="296" t="str">
        <f>INPUT!B132</f>
        <v xml:space="preserve">     Accounts payable</v>
      </c>
      <c r="C46" s="292">
        <f>INPUT!E132</f>
        <v>101475</v>
      </c>
      <c r="D46" s="294"/>
      <c r="E46" s="292"/>
      <c r="F46" s="294"/>
      <c r="G46" s="292">
        <f>INPUT!G132</f>
        <v>0</v>
      </c>
      <c r="H46" s="294"/>
      <c r="I46" s="292">
        <f>+INPUT!H132</f>
        <v>0</v>
      </c>
      <c r="J46" s="294"/>
      <c r="K46" s="292">
        <f>+INPUT!I132</f>
        <v>191496</v>
      </c>
      <c r="L46" s="294"/>
      <c r="M46" s="296" t="str">
        <f t="shared" si="36"/>
        <v xml:space="preserve">     Accounts payable</v>
      </c>
      <c r="N46" s="292">
        <f>+INPUT!J132</f>
        <v>57632</v>
      </c>
      <c r="O46" s="294"/>
      <c r="P46" s="292">
        <f>INPUT!K132</f>
        <v>0</v>
      </c>
      <c r="Q46" s="292"/>
      <c r="R46" s="292">
        <f>INPUT!L132</f>
        <v>0</v>
      </c>
      <c r="S46" s="292"/>
      <c r="T46" s="292">
        <f>INPUT!M132</f>
        <v>43284</v>
      </c>
      <c r="U46" s="294"/>
      <c r="V46" s="292">
        <f>+INPUT!N132</f>
        <v>0</v>
      </c>
      <c r="W46" s="294"/>
      <c r="X46" s="296" t="str">
        <f t="shared" si="37"/>
        <v xml:space="preserve">     Accounts payable</v>
      </c>
      <c r="Y46" s="292">
        <f>+INPUT!O132</f>
        <v>0</v>
      </c>
      <c r="Z46" s="294"/>
      <c r="AA46" s="292">
        <f>+INPUT!Q132</f>
        <v>0</v>
      </c>
      <c r="AB46" s="294"/>
      <c r="AC46" s="292">
        <f>+INPUT!R132</f>
        <v>0</v>
      </c>
      <c r="AD46" s="294"/>
      <c r="AE46" s="292">
        <f>INPUT!S132</f>
        <v>35212</v>
      </c>
      <c r="AF46" s="294"/>
      <c r="AG46" s="292">
        <f>+INPUT!T132</f>
        <v>0</v>
      </c>
      <c r="AH46" s="294"/>
      <c r="AI46" s="296" t="str">
        <f t="shared" si="38"/>
        <v xml:space="preserve">     Accounts payable</v>
      </c>
      <c r="AJ46" s="292">
        <f>+INPUT!U132</f>
        <v>62885</v>
      </c>
      <c r="AK46" s="294"/>
      <c r="AL46" s="292">
        <f>+INPUT!V132</f>
        <v>0</v>
      </c>
      <c r="AM46" s="294"/>
      <c r="AN46" s="292">
        <f>+INPUT!W132</f>
        <v>0</v>
      </c>
      <c r="AO46" s="294"/>
      <c r="AP46" s="292">
        <f>+INPUT!Y132</f>
        <v>0</v>
      </c>
      <c r="AQ46" s="308"/>
      <c r="AR46" s="292">
        <f>+INPUT!Z132</f>
        <v>0</v>
      </c>
      <c r="AS46" s="294"/>
      <c r="AT46" s="296" t="str">
        <f t="shared" si="39"/>
        <v xml:space="preserve">     Accounts payable</v>
      </c>
      <c r="AU46" s="292">
        <f>+INPUT!AA132</f>
        <v>0</v>
      </c>
      <c r="AV46" s="308"/>
      <c r="AW46" s="292">
        <f>+INPUT!AB132</f>
        <v>106604</v>
      </c>
      <c r="AX46" s="308"/>
      <c r="AY46" s="292">
        <f>+INPUT!AC132</f>
        <v>0</v>
      </c>
      <c r="AZ46" s="308"/>
      <c r="BA46" s="292">
        <f>+INPUT!AD132</f>
        <v>0</v>
      </c>
      <c r="BC46" s="292">
        <f>+INPUT!AE132</f>
        <v>0</v>
      </c>
      <c r="BF46" s="294"/>
      <c r="BG46" s="296" t="str">
        <f t="shared" si="40"/>
        <v xml:space="preserve">     Accounts payable</v>
      </c>
      <c r="BH46" s="292">
        <f>+INPUT!AF132</f>
        <v>0</v>
      </c>
      <c r="BI46" s="296"/>
      <c r="BJ46" s="292">
        <f>+INPUT!AG132</f>
        <v>0</v>
      </c>
      <c r="BL46" s="292">
        <f>+INPUT!AH132</f>
        <v>0</v>
      </c>
      <c r="BN46" s="292">
        <f>+INPUT!AI132</f>
        <v>0</v>
      </c>
      <c r="BO46" s="294"/>
      <c r="BP46" s="292">
        <f>+INPUT!AJ132</f>
        <v>0</v>
      </c>
      <c r="BQ46" s="294"/>
      <c r="BS46" s="294"/>
      <c r="BT46" s="296" t="str">
        <f t="shared" si="41"/>
        <v xml:space="preserve">     Accounts payable</v>
      </c>
      <c r="BU46" s="292">
        <f>+INPUT!AK132</f>
        <v>0</v>
      </c>
      <c r="BV46" s="296"/>
      <c r="BW46" s="292">
        <f>+INPUT!AL132</f>
        <v>0</v>
      </c>
      <c r="BX46" s="294"/>
      <c r="BY46" s="292">
        <f>+INPUT!AM132</f>
        <v>0</v>
      </c>
      <c r="BZ46" s="294"/>
      <c r="CA46" s="292">
        <f>+INPUT!AN132</f>
        <v>0</v>
      </c>
      <c r="CB46" s="294"/>
      <c r="CC46" s="292">
        <f>+INPUT!AO132</f>
        <v>0</v>
      </c>
      <c r="CD46" s="294"/>
      <c r="CF46" s="294"/>
      <c r="CG46" s="296" t="str">
        <f t="shared" si="42"/>
        <v xml:space="preserve">     Accounts payable</v>
      </c>
      <c r="CH46" s="292">
        <f>+INPUT!AP132</f>
        <v>0</v>
      </c>
      <c r="CI46" s="296"/>
      <c r="CJ46" s="292">
        <f>+INPUT!AQ132</f>
        <v>0</v>
      </c>
      <c r="CK46" s="294"/>
      <c r="CL46" s="292">
        <f>+INPUT!AR132</f>
        <v>0</v>
      </c>
      <c r="CM46" s="308"/>
      <c r="CN46" s="292">
        <f>+INPUT!AS132</f>
        <v>0</v>
      </c>
      <c r="CO46" s="308"/>
      <c r="CP46" s="292">
        <f>+INPUT!AT132</f>
        <v>409124</v>
      </c>
      <c r="CQ46" s="308"/>
      <c r="CS46" s="294"/>
      <c r="CT46" s="296" t="str">
        <f t="shared" si="43"/>
        <v xml:space="preserve">     Accounts payable</v>
      </c>
      <c r="CU46" s="292">
        <f>+INPUT!AU132</f>
        <v>0</v>
      </c>
      <c r="CV46" s="292"/>
      <c r="CW46" s="292">
        <f>+INPUT!AV132</f>
        <v>0</v>
      </c>
      <c r="CX46" s="296"/>
      <c r="CY46" s="292">
        <f>+INPUT!AX132</f>
        <v>0</v>
      </c>
      <c r="CZ46" s="308"/>
      <c r="DA46" s="292">
        <f>+INPUT!AY132</f>
        <v>0</v>
      </c>
      <c r="DB46" s="308"/>
      <c r="DC46" s="292">
        <f>+INPUT!AZ132</f>
        <v>0</v>
      </c>
      <c r="DF46" s="308"/>
      <c r="DH46" s="294"/>
      <c r="DJ46" s="294"/>
      <c r="DK46" s="296" t="str">
        <f t="shared" si="44"/>
        <v xml:space="preserve">     Accounts payable</v>
      </c>
      <c r="DL46" s="292">
        <f>+INPUT!BA132</f>
        <v>0</v>
      </c>
      <c r="DN46" s="292"/>
      <c r="DP46" s="292">
        <f>+INPUT!BD132</f>
        <v>0</v>
      </c>
      <c r="DR46" s="308"/>
      <c r="DV46" s="308"/>
      <c r="DW46" s="287"/>
      <c r="DX46" s="287"/>
      <c r="DY46" s="292"/>
      <c r="DZ46" s="292">
        <f>SUM(C46:DY46)</f>
        <v>1007712</v>
      </c>
    </row>
    <row r="47" spans="1:130" ht="15.75" hidden="1" customHeight="1">
      <c r="A47" s="276" t="s">
        <v>299</v>
      </c>
      <c r="B47" s="296" t="str">
        <f>INPUT!B133</f>
        <v xml:space="preserve">     Contracts/loans payable - current</v>
      </c>
      <c r="C47" s="294">
        <f>INPUT!E133</f>
        <v>0</v>
      </c>
      <c r="D47" s="296"/>
      <c r="E47" s="294">
        <f>INPUT!F133</f>
        <v>0</v>
      </c>
      <c r="F47" s="296"/>
      <c r="G47" s="294">
        <f>INPUT!G133</f>
        <v>0</v>
      </c>
      <c r="H47" s="296"/>
      <c r="I47" s="294">
        <f>+INPUT!H133</f>
        <v>0</v>
      </c>
      <c r="J47" s="296"/>
      <c r="K47" s="294">
        <f>+INPUT!I133</f>
        <v>0</v>
      </c>
      <c r="L47" s="296"/>
      <c r="M47" s="296" t="str">
        <f t="shared" si="36"/>
        <v xml:space="preserve">     Contracts/loans payable - current</v>
      </c>
      <c r="N47" s="294">
        <f>+INPUT!J133</f>
        <v>0</v>
      </c>
      <c r="O47" s="296"/>
      <c r="P47" s="294">
        <f>INPUT!K133</f>
        <v>0</v>
      </c>
      <c r="Q47" s="294"/>
      <c r="R47" s="294">
        <f>INPUT!L133</f>
        <v>0</v>
      </c>
      <c r="S47" s="294"/>
      <c r="T47" s="294">
        <f>INPUT!M133</f>
        <v>0</v>
      </c>
      <c r="U47" s="296"/>
      <c r="V47" s="294">
        <f>+INPUT!N133</f>
        <v>0</v>
      </c>
      <c r="W47" s="296"/>
      <c r="X47" s="296" t="str">
        <f t="shared" si="37"/>
        <v xml:space="preserve">     Contracts/loans payable - current</v>
      </c>
      <c r="Y47" s="294">
        <f>+INPUT!O133</f>
        <v>0</v>
      </c>
      <c r="Z47" s="296"/>
      <c r="AA47" s="294">
        <f>+INPUT!Q133</f>
        <v>0</v>
      </c>
      <c r="AB47" s="296"/>
      <c r="AC47" s="294">
        <f>+INPUT!R133</f>
        <v>0</v>
      </c>
      <c r="AD47" s="296"/>
      <c r="AE47" s="294">
        <f>INPUT!S133</f>
        <v>0</v>
      </c>
      <c r="AF47" s="296"/>
      <c r="AG47" s="294">
        <f>+INPUT!T133</f>
        <v>0</v>
      </c>
      <c r="AH47" s="296"/>
      <c r="AI47" s="296" t="str">
        <f t="shared" si="38"/>
        <v xml:space="preserve">     Contracts/loans payable - current</v>
      </c>
      <c r="AJ47" s="294">
        <f>+INPUT!U133</f>
        <v>0</v>
      </c>
      <c r="AK47" s="296"/>
      <c r="AL47" s="294">
        <f>+INPUT!V133</f>
        <v>0</v>
      </c>
      <c r="AM47" s="296"/>
      <c r="AN47" s="294">
        <f>+INPUT!W133</f>
        <v>0</v>
      </c>
      <c r="AO47" s="296"/>
      <c r="AP47" s="294">
        <f>+INPUT!Y133</f>
        <v>0</v>
      </c>
      <c r="AQ47" s="308"/>
      <c r="AR47" s="294">
        <f>+INPUT!Z133</f>
        <v>0</v>
      </c>
      <c r="AS47" s="296"/>
      <c r="AT47" s="296" t="str">
        <f t="shared" si="39"/>
        <v xml:space="preserve">     Contracts/loans payable - current</v>
      </c>
      <c r="AU47" s="294">
        <f>+INPUT!AA133</f>
        <v>0</v>
      </c>
      <c r="AV47" s="308"/>
      <c r="AW47" s="294">
        <f>+INPUT!AB133</f>
        <v>0</v>
      </c>
      <c r="AX47" s="308"/>
      <c r="AY47" s="294">
        <f>+INPUT!AC133</f>
        <v>0</v>
      </c>
      <c r="AZ47" s="308"/>
      <c r="BA47" s="294">
        <f>+INPUT!AD133</f>
        <v>0</v>
      </c>
      <c r="BC47" s="294">
        <f>+INPUT!AE133</f>
        <v>0</v>
      </c>
      <c r="BF47" s="296"/>
      <c r="BG47" s="296" t="str">
        <f t="shared" si="40"/>
        <v xml:space="preserve">     Contracts/loans payable - current</v>
      </c>
      <c r="BH47" s="294">
        <f>+INPUT!AF133</f>
        <v>0</v>
      </c>
      <c r="BI47" s="296"/>
      <c r="BJ47" s="294">
        <f>+INPUT!AG133</f>
        <v>0</v>
      </c>
      <c r="BL47" s="294">
        <f>+INPUT!AH133</f>
        <v>0</v>
      </c>
      <c r="BN47" s="294">
        <f>+INPUT!AI133</f>
        <v>0</v>
      </c>
      <c r="BO47" s="296"/>
      <c r="BP47" s="294">
        <f>+INPUT!AJ133</f>
        <v>0</v>
      </c>
      <c r="BQ47" s="296"/>
      <c r="BS47" s="296"/>
      <c r="BT47" s="296" t="str">
        <f t="shared" si="41"/>
        <v xml:space="preserve">     Contracts/loans payable - current</v>
      </c>
      <c r="BU47" s="294">
        <f>+INPUT!AK133</f>
        <v>0</v>
      </c>
      <c r="BV47" s="296"/>
      <c r="BW47" s="294">
        <f>+INPUT!AL133</f>
        <v>0</v>
      </c>
      <c r="BX47" s="296"/>
      <c r="BY47" s="294">
        <f>+INPUT!AM133</f>
        <v>0</v>
      </c>
      <c r="BZ47" s="296"/>
      <c r="CA47" s="294">
        <f>+INPUT!AN133</f>
        <v>0</v>
      </c>
      <c r="CB47" s="296"/>
      <c r="CC47" s="294">
        <f>+INPUT!AO133</f>
        <v>0</v>
      </c>
      <c r="CD47" s="296"/>
      <c r="CF47" s="296"/>
      <c r="CG47" s="296" t="str">
        <f t="shared" si="42"/>
        <v xml:space="preserve">     Contracts/loans payable - current</v>
      </c>
      <c r="CH47" s="294">
        <f>+INPUT!AP133</f>
        <v>0</v>
      </c>
      <c r="CI47" s="296"/>
      <c r="CJ47" s="294">
        <f>+INPUT!AQ133</f>
        <v>0</v>
      </c>
      <c r="CK47" s="296"/>
      <c r="CL47" s="294">
        <f>+INPUT!AR133</f>
        <v>0</v>
      </c>
      <c r="CM47" s="308"/>
      <c r="CN47" s="294">
        <f>+INPUT!AS133</f>
        <v>0</v>
      </c>
      <c r="CO47" s="308"/>
      <c r="CP47" s="294">
        <f>+INPUT!AT133</f>
        <v>0</v>
      </c>
      <c r="CQ47" s="308"/>
      <c r="CS47" s="296"/>
      <c r="CT47" s="296" t="str">
        <f t="shared" si="43"/>
        <v xml:space="preserve">     Contracts/loans payable - current</v>
      </c>
      <c r="CU47" s="294">
        <f>+INPUT!AU133</f>
        <v>0</v>
      </c>
      <c r="CV47" s="294"/>
      <c r="CW47" s="294">
        <f>+INPUT!AV133</f>
        <v>0</v>
      </c>
      <c r="CX47" s="296"/>
      <c r="CY47" s="294">
        <f>+INPUT!AX133</f>
        <v>0</v>
      </c>
      <c r="CZ47" s="308"/>
      <c r="DA47" s="294">
        <f>+INPUT!AY133</f>
        <v>0</v>
      </c>
      <c r="DB47" s="308"/>
      <c r="DC47" s="294">
        <f>+INPUT!AZ133</f>
        <v>0</v>
      </c>
      <c r="DF47" s="308"/>
      <c r="DH47" s="296"/>
      <c r="DJ47" s="296"/>
      <c r="DK47" s="296" t="str">
        <f t="shared" si="44"/>
        <v xml:space="preserve">     Contracts/loans payable - current</v>
      </c>
      <c r="DL47" s="294">
        <f>+INPUT!BA133</f>
        <v>0</v>
      </c>
      <c r="DN47" s="294"/>
      <c r="DP47" s="294">
        <f>+INPUT!BD133</f>
        <v>0</v>
      </c>
      <c r="DR47" s="308"/>
      <c r="DV47" s="308"/>
      <c r="DW47" s="287"/>
      <c r="DX47" s="287"/>
      <c r="DY47" s="294"/>
      <c r="DZ47" s="294">
        <f>SUM(C47:DY47)</f>
        <v>0</v>
      </c>
    </row>
    <row r="48" spans="1:130" ht="15.75" hidden="1" customHeight="1">
      <c r="A48" s="276" t="s">
        <v>299</v>
      </c>
      <c r="B48" s="296" t="str">
        <f>INPUT!B134</f>
        <v xml:space="preserve">     Intergovernmental payable</v>
      </c>
      <c r="C48" s="294">
        <f>INPUT!E134</f>
        <v>0</v>
      </c>
      <c r="D48" s="296"/>
      <c r="E48" s="294">
        <f>INPUT!F134</f>
        <v>0</v>
      </c>
      <c r="F48" s="296"/>
      <c r="G48" s="294">
        <f>INPUT!G134</f>
        <v>0</v>
      </c>
      <c r="H48" s="296"/>
      <c r="I48" s="294">
        <f>+INPUT!H134</f>
        <v>0</v>
      </c>
      <c r="J48" s="296"/>
      <c r="K48" s="294">
        <f>+INPUT!I134</f>
        <v>0</v>
      </c>
      <c r="L48" s="296"/>
      <c r="M48" s="296" t="str">
        <f t="shared" si="36"/>
        <v xml:space="preserve">     Intergovernmental payable</v>
      </c>
      <c r="N48" s="294">
        <f>+INPUT!J134</f>
        <v>0</v>
      </c>
      <c r="O48" s="296"/>
      <c r="P48" s="294">
        <f>INPUT!K134</f>
        <v>0</v>
      </c>
      <c r="Q48" s="294"/>
      <c r="R48" s="294">
        <f>INPUT!L134</f>
        <v>0</v>
      </c>
      <c r="S48" s="294"/>
      <c r="T48" s="294">
        <f>INPUT!M134</f>
        <v>0</v>
      </c>
      <c r="U48" s="296"/>
      <c r="V48" s="294">
        <f>+INPUT!N134</f>
        <v>0</v>
      </c>
      <c r="W48" s="296"/>
      <c r="X48" s="296" t="str">
        <f t="shared" si="37"/>
        <v xml:space="preserve">     Intergovernmental payable</v>
      </c>
      <c r="Y48" s="294">
        <f>+INPUT!O134</f>
        <v>0</v>
      </c>
      <c r="Z48" s="296"/>
      <c r="AA48" s="294">
        <f>+INPUT!Q134</f>
        <v>0</v>
      </c>
      <c r="AB48" s="296"/>
      <c r="AC48" s="294">
        <f>+INPUT!R134</f>
        <v>0</v>
      </c>
      <c r="AD48" s="296"/>
      <c r="AE48" s="294">
        <f>INPUT!S134</f>
        <v>0</v>
      </c>
      <c r="AF48" s="296"/>
      <c r="AG48" s="294">
        <f>+INPUT!T134</f>
        <v>0</v>
      </c>
      <c r="AH48" s="296"/>
      <c r="AI48" s="296" t="str">
        <f t="shared" si="38"/>
        <v xml:space="preserve">     Intergovernmental payable</v>
      </c>
      <c r="AJ48" s="294">
        <f>+INPUT!U134</f>
        <v>0</v>
      </c>
      <c r="AK48" s="296"/>
      <c r="AL48" s="294">
        <f>+INPUT!V134</f>
        <v>0</v>
      </c>
      <c r="AM48" s="296"/>
      <c r="AN48" s="294">
        <f>+INPUT!W134</f>
        <v>0</v>
      </c>
      <c r="AO48" s="296"/>
      <c r="AP48" s="294">
        <f>+INPUT!Y134</f>
        <v>0</v>
      </c>
      <c r="AQ48" s="308"/>
      <c r="AR48" s="294">
        <f>+INPUT!Z134</f>
        <v>0</v>
      </c>
      <c r="AS48" s="296"/>
      <c r="AT48" s="296" t="str">
        <f t="shared" si="39"/>
        <v xml:space="preserve">     Intergovernmental payable</v>
      </c>
      <c r="AU48" s="294">
        <f>+INPUT!AA134</f>
        <v>0</v>
      </c>
      <c r="AV48" s="308"/>
      <c r="AW48" s="294">
        <f>+INPUT!AB134</f>
        <v>0</v>
      </c>
      <c r="AX48" s="308"/>
      <c r="AY48" s="294">
        <f>+INPUT!AC134</f>
        <v>0</v>
      </c>
      <c r="AZ48" s="308"/>
      <c r="BA48" s="294">
        <f>+INPUT!AD134</f>
        <v>0</v>
      </c>
      <c r="BC48" s="294">
        <f>+INPUT!AE134</f>
        <v>0</v>
      </c>
      <c r="BF48" s="296"/>
      <c r="BG48" s="296" t="str">
        <f t="shared" si="40"/>
        <v xml:space="preserve">     Intergovernmental payable</v>
      </c>
      <c r="BH48" s="294">
        <f>+INPUT!AF134</f>
        <v>0</v>
      </c>
      <c r="BI48" s="296"/>
      <c r="BJ48" s="294">
        <f>+INPUT!AG134</f>
        <v>0</v>
      </c>
      <c r="BL48" s="294">
        <f>+INPUT!AH134</f>
        <v>0</v>
      </c>
      <c r="BN48" s="294">
        <f>+INPUT!AI134</f>
        <v>0</v>
      </c>
      <c r="BO48" s="296"/>
      <c r="BP48" s="294">
        <f>+INPUT!AJ134</f>
        <v>0</v>
      </c>
      <c r="BQ48" s="296"/>
      <c r="BS48" s="296"/>
      <c r="BT48" s="296" t="str">
        <f t="shared" si="41"/>
        <v xml:space="preserve">     Intergovernmental payable</v>
      </c>
      <c r="BU48" s="294">
        <f>+INPUT!AK134</f>
        <v>0</v>
      </c>
      <c r="BV48" s="296"/>
      <c r="BW48" s="294">
        <f>+INPUT!AL134</f>
        <v>0</v>
      </c>
      <c r="BX48" s="296"/>
      <c r="BY48" s="294">
        <f>+INPUT!AM134</f>
        <v>0</v>
      </c>
      <c r="BZ48" s="296"/>
      <c r="CA48" s="294">
        <f>+INPUT!AN134</f>
        <v>0</v>
      </c>
      <c r="CB48" s="296"/>
      <c r="CC48" s="294">
        <f>+INPUT!AO134</f>
        <v>0</v>
      </c>
      <c r="CD48" s="296"/>
      <c r="CF48" s="296"/>
      <c r="CG48" s="296" t="str">
        <f t="shared" si="42"/>
        <v xml:space="preserve">     Intergovernmental payable</v>
      </c>
      <c r="CH48" s="294">
        <f>+INPUT!AP134</f>
        <v>0</v>
      </c>
      <c r="CI48" s="296"/>
      <c r="CJ48" s="294">
        <f>+INPUT!AQ134</f>
        <v>0</v>
      </c>
      <c r="CK48" s="296"/>
      <c r="CL48" s="294">
        <f>+INPUT!AR134</f>
        <v>0</v>
      </c>
      <c r="CM48" s="308"/>
      <c r="CN48" s="294">
        <f>+INPUT!AS134</f>
        <v>0</v>
      </c>
      <c r="CO48" s="308"/>
      <c r="CP48" s="294">
        <f>+INPUT!AT134</f>
        <v>0</v>
      </c>
      <c r="CQ48" s="308"/>
      <c r="CS48" s="296"/>
      <c r="CT48" s="296" t="str">
        <f t="shared" si="43"/>
        <v xml:space="preserve">     Intergovernmental payable</v>
      </c>
      <c r="CU48" s="294">
        <f>+INPUT!AU134</f>
        <v>0</v>
      </c>
      <c r="CV48" s="294"/>
      <c r="CW48" s="294">
        <f>+INPUT!AV134</f>
        <v>0</v>
      </c>
      <c r="CX48" s="296"/>
      <c r="CY48" s="294">
        <f>+INPUT!AX134</f>
        <v>0</v>
      </c>
      <c r="CZ48" s="308"/>
      <c r="DA48" s="294">
        <f>+INPUT!AY134</f>
        <v>0</v>
      </c>
      <c r="DB48" s="308"/>
      <c r="DC48" s="294">
        <f>+INPUT!AZ134</f>
        <v>0</v>
      </c>
      <c r="DF48" s="308"/>
      <c r="DH48" s="296"/>
      <c r="DJ48" s="296"/>
      <c r="DK48" s="296" t="str">
        <f t="shared" si="44"/>
        <v xml:space="preserve">     Intergovernmental payable</v>
      </c>
      <c r="DL48" s="294">
        <f>+INPUT!BA134</f>
        <v>0</v>
      </c>
      <c r="DN48" s="294"/>
      <c r="DP48" s="294">
        <f>+INPUT!BD134</f>
        <v>0</v>
      </c>
      <c r="DR48" s="308"/>
      <c r="DV48" s="308"/>
      <c r="DW48" s="287"/>
      <c r="DX48" s="287"/>
      <c r="DY48" s="294"/>
      <c r="DZ48" s="294">
        <f>SUM(C48:DY48)</f>
        <v>0</v>
      </c>
    </row>
    <row r="49" spans="1:130" ht="15.75">
      <c r="A49" s="276"/>
      <c r="B49" s="296" t="str">
        <f>INPUT!B135</f>
        <v xml:space="preserve">     Due to other funds</v>
      </c>
      <c r="C49" s="294">
        <f>INPUT!E135</f>
        <v>374291</v>
      </c>
      <c r="D49" s="296"/>
      <c r="E49" s="294">
        <f>INPUT!F135</f>
        <v>0</v>
      </c>
      <c r="F49" s="296"/>
      <c r="G49" s="294">
        <f>INPUT!G135</f>
        <v>0</v>
      </c>
      <c r="H49" s="296"/>
      <c r="I49" s="294">
        <f>+INPUT!H135</f>
        <v>0</v>
      </c>
      <c r="J49" s="296"/>
      <c r="K49" s="294">
        <f>+INPUT!I135</f>
        <v>0</v>
      </c>
      <c r="L49" s="296"/>
      <c r="M49" s="296" t="str">
        <f t="shared" si="36"/>
        <v xml:space="preserve">     Due to other funds</v>
      </c>
      <c r="N49" s="294">
        <f>+INPUT!J135</f>
        <v>0</v>
      </c>
      <c r="O49" s="296"/>
      <c r="P49" s="294">
        <f>INPUT!K135</f>
        <v>0</v>
      </c>
      <c r="Q49" s="294"/>
      <c r="R49" s="294">
        <f>INPUT!L135</f>
        <v>0</v>
      </c>
      <c r="S49" s="294"/>
      <c r="T49" s="294">
        <f>INPUT!M135</f>
        <v>0</v>
      </c>
      <c r="U49" s="296"/>
      <c r="V49" s="294">
        <f>+INPUT!N135</f>
        <v>0</v>
      </c>
      <c r="W49" s="296"/>
      <c r="X49" s="296" t="str">
        <f t="shared" si="37"/>
        <v xml:space="preserve">     Due to other funds</v>
      </c>
      <c r="Y49" s="294">
        <f>+INPUT!O135</f>
        <v>0</v>
      </c>
      <c r="Z49" s="296"/>
      <c r="AA49" s="294">
        <f>+INPUT!Q135</f>
        <v>0</v>
      </c>
      <c r="AB49" s="296"/>
      <c r="AC49" s="294">
        <f>+INPUT!R135</f>
        <v>0</v>
      </c>
      <c r="AD49" s="296"/>
      <c r="AE49" s="294">
        <f>INPUT!S135</f>
        <v>0</v>
      </c>
      <c r="AF49" s="296"/>
      <c r="AG49" s="294">
        <f>+INPUT!T135</f>
        <v>0</v>
      </c>
      <c r="AH49" s="296"/>
      <c r="AI49" s="296" t="str">
        <f t="shared" si="38"/>
        <v xml:space="preserve">     Due to other funds</v>
      </c>
      <c r="AJ49" s="294">
        <f>+INPUT!U135</f>
        <v>0</v>
      </c>
      <c r="AK49" s="296"/>
      <c r="AL49" s="294">
        <f>+INPUT!V135</f>
        <v>0</v>
      </c>
      <c r="AM49" s="296"/>
      <c r="AN49" s="294">
        <f>+INPUT!W135</f>
        <v>0</v>
      </c>
      <c r="AO49" s="296"/>
      <c r="AP49" s="294">
        <f>+INPUT!Y135</f>
        <v>0</v>
      </c>
      <c r="AQ49" s="308"/>
      <c r="AR49" s="294">
        <f>+INPUT!Z135</f>
        <v>0</v>
      </c>
      <c r="AS49" s="296"/>
      <c r="AT49" s="296" t="str">
        <f t="shared" si="39"/>
        <v xml:space="preserve">     Due to other funds</v>
      </c>
      <c r="AU49" s="294">
        <f>+INPUT!AA135</f>
        <v>0</v>
      </c>
      <c r="AV49" s="308"/>
      <c r="AW49" s="294">
        <f>+INPUT!AB135</f>
        <v>0</v>
      </c>
      <c r="AX49" s="308"/>
      <c r="AY49" s="294">
        <f>+INPUT!AC135</f>
        <v>0</v>
      </c>
      <c r="AZ49" s="308"/>
      <c r="BA49" s="294">
        <f>+INPUT!AD135</f>
        <v>0</v>
      </c>
      <c r="BC49" s="294">
        <f>+INPUT!AE135</f>
        <v>0</v>
      </c>
      <c r="BF49" s="296"/>
      <c r="BG49" s="296" t="str">
        <f t="shared" si="40"/>
        <v xml:space="preserve">     Due to other funds</v>
      </c>
      <c r="BH49" s="294">
        <f>+INPUT!AF135</f>
        <v>0</v>
      </c>
      <c r="BI49" s="296"/>
      <c r="BJ49" s="294">
        <f>+INPUT!AG135</f>
        <v>0</v>
      </c>
      <c r="BL49" s="294">
        <f>+INPUT!AH135</f>
        <v>0</v>
      </c>
      <c r="BN49" s="294">
        <f>+INPUT!AI135</f>
        <v>0</v>
      </c>
      <c r="BO49" s="296"/>
      <c r="BP49" s="294">
        <f>+INPUT!AJ135</f>
        <v>0</v>
      </c>
      <c r="BQ49" s="296"/>
      <c r="BS49" s="296"/>
      <c r="BT49" s="296" t="str">
        <f t="shared" si="41"/>
        <v xml:space="preserve">     Due to other funds</v>
      </c>
      <c r="BU49" s="294">
        <f>+INPUT!AK135</f>
        <v>0</v>
      </c>
      <c r="BV49" s="296"/>
      <c r="BW49" s="294">
        <f>+INPUT!AL135</f>
        <v>0</v>
      </c>
      <c r="BX49" s="296"/>
      <c r="BY49" s="294">
        <f>+INPUT!AM135</f>
        <v>0</v>
      </c>
      <c r="BZ49" s="296"/>
      <c r="CA49" s="294">
        <f>+INPUT!AN135</f>
        <v>0</v>
      </c>
      <c r="CB49" s="296"/>
      <c r="CC49" s="294">
        <f>+INPUT!AO135</f>
        <v>0</v>
      </c>
      <c r="CD49" s="296"/>
      <c r="CF49" s="296"/>
      <c r="CG49" s="296" t="str">
        <f t="shared" si="42"/>
        <v xml:space="preserve">     Due to other funds</v>
      </c>
      <c r="CH49" s="294">
        <f>+INPUT!AP135</f>
        <v>0</v>
      </c>
      <c r="CI49" s="296"/>
      <c r="CJ49" s="294">
        <f>+INPUT!AQ135</f>
        <v>0</v>
      </c>
      <c r="CK49" s="296"/>
      <c r="CL49" s="294">
        <f>+INPUT!AR135</f>
        <v>0</v>
      </c>
      <c r="CM49" s="308"/>
      <c r="CN49" s="294">
        <f>+INPUT!AS135</f>
        <v>0</v>
      </c>
      <c r="CO49" s="308"/>
      <c r="CP49" s="294">
        <f>+INPUT!AT135</f>
        <v>0</v>
      </c>
      <c r="CQ49" s="308"/>
      <c r="CS49" s="296"/>
      <c r="CT49" s="296" t="str">
        <f t="shared" si="43"/>
        <v xml:space="preserve">     Due to other funds</v>
      </c>
      <c r="CU49" s="294">
        <f>+INPUT!AU135</f>
        <v>62477</v>
      </c>
      <c r="CV49" s="294"/>
      <c r="CW49" s="294">
        <f>+INPUT!AV135</f>
        <v>22045</v>
      </c>
      <c r="CX49" s="296"/>
      <c r="CY49" s="294">
        <f>+INPUT!AX135</f>
        <v>11972</v>
      </c>
      <c r="CZ49" s="308"/>
      <c r="DA49" s="294">
        <f>+INPUT!AY135</f>
        <v>0</v>
      </c>
      <c r="DB49" s="308"/>
      <c r="DC49" s="294">
        <f>+INPUT!AZ135</f>
        <v>0</v>
      </c>
      <c r="DF49" s="308"/>
      <c r="DH49" s="296"/>
      <c r="DJ49" s="296"/>
      <c r="DK49" s="296" t="str">
        <f t="shared" si="44"/>
        <v xml:space="preserve">     Due to other funds</v>
      </c>
      <c r="DL49" s="294">
        <f>+INPUT!BA135</f>
        <v>8728</v>
      </c>
      <c r="DN49" s="294"/>
      <c r="DP49" s="294">
        <f>+INPUT!BD135</f>
        <v>0</v>
      </c>
      <c r="DR49" s="308"/>
      <c r="DV49" s="308"/>
      <c r="DW49" s="287"/>
      <c r="DX49" s="287"/>
      <c r="DY49" s="294"/>
      <c r="DZ49" s="294">
        <f>SUM(C49:DY49)</f>
        <v>479513</v>
      </c>
    </row>
    <row r="50" spans="1:130" ht="15.75" hidden="1" customHeight="1">
      <c r="A50" s="276"/>
    </row>
    <row r="51" spans="1:130" ht="15.75" hidden="1" customHeight="1">
      <c r="A51" s="276"/>
      <c r="B51" s="296"/>
      <c r="C51" s="294"/>
      <c r="D51" s="296"/>
      <c r="E51" s="294"/>
      <c r="F51" s="296"/>
      <c r="G51" s="294"/>
      <c r="H51" s="296"/>
      <c r="I51" s="294"/>
      <c r="J51" s="296"/>
      <c r="K51" s="294"/>
      <c r="L51" s="296"/>
      <c r="M51" s="296"/>
      <c r="N51" s="294"/>
      <c r="O51" s="296"/>
      <c r="P51" s="294"/>
      <c r="Q51" s="294"/>
      <c r="R51" s="294"/>
      <c r="S51" s="294"/>
      <c r="T51" s="294"/>
      <c r="U51" s="296"/>
      <c r="V51" s="294"/>
      <c r="W51" s="296"/>
      <c r="X51" s="296"/>
      <c r="Y51" s="294"/>
      <c r="Z51" s="296"/>
      <c r="AA51" s="294"/>
      <c r="AB51" s="296"/>
      <c r="AC51" s="294"/>
      <c r="AD51" s="296"/>
      <c r="AE51" s="294"/>
      <c r="AF51" s="296"/>
      <c r="AG51" s="294"/>
      <c r="AH51" s="296"/>
      <c r="AI51" s="296"/>
      <c r="AJ51" s="294"/>
      <c r="AK51" s="296"/>
      <c r="AL51" s="294"/>
      <c r="AM51" s="296"/>
      <c r="AN51" s="294"/>
      <c r="AO51" s="296"/>
      <c r="AP51" s="294"/>
      <c r="AQ51" s="308"/>
      <c r="AR51" s="294"/>
      <c r="AS51" s="296"/>
      <c r="AT51" s="296"/>
      <c r="AU51" s="294"/>
      <c r="AV51" s="308"/>
      <c r="AW51" s="294"/>
      <c r="AX51" s="308"/>
      <c r="AY51" s="294"/>
      <c r="AZ51" s="308"/>
      <c r="BA51" s="294"/>
      <c r="BC51" s="294"/>
      <c r="BF51" s="296"/>
      <c r="BG51" s="296"/>
      <c r="BH51" s="294"/>
      <c r="BI51" s="296"/>
      <c r="BJ51" s="294"/>
      <c r="BL51" s="294"/>
      <c r="BN51" s="294"/>
      <c r="BO51" s="296"/>
      <c r="BP51" s="294"/>
      <c r="BQ51" s="296"/>
      <c r="BS51" s="296"/>
      <c r="BT51" s="296"/>
      <c r="BU51" s="294"/>
      <c r="BV51" s="296"/>
      <c r="BW51" s="294"/>
      <c r="BX51" s="296"/>
      <c r="BY51" s="294"/>
      <c r="BZ51" s="296"/>
      <c r="CA51" s="294"/>
      <c r="CB51" s="296"/>
      <c r="CC51" s="294"/>
      <c r="CD51" s="296"/>
      <c r="CF51" s="296"/>
      <c r="CG51" s="296"/>
      <c r="CH51" s="294"/>
      <c r="CI51" s="296"/>
      <c r="CJ51" s="294"/>
      <c r="CK51" s="296"/>
      <c r="CL51" s="294"/>
      <c r="CM51" s="308"/>
      <c r="CN51" s="294"/>
      <c r="CO51" s="308"/>
      <c r="CP51" s="294"/>
      <c r="CQ51" s="308"/>
      <c r="CS51" s="296"/>
      <c r="CT51" s="296"/>
      <c r="CU51" s="294"/>
      <c r="CV51" s="294"/>
      <c r="CW51" s="294"/>
      <c r="CX51" s="296"/>
      <c r="CY51" s="294"/>
      <c r="CZ51" s="308"/>
      <c r="DA51" s="294"/>
      <c r="DB51" s="308"/>
      <c r="DC51" s="294"/>
      <c r="DF51" s="308"/>
      <c r="DH51" s="296"/>
      <c r="DJ51" s="296"/>
      <c r="DK51" s="296"/>
      <c r="DL51" s="294"/>
      <c r="DN51" s="294"/>
      <c r="DP51" s="294"/>
      <c r="DR51" s="308"/>
      <c r="DV51" s="308"/>
      <c r="DW51" s="287"/>
      <c r="DX51" s="287"/>
      <c r="DY51" s="294"/>
      <c r="DZ51" s="294"/>
    </row>
    <row r="52" spans="1:130" ht="15.75" hidden="1" customHeight="1">
      <c r="A52" s="276"/>
      <c r="B52" s="296"/>
      <c r="C52" s="294"/>
      <c r="D52" s="296"/>
      <c r="E52" s="294"/>
      <c r="F52" s="296"/>
      <c r="G52" s="294"/>
      <c r="H52" s="296"/>
      <c r="I52" s="294"/>
      <c r="J52" s="296"/>
      <c r="K52" s="294"/>
      <c r="L52" s="296"/>
      <c r="M52" s="296"/>
      <c r="N52" s="294"/>
      <c r="O52" s="296"/>
      <c r="P52" s="294"/>
      <c r="Q52" s="294"/>
      <c r="R52" s="294"/>
      <c r="S52" s="294"/>
      <c r="T52" s="294"/>
      <c r="U52" s="296"/>
      <c r="V52" s="294"/>
      <c r="W52" s="296"/>
      <c r="X52" s="296"/>
      <c r="Y52" s="294"/>
      <c r="Z52" s="296"/>
      <c r="AA52" s="294"/>
      <c r="AB52" s="296"/>
      <c r="AC52" s="294"/>
      <c r="AD52" s="296"/>
      <c r="AE52" s="294"/>
      <c r="AF52" s="296"/>
      <c r="AG52" s="294"/>
      <c r="AH52" s="296"/>
      <c r="AI52" s="296"/>
      <c r="AJ52" s="294"/>
      <c r="AK52" s="296"/>
      <c r="AL52" s="294"/>
      <c r="AM52" s="296"/>
      <c r="AN52" s="294"/>
      <c r="AO52" s="296"/>
      <c r="AP52" s="294"/>
      <c r="AQ52" s="308"/>
      <c r="AR52" s="294"/>
      <c r="AS52" s="296"/>
      <c r="AT52" s="296"/>
      <c r="AU52" s="294"/>
      <c r="AV52" s="308"/>
      <c r="AW52" s="294"/>
      <c r="AX52" s="308"/>
      <c r="AY52" s="294"/>
      <c r="AZ52" s="308"/>
      <c r="BA52" s="294"/>
      <c r="BC52" s="294"/>
      <c r="BF52" s="296"/>
      <c r="BG52" s="296"/>
      <c r="BH52" s="294"/>
      <c r="BI52" s="296"/>
      <c r="BJ52" s="294"/>
      <c r="BL52" s="294"/>
      <c r="BN52" s="294"/>
      <c r="BO52" s="296"/>
      <c r="BP52" s="294"/>
      <c r="BQ52" s="296"/>
      <c r="BS52" s="296"/>
      <c r="BT52" s="296"/>
      <c r="BU52" s="294"/>
      <c r="BV52" s="296"/>
      <c r="BW52" s="294"/>
      <c r="BX52" s="296"/>
      <c r="BY52" s="294"/>
      <c r="BZ52" s="296"/>
      <c r="CA52" s="294"/>
      <c r="CB52" s="296"/>
      <c r="CC52" s="294"/>
      <c r="CD52" s="296"/>
      <c r="CF52" s="296"/>
      <c r="CG52" s="296"/>
      <c r="CH52" s="294"/>
      <c r="CI52" s="296"/>
      <c r="CJ52" s="294"/>
      <c r="CK52" s="296"/>
      <c r="CL52" s="294"/>
      <c r="CM52" s="308"/>
      <c r="CN52" s="294"/>
      <c r="CO52" s="308"/>
      <c r="CP52" s="294"/>
      <c r="CQ52" s="308"/>
      <c r="CS52" s="296"/>
      <c r="CT52" s="296"/>
      <c r="CU52" s="294"/>
      <c r="CV52" s="294"/>
      <c r="CW52" s="294"/>
      <c r="CX52" s="296"/>
      <c r="CY52" s="294"/>
      <c r="CZ52" s="308"/>
      <c r="DA52" s="294"/>
      <c r="DB52" s="308"/>
      <c r="DC52" s="294"/>
      <c r="DF52" s="308"/>
      <c r="DH52" s="296"/>
      <c r="DJ52" s="296"/>
      <c r="DK52" s="296"/>
      <c r="DL52" s="294"/>
      <c r="DN52" s="294"/>
      <c r="DP52" s="294"/>
      <c r="DR52" s="308"/>
      <c r="DV52" s="308"/>
      <c r="DW52" s="287"/>
      <c r="DX52" s="287"/>
      <c r="DY52" s="294"/>
      <c r="DZ52" s="294"/>
    </row>
    <row r="53" spans="1:130" ht="15.75" hidden="1" customHeight="1">
      <c r="A53" s="276" t="s">
        <v>299</v>
      </c>
      <c r="B53" s="296" t="str">
        <f>INPUT!B138</f>
        <v xml:space="preserve">     Revenue bonds payable</v>
      </c>
      <c r="C53" s="294">
        <f>INPUT!E138</f>
        <v>0</v>
      </c>
      <c r="D53" s="296"/>
      <c r="E53" s="294">
        <f>INPUT!F138</f>
        <v>0</v>
      </c>
      <c r="F53" s="296"/>
      <c r="G53" s="294">
        <f>INPUT!G138</f>
        <v>0</v>
      </c>
      <c r="H53" s="296"/>
      <c r="I53" s="294">
        <f>+INPUT!H138</f>
        <v>0</v>
      </c>
      <c r="J53" s="296"/>
      <c r="K53" s="294">
        <f>+INPUT!I138</f>
        <v>0</v>
      </c>
      <c r="L53" s="296"/>
      <c r="M53" s="296" t="str">
        <f>B53</f>
        <v xml:space="preserve">     Revenue bonds payable</v>
      </c>
      <c r="N53" s="294">
        <f>+INPUT!J138</f>
        <v>0</v>
      </c>
      <c r="O53" s="296"/>
      <c r="P53" s="294">
        <f>INPUT!K138</f>
        <v>0</v>
      </c>
      <c r="Q53" s="294"/>
      <c r="R53" s="294">
        <f>INPUT!L138</f>
        <v>0</v>
      </c>
      <c r="S53" s="294"/>
      <c r="T53" s="294">
        <f>INPUT!M138</f>
        <v>0</v>
      </c>
      <c r="U53" s="296"/>
      <c r="V53" s="294">
        <f>+INPUT!N138</f>
        <v>0</v>
      </c>
      <c r="W53" s="296"/>
      <c r="X53" s="296" t="str">
        <f>B53</f>
        <v xml:space="preserve">     Revenue bonds payable</v>
      </c>
      <c r="Y53" s="294">
        <f>+INPUT!O138</f>
        <v>0</v>
      </c>
      <c r="Z53" s="296"/>
      <c r="AA53" s="294">
        <f>+INPUT!Q138</f>
        <v>0</v>
      </c>
      <c r="AB53" s="296"/>
      <c r="AC53" s="294">
        <f>+INPUT!R138</f>
        <v>0</v>
      </c>
      <c r="AD53" s="296"/>
      <c r="AE53" s="294">
        <f>INPUT!S138</f>
        <v>0</v>
      </c>
      <c r="AF53" s="296"/>
      <c r="AG53" s="294">
        <f>+INPUT!T138</f>
        <v>0</v>
      </c>
      <c r="AH53" s="296"/>
      <c r="AI53" s="296" t="str">
        <f>B53</f>
        <v xml:space="preserve">     Revenue bonds payable</v>
      </c>
      <c r="AJ53" s="294">
        <f>+INPUT!U138</f>
        <v>0</v>
      </c>
      <c r="AK53" s="296"/>
      <c r="AL53" s="294">
        <f>+INPUT!V138</f>
        <v>0</v>
      </c>
      <c r="AM53" s="296"/>
      <c r="AN53" s="294">
        <f>+INPUT!W138</f>
        <v>0</v>
      </c>
      <c r="AO53" s="296"/>
      <c r="AP53" s="294">
        <f>+INPUT!Y138</f>
        <v>0</v>
      </c>
      <c r="AQ53" s="308"/>
      <c r="AR53" s="294">
        <f>+INPUT!Z138</f>
        <v>0</v>
      </c>
      <c r="AS53" s="296"/>
      <c r="AT53" s="296" t="str">
        <f>B53</f>
        <v xml:space="preserve">     Revenue bonds payable</v>
      </c>
      <c r="AU53" s="294">
        <f>+INPUT!AA138</f>
        <v>0</v>
      </c>
      <c r="AV53" s="308"/>
      <c r="AW53" s="294">
        <f>+INPUT!AB138</f>
        <v>0</v>
      </c>
      <c r="AX53" s="308"/>
      <c r="AY53" s="294">
        <f>+INPUT!AC138</f>
        <v>0</v>
      </c>
      <c r="AZ53" s="308"/>
      <c r="BA53" s="294">
        <f>+INPUT!AD138</f>
        <v>0</v>
      </c>
      <c r="BC53" s="294">
        <f>+INPUT!AE138</f>
        <v>0</v>
      </c>
      <c r="BF53" s="296"/>
      <c r="BG53" s="296" t="str">
        <f>+B53</f>
        <v xml:space="preserve">     Revenue bonds payable</v>
      </c>
      <c r="BH53" s="294">
        <f>+INPUT!AF138</f>
        <v>0</v>
      </c>
      <c r="BI53" s="296"/>
      <c r="BJ53" s="294">
        <f>+INPUT!AG138</f>
        <v>0</v>
      </c>
      <c r="BL53" s="294">
        <f>+INPUT!AH138</f>
        <v>0</v>
      </c>
      <c r="BN53" s="294">
        <f>+INPUT!AI138</f>
        <v>0</v>
      </c>
      <c r="BO53" s="296"/>
      <c r="BP53" s="294">
        <f>+INPUT!AJ138</f>
        <v>0</v>
      </c>
      <c r="BQ53" s="296"/>
      <c r="BS53" s="296"/>
      <c r="BT53" s="296" t="str">
        <f>B53</f>
        <v xml:space="preserve">     Revenue bonds payable</v>
      </c>
      <c r="BU53" s="294">
        <f>+INPUT!AK136</f>
        <v>0</v>
      </c>
      <c r="BV53" s="296"/>
      <c r="BW53" s="294">
        <f>+INPUT!AL136</f>
        <v>0</v>
      </c>
      <c r="BX53" s="296"/>
      <c r="BY53" s="294">
        <f>+INPUT!AM136</f>
        <v>0</v>
      </c>
      <c r="BZ53" s="296"/>
      <c r="CA53" s="294">
        <f>+INPUT!AN136</f>
        <v>0</v>
      </c>
      <c r="CB53" s="296"/>
      <c r="CC53" s="294">
        <f>+INPUT!AO136</f>
        <v>0</v>
      </c>
      <c r="CD53" s="296"/>
      <c r="CF53" s="296"/>
      <c r="CG53" s="296" t="str">
        <f>M53</f>
        <v xml:space="preserve">     Revenue bonds payable</v>
      </c>
      <c r="CH53" s="294">
        <f>+INPUT!AP136</f>
        <v>0</v>
      </c>
      <c r="CI53" s="296"/>
      <c r="CJ53" s="294">
        <f>+INPUT!AQ138</f>
        <v>0</v>
      </c>
      <c r="CK53" s="296"/>
      <c r="CL53" s="294">
        <f>+INPUT!AR138</f>
        <v>0</v>
      </c>
      <c r="CM53" s="308"/>
      <c r="CN53" s="294">
        <f>+INPUT!AS138</f>
        <v>0</v>
      </c>
      <c r="CO53" s="308"/>
      <c r="CP53" s="294">
        <f>+INPUT!AT138</f>
        <v>0</v>
      </c>
      <c r="CQ53" s="308"/>
      <c r="CS53" s="296"/>
      <c r="CT53" s="296" t="str">
        <f>X53</f>
        <v xml:space="preserve">     Revenue bonds payable</v>
      </c>
      <c r="CU53" s="294">
        <f>+INPUT!AU138</f>
        <v>0</v>
      </c>
      <c r="CV53" s="294"/>
      <c r="CW53" s="294">
        <f>+INPUT!AV138</f>
        <v>0</v>
      </c>
      <c r="CX53" s="296"/>
      <c r="CY53" s="294">
        <f>+INPUT!AX138</f>
        <v>0</v>
      </c>
      <c r="CZ53" s="308"/>
      <c r="DA53" s="294">
        <f>+INPUT!AY138</f>
        <v>0</v>
      </c>
      <c r="DB53" s="308"/>
      <c r="DC53" s="294">
        <f>+INPUT!AZ138</f>
        <v>0</v>
      </c>
      <c r="DF53" s="308"/>
      <c r="DH53" s="296"/>
      <c r="DJ53" s="296"/>
      <c r="DK53" s="296" t="str">
        <f>AI53</f>
        <v xml:space="preserve">     Revenue bonds payable</v>
      </c>
      <c r="DL53" s="294">
        <f>+INPUT!BA138</f>
        <v>0</v>
      </c>
      <c r="DN53" s="294"/>
      <c r="DP53" s="294">
        <f>+INPUT!BD140</f>
        <v>0</v>
      </c>
      <c r="DR53" s="308"/>
      <c r="DV53" s="308"/>
      <c r="DW53" s="287"/>
      <c r="DX53" s="287"/>
      <c r="DY53" s="294"/>
      <c r="DZ53" s="294">
        <f t="shared" ref="DZ53:DZ65" si="45">SUM(C53:DY53)</f>
        <v>0</v>
      </c>
    </row>
    <row r="54" spans="1:130" ht="15.75" hidden="1" customHeight="1">
      <c r="A54" s="276"/>
      <c r="B54" s="296"/>
      <c r="C54" s="294"/>
      <c r="D54" s="296"/>
      <c r="E54" s="294"/>
      <c r="F54" s="296"/>
      <c r="G54" s="294"/>
      <c r="H54" s="296"/>
      <c r="I54" s="294"/>
      <c r="J54" s="296"/>
      <c r="K54" s="294"/>
      <c r="L54" s="296"/>
      <c r="M54" s="296"/>
      <c r="N54" s="294"/>
      <c r="O54" s="296"/>
      <c r="P54" s="294"/>
      <c r="Q54" s="294"/>
      <c r="R54" s="294"/>
      <c r="S54" s="294"/>
      <c r="T54" s="294"/>
      <c r="U54" s="296"/>
      <c r="V54" s="294"/>
      <c r="W54" s="296"/>
      <c r="X54" s="296"/>
      <c r="Y54" s="294"/>
      <c r="Z54" s="296"/>
      <c r="AA54" s="294"/>
      <c r="AB54" s="296"/>
      <c r="AC54" s="294"/>
      <c r="AD54" s="296"/>
      <c r="AE54" s="294"/>
      <c r="AF54" s="296"/>
      <c r="AG54" s="294"/>
      <c r="AH54" s="296"/>
      <c r="AI54" s="296"/>
      <c r="AJ54" s="294"/>
      <c r="AK54" s="296"/>
      <c r="AL54" s="294"/>
      <c r="AM54" s="296"/>
      <c r="AN54" s="294"/>
      <c r="AO54" s="296"/>
      <c r="AP54" s="294"/>
      <c r="AQ54" s="308"/>
      <c r="AR54" s="294"/>
      <c r="AS54" s="296"/>
      <c r="AT54" s="296"/>
      <c r="AU54" s="294"/>
      <c r="AV54" s="308"/>
      <c r="AW54" s="294"/>
      <c r="AX54" s="308"/>
      <c r="AY54" s="294"/>
      <c r="AZ54" s="308"/>
      <c r="BA54" s="294"/>
      <c r="BC54" s="294"/>
      <c r="BF54" s="296"/>
      <c r="BG54" s="296"/>
      <c r="BH54" s="294"/>
      <c r="BI54" s="296"/>
      <c r="BJ54" s="294"/>
      <c r="BL54" s="294"/>
      <c r="BN54" s="294"/>
      <c r="BO54" s="296"/>
      <c r="BP54" s="294"/>
      <c r="BQ54" s="296"/>
      <c r="BS54" s="296"/>
      <c r="BT54" s="296"/>
      <c r="BU54" s="294"/>
      <c r="BV54" s="296"/>
      <c r="BW54" s="294"/>
      <c r="BX54" s="296"/>
      <c r="BY54" s="294"/>
      <c r="BZ54" s="296"/>
      <c r="CA54" s="294"/>
      <c r="CB54" s="296"/>
      <c r="CC54" s="294"/>
      <c r="CD54" s="296"/>
      <c r="CF54" s="296"/>
      <c r="CG54" s="296"/>
      <c r="CH54" s="294"/>
      <c r="CI54" s="296"/>
      <c r="CJ54" s="294"/>
      <c r="CK54" s="296"/>
      <c r="CL54" s="294"/>
      <c r="CM54" s="308"/>
      <c r="CN54" s="294"/>
      <c r="CO54" s="308"/>
      <c r="CP54" s="294"/>
      <c r="CQ54" s="308"/>
      <c r="CS54" s="296"/>
      <c r="CT54" s="296"/>
      <c r="CU54" s="294"/>
      <c r="CV54" s="294"/>
      <c r="CW54" s="294"/>
      <c r="CX54" s="296"/>
      <c r="CY54" s="294">
        <f>+INPUT!AX139</f>
        <v>0</v>
      </c>
      <c r="CZ54" s="308"/>
      <c r="DA54" s="294"/>
      <c r="DB54" s="308"/>
      <c r="DC54" s="294"/>
      <c r="DF54" s="308"/>
      <c r="DH54" s="296"/>
      <c r="DJ54" s="296"/>
      <c r="DK54" s="296"/>
      <c r="DL54" s="294"/>
      <c r="DN54" s="294"/>
      <c r="DP54" s="294"/>
      <c r="DR54" s="308"/>
      <c r="DV54" s="308"/>
      <c r="DW54" s="287"/>
      <c r="DX54" s="287"/>
      <c r="DY54" s="294"/>
      <c r="DZ54" s="294">
        <f t="shared" si="45"/>
        <v>0</v>
      </c>
    </row>
    <row r="55" spans="1:130" ht="15.75" hidden="1" customHeight="1">
      <c r="A55" s="276" t="s">
        <v>299</v>
      </c>
      <c r="B55" s="296" t="str">
        <f>INPUT!B139</f>
        <v xml:space="preserve">     Landfill postclosure costs payable - current</v>
      </c>
      <c r="C55" s="294">
        <f>INPUT!E139</f>
        <v>0</v>
      </c>
      <c r="D55" s="296"/>
      <c r="E55" s="294">
        <f>INPUT!F139</f>
        <v>0</v>
      </c>
      <c r="F55" s="296"/>
      <c r="G55" s="294">
        <f>INPUT!G139</f>
        <v>0</v>
      </c>
      <c r="H55" s="296"/>
      <c r="I55" s="294" t="str">
        <f>IF(+INPUT!H139&lt;&gt;0,+INPUT!H139,"-")</f>
        <v>-</v>
      </c>
      <c r="J55" s="296"/>
      <c r="K55" s="294" t="str">
        <f>IF(+INPUT!I139&lt;&gt;0,+INPUT!I139,"-")</f>
        <v>-</v>
      </c>
      <c r="L55" s="296"/>
      <c r="M55" s="296" t="str">
        <f>B55</f>
        <v xml:space="preserve">     Landfill postclosure costs payable - current</v>
      </c>
      <c r="N55" s="294">
        <f>+INPUT!J139</f>
        <v>0</v>
      </c>
      <c r="O55" s="296"/>
      <c r="P55" s="294">
        <f>INPUT!K139</f>
        <v>0</v>
      </c>
      <c r="Q55" s="294"/>
      <c r="R55" s="294">
        <f>INPUT!L139</f>
        <v>0</v>
      </c>
      <c r="S55" s="294"/>
      <c r="T55" s="294">
        <f>INPUT!M139</f>
        <v>0</v>
      </c>
      <c r="U55" s="296"/>
      <c r="V55" s="294" t="str">
        <f>IF(+INPUT!N139&lt;&gt;0,+INPUT!N139,"-")</f>
        <v>-</v>
      </c>
      <c r="W55" s="296"/>
      <c r="X55" s="296" t="str">
        <f>B55</f>
        <v xml:space="preserve">     Landfill postclosure costs payable - current</v>
      </c>
      <c r="Y55" s="294" t="str">
        <f>IF(+INPUT!O139&lt;&gt;0,+INPUT!O139,"-")</f>
        <v>-</v>
      </c>
      <c r="Z55" s="296"/>
      <c r="AA55" s="294">
        <f>+INPUT!Q139</f>
        <v>0</v>
      </c>
      <c r="AB55" s="296"/>
      <c r="AC55" s="294" t="str">
        <f>IF(+INPUT!R139&lt;&gt;0,+INPUT!R139,"-")</f>
        <v>-</v>
      </c>
      <c r="AD55" s="296"/>
      <c r="AE55" s="294" t="str">
        <f>IF(+INPUT!S139&lt;&gt;0,+INPUT!S139,"-")</f>
        <v>-</v>
      </c>
      <c r="AF55" s="296"/>
      <c r="AG55" s="294" t="str">
        <f>IF(+INPUT!T139&lt;&gt;0,+INPUT!T139,"-")</f>
        <v>-</v>
      </c>
      <c r="AH55" s="296"/>
      <c r="AI55" s="296" t="str">
        <f>B55</f>
        <v xml:space="preserve">     Landfill postclosure costs payable - current</v>
      </c>
      <c r="AJ55" s="294" t="str">
        <f>IF(+INPUT!U139&lt;&gt;0,+INPUT!U139,"-")</f>
        <v>-</v>
      </c>
      <c r="AK55" s="296"/>
      <c r="AL55" s="294">
        <f>+INPUT!V139</f>
        <v>0</v>
      </c>
      <c r="AM55" s="296"/>
      <c r="AN55" s="294">
        <f>+INPUT!W139</f>
        <v>0</v>
      </c>
      <c r="AO55" s="296"/>
      <c r="AP55" s="294">
        <f>+INPUT!Y139</f>
        <v>0</v>
      </c>
      <c r="AQ55" s="308"/>
      <c r="AR55" s="294">
        <f>+INPUT!Z139</f>
        <v>0</v>
      </c>
      <c r="AS55" s="296"/>
      <c r="AT55" s="296" t="str">
        <f>B55</f>
        <v xml:space="preserve">     Landfill postclosure costs payable - current</v>
      </c>
      <c r="AU55" s="294">
        <f>+INPUT!AA139</f>
        <v>0</v>
      </c>
      <c r="AV55" s="308"/>
      <c r="AW55" s="294">
        <f>+INPUT!AB139</f>
        <v>0</v>
      </c>
      <c r="AX55" s="308"/>
      <c r="AY55" s="294" t="str">
        <f>IF(+INPUT!AC139&lt;&gt;0,+INPUT!AC139,"-")</f>
        <v>-</v>
      </c>
      <c r="AZ55" s="308"/>
      <c r="BA55" s="294" t="str">
        <f>IF(+INPUT!AD139&lt;&gt;0,+INPUT!AD139,"-")</f>
        <v>-</v>
      </c>
      <c r="BC55" s="294">
        <f>+INPUT!AE139</f>
        <v>0</v>
      </c>
      <c r="BF55" s="296"/>
      <c r="BG55" s="296" t="str">
        <f>+B55</f>
        <v xml:space="preserve">     Landfill postclosure costs payable - current</v>
      </c>
      <c r="BH55" s="294">
        <f>+INPUT!AF139</f>
        <v>0</v>
      </c>
      <c r="BI55" s="296"/>
      <c r="BJ55" s="294">
        <f>+INPUT!AG139</f>
        <v>0</v>
      </c>
      <c r="BL55" s="294">
        <f>+INPUT!AH139</f>
        <v>0</v>
      </c>
      <c r="BN55" s="294">
        <f>+INPUT!AI139</f>
        <v>0</v>
      </c>
      <c r="BO55" s="296"/>
      <c r="BP55" s="294">
        <f>+INPUT!AJ139</f>
        <v>0</v>
      </c>
      <c r="BQ55" s="296"/>
      <c r="BS55" s="296"/>
      <c r="BT55" s="296" t="str">
        <f>B55</f>
        <v xml:space="preserve">     Landfill postclosure costs payable - current</v>
      </c>
      <c r="BU55" s="294">
        <f>+INPUT!AK138</f>
        <v>0</v>
      </c>
      <c r="BV55" s="296"/>
      <c r="BW55" s="294">
        <f>+INPUT!AL138</f>
        <v>0</v>
      </c>
      <c r="BX55" s="296"/>
      <c r="BY55" s="294">
        <f>+INPUT!AM138</f>
        <v>0</v>
      </c>
      <c r="BZ55" s="296"/>
      <c r="CA55" s="294">
        <f>+INPUT!AN138</f>
        <v>0</v>
      </c>
      <c r="CB55" s="296"/>
      <c r="CC55" s="294">
        <f>+INPUT!AO138</f>
        <v>0</v>
      </c>
      <c r="CD55" s="296"/>
      <c r="CF55" s="296"/>
      <c r="CG55" s="296" t="str">
        <f>M55</f>
        <v xml:space="preserve">     Landfill postclosure costs payable - current</v>
      </c>
      <c r="CH55" s="294">
        <f>+INPUT!AP138</f>
        <v>0</v>
      </c>
      <c r="CI55" s="296"/>
      <c r="CJ55" s="294">
        <f>+INPUT!AQ139</f>
        <v>0</v>
      </c>
      <c r="CK55" s="296"/>
      <c r="CL55" s="294">
        <f>+INPUT!AR139</f>
        <v>0</v>
      </c>
      <c r="CM55" s="308"/>
      <c r="CN55" s="294">
        <f>+INPUT!AS139</f>
        <v>0</v>
      </c>
      <c r="CO55" s="308"/>
      <c r="CP55" s="294">
        <f>+INPUT!AT139</f>
        <v>0</v>
      </c>
      <c r="CQ55" s="308"/>
      <c r="CS55" s="296"/>
      <c r="CT55" s="296" t="str">
        <f>X55</f>
        <v xml:space="preserve">     Landfill postclosure costs payable - current</v>
      </c>
      <c r="CU55" s="294">
        <f>+INPUT!AU139</f>
        <v>0</v>
      </c>
      <c r="CV55" s="294"/>
      <c r="CW55" s="294">
        <f>+INPUT!AV139</f>
        <v>0</v>
      </c>
      <c r="CX55" s="296"/>
      <c r="CY55" s="294">
        <f>+INPUT!AX140</f>
        <v>0</v>
      </c>
      <c r="CZ55" s="308"/>
      <c r="DA55" s="294">
        <f>+INPUT!AY139</f>
        <v>0</v>
      </c>
      <c r="DB55" s="308"/>
      <c r="DC55" s="294">
        <f>+INPUT!AZ139</f>
        <v>0</v>
      </c>
      <c r="DF55" s="308"/>
      <c r="DH55" s="296"/>
      <c r="DJ55" s="296"/>
      <c r="DK55" s="296" t="str">
        <f>AI55</f>
        <v xml:space="preserve">     Landfill postclosure costs payable - current</v>
      </c>
      <c r="DL55" s="294">
        <f>+INPUT!BA139</f>
        <v>0</v>
      </c>
      <c r="DN55" s="294"/>
      <c r="DP55" s="294">
        <f>+INPUT!BD141</f>
        <v>0</v>
      </c>
      <c r="DR55" s="308"/>
      <c r="DV55" s="308"/>
      <c r="DW55" s="287"/>
      <c r="DX55" s="287"/>
      <c r="DY55" s="294"/>
      <c r="DZ55" s="294">
        <f t="shared" si="45"/>
        <v>0</v>
      </c>
    </row>
    <row r="56" spans="1:130" ht="15.75" hidden="1" customHeight="1">
      <c r="A56" s="276" t="s">
        <v>299</v>
      </c>
      <c r="B56" s="296" t="str">
        <f>INPUT!B140</f>
        <v xml:space="preserve">     Claims payable</v>
      </c>
      <c r="C56" s="294">
        <f>INPUT!E140</f>
        <v>0</v>
      </c>
      <c r="D56" s="296"/>
      <c r="E56" s="294">
        <f>INPUT!F140</f>
        <v>0</v>
      </c>
      <c r="F56" s="296"/>
      <c r="G56" s="294">
        <f>INPUT!G140</f>
        <v>0</v>
      </c>
      <c r="H56" s="296"/>
      <c r="I56" s="294">
        <f>+INPUT!H140</f>
        <v>0</v>
      </c>
      <c r="J56" s="296"/>
      <c r="K56" s="294">
        <f>+INPUT!I140</f>
        <v>0</v>
      </c>
      <c r="L56" s="296"/>
      <c r="M56" s="296" t="str">
        <f>B56</f>
        <v xml:space="preserve">     Claims payable</v>
      </c>
      <c r="N56" s="294">
        <f>+INPUT!J140</f>
        <v>0</v>
      </c>
      <c r="O56" s="296"/>
      <c r="P56" s="294">
        <f>INPUT!K140</f>
        <v>0</v>
      </c>
      <c r="Q56" s="294"/>
      <c r="R56" s="294">
        <f>INPUT!L140</f>
        <v>0</v>
      </c>
      <c r="S56" s="294"/>
      <c r="T56" s="294">
        <f>INPUT!M140</f>
        <v>0</v>
      </c>
      <c r="U56" s="296"/>
      <c r="V56" s="294">
        <f>INPUT!N140</f>
        <v>0</v>
      </c>
      <c r="W56" s="296"/>
      <c r="X56" s="296" t="str">
        <f>B56</f>
        <v xml:space="preserve">     Claims payable</v>
      </c>
      <c r="Y56" s="294">
        <f>INPUT!O140</f>
        <v>0</v>
      </c>
      <c r="Z56" s="296"/>
      <c r="AA56" s="294">
        <f>+INPUT!Q140</f>
        <v>0</v>
      </c>
      <c r="AB56" s="296"/>
      <c r="AC56" s="294">
        <f>+INPUT!R140</f>
        <v>0</v>
      </c>
      <c r="AD56" s="296"/>
      <c r="AE56" s="294">
        <f>+INPUT!S140</f>
        <v>0</v>
      </c>
      <c r="AF56" s="296"/>
      <c r="AG56" s="294">
        <f>+INPUT!T140</f>
        <v>0</v>
      </c>
      <c r="AH56" s="296"/>
      <c r="AI56" s="296" t="str">
        <f>B56</f>
        <v xml:space="preserve">     Claims payable</v>
      </c>
      <c r="AJ56" s="294">
        <f>INPUT!U140</f>
        <v>0</v>
      </c>
      <c r="AK56" s="296"/>
      <c r="AL56" s="294">
        <f>+INPUT!V140</f>
        <v>0</v>
      </c>
      <c r="AM56" s="296"/>
      <c r="AN56" s="294">
        <f>+INPUT!W140</f>
        <v>0</v>
      </c>
      <c r="AO56" s="296"/>
      <c r="AP56" s="294">
        <f>+INPUT!Y140</f>
        <v>0</v>
      </c>
      <c r="AQ56" s="308"/>
      <c r="AR56" s="294">
        <f>+INPUT!Z140</f>
        <v>0</v>
      </c>
      <c r="AS56" s="296"/>
      <c r="AT56" s="296" t="str">
        <f>B56</f>
        <v xml:space="preserve">     Claims payable</v>
      </c>
      <c r="AU56" s="294">
        <f>+INPUT!AA140</f>
        <v>0</v>
      </c>
      <c r="AV56" s="308"/>
      <c r="AW56" s="294">
        <f>+INPUT!AB140</f>
        <v>0</v>
      </c>
      <c r="AX56" s="308"/>
      <c r="AY56" s="294">
        <f>INPUT!AC140</f>
        <v>0</v>
      </c>
      <c r="AZ56" s="308"/>
      <c r="BA56" s="294">
        <f>INPUT!AD140</f>
        <v>0</v>
      </c>
      <c r="BC56" s="294">
        <f>+INPUT!AE140</f>
        <v>0</v>
      </c>
      <c r="BF56" s="296"/>
      <c r="BG56" s="296" t="str">
        <f>+B56</f>
        <v xml:space="preserve">     Claims payable</v>
      </c>
      <c r="BH56" s="294">
        <f>+INPUT!AF140</f>
        <v>0</v>
      </c>
      <c r="BI56" s="296"/>
      <c r="BJ56" s="294">
        <f>+INPUT!AG140</f>
        <v>0</v>
      </c>
      <c r="BL56" s="294">
        <f>+INPUT!AH140</f>
        <v>0</v>
      </c>
      <c r="BN56" s="294">
        <f>+INPUT!AI140</f>
        <v>0</v>
      </c>
      <c r="BO56" s="296"/>
      <c r="BP56" s="294">
        <f>+INPUT!AJ140</f>
        <v>0</v>
      </c>
      <c r="BQ56" s="296"/>
      <c r="BS56" s="296"/>
      <c r="BT56" s="296" t="str">
        <f>B56</f>
        <v xml:space="preserve">     Claims payable</v>
      </c>
      <c r="BU56" s="294">
        <f>+INPUT!AK139</f>
        <v>0</v>
      </c>
      <c r="BV56" s="296"/>
      <c r="BW56" s="294">
        <f>+INPUT!AL139</f>
        <v>0</v>
      </c>
      <c r="BX56" s="296"/>
      <c r="BY56" s="294">
        <f>+INPUT!AM139</f>
        <v>0</v>
      </c>
      <c r="BZ56" s="296"/>
      <c r="CA56" s="294">
        <f>+INPUT!AN139</f>
        <v>0</v>
      </c>
      <c r="CB56" s="296"/>
      <c r="CC56" s="294">
        <f>+INPUT!AO139</f>
        <v>0</v>
      </c>
      <c r="CD56" s="296"/>
      <c r="CF56" s="296"/>
      <c r="CG56" s="296" t="str">
        <f>M56</f>
        <v xml:space="preserve">     Claims payable</v>
      </c>
      <c r="CH56" s="294">
        <f>+INPUT!AP139</f>
        <v>0</v>
      </c>
      <c r="CI56" s="296"/>
      <c r="CJ56" s="294">
        <f>+INPUT!AQ140</f>
        <v>0</v>
      </c>
      <c r="CK56" s="296"/>
      <c r="CL56" s="294">
        <f>+INPUT!AR140</f>
        <v>0</v>
      </c>
      <c r="CM56" s="308"/>
      <c r="CN56" s="294">
        <f>+INPUT!AS140</f>
        <v>0</v>
      </c>
      <c r="CO56" s="308"/>
      <c r="CP56" s="294">
        <f>+INPUT!AT140</f>
        <v>0</v>
      </c>
      <c r="CQ56" s="308"/>
      <c r="CS56" s="296"/>
      <c r="CT56" s="296" t="str">
        <f>X56</f>
        <v xml:space="preserve">     Claims payable</v>
      </c>
      <c r="CU56" s="294">
        <f>+INPUT!AU140</f>
        <v>0</v>
      </c>
      <c r="CV56" s="294"/>
      <c r="CW56" s="294">
        <f>+INPUT!AV140</f>
        <v>0</v>
      </c>
      <c r="CX56" s="296"/>
      <c r="CY56" s="294">
        <f>+INPUT!AX141</f>
        <v>0</v>
      </c>
      <c r="CZ56" s="308"/>
      <c r="DA56" s="294">
        <f>+INPUT!AY140</f>
        <v>0</v>
      </c>
      <c r="DB56" s="308"/>
      <c r="DC56" s="294">
        <f>+INPUT!AZ140</f>
        <v>0</v>
      </c>
      <c r="DF56" s="308"/>
      <c r="DH56" s="296"/>
      <c r="DJ56" s="296"/>
      <c r="DK56" s="296" t="str">
        <f>AI56</f>
        <v xml:space="preserve">     Claims payable</v>
      </c>
      <c r="DL56" s="294">
        <f>+INPUT!BA140</f>
        <v>0</v>
      </c>
      <c r="DN56" s="294"/>
      <c r="DP56" s="294">
        <f>+INPUT!BD142</f>
        <v>0</v>
      </c>
      <c r="DR56" s="308"/>
      <c r="DV56" s="308"/>
      <c r="DW56" s="287"/>
      <c r="DX56" s="287"/>
      <c r="DY56" s="294"/>
      <c r="DZ56" s="294">
        <f t="shared" si="45"/>
        <v>0</v>
      </c>
    </row>
    <row r="57" spans="1:130" ht="15.75" hidden="1" customHeight="1">
      <c r="A57" s="276"/>
      <c r="B57" s="296"/>
      <c r="C57" s="294"/>
      <c r="D57" s="296"/>
      <c r="E57" s="294"/>
      <c r="F57" s="296"/>
      <c r="G57" s="294"/>
      <c r="H57" s="296"/>
      <c r="I57" s="294"/>
      <c r="J57" s="296"/>
      <c r="K57" s="294"/>
      <c r="L57" s="296"/>
      <c r="M57" s="296"/>
      <c r="N57" s="294"/>
      <c r="O57" s="296"/>
      <c r="P57" s="294"/>
      <c r="Q57" s="294"/>
      <c r="R57" s="294"/>
      <c r="S57" s="294"/>
      <c r="T57" s="294"/>
      <c r="U57" s="296"/>
      <c r="V57" s="294"/>
      <c r="W57" s="296"/>
      <c r="X57" s="296"/>
      <c r="Y57" s="294"/>
      <c r="Z57" s="296"/>
      <c r="AA57" s="294"/>
      <c r="AB57" s="296"/>
      <c r="AC57" s="294"/>
      <c r="AD57" s="296"/>
      <c r="AE57" s="294"/>
      <c r="AF57" s="296"/>
      <c r="AG57" s="294"/>
      <c r="AH57" s="296"/>
      <c r="AI57" s="296"/>
      <c r="AJ57" s="294"/>
      <c r="AK57" s="296"/>
      <c r="AL57" s="294"/>
      <c r="AM57" s="296"/>
      <c r="AN57" s="294"/>
      <c r="AO57" s="296"/>
      <c r="AP57" s="294"/>
      <c r="AQ57" s="308"/>
      <c r="AR57" s="294"/>
      <c r="AS57" s="296"/>
      <c r="AT57" s="296"/>
      <c r="AU57" s="294"/>
      <c r="AV57" s="308"/>
      <c r="AW57" s="294"/>
      <c r="AX57" s="308"/>
      <c r="AY57" s="294"/>
      <c r="AZ57" s="308"/>
      <c r="BA57" s="294"/>
      <c r="BC57" s="294"/>
      <c r="BF57" s="296"/>
      <c r="BG57" s="296"/>
      <c r="BH57" s="294"/>
      <c r="BI57" s="296"/>
      <c r="BJ57" s="294"/>
      <c r="BL57" s="294"/>
      <c r="BN57" s="294"/>
      <c r="BO57" s="296"/>
      <c r="BP57" s="294"/>
      <c r="BQ57" s="296"/>
      <c r="BS57" s="296"/>
      <c r="BT57" s="296"/>
      <c r="BU57" s="294"/>
      <c r="BV57" s="296"/>
      <c r="BW57" s="294"/>
      <c r="BX57" s="296"/>
      <c r="BY57" s="294"/>
      <c r="BZ57" s="296"/>
      <c r="CA57" s="294"/>
      <c r="CB57" s="296"/>
      <c r="CC57" s="294"/>
      <c r="CD57" s="296"/>
      <c r="CF57" s="296"/>
      <c r="CG57" s="296"/>
      <c r="CH57" s="294"/>
      <c r="CI57" s="296"/>
      <c r="CJ57" s="294"/>
      <c r="CK57" s="296"/>
      <c r="CL57" s="294"/>
      <c r="CM57" s="308"/>
      <c r="CN57" s="294"/>
      <c r="CO57" s="308"/>
      <c r="CP57" s="294"/>
      <c r="CQ57" s="308"/>
      <c r="CS57" s="296"/>
      <c r="CT57" s="296"/>
      <c r="CU57" s="294"/>
      <c r="CV57" s="294"/>
      <c r="CW57" s="294"/>
      <c r="CX57" s="296"/>
      <c r="CY57" s="294">
        <f>+INPUT!AX142</f>
        <v>0</v>
      </c>
      <c r="CZ57" s="308"/>
      <c r="DA57" s="294">
        <f>+INPUT!AY141</f>
        <v>0</v>
      </c>
      <c r="DB57" s="308"/>
      <c r="DC57" s="294"/>
      <c r="DF57" s="308"/>
      <c r="DH57" s="296"/>
      <c r="DJ57" s="296"/>
      <c r="DK57" s="296"/>
      <c r="DL57" s="294"/>
      <c r="DN57" s="294"/>
      <c r="DP57" s="294"/>
      <c r="DR57" s="308"/>
      <c r="DV57" s="308"/>
      <c r="DW57" s="287"/>
      <c r="DX57" s="287"/>
      <c r="DY57" s="294"/>
      <c r="DZ57" s="294">
        <f t="shared" si="45"/>
        <v>0</v>
      </c>
    </row>
    <row r="58" spans="1:130" ht="15.75" hidden="1" customHeight="1">
      <c r="A58" s="276"/>
      <c r="B58" s="296" t="str">
        <f>INPUT!B141</f>
        <v xml:space="preserve">     Advances from other funds</v>
      </c>
      <c r="C58" s="294">
        <f>INPUT!E141</f>
        <v>0</v>
      </c>
      <c r="D58" s="296"/>
      <c r="E58" s="294">
        <f>INPUT!F141</f>
        <v>0</v>
      </c>
      <c r="F58" s="296"/>
      <c r="G58" s="294">
        <f>INPUT!G141</f>
        <v>0</v>
      </c>
      <c r="H58" s="296"/>
      <c r="I58" s="294">
        <f>+INPUT!H141</f>
        <v>0</v>
      </c>
      <c r="J58" s="296"/>
      <c r="K58" s="294">
        <f>+INPUT!I141</f>
        <v>0</v>
      </c>
      <c r="L58" s="296"/>
      <c r="M58" s="296" t="str">
        <f t="shared" ref="M58:M64" si="46">B58</f>
        <v xml:space="preserve">     Advances from other funds</v>
      </c>
      <c r="N58" s="294">
        <f>+INPUT!J141</f>
        <v>0</v>
      </c>
      <c r="O58" s="296"/>
      <c r="P58" s="294">
        <f>INPUT!K141</f>
        <v>0</v>
      </c>
      <c r="Q58" s="294"/>
      <c r="R58" s="294">
        <f>INPUT!L141</f>
        <v>0</v>
      </c>
      <c r="S58" s="294"/>
      <c r="T58" s="294">
        <f>INPUT!M141</f>
        <v>0</v>
      </c>
      <c r="U58" s="296"/>
      <c r="V58" s="294">
        <f>INPUT!N141</f>
        <v>0</v>
      </c>
      <c r="W58" s="296"/>
      <c r="X58" s="296" t="str">
        <f>B58</f>
        <v xml:space="preserve">     Advances from other funds</v>
      </c>
      <c r="Y58" s="294">
        <f>INPUT!O141</f>
        <v>0</v>
      </c>
      <c r="Z58" s="296"/>
      <c r="AA58" s="294">
        <f>+INPUT!Q141</f>
        <v>0</v>
      </c>
      <c r="AB58" s="296"/>
      <c r="AC58" s="294">
        <f>+INPUT!R141</f>
        <v>0</v>
      </c>
      <c r="AD58" s="296"/>
      <c r="AE58" s="294">
        <f>+INPUT!S141</f>
        <v>0</v>
      </c>
      <c r="AF58" s="296"/>
      <c r="AG58" s="294">
        <f>+INPUT!T141</f>
        <v>0</v>
      </c>
      <c r="AH58" s="296"/>
      <c r="AI58" s="296" t="str">
        <f>B58</f>
        <v xml:space="preserve">     Advances from other funds</v>
      </c>
      <c r="AJ58" s="294">
        <f>INPUT!U141</f>
        <v>0</v>
      </c>
      <c r="AK58" s="296"/>
      <c r="AL58" s="294">
        <f>+INPUT!V141</f>
        <v>0</v>
      </c>
      <c r="AM58" s="296"/>
      <c r="AN58" s="294">
        <f>+INPUT!W141</f>
        <v>0</v>
      </c>
      <c r="AO58" s="296"/>
      <c r="AP58" s="294">
        <f>+INPUT!Y141</f>
        <v>0</v>
      </c>
      <c r="AQ58" s="308"/>
      <c r="AR58" s="294">
        <f>+INPUT!Z141</f>
        <v>0</v>
      </c>
      <c r="AS58" s="296"/>
      <c r="AT58" s="296" t="str">
        <f>B58</f>
        <v xml:space="preserve">     Advances from other funds</v>
      </c>
      <c r="AU58" s="294">
        <f>+INPUT!AA141</f>
        <v>0</v>
      </c>
      <c r="AV58" s="308"/>
      <c r="AW58" s="294">
        <f>+INPUT!AB141</f>
        <v>0</v>
      </c>
      <c r="AX58" s="308"/>
      <c r="AY58" s="294">
        <f>INPUT!AC141</f>
        <v>0</v>
      </c>
      <c r="AZ58" s="308"/>
      <c r="BA58" s="294">
        <f>INPUT!AD141</f>
        <v>0</v>
      </c>
      <c r="BC58" s="294">
        <f>+INPUT!AE141</f>
        <v>0</v>
      </c>
      <c r="BF58" s="296"/>
      <c r="BG58" s="296" t="str">
        <f>+B58</f>
        <v xml:space="preserve">     Advances from other funds</v>
      </c>
      <c r="BH58" s="294">
        <f>+INPUT!AF141</f>
        <v>0</v>
      </c>
      <c r="BI58" s="296"/>
      <c r="BJ58" s="294">
        <f>+INPUT!AG141</f>
        <v>0</v>
      </c>
      <c r="BL58" s="294">
        <f>+INPUT!AH141</f>
        <v>0</v>
      </c>
      <c r="BN58" s="294">
        <f>+INPUT!AI141</f>
        <v>0</v>
      </c>
      <c r="BO58" s="296"/>
      <c r="BP58" s="294">
        <f>+INPUT!AJ141</f>
        <v>0</v>
      </c>
      <c r="BQ58" s="296"/>
      <c r="BS58" s="296"/>
      <c r="BT58" s="296" t="str">
        <f>B58</f>
        <v xml:space="preserve">     Advances from other funds</v>
      </c>
      <c r="BU58" s="294">
        <f>+INPUT!AK140</f>
        <v>0</v>
      </c>
      <c r="BV58" s="296"/>
      <c r="BW58" s="294">
        <f>+INPUT!AL140</f>
        <v>0</v>
      </c>
      <c r="BX58" s="296"/>
      <c r="BY58" s="294">
        <f>+INPUT!AM140</f>
        <v>0</v>
      </c>
      <c r="BZ58" s="296"/>
      <c r="CA58" s="294">
        <f>+INPUT!AN140</f>
        <v>0</v>
      </c>
      <c r="CB58" s="296"/>
      <c r="CC58" s="294">
        <f>+INPUT!AO140</f>
        <v>0</v>
      </c>
      <c r="CD58" s="296"/>
      <c r="CF58" s="296"/>
      <c r="CG58" s="296" t="str">
        <f>M58</f>
        <v xml:space="preserve">     Advances from other funds</v>
      </c>
      <c r="CH58" s="294">
        <f>+INPUT!AP140</f>
        <v>0</v>
      </c>
      <c r="CI58" s="296"/>
      <c r="CJ58" s="294">
        <f>+INPUT!AQ141</f>
        <v>0</v>
      </c>
      <c r="CK58" s="296"/>
      <c r="CL58" s="294">
        <f>+INPUT!AR141</f>
        <v>0</v>
      </c>
      <c r="CM58" s="308"/>
      <c r="CN58" s="294">
        <f>+INPUT!AS141</f>
        <v>0</v>
      </c>
      <c r="CO58" s="308"/>
      <c r="CP58" s="294">
        <f>+INPUT!AT141</f>
        <v>0</v>
      </c>
      <c r="CQ58" s="308"/>
      <c r="CS58" s="296"/>
      <c r="CT58" s="296" t="str">
        <f>X58</f>
        <v xml:space="preserve">     Advances from other funds</v>
      </c>
      <c r="CU58" s="294">
        <f>+INPUT!AU141</f>
        <v>0</v>
      </c>
      <c r="CV58" s="294"/>
      <c r="CW58" s="294">
        <f>+INPUT!AV141</f>
        <v>0</v>
      </c>
      <c r="CX58" s="296"/>
      <c r="CY58" s="294">
        <f>+INPUT!AX143</f>
        <v>0</v>
      </c>
      <c r="CZ58" s="308"/>
      <c r="DA58" s="294">
        <f>+INPUT!AY142</f>
        <v>0</v>
      </c>
      <c r="DB58" s="308"/>
      <c r="DC58" s="294">
        <f>+INPUT!AZ141</f>
        <v>0</v>
      </c>
      <c r="DF58" s="308"/>
      <c r="DH58" s="296"/>
      <c r="DJ58" s="296"/>
      <c r="DK58" s="296" t="str">
        <f>AI58</f>
        <v xml:space="preserve">     Advances from other funds</v>
      </c>
      <c r="DL58" s="294">
        <f>+INPUT!BA141</f>
        <v>0</v>
      </c>
      <c r="DN58" s="294"/>
      <c r="DP58" s="294">
        <f>+INPUT!BD140</f>
        <v>0</v>
      </c>
      <c r="DR58" s="308"/>
      <c r="DV58" s="308"/>
      <c r="DW58" s="287"/>
      <c r="DX58" s="287"/>
      <c r="DY58" s="294"/>
      <c r="DZ58" s="294">
        <f t="shared" si="45"/>
        <v>0</v>
      </c>
    </row>
    <row r="59" spans="1:130" ht="15.75" hidden="1" customHeight="1">
      <c r="A59" s="276" t="s">
        <v>299</v>
      </c>
      <c r="B59" s="296" t="str">
        <f>INPUT!B142</f>
        <v xml:space="preserve">     General obligation bonds payable</v>
      </c>
      <c r="C59" s="294" t="str">
        <f>IF(+INPUT!E142&lt;&gt;0,+INPUT!E142,"-")</f>
        <v>-</v>
      </c>
      <c r="D59" s="296"/>
      <c r="E59" s="294" t="str">
        <f>IF(+INPUT!F142&lt;&gt;0,+INPUT!F142,"-")</f>
        <v>-</v>
      </c>
      <c r="F59" s="296"/>
      <c r="G59" s="294" t="str">
        <f>IF(+INPUT!G142&lt;&gt;0,+INPUT!G142,"-")</f>
        <v>-</v>
      </c>
      <c r="H59" s="296"/>
      <c r="I59" s="294" t="str">
        <f>IF(+INPUT!H142&lt;&gt;0,+INPUT!H142,"-")</f>
        <v>-</v>
      </c>
      <c r="J59" s="296"/>
      <c r="K59" s="294" t="str">
        <f>IF(+INPUT!I142&lt;&gt;0,+INPUT!I142,"-")</f>
        <v>-</v>
      </c>
      <c r="L59" s="296"/>
      <c r="M59" s="296" t="str">
        <f t="shared" si="46"/>
        <v xml:space="preserve">     General obligation bonds payable</v>
      </c>
      <c r="N59" s="294" t="str">
        <f>IF(+INPUT!J142&lt;&gt;0,+INPUT!J142,"-")</f>
        <v>-</v>
      </c>
      <c r="O59" s="296"/>
      <c r="P59" s="294">
        <f>INPUT!K142</f>
        <v>0</v>
      </c>
      <c r="Q59" s="294"/>
      <c r="R59" s="294">
        <f>INPUT!L142</f>
        <v>0</v>
      </c>
      <c r="S59" s="294"/>
      <c r="T59" s="294">
        <f>INPUT!M142</f>
        <v>0</v>
      </c>
      <c r="U59" s="296"/>
      <c r="V59" s="294" t="str">
        <f>IF(+INPUT!N142&lt;&gt;0,+INPUT!N142,"-")</f>
        <v>-</v>
      </c>
      <c r="W59" s="296"/>
      <c r="X59" s="296" t="str">
        <f>B59</f>
        <v xml:space="preserve">     General obligation bonds payable</v>
      </c>
      <c r="Y59" s="294" t="str">
        <f>IF(+INPUT!O142&lt;&gt;0,+INPUT!O142,"-")</f>
        <v>-</v>
      </c>
      <c r="Z59" s="296"/>
      <c r="AA59" s="294" t="str">
        <f>IF(+INPUT!Q142&lt;&gt;0,+INPUT!Q142,"-")</f>
        <v>-</v>
      </c>
      <c r="AB59" s="296"/>
      <c r="AC59" s="294" t="str">
        <f>IF(+INPUT!R142&lt;&gt;0,+INPUT!R142,"-")</f>
        <v>-</v>
      </c>
      <c r="AD59" s="296"/>
      <c r="AE59" s="294" t="str">
        <f>IF(+INPUT!S142&lt;&gt;0,+INPUT!S142,"-")</f>
        <v>-</v>
      </c>
      <c r="AF59" s="296"/>
      <c r="AG59" s="294" t="str">
        <f>IF(+INPUT!T142&lt;&gt;0,+INPUT!T142,"-")</f>
        <v>-</v>
      </c>
      <c r="AH59" s="296"/>
      <c r="AI59" s="296" t="str">
        <f>B59</f>
        <v xml:space="preserve">     General obligation bonds payable</v>
      </c>
      <c r="AJ59" s="294" t="str">
        <f>IF(+INPUT!U142&lt;&gt;0,+INPUT!U142,"-")</f>
        <v>-</v>
      </c>
      <c r="AK59" s="296"/>
      <c r="AL59" s="294" t="str">
        <f>IF(+INPUT!V142&lt;&gt;0,+INPUT!V142,"-")</f>
        <v>-</v>
      </c>
      <c r="AM59" s="296"/>
      <c r="AN59" s="294" t="str">
        <f>IF(+INPUT!W142&lt;&gt;0,+INPUT!W142,"-")</f>
        <v>-</v>
      </c>
      <c r="AO59" s="296"/>
      <c r="AP59" s="294">
        <f>+INPUT!Y142</f>
        <v>0</v>
      </c>
      <c r="AQ59" s="308"/>
      <c r="AR59" s="294">
        <f>+INPUT!Z142</f>
        <v>0</v>
      </c>
      <c r="AS59" s="296"/>
      <c r="AT59" s="296" t="str">
        <f>B59</f>
        <v xml:space="preserve">     General obligation bonds payable</v>
      </c>
      <c r="AU59" s="294" t="str">
        <f>IF(+INPUT!AA142&lt;&gt;0,+INPUT!AA142,"-")</f>
        <v>-</v>
      </c>
      <c r="AV59" s="308"/>
      <c r="AW59" s="294" t="str">
        <f>IF(+INPUT!AB142&lt;&gt;0,+INPUT!AB142,"-")</f>
        <v>-</v>
      </c>
      <c r="AX59" s="308"/>
      <c r="AY59" s="294" t="str">
        <f>IF(+INPUT!AC142&lt;&gt;0,+INPUT!AC142,"-")</f>
        <v>-</v>
      </c>
      <c r="AZ59" s="308"/>
      <c r="BA59" s="294" t="str">
        <f>IF(+INPUT!AD142&lt;&gt;0,+INPUT!AD142,"-")</f>
        <v>-</v>
      </c>
      <c r="BC59" s="294" t="str">
        <f>IF(+INPUT!AE142&lt;&gt;0,+INPUT!AE142,"-")</f>
        <v>-</v>
      </c>
      <c r="BF59" s="296"/>
      <c r="BG59" s="296" t="str">
        <f>+B59</f>
        <v xml:space="preserve">     General obligation bonds payable</v>
      </c>
      <c r="BH59" s="294" t="str">
        <f>IF(+INPUT!AF142&lt;&gt;0,+INPUT!AF142,"-")</f>
        <v>-</v>
      </c>
      <c r="BI59" s="296"/>
      <c r="BJ59" s="294" t="str">
        <f>IF(+INPUT!AG142&lt;&gt;0,+INPUT!AG142,"-")</f>
        <v>-</v>
      </c>
      <c r="BL59" s="294" t="str">
        <f>IF(+INPUT!AH142&lt;&gt;0,+INPUT!AH142,"-")</f>
        <v>-</v>
      </c>
      <c r="BN59" s="294" t="str">
        <f>IF(+INPUT!AI142&lt;&gt;0,+INPUT!AI142,"-")</f>
        <v>-</v>
      </c>
      <c r="BO59" s="296"/>
      <c r="BP59" s="294" t="str">
        <f>IF(+INPUT!AJ142&lt;&gt;0,+INPUT!AJ142,"-")</f>
        <v>-</v>
      </c>
      <c r="BQ59" s="296"/>
      <c r="BS59" s="296"/>
      <c r="BT59" s="296" t="str">
        <f>B59</f>
        <v xml:space="preserve">     General obligation bonds payable</v>
      </c>
      <c r="BU59" s="294"/>
      <c r="BV59" s="296"/>
      <c r="BW59" s="294"/>
      <c r="BX59" s="296"/>
      <c r="BY59" s="294"/>
      <c r="BZ59" s="296"/>
      <c r="CA59" s="294"/>
      <c r="CB59" s="296"/>
      <c r="CC59" s="294"/>
      <c r="CD59" s="296"/>
      <c r="CF59" s="296"/>
      <c r="CG59" s="296" t="str">
        <f>M59</f>
        <v xml:space="preserve">     General obligation bonds payable</v>
      </c>
      <c r="CH59" s="294"/>
      <c r="CI59" s="296"/>
      <c r="CJ59" s="294" t="str">
        <f>IF(+INPUT!AQ142&lt;&gt;0,+INPUT!AQ142,"-")</f>
        <v>-</v>
      </c>
      <c r="CK59" s="296"/>
      <c r="CL59" s="294" t="str">
        <f>IF(+INPUT!AR142&lt;&gt;0,+INPUT!AR142,"-")</f>
        <v>-</v>
      </c>
      <c r="CM59" s="308"/>
      <c r="CN59" s="294" t="str">
        <f>IF(+INPUT!AS142&lt;&gt;0,+INPUT!AS142,"-")</f>
        <v>-</v>
      </c>
      <c r="CO59" s="308"/>
      <c r="CP59" s="294" t="str">
        <f>IF(+INPUT!AT142&lt;&gt;0,+INPUT!AT142,"-")</f>
        <v>-</v>
      </c>
      <c r="CQ59" s="308"/>
      <c r="CS59" s="296"/>
      <c r="CT59" s="296" t="str">
        <f>X59</f>
        <v xml:space="preserve">     General obligation bonds payable</v>
      </c>
      <c r="CU59" s="294" t="str">
        <f>IF(+INPUT!AU142&lt;&gt;0,+INPUT!AU142,"-")</f>
        <v>-</v>
      </c>
      <c r="CV59" s="294"/>
      <c r="CW59" s="294" t="str">
        <f>IF(+INPUT!AV142&lt;&gt;0,+INPUT!AV142,"-")</f>
        <v>-</v>
      </c>
      <c r="CX59" s="296"/>
      <c r="CY59" s="294">
        <f>+INPUT!AX144</f>
        <v>0</v>
      </c>
      <c r="CZ59" s="308"/>
      <c r="DA59" s="294">
        <f>+INPUT!AY143</f>
        <v>0</v>
      </c>
      <c r="DB59" s="308"/>
      <c r="DC59" s="294" t="str">
        <f>IF(+INPUT!AZ142&lt;&gt;0,+INPUT!AZ142,"-")</f>
        <v>-</v>
      </c>
      <c r="DF59" s="308"/>
      <c r="DH59" s="296"/>
      <c r="DJ59" s="296"/>
      <c r="DK59" s="296" t="str">
        <f>AI59</f>
        <v xml:space="preserve">     General obligation bonds payable</v>
      </c>
      <c r="DL59" s="294" t="str">
        <f>IF(+INPUT!BA142&lt;&gt;0,+INPUT!BA142,"-")</f>
        <v>-</v>
      </c>
      <c r="DN59" s="294"/>
      <c r="DP59" s="294">
        <f>+INPUT!BD141</f>
        <v>0</v>
      </c>
      <c r="DR59" s="308"/>
      <c r="DV59" s="308"/>
      <c r="DW59" s="287"/>
      <c r="DX59" s="287"/>
      <c r="DY59" s="294"/>
      <c r="DZ59" s="294">
        <f t="shared" si="45"/>
        <v>0</v>
      </c>
    </row>
    <row r="60" spans="1:130" ht="15.75" hidden="1" customHeight="1">
      <c r="A60" s="276"/>
      <c r="B60" s="276" t="s">
        <v>300</v>
      </c>
      <c r="C60" s="294"/>
      <c r="D60" s="296"/>
      <c r="E60" s="294"/>
      <c r="F60" s="296"/>
      <c r="G60" s="294"/>
      <c r="H60" s="296"/>
      <c r="I60" s="294"/>
      <c r="J60" s="296"/>
      <c r="K60" s="294"/>
      <c r="L60" s="296"/>
      <c r="M60" s="276" t="str">
        <f t="shared" si="46"/>
        <v xml:space="preserve">     Special assessment debt with </v>
      </c>
      <c r="N60" s="294"/>
      <c r="O60" s="296"/>
      <c r="P60" s="294"/>
      <c r="Q60" s="294"/>
      <c r="R60" s="294"/>
      <c r="S60" s="294"/>
      <c r="T60" s="294"/>
      <c r="U60" s="296"/>
      <c r="V60" s="294"/>
      <c r="W60" s="296"/>
      <c r="X60" s="276" t="str">
        <f>M60</f>
        <v xml:space="preserve">     Special assessment debt with </v>
      </c>
      <c r="Y60" s="294"/>
      <c r="Z60" s="296"/>
      <c r="AA60" s="294"/>
      <c r="AB60" s="296"/>
      <c r="AC60" s="294"/>
      <c r="AD60" s="296"/>
      <c r="AE60" s="294"/>
      <c r="AF60" s="296"/>
      <c r="AG60" s="294"/>
      <c r="AH60" s="296"/>
      <c r="AI60" s="276" t="str">
        <f>X60</f>
        <v xml:space="preserve">     Special assessment debt with </v>
      </c>
      <c r="AJ60" s="294"/>
      <c r="AK60" s="296"/>
      <c r="AL60" s="294"/>
      <c r="AM60" s="296"/>
      <c r="AN60" s="294"/>
      <c r="AO60" s="296"/>
      <c r="AP60" s="294"/>
      <c r="AQ60" s="308"/>
      <c r="AR60" s="294"/>
      <c r="AS60" s="296"/>
      <c r="AT60" s="276" t="str">
        <f>AI60</f>
        <v xml:space="preserve">     Special assessment debt with </v>
      </c>
      <c r="AU60" s="294"/>
      <c r="AV60" s="308"/>
      <c r="AW60" s="294"/>
      <c r="AX60" s="308"/>
      <c r="AY60" s="294"/>
      <c r="AZ60" s="308"/>
      <c r="BA60" s="294"/>
      <c r="BC60" s="294"/>
      <c r="BF60" s="296"/>
      <c r="BG60" s="276" t="str">
        <f>AT60</f>
        <v xml:space="preserve">     Special assessment debt with </v>
      </c>
      <c r="BH60" s="294"/>
      <c r="BI60" s="276"/>
      <c r="BJ60" s="294"/>
      <c r="BL60" s="294"/>
      <c r="BN60" s="294"/>
      <c r="BO60" s="296"/>
      <c r="BP60" s="294"/>
      <c r="BQ60" s="296"/>
      <c r="BS60" s="296"/>
      <c r="BT60" s="276" t="str">
        <f>BG60</f>
        <v xml:space="preserve">     Special assessment debt with </v>
      </c>
      <c r="BU60" s="294"/>
      <c r="BV60" s="276"/>
      <c r="BW60" s="294"/>
      <c r="BX60" s="296"/>
      <c r="BY60" s="294"/>
      <c r="BZ60" s="296"/>
      <c r="CA60" s="294"/>
      <c r="CB60" s="296"/>
      <c r="CC60" s="294"/>
      <c r="CD60" s="296"/>
      <c r="CF60" s="296"/>
      <c r="CG60" s="276" t="str">
        <f>BT60</f>
        <v xml:space="preserve">     Special assessment debt with </v>
      </c>
      <c r="CH60" s="294"/>
      <c r="CI60" s="276"/>
      <c r="CJ60" s="294"/>
      <c r="CK60" s="296"/>
      <c r="CL60" s="294"/>
      <c r="CM60" s="308"/>
      <c r="CN60" s="294"/>
      <c r="CO60" s="308"/>
      <c r="CP60" s="294"/>
      <c r="CQ60" s="308"/>
      <c r="CS60" s="296"/>
      <c r="CT60" s="276" t="str">
        <f>CG60</f>
        <v xml:space="preserve">     Special assessment debt with </v>
      </c>
      <c r="CU60" s="294"/>
      <c r="CV60" s="294"/>
      <c r="CW60" s="294"/>
      <c r="CX60" s="276"/>
      <c r="CY60" s="294">
        <f>+INPUT!AX145</f>
        <v>0</v>
      </c>
      <c r="CZ60" s="308"/>
      <c r="DA60" s="294">
        <f>+INPUT!AY144</f>
        <v>0</v>
      </c>
      <c r="DB60" s="308"/>
      <c r="DC60" s="294"/>
      <c r="DF60" s="308"/>
      <c r="DH60" s="296"/>
      <c r="DJ60" s="296"/>
      <c r="DK60" s="276" t="str">
        <f>CT60</f>
        <v xml:space="preserve">     Special assessment debt with </v>
      </c>
      <c r="DL60" s="294"/>
      <c r="DN60" s="294"/>
      <c r="DP60" s="294"/>
      <c r="DR60" s="308"/>
      <c r="DV60" s="308"/>
      <c r="DW60" s="287"/>
      <c r="DX60" s="287"/>
      <c r="DY60" s="294"/>
      <c r="DZ60" s="294">
        <f t="shared" si="45"/>
        <v>0</v>
      </c>
    </row>
    <row r="61" spans="1:130" ht="15.75" hidden="1" customHeight="1">
      <c r="A61" s="276" t="s">
        <v>299</v>
      </c>
      <c r="B61" s="276" t="s">
        <v>1124</v>
      </c>
      <c r="C61" s="294" t="str">
        <f>IF(+INPUT!E143&lt;&gt;0,+INPUT!E143,"-")</f>
        <v>-</v>
      </c>
      <c r="D61" s="296"/>
      <c r="E61" s="294" t="str">
        <f>IF(+INPUT!F143&lt;&gt;0,+INPUT!F143,"-")</f>
        <v>-</v>
      </c>
      <c r="F61" s="296"/>
      <c r="G61" s="294" t="str">
        <f>IF(+INPUT!G143&lt;&gt;0,+INPUT!G143,"-")</f>
        <v>-</v>
      </c>
      <c r="H61" s="296"/>
      <c r="I61" s="294" t="str">
        <f>IF(+INPUT!H143&lt;&gt;0,+INPUT!H143,"-")</f>
        <v>-</v>
      </c>
      <c r="J61" s="296"/>
      <c r="K61" s="294" t="str">
        <f>IF(+INPUT!I143&lt;&gt;0,+INPUT!I143,"-")</f>
        <v>-</v>
      </c>
      <c r="L61" s="296"/>
      <c r="M61" s="276" t="str">
        <f t="shared" si="46"/>
        <v xml:space="preserve">          government commitment</v>
      </c>
      <c r="N61" s="294" t="str">
        <f>IF(+INPUT!J143&lt;&gt;0,+INPUT!J143,"-")</f>
        <v>-</v>
      </c>
      <c r="O61" s="296"/>
      <c r="P61" s="294">
        <f>INPUT!K143</f>
        <v>0</v>
      </c>
      <c r="Q61" s="294"/>
      <c r="R61" s="294">
        <f>INPUT!L143</f>
        <v>0</v>
      </c>
      <c r="S61" s="294"/>
      <c r="T61" s="294">
        <f>INPUT!M143</f>
        <v>0</v>
      </c>
      <c r="U61" s="296"/>
      <c r="V61" s="294" t="str">
        <f>IF(+INPUT!N143&lt;&gt;0,+INPUT!N143,"-")</f>
        <v>-</v>
      </c>
      <c r="W61" s="296"/>
      <c r="X61" s="276" t="str">
        <f>M61</f>
        <v xml:space="preserve">          government commitment</v>
      </c>
      <c r="Y61" s="294" t="str">
        <f>IF(+INPUT!O143&lt;&gt;0,+INPUT!O143,"-")</f>
        <v>-</v>
      </c>
      <c r="Z61" s="296"/>
      <c r="AA61" s="294" t="str">
        <f>IF(+INPUT!Q143&lt;&gt;0,+INPUT!Q143,"-")</f>
        <v>-</v>
      </c>
      <c r="AB61" s="296"/>
      <c r="AC61" s="294" t="str">
        <f>IF(+INPUT!R143&lt;&gt;0,+INPUT!R143,"-")</f>
        <v>-</v>
      </c>
      <c r="AD61" s="296"/>
      <c r="AE61" s="294" t="str">
        <f>IF(+INPUT!S143&lt;&gt;0,+INPUT!S143,"-")</f>
        <v>-</v>
      </c>
      <c r="AF61" s="296"/>
      <c r="AG61" s="294" t="str">
        <f>IF(+INPUT!T143&lt;&gt;0,+INPUT!T143,"-")</f>
        <v>-</v>
      </c>
      <c r="AH61" s="296"/>
      <c r="AI61" s="276" t="str">
        <f>X61</f>
        <v xml:space="preserve">          government commitment</v>
      </c>
      <c r="AJ61" s="294" t="str">
        <f>IF(+INPUT!U143&lt;&gt;0,+INPUT!U143,"-")</f>
        <v>-</v>
      </c>
      <c r="AK61" s="296"/>
      <c r="AL61" s="294" t="str">
        <f>IF(+INPUT!V143&lt;&gt;0,+INPUT!V143,"-")</f>
        <v>-</v>
      </c>
      <c r="AM61" s="296"/>
      <c r="AN61" s="294" t="str">
        <f>IF(+INPUT!W143&lt;&gt;0,+INPUT!W143,"-")</f>
        <v>-</v>
      </c>
      <c r="AO61" s="296"/>
      <c r="AP61" s="294">
        <f>+INPUT!Y143</f>
        <v>0</v>
      </c>
      <c r="AQ61" s="308"/>
      <c r="AR61" s="294">
        <f>+INPUT!Z143</f>
        <v>0</v>
      </c>
      <c r="AS61" s="296"/>
      <c r="AT61" s="276" t="str">
        <f>AI61</f>
        <v xml:space="preserve">          government commitment</v>
      </c>
      <c r="AU61" s="294" t="str">
        <f>IF(+INPUT!AA143&lt;&gt;0,+INPUT!AA143,"-")</f>
        <v>-</v>
      </c>
      <c r="AV61" s="308"/>
      <c r="AW61" s="294" t="str">
        <f>IF(+INPUT!AB143&lt;&gt;0,+INPUT!AB143,"-")</f>
        <v>-</v>
      </c>
      <c r="AX61" s="308"/>
      <c r="AY61" s="294" t="str">
        <f>IF(+INPUT!AC143&lt;&gt;0,+INPUT!AC143,"-")</f>
        <v>-</v>
      </c>
      <c r="AZ61" s="308"/>
      <c r="BA61" s="294" t="str">
        <f>IF(+INPUT!AD143&lt;&gt;0,+INPUT!AD143,"-")</f>
        <v>-</v>
      </c>
      <c r="BC61" s="294" t="str">
        <f>IF(+INPUT!AE143&lt;&gt;0,+INPUT!AE143,"-")</f>
        <v>-</v>
      </c>
      <c r="BF61" s="296"/>
      <c r="BG61" s="276" t="str">
        <f>AT61</f>
        <v xml:space="preserve">          government commitment</v>
      </c>
      <c r="BH61" s="294" t="str">
        <f>IF(+INPUT!AF143&lt;&gt;0,+INPUT!AF143,"-")</f>
        <v>-</v>
      </c>
      <c r="BI61" s="276"/>
      <c r="BJ61" s="294" t="str">
        <f>IF(+INPUT!AG143&lt;&gt;0,+INPUT!AG143,"-")</f>
        <v>-</v>
      </c>
      <c r="BL61" s="294" t="str">
        <f>IF(+INPUT!AH143&lt;&gt;0,+INPUT!AH143,"-")</f>
        <v>-</v>
      </c>
      <c r="BN61" s="294" t="str">
        <f>IF(+INPUT!AI143&lt;&gt;0,+INPUT!AI143,"-")</f>
        <v>-</v>
      </c>
      <c r="BO61" s="296"/>
      <c r="BP61" s="294" t="str">
        <f>IF(+INPUT!AJ143&lt;&gt;0,+INPUT!AJ143,"-")</f>
        <v>-</v>
      </c>
      <c r="BQ61" s="296"/>
      <c r="BS61" s="296"/>
      <c r="BT61" s="276" t="str">
        <f>BG61</f>
        <v xml:space="preserve">          government commitment</v>
      </c>
      <c r="BU61" s="294"/>
      <c r="BV61" s="276"/>
      <c r="BW61" s="294"/>
      <c r="BX61" s="296"/>
      <c r="BY61" s="294"/>
      <c r="BZ61" s="296"/>
      <c r="CA61" s="294"/>
      <c r="CB61" s="296"/>
      <c r="CC61" s="294"/>
      <c r="CD61" s="296"/>
      <c r="CF61" s="296"/>
      <c r="CG61" s="276" t="str">
        <f>BT61</f>
        <v xml:space="preserve">          government commitment</v>
      </c>
      <c r="CH61" s="294"/>
      <c r="CI61" s="276"/>
      <c r="CJ61" s="294" t="str">
        <f>IF(+INPUT!AQ143&lt;&gt;0,+INPUT!AQ143,"-")</f>
        <v>-</v>
      </c>
      <c r="CK61" s="296"/>
      <c r="CL61" s="294" t="str">
        <f>IF(+INPUT!AR143&lt;&gt;0,+INPUT!AR143,"-")</f>
        <v>-</v>
      </c>
      <c r="CM61" s="308"/>
      <c r="CN61" s="294" t="str">
        <f>IF(+INPUT!AS143&lt;&gt;0,+INPUT!AS143,"-")</f>
        <v>-</v>
      </c>
      <c r="CO61" s="308"/>
      <c r="CP61" s="294" t="str">
        <f>IF(+INPUT!AT143&lt;&gt;0,+INPUT!AT143,"-")</f>
        <v>-</v>
      </c>
      <c r="CQ61" s="308"/>
      <c r="CS61" s="296"/>
      <c r="CT61" s="276" t="str">
        <f>CG61</f>
        <v xml:space="preserve">          government commitment</v>
      </c>
      <c r="CU61" s="294" t="str">
        <f>IF(+INPUT!AU143&lt;&gt;0,+INPUT!AU143,"-")</f>
        <v>-</v>
      </c>
      <c r="CV61" s="294"/>
      <c r="CW61" s="294" t="str">
        <f>IF(+INPUT!AV143&lt;&gt;0,+INPUT!AV143,"-")</f>
        <v>-</v>
      </c>
      <c r="CX61" s="276"/>
      <c r="CY61" s="294">
        <f>+INPUT!AX146</f>
        <v>0</v>
      </c>
      <c r="CZ61" s="308"/>
      <c r="DA61" s="294">
        <f>+INPUT!AY145</f>
        <v>0</v>
      </c>
      <c r="DB61" s="308"/>
      <c r="DC61" s="294" t="str">
        <f>IF(+INPUT!AZ143&lt;&gt;0,+INPUT!AZ143,"-")</f>
        <v>-</v>
      </c>
      <c r="DF61" s="308"/>
      <c r="DH61" s="296"/>
      <c r="DJ61" s="296"/>
      <c r="DK61" s="276" t="str">
        <f>CT61</f>
        <v xml:space="preserve">          government commitment</v>
      </c>
      <c r="DL61" s="294" t="str">
        <f>IF(+INPUT!BA143&lt;&gt;0,+INPUT!BA143,"-")</f>
        <v>-</v>
      </c>
      <c r="DN61" s="294"/>
      <c r="DP61" s="294">
        <f>+INPUT!BD142</f>
        <v>0</v>
      </c>
      <c r="DR61" s="308"/>
      <c r="DV61" s="308"/>
      <c r="DW61" s="287"/>
      <c r="DX61" s="287"/>
      <c r="DY61" s="294"/>
      <c r="DZ61" s="294">
        <f t="shared" si="45"/>
        <v>0</v>
      </c>
    </row>
    <row r="62" spans="1:130" ht="15.75" hidden="1" customHeight="1">
      <c r="A62" s="276" t="s">
        <v>299</v>
      </c>
      <c r="B62" s="296" t="str">
        <f>INPUT!B145</f>
        <v xml:space="preserve">     Contracts/loans payable</v>
      </c>
      <c r="C62" s="294" t="str">
        <f>IF(+INPUT!E145&lt;&gt;0,+INPUT!E145,"-")</f>
        <v>-</v>
      </c>
      <c r="D62" s="296"/>
      <c r="E62" s="294" t="str">
        <f>IF(+INPUT!F145&lt;&gt;0,+INPUT!F145,"-")</f>
        <v>-</v>
      </c>
      <c r="F62" s="296"/>
      <c r="G62" s="294" t="str">
        <f>IF(+INPUT!G145&lt;&gt;0,+INPUT!G145,"-")</f>
        <v>-</v>
      </c>
      <c r="H62" s="296"/>
      <c r="I62" s="294" t="str">
        <f>IF(+INPUT!H145&lt;&gt;0,+INPUT!H145,"-")</f>
        <v>-</v>
      </c>
      <c r="J62" s="296"/>
      <c r="K62" s="294" t="str">
        <f>IF(+INPUT!I145&lt;&gt;0,+INPUT!I145,"-")</f>
        <v>-</v>
      </c>
      <c r="L62" s="296"/>
      <c r="M62" s="296" t="str">
        <f t="shared" si="46"/>
        <v xml:space="preserve">     Contracts/loans payable</v>
      </c>
      <c r="N62" s="294" t="str">
        <f>IF(+INPUT!J145&lt;&gt;0,+INPUT!J145,"-")</f>
        <v>-</v>
      </c>
      <c r="O62" s="296"/>
      <c r="P62" s="294" t="str">
        <f>IF(+INPUT!K145&lt;&gt;0,+INPUT!K145,"-")</f>
        <v>-</v>
      </c>
      <c r="Q62" s="294"/>
      <c r="R62" s="294" t="str">
        <f>IF(+INPUT!L145&lt;&gt;0,+INPUT!L145,"-")</f>
        <v>-</v>
      </c>
      <c r="S62" s="294"/>
      <c r="T62" s="294" t="str">
        <f>IF(+INPUT!M145&lt;&gt;0,+INPUT!M145,"-")</f>
        <v>-</v>
      </c>
      <c r="U62" s="296"/>
      <c r="V62" s="294" t="str">
        <f>IF(+INPUT!N145&lt;&gt;0,+INPUT!N145,"-")</f>
        <v>-</v>
      </c>
      <c r="W62" s="296"/>
      <c r="X62" s="296" t="str">
        <f>B62</f>
        <v xml:space="preserve">     Contracts/loans payable</v>
      </c>
      <c r="Y62" s="294" t="str">
        <f>IF(+INPUT!O145&lt;&gt;0,+INPUT!O145,"-")</f>
        <v>-</v>
      </c>
      <c r="Z62" s="296"/>
      <c r="AA62" s="294" t="str">
        <f>IF(+INPUT!Q145&lt;&gt;0,+INPUT!Q145,"-")</f>
        <v>-</v>
      </c>
      <c r="AB62" s="296"/>
      <c r="AC62" s="294" t="str">
        <f>IF(+INPUT!R145&lt;&gt;0,+INPUT!R145,"-")</f>
        <v>-</v>
      </c>
      <c r="AD62" s="296"/>
      <c r="AE62" s="294" t="str">
        <f>IF(+INPUT!S145&lt;&gt;0,+INPUT!S145,"-")</f>
        <v>-</v>
      </c>
      <c r="AF62" s="296"/>
      <c r="AG62" s="294" t="str">
        <f>IF(+INPUT!T145&lt;&gt;0,+INPUT!T145,"-")</f>
        <v>-</v>
      </c>
      <c r="AH62" s="296"/>
      <c r="AI62" s="296" t="str">
        <f>B62</f>
        <v xml:space="preserve">     Contracts/loans payable</v>
      </c>
      <c r="AJ62" s="294" t="str">
        <f>IF(+INPUT!U145&lt;&gt;0,+INPUT!U145,"-")</f>
        <v>-</v>
      </c>
      <c r="AK62" s="296"/>
      <c r="AL62" s="294" t="str">
        <f>IF(+INPUT!V145&lt;&gt;0,+INPUT!V145,"-")</f>
        <v>-</v>
      </c>
      <c r="AM62" s="296"/>
      <c r="AN62" s="294" t="str">
        <f>IF(+INPUT!W145&lt;&gt;0,+INPUT!W145,"-")</f>
        <v>-</v>
      </c>
      <c r="AO62" s="296"/>
      <c r="AP62" s="294">
        <f>+INPUT!Y144</f>
        <v>0</v>
      </c>
      <c r="AQ62" s="308"/>
      <c r="AR62" s="294">
        <f>+INPUT!Z144</f>
        <v>0</v>
      </c>
      <c r="AS62" s="296"/>
      <c r="AT62" s="296" t="str">
        <f>B62</f>
        <v xml:space="preserve">     Contracts/loans payable</v>
      </c>
      <c r="AU62" s="294" t="str">
        <f>IF(+INPUT!AA145&lt;&gt;0,+INPUT!AA145,"-")</f>
        <v>-</v>
      </c>
      <c r="AV62" s="308"/>
      <c r="AW62" s="294" t="str">
        <f>IF(+INPUT!AB145&lt;&gt;0,+INPUT!AB145,"-")</f>
        <v>-</v>
      </c>
      <c r="AX62" s="308"/>
      <c r="AY62" s="294" t="str">
        <f>IF(+INPUT!AC145&lt;&gt;0,+INPUT!AC145,"-")</f>
        <v>-</v>
      </c>
      <c r="AZ62" s="308"/>
      <c r="BA62" s="294" t="str">
        <f>IF(+INPUT!AD145&lt;&gt;0,+INPUT!AD145,"-")</f>
        <v>-</v>
      </c>
      <c r="BC62" s="294" t="str">
        <f>IF(+INPUT!AE145&lt;&gt;0,+INPUT!AE145,"-")</f>
        <v>-</v>
      </c>
      <c r="BF62" s="296"/>
      <c r="BG62" s="296" t="str">
        <f>+B62</f>
        <v xml:space="preserve">     Contracts/loans payable</v>
      </c>
      <c r="BH62" s="294" t="str">
        <f>IF(+INPUT!AF145&lt;&gt;0,+INPUT!AF145,"-")</f>
        <v>-</v>
      </c>
      <c r="BI62" s="296"/>
      <c r="BJ62" s="294" t="str">
        <f>IF(+INPUT!AG145&lt;&gt;0,+INPUT!AG145,"-")</f>
        <v>-</v>
      </c>
      <c r="BL62" s="294" t="str">
        <f>IF(+INPUT!AH145&lt;&gt;0,+INPUT!AH145,"-")</f>
        <v>-</v>
      </c>
      <c r="BN62" s="294" t="str">
        <f>IF(+INPUT!AI145&lt;&gt;0,+INPUT!AI145,"-")</f>
        <v>-</v>
      </c>
      <c r="BO62" s="296"/>
      <c r="BP62" s="294" t="str">
        <f>IF(+INPUT!AJ145&lt;&gt;0,+INPUT!AJ145,"-")</f>
        <v>-</v>
      </c>
      <c r="BQ62" s="296"/>
      <c r="BS62" s="296"/>
      <c r="BT62" s="296" t="str">
        <f>B62</f>
        <v xml:space="preserve">     Contracts/loans payable</v>
      </c>
      <c r="BU62" s="294"/>
      <c r="BV62" s="296"/>
      <c r="BW62" s="294"/>
      <c r="BX62" s="296"/>
      <c r="BY62" s="294"/>
      <c r="BZ62" s="296"/>
      <c r="CA62" s="294"/>
      <c r="CB62" s="296"/>
      <c r="CC62" s="294"/>
      <c r="CD62" s="296"/>
      <c r="CF62" s="296"/>
      <c r="CG62" s="296" t="str">
        <f>M62</f>
        <v xml:space="preserve">     Contracts/loans payable</v>
      </c>
      <c r="CH62" s="294"/>
      <c r="CI62" s="296"/>
      <c r="CJ62" s="294" t="str">
        <f>IF(+INPUT!AQ145&lt;&gt;0,+INPUT!AQ145,"-")</f>
        <v>-</v>
      </c>
      <c r="CK62" s="296"/>
      <c r="CL62" s="294" t="str">
        <f>IF(+INPUT!AR145&lt;&gt;0,+INPUT!AR145,"-")</f>
        <v>-</v>
      </c>
      <c r="CM62" s="308"/>
      <c r="CN62" s="294" t="str">
        <f>IF(+INPUT!AS145&lt;&gt;0,+INPUT!AS145,"-")</f>
        <v>-</v>
      </c>
      <c r="CO62" s="308"/>
      <c r="CP62" s="294" t="str">
        <f>IF(+INPUT!AT145&lt;&gt;0,+INPUT!AT145,"-")</f>
        <v>-</v>
      </c>
      <c r="CQ62" s="308"/>
      <c r="CS62" s="296"/>
      <c r="CT62" s="296" t="str">
        <f>X62</f>
        <v xml:space="preserve">     Contracts/loans payable</v>
      </c>
      <c r="CU62" s="294" t="str">
        <f>IF(+INPUT!AU145&lt;&gt;0,+INPUT!AU145,"-")</f>
        <v>-</v>
      </c>
      <c r="CV62" s="294"/>
      <c r="CW62" s="294" t="str">
        <f>IF(+INPUT!AV145&lt;&gt;0,+INPUT!AV145,"-")</f>
        <v>-</v>
      </c>
      <c r="CX62" s="296"/>
      <c r="CY62" s="294">
        <f>+INPUT!AX147</f>
        <v>0</v>
      </c>
      <c r="CZ62" s="308"/>
      <c r="DA62" s="294">
        <f>+INPUT!AY146</f>
        <v>0</v>
      </c>
      <c r="DB62" s="308"/>
      <c r="DC62" s="294" t="str">
        <f>IF(+INPUT!AZ145&lt;&gt;0,+INPUT!AZ145,"-")</f>
        <v>-</v>
      </c>
      <c r="DF62" s="308"/>
      <c r="DH62" s="296"/>
      <c r="DJ62" s="296"/>
      <c r="DK62" s="296" t="str">
        <f>AI62</f>
        <v xml:space="preserve">     Contracts/loans payable</v>
      </c>
      <c r="DL62" s="294" t="str">
        <f>IF(+INPUT!BA145&lt;&gt;0,+INPUT!BA145,"-")</f>
        <v>-</v>
      </c>
      <c r="DN62" s="294"/>
      <c r="DP62" s="294">
        <f>+INPUT!BD143</f>
        <v>0</v>
      </c>
      <c r="DR62" s="308"/>
      <c r="DV62" s="308"/>
      <c r="DW62" s="287"/>
      <c r="DX62" s="287"/>
      <c r="DY62" s="294"/>
      <c r="DZ62" s="294">
        <f t="shared" si="45"/>
        <v>0</v>
      </c>
    </row>
    <row r="63" spans="1:130" ht="15.75" hidden="1" customHeight="1">
      <c r="A63" s="276" t="s">
        <v>299</v>
      </c>
      <c r="B63" s="296" t="str">
        <f>INPUT!B146</f>
        <v xml:space="preserve">     Revenue bonds payable</v>
      </c>
      <c r="C63" s="294" t="str">
        <f>IF(+INPUT!E146&lt;&gt;0,+INPUT!E146,"-")</f>
        <v>-</v>
      </c>
      <c r="D63" s="296"/>
      <c r="E63" s="294" t="str">
        <f>IF(+INPUT!F146&lt;&gt;0,+INPUT!F146,"-")</f>
        <v>-</v>
      </c>
      <c r="F63" s="296"/>
      <c r="G63" s="294" t="str">
        <f>IF(+INPUT!G146&lt;&gt;0,+INPUT!G146,"-")</f>
        <v>-</v>
      </c>
      <c r="H63" s="296"/>
      <c r="I63" s="294" t="str">
        <f>IF(+INPUT!H146&lt;&gt;0,+INPUT!H146,"-")</f>
        <v>-</v>
      </c>
      <c r="J63" s="296"/>
      <c r="K63" s="294" t="str">
        <f>IF(+INPUT!I146&lt;&gt;0,+INPUT!I146,"-")</f>
        <v>-</v>
      </c>
      <c r="L63" s="296"/>
      <c r="M63" s="296" t="str">
        <f t="shared" si="46"/>
        <v xml:space="preserve">     Revenue bonds payable</v>
      </c>
      <c r="N63" s="294" t="str">
        <f>IF(+INPUT!J146&lt;&gt;0,+INPUT!J146,"-")</f>
        <v>-</v>
      </c>
      <c r="O63" s="296"/>
      <c r="P63" s="294" t="str">
        <f>IF(+INPUT!K146&lt;&gt;0,+INPUT!K146,"-")</f>
        <v>-</v>
      </c>
      <c r="Q63" s="294"/>
      <c r="R63" s="294" t="str">
        <f>IF(+INPUT!L146&lt;&gt;0,+INPUT!L146,"-")</f>
        <v>-</v>
      </c>
      <c r="S63" s="294"/>
      <c r="T63" s="294" t="str">
        <f>IF(+INPUT!M146&lt;&gt;0,+INPUT!M146,"-")</f>
        <v>-</v>
      </c>
      <c r="U63" s="296"/>
      <c r="V63" s="294" t="str">
        <f>IF(+INPUT!N146&lt;&gt;0,+INPUT!N146,"-")</f>
        <v>-</v>
      </c>
      <c r="W63" s="296"/>
      <c r="X63" s="296" t="str">
        <f>B63</f>
        <v xml:space="preserve">     Revenue bonds payable</v>
      </c>
      <c r="Y63" s="294" t="str">
        <f>IF(+INPUT!O146&lt;&gt;0,+INPUT!O146,"-")</f>
        <v>-</v>
      </c>
      <c r="Z63" s="296"/>
      <c r="AA63" s="294" t="str">
        <f>IF(+INPUT!Q146&lt;&gt;0,+INPUT!Q146,"-")</f>
        <v>-</v>
      </c>
      <c r="AB63" s="296"/>
      <c r="AC63" s="294" t="str">
        <f>IF(+INPUT!R146&lt;&gt;0,+INPUT!R146,"-")</f>
        <v>-</v>
      </c>
      <c r="AD63" s="296"/>
      <c r="AE63" s="294" t="str">
        <f>IF(+INPUT!S146&lt;&gt;0,+INPUT!S146,"-")</f>
        <v>-</v>
      </c>
      <c r="AF63" s="296"/>
      <c r="AG63" s="294" t="str">
        <f>IF(+INPUT!T146&lt;&gt;0,+INPUT!T146,"-")</f>
        <v>-</v>
      </c>
      <c r="AH63" s="296"/>
      <c r="AI63" s="296" t="str">
        <f>B63</f>
        <v xml:space="preserve">     Revenue bonds payable</v>
      </c>
      <c r="AJ63" s="294" t="str">
        <f>IF(+INPUT!U146&lt;&gt;0,+INPUT!U146,"-")</f>
        <v>-</v>
      </c>
      <c r="AK63" s="296"/>
      <c r="AL63" s="294" t="str">
        <f>IF(+INPUT!V146&lt;&gt;0,+INPUT!V146,"-")</f>
        <v>-</v>
      </c>
      <c r="AM63" s="296"/>
      <c r="AN63" s="294" t="str">
        <f>IF(+INPUT!W146&lt;&gt;0,+INPUT!W146,"-")</f>
        <v>-</v>
      </c>
      <c r="AO63" s="296"/>
      <c r="AP63" s="294">
        <f>+INPUT!Y145</f>
        <v>0</v>
      </c>
      <c r="AQ63" s="308"/>
      <c r="AR63" s="294">
        <f>+INPUT!Z145</f>
        <v>0</v>
      </c>
      <c r="AS63" s="296"/>
      <c r="AT63" s="296" t="str">
        <f>B63</f>
        <v xml:space="preserve">     Revenue bonds payable</v>
      </c>
      <c r="AU63" s="294" t="str">
        <f>IF(+INPUT!AA146&lt;&gt;0,+INPUT!AA146,"-")</f>
        <v>-</v>
      </c>
      <c r="AV63" s="308"/>
      <c r="AW63" s="294" t="str">
        <f>IF(+INPUT!AB146&lt;&gt;0,+INPUT!AB146,"-")</f>
        <v>-</v>
      </c>
      <c r="AX63" s="308"/>
      <c r="AY63" s="294" t="str">
        <f>IF(+INPUT!AC146&lt;&gt;0,+INPUT!AC146,"-")</f>
        <v>-</v>
      </c>
      <c r="AZ63" s="308"/>
      <c r="BA63" s="294" t="str">
        <f>IF(+INPUT!AD146&lt;&gt;0,+INPUT!AD146,"-")</f>
        <v>-</v>
      </c>
      <c r="BC63" s="294" t="str">
        <f>IF(+INPUT!AE146&lt;&gt;0,+INPUT!AE146,"-")</f>
        <v>-</v>
      </c>
      <c r="BF63" s="296"/>
      <c r="BG63" s="296" t="str">
        <f>+B63</f>
        <v xml:space="preserve">     Revenue bonds payable</v>
      </c>
      <c r="BH63" s="294" t="str">
        <f>IF(+INPUT!AF146&lt;&gt;0,+INPUT!AF146,"-")</f>
        <v>-</v>
      </c>
      <c r="BI63" s="296"/>
      <c r="BJ63" s="294" t="str">
        <f>IF(+INPUT!AG146&lt;&gt;0,+INPUT!AG146,"-")</f>
        <v>-</v>
      </c>
      <c r="BL63" s="294" t="str">
        <f>IF(+INPUT!AH146&lt;&gt;0,+INPUT!AH146,"-")</f>
        <v>-</v>
      </c>
      <c r="BN63" s="294" t="str">
        <f>IF(+INPUT!AI146&lt;&gt;0,+INPUT!AI146,"-")</f>
        <v>-</v>
      </c>
      <c r="BO63" s="296"/>
      <c r="BP63" s="294" t="str">
        <f>IF(+INPUT!AJ146&lt;&gt;0,+INPUT!AJ146,"-")</f>
        <v>-</v>
      </c>
      <c r="BQ63" s="296"/>
      <c r="BS63" s="296"/>
      <c r="BT63" s="296" t="str">
        <f>B63</f>
        <v xml:space="preserve">     Revenue bonds payable</v>
      </c>
      <c r="BU63" s="294"/>
      <c r="BV63" s="296"/>
      <c r="BW63" s="294"/>
      <c r="BX63" s="296"/>
      <c r="BY63" s="294"/>
      <c r="BZ63" s="296"/>
      <c r="CA63" s="294"/>
      <c r="CB63" s="296"/>
      <c r="CC63" s="294"/>
      <c r="CD63" s="296"/>
      <c r="CF63" s="296"/>
      <c r="CG63" s="296" t="str">
        <f>M63</f>
        <v xml:space="preserve">     Revenue bonds payable</v>
      </c>
      <c r="CH63" s="294"/>
      <c r="CI63" s="296"/>
      <c r="CJ63" s="294" t="str">
        <f>IF(+INPUT!AQ146&lt;&gt;0,+INPUT!AQ146,"-")</f>
        <v>-</v>
      </c>
      <c r="CK63" s="296"/>
      <c r="CL63" s="294" t="str">
        <f>IF(+INPUT!AR146&lt;&gt;0,+INPUT!AR146,"-")</f>
        <v>-</v>
      </c>
      <c r="CM63" s="308"/>
      <c r="CN63" s="294" t="str">
        <f>IF(+INPUT!AS146&lt;&gt;0,+INPUT!AS146,"-")</f>
        <v>-</v>
      </c>
      <c r="CO63" s="308"/>
      <c r="CP63" s="294" t="str">
        <f>IF(+INPUT!AT146&lt;&gt;0,+INPUT!AT146,"-")</f>
        <v>-</v>
      </c>
      <c r="CQ63" s="308"/>
      <c r="CS63" s="296"/>
      <c r="CT63" s="296" t="str">
        <f>X63</f>
        <v xml:space="preserve">     Revenue bonds payable</v>
      </c>
      <c r="CU63" s="294" t="str">
        <f>IF(+INPUT!AU146&lt;&gt;0,+INPUT!AU146,"-")</f>
        <v>-</v>
      </c>
      <c r="CV63" s="294"/>
      <c r="CW63" s="294" t="str">
        <f>IF(+INPUT!AV146&lt;&gt;0,+INPUT!AV146,"-")</f>
        <v>-</v>
      </c>
      <c r="CX63" s="296"/>
      <c r="CY63" s="294">
        <f>+INPUT!AX148</f>
        <v>0</v>
      </c>
      <c r="CZ63" s="308"/>
      <c r="DA63" s="294">
        <f>+INPUT!AY147</f>
        <v>0</v>
      </c>
      <c r="DB63" s="308"/>
      <c r="DC63" s="294" t="str">
        <f>IF(+INPUT!AZ146&lt;&gt;0,+INPUT!AZ146,"-")</f>
        <v>-</v>
      </c>
      <c r="DF63" s="308"/>
      <c r="DH63" s="296"/>
      <c r="DJ63" s="296"/>
      <c r="DK63" s="296" t="str">
        <f>AI63</f>
        <v xml:space="preserve">     Revenue bonds payable</v>
      </c>
      <c r="DL63" s="294" t="str">
        <f>IF(+INPUT!BA146&lt;&gt;0,+INPUT!BA146,"-")</f>
        <v>-</v>
      </c>
      <c r="DN63" s="294"/>
      <c r="DP63" s="294">
        <f>+INPUT!BD144</f>
        <v>0</v>
      </c>
      <c r="DR63" s="308"/>
      <c r="DV63" s="308"/>
      <c r="DW63" s="287"/>
      <c r="DX63" s="287"/>
      <c r="DY63" s="294"/>
      <c r="DZ63" s="294">
        <f t="shared" si="45"/>
        <v>0</v>
      </c>
    </row>
    <row r="64" spans="1:130" ht="15.75" hidden="1" customHeight="1">
      <c r="A64" s="276" t="s">
        <v>299</v>
      </c>
      <c r="B64" s="296">
        <f>INPUT!B147</f>
        <v>0</v>
      </c>
      <c r="C64" s="301" t="str">
        <f>IF(+INPUT!E147&lt;&gt;0,+INPUT!E147,"-")</f>
        <v>-</v>
      </c>
      <c r="D64" s="296"/>
      <c r="E64" s="301" t="str">
        <f>IF(+INPUT!F147&lt;&gt;0,+INPUT!F147,"-")</f>
        <v>-</v>
      </c>
      <c r="F64" s="296"/>
      <c r="G64" s="301" t="str">
        <f>IF(+INPUT!G147&lt;&gt;0,+INPUT!G147,"-")</f>
        <v>-</v>
      </c>
      <c r="H64" s="296"/>
      <c r="I64" s="301" t="str">
        <f>IF(+INPUT!H147&lt;&gt;0,+INPUT!H147,"-")</f>
        <v>-</v>
      </c>
      <c r="J64" s="296"/>
      <c r="K64" s="301" t="str">
        <f>IF(+INPUT!I147&lt;&gt;0,+INPUT!I147,"-")</f>
        <v>-</v>
      </c>
      <c r="L64" s="296"/>
      <c r="M64" s="296">
        <f t="shared" si="46"/>
        <v>0</v>
      </c>
      <c r="N64" s="301" t="str">
        <f>IF(+INPUT!J147&lt;&gt;0,+INPUT!J147,"-")</f>
        <v>-</v>
      </c>
      <c r="O64" s="296"/>
      <c r="P64" s="301" t="str">
        <f>IF(+INPUT!K147&lt;&gt;0,+INPUT!K147,"-")</f>
        <v>-</v>
      </c>
      <c r="Q64" s="300"/>
      <c r="R64" s="301" t="str">
        <f>IF(+INPUT!L147&lt;&gt;0,+INPUT!L147,"-")</f>
        <v>-</v>
      </c>
      <c r="S64" s="300"/>
      <c r="T64" s="301" t="str">
        <f>IF(+INPUT!M147&lt;&gt;0,+INPUT!M147,"-")</f>
        <v>-</v>
      </c>
      <c r="U64" s="296"/>
      <c r="V64" s="301" t="str">
        <f>IF(+INPUT!N147&lt;&gt;0,+INPUT!N147,"-")</f>
        <v>-</v>
      </c>
      <c r="W64" s="296"/>
      <c r="X64" s="296">
        <f>B64</f>
        <v>0</v>
      </c>
      <c r="Y64" s="301" t="str">
        <f>IF(+INPUT!O147&lt;&gt;0,+INPUT!O147,"-")</f>
        <v>-</v>
      </c>
      <c r="Z64" s="296"/>
      <c r="AA64" s="301" t="str">
        <f>IF(+INPUT!Q147&lt;&gt;0,+INPUT!Q147,"-")</f>
        <v>-</v>
      </c>
      <c r="AB64" s="296"/>
      <c r="AC64" s="301" t="str">
        <f>IF(+INPUT!R147&lt;&gt;0,+INPUT!R147,"-")</f>
        <v>-</v>
      </c>
      <c r="AD64" s="296"/>
      <c r="AE64" s="301" t="str">
        <f>IF(+INPUT!T147&lt;&gt;0,+INPUT!T147,"-")</f>
        <v>-</v>
      </c>
      <c r="AF64" s="296"/>
      <c r="AG64" s="301" t="str">
        <f>IF(+INPUT!T147&lt;&gt;0,+INPUT!T147,"-")</f>
        <v>-</v>
      </c>
      <c r="AH64" s="296"/>
      <c r="AI64" s="296">
        <f>B64</f>
        <v>0</v>
      </c>
      <c r="AJ64" s="301" t="str">
        <f>IF(+INPUT!U147&lt;&gt;0,+INPUT!U147,"-")</f>
        <v>-</v>
      </c>
      <c r="AK64" s="296"/>
      <c r="AL64" s="301" t="str">
        <f>IF(+INPUT!V147&lt;&gt;0,+INPUT!V147,"-")</f>
        <v>-</v>
      </c>
      <c r="AM64" s="296"/>
      <c r="AN64" s="301" t="str">
        <f>IF(+INPUT!W147&lt;&gt;0,+INPUT!W147,"-")</f>
        <v>-</v>
      </c>
      <c r="AO64" s="296"/>
      <c r="AP64" s="294">
        <f>+INPUT!Y146</f>
        <v>0</v>
      </c>
      <c r="AQ64" s="308"/>
      <c r="AR64" s="294">
        <f>+INPUT!Z146</f>
        <v>0</v>
      </c>
      <c r="AS64" s="296"/>
      <c r="AT64" s="296">
        <f>B64</f>
        <v>0</v>
      </c>
      <c r="AU64" s="301" t="str">
        <f>IF(+INPUT!AA147&lt;&gt;0,+INPUT!AA147,"-")</f>
        <v>-</v>
      </c>
      <c r="AV64" s="308"/>
      <c r="AW64" s="301" t="str">
        <f>IF(+INPUT!AB147&lt;&gt;0,+INPUT!AB147,"-")</f>
        <v>-</v>
      </c>
      <c r="AX64" s="308"/>
      <c r="AY64" s="301" t="str">
        <f>IF(+INPUT!AC147&lt;&gt;0,+INPUT!AC147,"-")</f>
        <v>-</v>
      </c>
      <c r="AZ64" s="308"/>
      <c r="BA64" s="301" t="str">
        <f>IF(+INPUT!AD147&lt;&gt;0,+INPUT!AD147,"-")</f>
        <v>-</v>
      </c>
      <c r="BC64" s="301" t="str">
        <f>IF(+INPUT!AE147&lt;&gt;0,+INPUT!AE147,"-")</f>
        <v>-</v>
      </c>
      <c r="BF64" s="296"/>
      <c r="BG64" s="296">
        <f>+B64</f>
        <v>0</v>
      </c>
      <c r="BH64" s="301" t="str">
        <f>IF(+INPUT!AF147&lt;&gt;0,+INPUT!AF147,"-")</f>
        <v>-</v>
      </c>
      <c r="BI64" s="296"/>
      <c r="BJ64" s="301" t="str">
        <f>IF(+INPUT!AG147&lt;&gt;0,+INPUT!AG147,"-")</f>
        <v>-</v>
      </c>
      <c r="BL64" s="301" t="str">
        <f>IF(+INPUT!AH147&lt;&gt;0,+INPUT!AH147,"-")</f>
        <v>-</v>
      </c>
      <c r="BN64" s="301" t="str">
        <f>IF(+INPUT!AI147&lt;&gt;0,+INPUT!AI147,"-")</f>
        <v>-</v>
      </c>
      <c r="BO64" s="296"/>
      <c r="BP64" s="301" t="str">
        <f>IF(+INPUT!AJ147&lt;&gt;0,+INPUT!AJ147,"-")</f>
        <v>-</v>
      </c>
      <c r="BQ64" s="296"/>
      <c r="BS64" s="296"/>
      <c r="BT64" s="296">
        <f>B64</f>
        <v>0</v>
      </c>
      <c r="BU64" s="301"/>
      <c r="BV64" s="296"/>
      <c r="BW64" s="301"/>
      <c r="BX64" s="296"/>
      <c r="BY64" s="301"/>
      <c r="BZ64" s="296"/>
      <c r="CA64" s="301"/>
      <c r="CB64" s="296"/>
      <c r="CC64" s="301"/>
      <c r="CD64" s="296"/>
      <c r="CF64" s="296"/>
      <c r="CG64" s="296">
        <f>M64</f>
        <v>0</v>
      </c>
      <c r="CH64" s="301"/>
      <c r="CI64" s="296"/>
      <c r="CJ64" s="301" t="str">
        <f>IF(+INPUT!AQ147&lt;&gt;0,+INPUT!AQ147,"-")</f>
        <v>-</v>
      </c>
      <c r="CK64" s="296"/>
      <c r="CL64" s="301" t="str">
        <f>IF(+INPUT!AR147&lt;&gt;0,+INPUT!AR147,"-")</f>
        <v>-</v>
      </c>
      <c r="CM64" s="308"/>
      <c r="CN64" s="301" t="str">
        <f>IF(+INPUT!AS147&lt;&gt;0,+INPUT!AS147,"-")</f>
        <v>-</v>
      </c>
      <c r="CO64" s="308"/>
      <c r="CP64" s="301" t="str">
        <f>IF(+INPUT!AT147&lt;&gt;0,+INPUT!AT147,"-")</f>
        <v>-</v>
      </c>
      <c r="CQ64" s="308"/>
      <c r="CS64" s="296"/>
      <c r="CT64" s="296">
        <f>X64</f>
        <v>0</v>
      </c>
      <c r="CU64" s="301" t="str">
        <f>IF(+INPUT!AU147&lt;&gt;0,+INPUT!AU147,"-")</f>
        <v>-</v>
      </c>
      <c r="CV64" s="300"/>
      <c r="CW64" s="301" t="str">
        <f>IF(+INPUT!AV147&lt;&gt;0,+INPUT!AV147,"-")</f>
        <v>-</v>
      </c>
      <c r="CX64" s="296"/>
      <c r="CY64" s="294">
        <f>+INPUT!AX149</f>
        <v>0</v>
      </c>
      <c r="CZ64" s="308"/>
      <c r="DA64" s="294">
        <f>+INPUT!AY148</f>
        <v>0</v>
      </c>
      <c r="DB64" s="308"/>
      <c r="DC64" s="301" t="str">
        <f>IF(+INPUT!AZ147&lt;&gt;0,+INPUT!AZ147,"-")</f>
        <v>-</v>
      </c>
      <c r="DF64" s="308"/>
      <c r="DH64" s="296"/>
      <c r="DJ64" s="296"/>
      <c r="DK64" s="296">
        <f>AI64</f>
        <v>0</v>
      </c>
      <c r="DL64" s="301" t="str">
        <f>IF(+INPUT!BA147&lt;&gt;0,+INPUT!BA147,"-")</f>
        <v>-</v>
      </c>
      <c r="DN64" s="301"/>
      <c r="DP64" s="301"/>
      <c r="DR64" s="308"/>
      <c r="DV64" s="308"/>
      <c r="DW64" s="287"/>
      <c r="DX64" s="287"/>
      <c r="DY64" s="300"/>
      <c r="DZ64" s="294">
        <f t="shared" si="45"/>
        <v>0</v>
      </c>
    </row>
    <row r="65" spans="1:130" ht="15.75" hidden="1" customHeight="1">
      <c r="A65" s="276"/>
      <c r="B65" s="296" t="str">
        <f>INPUT!B149</f>
        <v xml:space="preserve">     Compensated absences payable</v>
      </c>
      <c r="C65" s="300"/>
      <c r="D65" s="296"/>
      <c r="E65" s="300"/>
      <c r="F65" s="296"/>
      <c r="G65" s="300"/>
      <c r="H65" s="296"/>
      <c r="I65" s="300"/>
      <c r="J65" s="296"/>
      <c r="K65" s="300"/>
      <c r="L65" s="296"/>
      <c r="M65" s="296"/>
      <c r="N65" s="300"/>
      <c r="O65" s="296"/>
      <c r="P65" s="300"/>
      <c r="Q65" s="300"/>
      <c r="R65" s="300"/>
      <c r="S65" s="300"/>
      <c r="T65" s="300"/>
      <c r="U65" s="296"/>
      <c r="V65" s="300"/>
      <c r="W65" s="296"/>
      <c r="X65" s="296"/>
      <c r="Y65" s="300"/>
      <c r="Z65" s="296"/>
      <c r="AA65" s="300"/>
      <c r="AB65" s="296"/>
      <c r="AC65" s="300"/>
      <c r="AD65" s="296"/>
      <c r="AE65" s="300"/>
      <c r="AF65" s="296"/>
      <c r="AG65" s="300"/>
      <c r="AH65" s="296"/>
      <c r="AI65" s="296"/>
      <c r="AJ65" s="300"/>
      <c r="AK65" s="296"/>
      <c r="AL65" s="300"/>
      <c r="AM65" s="296"/>
      <c r="AN65" s="300"/>
      <c r="AO65" s="296"/>
      <c r="AP65" s="294"/>
      <c r="AQ65" s="308"/>
      <c r="AR65" s="294"/>
      <c r="AS65" s="296"/>
      <c r="AT65" s="296"/>
      <c r="AU65" s="300"/>
      <c r="AV65" s="308"/>
      <c r="AW65" s="300"/>
      <c r="AX65" s="308"/>
      <c r="AY65" s="300"/>
      <c r="AZ65" s="308"/>
      <c r="BA65" s="300"/>
      <c r="BC65" s="300"/>
      <c r="BF65" s="296"/>
      <c r="BG65" s="296"/>
      <c r="BH65" s="300"/>
      <c r="BI65" s="296"/>
      <c r="BJ65" s="300"/>
      <c r="BL65" s="300"/>
      <c r="BN65" s="300"/>
      <c r="BO65" s="296"/>
      <c r="BP65" s="300"/>
      <c r="BQ65" s="296"/>
      <c r="BS65" s="296"/>
      <c r="BT65" s="296"/>
      <c r="BU65" s="300"/>
      <c r="BV65" s="296"/>
      <c r="BW65" s="300"/>
      <c r="BX65" s="296"/>
      <c r="BY65" s="300"/>
      <c r="BZ65" s="296"/>
      <c r="CA65" s="300"/>
      <c r="CB65" s="296"/>
      <c r="CC65" s="300"/>
      <c r="CD65" s="296"/>
      <c r="CF65" s="296"/>
      <c r="CG65" s="296"/>
      <c r="CH65" s="300"/>
      <c r="CI65" s="296"/>
      <c r="CJ65" s="300"/>
      <c r="CK65" s="296"/>
      <c r="CL65" s="300"/>
      <c r="CM65" s="308"/>
      <c r="CN65" s="300"/>
      <c r="CO65" s="308"/>
      <c r="CP65" s="300"/>
      <c r="CQ65" s="308"/>
      <c r="CS65" s="296"/>
      <c r="CT65" s="296"/>
      <c r="CU65" s="300"/>
      <c r="CV65" s="300"/>
      <c r="CW65" s="300"/>
      <c r="CX65" s="296"/>
      <c r="CY65" s="300"/>
      <c r="CZ65" s="308"/>
      <c r="DA65" s="300"/>
      <c r="DB65" s="308"/>
      <c r="DC65" s="300"/>
      <c r="DF65" s="308"/>
      <c r="DH65" s="296"/>
      <c r="DJ65" s="296"/>
      <c r="DK65" s="296"/>
      <c r="DL65" s="300"/>
      <c r="DN65" s="300"/>
      <c r="DP65" s="300"/>
      <c r="DR65" s="308"/>
      <c r="DV65" s="308"/>
      <c r="DW65" s="287"/>
      <c r="DX65" s="287"/>
      <c r="DY65" s="300"/>
      <c r="DZ65" s="294">
        <f t="shared" si="45"/>
        <v>0</v>
      </c>
    </row>
    <row r="66" spans="1:130" ht="15.75" hidden="1" customHeight="1">
      <c r="A66" s="276"/>
      <c r="B66" s="296" t="str">
        <f>INPUT!B151</f>
        <v xml:space="preserve">     OPEB implicit rate subsidy</v>
      </c>
      <c r="C66" s="300"/>
      <c r="D66" s="296"/>
      <c r="E66" s="300"/>
      <c r="F66" s="296"/>
      <c r="G66" s="300"/>
      <c r="H66" s="296"/>
      <c r="I66" s="300"/>
      <c r="J66" s="296"/>
      <c r="K66" s="300"/>
      <c r="L66" s="296"/>
      <c r="M66" s="296"/>
      <c r="N66" s="300"/>
      <c r="O66" s="296"/>
      <c r="P66" s="300"/>
      <c r="Q66" s="300"/>
      <c r="R66" s="300"/>
      <c r="S66" s="300"/>
      <c r="T66" s="300"/>
      <c r="U66" s="296"/>
      <c r="V66" s="300"/>
      <c r="W66" s="296"/>
      <c r="X66" s="296"/>
      <c r="Y66" s="300"/>
      <c r="Z66" s="296"/>
      <c r="AA66" s="300"/>
      <c r="AB66" s="296"/>
      <c r="AC66" s="300"/>
      <c r="AD66" s="296"/>
      <c r="AE66" s="300"/>
      <c r="AF66" s="296"/>
      <c r="AG66" s="300"/>
      <c r="AH66" s="296"/>
      <c r="AI66" s="296"/>
      <c r="AJ66" s="300"/>
      <c r="AK66" s="296"/>
      <c r="AL66" s="300"/>
      <c r="AM66" s="296"/>
      <c r="AN66" s="300"/>
      <c r="AO66" s="296"/>
      <c r="AP66" s="294"/>
      <c r="AQ66" s="308"/>
      <c r="AR66" s="294"/>
      <c r="AS66" s="296"/>
      <c r="AT66" s="296"/>
      <c r="AU66" s="300"/>
      <c r="AV66" s="308"/>
      <c r="AW66" s="300"/>
      <c r="AX66" s="308"/>
      <c r="AY66" s="300"/>
      <c r="AZ66" s="308"/>
      <c r="BA66" s="300"/>
      <c r="BC66" s="300"/>
      <c r="BF66" s="296"/>
      <c r="BG66" s="296"/>
      <c r="BH66" s="300"/>
      <c r="BI66" s="296"/>
      <c r="BJ66" s="300"/>
      <c r="BL66" s="300"/>
      <c r="BN66" s="300"/>
      <c r="BO66" s="296"/>
      <c r="BP66" s="300"/>
      <c r="BQ66" s="296"/>
      <c r="BS66" s="296"/>
      <c r="BT66" s="296"/>
      <c r="BU66" s="300"/>
      <c r="BV66" s="296"/>
      <c r="BW66" s="300"/>
      <c r="BX66" s="296"/>
      <c r="BY66" s="300"/>
      <c r="BZ66" s="296"/>
      <c r="CA66" s="300"/>
      <c r="CB66" s="296"/>
      <c r="CC66" s="300"/>
      <c r="CD66" s="296"/>
      <c r="CF66" s="296"/>
      <c r="CG66" s="296"/>
      <c r="CH66" s="300"/>
      <c r="CI66" s="296"/>
      <c r="CJ66" s="300"/>
      <c r="CK66" s="296"/>
      <c r="CL66" s="300"/>
      <c r="CM66" s="308"/>
      <c r="CN66" s="300"/>
      <c r="CO66" s="308"/>
      <c r="CP66" s="300"/>
      <c r="CQ66" s="308"/>
      <c r="CS66" s="296"/>
      <c r="CT66" s="296"/>
      <c r="CU66" s="300"/>
      <c r="CV66" s="300"/>
      <c r="CW66" s="300"/>
      <c r="CX66" s="296"/>
      <c r="CY66" s="300"/>
      <c r="CZ66" s="308"/>
      <c r="DA66" s="300"/>
      <c r="DB66" s="308"/>
      <c r="DC66" s="300"/>
      <c r="DF66" s="308"/>
      <c r="DH66" s="296"/>
      <c r="DJ66" s="296"/>
      <c r="DK66" s="296"/>
      <c r="DL66" s="300"/>
      <c r="DN66" s="300"/>
      <c r="DP66" s="300"/>
      <c r="DR66" s="308"/>
      <c r="DV66" s="308"/>
      <c r="DW66" s="287"/>
      <c r="DX66" s="287"/>
      <c r="DY66" s="300"/>
      <c r="DZ66" s="294"/>
    </row>
    <row r="67" spans="1:130" ht="15.75">
      <c r="A67" s="276"/>
      <c r="B67" s="296"/>
      <c r="C67" s="337"/>
      <c r="D67" s="296"/>
      <c r="E67" s="337"/>
      <c r="F67" s="296"/>
      <c r="G67" s="337"/>
      <c r="H67" s="296"/>
      <c r="I67" s="337"/>
      <c r="J67" s="296"/>
      <c r="K67" s="337"/>
      <c r="L67" s="296"/>
      <c r="M67" s="296"/>
      <c r="N67" s="337"/>
      <c r="O67" s="296"/>
      <c r="P67" s="337"/>
      <c r="Q67" s="294"/>
      <c r="R67" s="337"/>
      <c r="S67" s="294"/>
      <c r="T67" s="337"/>
      <c r="U67" s="296"/>
      <c r="V67" s="337"/>
      <c r="W67" s="296"/>
      <c r="X67" s="296"/>
      <c r="Y67" s="337"/>
      <c r="Z67" s="296"/>
      <c r="AA67" s="337"/>
      <c r="AB67" s="296"/>
      <c r="AC67" s="337"/>
      <c r="AD67" s="296"/>
      <c r="AE67" s="337"/>
      <c r="AF67" s="296"/>
      <c r="AG67" s="337"/>
      <c r="AH67" s="296"/>
      <c r="AI67" s="296"/>
      <c r="AJ67" s="337"/>
      <c r="AK67" s="296"/>
      <c r="AL67" s="337"/>
      <c r="AM67" s="296"/>
      <c r="AN67" s="337"/>
      <c r="AO67" s="296"/>
      <c r="AP67" s="337"/>
      <c r="AQ67" s="308"/>
      <c r="AR67" s="337"/>
      <c r="AS67" s="296"/>
      <c r="AT67" s="296"/>
      <c r="AU67" s="337"/>
      <c r="AV67" s="308"/>
      <c r="AW67" s="337"/>
      <c r="AX67" s="308"/>
      <c r="AY67" s="337"/>
      <c r="AZ67" s="308"/>
      <c r="BA67" s="337"/>
      <c r="BC67" s="337"/>
      <c r="BF67" s="296"/>
      <c r="BG67" s="296"/>
      <c r="BH67" s="337"/>
      <c r="BI67" s="296"/>
      <c r="BJ67" s="337"/>
      <c r="BL67" s="337"/>
      <c r="BN67" s="337"/>
      <c r="BO67" s="296"/>
      <c r="BP67" s="337"/>
      <c r="BQ67" s="296"/>
      <c r="BS67" s="296"/>
      <c r="BT67" s="296"/>
      <c r="BU67" s="337"/>
      <c r="BV67" s="296"/>
      <c r="BW67" s="337"/>
      <c r="BX67" s="296"/>
      <c r="BY67" s="337"/>
      <c r="BZ67" s="296"/>
      <c r="CA67" s="337"/>
      <c r="CB67" s="296"/>
      <c r="CC67" s="337"/>
      <c r="CD67" s="296"/>
      <c r="CF67" s="296"/>
      <c r="CG67" s="296"/>
      <c r="CH67" s="337"/>
      <c r="CI67" s="296"/>
      <c r="CJ67" s="337"/>
      <c r="CK67" s="296"/>
      <c r="CL67" s="337"/>
      <c r="CM67" s="308"/>
      <c r="CN67" s="337"/>
      <c r="CO67" s="308"/>
      <c r="CP67" s="337"/>
      <c r="CQ67" s="308"/>
      <c r="CS67" s="296"/>
      <c r="CT67" s="296"/>
      <c r="CU67" s="337"/>
      <c r="CV67" s="294"/>
      <c r="CW67" s="337"/>
      <c r="CX67" s="296"/>
      <c r="CY67" s="337"/>
      <c r="CZ67" s="308"/>
      <c r="DA67" s="337"/>
      <c r="DB67" s="308"/>
      <c r="DC67" s="337"/>
      <c r="DF67" s="308"/>
      <c r="DH67" s="296"/>
      <c r="DJ67" s="296"/>
      <c r="DK67" s="296"/>
      <c r="DL67" s="337"/>
      <c r="DN67" s="337"/>
      <c r="DP67" s="337"/>
      <c r="DR67" s="308"/>
      <c r="DV67" s="308"/>
      <c r="DW67" s="287"/>
      <c r="DX67" s="287"/>
      <c r="DY67" s="294"/>
      <c r="DZ67" s="337"/>
    </row>
    <row r="68" spans="1:130" ht="15.75">
      <c r="A68" s="276"/>
      <c r="B68" s="314" t="str">
        <f>INPUT!B154</f>
        <v xml:space="preserve">          Total liabilities</v>
      </c>
      <c r="C68" s="301">
        <f>SUM(C46:C64)</f>
        <v>475766</v>
      </c>
      <c r="D68" s="296"/>
      <c r="E68" s="301">
        <f>SUM(E46:E64)</f>
        <v>0</v>
      </c>
      <c r="F68" s="296"/>
      <c r="G68" s="301">
        <f>SUM(G46:G64)</f>
        <v>0</v>
      </c>
      <c r="H68" s="296"/>
      <c r="I68" s="301">
        <f>SUM(I46:I64)</f>
        <v>0</v>
      </c>
      <c r="J68" s="296"/>
      <c r="K68" s="301">
        <f>SUM(K46:K64)</f>
        <v>191496</v>
      </c>
      <c r="L68" s="296"/>
      <c r="M68" s="314" t="str">
        <f>B68</f>
        <v xml:space="preserve">          Total liabilities</v>
      </c>
      <c r="N68" s="301">
        <f>SUM(N46:N64)</f>
        <v>57632</v>
      </c>
      <c r="O68" s="296"/>
      <c r="P68" s="301">
        <f>SUM(P46:P64)</f>
        <v>0</v>
      </c>
      <c r="Q68" s="300"/>
      <c r="R68" s="301">
        <f>SUM(R46:R64)</f>
        <v>0</v>
      </c>
      <c r="S68" s="300"/>
      <c r="T68" s="301">
        <f>SUM(T46:T64)</f>
        <v>43284</v>
      </c>
      <c r="U68" s="296"/>
      <c r="V68" s="301">
        <f>SUM(V46:V64)</f>
        <v>0</v>
      </c>
      <c r="W68" s="296"/>
      <c r="X68" s="314" t="str">
        <f>B68</f>
        <v xml:space="preserve">          Total liabilities</v>
      </c>
      <c r="Y68" s="301">
        <f>SUM(Y46:Y64)</f>
        <v>0</v>
      </c>
      <c r="Z68" s="296"/>
      <c r="AA68" s="301">
        <f>SUM(AA46:AA64)</f>
        <v>0</v>
      </c>
      <c r="AB68" s="296"/>
      <c r="AC68" s="301">
        <f>SUM(AC46:AC64)</f>
        <v>0</v>
      </c>
      <c r="AD68" s="296"/>
      <c r="AE68" s="301">
        <f>SUM(AE46:AE64)</f>
        <v>35212</v>
      </c>
      <c r="AF68" s="296"/>
      <c r="AG68" s="301">
        <f>SUM(AG46:AG64)</f>
        <v>0</v>
      </c>
      <c r="AH68" s="296"/>
      <c r="AI68" s="314" t="str">
        <f>B68</f>
        <v xml:space="preserve">          Total liabilities</v>
      </c>
      <c r="AJ68" s="301">
        <f>SUM(AJ46:AJ64)</f>
        <v>62885</v>
      </c>
      <c r="AK68" s="296"/>
      <c r="AL68" s="301">
        <f>SUM(AL46:AL64)</f>
        <v>0</v>
      </c>
      <c r="AM68" s="296"/>
      <c r="AN68" s="301">
        <f>SUM(AN46:AN64)</f>
        <v>0</v>
      </c>
      <c r="AO68" s="296"/>
      <c r="AP68" s="301">
        <f>SUM(AP46:AP64)</f>
        <v>0</v>
      </c>
      <c r="AQ68" s="308"/>
      <c r="AR68" s="301">
        <f>SUM(AR46:AR64)</f>
        <v>0</v>
      </c>
      <c r="AS68" s="296"/>
      <c r="AT68" s="314" t="str">
        <f>B68</f>
        <v xml:space="preserve">          Total liabilities</v>
      </c>
      <c r="AU68" s="301">
        <f>SUM(AU46:AU64)</f>
        <v>0</v>
      </c>
      <c r="AV68" s="308"/>
      <c r="AW68" s="301">
        <f>SUM(AW46:AW64)</f>
        <v>106604</v>
      </c>
      <c r="AX68" s="308"/>
      <c r="AY68" s="301">
        <f>SUM(AY46:AY64)</f>
        <v>0</v>
      </c>
      <c r="AZ68" s="308"/>
      <c r="BA68" s="301">
        <f>SUM(BA46:BA64)</f>
        <v>0</v>
      </c>
      <c r="BC68" s="301">
        <f>SUM(BC46:BC64)</f>
        <v>0</v>
      </c>
      <c r="BF68" s="296"/>
      <c r="BG68" s="314" t="str">
        <f>+B68</f>
        <v xml:space="preserve">          Total liabilities</v>
      </c>
      <c r="BH68" s="301">
        <f>SUM(BH46:BH64)</f>
        <v>0</v>
      </c>
      <c r="BI68" s="314"/>
      <c r="BJ68" s="301">
        <f>SUM(BJ46:BJ64)</f>
        <v>0</v>
      </c>
      <c r="BL68" s="301">
        <f>SUM(BL46:BL64)</f>
        <v>0</v>
      </c>
      <c r="BN68" s="301">
        <f>SUM(BN46:BN64)</f>
        <v>0</v>
      </c>
      <c r="BO68" s="296"/>
      <c r="BP68" s="301">
        <f>SUM(BP46:BP64)</f>
        <v>0</v>
      </c>
      <c r="BQ68" s="296"/>
      <c r="BS68" s="296"/>
      <c r="BT68" s="314" t="str">
        <f>B68</f>
        <v xml:space="preserve">          Total liabilities</v>
      </c>
      <c r="BU68" s="301">
        <f>SUM(BU46:BU64)</f>
        <v>0</v>
      </c>
      <c r="BV68" s="314"/>
      <c r="BW68" s="301">
        <f>SUM(BW46:BW64)</f>
        <v>0</v>
      </c>
      <c r="BX68" s="296"/>
      <c r="BY68" s="301">
        <f>SUM(BY46:BY64)</f>
        <v>0</v>
      </c>
      <c r="BZ68" s="296"/>
      <c r="CA68" s="301">
        <f>SUM(CA46:CA64)</f>
        <v>0</v>
      </c>
      <c r="CB68" s="296"/>
      <c r="CC68" s="301">
        <f>SUM(CC46:CC64)</f>
        <v>0</v>
      </c>
      <c r="CD68" s="296"/>
      <c r="CF68" s="296"/>
      <c r="CG68" s="314" t="str">
        <f>M68</f>
        <v xml:space="preserve">          Total liabilities</v>
      </c>
      <c r="CH68" s="301">
        <f>SUM(CH46:CH64)</f>
        <v>0</v>
      </c>
      <c r="CI68" s="314"/>
      <c r="CJ68" s="301">
        <f>SUM(CJ46:CJ64)</f>
        <v>0</v>
      </c>
      <c r="CK68" s="296"/>
      <c r="CL68" s="301">
        <f>SUM(CL46:CL64)</f>
        <v>0</v>
      </c>
      <c r="CM68" s="308"/>
      <c r="CN68" s="301">
        <f>SUM(CN46:CN64)</f>
        <v>0</v>
      </c>
      <c r="CO68" s="308"/>
      <c r="CP68" s="301">
        <f>SUM(CP46:CP64)</f>
        <v>409124</v>
      </c>
      <c r="CQ68" s="308"/>
      <c r="CS68" s="296"/>
      <c r="CT68" s="314" t="str">
        <f>X68</f>
        <v xml:space="preserve">          Total liabilities</v>
      </c>
      <c r="CU68" s="301">
        <f>SUM(CU46:CU64)</f>
        <v>62477</v>
      </c>
      <c r="CV68" s="300"/>
      <c r="CW68" s="301">
        <f>SUM(CW46:CW64)</f>
        <v>22045</v>
      </c>
      <c r="CX68" s="314"/>
      <c r="CY68" s="301">
        <f>SUM(CY46:CY64)</f>
        <v>11972</v>
      </c>
      <c r="CZ68" s="308"/>
      <c r="DA68" s="301">
        <f>SUM(DA46:DA64)</f>
        <v>0</v>
      </c>
      <c r="DB68" s="308"/>
      <c r="DC68" s="301">
        <f>SUM(DC46:DC64)</f>
        <v>0</v>
      </c>
      <c r="DF68" s="308"/>
      <c r="DH68" s="296"/>
      <c r="DJ68" s="296"/>
      <c r="DK68" s="314" t="str">
        <f>AI68</f>
        <v xml:space="preserve">          Total liabilities</v>
      </c>
      <c r="DL68" s="301">
        <f>SUM(DL46:DL64)</f>
        <v>8728</v>
      </c>
      <c r="DN68" s="301"/>
      <c r="DP68" s="301">
        <f>SUM(DP46:DP64)</f>
        <v>0</v>
      </c>
      <c r="DR68" s="308"/>
      <c r="DV68" s="308"/>
      <c r="DW68" s="287"/>
      <c r="DX68" s="287"/>
      <c r="DY68" s="300"/>
      <c r="DZ68" s="301">
        <f>SUM(DZ46:DZ64)</f>
        <v>1487225</v>
      </c>
    </row>
    <row r="69" spans="1:130" ht="15.75">
      <c r="A69" s="276"/>
      <c r="B69" s="314"/>
      <c r="C69" s="300"/>
      <c r="D69" s="296"/>
      <c r="E69" s="300"/>
      <c r="F69" s="296"/>
      <c r="G69" s="300"/>
      <c r="H69" s="296"/>
      <c r="I69" s="300"/>
      <c r="J69" s="296"/>
      <c r="K69" s="300"/>
      <c r="L69" s="296"/>
      <c r="M69" s="314"/>
      <c r="N69" s="300"/>
      <c r="O69" s="296"/>
      <c r="P69" s="300"/>
      <c r="Q69" s="300"/>
      <c r="R69" s="300"/>
      <c r="S69" s="300"/>
      <c r="T69" s="300"/>
      <c r="U69" s="296"/>
      <c r="V69" s="300"/>
      <c r="W69" s="296"/>
      <c r="X69" s="314"/>
      <c r="Y69" s="300"/>
      <c r="Z69" s="296"/>
      <c r="AA69" s="300"/>
      <c r="AB69" s="296"/>
      <c r="AC69" s="300"/>
      <c r="AD69" s="296"/>
      <c r="AE69" s="300"/>
      <c r="AF69" s="296"/>
      <c r="AG69" s="300"/>
      <c r="AH69" s="296"/>
      <c r="AI69" s="314"/>
      <c r="AJ69" s="300"/>
      <c r="AK69" s="296"/>
      <c r="AL69" s="300"/>
      <c r="AM69" s="296"/>
      <c r="AN69" s="300"/>
      <c r="AO69" s="296"/>
      <c r="AP69" s="300"/>
      <c r="AQ69" s="308"/>
      <c r="AR69" s="300"/>
      <c r="AS69" s="296"/>
      <c r="AT69" s="314"/>
      <c r="AU69" s="300"/>
      <c r="AV69" s="308"/>
      <c r="AW69" s="300"/>
      <c r="AX69" s="308"/>
      <c r="AY69" s="300"/>
      <c r="AZ69" s="308"/>
      <c r="BA69" s="300"/>
      <c r="BC69" s="300"/>
      <c r="BF69" s="296"/>
      <c r="BG69" s="314"/>
      <c r="BH69" s="300"/>
      <c r="BI69" s="314"/>
      <c r="BJ69" s="300"/>
      <c r="BL69" s="300"/>
      <c r="BN69" s="300"/>
      <c r="BO69" s="296"/>
      <c r="BP69" s="300"/>
      <c r="BQ69" s="296"/>
      <c r="BS69" s="296"/>
      <c r="BT69" s="314"/>
      <c r="BU69" s="300"/>
      <c r="BV69" s="314"/>
      <c r="BW69" s="300"/>
      <c r="BX69" s="296"/>
      <c r="BY69" s="300"/>
      <c r="BZ69" s="296"/>
      <c r="CA69" s="300"/>
      <c r="CB69" s="296"/>
      <c r="CC69" s="300"/>
      <c r="CD69" s="296"/>
      <c r="CF69" s="296"/>
      <c r="CG69" s="314"/>
      <c r="CH69" s="300"/>
      <c r="CI69" s="314"/>
      <c r="CJ69" s="300"/>
      <c r="CK69" s="296"/>
      <c r="CL69" s="300"/>
      <c r="CM69" s="308"/>
      <c r="CN69" s="300"/>
      <c r="CO69" s="308"/>
      <c r="CP69" s="300"/>
      <c r="CQ69" s="308"/>
      <c r="CS69" s="296"/>
      <c r="CT69" s="314"/>
      <c r="CU69" s="300"/>
      <c r="CV69" s="300"/>
      <c r="CW69" s="300"/>
      <c r="CX69" s="314"/>
      <c r="CY69" s="300"/>
      <c r="CZ69" s="308"/>
      <c r="DA69" s="300"/>
      <c r="DB69" s="308"/>
      <c r="DC69" s="300"/>
      <c r="DF69" s="308"/>
      <c r="DH69" s="296"/>
      <c r="DJ69" s="296"/>
      <c r="DK69" s="314"/>
      <c r="DL69" s="300"/>
      <c r="DN69" s="300"/>
      <c r="DP69" s="300"/>
      <c r="DR69" s="308"/>
      <c r="DV69" s="308"/>
      <c r="DW69" s="287"/>
      <c r="DX69" s="287"/>
      <c r="DY69" s="300"/>
      <c r="DZ69" s="300"/>
    </row>
    <row r="70" spans="1:130" ht="18" customHeight="1">
      <c r="A70" s="276"/>
      <c r="B70" s="314" t="str">
        <f>INPUT!B156</f>
        <v>DEFERRED INFLOWS OF RESOURCES</v>
      </c>
      <c r="C70" s="300"/>
      <c r="D70" s="296"/>
      <c r="E70" s="300"/>
      <c r="F70" s="296"/>
      <c r="G70" s="300"/>
      <c r="H70" s="296"/>
      <c r="I70" s="300"/>
      <c r="J70" s="296"/>
      <c r="K70" s="300"/>
      <c r="L70" s="296"/>
      <c r="M70" s="314" t="str">
        <f>B70</f>
        <v>DEFERRED INFLOWS OF RESOURCES</v>
      </c>
      <c r="N70" s="300"/>
      <c r="O70" s="296"/>
      <c r="P70" s="300"/>
      <c r="Q70" s="300"/>
      <c r="R70" s="300"/>
      <c r="S70" s="300"/>
      <c r="T70" s="300"/>
      <c r="U70" s="296"/>
      <c r="V70" s="300"/>
      <c r="W70" s="296"/>
      <c r="X70" s="314" t="str">
        <f>B70</f>
        <v>DEFERRED INFLOWS OF RESOURCES</v>
      </c>
      <c r="Y70" s="300"/>
      <c r="Z70" s="296"/>
      <c r="AA70" s="300"/>
      <c r="AB70" s="296"/>
      <c r="AC70" s="300"/>
      <c r="AD70" s="296"/>
      <c r="AE70" s="300"/>
      <c r="AF70" s="296"/>
      <c r="AG70" s="300"/>
      <c r="AH70" s="296"/>
      <c r="AI70" s="314" t="str">
        <f>B70</f>
        <v>DEFERRED INFLOWS OF RESOURCES</v>
      </c>
      <c r="AJ70" s="300"/>
      <c r="AK70" s="296"/>
      <c r="AL70" s="300"/>
      <c r="AM70" s="296"/>
      <c r="AN70" s="300"/>
      <c r="AO70" s="296"/>
      <c r="AP70" s="300"/>
      <c r="AQ70" s="308"/>
      <c r="AR70" s="300"/>
      <c r="AS70" s="296"/>
      <c r="AT70" s="314" t="str">
        <f>B70</f>
        <v>DEFERRED INFLOWS OF RESOURCES</v>
      </c>
      <c r="AU70" s="300"/>
      <c r="AV70" s="308"/>
      <c r="AW70" s="300"/>
      <c r="AX70" s="308"/>
      <c r="AY70" s="300"/>
      <c r="AZ70" s="308"/>
      <c r="BA70" s="300"/>
      <c r="BC70" s="300"/>
      <c r="BF70" s="296"/>
      <c r="BG70" s="314" t="str">
        <f>+B70</f>
        <v>DEFERRED INFLOWS OF RESOURCES</v>
      </c>
      <c r="BH70" s="300"/>
      <c r="BI70" s="308"/>
      <c r="BJ70" s="300"/>
      <c r="BL70" s="300"/>
      <c r="BN70" s="300"/>
      <c r="BO70" s="296"/>
      <c r="BP70" s="300"/>
      <c r="BQ70" s="296"/>
      <c r="BS70" s="296"/>
      <c r="BT70" s="314" t="str">
        <f>B70</f>
        <v>DEFERRED INFLOWS OF RESOURCES</v>
      </c>
      <c r="BU70" s="300"/>
      <c r="BV70" s="308"/>
      <c r="BW70" s="300"/>
      <c r="BX70" s="296"/>
      <c r="BY70" s="300"/>
      <c r="BZ70" s="296"/>
      <c r="CA70" s="300"/>
      <c r="CB70" s="296"/>
      <c r="CC70" s="300"/>
      <c r="CD70" s="296"/>
      <c r="CF70" s="296"/>
      <c r="CG70" s="314" t="str">
        <f>M70</f>
        <v>DEFERRED INFLOWS OF RESOURCES</v>
      </c>
      <c r="CH70" s="300"/>
      <c r="CI70" s="308"/>
      <c r="CJ70" s="300"/>
      <c r="CK70" s="296"/>
      <c r="CL70" s="300"/>
      <c r="CM70" s="308"/>
      <c r="CN70" s="300"/>
      <c r="CO70" s="308"/>
      <c r="CP70" s="300"/>
      <c r="CQ70" s="308"/>
      <c r="CS70" s="296"/>
      <c r="CT70" s="314" t="str">
        <f>X70</f>
        <v>DEFERRED INFLOWS OF RESOURCES</v>
      </c>
      <c r="CU70" s="300"/>
      <c r="CV70" s="300"/>
      <c r="CW70" s="300"/>
      <c r="CX70" s="308"/>
      <c r="CY70" s="300"/>
      <c r="CZ70" s="308"/>
      <c r="DA70" s="300"/>
      <c r="DB70" s="308"/>
      <c r="DC70" s="300"/>
      <c r="DF70" s="308"/>
      <c r="DH70" s="296"/>
      <c r="DJ70" s="296"/>
      <c r="DK70" s="314" t="str">
        <f>AI70</f>
        <v>DEFERRED INFLOWS OF RESOURCES</v>
      </c>
      <c r="DL70" s="300"/>
      <c r="DN70" s="300"/>
      <c r="DP70" s="300"/>
      <c r="DR70" s="308"/>
      <c r="DV70" s="308"/>
      <c r="DW70" s="287"/>
      <c r="DX70" s="287"/>
      <c r="DY70" s="300"/>
      <c r="DZ70" s="300"/>
    </row>
    <row r="71" spans="1:130" ht="15.75">
      <c r="A71" s="276"/>
      <c r="B71" s="296" t="str">
        <f>INPUT!B157</f>
        <v xml:space="preserve">     Deferred inflows of tax revenues</v>
      </c>
      <c r="C71" s="318">
        <f>INPUT!E157</f>
        <v>0</v>
      </c>
      <c r="D71" s="296"/>
      <c r="E71" s="318">
        <f>INPUT!F157</f>
        <v>277</v>
      </c>
      <c r="F71" s="296"/>
      <c r="G71" s="318">
        <f>INPUT!G157</f>
        <v>7744</v>
      </c>
      <c r="H71" s="296"/>
      <c r="I71" s="318">
        <f>+INPUT!H157</f>
        <v>30251</v>
      </c>
      <c r="J71" s="296"/>
      <c r="K71" s="318">
        <f>+INPUT!I157</f>
        <v>2881</v>
      </c>
      <c r="L71" s="296"/>
      <c r="M71" s="296" t="str">
        <f>B71</f>
        <v xml:space="preserve">     Deferred inflows of tax revenues</v>
      </c>
      <c r="N71" s="318">
        <f>+INPUT!J157</f>
        <v>33412</v>
      </c>
      <c r="O71" s="296"/>
      <c r="P71" s="318">
        <f>INPUT!K157</f>
        <v>67</v>
      </c>
      <c r="Q71" s="294"/>
      <c r="R71" s="318">
        <f>INPUT!L157</f>
        <v>3879</v>
      </c>
      <c r="S71" s="294"/>
      <c r="T71" s="318">
        <f>INPUT!M157</f>
        <v>14155</v>
      </c>
      <c r="U71" s="296"/>
      <c r="V71" s="318">
        <f>+INPUT!N157</f>
        <v>3894</v>
      </c>
      <c r="W71" s="296"/>
      <c r="X71" s="296" t="str">
        <f>B71</f>
        <v xml:space="preserve">     Deferred inflows of tax revenues</v>
      </c>
      <c r="Y71" s="318">
        <f>+INPUT!O157</f>
        <v>405</v>
      </c>
      <c r="Z71" s="296"/>
      <c r="AA71" s="318">
        <f>+INPUT!Q157</f>
        <v>38716</v>
      </c>
      <c r="AB71" s="296"/>
      <c r="AC71" s="318">
        <f>+INPUT!R157</f>
        <v>9535</v>
      </c>
      <c r="AD71" s="296"/>
      <c r="AE71" s="318">
        <f>INPUT!S157</f>
        <v>6179</v>
      </c>
      <c r="AF71" s="296"/>
      <c r="AG71" s="318">
        <f>+INPUT!T157</f>
        <v>53</v>
      </c>
      <c r="AH71" s="296"/>
      <c r="AI71" s="296" t="str">
        <f>B71</f>
        <v xml:space="preserve">     Deferred inflows of tax revenues</v>
      </c>
      <c r="AJ71" s="318">
        <f>+INPUT!U157</f>
        <v>31675</v>
      </c>
      <c r="AK71" s="296"/>
      <c r="AL71" s="318">
        <f>+INPUT!V157</f>
        <v>4460</v>
      </c>
      <c r="AM71" s="296"/>
      <c r="AN71" s="318">
        <f>+INPUT!W157</f>
        <v>5558</v>
      </c>
      <c r="AO71" s="296"/>
      <c r="AP71" s="318">
        <f>+INPUT!Y157</f>
        <v>0</v>
      </c>
      <c r="AQ71" s="308"/>
      <c r="AR71" s="318">
        <f>+INPUT!Z157</f>
        <v>0</v>
      </c>
      <c r="AS71" s="296"/>
      <c r="AT71" s="296" t="str">
        <f>B71</f>
        <v xml:space="preserve">     Deferred inflows of tax revenues</v>
      </c>
      <c r="AU71" s="318">
        <f>+INPUT!AA157</f>
        <v>0</v>
      </c>
      <c r="AV71" s="308"/>
      <c r="AW71" s="318">
        <f>+INPUT!AB157</f>
        <v>30909</v>
      </c>
      <c r="AX71" s="308"/>
      <c r="AY71" s="318">
        <f>+INPUT!AC157</f>
        <v>0</v>
      </c>
      <c r="AZ71" s="308"/>
      <c r="BA71" s="318">
        <f>+INPUT!AD157</f>
        <v>0</v>
      </c>
      <c r="BC71" s="318">
        <f>+INPUT!AE157</f>
        <v>0</v>
      </c>
      <c r="BF71" s="296"/>
      <c r="BG71" s="296" t="str">
        <f>+B71</f>
        <v xml:space="preserve">     Deferred inflows of tax revenues</v>
      </c>
      <c r="BH71" s="318">
        <f>+INPUT!AF157</f>
        <v>0</v>
      </c>
      <c r="BI71" s="296"/>
      <c r="BJ71" s="318">
        <f>+INPUT!AG157</f>
        <v>0</v>
      </c>
      <c r="BL71" s="318">
        <f>+INPUT!AH157</f>
        <v>0</v>
      </c>
      <c r="BN71" s="318">
        <f>+INPUT!AI157</f>
        <v>0</v>
      </c>
      <c r="BO71" s="296"/>
      <c r="BP71" s="318">
        <f>+INPUT!AJ157</f>
        <v>0</v>
      </c>
      <c r="BQ71" s="296"/>
      <c r="BS71" s="296"/>
      <c r="BT71" s="296" t="str">
        <f>B71</f>
        <v xml:space="preserve">     Deferred inflows of tax revenues</v>
      </c>
      <c r="BU71" s="318">
        <f>+INPUT!AK157</f>
        <v>0</v>
      </c>
      <c r="BV71" s="296"/>
      <c r="BW71" s="318">
        <f>+INPUT!AM157</f>
        <v>0</v>
      </c>
      <c r="BX71" s="296"/>
      <c r="BY71" s="318">
        <f>+INPUT!AO157</f>
        <v>0</v>
      </c>
      <c r="BZ71" s="296"/>
      <c r="CA71" s="318">
        <f>+INPUT!AQ157</f>
        <v>0</v>
      </c>
      <c r="CB71" s="296"/>
      <c r="CC71" s="318">
        <f>+INPUT!AO138</f>
        <v>0</v>
      </c>
      <c r="CD71" s="296"/>
      <c r="CF71" s="296"/>
      <c r="CG71" s="296" t="str">
        <f>M71</f>
        <v xml:space="preserve">     Deferred inflows of tax revenues</v>
      </c>
      <c r="CH71" s="318">
        <f>+INPUT!AP157</f>
        <v>0</v>
      </c>
      <c r="CI71" s="296"/>
      <c r="CJ71" s="318">
        <f>+INPUT!AR157</f>
        <v>0</v>
      </c>
      <c r="CK71" s="296"/>
      <c r="CL71" s="318">
        <f>+INPUT!AT157</f>
        <v>0</v>
      </c>
      <c r="CM71" s="296"/>
      <c r="CN71" s="318">
        <f>+INPUT!AV157</f>
        <v>0</v>
      </c>
      <c r="CO71" s="296"/>
      <c r="CP71" s="318">
        <f>+INPUT!AX157</f>
        <v>0</v>
      </c>
      <c r="CQ71" s="308"/>
      <c r="CS71" s="296"/>
      <c r="CT71" s="296" t="str">
        <f>X71</f>
        <v xml:space="preserve">     Deferred inflows of tax revenues</v>
      </c>
      <c r="CU71" s="318">
        <f>+INPUT!AU157</f>
        <v>0</v>
      </c>
      <c r="CV71" s="294"/>
      <c r="CW71" s="318">
        <f>+INPUT!AV157</f>
        <v>0</v>
      </c>
      <c r="CX71" s="296"/>
      <c r="CY71" s="318">
        <f>+INPUT!AX157</f>
        <v>0</v>
      </c>
      <c r="CZ71" s="308"/>
      <c r="DA71" s="318">
        <f>+INPUT!AY157</f>
        <v>0</v>
      </c>
      <c r="DB71" s="308"/>
      <c r="DC71" s="318">
        <f>+INPUT!AZ157</f>
        <v>0</v>
      </c>
      <c r="DF71" s="308"/>
      <c r="DH71" s="296"/>
      <c r="DJ71" s="296"/>
      <c r="DK71" s="296" t="str">
        <f>AI71</f>
        <v xml:space="preserve">     Deferred inflows of tax revenues</v>
      </c>
      <c r="DL71" s="318">
        <f>+INPUT!BA157</f>
        <v>0</v>
      </c>
      <c r="DN71" s="318"/>
      <c r="DP71" s="318">
        <f>+INPUT!BD157</f>
        <v>0</v>
      </c>
      <c r="DR71" s="308"/>
      <c r="DV71" s="308"/>
      <c r="DW71" s="287"/>
      <c r="DX71" s="287"/>
      <c r="DY71" s="294"/>
      <c r="DZ71" s="318">
        <f>SUM(C71:DY71)</f>
        <v>224050</v>
      </c>
    </row>
    <row r="72" spans="1:130" ht="15.75">
      <c r="A72" s="276"/>
      <c r="B72" s="296"/>
      <c r="C72" s="294"/>
      <c r="D72" s="296"/>
      <c r="E72" s="294"/>
      <c r="F72" s="296"/>
      <c r="G72" s="294"/>
      <c r="H72" s="296"/>
      <c r="I72" s="294"/>
      <c r="J72" s="296"/>
      <c r="K72" s="294"/>
      <c r="L72" s="296"/>
      <c r="M72" s="296"/>
      <c r="N72" s="294"/>
      <c r="O72" s="296"/>
      <c r="P72" s="294"/>
      <c r="Q72" s="294"/>
      <c r="R72" s="294"/>
      <c r="S72" s="294"/>
      <c r="T72" s="294"/>
      <c r="U72" s="296"/>
      <c r="V72" s="294"/>
      <c r="W72" s="296"/>
      <c r="X72" s="296"/>
      <c r="Y72" s="294"/>
      <c r="Z72" s="296"/>
      <c r="AA72" s="294"/>
      <c r="AB72" s="296"/>
      <c r="AC72" s="294"/>
      <c r="AD72" s="296"/>
      <c r="AE72" s="294"/>
      <c r="AF72" s="296"/>
      <c r="AG72" s="294"/>
      <c r="AH72" s="296"/>
      <c r="AI72" s="296"/>
      <c r="AJ72" s="294"/>
      <c r="AK72" s="296"/>
      <c r="AL72" s="294"/>
      <c r="AM72" s="296"/>
      <c r="AN72" s="294"/>
      <c r="AO72" s="296"/>
      <c r="AP72" s="294"/>
      <c r="AQ72" s="308"/>
      <c r="AR72" s="294"/>
      <c r="AS72" s="296"/>
      <c r="AT72" s="296"/>
      <c r="AU72" s="294"/>
      <c r="AV72" s="308"/>
      <c r="AW72" s="294"/>
      <c r="AX72" s="308"/>
      <c r="AY72" s="294"/>
      <c r="AZ72" s="308"/>
      <c r="BA72" s="294"/>
      <c r="BC72" s="294"/>
      <c r="BF72" s="296"/>
      <c r="BG72" s="296"/>
      <c r="BH72" s="294"/>
      <c r="BI72" s="296"/>
      <c r="BJ72" s="294"/>
      <c r="BL72" s="294"/>
      <c r="BN72" s="294"/>
      <c r="BO72" s="296"/>
      <c r="BP72" s="294"/>
      <c r="BQ72" s="296"/>
      <c r="BS72" s="296"/>
      <c r="BT72" s="296"/>
      <c r="BU72" s="294"/>
      <c r="BV72" s="296"/>
      <c r="BW72" s="294"/>
      <c r="BX72" s="296"/>
      <c r="BY72" s="294"/>
      <c r="BZ72" s="296"/>
      <c r="CA72" s="294"/>
      <c r="CB72" s="296"/>
      <c r="CC72" s="294"/>
      <c r="CD72" s="296"/>
      <c r="CF72" s="296"/>
      <c r="CG72" s="296"/>
      <c r="CH72" s="294"/>
      <c r="CI72" s="296"/>
      <c r="CJ72" s="294"/>
      <c r="CK72" s="296"/>
      <c r="CL72" s="294"/>
      <c r="CM72" s="308"/>
      <c r="CN72" s="294"/>
      <c r="CO72" s="308"/>
      <c r="CP72" s="294"/>
      <c r="CQ72" s="308"/>
      <c r="CS72" s="296"/>
      <c r="CT72" s="296"/>
      <c r="CU72" s="294"/>
      <c r="CV72" s="294"/>
      <c r="CW72" s="294"/>
      <c r="CX72" s="296"/>
      <c r="CY72" s="294"/>
      <c r="CZ72" s="308"/>
      <c r="DA72" s="294"/>
      <c r="DB72" s="308"/>
      <c r="DC72" s="294"/>
      <c r="DF72" s="308"/>
      <c r="DH72" s="296"/>
      <c r="DJ72" s="296"/>
      <c r="DK72" s="296"/>
      <c r="DL72" s="294"/>
      <c r="DN72" s="294"/>
      <c r="DP72" s="294"/>
      <c r="DR72" s="308"/>
      <c r="DV72" s="308"/>
      <c r="DW72" s="287"/>
      <c r="DX72" s="287"/>
      <c r="DY72" s="294"/>
      <c r="DZ72" s="294"/>
    </row>
    <row r="73" spans="1:130" ht="15.75">
      <c r="A73" s="276"/>
      <c r="B73" s="314" t="str">
        <f>INPUT!B186</f>
        <v>FUND BALANCE</v>
      </c>
      <c r="C73" s="300"/>
      <c r="D73" s="314"/>
      <c r="E73" s="300"/>
      <c r="F73" s="314"/>
      <c r="G73" s="300"/>
      <c r="H73" s="314"/>
      <c r="I73" s="300"/>
      <c r="J73" s="314"/>
      <c r="K73" s="300"/>
      <c r="L73" s="314"/>
      <c r="M73" s="314" t="str">
        <f>B73</f>
        <v>FUND BALANCE</v>
      </c>
      <c r="N73" s="300"/>
      <c r="O73" s="314"/>
      <c r="P73" s="300"/>
      <c r="Q73" s="300"/>
      <c r="R73" s="300"/>
      <c r="S73" s="300"/>
      <c r="T73" s="300"/>
      <c r="U73" s="314"/>
      <c r="V73" s="300"/>
      <c r="W73" s="314"/>
      <c r="X73" s="314" t="str">
        <f>B73</f>
        <v>FUND BALANCE</v>
      </c>
      <c r="Y73" s="300"/>
      <c r="Z73" s="314"/>
      <c r="AA73" s="300"/>
      <c r="AB73" s="314"/>
      <c r="AC73" s="300"/>
      <c r="AD73" s="314"/>
      <c r="AE73" s="300"/>
      <c r="AF73" s="314"/>
      <c r="AG73" s="300"/>
      <c r="AH73" s="314"/>
      <c r="AI73" s="314" t="str">
        <f>B73</f>
        <v>FUND BALANCE</v>
      </c>
      <c r="AJ73" s="300"/>
      <c r="AK73" s="314"/>
      <c r="AL73" s="300"/>
      <c r="AM73" s="314"/>
      <c r="AN73" s="300"/>
      <c r="AO73" s="314"/>
      <c r="AP73" s="300"/>
      <c r="AQ73" s="308"/>
      <c r="AR73" s="300"/>
      <c r="AS73" s="314"/>
      <c r="AT73" s="314" t="str">
        <f>B73</f>
        <v>FUND BALANCE</v>
      </c>
      <c r="AU73" s="300"/>
      <c r="AV73" s="308"/>
      <c r="AW73" s="300"/>
      <c r="AX73" s="308"/>
      <c r="AY73" s="300"/>
      <c r="AZ73" s="308"/>
      <c r="BA73" s="300"/>
      <c r="BB73" s="374"/>
      <c r="BC73" s="300"/>
      <c r="BD73" s="374"/>
      <c r="BF73" s="314"/>
      <c r="BG73" s="314" t="str">
        <f>+B73</f>
        <v>FUND BALANCE</v>
      </c>
      <c r="BH73" s="300"/>
      <c r="BI73" s="314"/>
      <c r="BJ73" s="300"/>
      <c r="BK73" s="374"/>
      <c r="BL73" s="300"/>
      <c r="BM73" s="374"/>
      <c r="BN73" s="300"/>
      <c r="BO73" s="314"/>
      <c r="BP73" s="300"/>
      <c r="BQ73" s="314"/>
      <c r="BS73" s="314"/>
      <c r="BT73" s="314" t="str">
        <f>B73</f>
        <v>FUND BALANCE</v>
      </c>
      <c r="BU73" s="300"/>
      <c r="BV73" s="314"/>
      <c r="BW73" s="300"/>
      <c r="BX73" s="314"/>
      <c r="BY73" s="300"/>
      <c r="BZ73" s="314"/>
      <c r="CA73" s="300"/>
      <c r="CB73" s="314"/>
      <c r="CC73" s="300"/>
      <c r="CD73" s="314"/>
      <c r="CF73" s="314"/>
      <c r="CG73" s="314" t="str">
        <f>M73</f>
        <v>FUND BALANCE</v>
      </c>
      <c r="CH73" s="300"/>
      <c r="CI73" s="314"/>
      <c r="CJ73" s="300"/>
      <c r="CK73" s="314"/>
      <c r="CL73" s="300"/>
      <c r="CM73" s="308"/>
      <c r="CN73" s="300"/>
      <c r="CO73" s="308"/>
      <c r="CP73" s="300"/>
      <c r="CQ73" s="308"/>
      <c r="CS73" s="314"/>
      <c r="CT73" s="314" t="str">
        <f>X73</f>
        <v>FUND BALANCE</v>
      </c>
      <c r="CU73" s="300"/>
      <c r="CV73" s="300"/>
      <c r="CW73" s="300"/>
      <c r="CX73" s="314"/>
      <c r="CY73" s="300"/>
      <c r="CZ73" s="308"/>
      <c r="DA73" s="300"/>
      <c r="DB73" s="308"/>
      <c r="DC73" s="300"/>
      <c r="DF73" s="308"/>
      <c r="DH73" s="314"/>
      <c r="DJ73" s="314"/>
      <c r="DK73" s="314" t="str">
        <f>AI73</f>
        <v>FUND BALANCE</v>
      </c>
      <c r="DL73" s="300"/>
      <c r="DM73" s="374"/>
      <c r="DN73" s="300"/>
      <c r="DO73" s="374"/>
      <c r="DP73" s="300"/>
      <c r="DQ73" s="374"/>
      <c r="DR73" s="308"/>
      <c r="DS73" s="374"/>
      <c r="DT73" s="374"/>
      <c r="DU73" s="374"/>
      <c r="DV73" s="308"/>
      <c r="DW73" s="287"/>
      <c r="DX73" s="287"/>
      <c r="DY73" s="300"/>
      <c r="DZ73" s="300"/>
    </row>
    <row r="74" spans="1:130" ht="15.75" customHeight="1">
      <c r="A74" s="276"/>
      <c r="B74" s="314"/>
      <c r="C74" s="294"/>
      <c r="D74" s="296"/>
      <c r="E74" s="294"/>
      <c r="F74" s="296"/>
      <c r="G74" s="294"/>
      <c r="H74" s="296"/>
      <c r="I74" s="294"/>
      <c r="J74" s="296"/>
      <c r="K74" s="294"/>
      <c r="L74" s="296"/>
      <c r="M74" s="314"/>
      <c r="N74" s="294"/>
      <c r="O74" s="296"/>
      <c r="P74" s="294"/>
      <c r="Q74" s="294"/>
      <c r="R74" s="294"/>
      <c r="S74" s="294"/>
      <c r="T74" s="294"/>
      <c r="U74" s="296"/>
      <c r="V74" s="294"/>
      <c r="W74" s="296"/>
      <c r="X74" s="314"/>
      <c r="Y74" s="294"/>
      <c r="Z74" s="296"/>
      <c r="AA74" s="294"/>
      <c r="AB74" s="296"/>
      <c r="AC74" s="294"/>
      <c r="AD74" s="296"/>
      <c r="AE74" s="294"/>
      <c r="AF74" s="296"/>
      <c r="AG74" s="294"/>
      <c r="AH74" s="296"/>
      <c r="AI74" s="314"/>
      <c r="AJ74" s="294"/>
      <c r="AK74" s="296"/>
      <c r="AL74" s="294"/>
      <c r="AM74" s="296"/>
      <c r="AN74" s="294"/>
      <c r="AO74" s="296"/>
      <c r="AP74" s="294"/>
      <c r="AQ74" s="308"/>
      <c r="AR74" s="294"/>
      <c r="AS74" s="296"/>
      <c r="AT74" s="314"/>
      <c r="AU74" s="294"/>
      <c r="AV74" s="308"/>
      <c r="AW74" s="294"/>
      <c r="AX74" s="308"/>
      <c r="AY74" s="294"/>
      <c r="AZ74" s="308"/>
      <c r="BA74" s="294"/>
      <c r="BC74" s="294"/>
      <c r="BF74" s="296"/>
      <c r="BG74" s="314"/>
      <c r="BH74" s="294"/>
      <c r="BI74" s="314"/>
      <c r="BJ74" s="294"/>
      <c r="BL74" s="294"/>
      <c r="BN74" s="294"/>
      <c r="BO74" s="296"/>
      <c r="BP74" s="294"/>
      <c r="BQ74" s="296"/>
      <c r="BS74" s="296"/>
      <c r="BT74" s="314"/>
      <c r="BU74" s="294"/>
      <c r="BV74" s="314"/>
      <c r="BW74" s="294"/>
      <c r="BX74" s="296"/>
      <c r="BY74" s="294"/>
      <c r="BZ74" s="296"/>
      <c r="CA74" s="294"/>
      <c r="CB74" s="296"/>
      <c r="CC74" s="294"/>
      <c r="CD74" s="296"/>
      <c r="CF74" s="296"/>
      <c r="CG74" s="314"/>
      <c r="CH74" s="294"/>
      <c r="CI74" s="314"/>
      <c r="CJ74" s="294"/>
      <c r="CK74" s="296"/>
      <c r="CL74" s="294"/>
      <c r="CM74" s="308"/>
      <c r="CN74" s="294"/>
      <c r="CO74" s="308"/>
      <c r="CP74" s="294"/>
      <c r="CQ74" s="308"/>
      <c r="CS74" s="296"/>
      <c r="CT74" s="314"/>
      <c r="CU74" s="294"/>
      <c r="CV74" s="294"/>
      <c r="CW74" s="294"/>
      <c r="CX74" s="314"/>
      <c r="CY74" s="294"/>
      <c r="CZ74" s="308"/>
      <c r="DA74" s="294"/>
      <c r="DB74" s="308"/>
      <c r="DC74" s="294"/>
      <c r="DF74" s="308"/>
      <c r="DH74" s="296"/>
      <c r="DJ74" s="296"/>
      <c r="DK74" s="314"/>
      <c r="DL74" s="294"/>
      <c r="DN74" s="294"/>
      <c r="DP74" s="294"/>
      <c r="DR74" s="308"/>
      <c r="DV74" s="308"/>
      <c r="DW74" s="287"/>
      <c r="DX74" s="287"/>
      <c r="DY74" s="294"/>
      <c r="DZ74" s="294"/>
    </row>
    <row r="75" spans="1:130" ht="15.75">
      <c r="A75" s="276"/>
      <c r="B75" s="296" t="str">
        <f>INPUT!B188</f>
        <v xml:space="preserve">          Nonspendable</v>
      </c>
      <c r="C75" s="294">
        <f>INPUT!E188</f>
        <v>0</v>
      </c>
      <c r="D75" s="296"/>
      <c r="E75" s="294">
        <f>INPUT!F188</f>
        <v>0</v>
      </c>
      <c r="F75" s="296"/>
      <c r="G75" s="294">
        <f>INPUT!G188</f>
        <v>0</v>
      </c>
      <c r="H75" s="296"/>
      <c r="I75" s="294">
        <f>INPUT!H188</f>
        <v>0</v>
      </c>
      <c r="J75" s="296"/>
      <c r="K75" s="294">
        <f>+INPUT!I188</f>
        <v>0</v>
      </c>
      <c r="L75" s="296"/>
      <c r="M75" s="296" t="str">
        <f t="shared" ref="M75:M80" si="47">B75</f>
        <v xml:space="preserve">          Nonspendable</v>
      </c>
      <c r="N75" s="294">
        <f>INPUT!J188</f>
        <v>397710</v>
      </c>
      <c r="O75" s="296"/>
      <c r="P75" s="294">
        <f>INPUT!K188</f>
        <v>0</v>
      </c>
      <c r="Q75" s="294"/>
      <c r="R75" s="294">
        <f>INPUT!L188</f>
        <v>0</v>
      </c>
      <c r="S75" s="294"/>
      <c r="T75" s="294">
        <f>INPUT!M188</f>
        <v>0</v>
      </c>
      <c r="U75" s="296"/>
      <c r="V75" s="294">
        <f>INPUT!N188</f>
        <v>0</v>
      </c>
      <c r="W75" s="296"/>
      <c r="X75" s="296" t="str">
        <f t="shared" ref="X75:X80" si="48">B75</f>
        <v xml:space="preserve">          Nonspendable</v>
      </c>
      <c r="Y75" s="294">
        <f>INPUT!O188</f>
        <v>0</v>
      </c>
      <c r="Z75" s="296"/>
      <c r="AA75" s="294">
        <f>+INPUT!Q188</f>
        <v>0</v>
      </c>
      <c r="AB75" s="296"/>
      <c r="AC75" s="294">
        <f>INPUT!R188</f>
        <v>0</v>
      </c>
      <c r="AD75" s="296"/>
      <c r="AE75" s="294">
        <f>+INPUT!S188</f>
        <v>0</v>
      </c>
      <c r="AF75" s="296"/>
      <c r="AG75" s="294">
        <f>+INPUT!T188</f>
        <v>0</v>
      </c>
      <c r="AH75" s="296"/>
      <c r="AI75" s="296" t="str">
        <f t="shared" ref="AI75:AI80" si="49">B75</f>
        <v xml:space="preserve">          Nonspendable</v>
      </c>
      <c r="AJ75" s="294">
        <f>+INPUT!U188</f>
        <v>76413</v>
      </c>
      <c r="AK75" s="296"/>
      <c r="AL75" s="294">
        <f>+INPUT!V188</f>
        <v>0</v>
      </c>
      <c r="AM75" s="296"/>
      <c r="AN75" s="294">
        <f>+INPUT!W188</f>
        <v>0</v>
      </c>
      <c r="AO75" s="296"/>
      <c r="AP75" s="294">
        <f>+INPUT!Y188</f>
        <v>0</v>
      </c>
      <c r="AQ75" s="308"/>
      <c r="AR75" s="294">
        <f>+INPUT!Z188</f>
        <v>0</v>
      </c>
      <c r="AS75" s="296"/>
      <c r="AT75" s="296" t="str">
        <f t="shared" ref="AT75:AT80" si="50">B75</f>
        <v xml:space="preserve">          Nonspendable</v>
      </c>
      <c r="AU75" s="294">
        <f>+INPUT!AA188</f>
        <v>0</v>
      </c>
      <c r="AV75" s="308"/>
      <c r="AW75" s="294">
        <f>+INPUT!AB188</f>
        <v>0</v>
      </c>
      <c r="AX75" s="308"/>
      <c r="AY75" s="294">
        <f>INPUT!AC188</f>
        <v>0</v>
      </c>
      <c r="AZ75" s="308"/>
      <c r="BA75" s="294">
        <f>INPUT!AD188</f>
        <v>0</v>
      </c>
      <c r="BC75" s="294">
        <f>+INPUT!AE188</f>
        <v>0</v>
      </c>
      <c r="BF75" s="296"/>
      <c r="BG75" s="296" t="str">
        <f t="shared" ref="BG75:BG80" si="51">+B75</f>
        <v xml:space="preserve">          Nonspendable</v>
      </c>
      <c r="BH75" s="294">
        <f>+INPUT!AF188</f>
        <v>0</v>
      </c>
      <c r="BI75" s="296"/>
      <c r="BJ75" s="294">
        <f>+INPUT!AG188</f>
        <v>0</v>
      </c>
      <c r="BL75" s="294">
        <f>+INPUT!AH188</f>
        <v>0</v>
      </c>
      <c r="BN75" s="294">
        <f>+INPUT!AI188</f>
        <v>0</v>
      </c>
      <c r="BO75" s="296"/>
      <c r="BP75" s="294">
        <f>+INPUT!AJ188</f>
        <v>0</v>
      </c>
      <c r="BQ75" s="296"/>
      <c r="BS75" s="296"/>
      <c r="BT75" s="296" t="str">
        <f t="shared" ref="BT75:BT80" si="52">B75</f>
        <v xml:space="preserve">          Nonspendable</v>
      </c>
      <c r="BU75" s="294">
        <f>+INPUT!AK188</f>
        <v>0</v>
      </c>
      <c r="BV75" s="296"/>
      <c r="BW75" s="294">
        <f>+INPUT!AL188</f>
        <v>0</v>
      </c>
      <c r="BX75" s="296"/>
      <c r="BY75" s="294">
        <f>+INPUT!AM188</f>
        <v>0</v>
      </c>
      <c r="BZ75" s="296"/>
      <c r="CA75" s="294">
        <f>+INPUT!AN188</f>
        <v>0</v>
      </c>
      <c r="CB75" s="296"/>
      <c r="CC75" s="294">
        <f>+INPUT!AO188</f>
        <v>0</v>
      </c>
      <c r="CD75" s="296"/>
      <c r="CF75" s="296"/>
      <c r="CG75" s="296" t="str">
        <f t="shared" ref="CG75:CG80" si="53">M75</f>
        <v xml:space="preserve">          Nonspendable</v>
      </c>
      <c r="CH75" s="294">
        <f>+INPUT!AP188</f>
        <v>0</v>
      </c>
      <c r="CI75" s="296"/>
      <c r="CJ75" s="294">
        <f>+INPUT!AQ188</f>
        <v>0</v>
      </c>
      <c r="CK75" s="296"/>
      <c r="CL75" s="294">
        <f>+INPUT!AR188</f>
        <v>0</v>
      </c>
      <c r="CM75" s="308"/>
      <c r="CN75" s="294">
        <f>+INPUT!AS188</f>
        <v>0</v>
      </c>
      <c r="CO75" s="308"/>
      <c r="CP75" s="294">
        <f>+INPUT!AT188</f>
        <v>0</v>
      </c>
      <c r="CQ75" s="308"/>
      <c r="CS75" s="296"/>
      <c r="CT75" s="296" t="str">
        <f t="shared" ref="CT75:CT80" si="54">X75</f>
        <v xml:space="preserve">          Nonspendable</v>
      </c>
      <c r="CU75" s="294">
        <f>+INPUT!AU188</f>
        <v>0</v>
      </c>
      <c r="CV75" s="294"/>
      <c r="CW75" s="294">
        <f>+INPUT!AV188</f>
        <v>0</v>
      </c>
      <c r="CX75" s="296"/>
      <c r="CY75" s="294">
        <f>+INPUT!AX188</f>
        <v>0</v>
      </c>
      <c r="CZ75" s="308"/>
      <c r="DA75" s="294">
        <f>+INPUT!AY188</f>
        <v>0</v>
      </c>
      <c r="DB75" s="308"/>
      <c r="DC75" s="294">
        <f>+INPUT!AZ188</f>
        <v>0</v>
      </c>
      <c r="DF75" s="308"/>
      <c r="DH75" s="296"/>
      <c r="DJ75" s="296"/>
      <c r="DK75" s="296" t="str">
        <f t="shared" ref="DK75:DK80" si="55">AI75</f>
        <v xml:space="preserve">          Nonspendable</v>
      </c>
      <c r="DL75" s="294">
        <f>+INPUT!BA188</f>
        <v>0</v>
      </c>
      <c r="DN75" s="294"/>
      <c r="DP75" s="294">
        <f>+INPUT!BD188</f>
        <v>371646</v>
      </c>
      <c r="DR75" s="308"/>
      <c r="DV75" s="308"/>
      <c r="DW75" s="287"/>
      <c r="DX75" s="287"/>
      <c r="DY75" s="294"/>
      <c r="DZ75" s="294">
        <f>SUM(C75:DY75)</f>
        <v>845769</v>
      </c>
    </row>
    <row r="76" spans="1:130" ht="15.75">
      <c r="A76" s="276"/>
      <c r="B76" s="296" t="str">
        <f>INPUT!B189</f>
        <v xml:space="preserve">          Restricted</v>
      </c>
      <c r="C76" s="294">
        <f>INPUT!E189</f>
        <v>0</v>
      </c>
      <c r="D76" s="296"/>
      <c r="E76" s="294">
        <f>INPUT!F189</f>
        <v>0</v>
      </c>
      <c r="F76" s="296"/>
      <c r="G76" s="294">
        <f>INPUT!G189</f>
        <v>0</v>
      </c>
      <c r="H76" s="296"/>
      <c r="I76" s="294">
        <f>INPUT!H189</f>
        <v>0</v>
      </c>
      <c r="J76" s="296"/>
      <c r="K76" s="294">
        <f>+INPUT!I189</f>
        <v>0</v>
      </c>
      <c r="L76" s="296"/>
      <c r="M76" s="296" t="str">
        <f t="shared" si="47"/>
        <v xml:space="preserve">          Restricted</v>
      </c>
      <c r="N76" s="294">
        <f>INPUT!J189</f>
        <v>0</v>
      </c>
      <c r="O76" s="296"/>
      <c r="P76" s="294">
        <f>INPUT!K189</f>
        <v>0</v>
      </c>
      <c r="Q76" s="294"/>
      <c r="R76" s="294">
        <f>INPUT!L189</f>
        <v>0</v>
      </c>
      <c r="S76" s="294"/>
      <c r="T76" s="294">
        <f>INPUT!M189</f>
        <v>0</v>
      </c>
      <c r="U76" s="296"/>
      <c r="V76" s="294">
        <f>INPUT!N189</f>
        <v>0</v>
      </c>
      <c r="W76" s="296"/>
      <c r="X76" s="296" t="str">
        <f t="shared" si="48"/>
        <v xml:space="preserve">          Restricted</v>
      </c>
      <c r="Y76" s="294">
        <f>INPUT!O189</f>
        <v>0</v>
      </c>
      <c r="Z76" s="296"/>
      <c r="AA76" s="294">
        <f>+INPUT!Q189</f>
        <v>0</v>
      </c>
      <c r="AB76" s="296"/>
      <c r="AC76" s="294">
        <f>INPUT!R189</f>
        <v>0</v>
      </c>
      <c r="AD76" s="296"/>
      <c r="AE76" s="294">
        <f>+INPUT!S189</f>
        <v>0</v>
      </c>
      <c r="AF76" s="296"/>
      <c r="AG76" s="294">
        <f>+INPUT!T189</f>
        <v>0</v>
      </c>
      <c r="AH76" s="296"/>
      <c r="AI76" s="296" t="str">
        <f t="shared" si="49"/>
        <v xml:space="preserve">          Restricted</v>
      </c>
      <c r="AJ76" s="294">
        <f>+INPUT!U189</f>
        <v>0</v>
      </c>
      <c r="AK76" s="296"/>
      <c r="AL76" s="294">
        <f>+INPUT!V189</f>
        <v>0</v>
      </c>
      <c r="AM76" s="296"/>
      <c r="AN76" s="294">
        <f>+INPUT!W189</f>
        <v>0</v>
      </c>
      <c r="AO76" s="296"/>
      <c r="AP76" s="294">
        <f>+INPUT!Y189</f>
        <v>0</v>
      </c>
      <c r="AQ76" s="308"/>
      <c r="AR76" s="294">
        <f>+INPUT!Z189</f>
        <v>0</v>
      </c>
      <c r="AS76" s="296"/>
      <c r="AT76" s="296" t="str">
        <f t="shared" si="50"/>
        <v xml:space="preserve">          Restricted</v>
      </c>
      <c r="AU76" s="294">
        <f>+INPUT!AA189</f>
        <v>0</v>
      </c>
      <c r="AV76" s="308"/>
      <c r="AW76" s="294">
        <f>+INPUT!AB189</f>
        <v>0</v>
      </c>
      <c r="AX76" s="308"/>
      <c r="AY76" s="294">
        <f>INPUT!AC189</f>
        <v>0</v>
      </c>
      <c r="AZ76" s="308"/>
      <c r="BA76" s="294">
        <f>INPUT!AD189</f>
        <v>0</v>
      </c>
      <c r="BC76" s="294">
        <f>+INPUT!AE189</f>
        <v>82435</v>
      </c>
      <c r="BF76" s="296"/>
      <c r="BG76" s="296" t="str">
        <f t="shared" si="51"/>
        <v xml:space="preserve">          Restricted</v>
      </c>
      <c r="BH76" s="294">
        <f>+INPUT!AF189</f>
        <v>0</v>
      </c>
      <c r="BI76" s="296"/>
      <c r="BJ76" s="294">
        <f>+INPUT!AG189</f>
        <v>422641</v>
      </c>
      <c r="BL76" s="294">
        <f>+INPUT!AH189</f>
        <v>253738</v>
      </c>
      <c r="BN76" s="294">
        <f>+INPUT!AI189</f>
        <v>21826</v>
      </c>
      <c r="BO76" s="296"/>
      <c r="BP76" s="294">
        <f>+INPUT!AJ189</f>
        <v>62464</v>
      </c>
      <c r="BQ76" s="296"/>
      <c r="BS76" s="296"/>
      <c r="BT76" s="296" t="str">
        <f t="shared" si="52"/>
        <v xml:space="preserve">          Restricted</v>
      </c>
      <c r="BU76" s="294">
        <f>+INPUT!AK189</f>
        <v>0</v>
      </c>
      <c r="BV76" s="296"/>
      <c r="BW76" s="294">
        <f>+INPUT!AL189</f>
        <v>0</v>
      </c>
      <c r="BX76" s="296"/>
      <c r="BY76" s="294">
        <f>+INPUT!AM189</f>
        <v>0</v>
      </c>
      <c r="BZ76" s="296"/>
      <c r="CA76" s="294">
        <f>+INPUT!AN189</f>
        <v>0</v>
      </c>
      <c r="CB76" s="296"/>
      <c r="CC76" s="294">
        <f>+INPUT!AO189</f>
        <v>0</v>
      </c>
      <c r="CD76" s="296"/>
      <c r="CF76" s="296"/>
      <c r="CG76" s="296" t="str">
        <f t="shared" si="53"/>
        <v xml:space="preserve">          Restricted</v>
      </c>
      <c r="CH76" s="294">
        <f>+INPUT!AP189</f>
        <v>1675727</v>
      </c>
      <c r="CI76" s="296"/>
      <c r="CJ76" s="294">
        <f>+INPUT!AQ189</f>
        <v>872198</v>
      </c>
      <c r="CK76" s="296"/>
      <c r="CL76" s="294">
        <f>+INPUT!AR189</f>
        <v>104504</v>
      </c>
      <c r="CM76" s="308"/>
      <c r="CN76" s="294">
        <f>+INPUT!AS189</f>
        <v>96879</v>
      </c>
      <c r="CO76" s="308"/>
      <c r="CP76" s="294">
        <f>+INPUT!AT189</f>
        <v>247580</v>
      </c>
      <c r="CQ76" s="308"/>
      <c r="CS76" s="296"/>
      <c r="CT76" s="296" t="str">
        <f t="shared" si="54"/>
        <v xml:space="preserve">          Restricted</v>
      </c>
      <c r="CU76" s="294">
        <f>+INPUT!AU189</f>
        <v>0</v>
      </c>
      <c r="CV76" s="294"/>
      <c r="CW76" s="294">
        <f>+INPUT!AV189</f>
        <v>0</v>
      </c>
      <c r="CX76" s="296"/>
      <c r="CY76" s="294">
        <f>+INPUT!AX189</f>
        <v>0</v>
      </c>
      <c r="CZ76" s="308"/>
      <c r="DA76" s="294">
        <f>+INPUT!AY189</f>
        <v>0</v>
      </c>
      <c r="DB76" s="308"/>
      <c r="DC76" s="294">
        <f>+INPUT!AZ189</f>
        <v>17572</v>
      </c>
      <c r="DF76" s="308"/>
      <c r="DH76" s="296"/>
      <c r="DJ76" s="296"/>
      <c r="DK76" s="296" t="str">
        <f t="shared" si="55"/>
        <v xml:space="preserve">          Restricted</v>
      </c>
      <c r="DL76" s="294">
        <f>+INPUT!BA189</f>
        <v>0</v>
      </c>
      <c r="DN76" s="294"/>
      <c r="DP76" s="294">
        <f>+INPUT!BD189</f>
        <v>0</v>
      </c>
      <c r="DR76" s="308"/>
      <c r="DV76" s="308"/>
      <c r="DW76" s="287"/>
      <c r="DX76" s="287"/>
      <c r="DY76" s="294"/>
      <c r="DZ76" s="294">
        <f>SUM(C76:DY76)</f>
        <v>3857564</v>
      </c>
    </row>
    <row r="77" spans="1:130" ht="15.75">
      <c r="A77" s="276"/>
      <c r="B77" s="296" t="str">
        <f>INPUT!B190</f>
        <v xml:space="preserve">          Unrestricted:</v>
      </c>
      <c r="C77" s="294"/>
      <c r="D77" s="296"/>
      <c r="E77" s="294"/>
      <c r="F77" s="296"/>
      <c r="G77" s="294"/>
      <c r="H77" s="296"/>
      <c r="I77" s="294"/>
      <c r="J77" s="296"/>
      <c r="K77" s="294"/>
      <c r="L77" s="296"/>
      <c r="M77" s="296" t="str">
        <f t="shared" si="47"/>
        <v xml:space="preserve">          Unrestricted:</v>
      </c>
      <c r="N77" s="294"/>
      <c r="O77" s="296"/>
      <c r="P77" s="294"/>
      <c r="Q77" s="294"/>
      <c r="R77" s="294"/>
      <c r="S77" s="294"/>
      <c r="T77" s="294"/>
      <c r="U77" s="296"/>
      <c r="V77" s="294"/>
      <c r="W77" s="296"/>
      <c r="X77" s="296" t="str">
        <f t="shared" si="48"/>
        <v xml:space="preserve">          Unrestricted:</v>
      </c>
      <c r="Y77" s="294"/>
      <c r="Z77" s="296"/>
      <c r="AA77" s="294"/>
      <c r="AB77" s="296"/>
      <c r="AC77" s="294"/>
      <c r="AD77" s="296"/>
      <c r="AE77" s="294"/>
      <c r="AF77" s="296"/>
      <c r="AG77" s="294"/>
      <c r="AH77" s="296"/>
      <c r="AI77" s="296" t="str">
        <f t="shared" si="49"/>
        <v xml:space="preserve">          Unrestricted:</v>
      </c>
      <c r="AJ77" s="294"/>
      <c r="AK77" s="296"/>
      <c r="AL77" s="294"/>
      <c r="AM77" s="296"/>
      <c r="AN77" s="294"/>
      <c r="AO77" s="296"/>
      <c r="AP77" s="294"/>
      <c r="AQ77" s="308"/>
      <c r="AR77" s="294"/>
      <c r="AS77" s="296"/>
      <c r="AT77" s="296" t="str">
        <f t="shared" si="50"/>
        <v xml:space="preserve">          Unrestricted:</v>
      </c>
      <c r="AU77" s="294"/>
      <c r="AV77" s="308"/>
      <c r="AW77" s="294"/>
      <c r="AX77" s="308"/>
      <c r="AY77" s="294"/>
      <c r="AZ77" s="308"/>
      <c r="BA77" s="294"/>
      <c r="BC77" s="294"/>
      <c r="BF77" s="296"/>
      <c r="BG77" s="296" t="str">
        <f t="shared" si="51"/>
        <v xml:space="preserve">          Unrestricted:</v>
      </c>
      <c r="BH77" s="294"/>
      <c r="BI77" s="296"/>
      <c r="BJ77" s="294"/>
      <c r="BL77" s="294"/>
      <c r="BN77" s="294"/>
      <c r="BO77" s="296"/>
      <c r="BP77" s="294"/>
      <c r="BQ77" s="296"/>
      <c r="BS77" s="296"/>
      <c r="BT77" s="296" t="str">
        <f t="shared" si="52"/>
        <v xml:space="preserve">          Unrestricted:</v>
      </c>
      <c r="BU77" s="294"/>
      <c r="BV77" s="296"/>
      <c r="BW77" s="294"/>
      <c r="BX77" s="296"/>
      <c r="BY77" s="294"/>
      <c r="BZ77" s="296"/>
      <c r="CA77" s="294"/>
      <c r="CB77" s="296"/>
      <c r="CC77" s="294"/>
      <c r="CD77" s="296"/>
      <c r="CF77" s="296"/>
      <c r="CG77" s="296" t="str">
        <f t="shared" si="53"/>
        <v xml:space="preserve">          Unrestricted:</v>
      </c>
      <c r="CH77" s="294"/>
      <c r="CI77" s="296"/>
      <c r="CJ77" s="294"/>
      <c r="CK77" s="296"/>
      <c r="CL77" s="294"/>
      <c r="CM77" s="308"/>
      <c r="CN77" s="294"/>
      <c r="CO77" s="308"/>
      <c r="CP77" s="294"/>
      <c r="CQ77" s="308"/>
      <c r="CS77" s="296"/>
      <c r="CT77" s="296" t="str">
        <f t="shared" si="54"/>
        <v xml:space="preserve">          Unrestricted:</v>
      </c>
      <c r="CU77" s="294"/>
      <c r="CV77" s="294"/>
      <c r="CW77" s="294"/>
      <c r="CX77" s="296"/>
      <c r="CY77" s="294"/>
      <c r="CZ77" s="308"/>
      <c r="DA77" s="294"/>
      <c r="DB77" s="308"/>
      <c r="DC77" s="294"/>
      <c r="DF77" s="308"/>
      <c r="DH77" s="296"/>
      <c r="DJ77" s="296"/>
      <c r="DK77" s="296" t="str">
        <f t="shared" si="55"/>
        <v xml:space="preserve">          Unrestricted:</v>
      </c>
      <c r="DL77" s="294"/>
      <c r="DN77" s="294"/>
      <c r="DP77" s="294"/>
      <c r="DR77" s="308"/>
      <c r="DV77" s="308"/>
      <c r="DW77" s="287"/>
      <c r="DX77" s="287"/>
      <c r="DY77" s="294"/>
      <c r="DZ77" s="294"/>
    </row>
    <row r="78" spans="1:130" ht="15.75">
      <c r="A78" s="276"/>
      <c r="B78" s="296" t="str">
        <f>INPUT!B191</f>
        <v xml:space="preserve">               Committed</v>
      </c>
      <c r="C78" s="294">
        <f>INPUT!E191</f>
        <v>0</v>
      </c>
      <c r="D78" s="296"/>
      <c r="E78" s="294">
        <f>INPUT!F191</f>
        <v>3692</v>
      </c>
      <c r="F78" s="296"/>
      <c r="G78" s="294">
        <f>INPUT!G191</f>
        <v>73809</v>
      </c>
      <c r="H78" s="296"/>
      <c r="I78" s="294">
        <f>INPUT!H191</f>
        <v>357347</v>
      </c>
      <c r="J78" s="296"/>
      <c r="K78" s="294">
        <f>+INPUT!I191</f>
        <v>4500</v>
      </c>
      <c r="L78" s="296"/>
      <c r="M78" s="296" t="str">
        <f t="shared" si="47"/>
        <v xml:space="preserve">               Committed</v>
      </c>
      <c r="N78" s="294">
        <f>INPUT!J191</f>
        <v>1699347</v>
      </c>
      <c r="O78" s="296"/>
      <c r="P78" s="294">
        <f>INPUT!K191</f>
        <v>1303</v>
      </c>
      <c r="Q78" s="294"/>
      <c r="R78" s="294">
        <f>INPUT!L191</f>
        <v>21640</v>
      </c>
      <c r="S78" s="294"/>
      <c r="T78" s="294">
        <f>INPUT!M191</f>
        <v>660329</v>
      </c>
      <c r="U78" s="296"/>
      <c r="V78" s="294">
        <f>INPUT!N191</f>
        <v>84305</v>
      </c>
      <c r="W78" s="296"/>
      <c r="X78" s="296" t="str">
        <f t="shared" si="48"/>
        <v xml:space="preserve">               Committed</v>
      </c>
      <c r="Y78" s="294">
        <f>INPUT!O191</f>
        <v>60405</v>
      </c>
      <c r="Z78" s="296"/>
      <c r="AA78" s="294">
        <f>+INPUT!Q191</f>
        <v>185629</v>
      </c>
      <c r="AB78" s="296"/>
      <c r="AC78" s="294">
        <f>INPUT!R191</f>
        <v>380215</v>
      </c>
      <c r="AD78" s="296"/>
      <c r="AE78" s="294">
        <f>+INPUT!S191</f>
        <v>1022934</v>
      </c>
      <c r="AF78" s="296"/>
      <c r="AG78" s="294">
        <f>+INPUT!T191</f>
        <v>308</v>
      </c>
      <c r="AH78" s="296"/>
      <c r="AI78" s="296" t="str">
        <f t="shared" si="49"/>
        <v xml:space="preserve">               Committed</v>
      </c>
      <c r="AJ78" s="294">
        <f>+INPUT!U191</f>
        <v>577048</v>
      </c>
      <c r="AK78" s="296"/>
      <c r="AL78" s="294">
        <f>+INPUT!V191</f>
        <v>2517</v>
      </c>
      <c r="AM78" s="296"/>
      <c r="AN78" s="294">
        <f>+INPUT!W191</f>
        <v>255076</v>
      </c>
      <c r="AO78" s="296"/>
      <c r="AP78" s="294">
        <f>+INPUT!Y191</f>
        <v>0</v>
      </c>
      <c r="AQ78" s="308"/>
      <c r="AR78" s="294">
        <f>+INPUT!Z191</f>
        <v>107003</v>
      </c>
      <c r="AS78" s="296"/>
      <c r="AT78" s="296" t="str">
        <f t="shared" si="50"/>
        <v xml:space="preserve">               Committed</v>
      </c>
      <c r="AU78" s="294">
        <f>+INPUT!AA191</f>
        <v>100039</v>
      </c>
      <c r="AV78" s="308"/>
      <c r="AW78" s="294">
        <f>+INPUT!AB191</f>
        <v>1631376</v>
      </c>
      <c r="AX78" s="308"/>
      <c r="AY78" s="294">
        <f>INPUT!AC191</f>
        <v>238913</v>
      </c>
      <c r="AZ78" s="308"/>
      <c r="BA78" s="294">
        <f>INPUT!AD191</f>
        <v>0</v>
      </c>
      <c r="BC78" s="294">
        <f>+INPUT!AE191</f>
        <v>0</v>
      </c>
      <c r="BF78" s="296"/>
      <c r="BG78" s="296" t="str">
        <f t="shared" si="51"/>
        <v xml:space="preserve">               Committed</v>
      </c>
      <c r="BH78" s="294">
        <f>+INPUT!AF191</f>
        <v>21202</v>
      </c>
      <c r="BI78" s="296"/>
      <c r="BJ78" s="294">
        <f>+INPUT!AG191</f>
        <v>0</v>
      </c>
      <c r="BL78" s="294">
        <f>+INPUT!AH191</f>
        <v>0</v>
      </c>
      <c r="BN78" s="294">
        <f>+INPUT!AI191</f>
        <v>0</v>
      </c>
      <c r="BO78" s="296"/>
      <c r="BP78" s="294">
        <f>+INPUT!AJ191</f>
        <v>0</v>
      </c>
      <c r="BQ78" s="296"/>
      <c r="BS78" s="296"/>
      <c r="BT78" s="296" t="str">
        <f t="shared" si="52"/>
        <v xml:space="preserve">               Committed</v>
      </c>
      <c r="BU78" s="294">
        <f>+INPUT!AK191</f>
        <v>5768</v>
      </c>
      <c r="BV78" s="296"/>
      <c r="BW78" s="294">
        <f>+INPUT!AL191</f>
        <v>35534</v>
      </c>
      <c r="BX78" s="296"/>
      <c r="BY78" s="294">
        <f>+INPUT!AM191</f>
        <v>39899</v>
      </c>
      <c r="BZ78" s="296"/>
      <c r="CA78" s="294">
        <f>+INPUT!AN191</f>
        <v>168446</v>
      </c>
      <c r="CB78" s="296"/>
      <c r="CC78" s="294">
        <f>+INPUT!AO191</f>
        <v>0</v>
      </c>
      <c r="CD78" s="296"/>
      <c r="CF78" s="296"/>
      <c r="CG78" s="296" t="str">
        <f t="shared" si="53"/>
        <v xml:space="preserve">               Committed</v>
      </c>
      <c r="CH78" s="294">
        <f>+INPUT!AP191</f>
        <v>0</v>
      </c>
      <c r="CI78" s="296"/>
      <c r="CJ78" s="294">
        <f>+INPUT!AQ191</f>
        <v>0</v>
      </c>
      <c r="CK78" s="296"/>
      <c r="CL78" s="294">
        <f>+INPUT!AR191</f>
        <v>0</v>
      </c>
      <c r="CM78" s="308"/>
      <c r="CN78" s="294">
        <f>+INPUT!AS191</f>
        <v>0</v>
      </c>
      <c r="CO78" s="308"/>
      <c r="CP78" s="294">
        <f>+INPUT!AT191</f>
        <v>0</v>
      </c>
      <c r="CQ78" s="308"/>
      <c r="CS78" s="296"/>
      <c r="CT78" s="296" t="str">
        <f t="shared" si="54"/>
        <v xml:space="preserve">               Committed</v>
      </c>
      <c r="CU78" s="294">
        <f>+INPUT!AU191</f>
        <v>0</v>
      </c>
      <c r="CV78" s="294"/>
      <c r="CW78" s="294">
        <f>+INPUT!AV191</f>
        <v>0</v>
      </c>
      <c r="CX78" s="296"/>
      <c r="CY78" s="294">
        <f>+INPUT!AX191</f>
        <v>0</v>
      </c>
      <c r="CZ78" s="308"/>
      <c r="DA78" s="294">
        <f>+INPUT!AY191</f>
        <v>0</v>
      </c>
      <c r="DB78" s="308"/>
      <c r="DC78" s="294">
        <f>+INPUT!AZ191</f>
        <v>0</v>
      </c>
      <c r="DF78" s="308"/>
      <c r="DH78" s="296"/>
      <c r="DJ78" s="296"/>
      <c r="DK78" s="296" t="str">
        <f t="shared" si="55"/>
        <v xml:space="preserve">               Committed</v>
      </c>
      <c r="DL78" s="294">
        <f>+INPUT!BA191</f>
        <v>0</v>
      </c>
      <c r="DN78" s="294"/>
      <c r="DP78" s="294">
        <f>+INPUT!BD191</f>
        <v>0</v>
      </c>
      <c r="DR78" s="308"/>
      <c r="DV78" s="308"/>
      <c r="DW78" s="287"/>
      <c r="DX78" s="287"/>
      <c r="DY78" s="294"/>
      <c r="DZ78" s="294">
        <f>SUM(C78:DY78)</f>
        <v>7738584</v>
      </c>
    </row>
    <row r="79" spans="1:130" ht="15.75">
      <c r="A79" s="276"/>
      <c r="B79" s="296" t="str">
        <f>INPUT!B192</f>
        <v xml:space="preserve">               Assigned</v>
      </c>
      <c r="C79" s="294">
        <f>INPUT!E192</f>
        <v>0</v>
      </c>
      <c r="D79" s="296"/>
      <c r="E79" s="294">
        <f>INPUT!F192</f>
        <v>0</v>
      </c>
      <c r="F79" s="296"/>
      <c r="G79" s="294">
        <f>INPUT!G192</f>
        <v>0</v>
      </c>
      <c r="H79" s="296"/>
      <c r="I79" s="294">
        <f>INPUT!H192</f>
        <v>0</v>
      </c>
      <c r="J79" s="296"/>
      <c r="K79" s="294">
        <f>+INPUT!I192</f>
        <v>0</v>
      </c>
      <c r="L79" s="296"/>
      <c r="M79" s="296" t="str">
        <f t="shared" si="47"/>
        <v xml:space="preserve">               Assigned</v>
      </c>
      <c r="N79" s="294">
        <f>INPUT!J192</f>
        <v>0</v>
      </c>
      <c r="O79" s="296"/>
      <c r="P79" s="294">
        <f>INPUT!K192</f>
        <v>0</v>
      </c>
      <c r="Q79" s="294"/>
      <c r="R79" s="294">
        <f>INPUT!L192</f>
        <v>0</v>
      </c>
      <c r="S79" s="294"/>
      <c r="T79" s="294">
        <f>INPUT!M192</f>
        <v>0</v>
      </c>
      <c r="U79" s="296"/>
      <c r="V79" s="294">
        <f>INPUT!N192</f>
        <v>0</v>
      </c>
      <c r="W79" s="296"/>
      <c r="X79" s="296" t="str">
        <f t="shared" si="48"/>
        <v xml:space="preserve">               Assigned</v>
      </c>
      <c r="Y79" s="294">
        <f>INPUT!O192</f>
        <v>0</v>
      </c>
      <c r="Z79" s="296"/>
      <c r="AA79" s="294">
        <f>+INPUT!Q192</f>
        <v>0</v>
      </c>
      <c r="AB79" s="296"/>
      <c r="AC79" s="294">
        <f>INPUT!R192</f>
        <v>0</v>
      </c>
      <c r="AD79" s="296"/>
      <c r="AE79" s="294">
        <f>+INPUT!S192</f>
        <v>0</v>
      </c>
      <c r="AF79" s="296"/>
      <c r="AG79" s="294">
        <f>+INPUT!T192</f>
        <v>0</v>
      </c>
      <c r="AH79" s="296"/>
      <c r="AI79" s="296" t="str">
        <f t="shared" si="49"/>
        <v xml:space="preserve">               Assigned</v>
      </c>
      <c r="AJ79" s="294">
        <f>+INPUT!U192</f>
        <v>0</v>
      </c>
      <c r="AK79" s="296"/>
      <c r="AL79" s="294">
        <f>+INPUT!V192</f>
        <v>0</v>
      </c>
      <c r="AM79" s="296"/>
      <c r="AN79" s="294">
        <f>+INPUT!W192</f>
        <v>0</v>
      </c>
      <c r="AO79" s="296"/>
      <c r="AP79" s="294">
        <f>+INPUT!Y192</f>
        <v>35779</v>
      </c>
      <c r="AQ79" s="308"/>
      <c r="AR79" s="294">
        <f>+INPUT!Z192</f>
        <v>0</v>
      </c>
      <c r="AS79" s="296"/>
      <c r="AT79" s="296" t="str">
        <f t="shared" si="50"/>
        <v xml:space="preserve">               Assigned</v>
      </c>
      <c r="AU79" s="294">
        <f>+INPUT!AA192</f>
        <v>0</v>
      </c>
      <c r="AV79" s="308"/>
      <c r="AW79" s="294">
        <f>+INPUT!AB192</f>
        <v>0</v>
      </c>
      <c r="AX79" s="308"/>
      <c r="AY79" s="294">
        <f>INPUT!AC192</f>
        <v>0</v>
      </c>
      <c r="AZ79" s="308"/>
      <c r="BA79" s="294">
        <f>INPUT!AD192</f>
        <v>28133</v>
      </c>
      <c r="BC79" s="294">
        <f>+INPUT!AE192</f>
        <v>0</v>
      </c>
      <c r="BF79" s="296"/>
      <c r="BG79" s="296" t="str">
        <f t="shared" si="51"/>
        <v xml:space="preserve">               Assigned</v>
      </c>
      <c r="BH79" s="294">
        <f>+INPUT!AF192</f>
        <v>0</v>
      </c>
      <c r="BI79" s="296"/>
      <c r="BJ79" s="294">
        <f>+INPUT!AG192</f>
        <v>0</v>
      </c>
      <c r="BL79" s="294">
        <f>+INPUT!AH192</f>
        <v>0</v>
      </c>
      <c r="BN79" s="294">
        <f>+INPUT!AI192</f>
        <v>0</v>
      </c>
      <c r="BO79" s="296"/>
      <c r="BP79" s="294">
        <f>+INPUT!AJ192</f>
        <v>0</v>
      </c>
      <c r="BQ79" s="296"/>
      <c r="BS79" s="296"/>
      <c r="BT79" s="296" t="str">
        <f t="shared" si="52"/>
        <v xml:space="preserve">               Assigned</v>
      </c>
      <c r="BU79" s="294">
        <f>+INPUT!AK192</f>
        <v>0</v>
      </c>
      <c r="BV79" s="296"/>
      <c r="BW79" s="294">
        <f>+INPUT!AL192</f>
        <v>0</v>
      </c>
      <c r="BX79" s="296"/>
      <c r="BY79" s="294">
        <f>+INPUT!AM192</f>
        <v>0</v>
      </c>
      <c r="BZ79" s="296"/>
      <c r="CA79" s="294">
        <f>+INPUT!AN192</f>
        <v>0</v>
      </c>
      <c r="CB79" s="296"/>
      <c r="CC79" s="294">
        <f>+INPUT!AO192</f>
        <v>0</v>
      </c>
      <c r="CD79" s="296"/>
      <c r="CF79" s="296"/>
      <c r="CG79" s="296" t="str">
        <f t="shared" si="53"/>
        <v xml:space="preserve">               Assigned</v>
      </c>
      <c r="CH79" s="294">
        <f>+INPUT!AP192</f>
        <v>0</v>
      </c>
      <c r="CI79" s="296"/>
      <c r="CJ79" s="294">
        <f>+INPUT!AQ192</f>
        <v>0</v>
      </c>
      <c r="CK79" s="296"/>
      <c r="CL79" s="294">
        <f>+INPUT!AR192</f>
        <v>0</v>
      </c>
      <c r="CM79" s="308"/>
      <c r="CN79" s="294">
        <f>+INPUT!AS192</f>
        <v>0</v>
      </c>
      <c r="CO79" s="308"/>
      <c r="CP79" s="294">
        <f>+INPUT!AT192</f>
        <v>0</v>
      </c>
      <c r="CQ79" s="308"/>
      <c r="CS79" s="296"/>
      <c r="CT79" s="296" t="str">
        <f t="shared" si="54"/>
        <v xml:space="preserve">               Assigned</v>
      </c>
      <c r="CU79" s="294">
        <f>+INPUT!AU192</f>
        <v>0</v>
      </c>
      <c r="CV79" s="294"/>
      <c r="CW79" s="294">
        <f>+INPUT!AV192</f>
        <v>0</v>
      </c>
      <c r="CX79" s="296"/>
      <c r="CY79" s="294">
        <f>+INPUT!AX192</f>
        <v>0</v>
      </c>
      <c r="CZ79" s="308"/>
      <c r="DA79" s="294">
        <f>+INPUT!AY192</f>
        <v>0</v>
      </c>
      <c r="DB79" s="308"/>
      <c r="DC79" s="294">
        <f>+INPUT!AZ192</f>
        <v>0</v>
      </c>
      <c r="DF79" s="308"/>
      <c r="DH79" s="296"/>
      <c r="DJ79" s="296"/>
      <c r="DK79" s="296" t="str">
        <f t="shared" si="55"/>
        <v xml:space="preserve">               Assigned</v>
      </c>
      <c r="DL79" s="294">
        <f>+INPUT!BA192</f>
        <v>0</v>
      </c>
      <c r="DN79" s="294"/>
      <c r="DP79" s="294">
        <f>+INPUT!BD192</f>
        <v>0</v>
      </c>
      <c r="DR79" s="308"/>
      <c r="DV79" s="308"/>
      <c r="DW79" s="287"/>
      <c r="DX79" s="287"/>
      <c r="DY79" s="294"/>
      <c r="DZ79" s="294">
        <f>SUM(C79:DY79)</f>
        <v>63912</v>
      </c>
    </row>
    <row r="80" spans="1:130" ht="15.75" customHeight="1">
      <c r="A80" s="276"/>
      <c r="B80" s="296" t="str">
        <f>INPUT!B193</f>
        <v xml:space="preserve">               Unassigned</v>
      </c>
      <c r="C80" s="294">
        <f>INPUT!E193</f>
        <v>-102054</v>
      </c>
      <c r="D80" s="296"/>
      <c r="E80" s="294">
        <f>INPUT!F193</f>
        <v>0</v>
      </c>
      <c r="F80" s="296"/>
      <c r="G80" s="294">
        <f>INPUT!G193</f>
        <v>0</v>
      </c>
      <c r="H80" s="296"/>
      <c r="I80" s="294">
        <f>INPUT!H193</f>
        <v>0</v>
      </c>
      <c r="J80" s="296"/>
      <c r="K80" s="294">
        <f>+INPUT!I193</f>
        <v>0</v>
      </c>
      <c r="L80" s="296"/>
      <c r="M80" s="296" t="str">
        <f t="shared" si="47"/>
        <v xml:space="preserve">               Unassigned</v>
      </c>
      <c r="N80" s="294">
        <f>INPUT!J193</f>
        <v>0</v>
      </c>
      <c r="O80" s="296"/>
      <c r="P80" s="294">
        <f>INPUT!K193</f>
        <v>0</v>
      </c>
      <c r="Q80" s="294"/>
      <c r="R80" s="294">
        <f>INPUT!L193</f>
        <v>0</v>
      </c>
      <c r="S80" s="294"/>
      <c r="T80" s="294">
        <f>INPUT!M193</f>
        <v>0</v>
      </c>
      <c r="U80" s="296"/>
      <c r="V80" s="294">
        <f>INPUT!N193</f>
        <v>0</v>
      </c>
      <c r="W80" s="296"/>
      <c r="X80" s="296" t="str">
        <f t="shared" si="48"/>
        <v xml:space="preserve">               Unassigned</v>
      </c>
      <c r="Y80" s="294">
        <f>INPUT!O193</f>
        <v>0</v>
      </c>
      <c r="Z80" s="296"/>
      <c r="AA80" s="294">
        <f>+INPUT!Q193</f>
        <v>0</v>
      </c>
      <c r="AB80" s="296"/>
      <c r="AC80" s="294">
        <f>INPUT!R193</f>
        <v>0</v>
      </c>
      <c r="AD80" s="296"/>
      <c r="AE80" s="294">
        <f>+INPUT!S193</f>
        <v>0</v>
      </c>
      <c r="AF80" s="296"/>
      <c r="AG80" s="294">
        <f>+INPUT!T193</f>
        <v>0</v>
      </c>
      <c r="AH80" s="296"/>
      <c r="AI80" s="296" t="str">
        <f t="shared" si="49"/>
        <v xml:space="preserve">               Unassigned</v>
      </c>
      <c r="AJ80" s="294">
        <f>+INPUT!U193</f>
        <v>0</v>
      </c>
      <c r="AK80" s="296"/>
      <c r="AL80" s="294">
        <f>+INPUT!V193</f>
        <v>0</v>
      </c>
      <c r="AM80" s="296"/>
      <c r="AN80" s="294">
        <f>+INPUT!W193</f>
        <v>0</v>
      </c>
      <c r="AO80" s="296"/>
      <c r="AP80" s="294">
        <f>+INPUT!Y193</f>
        <v>0</v>
      </c>
      <c r="AQ80" s="308"/>
      <c r="AR80" s="294">
        <f>+INPUT!Z193</f>
        <v>0</v>
      </c>
      <c r="AS80" s="296"/>
      <c r="AT80" s="296" t="str">
        <f t="shared" si="50"/>
        <v xml:space="preserve">               Unassigned</v>
      </c>
      <c r="AU80" s="294">
        <f>+INPUT!AA193</f>
        <v>0</v>
      </c>
      <c r="AV80" s="308"/>
      <c r="AW80" s="294">
        <f>+INPUT!AB193</f>
        <v>0</v>
      </c>
      <c r="AX80" s="308"/>
      <c r="AY80" s="294">
        <f>INPUT!AC193</f>
        <v>0</v>
      </c>
      <c r="AZ80" s="308"/>
      <c r="BA80" s="294">
        <f>INPUT!AD193</f>
        <v>0</v>
      </c>
      <c r="BC80" s="294">
        <f>+INPUT!AE193</f>
        <v>0</v>
      </c>
      <c r="BF80" s="296"/>
      <c r="BG80" s="296" t="str">
        <f t="shared" si="51"/>
        <v xml:space="preserve">               Unassigned</v>
      </c>
      <c r="BH80" s="294">
        <f>+INPUT!AF193</f>
        <v>0</v>
      </c>
      <c r="BI80" s="296"/>
      <c r="BJ80" s="294">
        <f>+INPUT!AG193</f>
        <v>0</v>
      </c>
      <c r="BL80" s="294">
        <f>+INPUT!AH193</f>
        <v>0</v>
      </c>
      <c r="BN80" s="294">
        <f>+INPUT!AI193</f>
        <v>0</v>
      </c>
      <c r="BO80" s="296"/>
      <c r="BP80" s="294">
        <f>+INPUT!AJ193</f>
        <v>0</v>
      </c>
      <c r="BQ80" s="296"/>
      <c r="BS80" s="296"/>
      <c r="BT80" s="296" t="str">
        <f t="shared" si="52"/>
        <v xml:space="preserve">               Unassigned</v>
      </c>
      <c r="BU80" s="294">
        <f>+INPUT!AK193</f>
        <v>0</v>
      </c>
      <c r="BV80" s="296"/>
      <c r="BW80" s="294">
        <f>+INPUT!AL193</f>
        <v>0</v>
      </c>
      <c r="BX80" s="296"/>
      <c r="BY80" s="294">
        <f>+INPUT!AM193</f>
        <v>0</v>
      </c>
      <c r="BZ80" s="296"/>
      <c r="CA80" s="294">
        <f>+INPUT!AN193</f>
        <v>0</v>
      </c>
      <c r="CB80" s="296"/>
      <c r="CC80" s="294">
        <f>+INPUT!AO193</f>
        <v>0</v>
      </c>
      <c r="CD80" s="296"/>
      <c r="CF80" s="296"/>
      <c r="CG80" s="296" t="str">
        <f t="shared" si="53"/>
        <v xml:space="preserve">               Unassigned</v>
      </c>
      <c r="CH80" s="294">
        <f>+INPUT!AP193</f>
        <v>0</v>
      </c>
      <c r="CI80" s="296"/>
      <c r="CJ80" s="294">
        <f>+INPUT!AQ193</f>
        <v>0</v>
      </c>
      <c r="CK80" s="296"/>
      <c r="CL80" s="294">
        <f>+INPUT!AR193</f>
        <v>0</v>
      </c>
      <c r="CM80" s="308"/>
      <c r="CN80" s="294">
        <f>+INPUT!AS193</f>
        <v>0</v>
      </c>
      <c r="CO80" s="308"/>
      <c r="CP80" s="294">
        <f>+INPUT!AT193</f>
        <v>0</v>
      </c>
      <c r="CQ80" s="308"/>
      <c r="CS80" s="296"/>
      <c r="CT80" s="296" t="str">
        <f t="shared" si="54"/>
        <v xml:space="preserve">               Unassigned</v>
      </c>
      <c r="CU80" s="294">
        <f>+INPUT!AU193</f>
        <v>-1287</v>
      </c>
      <c r="CV80" s="294"/>
      <c r="CW80" s="294">
        <f>+INPUT!AV193</f>
        <v>-22045</v>
      </c>
      <c r="CX80" s="296"/>
      <c r="CY80" s="294">
        <f>+INPUT!AX193</f>
        <v>-11972</v>
      </c>
      <c r="CZ80" s="308"/>
      <c r="DA80" s="294">
        <f>+INPUT!AY193</f>
        <v>0</v>
      </c>
      <c r="DB80" s="308"/>
      <c r="DC80" s="294">
        <f>+INPUT!AZ193</f>
        <v>0</v>
      </c>
      <c r="DF80" s="308"/>
      <c r="DH80" s="296"/>
      <c r="DJ80" s="296"/>
      <c r="DK80" s="296" t="str">
        <f t="shared" si="55"/>
        <v xml:space="preserve">               Unassigned</v>
      </c>
      <c r="DL80" s="294">
        <f>+INPUT!BA193</f>
        <v>-8728</v>
      </c>
      <c r="DN80" s="294"/>
      <c r="DP80" s="294">
        <f>+INPUT!BD193</f>
        <v>0</v>
      </c>
      <c r="DR80" s="308"/>
      <c r="DV80" s="308"/>
      <c r="DW80" s="287"/>
      <c r="DX80" s="287"/>
      <c r="DY80" s="294"/>
      <c r="DZ80" s="294">
        <f>SUM(C80:DY80)</f>
        <v>-146086</v>
      </c>
    </row>
    <row r="81" spans="1:133" ht="15.75" hidden="1" customHeight="1">
      <c r="A81" s="276" t="s">
        <v>299</v>
      </c>
      <c r="B81" s="296"/>
      <c r="C81" s="294"/>
      <c r="D81" s="296"/>
      <c r="E81" s="294"/>
      <c r="F81" s="296"/>
      <c r="G81" s="294"/>
      <c r="H81" s="296"/>
      <c r="I81" s="294"/>
      <c r="J81" s="296"/>
      <c r="K81" s="294"/>
      <c r="L81" s="296"/>
      <c r="M81" s="296"/>
      <c r="N81" s="294"/>
      <c r="O81" s="296"/>
      <c r="P81" s="294"/>
      <c r="Q81" s="294"/>
      <c r="R81" s="294"/>
      <c r="S81" s="294"/>
      <c r="T81" s="294"/>
      <c r="U81" s="296"/>
      <c r="V81" s="294"/>
      <c r="W81" s="296"/>
      <c r="X81" s="296"/>
      <c r="Y81" s="294"/>
      <c r="Z81" s="296"/>
      <c r="AA81" s="294"/>
      <c r="AB81" s="296"/>
      <c r="AC81" s="294"/>
      <c r="AD81" s="296"/>
      <c r="AE81" s="294"/>
      <c r="AF81" s="294"/>
      <c r="AG81" s="294"/>
      <c r="AH81" s="296"/>
      <c r="AI81" s="296"/>
      <c r="AJ81" s="294"/>
      <c r="AK81" s="296"/>
      <c r="AL81" s="294"/>
      <c r="AM81" s="296"/>
      <c r="AN81" s="294"/>
      <c r="AO81" s="296"/>
      <c r="AP81" s="294"/>
      <c r="AQ81" s="294"/>
      <c r="AR81" s="294"/>
      <c r="AS81" s="296"/>
      <c r="AT81" s="296"/>
      <c r="AU81" s="294"/>
      <c r="AV81" s="296"/>
      <c r="AW81" s="294"/>
      <c r="AX81" s="296"/>
      <c r="AY81" s="294"/>
      <c r="AZ81" s="296"/>
      <c r="BA81" s="294"/>
      <c r="BB81" s="294"/>
      <c r="BC81" s="294"/>
      <c r="BD81" s="294"/>
      <c r="BF81" s="296"/>
      <c r="BG81" s="296"/>
      <c r="BH81" s="294"/>
      <c r="BI81" s="296"/>
      <c r="BJ81" s="294"/>
      <c r="BK81" s="296"/>
      <c r="BL81" s="294"/>
      <c r="BM81" s="296"/>
      <c r="BN81" s="294"/>
      <c r="BO81" s="294"/>
      <c r="BP81" s="294"/>
      <c r="BQ81" s="294"/>
      <c r="BS81" s="296"/>
      <c r="BT81" s="296"/>
      <c r="BU81" s="294"/>
      <c r="BV81" s="296"/>
      <c r="BW81" s="294"/>
      <c r="BX81" s="296"/>
      <c r="BY81" s="294"/>
      <c r="BZ81" s="296"/>
      <c r="CA81" s="294"/>
      <c r="CB81" s="296"/>
      <c r="CC81" s="294"/>
      <c r="CD81" s="296"/>
      <c r="CF81" s="296"/>
      <c r="CG81" s="296"/>
      <c r="CH81" s="294"/>
      <c r="CI81" s="296"/>
      <c r="CJ81" s="294"/>
      <c r="CK81" s="296"/>
      <c r="CL81" s="294"/>
      <c r="CM81" s="294"/>
      <c r="CN81" s="294"/>
      <c r="CO81" s="296"/>
      <c r="CP81" s="294"/>
      <c r="CQ81" s="296"/>
      <c r="CS81" s="296"/>
      <c r="CT81" s="296"/>
      <c r="CU81" s="294"/>
      <c r="CV81" s="294"/>
      <c r="CW81" s="294"/>
      <c r="CX81" s="296"/>
      <c r="CY81" s="294"/>
      <c r="CZ81" s="296"/>
      <c r="DA81" s="294"/>
      <c r="DB81" s="296"/>
      <c r="DC81" s="294"/>
      <c r="DF81" s="296"/>
      <c r="DH81" s="296"/>
      <c r="DJ81" s="296"/>
      <c r="DK81" s="296"/>
      <c r="DL81" s="296"/>
      <c r="DN81" s="296"/>
      <c r="DP81" s="296"/>
      <c r="DR81" s="308"/>
      <c r="DV81" s="308"/>
      <c r="DW81" s="294"/>
      <c r="DX81" s="296"/>
      <c r="DY81" s="294"/>
      <c r="DZ81" s="296"/>
    </row>
    <row r="82" spans="1:133" ht="15.75" hidden="1" customHeight="1">
      <c r="A82" s="276"/>
      <c r="B82" s="296"/>
      <c r="C82" s="294"/>
      <c r="D82" s="296"/>
      <c r="E82" s="294"/>
      <c r="F82" s="296"/>
      <c r="G82" s="294"/>
      <c r="H82" s="296"/>
      <c r="I82" s="294"/>
      <c r="J82" s="296"/>
      <c r="K82" s="294"/>
      <c r="L82" s="296"/>
      <c r="M82" s="296"/>
      <c r="N82" s="294"/>
      <c r="O82" s="296"/>
      <c r="P82" s="294"/>
      <c r="Q82" s="294"/>
      <c r="R82" s="294"/>
      <c r="S82" s="294"/>
      <c r="T82" s="294"/>
      <c r="U82" s="296"/>
      <c r="V82" s="294"/>
      <c r="W82" s="296"/>
      <c r="X82" s="296"/>
      <c r="Y82" s="294"/>
      <c r="Z82" s="296"/>
      <c r="AA82" s="294"/>
      <c r="AB82" s="296"/>
      <c r="AC82" s="294"/>
      <c r="AD82" s="296"/>
      <c r="AE82" s="294"/>
      <c r="AF82" s="294"/>
      <c r="AG82" s="294"/>
      <c r="AH82" s="296"/>
      <c r="AI82" s="296"/>
      <c r="AJ82" s="294"/>
      <c r="AK82" s="296"/>
      <c r="AL82" s="294"/>
      <c r="AM82" s="296"/>
      <c r="AN82" s="294"/>
      <c r="AO82" s="296"/>
      <c r="AP82" s="294"/>
      <c r="AQ82" s="294"/>
      <c r="AR82" s="294"/>
      <c r="AS82" s="296"/>
      <c r="AT82" s="296"/>
      <c r="AU82" s="294"/>
      <c r="AV82" s="296"/>
      <c r="AW82" s="294"/>
      <c r="AX82" s="296"/>
      <c r="AY82" s="294"/>
      <c r="AZ82" s="296"/>
      <c r="BA82" s="294"/>
      <c r="BB82" s="294"/>
      <c r="BC82" s="294"/>
      <c r="BD82" s="294"/>
      <c r="BF82" s="296"/>
      <c r="BG82" s="296"/>
      <c r="BH82" s="294"/>
      <c r="BI82" s="296"/>
      <c r="BJ82" s="294"/>
      <c r="BK82" s="296"/>
      <c r="BL82" s="294"/>
      <c r="BM82" s="296"/>
      <c r="BN82" s="294"/>
      <c r="BO82" s="294"/>
      <c r="BP82" s="294"/>
      <c r="BQ82" s="294"/>
      <c r="BS82" s="296"/>
      <c r="BT82" s="296"/>
      <c r="BU82" s="294"/>
      <c r="BV82" s="296"/>
      <c r="BW82" s="294"/>
      <c r="BX82" s="296"/>
      <c r="BY82" s="294"/>
      <c r="BZ82" s="296"/>
      <c r="CA82" s="294"/>
      <c r="CB82" s="296"/>
      <c r="CC82" s="294"/>
      <c r="CD82" s="296"/>
      <c r="CF82" s="296"/>
      <c r="CG82" s="296"/>
      <c r="CH82" s="294"/>
      <c r="CI82" s="296"/>
      <c r="CJ82" s="294"/>
      <c r="CK82" s="296"/>
      <c r="CL82" s="294"/>
      <c r="CM82" s="294"/>
      <c r="CN82" s="294"/>
      <c r="CO82" s="296"/>
      <c r="CP82" s="294"/>
      <c r="CQ82" s="296"/>
      <c r="CS82" s="296"/>
      <c r="CT82" s="296"/>
      <c r="CU82" s="294"/>
      <c r="CV82" s="294"/>
      <c r="CW82" s="294"/>
      <c r="CX82" s="296"/>
      <c r="CY82" s="294"/>
      <c r="CZ82" s="296"/>
      <c r="DA82" s="294"/>
      <c r="DB82" s="296"/>
      <c r="DC82" s="294"/>
      <c r="DF82" s="296"/>
      <c r="DH82" s="296"/>
      <c r="DJ82" s="296"/>
      <c r="DK82" s="296"/>
      <c r="DL82" s="296"/>
      <c r="DN82" s="296"/>
      <c r="DP82" s="296"/>
      <c r="DR82" s="308"/>
      <c r="DV82" s="308"/>
      <c r="DW82" s="294"/>
      <c r="DX82" s="296"/>
      <c r="DY82" s="294"/>
      <c r="DZ82" s="296"/>
    </row>
    <row r="83" spans="1:133" ht="15.75" hidden="1" customHeight="1">
      <c r="A83" s="276"/>
      <c r="B83" s="296"/>
      <c r="C83" s="294"/>
      <c r="D83" s="296"/>
      <c r="E83" s="294"/>
      <c r="F83" s="296"/>
      <c r="G83" s="294"/>
      <c r="H83" s="296"/>
      <c r="I83" s="294"/>
      <c r="J83" s="296"/>
      <c r="K83" s="294"/>
      <c r="L83" s="296"/>
      <c r="M83" s="296"/>
      <c r="N83" s="294"/>
      <c r="O83" s="296"/>
      <c r="P83" s="294"/>
      <c r="Q83" s="294"/>
      <c r="R83" s="294"/>
      <c r="S83" s="294"/>
      <c r="T83" s="294"/>
      <c r="U83" s="296"/>
      <c r="V83" s="294"/>
      <c r="W83" s="296"/>
      <c r="X83" s="296"/>
      <c r="Y83" s="294"/>
      <c r="Z83" s="296"/>
      <c r="AA83" s="294"/>
      <c r="AB83" s="296"/>
      <c r="AC83" s="294"/>
      <c r="AD83" s="296"/>
      <c r="AE83" s="294"/>
      <c r="AF83" s="294"/>
      <c r="AG83" s="294"/>
      <c r="AH83" s="296"/>
      <c r="AI83" s="296"/>
      <c r="AJ83" s="294"/>
      <c r="AK83" s="296"/>
      <c r="AL83" s="294"/>
      <c r="AM83" s="296"/>
      <c r="AN83" s="294"/>
      <c r="AO83" s="296"/>
      <c r="AP83" s="294"/>
      <c r="AQ83" s="294"/>
      <c r="AR83" s="294"/>
      <c r="AS83" s="296"/>
      <c r="AT83" s="296"/>
      <c r="AU83" s="294"/>
      <c r="AV83" s="296"/>
      <c r="AW83" s="294"/>
      <c r="AX83" s="296"/>
      <c r="AY83" s="294"/>
      <c r="AZ83" s="296"/>
      <c r="BA83" s="294"/>
      <c r="BB83" s="294"/>
      <c r="BC83" s="294"/>
      <c r="BD83" s="294"/>
      <c r="BF83" s="296"/>
      <c r="BG83" s="296"/>
      <c r="BH83" s="294"/>
      <c r="BI83" s="296"/>
      <c r="BJ83" s="294"/>
      <c r="BK83" s="296"/>
      <c r="BL83" s="294"/>
      <c r="BM83" s="296"/>
      <c r="BN83" s="294"/>
      <c r="BO83" s="294"/>
      <c r="BP83" s="294"/>
      <c r="BQ83" s="294"/>
      <c r="BS83" s="296"/>
      <c r="BT83" s="296"/>
      <c r="BU83" s="294"/>
      <c r="BV83" s="296"/>
      <c r="BW83" s="294"/>
      <c r="BX83" s="296"/>
      <c r="BY83" s="294"/>
      <c r="BZ83" s="296"/>
      <c r="CA83" s="294"/>
      <c r="CB83" s="296"/>
      <c r="CC83" s="294"/>
      <c r="CD83" s="296"/>
      <c r="CF83" s="296"/>
      <c r="CG83" s="296"/>
      <c r="CH83" s="294"/>
      <c r="CI83" s="296"/>
      <c r="CJ83" s="294"/>
      <c r="CK83" s="296"/>
      <c r="CL83" s="294"/>
      <c r="CM83" s="294"/>
      <c r="CN83" s="294"/>
      <c r="CO83" s="296"/>
      <c r="CP83" s="294"/>
      <c r="CQ83" s="296"/>
      <c r="CS83" s="296"/>
      <c r="CT83" s="296"/>
      <c r="CU83" s="294"/>
      <c r="CV83" s="294"/>
      <c r="CW83" s="294"/>
      <c r="CX83" s="296"/>
      <c r="CY83" s="294"/>
      <c r="CZ83" s="296"/>
      <c r="DA83" s="294"/>
      <c r="DB83" s="296"/>
      <c r="DC83" s="294"/>
      <c r="DF83" s="296"/>
      <c r="DH83" s="296"/>
      <c r="DJ83" s="296"/>
      <c r="DK83" s="296"/>
      <c r="DL83" s="296"/>
      <c r="DN83" s="296"/>
      <c r="DP83" s="296"/>
      <c r="DR83" s="308"/>
      <c r="DV83" s="308"/>
      <c r="DW83" s="294"/>
      <c r="DX83" s="296"/>
      <c r="DY83" s="294"/>
      <c r="DZ83" s="296"/>
    </row>
    <row r="84" spans="1:133" ht="15.75">
      <c r="A84" s="276"/>
      <c r="B84" s="296"/>
      <c r="C84" s="337"/>
      <c r="D84" s="296"/>
      <c r="E84" s="337"/>
      <c r="F84" s="296"/>
      <c r="G84" s="337"/>
      <c r="H84" s="296"/>
      <c r="I84" s="337"/>
      <c r="J84" s="296"/>
      <c r="K84" s="337"/>
      <c r="L84" s="296"/>
      <c r="M84" s="296"/>
      <c r="N84" s="337"/>
      <c r="O84" s="296"/>
      <c r="P84" s="337"/>
      <c r="Q84" s="294"/>
      <c r="R84" s="337"/>
      <c r="S84" s="294"/>
      <c r="T84" s="337"/>
      <c r="U84" s="296"/>
      <c r="V84" s="337"/>
      <c r="W84" s="296"/>
      <c r="X84" s="296"/>
      <c r="Y84" s="337"/>
      <c r="Z84" s="296"/>
      <c r="AA84" s="337"/>
      <c r="AB84" s="296"/>
      <c r="AC84" s="337"/>
      <c r="AD84" s="296"/>
      <c r="AE84" s="337"/>
      <c r="AF84" s="296"/>
      <c r="AG84" s="337"/>
      <c r="AH84" s="296"/>
      <c r="AI84" s="296"/>
      <c r="AJ84" s="337"/>
      <c r="AK84" s="296"/>
      <c r="AL84" s="337"/>
      <c r="AM84" s="296"/>
      <c r="AN84" s="337"/>
      <c r="AO84" s="296"/>
      <c r="AP84" s="337"/>
      <c r="AQ84" s="308"/>
      <c r="AR84" s="337"/>
      <c r="AS84" s="296"/>
      <c r="AT84" s="296"/>
      <c r="AU84" s="337"/>
      <c r="AV84" s="308"/>
      <c r="AW84" s="337"/>
      <c r="AX84" s="308"/>
      <c r="AY84" s="337"/>
      <c r="AZ84" s="308"/>
      <c r="BA84" s="337"/>
      <c r="BC84" s="337"/>
      <c r="BF84" s="296"/>
      <c r="BG84" s="296"/>
      <c r="BH84" s="337"/>
      <c r="BI84" s="296"/>
      <c r="BJ84" s="337"/>
      <c r="BL84" s="337"/>
      <c r="BN84" s="337"/>
      <c r="BO84" s="296"/>
      <c r="BP84" s="337"/>
      <c r="BQ84" s="296"/>
      <c r="BS84" s="296"/>
      <c r="BT84" s="296"/>
      <c r="BU84" s="337"/>
      <c r="BV84" s="296"/>
      <c r="BW84" s="337"/>
      <c r="BX84" s="296"/>
      <c r="BY84" s="337"/>
      <c r="BZ84" s="296"/>
      <c r="CA84" s="337"/>
      <c r="CB84" s="296"/>
      <c r="CC84" s="337"/>
      <c r="CD84" s="296"/>
      <c r="CF84" s="296"/>
      <c r="CG84" s="296"/>
      <c r="CH84" s="337"/>
      <c r="CI84" s="296"/>
      <c r="CJ84" s="337"/>
      <c r="CK84" s="296"/>
      <c r="CL84" s="337"/>
      <c r="CM84" s="308"/>
      <c r="CN84" s="337"/>
      <c r="CO84" s="308"/>
      <c r="CP84" s="337"/>
      <c r="CQ84" s="308"/>
      <c r="CS84" s="296"/>
      <c r="CT84" s="296"/>
      <c r="CU84" s="337"/>
      <c r="CV84" s="294"/>
      <c r="CW84" s="337"/>
      <c r="CX84" s="296"/>
      <c r="CY84" s="337"/>
      <c r="CZ84" s="308"/>
      <c r="DA84" s="337"/>
      <c r="DB84" s="308"/>
      <c r="DC84" s="337"/>
      <c r="DF84" s="308"/>
      <c r="DH84" s="296"/>
      <c r="DJ84" s="296"/>
      <c r="DK84" s="296"/>
      <c r="DL84" s="337"/>
      <c r="DN84" s="337"/>
      <c r="DP84" s="337"/>
      <c r="DR84" s="308"/>
      <c r="DV84" s="308"/>
      <c r="DW84" s="287"/>
      <c r="DX84" s="287"/>
      <c r="DY84" s="294"/>
      <c r="DZ84" s="337"/>
    </row>
    <row r="85" spans="1:133" ht="15.75">
      <c r="A85" s="276"/>
      <c r="B85" s="314" t="str">
        <f>INPUT!B207</f>
        <v xml:space="preserve">          Total fund balance</v>
      </c>
      <c r="C85" s="301">
        <f>SUM(C73:C84)</f>
        <v>-102054</v>
      </c>
      <c r="D85" s="296"/>
      <c r="E85" s="301">
        <f>SUM(E73:E84)</f>
        <v>3692</v>
      </c>
      <c r="F85" s="296"/>
      <c r="G85" s="301">
        <f>SUM(G73:G84)</f>
        <v>73809</v>
      </c>
      <c r="H85" s="296"/>
      <c r="I85" s="301">
        <f>SUM(I73:I84)</f>
        <v>357347</v>
      </c>
      <c r="J85" s="296"/>
      <c r="K85" s="301">
        <f>SUM(K73:K84)</f>
        <v>4500</v>
      </c>
      <c r="L85" s="296"/>
      <c r="M85" s="314" t="str">
        <f>B85</f>
        <v xml:space="preserve">          Total fund balance</v>
      </c>
      <c r="N85" s="301">
        <f>SUM(N73:N84)</f>
        <v>2097057</v>
      </c>
      <c r="O85" s="296"/>
      <c r="P85" s="301">
        <f>SUM(P73:P84)</f>
        <v>1303</v>
      </c>
      <c r="Q85" s="300"/>
      <c r="R85" s="301">
        <f>SUM(R73:R84)</f>
        <v>21640</v>
      </c>
      <c r="S85" s="300"/>
      <c r="T85" s="301">
        <f>SUM(T73:T84)</f>
        <v>660329</v>
      </c>
      <c r="U85" s="296"/>
      <c r="V85" s="301">
        <f>SUM(V73:V84)</f>
        <v>84305</v>
      </c>
      <c r="W85" s="296"/>
      <c r="X85" s="314" t="str">
        <f>B85</f>
        <v xml:space="preserve">          Total fund balance</v>
      </c>
      <c r="Y85" s="301">
        <f>SUM(Y73:Y84)</f>
        <v>60405</v>
      </c>
      <c r="Z85" s="296"/>
      <c r="AA85" s="301">
        <f>SUM(AA73:AA84)</f>
        <v>185629</v>
      </c>
      <c r="AB85" s="296"/>
      <c r="AC85" s="301">
        <f>SUM(AC73:AC84)</f>
        <v>380215</v>
      </c>
      <c r="AD85" s="296"/>
      <c r="AE85" s="301">
        <f>SUM(AE73:AE84)</f>
        <v>1022934</v>
      </c>
      <c r="AF85" s="296"/>
      <c r="AG85" s="301">
        <f>SUM(AG73:AG84)</f>
        <v>308</v>
      </c>
      <c r="AH85" s="296"/>
      <c r="AI85" s="314" t="str">
        <f>B85</f>
        <v xml:space="preserve">          Total fund balance</v>
      </c>
      <c r="AJ85" s="301">
        <f>SUM(AJ73:AJ84)</f>
        <v>653461</v>
      </c>
      <c r="AK85" s="296"/>
      <c r="AL85" s="301">
        <f>SUM(AL73:AL84)</f>
        <v>2517</v>
      </c>
      <c r="AM85" s="296"/>
      <c r="AN85" s="301">
        <f>SUM(AN73:AN84)</f>
        <v>255076</v>
      </c>
      <c r="AO85" s="296"/>
      <c r="AP85" s="301">
        <f>SUM(AP73:AP84)</f>
        <v>35779</v>
      </c>
      <c r="AQ85" s="308"/>
      <c r="AR85" s="301">
        <f>SUM(AR73:AR84)</f>
        <v>107003</v>
      </c>
      <c r="AS85" s="296"/>
      <c r="AT85" s="314" t="str">
        <f>B85</f>
        <v xml:space="preserve">          Total fund balance</v>
      </c>
      <c r="AU85" s="301">
        <f>SUM(AU73:AU84)</f>
        <v>100039</v>
      </c>
      <c r="AV85" s="308"/>
      <c r="AW85" s="301">
        <f>SUM(AW73:AW84)</f>
        <v>1631376</v>
      </c>
      <c r="AX85" s="308"/>
      <c r="AY85" s="301">
        <f>SUM(AY73:AY84)</f>
        <v>238913</v>
      </c>
      <c r="AZ85" s="308"/>
      <c r="BA85" s="301">
        <f>SUM(BA73:BA84)</f>
        <v>28133</v>
      </c>
      <c r="BC85" s="301">
        <f>SUM(BC73:BC84)</f>
        <v>82435</v>
      </c>
      <c r="BF85" s="296"/>
      <c r="BG85" s="314" t="str">
        <f>+B85</f>
        <v xml:space="preserve">          Total fund balance</v>
      </c>
      <c r="BH85" s="301">
        <f>SUM(BH73:BH84)</f>
        <v>21202</v>
      </c>
      <c r="BI85" s="314"/>
      <c r="BJ85" s="301">
        <f>SUM(BJ73:BJ84)</f>
        <v>422641</v>
      </c>
      <c r="BL85" s="301">
        <f>SUM(BL73:BL84)</f>
        <v>253738</v>
      </c>
      <c r="BN85" s="301">
        <f>SUM(BN73:BN84)</f>
        <v>21826</v>
      </c>
      <c r="BO85" s="296"/>
      <c r="BP85" s="301">
        <f>SUM(BP73:BP84)</f>
        <v>62464</v>
      </c>
      <c r="BQ85" s="296"/>
      <c r="BS85" s="296"/>
      <c r="BT85" s="314" t="str">
        <f>B85</f>
        <v xml:space="preserve">          Total fund balance</v>
      </c>
      <c r="BU85" s="301">
        <f>SUM(BU73:BU84)</f>
        <v>5768</v>
      </c>
      <c r="BV85" s="314"/>
      <c r="BW85" s="301">
        <f>SUM(BW73:BW84)</f>
        <v>35534</v>
      </c>
      <c r="BX85" s="296"/>
      <c r="BY85" s="301">
        <f>SUM(BY73:BY84)</f>
        <v>39899</v>
      </c>
      <c r="BZ85" s="296"/>
      <c r="CA85" s="301">
        <f>SUM(CA73:CA84)</f>
        <v>168446</v>
      </c>
      <c r="CB85" s="296"/>
      <c r="CC85" s="301">
        <f>SUM(CC73:CC84)</f>
        <v>0</v>
      </c>
      <c r="CD85" s="296"/>
      <c r="CF85" s="296"/>
      <c r="CG85" s="314" t="str">
        <f>M85</f>
        <v xml:space="preserve">          Total fund balance</v>
      </c>
      <c r="CH85" s="301">
        <f>SUM(CH73:CH84)</f>
        <v>1675727</v>
      </c>
      <c r="CI85" s="314"/>
      <c r="CJ85" s="301">
        <f>SUM(CJ73:CJ84)</f>
        <v>872198</v>
      </c>
      <c r="CK85" s="296"/>
      <c r="CL85" s="301">
        <f>SUM(CL73:CL84)</f>
        <v>104504</v>
      </c>
      <c r="CM85" s="308"/>
      <c r="CN85" s="301">
        <f>SUM(CN73:CN84)</f>
        <v>96879</v>
      </c>
      <c r="CO85" s="308"/>
      <c r="CP85" s="301">
        <f>SUM(CP73:CP84)</f>
        <v>247580</v>
      </c>
      <c r="CQ85" s="308"/>
      <c r="CS85" s="296"/>
      <c r="CT85" s="314" t="str">
        <f>X85</f>
        <v xml:space="preserve">          Total fund balance</v>
      </c>
      <c r="CU85" s="301">
        <f>SUM(CU73:CU84)</f>
        <v>-1287</v>
      </c>
      <c r="CV85" s="300"/>
      <c r="CW85" s="301">
        <f>SUM(CW73:CW84)</f>
        <v>-22045</v>
      </c>
      <c r="CX85" s="314"/>
      <c r="CY85" s="301">
        <f>SUM(CY73:CY84)</f>
        <v>-11972</v>
      </c>
      <c r="CZ85" s="308"/>
      <c r="DA85" s="301">
        <f>SUM(DA73:DA84)</f>
        <v>0</v>
      </c>
      <c r="DB85" s="308"/>
      <c r="DC85" s="301">
        <f>SUM(DC73:DC84)</f>
        <v>17572</v>
      </c>
      <c r="DF85" s="308"/>
      <c r="DH85" s="296"/>
      <c r="DJ85" s="296"/>
      <c r="DK85" s="314" t="str">
        <f>AI85</f>
        <v xml:space="preserve">          Total fund balance</v>
      </c>
      <c r="DL85" s="301">
        <f>SUM(DL73:DL84)</f>
        <v>-8728</v>
      </c>
      <c r="DN85" s="301"/>
      <c r="DP85" s="301">
        <f>SUM(DP73:DP84)</f>
        <v>371646</v>
      </c>
      <c r="DR85" s="308"/>
      <c r="DV85" s="308"/>
      <c r="DW85" s="287"/>
      <c r="DX85" s="287"/>
      <c r="DY85" s="300"/>
      <c r="DZ85" s="301">
        <f>SUM(DZ73:DZ84)</f>
        <v>12359743</v>
      </c>
    </row>
    <row r="86" spans="1:133" ht="15.75">
      <c r="A86" s="276"/>
      <c r="B86" s="296"/>
      <c r="C86" s="294"/>
      <c r="D86" s="296"/>
      <c r="E86" s="294"/>
      <c r="F86" s="296"/>
      <c r="G86" s="294"/>
      <c r="H86" s="296"/>
      <c r="I86" s="294"/>
      <c r="J86" s="296"/>
      <c r="K86" s="294"/>
      <c r="L86" s="296"/>
      <c r="M86" s="296"/>
      <c r="N86" s="294"/>
      <c r="O86" s="296"/>
      <c r="P86" s="294"/>
      <c r="Q86" s="294"/>
      <c r="R86" s="294"/>
      <c r="S86" s="294"/>
      <c r="T86" s="294"/>
      <c r="U86" s="296"/>
      <c r="V86" s="294"/>
      <c r="W86" s="296"/>
      <c r="X86" s="296"/>
      <c r="Y86" s="294"/>
      <c r="Z86" s="296"/>
      <c r="AA86" s="294"/>
      <c r="AB86" s="296"/>
      <c r="AC86" s="294"/>
      <c r="AD86" s="296"/>
      <c r="AE86" s="294"/>
      <c r="AF86" s="296"/>
      <c r="AG86" s="294"/>
      <c r="AH86" s="296"/>
      <c r="AI86" s="296"/>
      <c r="AJ86" s="294"/>
      <c r="AK86" s="296"/>
      <c r="AL86" s="294"/>
      <c r="AM86" s="296"/>
      <c r="AN86" s="294"/>
      <c r="AO86" s="296"/>
      <c r="AP86" s="294"/>
      <c r="AQ86" s="308"/>
      <c r="AR86" s="294"/>
      <c r="AS86" s="296"/>
      <c r="AT86" s="296"/>
      <c r="AU86" s="294"/>
      <c r="AV86" s="308"/>
      <c r="AW86" s="294"/>
      <c r="AX86" s="308"/>
      <c r="AY86" s="294"/>
      <c r="AZ86" s="308"/>
      <c r="BA86" s="294"/>
      <c r="BC86" s="294"/>
      <c r="BF86" s="296"/>
      <c r="BG86" s="296"/>
      <c r="BH86" s="294"/>
      <c r="BI86" s="296"/>
      <c r="BJ86" s="294"/>
      <c r="BL86" s="294"/>
      <c r="BN86" s="294"/>
      <c r="BO86" s="296"/>
      <c r="BP86" s="294"/>
      <c r="BQ86" s="296"/>
      <c r="BS86" s="296"/>
      <c r="BT86" s="296"/>
      <c r="BU86" s="294"/>
      <c r="BV86" s="296"/>
      <c r="BW86" s="294"/>
      <c r="BX86" s="296"/>
      <c r="BY86" s="294"/>
      <c r="BZ86" s="296"/>
      <c r="CA86" s="294"/>
      <c r="CB86" s="296"/>
      <c r="CC86" s="294"/>
      <c r="CD86" s="296"/>
      <c r="CF86" s="296"/>
      <c r="CG86" s="296"/>
      <c r="CH86" s="294"/>
      <c r="CI86" s="296"/>
      <c r="CJ86" s="294"/>
      <c r="CK86" s="296"/>
      <c r="CL86" s="294"/>
      <c r="CM86" s="308"/>
      <c r="CN86" s="294"/>
      <c r="CO86" s="308"/>
      <c r="CP86" s="294"/>
      <c r="CQ86" s="308"/>
      <c r="CS86" s="296"/>
      <c r="CT86" s="296"/>
      <c r="CU86" s="294"/>
      <c r="CV86" s="294"/>
      <c r="CW86" s="294"/>
      <c r="CX86" s="296"/>
      <c r="CY86" s="294"/>
      <c r="CZ86" s="308"/>
      <c r="DA86" s="294"/>
      <c r="DB86" s="308"/>
      <c r="DC86" s="294"/>
      <c r="DF86" s="308"/>
      <c r="DH86" s="296"/>
      <c r="DJ86" s="296"/>
      <c r="DK86" s="296"/>
      <c r="DL86" s="294"/>
      <c r="DN86" s="294"/>
      <c r="DP86" s="294"/>
      <c r="DR86" s="308"/>
      <c r="DV86" s="308"/>
      <c r="DW86" s="287"/>
      <c r="DX86" s="287"/>
      <c r="DY86" s="294"/>
      <c r="DZ86" s="294"/>
    </row>
    <row r="87" spans="1:133" ht="34.5" customHeight="1" thickBot="1">
      <c r="A87" s="276"/>
      <c r="B87" s="388" t="s">
        <v>2349</v>
      </c>
      <c r="C87" s="302">
        <f>SUM(C68+C71+C85)</f>
        <v>373712</v>
      </c>
      <c r="D87" s="300"/>
      <c r="E87" s="302">
        <f>SUM(E68+E71+E85)</f>
        <v>3969</v>
      </c>
      <c r="F87" s="300"/>
      <c r="G87" s="302">
        <f>SUM(G68+G71+G85)</f>
        <v>81553</v>
      </c>
      <c r="H87" s="300"/>
      <c r="I87" s="302">
        <f>SUM(I68+I71+I85)</f>
        <v>387598</v>
      </c>
      <c r="J87" s="300"/>
      <c r="K87" s="302">
        <f>SUM(K68+K71+K85)</f>
        <v>198877</v>
      </c>
      <c r="L87" s="300"/>
      <c r="M87" s="388" t="s">
        <v>2349</v>
      </c>
      <c r="N87" s="302">
        <f>SUM(N68+N71+N85)</f>
        <v>2188101</v>
      </c>
      <c r="O87" s="300"/>
      <c r="P87" s="302">
        <f>SUM(P68+P71+P85)</f>
        <v>1370</v>
      </c>
      <c r="Q87" s="326"/>
      <c r="R87" s="302">
        <f>SUM(R68+R71+R85)</f>
        <v>25519</v>
      </c>
      <c r="S87" s="326"/>
      <c r="T87" s="302">
        <f>SUM(T68+T71+T85)</f>
        <v>717768</v>
      </c>
      <c r="U87" s="300"/>
      <c r="V87" s="302">
        <f>SUM(V68+V71+V85)</f>
        <v>88199</v>
      </c>
      <c r="W87" s="300"/>
      <c r="X87" s="388" t="s">
        <v>2349</v>
      </c>
      <c r="Y87" s="302">
        <f>SUM(Y68+Y71+Y85)</f>
        <v>60810</v>
      </c>
      <c r="Z87" s="300"/>
      <c r="AA87" s="302">
        <f>SUM(AA68+AA71+AA85)</f>
        <v>224345</v>
      </c>
      <c r="AB87" s="326"/>
      <c r="AC87" s="302">
        <f>SUM(AC68+AC71+AC85)</f>
        <v>389750</v>
      </c>
      <c r="AD87" s="326"/>
      <c r="AE87" s="302">
        <f>SUM(AE68+AE71+AE85)</f>
        <v>1064325</v>
      </c>
      <c r="AF87" s="300"/>
      <c r="AG87" s="302">
        <f>SUM(AG68+AG71+AG85)</f>
        <v>361</v>
      </c>
      <c r="AH87" s="300"/>
      <c r="AI87" s="388" t="s">
        <v>2349</v>
      </c>
      <c r="AJ87" s="302">
        <f>SUM(AJ68+AJ71+AJ85)</f>
        <v>748021</v>
      </c>
      <c r="AK87" s="300"/>
      <c r="AL87" s="302">
        <f>SUM(AL68+AL71+AL85)</f>
        <v>6977</v>
      </c>
      <c r="AM87" s="326"/>
      <c r="AN87" s="302">
        <f>SUM(AN68+AN71+AN85)</f>
        <v>260634</v>
      </c>
      <c r="AO87" s="326"/>
      <c r="AP87" s="302">
        <f>SUM(AP68+AP71+AP85)</f>
        <v>35779</v>
      </c>
      <c r="AQ87" s="300"/>
      <c r="AR87" s="302">
        <f>SUM(AR68+AR71+AR85)</f>
        <v>107003</v>
      </c>
      <c r="AS87" s="300"/>
      <c r="AT87" s="388" t="s">
        <v>2349</v>
      </c>
      <c r="AU87" s="302">
        <f>SUM(AU68+AU71+AU85)</f>
        <v>100039</v>
      </c>
      <c r="AV87" s="300"/>
      <c r="AW87" s="302">
        <f>SUM(AW68+AW71+AW85)</f>
        <v>1768889</v>
      </c>
      <c r="AX87" s="300"/>
      <c r="AY87" s="302">
        <f>SUM(AY68+AY71+AY85)</f>
        <v>238913</v>
      </c>
      <c r="AZ87" s="326"/>
      <c r="BA87" s="302">
        <f>SUM(BA68+BA71+BA85)</f>
        <v>28133</v>
      </c>
      <c r="BB87" s="300"/>
      <c r="BC87" s="302">
        <f>SUM(BC68+BC71+BC85)</f>
        <v>82435</v>
      </c>
      <c r="BD87" s="300"/>
      <c r="BF87" s="300"/>
      <c r="BG87" s="388" t="s">
        <v>2349</v>
      </c>
      <c r="BH87" s="302">
        <f>SUM(BH68+BH71+BH85)</f>
        <v>21202</v>
      </c>
      <c r="BI87" s="388"/>
      <c r="BJ87" s="302">
        <f>SUM(BJ68+BJ71+BJ85)</f>
        <v>422641</v>
      </c>
      <c r="BK87" s="326"/>
      <c r="BL87" s="302">
        <f>SUM(BL68+BL71+BL85)</f>
        <v>253738</v>
      </c>
      <c r="BM87" s="326"/>
      <c r="BN87" s="302">
        <f>SUM(BN68+BN71+BN85)</f>
        <v>21826</v>
      </c>
      <c r="BO87" s="300"/>
      <c r="BP87" s="302">
        <f>SUM(BP68+BP71+BP85)</f>
        <v>62464</v>
      </c>
      <c r="BQ87" s="300"/>
      <c r="BS87" s="300"/>
      <c r="BT87" s="388" t="s">
        <v>2349</v>
      </c>
      <c r="BU87" s="302">
        <f>SUM(BU68+BU71+BU85)</f>
        <v>5768</v>
      </c>
      <c r="BV87" s="388"/>
      <c r="BW87" s="302">
        <f>SUM(BW68+BW71+BW85)</f>
        <v>35534</v>
      </c>
      <c r="BX87" s="300"/>
      <c r="BY87" s="302">
        <f>SUM(BY68+BY71+BY85)</f>
        <v>39899</v>
      </c>
      <c r="BZ87" s="326"/>
      <c r="CA87" s="302">
        <f>SUM(CA68+CA71+CA85)</f>
        <v>168446</v>
      </c>
      <c r="CB87" s="326"/>
      <c r="CC87" s="302">
        <f>SUM(CC68+CC71+CC85)</f>
        <v>0</v>
      </c>
      <c r="CD87" s="326"/>
      <c r="CF87" s="300"/>
      <c r="CG87" s="388" t="s">
        <v>2349</v>
      </c>
      <c r="CH87" s="302">
        <f>SUM(CH68+CH71+CH85)</f>
        <v>1675727</v>
      </c>
      <c r="CI87" s="388"/>
      <c r="CJ87" s="302">
        <f>SUM(CJ68+CJ71+CJ85)</f>
        <v>872198</v>
      </c>
      <c r="CK87" s="300"/>
      <c r="CL87" s="302">
        <f>SUM(CL68+CL71+CL85)</f>
        <v>104504</v>
      </c>
      <c r="CM87" s="326"/>
      <c r="CN87" s="302">
        <f>SUM(CN68+CN71+CN85)</f>
        <v>96879</v>
      </c>
      <c r="CO87" s="326"/>
      <c r="CP87" s="302">
        <f>SUM(CP68+CP71+CP85)</f>
        <v>656704</v>
      </c>
      <c r="CQ87" s="326"/>
      <c r="CS87" s="300"/>
      <c r="CT87" s="388" t="s">
        <v>2349</v>
      </c>
      <c r="CU87" s="302">
        <f>SUM(CU68+CU71+CU85)</f>
        <v>61190</v>
      </c>
      <c r="CV87" s="326"/>
      <c r="CW87" s="302">
        <f>SUM(CW68+CW71+CW85)</f>
        <v>0</v>
      </c>
      <c r="CX87" s="388"/>
      <c r="CY87" s="302">
        <f>SUM(CY68+CY71+CY85)</f>
        <v>0</v>
      </c>
      <c r="CZ87" s="326"/>
      <c r="DA87" s="302">
        <f>SUM(DA68+DA71+DA85)</f>
        <v>0</v>
      </c>
      <c r="DB87" s="326"/>
      <c r="DC87" s="302">
        <f>SUM(DC68+DC71+DC85)</f>
        <v>17572</v>
      </c>
      <c r="DF87" s="326"/>
      <c r="DH87" s="300"/>
      <c r="DJ87" s="300"/>
      <c r="DK87" s="388" t="s">
        <v>2349</v>
      </c>
      <c r="DL87" s="302">
        <f>SUM(DL68+DL71+DL85)</f>
        <v>0</v>
      </c>
      <c r="DN87" s="302"/>
      <c r="DP87" s="302">
        <f>SUM(DP68+DP71+DP85)</f>
        <v>371646</v>
      </c>
      <c r="DR87" s="308"/>
      <c r="DV87" s="308"/>
      <c r="DW87" s="287"/>
      <c r="DX87" s="287"/>
      <c r="DY87" s="326"/>
      <c r="DZ87" s="302">
        <f>SUM(DZ68+DZ71+DZ85)</f>
        <v>14071018</v>
      </c>
      <c r="EC87" s="288">
        <f>SUM(C87:DW87)</f>
        <v>14071018</v>
      </c>
    </row>
    <row r="88" spans="1:133" ht="16.5" thickTop="1">
      <c r="A88" s="276"/>
      <c r="B88" s="276"/>
      <c r="C88" s="303"/>
      <c r="D88" s="276"/>
      <c r="E88" s="303"/>
      <c r="F88" s="276"/>
      <c r="G88" s="303"/>
      <c r="H88" s="276"/>
      <c r="I88" s="303"/>
      <c r="J88" s="276"/>
      <c r="K88" s="303"/>
      <c r="L88" s="276"/>
      <c r="M88" s="276"/>
      <c r="N88" s="303"/>
      <c r="O88" s="303"/>
      <c r="P88" s="303"/>
      <c r="Q88" s="303"/>
      <c r="R88" s="303"/>
      <c r="S88" s="303"/>
      <c r="T88" s="303"/>
      <c r="U88" s="303"/>
      <c r="V88" s="303"/>
      <c r="W88" s="276"/>
      <c r="X88" s="276"/>
      <c r="Y88" s="303"/>
      <c r="Z88" s="303"/>
      <c r="AA88" s="303"/>
      <c r="AB88" s="303"/>
      <c r="AD88" s="303"/>
      <c r="AE88" s="303"/>
      <c r="AF88" s="303"/>
      <c r="AG88" s="303"/>
      <c r="AH88" s="276"/>
      <c r="AI88" s="276"/>
      <c r="AJ88" s="303"/>
      <c r="AK88" s="303"/>
      <c r="AL88" s="303"/>
      <c r="AM88" s="303"/>
      <c r="AN88" s="303"/>
      <c r="AO88" s="303"/>
      <c r="AP88" s="303"/>
      <c r="AQ88" s="308"/>
      <c r="AR88" s="303"/>
      <c r="AS88" s="276"/>
      <c r="AT88" s="276"/>
      <c r="AU88" s="303"/>
      <c r="AV88" s="308"/>
      <c r="AW88" s="303"/>
      <c r="AX88" s="308"/>
      <c r="AY88" s="303"/>
      <c r="AZ88" s="308"/>
      <c r="BC88" s="303"/>
      <c r="BF88" s="276"/>
      <c r="BG88" s="276"/>
      <c r="BH88" s="303"/>
      <c r="BI88" s="276"/>
      <c r="BJ88" s="303"/>
      <c r="BL88" s="303"/>
      <c r="BN88" s="303"/>
      <c r="BO88" s="303"/>
      <c r="BP88" s="303"/>
      <c r="BQ88" s="303"/>
      <c r="BS88" s="276"/>
      <c r="BT88" s="276"/>
      <c r="BU88" s="303"/>
      <c r="BV88" s="276"/>
      <c r="BW88" s="303"/>
      <c r="BX88" s="303"/>
      <c r="BY88" s="303"/>
      <c r="BZ88" s="303"/>
      <c r="CA88" s="303"/>
      <c r="CB88" s="303"/>
      <c r="CC88" s="303"/>
      <c r="CD88" s="303"/>
      <c r="CF88" s="276"/>
      <c r="CG88" s="276"/>
      <c r="CH88" s="303"/>
      <c r="CI88" s="276"/>
      <c r="CJ88" s="303"/>
      <c r="CK88" s="303"/>
      <c r="CL88" s="303"/>
      <c r="CM88" s="308"/>
      <c r="CN88" s="303"/>
      <c r="CO88" s="308"/>
      <c r="CP88" s="303"/>
      <c r="CQ88" s="308"/>
      <c r="CS88" s="276"/>
      <c r="CT88" s="276"/>
      <c r="CU88" s="303"/>
      <c r="CV88" s="303"/>
      <c r="CW88" s="303"/>
      <c r="CX88" s="276"/>
      <c r="CY88" s="303"/>
      <c r="CZ88" s="308"/>
      <c r="DA88" s="303"/>
      <c r="DB88" s="308"/>
      <c r="DC88" s="303"/>
      <c r="DF88" s="308"/>
      <c r="DH88" s="276"/>
      <c r="DJ88" s="276"/>
      <c r="DK88" s="276"/>
      <c r="DL88" s="303"/>
      <c r="DN88" s="303"/>
      <c r="DP88" s="303"/>
      <c r="DR88" s="308"/>
      <c r="DV88" s="308"/>
      <c r="DW88" s="287"/>
      <c r="DX88" s="287"/>
      <c r="DY88" s="303"/>
      <c r="DZ88" s="303"/>
    </row>
    <row r="89" spans="1:133" ht="15.75">
      <c r="C89" s="288">
        <f>+C87-C37-C40</f>
        <v>0</v>
      </c>
      <c r="E89" s="288">
        <f>+E87-E37-E40</f>
        <v>0</v>
      </c>
      <c r="G89" s="288">
        <f>+G87-G37-G40</f>
        <v>0</v>
      </c>
      <c r="I89" s="288">
        <f>+I87-I37-I40</f>
        <v>0</v>
      </c>
      <c r="K89" s="288">
        <f>+K87-K37-K40</f>
        <v>0</v>
      </c>
      <c r="N89" s="288">
        <f>+N87-N37-N40</f>
        <v>0</v>
      </c>
      <c r="P89" s="288">
        <f>+P87-P37-P40</f>
        <v>0</v>
      </c>
      <c r="R89" s="288">
        <f>+R87-R37-R40</f>
        <v>0</v>
      </c>
      <c r="T89" s="288">
        <f>+T87-T37-T40</f>
        <v>0</v>
      </c>
      <c r="V89" s="288">
        <f>+V87-V37-V40</f>
        <v>0</v>
      </c>
      <c r="Y89" s="288">
        <f>+Y87-Y37-Y40</f>
        <v>0</v>
      </c>
      <c r="AA89" s="288">
        <f>+AA87-AA37-AA40</f>
        <v>0</v>
      </c>
      <c r="AC89" s="288">
        <f>+AC87-AC37-AC40</f>
        <v>0</v>
      </c>
      <c r="AE89" s="288">
        <f>+AE87-AE37-AE40</f>
        <v>0</v>
      </c>
      <c r="AG89" s="288">
        <f>+AG87-AG37-AG40</f>
        <v>0</v>
      </c>
      <c r="AJ89" s="288">
        <f>+AJ87-AJ37-AJ40</f>
        <v>0</v>
      </c>
      <c r="AL89" s="288">
        <f>+AL87-AL37-AL40</f>
        <v>0</v>
      </c>
      <c r="AN89" s="288">
        <f>+AN87-AN37-AN40</f>
        <v>0</v>
      </c>
      <c r="AP89" s="288">
        <f>+AP87-AP37-AP40</f>
        <v>0</v>
      </c>
      <c r="AR89" s="288">
        <f>+AR87-AR37-AR40</f>
        <v>0</v>
      </c>
      <c r="AU89" s="288">
        <f>+AU87-AU37-AU40</f>
        <v>0</v>
      </c>
      <c r="AW89" s="288">
        <f>+AW87-AW37-AW40</f>
        <v>0</v>
      </c>
      <c r="AY89" s="288">
        <f>+AY87-AY37-AY40</f>
        <v>0</v>
      </c>
      <c r="BA89" s="288">
        <f>+BA87-BA37-BA40</f>
        <v>0</v>
      </c>
      <c r="BC89" s="288">
        <f>+BC87-BC37-BC40</f>
        <v>0</v>
      </c>
      <c r="BH89" s="288">
        <f>+BH87-BH37-BH40</f>
        <v>0</v>
      </c>
      <c r="BJ89" s="288">
        <f>+BJ87-BJ37-BJ40</f>
        <v>0</v>
      </c>
      <c r="BL89" s="288">
        <f>+BL87-BL37-BL40</f>
        <v>0</v>
      </c>
      <c r="BN89" s="288">
        <f>+BN87-BN37-BN40</f>
        <v>0</v>
      </c>
      <c r="BP89" s="288">
        <f>+BP87-BP37-BP40</f>
        <v>0</v>
      </c>
      <c r="BU89" s="288">
        <f>+BU87-BU37-BU40</f>
        <v>0</v>
      </c>
      <c r="BW89" s="288">
        <f>+BW87-BW37-BW40</f>
        <v>0</v>
      </c>
      <c r="BY89" s="288">
        <f>+BY87-BY37-BY40</f>
        <v>0</v>
      </c>
      <c r="CA89" s="288">
        <f>+CA87-CA37-CA40</f>
        <v>0</v>
      </c>
      <c r="CC89" s="288">
        <f>+CC87-CC37-CC40</f>
        <v>0</v>
      </c>
      <c r="CH89" s="288">
        <f>+CH87-CH37-CH40</f>
        <v>0</v>
      </c>
      <c r="CJ89" s="288">
        <f>+CJ87-CJ37-CJ40</f>
        <v>0</v>
      </c>
      <c r="CL89" s="288">
        <f>+CL87-CL37-CL40</f>
        <v>0</v>
      </c>
      <c r="CN89" s="288">
        <f>+CN87-CN37-CN40</f>
        <v>0</v>
      </c>
      <c r="CP89" s="288">
        <f>+CP87-CP37-CP40</f>
        <v>0</v>
      </c>
      <c r="CU89" s="288">
        <f>+CU87-CU37-CU40</f>
        <v>0</v>
      </c>
      <c r="CW89" s="288">
        <f>+CW87-CW37-CW40</f>
        <v>0</v>
      </c>
      <c r="CY89" s="288">
        <f>+CY87-CY37-CY40</f>
        <v>0</v>
      </c>
      <c r="DA89" s="288">
        <f>+DA87-DA37-DA40</f>
        <v>0</v>
      </c>
      <c r="DC89" s="288">
        <f>+DC87-DC37-DC40</f>
        <v>0</v>
      </c>
      <c r="DL89" s="288">
        <f>+DL87-DL37-DL40</f>
        <v>0</v>
      </c>
      <c r="DP89" s="288">
        <f>+DP87-DP37-DP40</f>
        <v>0</v>
      </c>
      <c r="DR89" s="308"/>
      <c r="DV89" s="308"/>
      <c r="DW89" s="287"/>
      <c r="DZ89" s="288">
        <f>+DZ87-DZ37-DZ40</f>
        <v>0</v>
      </c>
    </row>
    <row r="90" spans="1:133" ht="15.75">
      <c r="C90" s="288">
        <f>+'SR IS'!C65</f>
        <v>-102054</v>
      </c>
      <c r="E90" s="288">
        <f>+'SR IS'!E65</f>
        <v>3692</v>
      </c>
      <c r="G90" s="288">
        <f>+'SR IS'!G65</f>
        <v>73809</v>
      </c>
      <c r="I90" s="288">
        <f>+'SR IS'!I65</f>
        <v>357347</v>
      </c>
      <c r="K90" s="288">
        <f>+'SR IS'!K65</f>
        <v>4500</v>
      </c>
      <c r="N90" s="288">
        <f>+'SR IS'!N65</f>
        <v>2097057</v>
      </c>
      <c r="P90" s="288">
        <f>+'SR IS'!P65</f>
        <v>1303</v>
      </c>
      <c r="R90" s="288">
        <f>+'SR IS'!R65</f>
        <v>21640</v>
      </c>
      <c r="T90" s="288">
        <f>+'SR IS'!T65</f>
        <v>660329</v>
      </c>
      <c r="V90" s="288">
        <f>+'SR IS'!V65</f>
        <v>84305</v>
      </c>
      <c r="Y90" s="288">
        <f>+'SR IS'!Y65</f>
        <v>60405</v>
      </c>
      <c r="AA90" s="288">
        <f>+'SR IS'!AA65</f>
        <v>185629</v>
      </c>
      <c r="AC90" s="288">
        <f>+'SR IS'!AC65</f>
        <v>380215</v>
      </c>
      <c r="AE90" s="288">
        <f>+'SR IS'!AE65</f>
        <v>1022934</v>
      </c>
      <c r="AG90" s="288">
        <f>+'SR IS'!AG65</f>
        <v>308</v>
      </c>
      <c r="AJ90" s="288">
        <f>+'SR IS'!AJ65</f>
        <v>653461</v>
      </c>
      <c r="AL90" s="288">
        <f>+'SR IS'!AL65</f>
        <v>2517</v>
      </c>
      <c r="AN90" s="288">
        <f>+'SR IS'!AN65</f>
        <v>255076</v>
      </c>
      <c r="AP90" s="288">
        <f>+'SR IS'!AP65</f>
        <v>35779</v>
      </c>
      <c r="AR90" s="288">
        <f>+'SR IS'!AR65</f>
        <v>107003</v>
      </c>
      <c r="AU90" s="288">
        <f>+'SR IS'!AU65</f>
        <v>100039</v>
      </c>
      <c r="AW90" s="288">
        <f>+'SR IS'!AW65</f>
        <v>1631376</v>
      </c>
      <c r="AY90" s="288">
        <f>+'SR IS'!AY65</f>
        <v>238913</v>
      </c>
      <c r="BA90" s="288">
        <f>+'SR IS'!BA65</f>
        <v>28133</v>
      </c>
      <c r="BC90" s="288">
        <f>+'SR IS'!BC65</f>
        <v>82435</v>
      </c>
      <c r="BH90" s="288">
        <f>+'SR IS'!BH65</f>
        <v>21202</v>
      </c>
      <c r="BJ90" s="288">
        <f>+'SR IS'!BJ65</f>
        <v>422641</v>
      </c>
      <c r="BL90" s="288">
        <f>+'SR IS'!BL65</f>
        <v>253738</v>
      </c>
      <c r="BN90" s="288">
        <f>+'SR IS'!BN65</f>
        <v>21826</v>
      </c>
      <c r="BP90" s="288">
        <f>+'SR IS'!BP65</f>
        <v>62464</v>
      </c>
      <c r="BU90" s="288">
        <f>+'SR IS'!BU65</f>
        <v>5768</v>
      </c>
      <c r="BW90" s="288">
        <f>+'SR IS'!BW65</f>
        <v>35534</v>
      </c>
      <c r="BY90" s="288">
        <f>+'SR IS'!BY65</f>
        <v>39899</v>
      </c>
      <c r="CA90" s="288">
        <f>+'SR IS'!CA65</f>
        <v>168446</v>
      </c>
      <c r="CC90" s="288">
        <f>+'SR IS'!CC65</f>
        <v>0</v>
      </c>
      <c r="CH90" s="288">
        <f>+'SR IS'!CH65</f>
        <v>1675727</v>
      </c>
      <c r="CJ90" s="288">
        <f>+'SR IS'!CJ65</f>
        <v>872198</v>
      </c>
      <c r="CL90" s="288">
        <f>+'SR IS'!CL65</f>
        <v>104504</v>
      </c>
      <c r="CN90" s="288">
        <f>+'SR IS'!CN65</f>
        <v>96879</v>
      </c>
      <c r="CP90" s="288">
        <f>+'SR IS'!CP65</f>
        <v>247580</v>
      </c>
      <c r="CU90" s="288">
        <f>+'SR IS'!CU65</f>
        <v>-1287</v>
      </c>
      <c r="CW90" s="288">
        <f>+'SR IS'!CW65</f>
        <v>-22045</v>
      </c>
      <c r="CY90" s="288">
        <f>+'SR IS'!CY65</f>
        <v>-11972</v>
      </c>
      <c r="DA90" s="288">
        <f>+'SR IS'!DA65</f>
        <v>0</v>
      </c>
      <c r="DC90" s="288">
        <f>+'SR IS'!DC65</f>
        <v>17572</v>
      </c>
      <c r="DL90" s="288">
        <f>+'SR IS'!DO65</f>
        <v>-8728</v>
      </c>
      <c r="DP90" s="288">
        <f>+'SR IS'!DU65</f>
        <v>371646</v>
      </c>
      <c r="DR90" s="308"/>
      <c r="DV90" s="308"/>
      <c r="DW90" s="287"/>
      <c r="DZ90" s="288">
        <f>+'SR IS'!EC65</f>
        <v>12359743</v>
      </c>
    </row>
    <row r="91" spans="1:133" ht="15.75">
      <c r="C91" s="288">
        <f>+C90-C85</f>
        <v>0</v>
      </c>
      <c r="E91" s="288">
        <f>+E90-E85</f>
        <v>0</v>
      </c>
      <c r="G91" s="288">
        <f>+G90-G85</f>
        <v>0</v>
      </c>
      <c r="I91" s="288">
        <f>+I90-I85</f>
        <v>0</v>
      </c>
      <c r="K91" s="288">
        <f>+K90-K85</f>
        <v>0</v>
      </c>
      <c r="N91" s="288">
        <f>+N90-N85</f>
        <v>0</v>
      </c>
      <c r="P91" s="288">
        <f>+P90-P85</f>
        <v>0</v>
      </c>
      <c r="R91" s="288">
        <f>+R90-R85</f>
        <v>0</v>
      </c>
      <c r="T91" s="288">
        <f>+T90-T85</f>
        <v>0</v>
      </c>
      <c r="V91" s="288">
        <f>+V90-V85</f>
        <v>0</v>
      </c>
      <c r="Y91" s="288">
        <f>+Y90-Y85</f>
        <v>0</v>
      </c>
      <c r="AA91" s="288">
        <f>+AA90-AA85</f>
        <v>0</v>
      </c>
      <c r="AC91" s="288">
        <f>+AC90-AC85</f>
        <v>0</v>
      </c>
      <c r="AE91" s="288">
        <f>+AE90-AE85</f>
        <v>0</v>
      </c>
      <c r="AG91" s="288">
        <f>+AG90-AG85</f>
        <v>0</v>
      </c>
      <c r="AJ91" s="288">
        <f>+AJ90-AJ85</f>
        <v>0</v>
      </c>
      <c r="AL91" s="288">
        <f>+AL90-AL85</f>
        <v>0</v>
      </c>
      <c r="AN91" s="288">
        <f>+AN90-AN85</f>
        <v>0</v>
      </c>
      <c r="AP91" s="288">
        <f>+AP90-AP85</f>
        <v>0</v>
      </c>
      <c r="AR91" s="288">
        <f>+AR90-AR85</f>
        <v>0</v>
      </c>
      <c r="AU91" s="288">
        <f>+AU90-AU85</f>
        <v>0</v>
      </c>
      <c r="AW91" s="288">
        <f>+AW90-AW85</f>
        <v>0</v>
      </c>
      <c r="AY91" s="288">
        <f>+AY90-AY85</f>
        <v>0</v>
      </c>
      <c r="BA91" s="288">
        <f>+BA90-BA85</f>
        <v>0</v>
      </c>
      <c r="BC91" s="288">
        <f>+BC90-BC85</f>
        <v>0</v>
      </c>
      <c r="BH91" s="288">
        <f>+BH90-BH85</f>
        <v>0</v>
      </c>
      <c r="BJ91" s="288">
        <f>+BJ90-BJ85</f>
        <v>0</v>
      </c>
      <c r="BL91" s="288">
        <f>+BL90-BL85</f>
        <v>0</v>
      </c>
      <c r="BN91" s="288">
        <f>+BN90-BN85</f>
        <v>0</v>
      </c>
      <c r="BP91" s="288">
        <f>+BP90-BP85</f>
        <v>0</v>
      </c>
      <c r="BU91" s="288">
        <f>+BU90-BU85</f>
        <v>0</v>
      </c>
      <c r="BW91" s="288">
        <f>+BW90-BW85</f>
        <v>0</v>
      </c>
      <c r="BY91" s="288">
        <f>+BY90-BY85</f>
        <v>0</v>
      </c>
      <c r="CA91" s="288">
        <f>+CA90-CA85</f>
        <v>0</v>
      </c>
      <c r="CC91" s="288">
        <f>+CC90-CC85</f>
        <v>0</v>
      </c>
      <c r="CH91" s="288">
        <f>+CH90-CH85</f>
        <v>0</v>
      </c>
      <c r="CJ91" s="288">
        <f>+CJ90-CJ85</f>
        <v>0</v>
      </c>
      <c r="CL91" s="288">
        <f>+CL90-CL85</f>
        <v>0</v>
      </c>
      <c r="CN91" s="288">
        <f>+CN90-CN85</f>
        <v>0</v>
      </c>
      <c r="CP91" s="288">
        <f>+CP90-CP85</f>
        <v>0</v>
      </c>
      <c r="CU91" s="288">
        <f>+CU90-CU85</f>
        <v>0</v>
      </c>
      <c r="CW91" s="288">
        <f>+CW90-CW85</f>
        <v>0</v>
      </c>
      <c r="CY91" s="288">
        <f>+CY90-CY85</f>
        <v>0</v>
      </c>
      <c r="DA91" s="288">
        <f>+DA90-DA85</f>
        <v>0</v>
      </c>
      <c r="DC91" s="288">
        <f>+DC90-DC85</f>
        <v>0</v>
      </c>
      <c r="DL91" s="288">
        <f>+DL90-DL85</f>
        <v>0</v>
      </c>
      <c r="DP91" s="288">
        <f>+DP90-DP85</f>
        <v>0</v>
      </c>
      <c r="DR91" s="308"/>
      <c r="DV91" s="308"/>
      <c r="DW91" s="287"/>
      <c r="DZ91" s="288">
        <f>+DZ90-DZ85</f>
        <v>0</v>
      </c>
    </row>
    <row r="92" spans="1:133" ht="15.75">
      <c r="AQ92" s="308"/>
      <c r="AV92" s="308"/>
      <c r="AX92" s="308"/>
      <c r="AZ92" s="308"/>
      <c r="CO92" s="308"/>
      <c r="CQ92" s="308"/>
      <c r="CZ92" s="308"/>
      <c r="DB92" s="308"/>
      <c r="DF92" s="308"/>
      <c r="DM92" s="287"/>
      <c r="DO92" s="287"/>
      <c r="DQ92" s="287"/>
      <c r="DR92" s="308"/>
      <c r="DS92" s="287"/>
      <c r="DT92" s="287"/>
      <c r="DU92" s="287"/>
      <c r="DV92" s="308"/>
      <c r="DW92" s="287"/>
    </row>
    <row r="93" spans="1:133" ht="15.75">
      <c r="AQ93" s="308"/>
      <c r="AV93" s="308"/>
      <c r="AX93" s="308"/>
      <c r="AZ93" s="308"/>
      <c r="CO93" s="308"/>
      <c r="CQ93" s="308"/>
      <c r="DB93" s="308"/>
      <c r="DF93" s="308"/>
      <c r="DM93" s="287"/>
      <c r="DO93" s="287"/>
      <c r="DQ93" s="287"/>
      <c r="DR93" s="308"/>
      <c r="DS93" s="287"/>
      <c r="DT93" s="287"/>
      <c r="DU93" s="287"/>
      <c r="DV93" s="308"/>
      <c r="DW93" s="287"/>
    </row>
    <row r="94" spans="1:133" ht="15.75">
      <c r="AQ94" s="308"/>
      <c r="AV94" s="308"/>
      <c r="AX94" s="308"/>
      <c r="AZ94" s="308"/>
      <c r="CO94" s="308"/>
      <c r="CQ94" s="308"/>
      <c r="DB94" s="308"/>
      <c r="DF94" s="308"/>
      <c r="DM94" s="287"/>
      <c r="DO94" s="287"/>
      <c r="DQ94" s="287"/>
      <c r="DR94" s="308"/>
      <c r="DS94" s="287"/>
      <c r="DT94" s="287"/>
      <c r="DU94" s="287"/>
      <c r="DV94" s="308"/>
      <c r="DW94" s="287"/>
    </row>
    <row r="95" spans="1:133" ht="15.75">
      <c r="AQ95" s="308"/>
      <c r="AV95" s="308"/>
      <c r="AX95" s="308"/>
      <c r="AZ95" s="308"/>
      <c r="CO95" s="308"/>
      <c r="CQ95" s="308"/>
      <c r="DB95" s="308"/>
      <c r="DF95" s="308"/>
      <c r="DO95" s="287"/>
      <c r="DQ95" s="287"/>
      <c r="DR95" s="308"/>
      <c r="DS95" s="287"/>
      <c r="DT95" s="287"/>
      <c r="DU95" s="287"/>
      <c r="DV95" s="308"/>
      <c r="DW95" s="287"/>
    </row>
    <row r="96" spans="1:133" ht="15.75">
      <c r="AQ96" s="308"/>
      <c r="AV96" s="308"/>
      <c r="AX96" s="308"/>
      <c r="AZ96" s="308"/>
      <c r="CO96" s="308"/>
      <c r="CQ96" s="308"/>
      <c r="DB96" s="308"/>
      <c r="DF96" s="308"/>
      <c r="DO96" s="287"/>
      <c r="DQ96" s="287"/>
      <c r="DR96" s="308"/>
      <c r="DS96" s="287"/>
      <c r="DT96" s="287"/>
      <c r="DU96" s="287"/>
      <c r="DV96" s="308"/>
      <c r="DW96" s="287"/>
    </row>
    <row r="97" spans="43:127" ht="15.75">
      <c r="AQ97" s="308"/>
      <c r="AV97" s="308"/>
      <c r="AX97" s="308"/>
      <c r="AZ97" s="308"/>
      <c r="CO97" s="308"/>
      <c r="CQ97" s="308"/>
      <c r="DB97" s="308"/>
      <c r="DF97" s="308"/>
      <c r="DO97" s="287"/>
      <c r="DQ97" s="287"/>
      <c r="DR97" s="308"/>
      <c r="DS97" s="287"/>
      <c r="DT97" s="287"/>
      <c r="DU97" s="287"/>
      <c r="DV97" s="308"/>
      <c r="DW97" s="287"/>
    </row>
    <row r="98" spans="43:127" ht="15.75">
      <c r="AQ98" s="308"/>
      <c r="AV98" s="308"/>
      <c r="AX98" s="308"/>
      <c r="AZ98" s="308"/>
      <c r="CO98" s="308"/>
      <c r="CQ98" s="308"/>
      <c r="DB98" s="308"/>
      <c r="DF98" s="308"/>
      <c r="DO98" s="287"/>
      <c r="DQ98" s="287"/>
      <c r="DR98" s="308"/>
      <c r="DS98" s="287"/>
      <c r="DT98" s="287"/>
      <c r="DU98" s="287"/>
      <c r="DV98" s="308"/>
      <c r="DW98" s="287"/>
    </row>
    <row r="99" spans="43:127" ht="15.75">
      <c r="AQ99" s="308"/>
      <c r="AV99" s="308"/>
      <c r="AX99" s="308"/>
      <c r="AZ99" s="308"/>
      <c r="CO99" s="308"/>
      <c r="CQ99" s="308"/>
      <c r="DB99" s="308"/>
      <c r="DF99" s="308"/>
      <c r="DO99" s="287"/>
      <c r="DQ99" s="287"/>
      <c r="DR99" s="308"/>
      <c r="DS99" s="287"/>
      <c r="DT99" s="287"/>
      <c r="DU99" s="287"/>
      <c r="DV99" s="308"/>
      <c r="DW99" s="287"/>
    </row>
    <row r="100" spans="43:127" ht="15.75">
      <c r="AQ100" s="308"/>
      <c r="AV100" s="308"/>
      <c r="AX100" s="308"/>
      <c r="AZ100" s="308"/>
      <c r="CO100" s="308"/>
      <c r="CQ100" s="308"/>
      <c r="DB100" s="308"/>
      <c r="DF100" s="308"/>
      <c r="DO100" s="287"/>
      <c r="DQ100" s="287"/>
      <c r="DR100" s="308"/>
      <c r="DS100" s="287"/>
      <c r="DT100" s="287"/>
      <c r="DU100" s="287"/>
      <c r="DV100" s="308"/>
      <c r="DW100" s="287"/>
    </row>
    <row r="101" spans="43:127" ht="15.75">
      <c r="AQ101" s="308"/>
      <c r="AV101" s="308"/>
      <c r="AX101" s="308"/>
      <c r="AZ101" s="308"/>
      <c r="CO101" s="308"/>
      <c r="CQ101" s="308"/>
      <c r="DB101" s="308"/>
      <c r="DF101" s="308"/>
      <c r="DR101" s="308"/>
      <c r="DV101" s="308"/>
    </row>
    <row r="102" spans="43:127" ht="15.75">
      <c r="AQ102" s="308"/>
      <c r="AV102" s="308"/>
      <c r="AX102" s="308"/>
      <c r="AZ102" s="308"/>
      <c r="CO102" s="308"/>
      <c r="CQ102" s="308"/>
      <c r="DB102" s="308"/>
      <c r="DF102" s="308"/>
      <c r="DR102" s="308"/>
      <c r="DV102" s="308"/>
    </row>
    <row r="103" spans="43:127" ht="15.75">
      <c r="AQ103" s="308"/>
      <c r="AV103" s="308"/>
      <c r="AX103" s="308"/>
      <c r="AZ103" s="308"/>
      <c r="CO103" s="308"/>
      <c r="CQ103" s="308"/>
      <c r="DB103" s="308"/>
      <c r="DF103" s="308"/>
      <c r="DR103" s="308"/>
      <c r="DV103" s="308"/>
    </row>
    <row r="104" spans="43:127" ht="15.75">
      <c r="AQ104" s="308"/>
      <c r="AV104" s="308"/>
      <c r="AX104" s="308"/>
      <c r="AZ104" s="308"/>
      <c r="CO104" s="308"/>
      <c r="CQ104" s="308"/>
      <c r="DB104" s="308"/>
      <c r="DF104" s="308"/>
      <c r="DR104" s="308"/>
      <c r="DV104" s="308"/>
    </row>
    <row r="105" spans="43:127" ht="15.75">
      <c r="AQ105" s="308"/>
      <c r="AV105" s="308"/>
      <c r="AX105" s="308"/>
      <c r="AZ105" s="308"/>
      <c r="CO105" s="308"/>
      <c r="CQ105" s="308"/>
      <c r="DB105" s="308"/>
      <c r="DF105" s="308"/>
      <c r="DR105" s="308"/>
      <c r="DV105" s="308"/>
    </row>
    <row r="106" spans="43:127" ht="15.75">
      <c r="AQ106" s="308"/>
      <c r="AV106" s="308"/>
      <c r="AX106" s="308"/>
      <c r="AZ106" s="308"/>
      <c r="CO106" s="308"/>
      <c r="CQ106" s="308"/>
      <c r="DB106" s="308"/>
      <c r="DF106" s="308"/>
      <c r="DR106" s="308"/>
      <c r="DV106" s="308"/>
    </row>
    <row r="107" spans="43:127" ht="15.75">
      <c r="AQ107" s="308"/>
      <c r="AV107" s="308"/>
      <c r="AX107" s="308"/>
      <c r="AZ107" s="308"/>
      <c r="CO107" s="308"/>
      <c r="CQ107" s="308"/>
      <c r="DB107" s="308"/>
      <c r="DF107" s="308"/>
      <c r="DR107" s="308"/>
      <c r="DV107" s="308"/>
    </row>
    <row r="108" spans="43:127" ht="15.75">
      <c r="AQ108" s="308"/>
      <c r="AV108" s="308"/>
      <c r="AX108" s="308"/>
      <c r="AZ108" s="308"/>
      <c r="CO108" s="308"/>
      <c r="CQ108" s="308"/>
      <c r="DB108" s="308"/>
      <c r="DF108" s="308"/>
      <c r="DR108" s="308"/>
      <c r="DV108" s="308"/>
    </row>
    <row r="109" spans="43:127" ht="15.75">
      <c r="AQ109" s="308"/>
      <c r="AV109" s="308"/>
      <c r="AX109" s="308"/>
      <c r="AZ109" s="308"/>
      <c r="CO109" s="308"/>
      <c r="CQ109" s="308"/>
      <c r="DB109" s="308"/>
      <c r="DF109" s="308"/>
      <c r="DR109" s="308"/>
      <c r="DV109" s="308"/>
    </row>
    <row r="110" spans="43:127" ht="15.75">
      <c r="AQ110" s="308"/>
      <c r="AV110" s="308"/>
      <c r="AX110" s="308"/>
      <c r="AZ110" s="308"/>
      <c r="CO110" s="308"/>
      <c r="CQ110" s="308"/>
      <c r="DB110" s="308"/>
      <c r="DF110" s="308"/>
      <c r="DR110" s="308"/>
      <c r="DV110" s="308"/>
    </row>
    <row r="111" spans="43:127" ht="15.75">
      <c r="AQ111" s="308"/>
      <c r="AV111" s="308"/>
      <c r="AX111" s="308"/>
      <c r="AZ111" s="308"/>
      <c r="CO111" s="308"/>
      <c r="CQ111" s="308"/>
      <c r="DB111" s="308"/>
      <c r="DF111" s="308"/>
      <c r="DR111" s="308"/>
      <c r="DV111" s="308"/>
    </row>
    <row r="112" spans="43:127" ht="15.75">
      <c r="AQ112" s="308"/>
      <c r="AV112" s="308"/>
      <c r="AX112" s="308"/>
      <c r="AZ112" s="308"/>
      <c r="CO112" s="308"/>
      <c r="CQ112" s="308"/>
      <c r="DB112" s="308"/>
      <c r="DF112" s="308"/>
      <c r="DR112" s="308"/>
      <c r="DV112" s="308"/>
    </row>
    <row r="113" spans="43:126" ht="15.75">
      <c r="AQ113" s="308"/>
      <c r="AV113" s="308"/>
      <c r="AX113" s="308"/>
      <c r="AZ113" s="308"/>
      <c r="CO113" s="308"/>
      <c r="CQ113" s="308"/>
      <c r="DB113" s="308"/>
      <c r="DF113" s="308"/>
      <c r="DR113" s="308"/>
      <c r="DV113" s="308"/>
    </row>
    <row r="114" spans="43:126" ht="15.75">
      <c r="AQ114" s="308"/>
      <c r="AV114" s="308"/>
      <c r="AX114" s="308"/>
      <c r="AZ114" s="308"/>
      <c r="CO114" s="308"/>
      <c r="CQ114" s="308"/>
      <c r="DB114" s="308"/>
      <c r="DF114" s="308"/>
      <c r="DR114" s="308"/>
      <c r="DV114" s="308"/>
    </row>
    <row r="115" spans="43:126" ht="15.75">
      <c r="AQ115" s="308"/>
      <c r="AV115" s="308"/>
      <c r="AX115" s="308"/>
      <c r="AZ115" s="308"/>
      <c r="CO115" s="308"/>
      <c r="CQ115" s="308"/>
      <c r="DB115" s="308"/>
      <c r="DF115" s="308"/>
      <c r="DR115" s="308"/>
      <c r="DV115" s="308"/>
    </row>
    <row r="116" spans="43:126" ht="15.75">
      <c r="AQ116" s="308"/>
      <c r="AR116" s="308"/>
      <c r="AU116" s="308"/>
      <c r="AV116" s="308"/>
      <c r="AW116" s="308"/>
      <c r="AX116" s="308"/>
      <c r="AZ116" s="308"/>
      <c r="BY116" s="308"/>
      <c r="CJ116" s="308"/>
      <c r="CL116" s="308"/>
      <c r="CO116" s="308"/>
      <c r="CQ116" s="308"/>
      <c r="CU116" s="308"/>
      <c r="CV116" s="308"/>
      <c r="DB116" s="308"/>
      <c r="DF116" s="308"/>
      <c r="DR116" s="308"/>
      <c r="DV116" s="308"/>
    </row>
    <row r="117" spans="43:126" ht="15.75">
      <c r="AQ117" s="308"/>
      <c r="AR117" s="308"/>
      <c r="AU117" s="308"/>
      <c r="AV117" s="308"/>
      <c r="AW117" s="308"/>
      <c r="AX117" s="308"/>
      <c r="AZ117" s="308"/>
      <c r="BW117" s="308"/>
      <c r="BY117" s="308"/>
      <c r="CA117" s="308"/>
      <c r="CC117" s="308"/>
      <c r="CH117" s="308"/>
      <c r="CJ117" s="308"/>
      <c r="CL117" s="308"/>
      <c r="CN117" s="308"/>
      <c r="CO117" s="308"/>
      <c r="CP117" s="308"/>
      <c r="CQ117" s="308"/>
      <c r="CU117" s="308"/>
      <c r="CV117" s="308"/>
      <c r="DB117" s="308"/>
      <c r="DF117" s="308"/>
      <c r="DR117" s="308"/>
      <c r="DV117" s="308"/>
    </row>
    <row r="118" spans="43:126" ht="15.75">
      <c r="AQ118" s="308"/>
      <c r="AR118" s="308"/>
      <c r="AU118" s="308"/>
      <c r="AV118" s="308"/>
      <c r="AW118" s="308"/>
      <c r="AX118" s="308"/>
      <c r="AZ118" s="308"/>
      <c r="BW118" s="308"/>
      <c r="BY118" s="308"/>
      <c r="CA118" s="308"/>
      <c r="CC118" s="308"/>
      <c r="CH118" s="308"/>
      <c r="CJ118" s="308"/>
      <c r="CL118" s="308"/>
      <c r="CN118" s="308"/>
      <c r="CO118" s="308"/>
      <c r="CP118" s="308"/>
      <c r="CQ118" s="308"/>
      <c r="CU118" s="308"/>
      <c r="CV118" s="308"/>
      <c r="DB118" s="308"/>
      <c r="DF118" s="308"/>
      <c r="DR118" s="308"/>
      <c r="DV118" s="308"/>
    </row>
    <row r="119" spans="43:126" ht="15.75">
      <c r="AQ119" s="308"/>
      <c r="AR119" s="308"/>
      <c r="AU119" s="308"/>
      <c r="AV119" s="308"/>
      <c r="AW119" s="308"/>
      <c r="AX119" s="308"/>
      <c r="AZ119" s="308"/>
      <c r="BW119" s="308"/>
      <c r="BY119" s="308"/>
      <c r="CA119" s="308"/>
      <c r="CC119" s="308"/>
      <c r="CH119" s="308"/>
      <c r="CJ119" s="308"/>
      <c r="CL119" s="308"/>
      <c r="CN119" s="308"/>
      <c r="CO119" s="308"/>
      <c r="CP119" s="308"/>
      <c r="CQ119" s="308"/>
      <c r="CU119" s="308"/>
      <c r="CV119" s="308"/>
      <c r="DB119" s="308"/>
      <c r="DF119" s="308"/>
      <c r="DR119" s="308"/>
      <c r="DV119" s="308"/>
    </row>
    <row r="120" spans="43:126" ht="15.75">
      <c r="AQ120" s="308"/>
      <c r="AR120" s="308"/>
      <c r="AU120" s="308"/>
      <c r="AV120" s="308"/>
      <c r="AW120" s="308"/>
      <c r="AX120" s="308"/>
      <c r="AZ120" s="308"/>
      <c r="BW120" s="308"/>
      <c r="BY120" s="308"/>
      <c r="CA120" s="308"/>
      <c r="CC120" s="308"/>
      <c r="CH120" s="308"/>
      <c r="CJ120" s="308"/>
      <c r="CL120" s="308"/>
      <c r="CN120" s="308"/>
      <c r="CO120" s="308"/>
      <c r="CP120" s="308"/>
      <c r="CQ120" s="308"/>
      <c r="CU120" s="308"/>
      <c r="CV120" s="308"/>
      <c r="DB120" s="308"/>
      <c r="DF120" s="308"/>
      <c r="DR120" s="308"/>
      <c r="DV120" s="308"/>
    </row>
    <row r="121" spans="43:126" ht="15.75">
      <c r="AQ121" s="308"/>
      <c r="AR121" s="308"/>
      <c r="AU121" s="308"/>
      <c r="AV121" s="308"/>
      <c r="AW121" s="308"/>
      <c r="AX121" s="308"/>
      <c r="AZ121" s="308"/>
      <c r="BW121" s="308"/>
      <c r="BY121" s="308"/>
      <c r="CA121" s="308"/>
      <c r="CC121" s="308"/>
      <c r="CH121" s="308"/>
      <c r="CJ121" s="308"/>
      <c r="CL121" s="308"/>
      <c r="CN121" s="308"/>
      <c r="CO121" s="308"/>
      <c r="CP121" s="308"/>
      <c r="CQ121" s="308"/>
      <c r="CU121" s="308"/>
      <c r="CV121" s="308"/>
      <c r="DB121" s="308"/>
      <c r="DF121" s="308"/>
      <c r="DR121" s="308"/>
      <c r="DV121" s="308"/>
    </row>
    <row r="122" spans="43:126" ht="15.75">
      <c r="AQ122" s="308"/>
      <c r="AR122" s="308"/>
      <c r="AU122" s="308"/>
      <c r="AV122" s="308"/>
      <c r="AW122" s="308"/>
      <c r="AX122" s="308"/>
      <c r="AZ122" s="308"/>
      <c r="BW122" s="308"/>
      <c r="BY122" s="308"/>
      <c r="CA122" s="308"/>
      <c r="CC122" s="308"/>
      <c r="CH122" s="308"/>
      <c r="CJ122" s="308"/>
      <c r="CL122" s="308"/>
      <c r="CN122" s="308"/>
      <c r="CO122" s="308"/>
      <c r="CP122" s="308"/>
      <c r="CQ122" s="308"/>
      <c r="CU122" s="308"/>
      <c r="CV122" s="308"/>
      <c r="DB122" s="308"/>
      <c r="DF122" s="308"/>
      <c r="DR122" s="308"/>
      <c r="DV122" s="308"/>
    </row>
    <row r="123" spans="43:126" ht="15.75">
      <c r="AQ123" s="308"/>
      <c r="AR123" s="308"/>
      <c r="AU123" s="308"/>
      <c r="AV123" s="308"/>
      <c r="AW123" s="308"/>
      <c r="AX123" s="308"/>
      <c r="AZ123" s="308"/>
      <c r="BW123" s="308"/>
      <c r="BY123" s="308"/>
      <c r="CA123" s="308"/>
      <c r="CC123" s="308"/>
      <c r="CH123" s="308"/>
      <c r="CJ123" s="308"/>
      <c r="CL123" s="308"/>
      <c r="CN123" s="308"/>
      <c r="CO123" s="308"/>
      <c r="CP123" s="308"/>
      <c r="CQ123" s="308"/>
      <c r="CU123" s="308"/>
      <c r="CV123" s="308"/>
      <c r="DB123" s="308"/>
      <c r="DF123" s="308"/>
      <c r="DR123" s="308"/>
      <c r="DV123" s="308"/>
    </row>
    <row r="124" spans="43:126" ht="15.75">
      <c r="AQ124" s="308"/>
      <c r="AR124" s="308"/>
      <c r="AU124" s="308"/>
      <c r="AV124" s="308"/>
      <c r="AW124" s="308"/>
      <c r="AX124" s="308"/>
      <c r="AZ124" s="308"/>
      <c r="BW124" s="308"/>
      <c r="BY124" s="308"/>
      <c r="CA124" s="308"/>
      <c r="CC124" s="308"/>
      <c r="CH124" s="308"/>
      <c r="CJ124" s="308"/>
      <c r="CL124" s="308"/>
      <c r="CN124" s="308"/>
      <c r="CO124" s="308"/>
      <c r="CP124" s="308"/>
      <c r="CQ124" s="308"/>
      <c r="CU124" s="308"/>
      <c r="CV124" s="308"/>
      <c r="DB124" s="308"/>
      <c r="DF124" s="308"/>
      <c r="DR124" s="308"/>
      <c r="DV124" s="308"/>
    </row>
    <row r="125" spans="43:126" ht="15.75">
      <c r="AQ125" s="308"/>
      <c r="AR125" s="308"/>
      <c r="AU125" s="308"/>
      <c r="AV125" s="308"/>
      <c r="AW125" s="308"/>
      <c r="AX125" s="308"/>
      <c r="AZ125" s="308"/>
      <c r="BW125" s="308"/>
      <c r="BY125" s="308"/>
      <c r="CA125" s="308"/>
      <c r="CC125" s="308"/>
      <c r="CH125" s="308"/>
      <c r="CJ125" s="308"/>
      <c r="CL125" s="308"/>
      <c r="CN125" s="308"/>
      <c r="CO125" s="308"/>
      <c r="CP125" s="308"/>
      <c r="CQ125" s="308"/>
      <c r="CU125" s="308"/>
      <c r="CV125" s="308"/>
      <c r="DB125" s="308"/>
      <c r="DF125" s="308"/>
      <c r="DR125" s="308"/>
      <c r="DV125" s="308"/>
    </row>
    <row r="126" spans="43:126" ht="15.75">
      <c r="AQ126" s="308"/>
      <c r="AR126" s="308"/>
      <c r="AU126" s="308"/>
      <c r="AV126" s="308"/>
      <c r="AW126" s="308"/>
      <c r="AX126" s="308"/>
      <c r="AZ126" s="308"/>
      <c r="BW126" s="308"/>
      <c r="BY126" s="308"/>
      <c r="CA126" s="308"/>
      <c r="CC126" s="308"/>
      <c r="CH126" s="308"/>
      <c r="CJ126" s="308"/>
      <c r="CL126" s="308"/>
      <c r="CN126" s="308"/>
      <c r="CO126" s="308"/>
      <c r="CP126" s="308"/>
      <c r="CQ126" s="308"/>
      <c r="CU126" s="308"/>
      <c r="CV126" s="308"/>
      <c r="DB126" s="308"/>
      <c r="DF126" s="308"/>
      <c r="DR126" s="308"/>
      <c r="DV126" s="308"/>
    </row>
    <row r="127" spans="43:126" ht="15.75">
      <c r="AQ127" s="308"/>
      <c r="AR127" s="308"/>
      <c r="AU127" s="308"/>
      <c r="AV127" s="308"/>
      <c r="AW127" s="308"/>
      <c r="AX127" s="308"/>
      <c r="AZ127" s="308"/>
      <c r="BW127" s="308"/>
      <c r="BY127" s="308"/>
      <c r="CA127" s="308"/>
      <c r="CC127" s="308"/>
      <c r="CH127" s="308"/>
      <c r="CJ127" s="308"/>
      <c r="CL127" s="308"/>
      <c r="CN127" s="308"/>
      <c r="CO127" s="308"/>
      <c r="CP127" s="308"/>
      <c r="CQ127" s="308"/>
      <c r="CU127" s="308"/>
      <c r="CV127" s="308"/>
      <c r="DB127" s="308"/>
      <c r="DF127" s="308"/>
      <c r="DR127" s="308"/>
      <c r="DV127" s="308"/>
    </row>
    <row r="128" spans="43:126" ht="15.75">
      <c r="DR128" s="308"/>
      <c r="DV128" s="308"/>
    </row>
    <row r="129" spans="122:126" ht="15.75">
      <c r="DR129" s="308"/>
      <c r="DV129" s="308"/>
    </row>
  </sheetData>
  <phoneticPr fontId="0" type="noConversion"/>
  <printOptions horizontalCentered="1"/>
  <pageMargins left="0.5" right="0.5" top="0.5" bottom="0.75" header="0.5" footer="0.25"/>
  <pageSetup scale="64" firstPageNumber="75" orientation="portrait" useFirstPageNumber="1" r:id="rId1"/>
  <headerFooter alignWithMargins="0">
    <oddFooter xml:space="preserve">&amp;C
</oddFooter>
  </headerFooter>
  <ignoredErrors>
    <ignoredError sqref="M37 M68 M85:M86 X43:X86 AI43:AI86 AT43:AT86 BG43:BG86 BT43:BT86 CG68:CG86 CT43:CT86 DK43:DK86 DK37 CT37 BT37 BG37 AT37 AI37 X37"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codeName="Sheet24"/>
  <dimension ref="A3:W86"/>
  <sheetViews>
    <sheetView showGridLines="0" zoomScale="70" zoomScaleNormal="70" workbookViewId="0">
      <selection activeCell="D64" sqref="D64"/>
    </sheetView>
  </sheetViews>
  <sheetFormatPr defaultColWidth="9.7109375" defaultRowHeight="12.75"/>
  <cols>
    <col min="1" max="1" width="2.7109375" style="288" customWidth="1"/>
    <col min="2" max="2" width="40.85546875" style="288" customWidth="1"/>
    <col min="3" max="3" width="2.28515625" style="288" customWidth="1"/>
    <col min="4" max="4" width="16.7109375" style="288" customWidth="1"/>
    <col min="5" max="5" width="2.28515625" style="288" customWidth="1"/>
    <col min="6" max="6" width="16.7109375" style="288" customWidth="1"/>
    <col min="7" max="7" width="2.28515625" style="288" hidden="1" customWidth="1"/>
    <col min="8" max="8" width="16.7109375" style="288" hidden="1" customWidth="1"/>
    <col min="9" max="9" width="2.28515625" style="288" customWidth="1"/>
    <col min="10" max="10" width="16.7109375" style="288" customWidth="1"/>
    <col min="11" max="11" width="2.28515625" style="288" customWidth="1"/>
    <col min="12" max="12" width="16.7109375" style="288" customWidth="1"/>
    <col min="13" max="13" width="2.28515625" style="288" customWidth="1"/>
    <col min="14" max="14" width="16.7109375" style="288" customWidth="1"/>
    <col min="15" max="15" width="2.28515625" style="288" customWidth="1"/>
    <col min="16" max="16" width="18.7109375" style="288" customWidth="1"/>
    <col min="17" max="17" width="3.7109375" style="288" customWidth="1"/>
    <col min="18" max="18" width="16.42578125" style="288" customWidth="1"/>
    <col min="19" max="16384" width="9.7109375" style="288"/>
  </cols>
  <sheetData>
    <row r="3" spans="1:23" ht="15.75">
      <c r="B3" s="305" t="s">
        <v>1049</v>
      </c>
      <c r="C3" s="305"/>
      <c r="D3" s="305"/>
      <c r="E3" s="305"/>
      <c r="F3" s="305"/>
      <c r="G3" s="305"/>
      <c r="H3" s="305"/>
      <c r="I3" s="305"/>
      <c r="J3" s="305"/>
      <c r="K3" s="305"/>
      <c r="L3" s="305"/>
      <c r="M3" s="305"/>
      <c r="N3" s="305"/>
      <c r="O3" s="305"/>
      <c r="P3" s="305"/>
    </row>
    <row r="4" spans="1:23" ht="15.75">
      <c r="B4" s="305" t="s">
        <v>248</v>
      </c>
      <c r="C4" s="305"/>
      <c r="D4" s="305"/>
      <c r="E4" s="305"/>
      <c r="F4" s="305"/>
      <c r="G4" s="305"/>
      <c r="H4" s="305"/>
      <c r="I4" s="305"/>
      <c r="J4" s="305"/>
      <c r="K4" s="305"/>
      <c r="L4" s="305"/>
      <c r="M4" s="305"/>
      <c r="N4" s="305"/>
      <c r="O4" s="305"/>
      <c r="P4" s="305"/>
    </row>
    <row r="5" spans="1:23" ht="15.75">
      <c r="B5" s="305" t="s">
        <v>5</v>
      </c>
      <c r="C5" s="305"/>
      <c r="D5" s="305"/>
      <c r="E5" s="305"/>
      <c r="F5" s="305"/>
      <c r="G5" s="305"/>
      <c r="H5" s="305"/>
      <c r="I5" s="305"/>
      <c r="J5" s="305"/>
      <c r="K5" s="305"/>
      <c r="L5" s="305"/>
      <c r="M5" s="305"/>
      <c r="N5" s="305"/>
      <c r="O5" s="305"/>
      <c r="P5" s="305"/>
    </row>
    <row r="6" spans="1:23" ht="15.75">
      <c r="B6" s="307">
        <f>+'Sys INPUT'!B1</f>
        <v>45107</v>
      </c>
      <c r="C6" s="307"/>
      <c r="D6" s="307"/>
      <c r="E6" s="307"/>
      <c r="F6" s="307"/>
      <c r="G6" s="307"/>
      <c r="H6" s="307"/>
      <c r="I6" s="307"/>
      <c r="J6" s="305"/>
      <c r="K6" s="307"/>
      <c r="L6" s="305"/>
      <c r="M6" s="305"/>
      <c r="N6" s="305"/>
      <c r="O6" s="305"/>
      <c r="P6" s="305"/>
    </row>
    <row r="7" spans="1:23" ht="15.75" hidden="1">
      <c r="B7" s="305"/>
      <c r="C7" s="305"/>
      <c r="D7" s="305"/>
      <c r="E7" s="305"/>
      <c r="F7" s="305"/>
      <c r="G7" s="305"/>
      <c r="H7" s="305"/>
      <c r="I7" s="305"/>
      <c r="J7" s="305"/>
      <c r="K7" s="305"/>
      <c r="L7" s="305"/>
      <c r="M7" s="305"/>
      <c r="N7" s="305"/>
      <c r="O7" s="305"/>
      <c r="P7" s="305"/>
    </row>
    <row r="8" spans="1:23" ht="15.75">
      <c r="B8" s="305"/>
      <c r="C8" s="305"/>
      <c r="D8" s="305"/>
      <c r="E8" s="305"/>
      <c r="F8" s="305"/>
      <c r="G8" s="305"/>
      <c r="H8" s="305"/>
      <c r="I8" s="305"/>
      <c r="J8" s="305"/>
      <c r="K8" s="305"/>
      <c r="L8" s="305"/>
      <c r="M8" s="305"/>
      <c r="N8" s="305"/>
      <c r="O8" s="305"/>
      <c r="P8" s="305"/>
    </row>
    <row r="9" spans="1:23" ht="15.75">
      <c r="B9" s="308"/>
      <c r="C9" s="308"/>
      <c r="D9" s="308"/>
      <c r="E9" s="308"/>
      <c r="F9" s="308"/>
      <c r="G9" s="308"/>
      <c r="H9" s="308"/>
      <c r="I9" s="308"/>
      <c r="J9" s="308"/>
      <c r="K9" s="308"/>
      <c r="L9" s="308"/>
      <c r="M9" s="308"/>
      <c r="N9" s="308"/>
      <c r="O9" s="308"/>
      <c r="P9" s="308"/>
    </row>
    <row r="10" spans="1:23" ht="15.75">
      <c r="B10" s="308"/>
      <c r="C10" s="287"/>
      <c r="D10" s="287" t="str">
        <f>INPUT!BH5</f>
        <v>CITY/COUNTY</v>
      </c>
      <c r="E10" s="287"/>
      <c r="F10" s="287" t="str">
        <f>INPUT!BI5</f>
        <v>OPEN</v>
      </c>
      <c r="G10" s="308"/>
      <c r="H10" s="287" t="str">
        <f>INPUT!BJ5</f>
        <v>HEALTH</v>
      </c>
      <c r="I10" s="308"/>
      <c r="J10" s="287" t="str">
        <f>INPUT!BK5</f>
        <v>RSID</v>
      </c>
      <c r="K10" s="308"/>
      <c r="L10" s="287" t="str">
        <f>INPUT!BL5</f>
        <v>SEARCH &amp;</v>
      </c>
      <c r="M10" s="308"/>
      <c r="N10" s="287" t="str">
        <f>INPUT!BM5</f>
        <v>DETENTION</v>
      </c>
      <c r="O10" s="308"/>
      <c r="P10" s="287" t="s">
        <v>315</v>
      </c>
    </row>
    <row r="11" spans="1:23" ht="15.75">
      <c r="B11" s="308"/>
      <c r="C11" s="287"/>
      <c r="D11" s="287" t="str">
        <f>INPUT!BH6</f>
        <v>BUILDING</v>
      </c>
      <c r="E11" s="287"/>
      <c r="F11" s="287" t="str">
        <f>INPUT!BI6</f>
        <v>SPACE</v>
      </c>
      <c r="G11" s="308"/>
      <c r="H11" s="287" t="str">
        <f>INPUT!BJ6</f>
        <v>FACILITIES</v>
      </c>
      <c r="I11" s="308"/>
      <c r="J11" s="287" t="str">
        <f>INPUT!BK6</f>
        <v>REVOLVING</v>
      </c>
      <c r="K11" s="308"/>
      <c r="L11" s="287" t="str">
        <f>INPUT!BL6</f>
        <v>RESCUE BLDG</v>
      </c>
      <c r="M11" s="308"/>
      <c r="N11" s="287" t="str">
        <f>INPUT!BM6</f>
        <v>CENTER</v>
      </c>
      <c r="O11" s="308"/>
      <c r="P11" s="287" t="s">
        <v>65</v>
      </c>
      <c r="Q11" s="308"/>
      <c r="R11" s="308"/>
    </row>
    <row r="12" spans="1:23" ht="15.75">
      <c r="B12" s="308"/>
      <c r="C12" s="308"/>
      <c r="D12" s="290" t="str">
        <f>INPUT!BH7</f>
        <v>DEBT</v>
      </c>
      <c r="E12" s="308"/>
      <c r="F12" s="290" t="str">
        <f>INPUT!BI7</f>
        <v>DEBT</v>
      </c>
      <c r="G12" s="308"/>
      <c r="H12" s="290" t="str">
        <f>INPUT!BJ7</f>
        <v>DEBT</v>
      </c>
      <c r="I12" s="308"/>
      <c r="J12" s="290" t="str">
        <f>INPUT!BK7</f>
        <v>DEBT</v>
      </c>
      <c r="K12" s="308"/>
      <c r="L12" s="290" t="str">
        <f>INPUT!BL7</f>
        <v>DEBT</v>
      </c>
      <c r="M12" s="308"/>
      <c r="N12" s="290" t="str">
        <f>INPUT!BM7</f>
        <v>DEBT</v>
      </c>
      <c r="O12" s="308"/>
      <c r="P12" s="290" t="s">
        <v>223</v>
      </c>
      <c r="Q12" s="308"/>
      <c r="R12" s="308"/>
    </row>
    <row r="13" spans="1:23" ht="15.75">
      <c r="B13" s="308" t="str">
        <f>INPUT!B83</f>
        <v>ASSETS</v>
      </c>
      <c r="C13" s="308"/>
      <c r="D13" s="276"/>
      <c r="E13" s="308"/>
      <c r="F13" s="276"/>
      <c r="G13" s="308"/>
      <c r="H13" s="276"/>
      <c r="I13" s="308"/>
      <c r="J13" s="276"/>
      <c r="K13" s="308"/>
      <c r="L13" s="276"/>
      <c r="M13" s="308"/>
      <c r="N13" s="276"/>
      <c r="O13" s="308"/>
      <c r="P13" s="276"/>
      <c r="Q13" s="308"/>
      <c r="R13" s="308"/>
    </row>
    <row r="14" spans="1:23" ht="15.75">
      <c r="A14" s="361"/>
      <c r="B14" s="276" t="str">
        <f>INPUT!B85</f>
        <v xml:space="preserve">     Cash and cash equivalents</v>
      </c>
      <c r="C14" s="303"/>
      <c r="D14" s="292">
        <f>+INPUT!BH85</f>
        <v>0</v>
      </c>
      <c r="E14" s="303"/>
      <c r="F14" s="292">
        <f>+INPUT!BI85</f>
        <v>34672</v>
      </c>
      <c r="G14" s="308"/>
      <c r="H14" s="292">
        <f>+INPUT!BJ85</f>
        <v>0</v>
      </c>
      <c r="I14" s="308"/>
      <c r="J14" s="292">
        <f>+INPUT!BK85</f>
        <v>325061</v>
      </c>
      <c r="K14" s="308"/>
      <c r="L14" s="292">
        <f>+INPUT!BL85</f>
        <v>46688</v>
      </c>
      <c r="M14" s="308"/>
      <c r="N14" s="292">
        <f>+INPUT!BM85</f>
        <v>16314</v>
      </c>
      <c r="O14" s="308"/>
      <c r="P14" s="292">
        <f>SUM(C14:N14)</f>
        <v>422735</v>
      </c>
      <c r="Q14" s="314"/>
      <c r="R14" s="314"/>
      <c r="S14" s="351"/>
      <c r="T14" s="351"/>
      <c r="U14" s="351"/>
      <c r="V14" s="351"/>
      <c r="W14" s="351"/>
    </row>
    <row r="15" spans="1:23" ht="15.75">
      <c r="B15" s="276" t="str">
        <f>INPUT!B86</f>
        <v xml:space="preserve">     Investments </v>
      </c>
      <c r="C15" s="276"/>
      <c r="D15" s="294">
        <f>+INPUT!BH86+INPUT!BH100</f>
        <v>0</v>
      </c>
      <c r="E15" s="276"/>
      <c r="F15" s="294">
        <f>+INPUT!BI86+INPUT!BI100</f>
        <v>6622</v>
      </c>
      <c r="G15" s="308"/>
      <c r="H15" s="294">
        <f>+INPUT!BJ86+INPUT!BJ100</f>
        <v>0</v>
      </c>
      <c r="I15" s="308"/>
      <c r="J15" s="294">
        <f>+INPUT!BK86+INPUT!BK100</f>
        <v>62087</v>
      </c>
      <c r="K15" s="308"/>
      <c r="L15" s="294">
        <f>+INPUT!BL86+INPUT!BL100</f>
        <v>8918</v>
      </c>
      <c r="M15" s="308"/>
      <c r="N15" s="294">
        <f>+INPUT!BM86+INPUT!BM100</f>
        <v>3116</v>
      </c>
      <c r="O15" s="308"/>
      <c r="P15" s="294">
        <f>SUM(C15:N15)</f>
        <v>80743</v>
      </c>
      <c r="Q15" s="314"/>
      <c r="R15" s="314"/>
      <c r="S15" s="351"/>
      <c r="T15" s="351"/>
      <c r="U15" s="351"/>
      <c r="V15" s="351"/>
      <c r="W15" s="351"/>
    </row>
    <row r="16" spans="1:23" ht="15.75">
      <c r="B16" s="276" t="str">
        <f>INPUT!B87</f>
        <v xml:space="preserve">     Receivables (net of allowance):</v>
      </c>
      <c r="C16" s="276"/>
      <c r="D16" s="294"/>
      <c r="E16" s="276"/>
      <c r="F16" s="294"/>
      <c r="G16" s="308"/>
      <c r="H16" s="294"/>
      <c r="I16" s="308"/>
      <c r="J16" s="294"/>
      <c r="K16" s="308"/>
      <c r="L16" s="294"/>
      <c r="M16" s="308"/>
      <c r="N16" s="294"/>
      <c r="O16" s="308"/>
      <c r="P16" s="294"/>
      <c r="Q16" s="314"/>
      <c r="R16" s="314"/>
      <c r="S16" s="351"/>
      <c r="T16" s="351"/>
      <c r="U16" s="351"/>
      <c r="V16" s="351"/>
      <c r="W16" s="351"/>
    </row>
    <row r="17" spans="1:23" ht="15.75">
      <c r="B17" s="276" t="str">
        <f>INPUT!B88</f>
        <v xml:space="preserve">          Taxes/assessments</v>
      </c>
      <c r="C17" s="276"/>
      <c r="D17" s="294">
        <f>+INPUT!BH88</f>
        <v>0</v>
      </c>
      <c r="E17" s="276"/>
      <c r="F17" s="294">
        <f>+INPUT!BI88</f>
        <v>22255</v>
      </c>
      <c r="G17" s="308"/>
      <c r="H17" s="294">
        <f>+INPUT!BJ88</f>
        <v>0</v>
      </c>
      <c r="I17" s="308"/>
      <c r="J17" s="294">
        <f>+INPUT!BK88</f>
        <v>0</v>
      </c>
      <c r="K17" s="308"/>
      <c r="L17" s="294">
        <f>+INPUT!BL88</f>
        <v>2228</v>
      </c>
      <c r="M17" s="308"/>
      <c r="N17" s="294">
        <f>+INPUT!BM88</f>
        <v>15159</v>
      </c>
      <c r="O17" s="308"/>
      <c r="P17" s="294">
        <f t="shared" ref="P17:P31" si="0">SUM(C17:N17)</f>
        <v>39642</v>
      </c>
      <c r="Q17" s="314"/>
      <c r="R17" s="314"/>
      <c r="S17" s="351"/>
      <c r="T17" s="351"/>
      <c r="U17" s="351"/>
      <c r="V17" s="351"/>
      <c r="W17" s="351"/>
    </row>
    <row r="18" spans="1:23" ht="15.75" hidden="1">
      <c r="A18" s="288" t="s">
        <v>299</v>
      </c>
      <c r="B18" s="276" t="str">
        <f>INPUT!B89</f>
        <v xml:space="preserve">          Accounts/contracts</v>
      </c>
      <c r="C18" s="276"/>
      <c r="D18" s="294">
        <f>+INPUT!BH89</f>
        <v>0</v>
      </c>
      <c r="E18" s="276"/>
      <c r="F18" s="294">
        <f>+INPUT!BI89</f>
        <v>0</v>
      </c>
      <c r="G18" s="308"/>
      <c r="H18" s="294">
        <f>+INPUT!BJ89</f>
        <v>0</v>
      </c>
      <c r="I18" s="308"/>
      <c r="J18" s="294">
        <f>+INPUT!BK89</f>
        <v>0</v>
      </c>
      <c r="K18" s="308"/>
      <c r="L18" s="294">
        <f>+INPUT!BL89</f>
        <v>0</v>
      </c>
      <c r="M18" s="308"/>
      <c r="N18" s="294">
        <f>+INPUT!BM89</f>
        <v>0</v>
      </c>
      <c r="O18" s="308"/>
      <c r="P18" s="294">
        <f t="shared" si="0"/>
        <v>0</v>
      </c>
      <c r="Q18" s="314"/>
      <c r="R18" s="314"/>
      <c r="S18" s="351"/>
      <c r="T18" s="351"/>
      <c r="U18" s="351"/>
      <c r="V18" s="351"/>
      <c r="W18" s="351"/>
    </row>
    <row r="19" spans="1:23" ht="15.75" hidden="1">
      <c r="B19" s="276" t="str">
        <f>INPUT!B90</f>
        <v xml:space="preserve">          Notes receivable</v>
      </c>
      <c r="C19" s="276"/>
      <c r="D19" s="294">
        <f>+INPUT!BH90</f>
        <v>0</v>
      </c>
      <c r="E19" s="276"/>
      <c r="F19" s="294">
        <f>+INPUT!BI90</f>
        <v>0</v>
      </c>
      <c r="G19" s="308"/>
      <c r="H19" s="294">
        <f>+INPUT!BJ90</f>
        <v>0</v>
      </c>
      <c r="I19" s="308"/>
      <c r="J19" s="294">
        <f>+INPUT!BK90</f>
        <v>0</v>
      </c>
      <c r="K19" s="308"/>
      <c r="L19" s="294">
        <f>+INPUT!BL90</f>
        <v>0</v>
      </c>
      <c r="M19" s="308"/>
      <c r="N19" s="294">
        <f>+INPUT!BM90</f>
        <v>0</v>
      </c>
      <c r="O19" s="308"/>
      <c r="P19" s="294">
        <f t="shared" si="0"/>
        <v>0</v>
      </c>
      <c r="Q19" s="314"/>
      <c r="R19" s="314"/>
      <c r="S19" s="351"/>
      <c r="T19" s="351"/>
      <c r="U19" s="351"/>
      <c r="V19" s="351"/>
      <c r="W19" s="351"/>
    </row>
    <row r="20" spans="1:23" ht="15.75" hidden="1">
      <c r="B20" s="276" t="str">
        <f>INPUT!B91</f>
        <v xml:space="preserve">          Leases</v>
      </c>
      <c r="C20" s="276"/>
      <c r="D20" s="294">
        <f>+INPUT!BH91</f>
        <v>0</v>
      </c>
      <c r="E20" s="276"/>
      <c r="F20" s="294">
        <f>+INPUT!BI91</f>
        <v>0</v>
      </c>
      <c r="G20" s="308"/>
      <c r="H20" s="294">
        <f>+INPUT!BJ91</f>
        <v>0</v>
      </c>
      <c r="I20" s="308"/>
      <c r="J20" s="294">
        <f>+INPUT!BK91</f>
        <v>0</v>
      </c>
      <c r="K20" s="308"/>
      <c r="L20" s="294">
        <f>+INPUT!BL91</f>
        <v>0</v>
      </c>
      <c r="M20" s="308"/>
      <c r="N20" s="294">
        <f>+INPUT!BM91</f>
        <v>0</v>
      </c>
      <c r="O20" s="308"/>
      <c r="P20" s="294">
        <f t="shared" ref="P20" si="1">SUM(C20:N20)</f>
        <v>0</v>
      </c>
      <c r="Q20" s="314"/>
      <c r="R20" s="314"/>
      <c r="S20" s="351"/>
      <c r="T20" s="351"/>
      <c r="U20" s="351"/>
      <c r="V20" s="351"/>
      <c r="W20" s="351"/>
    </row>
    <row r="21" spans="1:23" ht="15.75" hidden="1">
      <c r="B21" s="276" t="str">
        <f>INPUT!B92</f>
        <v xml:space="preserve">     Due from other funds</v>
      </c>
      <c r="C21" s="276"/>
      <c r="D21" s="294">
        <f>+INPUT!BH92</f>
        <v>0</v>
      </c>
      <c r="E21" s="276"/>
      <c r="F21" s="294">
        <f>+INPUT!BI92</f>
        <v>0</v>
      </c>
      <c r="G21" s="308"/>
      <c r="H21" s="294">
        <f>+INPUT!BJ92</f>
        <v>0</v>
      </c>
      <c r="I21" s="308"/>
      <c r="J21" s="294">
        <f>+INPUT!BK92</f>
        <v>0</v>
      </c>
      <c r="K21" s="308"/>
      <c r="L21" s="294">
        <f>+INPUT!BL92</f>
        <v>0</v>
      </c>
      <c r="M21" s="308"/>
      <c r="N21" s="294">
        <f>+INPUT!BM92</f>
        <v>0</v>
      </c>
      <c r="O21" s="308"/>
      <c r="P21" s="294">
        <f t="shared" si="0"/>
        <v>0</v>
      </c>
      <c r="Q21" s="314"/>
      <c r="R21" s="314"/>
      <c r="S21" s="351"/>
      <c r="T21" s="351"/>
      <c r="U21" s="351"/>
      <c r="V21" s="351"/>
      <c r="W21" s="351"/>
    </row>
    <row r="22" spans="1:23" ht="15.75" hidden="1">
      <c r="B22" s="276" t="str">
        <f>INPUT!B93</f>
        <v xml:space="preserve">     Due from other governments</v>
      </c>
      <c r="C22" s="276"/>
      <c r="D22" s="294">
        <f>+INPUT!BH93</f>
        <v>0</v>
      </c>
      <c r="E22" s="276"/>
      <c r="F22" s="294">
        <f>+INPUT!BI93</f>
        <v>0</v>
      </c>
      <c r="G22" s="308"/>
      <c r="H22" s="294">
        <f>+INPUT!BJ93</f>
        <v>0</v>
      </c>
      <c r="I22" s="308"/>
      <c r="J22" s="294">
        <f>+INPUT!BK93</f>
        <v>0</v>
      </c>
      <c r="K22" s="308"/>
      <c r="L22" s="294">
        <f>+INPUT!BL93</f>
        <v>0</v>
      </c>
      <c r="M22" s="308"/>
      <c r="N22" s="294">
        <f>+INPUT!BM93</f>
        <v>0</v>
      </c>
      <c r="O22" s="308"/>
      <c r="P22" s="294">
        <f t="shared" si="0"/>
        <v>0</v>
      </c>
      <c r="Q22" s="314"/>
      <c r="R22" s="314"/>
      <c r="S22" s="351"/>
      <c r="T22" s="351"/>
      <c r="U22" s="351"/>
      <c r="V22" s="351"/>
      <c r="W22" s="351"/>
    </row>
    <row r="23" spans="1:23" ht="15.75" hidden="1">
      <c r="A23" s="288" t="s">
        <v>299</v>
      </c>
      <c r="B23" s="276" t="str">
        <f>INPUT!B94</f>
        <v xml:space="preserve">     Inventories</v>
      </c>
      <c r="C23" s="276"/>
      <c r="D23" s="294">
        <f>+INPUT!BH94</f>
        <v>0</v>
      </c>
      <c r="E23" s="276"/>
      <c r="F23" s="294">
        <f>+INPUT!BI94</f>
        <v>0</v>
      </c>
      <c r="G23" s="308"/>
      <c r="H23" s="294">
        <f>+INPUT!BJ94</f>
        <v>0</v>
      </c>
      <c r="I23" s="308"/>
      <c r="J23" s="294">
        <f>+INPUT!BK94</f>
        <v>0</v>
      </c>
      <c r="K23" s="308"/>
      <c r="L23" s="294">
        <f>+INPUT!BL94</f>
        <v>0</v>
      </c>
      <c r="M23" s="308"/>
      <c r="N23" s="294">
        <f>+INPUT!BM94</f>
        <v>0</v>
      </c>
      <c r="O23" s="308"/>
      <c r="P23" s="294">
        <f t="shared" si="0"/>
        <v>0</v>
      </c>
      <c r="Q23" s="314"/>
      <c r="R23" s="314"/>
      <c r="S23" s="351"/>
      <c r="T23" s="351"/>
      <c r="U23" s="351"/>
      <c r="V23" s="351"/>
      <c r="W23" s="351"/>
    </row>
    <row r="24" spans="1:23" ht="15.75" hidden="1">
      <c r="A24" s="288" t="s">
        <v>299</v>
      </c>
      <c r="B24" s="276" t="str">
        <f>INPUT!B96</f>
        <v>Noncurrent assets:</v>
      </c>
      <c r="C24" s="276"/>
      <c r="D24" s="294"/>
      <c r="E24" s="276"/>
      <c r="F24" s="294"/>
      <c r="G24" s="308"/>
      <c r="H24" s="294"/>
      <c r="I24" s="308"/>
      <c r="J24" s="294"/>
      <c r="K24" s="308"/>
      <c r="L24" s="294"/>
      <c r="M24" s="308"/>
      <c r="N24" s="294"/>
      <c r="O24" s="308"/>
      <c r="P24" s="294">
        <f t="shared" si="0"/>
        <v>0</v>
      </c>
      <c r="Q24" s="314"/>
      <c r="R24" s="314"/>
      <c r="S24" s="351"/>
      <c r="T24" s="351"/>
      <c r="U24" s="351"/>
      <c r="V24" s="351"/>
      <c r="W24" s="351"/>
    </row>
    <row r="25" spans="1:23" ht="15.75" hidden="1">
      <c r="A25" s="288" t="s">
        <v>299</v>
      </c>
      <c r="B25" s="276" t="str">
        <f>INPUT!B97</f>
        <v xml:space="preserve">     Restricted assets:</v>
      </c>
      <c r="C25" s="276"/>
      <c r="D25" s="294"/>
      <c r="E25" s="276"/>
      <c r="F25" s="294"/>
      <c r="G25" s="308"/>
      <c r="H25" s="294"/>
      <c r="I25" s="308"/>
      <c r="J25" s="294"/>
      <c r="K25" s="308"/>
      <c r="L25" s="294"/>
      <c r="M25" s="308"/>
      <c r="N25" s="294"/>
      <c r="O25" s="308"/>
      <c r="P25" s="294">
        <f t="shared" si="0"/>
        <v>0</v>
      </c>
      <c r="Q25" s="314"/>
      <c r="R25" s="314"/>
      <c r="S25" s="351"/>
      <c r="T25" s="351"/>
      <c r="U25" s="351"/>
      <c r="V25" s="351"/>
      <c r="W25" s="351"/>
    </row>
    <row r="26" spans="1:23" ht="15.75" hidden="1">
      <c r="A26" s="288" t="s">
        <v>299</v>
      </c>
      <c r="B26" s="276" t="str">
        <f>INPUT!B98</f>
        <v xml:space="preserve">          Cash and cash equivalents</v>
      </c>
      <c r="C26" s="276"/>
      <c r="D26" s="294">
        <f>+INPUT!BH98</f>
        <v>0</v>
      </c>
      <c r="E26" s="276"/>
      <c r="F26" s="294">
        <f>+INPUT!BI98</f>
        <v>0</v>
      </c>
      <c r="G26" s="308"/>
      <c r="H26" s="294">
        <f>+INPUT!BJ98</f>
        <v>0</v>
      </c>
      <c r="I26" s="308"/>
      <c r="J26" s="294">
        <f>+INPUT!BK98</f>
        <v>0</v>
      </c>
      <c r="K26" s="308"/>
      <c r="L26" s="294">
        <f>+INPUT!BL98</f>
        <v>0</v>
      </c>
      <c r="M26" s="308"/>
      <c r="N26" s="294">
        <f>+INPUT!BM98</f>
        <v>0</v>
      </c>
      <c r="O26" s="308"/>
      <c r="P26" s="294">
        <f t="shared" si="0"/>
        <v>0</v>
      </c>
      <c r="Q26" s="314"/>
      <c r="R26" s="314"/>
      <c r="S26" s="351"/>
      <c r="T26" s="351"/>
      <c r="U26" s="351"/>
      <c r="V26" s="351"/>
      <c r="W26" s="351"/>
    </row>
    <row r="27" spans="1:23" ht="15.75" hidden="1">
      <c r="A27" s="288" t="s">
        <v>299</v>
      </c>
      <c r="B27" s="276" t="str">
        <f>INPUT!B99</f>
        <v xml:space="preserve">          Investments</v>
      </c>
      <c r="C27" s="276"/>
      <c r="D27" s="294">
        <f>+INPUT!BH99</f>
        <v>0</v>
      </c>
      <c r="E27" s="276"/>
      <c r="F27" s="294">
        <f>+INPUT!BI99</f>
        <v>0</v>
      </c>
      <c r="G27" s="308"/>
      <c r="H27" s="294">
        <f>+INPUT!BJ99</f>
        <v>0</v>
      </c>
      <c r="I27" s="308"/>
      <c r="J27" s="294">
        <f>+INPUT!BK99</f>
        <v>0</v>
      </c>
      <c r="K27" s="308"/>
      <c r="L27" s="294">
        <f>+INPUT!BL99</f>
        <v>0</v>
      </c>
      <c r="M27" s="308"/>
      <c r="N27" s="294">
        <f>+INPUT!BM99</f>
        <v>0</v>
      </c>
      <c r="O27" s="308"/>
      <c r="P27" s="294">
        <f t="shared" si="0"/>
        <v>0</v>
      </c>
      <c r="Q27" s="314"/>
      <c r="R27" s="314"/>
      <c r="S27" s="351"/>
      <c r="T27" s="351"/>
      <c r="U27" s="351"/>
      <c r="V27" s="351"/>
      <c r="W27" s="351"/>
    </row>
    <row r="28" spans="1:23" ht="15.75" hidden="1">
      <c r="A28" s="276" t="s">
        <v>299</v>
      </c>
      <c r="B28" s="276" t="str">
        <f>INPUT!B100</f>
        <v xml:space="preserve">     Valuation of investments to fair value</v>
      </c>
      <c r="C28" s="276"/>
      <c r="D28" s="294">
        <f>+INPUT!BH100</f>
        <v>0</v>
      </c>
      <c r="E28" s="276"/>
      <c r="F28" s="294">
        <f>+INPUT!BI100</f>
        <v>0</v>
      </c>
      <c r="G28" s="308"/>
      <c r="H28" s="294">
        <f>+INPUT!BJ100</f>
        <v>0</v>
      </c>
      <c r="I28" s="308"/>
      <c r="J28" s="294">
        <f>+INPUT!BK100</f>
        <v>0</v>
      </c>
      <c r="K28" s="308"/>
      <c r="L28" s="294">
        <f>+INPUT!BL100</f>
        <v>0</v>
      </c>
      <c r="M28" s="308"/>
      <c r="N28" s="294">
        <f>+INPUT!BM100</f>
        <v>0</v>
      </c>
      <c r="O28" s="308"/>
      <c r="P28" s="294">
        <f t="shared" si="0"/>
        <v>0</v>
      </c>
      <c r="Q28" s="314"/>
      <c r="R28" s="314"/>
      <c r="S28" s="351"/>
      <c r="T28" s="351"/>
      <c r="U28" s="351"/>
      <c r="V28" s="351"/>
      <c r="W28" s="351"/>
    </row>
    <row r="29" spans="1:23" ht="15.75" hidden="1">
      <c r="A29" s="276"/>
      <c r="B29" s="276" t="str">
        <f>INPUT!B101</f>
        <v xml:space="preserve">     Long-term accounts/contracts receivable</v>
      </c>
      <c r="C29" s="276"/>
      <c r="D29" s="294">
        <f>+INPUT!BH101</f>
        <v>0</v>
      </c>
      <c r="E29" s="276"/>
      <c r="F29" s="294">
        <f>+INPUT!BI101</f>
        <v>0</v>
      </c>
      <c r="G29" s="308"/>
      <c r="H29" s="294">
        <f>+INPUT!BJ101</f>
        <v>0</v>
      </c>
      <c r="I29" s="308"/>
      <c r="J29" s="294">
        <f>+INPUT!BK101</f>
        <v>0</v>
      </c>
      <c r="K29" s="308"/>
      <c r="L29" s="294">
        <f>+INPUT!BL101</f>
        <v>0</v>
      </c>
      <c r="M29" s="308"/>
      <c r="N29" s="294">
        <f>+INPUT!BM101</f>
        <v>0</v>
      </c>
      <c r="O29" s="308"/>
      <c r="P29" s="294">
        <f t="shared" si="0"/>
        <v>0</v>
      </c>
      <c r="Q29" s="314"/>
      <c r="R29" s="314"/>
      <c r="S29" s="351"/>
      <c r="T29" s="351"/>
      <c r="U29" s="351"/>
      <c r="V29" s="351"/>
      <c r="W29" s="351"/>
    </row>
    <row r="30" spans="1:23" ht="15.75" hidden="1">
      <c r="A30" s="276"/>
      <c r="B30" s="276" t="str">
        <f>INPUT!B102</f>
        <v xml:space="preserve">     Long-term notes receivable</v>
      </c>
      <c r="C30" s="276"/>
      <c r="D30" s="294">
        <f>+INPUT!BH102</f>
        <v>0</v>
      </c>
      <c r="E30" s="276"/>
      <c r="F30" s="294">
        <f>+INPUT!BI102</f>
        <v>0</v>
      </c>
      <c r="G30" s="308"/>
      <c r="H30" s="294">
        <f>+INPUT!BJ102</f>
        <v>0</v>
      </c>
      <c r="I30" s="308"/>
      <c r="J30" s="294">
        <f>+INPUT!BK102</f>
        <v>0</v>
      </c>
      <c r="K30" s="308"/>
      <c r="L30" s="294">
        <f>+INPUT!BL102</f>
        <v>0</v>
      </c>
      <c r="M30" s="308"/>
      <c r="N30" s="294">
        <f>+INPUT!BM102</f>
        <v>0</v>
      </c>
      <c r="O30" s="308"/>
      <c r="P30" s="294">
        <f t="shared" si="0"/>
        <v>0</v>
      </c>
      <c r="Q30" s="314"/>
      <c r="R30" s="314"/>
      <c r="S30" s="351"/>
      <c r="T30" s="351"/>
      <c r="U30" s="351"/>
      <c r="V30" s="351"/>
      <c r="W30" s="351"/>
    </row>
    <row r="31" spans="1:23" ht="15.75" hidden="1">
      <c r="B31" s="276" t="str">
        <f>INPUT!B103</f>
        <v xml:space="preserve">     Advances to other funds</v>
      </c>
      <c r="C31" s="276"/>
      <c r="D31" s="294">
        <f>+INPUT!BH103</f>
        <v>0</v>
      </c>
      <c r="E31" s="276"/>
      <c r="F31" s="294">
        <f>+INPUT!BI103</f>
        <v>0</v>
      </c>
      <c r="G31" s="308"/>
      <c r="H31" s="294">
        <f>+INPUT!BJ103</f>
        <v>0</v>
      </c>
      <c r="I31" s="308"/>
      <c r="J31" s="294">
        <f>+INPUT!BK103</f>
        <v>0</v>
      </c>
      <c r="K31" s="308"/>
      <c r="L31" s="294">
        <f>+INPUT!BL103</f>
        <v>0</v>
      </c>
      <c r="M31" s="308"/>
      <c r="N31" s="294">
        <f>+INPUT!BM103</f>
        <v>0</v>
      </c>
      <c r="O31" s="308"/>
      <c r="P31" s="294">
        <f t="shared" si="0"/>
        <v>0</v>
      </c>
      <c r="Q31" s="314"/>
      <c r="R31" s="314"/>
      <c r="S31" s="351"/>
      <c r="T31" s="351"/>
      <c r="U31" s="351"/>
      <c r="V31" s="351"/>
      <c r="W31" s="351"/>
    </row>
    <row r="32" spans="1:23" ht="15.75" hidden="1">
      <c r="B32" s="276"/>
      <c r="C32" s="276"/>
      <c r="D32" s="294"/>
      <c r="E32" s="276"/>
      <c r="F32" s="294"/>
      <c r="G32" s="308"/>
      <c r="H32" s="294"/>
      <c r="I32" s="308"/>
      <c r="J32" s="294"/>
      <c r="K32" s="308"/>
      <c r="L32" s="294"/>
      <c r="M32" s="308"/>
      <c r="N32" s="294"/>
      <c r="O32" s="308"/>
      <c r="P32" s="294"/>
      <c r="Q32" s="314"/>
      <c r="R32" s="314"/>
      <c r="S32" s="351"/>
      <c r="T32" s="351"/>
      <c r="U32" s="351"/>
      <c r="V32" s="351"/>
      <c r="W32" s="351"/>
    </row>
    <row r="33" spans="1:23" ht="15.75" hidden="1">
      <c r="B33" s="276"/>
      <c r="C33" s="276"/>
      <c r="D33" s="294"/>
      <c r="E33" s="276"/>
      <c r="F33" s="294"/>
      <c r="G33" s="308"/>
      <c r="H33" s="294"/>
      <c r="I33" s="308"/>
      <c r="J33" s="294"/>
      <c r="K33" s="308"/>
      <c r="L33" s="294"/>
      <c r="M33" s="308"/>
      <c r="N33" s="294"/>
      <c r="O33" s="308"/>
      <c r="P33" s="294"/>
      <c r="Q33" s="314"/>
      <c r="R33" s="314"/>
      <c r="S33" s="351"/>
      <c r="T33" s="351"/>
      <c r="U33" s="351"/>
      <c r="V33" s="351"/>
      <c r="W33" s="351"/>
    </row>
    <row r="34" spans="1:23" ht="15.75" hidden="1">
      <c r="B34" s="276"/>
      <c r="C34" s="276"/>
      <c r="D34" s="294"/>
      <c r="E34" s="276"/>
      <c r="F34" s="294"/>
      <c r="G34" s="308"/>
      <c r="H34" s="294"/>
      <c r="I34" s="308"/>
      <c r="J34" s="294"/>
      <c r="K34" s="308"/>
      <c r="L34" s="294"/>
      <c r="M34" s="308"/>
      <c r="N34" s="294"/>
      <c r="O34" s="308"/>
      <c r="P34" s="294"/>
      <c r="Q34" s="314"/>
      <c r="R34" s="314"/>
      <c r="S34" s="351"/>
      <c r="T34" s="351"/>
      <c r="U34" s="351"/>
      <c r="V34" s="351"/>
      <c r="W34" s="351"/>
    </row>
    <row r="35" spans="1:23" ht="15.75" hidden="1">
      <c r="B35" s="276"/>
      <c r="C35" s="276"/>
      <c r="D35" s="294"/>
      <c r="E35" s="276"/>
      <c r="F35" s="294"/>
      <c r="G35" s="308"/>
      <c r="H35" s="294"/>
      <c r="I35" s="308"/>
      <c r="J35" s="294"/>
      <c r="K35" s="308"/>
      <c r="L35" s="294"/>
      <c r="M35" s="308"/>
      <c r="N35" s="294"/>
      <c r="O35" s="308"/>
      <c r="P35" s="294"/>
      <c r="Q35" s="314"/>
      <c r="R35" s="314"/>
      <c r="S35" s="351"/>
      <c r="T35" s="351"/>
      <c r="U35" s="351"/>
      <c r="V35" s="351"/>
      <c r="W35" s="351"/>
    </row>
    <row r="36" spans="1:23" ht="15.75" hidden="1">
      <c r="B36" s="276"/>
      <c r="C36" s="276"/>
      <c r="D36" s="294"/>
      <c r="E36" s="276"/>
      <c r="F36" s="294"/>
      <c r="G36" s="308"/>
      <c r="H36" s="294"/>
      <c r="I36" s="308"/>
      <c r="J36" s="294"/>
      <c r="K36" s="308"/>
      <c r="L36" s="294"/>
      <c r="M36" s="308"/>
      <c r="N36" s="294"/>
      <c r="O36" s="308"/>
      <c r="P36" s="294"/>
      <c r="Q36" s="314"/>
      <c r="R36" s="314"/>
      <c r="S36" s="351"/>
      <c r="T36" s="351"/>
      <c r="U36" s="351"/>
      <c r="V36" s="351"/>
      <c r="W36" s="351"/>
    </row>
    <row r="37" spans="1:23" ht="15.75" hidden="1">
      <c r="B37" s="276"/>
      <c r="C37" s="276"/>
      <c r="D37" s="294"/>
      <c r="E37" s="276"/>
      <c r="F37" s="294"/>
      <c r="G37" s="308"/>
      <c r="H37" s="294"/>
      <c r="I37" s="308"/>
      <c r="J37" s="294"/>
      <c r="K37" s="308"/>
      <c r="L37" s="294"/>
      <c r="M37" s="308"/>
      <c r="N37" s="294"/>
      <c r="O37" s="308"/>
      <c r="P37" s="294"/>
      <c r="Q37" s="314"/>
      <c r="R37" s="314"/>
      <c r="S37" s="351"/>
      <c r="T37" s="351"/>
      <c r="U37" s="351"/>
      <c r="V37" s="351"/>
      <c r="W37" s="351"/>
    </row>
    <row r="38" spans="1:23" ht="15.75" hidden="1">
      <c r="B38" s="276"/>
      <c r="C38" s="276"/>
      <c r="D38" s="294"/>
      <c r="E38" s="276"/>
      <c r="F38" s="294"/>
      <c r="G38" s="308"/>
      <c r="H38" s="294"/>
      <c r="I38" s="308"/>
      <c r="J38" s="294"/>
      <c r="K38" s="308"/>
      <c r="L38" s="294"/>
      <c r="M38" s="308"/>
      <c r="N38" s="294"/>
      <c r="O38" s="308"/>
      <c r="P38" s="294"/>
      <c r="Q38" s="314"/>
      <c r="R38" s="314"/>
      <c r="S38" s="351"/>
      <c r="T38" s="351"/>
      <c r="U38" s="351"/>
      <c r="V38" s="351"/>
      <c r="W38" s="351"/>
    </row>
    <row r="39" spans="1:23" ht="15.75" hidden="1">
      <c r="B39" s="276"/>
      <c r="C39" s="276"/>
      <c r="D39" s="294"/>
      <c r="E39" s="276"/>
      <c r="F39" s="294"/>
      <c r="G39" s="308"/>
      <c r="H39" s="294"/>
      <c r="I39" s="308"/>
      <c r="J39" s="294"/>
      <c r="K39" s="308"/>
      <c r="L39" s="294"/>
      <c r="M39" s="308"/>
      <c r="N39" s="294"/>
      <c r="O39" s="308"/>
      <c r="P39" s="294"/>
      <c r="Q39" s="314"/>
      <c r="R39" s="314"/>
      <c r="S39" s="351"/>
      <c r="T39" s="351"/>
      <c r="U39" s="351"/>
      <c r="V39" s="351"/>
      <c r="W39" s="351"/>
    </row>
    <row r="40" spans="1:23" ht="15.75" hidden="1">
      <c r="B40" s="276"/>
      <c r="C40" s="276"/>
      <c r="D40" s="294"/>
      <c r="E40" s="276"/>
      <c r="F40" s="294"/>
      <c r="G40" s="308"/>
      <c r="H40" s="294"/>
      <c r="I40" s="308"/>
      <c r="J40" s="294"/>
      <c r="K40" s="308"/>
      <c r="L40" s="294"/>
      <c r="M40" s="308"/>
      <c r="N40" s="294"/>
      <c r="O40" s="308"/>
      <c r="P40" s="294"/>
      <c r="Q40" s="314"/>
      <c r="R40" s="314"/>
      <c r="S40" s="351"/>
      <c r="T40" s="351"/>
      <c r="U40" s="351"/>
      <c r="V40" s="351"/>
      <c r="W40" s="351"/>
    </row>
    <row r="41" spans="1:23" ht="15.75">
      <c r="B41" s="276"/>
      <c r="C41" s="276"/>
      <c r="D41" s="337"/>
      <c r="E41" s="276"/>
      <c r="F41" s="337"/>
      <c r="G41" s="308"/>
      <c r="H41" s="337"/>
      <c r="I41" s="308"/>
      <c r="J41" s="337"/>
      <c r="K41" s="308"/>
      <c r="L41" s="337"/>
      <c r="M41" s="308"/>
      <c r="N41" s="337"/>
      <c r="O41" s="308"/>
      <c r="P41" s="337"/>
      <c r="Q41" s="314"/>
      <c r="R41" s="314"/>
      <c r="S41" s="351"/>
      <c r="T41" s="351"/>
      <c r="U41" s="351"/>
      <c r="V41" s="351"/>
      <c r="W41" s="351"/>
    </row>
    <row r="42" spans="1:23" ht="16.5" thickBot="1">
      <c r="B42" s="308" t="str">
        <f>INPUT!B114</f>
        <v xml:space="preserve">          Total assets</v>
      </c>
      <c r="C42" s="308"/>
      <c r="D42" s="302">
        <f>SUM(D14:D31)</f>
        <v>0</v>
      </c>
      <c r="E42" s="308"/>
      <c r="F42" s="302">
        <f>SUM(F14:F31)</f>
        <v>63549</v>
      </c>
      <c r="G42" s="308"/>
      <c r="H42" s="302">
        <f>SUM(H14:H31)</f>
        <v>0</v>
      </c>
      <c r="I42" s="308"/>
      <c r="J42" s="302">
        <f>SUM(J14:J31)</f>
        <v>387148</v>
      </c>
      <c r="K42" s="308"/>
      <c r="L42" s="302">
        <f>SUM(L14:L31)</f>
        <v>57834</v>
      </c>
      <c r="M42" s="308"/>
      <c r="N42" s="302">
        <f>SUM(N14:N31)</f>
        <v>34589</v>
      </c>
      <c r="O42" s="308"/>
      <c r="P42" s="302">
        <f>SUM(P14:P31)</f>
        <v>543120</v>
      </c>
      <c r="Q42" s="314"/>
      <c r="R42" s="314"/>
      <c r="S42" s="351"/>
      <c r="T42" s="351"/>
      <c r="U42" s="351"/>
      <c r="V42" s="351"/>
      <c r="W42" s="351"/>
    </row>
    <row r="43" spans="1:23" ht="16.5" thickTop="1">
      <c r="B43" s="276"/>
      <c r="C43" s="276"/>
      <c r="D43" s="294"/>
      <c r="E43" s="276"/>
      <c r="F43" s="294"/>
      <c r="G43" s="308"/>
      <c r="H43" s="294"/>
      <c r="I43" s="308"/>
      <c r="J43" s="294"/>
      <c r="K43" s="308"/>
      <c r="L43" s="294"/>
      <c r="M43" s="308"/>
      <c r="N43" s="294"/>
      <c r="O43" s="308"/>
      <c r="P43" s="294"/>
      <c r="Q43" s="314"/>
      <c r="R43" s="314"/>
      <c r="S43" s="351"/>
      <c r="T43" s="351"/>
      <c r="U43" s="351"/>
      <c r="V43" s="351"/>
      <c r="W43" s="351"/>
    </row>
    <row r="44" spans="1:23" ht="15.75">
      <c r="B44" s="308" t="str">
        <f>INPUT!B129</f>
        <v>LIABILITIES</v>
      </c>
      <c r="C44" s="276"/>
      <c r="D44" s="294"/>
      <c r="E44" s="276"/>
      <c r="F44" s="294"/>
      <c r="G44" s="308"/>
      <c r="H44" s="294"/>
      <c r="I44" s="308"/>
      <c r="J44" s="294"/>
      <c r="K44" s="308"/>
      <c r="L44" s="294"/>
      <c r="M44" s="308"/>
      <c r="N44" s="294"/>
      <c r="O44" s="308"/>
      <c r="P44" s="294"/>
      <c r="Q44" s="314"/>
      <c r="R44" s="314"/>
      <c r="S44" s="351"/>
      <c r="T44" s="351"/>
      <c r="U44" s="351"/>
      <c r="V44" s="351"/>
      <c r="W44" s="351"/>
    </row>
    <row r="45" spans="1:23" ht="15.75">
      <c r="B45" s="276"/>
      <c r="C45" s="276"/>
      <c r="D45" s="294"/>
      <c r="E45" s="276"/>
      <c r="F45" s="294"/>
      <c r="G45" s="308"/>
      <c r="H45" s="294"/>
      <c r="I45" s="308"/>
      <c r="J45" s="294"/>
      <c r="K45" s="308"/>
      <c r="L45" s="294"/>
      <c r="M45" s="308"/>
      <c r="N45" s="294"/>
      <c r="O45" s="308"/>
      <c r="P45" s="294"/>
      <c r="Q45" s="314"/>
      <c r="R45" s="314"/>
      <c r="S45" s="351"/>
      <c r="T45" s="351"/>
      <c r="U45" s="351"/>
      <c r="V45" s="351"/>
      <c r="W45" s="351"/>
    </row>
    <row r="46" spans="1:23" ht="15.75" hidden="1">
      <c r="A46" s="288" t="s">
        <v>299</v>
      </c>
      <c r="B46" s="276" t="str">
        <f>INPUT!B132</f>
        <v xml:space="preserve">     Accounts payable</v>
      </c>
      <c r="C46" s="276"/>
      <c r="D46" s="294">
        <f>+INPUT!BH132</f>
        <v>0</v>
      </c>
      <c r="E46" s="276"/>
      <c r="F46" s="294">
        <f>+INPUT!BI132</f>
        <v>0</v>
      </c>
      <c r="G46" s="308"/>
      <c r="H46" s="294">
        <f>+INPUT!BJ132</f>
        <v>0</v>
      </c>
      <c r="I46" s="308"/>
      <c r="J46" s="294">
        <f>+INPUT!BK132</f>
        <v>0</v>
      </c>
      <c r="K46" s="308"/>
      <c r="L46" s="294">
        <f>+INPUT!BL132</f>
        <v>0</v>
      </c>
      <c r="M46" s="308"/>
      <c r="N46" s="294">
        <f>+INPUT!BM132</f>
        <v>0</v>
      </c>
      <c r="O46" s="308"/>
      <c r="P46" s="294">
        <f t="shared" ref="P46:P55" si="2">SUM(C46:N46)</f>
        <v>0</v>
      </c>
      <c r="Q46" s="314"/>
      <c r="R46" s="314"/>
      <c r="S46" s="351"/>
      <c r="T46" s="351"/>
      <c r="U46" s="351"/>
      <c r="V46" s="351"/>
      <c r="W46" s="351"/>
    </row>
    <row r="47" spans="1:23" ht="15.75" hidden="1">
      <c r="A47" s="288" t="s">
        <v>299</v>
      </c>
      <c r="B47" s="276" t="str">
        <f>INPUT!B133</f>
        <v xml:space="preserve">     Contracts/loans payable - current</v>
      </c>
      <c r="C47" s="303"/>
      <c r="D47" s="294">
        <f>+INPUT!BH133</f>
        <v>0</v>
      </c>
      <c r="E47" s="303"/>
      <c r="F47" s="294">
        <f>+INPUT!BI133</f>
        <v>0</v>
      </c>
      <c r="G47" s="308"/>
      <c r="H47" s="294">
        <f>+INPUT!BJ133</f>
        <v>0</v>
      </c>
      <c r="I47" s="308"/>
      <c r="J47" s="294">
        <f>+INPUT!BK133</f>
        <v>0</v>
      </c>
      <c r="K47" s="308"/>
      <c r="L47" s="294">
        <f>+INPUT!BL133</f>
        <v>0</v>
      </c>
      <c r="M47" s="308"/>
      <c r="N47" s="294">
        <f>+INPUT!BM133</f>
        <v>0</v>
      </c>
      <c r="O47" s="308"/>
      <c r="P47" s="294">
        <f t="shared" si="2"/>
        <v>0</v>
      </c>
      <c r="Q47" s="314"/>
      <c r="R47" s="314"/>
      <c r="S47" s="351"/>
      <c r="T47" s="351"/>
      <c r="U47" s="351"/>
      <c r="V47" s="351"/>
      <c r="W47" s="351"/>
    </row>
    <row r="48" spans="1:23" ht="15.75" hidden="1">
      <c r="A48" s="288" t="s">
        <v>299</v>
      </c>
      <c r="B48" s="276" t="str">
        <f>INPUT!B134</f>
        <v xml:space="preserve">     Intergovernmental payable</v>
      </c>
      <c r="C48" s="303"/>
      <c r="D48" s="294">
        <f>+INPUT!BH134</f>
        <v>0</v>
      </c>
      <c r="E48" s="303"/>
      <c r="F48" s="294">
        <f>+INPUT!BI134</f>
        <v>0</v>
      </c>
      <c r="G48" s="308"/>
      <c r="H48" s="294">
        <f>+INPUT!BJ134</f>
        <v>0</v>
      </c>
      <c r="I48" s="308"/>
      <c r="J48" s="294">
        <f>+INPUT!BK134</f>
        <v>0</v>
      </c>
      <c r="K48" s="308"/>
      <c r="L48" s="294">
        <f>+INPUT!BL134</f>
        <v>0</v>
      </c>
      <c r="M48" s="308"/>
      <c r="N48" s="294">
        <f>+INPUT!BM134</f>
        <v>0</v>
      </c>
      <c r="O48" s="308"/>
      <c r="P48" s="294">
        <f t="shared" si="2"/>
        <v>0</v>
      </c>
      <c r="Q48" s="314"/>
      <c r="R48" s="314"/>
      <c r="S48" s="351"/>
      <c r="T48" s="351"/>
      <c r="U48" s="351"/>
      <c r="V48" s="351"/>
      <c r="W48" s="351"/>
    </row>
    <row r="49" spans="1:23" ht="15.75">
      <c r="B49" s="276" t="str">
        <f>INPUT!B135</f>
        <v xml:space="preserve">     Due to other funds</v>
      </c>
      <c r="C49" s="303"/>
      <c r="D49" s="292">
        <f>+INPUT!BH135</f>
        <v>0</v>
      </c>
      <c r="E49" s="303"/>
      <c r="F49" s="292">
        <f>+INPUT!BI135</f>
        <v>0</v>
      </c>
      <c r="G49" s="308"/>
      <c r="H49" s="294">
        <f>+INPUT!BJ135</f>
        <v>0</v>
      </c>
      <c r="I49" s="308"/>
      <c r="J49" s="292">
        <f>+INPUT!BK135</f>
        <v>0</v>
      </c>
      <c r="K49" s="308"/>
      <c r="L49" s="292">
        <f>+INPUT!BL135</f>
        <v>0</v>
      </c>
      <c r="M49" s="308"/>
      <c r="N49" s="292">
        <f>+INPUT!BM135</f>
        <v>0</v>
      </c>
      <c r="O49" s="308"/>
      <c r="P49" s="292">
        <f t="shared" si="2"/>
        <v>0</v>
      </c>
      <c r="Q49" s="314"/>
      <c r="R49" s="314"/>
      <c r="S49" s="351"/>
      <c r="T49" s="351"/>
      <c r="U49" s="351"/>
      <c r="V49" s="351"/>
      <c r="W49" s="351"/>
    </row>
    <row r="50" spans="1:23" ht="15.75" hidden="1">
      <c r="P50" s="294">
        <f t="shared" si="2"/>
        <v>0</v>
      </c>
      <c r="Q50" s="296"/>
      <c r="R50" s="296"/>
      <c r="S50" s="351"/>
      <c r="T50" s="351"/>
      <c r="U50" s="351"/>
      <c r="V50" s="351"/>
      <c r="W50" s="351"/>
    </row>
    <row r="51" spans="1:23" ht="15.75" hidden="1">
      <c r="A51" s="288" t="s">
        <v>299</v>
      </c>
      <c r="B51" s="276" t="str">
        <f>INPUT!B136</f>
        <v xml:space="preserve">     Advanced lease payments - current</v>
      </c>
      <c r="C51" s="276"/>
      <c r="D51" s="294" t="str">
        <f>IF(+INPUT!BH136&lt;&gt;0,+INPUT!BH136,"-")</f>
        <v>-</v>
      </c>
      <c r="E51" s="276"/>
      <c r="F51" s="294" t="str">
        <f>IF(+INPUT!BI136&lt;&gt;0,+INPUT!BI136,"-")</f>
        <v>-</v>
      </c>
      <c r="G51" s="308"/>
      <c r="H51" s="294" t="str">
        <f>IF(+INPUT!BJ136&lt;&gt;0,+INPUT!BJ136,"-")</f>
        <v>-</v>
      </c>
      <c r="I51" s="308"/>
      <c r="J51" s="294" t="str">
        <f>IF(+INPUT!BK136&lt;&gt;0,+INPUT!BK136,"-")</f>
        <v>-</v>
      </c>
      <c r="K51" s="308"/>
      <c r="L51" s="294" t="str">
        <f>IF(+INPUT!BL136&lt;&gt;0,+INPUT!BL136,"-")</f>
        <v>-</v>
      </c>
      <c r="M51" s="308"/>
      <c r="N51" s="294" t="str">
        <f>IF(+INPUT!BM136&lt;&gt;0,+INPUT!BM136,"-")</f>
        <v>-</v>
      </c>
      <c r="O51" s="308"/>
      <c r="P51" s="294">
        <f t="shared" si="2"/>
        <v>0</v>
      </c>
      <c r="Q51" s="314"/>
      <c r="R51" s="314"/>
      <c r="S51" s="351"/>
      <c r="T51" s="351"/>
      <c r="U51" s="351"/>
      <c r="V51" s="351"/>
      <c r="W51" s="351"/>
    </row>
    <row r="52" spans="1:23" ht="15.75" hidden="1">
      <c r="A52" s="288" t="s">
        <v>299</v>
      </c>
      <c r="B52" s="276" t="str">
        <f>INPUT!B138</f>
        <v xml:space="preserve">     Revenue bonds payable</v>
      </c>
      <c r="C52" s="276"/>
      <c r="D52" s="294" t="str">
        <f>IF(+INPUT!BH138&lt;&gt;0,+INPUT!BH138,"-")</f>
        <v>-</v>
      </c>
      <c r="E52" s="276"/>
      <c r="F52" s="294" t="str">
        <f>IF(+INPUT!BI138&lt;&gt;0,+INPUT!BI138,"-")</f>
        <v>-</v>
      </c>
      <c r="G52" s="308"/>
      <c r="H52" s="294" t="str">
        <f>IF(+INPUT!BJ138&lt;&gt;0,+INPUT!BJ138,"-")</f>
        <v>-</v>
      </c>
      <c r="I52" s="308"/>
      <c r="J52" s="294" t="str">
        <f>IF(+INPUT!BK138&lt;&gt;0,+INPUT!BK138,"-")</f>
        <v>-</v>
      </c>
      <c r="K52" s="308"/>
      <c r="L52" s="294" t="str">
        <f>IF(+INPUT!BL138&lt;&gt;0,+INPUT!BL138,"-")</f>
        <v>-</v>
      </c>
      <c r="M52" s="308"/>
      <c r="N52" s="294" t="str">
        <f>IF(+INPUT!BM138&lt;&gt;0,+INPUT!BM138,"-")</f>
        <v>-</v>
      </c>
      <c r="O52" s="308"/>
      <c r="P52" s="294">
        <f t="shared" si="2"/>
        <v>0</v>
      </c>
      <c r="Q52" s="314"/>
      <c r="R52" s="314"/>
      <c r="S52" s="351"/>
      <c r="T52" s="351"/>
      <c r="U52" s="351"/>
      <c r="V52" s="351"/>
      <c r="W52" s="351"/>
    </row>
    <row r="53" spans="1:23" ht="15.75" hidden="1">
      <c r="A53" s="288" t="s">
        <v>299</v>
      </c>
      <c r="B53" s="276" t="str">
        <f>INPUT!B139</f>
        <v xml:space="preserve">     Landfill postclosure costs payable - current</v>
      </c>
      <c r="C53" s="276"/>
      <c r="D53" s="294" t="str">
        <f>IF(+INPUT!BH139&lt;&gt;0,+INPUT!BH139,"-")</f>
        <v>-</v>
      </c>
      <c r="E53" s="276"/>
      <c r="F53" s="294" t="str">
        <f>IF(+INPUT!BI139&lt;&gt;0,+INPUT!BI139,"-")</f>
        <v>-</v>
      </c>
      <c r="G53" s="308"/>
      <c r="H53" s="294" t="str">
        <f>IF(+INPUT!BJ139&lt;&gt;0,+INPUT!BJ139,"-")</f>
        <v>-</v>
      </c>
      <c r="I53" s="308"/>
      <c r="J53" s="294" t="str">
        <f>IF(+INPUT!BK139&lt;&gt;0,+INPUT!BK139,"-")</f>
        <v>-</v>
      </c>
      <c r="K53" s="308"/>
      <c r="L53" s="294" t="str">
        <f>IF(+INPUT!BL139&lt;&gt;0,+INPUT!BL139,"-")</f>
        <v>-</v>
      </c>
      <c r="M53" s="308"/>
      <c r="N53" s="294" t="str">
        <f>IF(+INPUT!BM139&lt;&gt;0,+INPUT!BM139,"-")</f>
        <v>-</v>
      </c>
      <c r="O53" s="308"/>
      <c r="P53" s="294">
        <f t="shared" si="2"/>
        <v>0</v>
      </c>
      <c r="Q53" s="314"/>
      <c r="R53" s="314"/>
      <c r="S53" s="351"/>
      <c r="T53" s="351"/>
      <c r="U53" s="351"/>
      <c r="V53" s="351"/>
      <c r="W53" s="351"/>
    </row>
    <row r="54" spans="1:23" ht="15.75" hidden="1">
      <c r="A54" s="288" t="s">
        <v>299</v>
      </c>
      <c r="B54" s="276" t="str">
        <f>INPUT!B140</f>
        <v xml:space="preserve">     Claims payable</v>
      </c>
      <c r="C54" s="276"/>
      <c r="D54" s="294" t="str">
        <f>IF(+INPUT!BH140&lt;&gt;0,+INPUT!BH140,"-")</f>
        <v>-</v>
      </c>
      <c r="E54" s="276"/>
      <c r="F54" s="294" t="str">
        <f>IF(+INPUT!BI140&lt;&gt;0,+INPUT!BI140,"-")</f>
        <v>-</v>
      </c>
      <c r="G54" s="308"/>
      <c r="H54" s="294" t="str">
        <f>IF(+INPUT!BJ140&lt;&gt;0,+INPUT!BJ140,"-")</f>
        <v>-</v>
      </c>
      <c r="I54" s="308"/>
      <c r="J54" s="294" t="str">
        <f>IF(+INPUT!BK140&lt;&gt;0,+INPUT!BK140,"-")</f>
        <v>-</v>
      </c>
      <c r="K54" s="308"/>
      <c r="L54" s="294" t="str">
        <f>IF(+INPUT!BL140&lt;&gt;0,+INPUT!BL140,"-")</f>
        <v>-</v>
      </c>
      <c r="M54" s="308"/>
      <c r="N54" s="294" t="str">
        <f>IF(+INPUT!BM140&lt;&gt;0,+INPUT!BM140,"-")</f>
        <v>-</v>
      </c>
      <c r="O54" s="308"/>
      <c r="P54" s="294">
        <f t="shared" si="2"/>
        <v>0</v>
      </c>
      <c r="Q54" s="314"/>
      <c r="R54" s="314"/>
      <c r="S54" s="351"/>
      <c r="T54" s="351"/>
      <c r="U54" s="351"/>
      <c r="V54" s="351"/>
      <c r="W54" s="351"/>
    </row>
    <row r="55" spans="1:23" ht="15.75" hidden="1">
      <c r="B55" s="276" t="str">
        <f>INPUT!B141</f>
        <v xml:space="preserve">     Advances from other funds</v>
      </c>
      <c r="C55" s="276"/>
      <c r="D55" s="317" t="str">
        <f>IF(+INPUT!BH141&lt;&gt;0,+INPUT!BH141,"-")</f>
        <v>-</v>
      </c>
      <c r="E55" s="276"/>
      <c r="F55" s="317" t="str">
        <f>IF(+INPUT!BI141&lt;&gt;0,+INPUT!BI141,"-")</f>
        <v>-</v>
      </c>
      <c r="G55" s="308"/>
      <c r="H55" s="317" t="str">
        <f>IF(+INPUT!BJ141&lt;&gt;0,+INPUT!BJ141,"-")</f>
        <v>-</v>
      </c>
      <c r="I55" s="308"/>
      <c r="J55" s="317" t="str">
        <f>IF(+INPUT!BK141&lt;&gt;0,+INPUT!BK141,"-")</f>
        <v>-</v>
      </c>
      <c r="K55" s="308"/>
      <c r="L55" s="317" t="str">
        <f>IF(+INPUT!BL141&lt;&gt;0,+INPUT!BL141,"-")</f>
        <v>-</v>
      </c>
      <c r="M55" s="308"/>
      <c r="N55" s="317" t="str">
        <f>IF(+INPUT!BM141&lt;&gt;0,+INPUT!BM141,"-")</f>
        <v>-</v>
      </c>
      <c r="O55" s="308"/>
      <c r="P55" s="317">
        <f t="shared" si="2"/>
        <v>0</v>
      </c>
      <c r="Q55" s="296"/>
      <c r="R55" s="296"/>
      <c r="S55" s="351"/>
      <c r="T55" s="351"/>
      <c r="U55" s="351"/>
      <c r="V55" s="351"/>
      <c r="W55" s="351"/>
    </row>
    <row r="56" spans="1:23" ht="15.75" hidden="1">
      <c r="A56" s="276" t="s">
        <v>299</v>
      </c>
      <c r="B56" s="296" t="str">
        <f>INPUT!B142</f>
        <v xml:space="preserve">     General obligation bonds payable</v>
      </c>
      <c r="C56" s="276"/>
      <c r="D56" s="294"/>
      <c r="E56" s="276"/>
      <c r="F56" s="294"/>
      <c r="G56" s="308"/>
      <c r="H56" s="294"/>
      <c r="I56" s="308"/>
      <c r="J56" s="294"/>
      <c r="K56" s="308"/>
      <c r="L56" s="294"/>
      <c r="M56" s="308"/>
      <c r="N56" s="294"/>
      <c r="O56" s="308"/>
      <c r="P56" s="294"/>
      <c r="Q56" s="296"/>
      <c r="R56" s="296"/>
      <c r="S56" s="351"/>
      <c r="T56" s="351"/>
      <c r="U56" s="351"/>
      <c r="V56" s="351"/>
      <c r="W56" s="351"/>
    </row>
    <row r="57" spans="1:23" ht="15.75" hidden="1">
      <c r="A57" s="276" t="s">
        <v>299</v>
      </c>
      <c r="B57" s="296" t="str">
        <f>INPUT!B143</f>
        <v xml:space="preserve">     Special assessment debt with government commitment</v>
      </c>
      <c r="C57" s="276"/>
      <c r="D57" s="294"/>
      <c r="E57" s="276"/>
      <c r="F57" s="294"/>
      <c r="G57" s="308"/>
      <c r="H57" s="294"/>
      <c r="I57" s="308"/>
      <c r="J57" s="294"/>
      <c r="K57" s="308"/>
      <c r="L57" s="294"/>
      <c r="M57" s="308"/>
      <c r="N57" s="294"/>
      <c r="O57" s="308"/>
      <c r="P57" s="294"/>
      <c r="Q57" s="296"/>
      <c r="R57" s="296"/>
      <c r="S57" s="351"/>
      <c r="T57" s="351"/>
      <c r="U57" s="351"/>
      <c r="V57" s="351"/>
      <c r="W57" s="351"/>
    </row>
    <row r="58" spans="1:23" ht="15.75" hidden="1">
      <c r="A58" s="276" t="s">
        <v>299</v>
      </c>
      <c r="B58" s="296" t="str">
        <f>INPUT!B145</f>
        <v xml:space="preserve">     Contracts/loans payable</v>
      </c>
      <c r="C58" s="276"/>
      <c r="D58" s="294"/>
      <c r="E58" s="276"/>
      <c r="F58" s="294"/>
      <c r="G58" s="308"/>
      <c r="H58" s="294"/>
      <c r="I58" s="308"/>
      <c r="J58" s="294"/>
      <c r="K58" s="308"/>
      <c r="L58" s="294"/>
      <c r="M58" s="308"/>
      <c r="N58" s="294"/>
      <c r="O58" s="308"/>
      <c r="P58" s="294"/>
      <c r="Q58" s="296"/>
      <c r="R58" s="296"/>
      <c r="S58" s="351"/>
      <c r="T58" s="351"/>
      <c r="U58" s="351"/>
      <c r="V58" s="351"/>
      <c r="W58" s="351"/>
    </row>
    <row r="59" spans="1:23" ht="15.75" hidden="1">
      <c r="A59" s="276" t="s">
        <v>299</v>
      </c>
      <c r="B59" s="296" t="str">
        <f>INPUT!B146</f>
        <v xml:space="preserve">     Revenue bonds payable</v>
      </c>
      <c r="C59" s="276"/>
      <c r="D59" s="294"/>
      <c r="E59" s="276"/>
      <c r="F59" s="294"/>
      <c r="G59" s="308"/>
      <c r="H59" s="294"/>
      <c r="I59" s="308"/>
      <c r="J59" s="294"/>
      <c r="K59" s="308"/>
      <c r="L59" s="294"/>
      <c r="M59" s="308"/>
      <c r="N59" s="294"/>
      <c r="O59" s="308"/>
      <c r="P59" s="294"/>
      <c r="Q59" s="296"/>
      <c r="R59" s="296"/>
      <c r="S59" s="351"/>
      <c r="T59" s="351"/>
      <c r="U59" s="351"/>
      <c r="V59" s="351"/>
      <c r="W59" s="351"/>
    </row>
    <row r="60" spans="1:23" ht="15.75" hidden="1">
      <c r="A60" s="276" t="s">
        <v>299</v>
      </c>
      <c r="B60" s="296">
        <f>INPUT!B147</f>
        <v>0</v>
      </c>
      <c r="C60" s="276"/>
      <c r="D60" s="294"/>
      <c r="E60" s="276"/>
      <c r="F60" s="294"/>
      <c r="G60" s="308"/>
      <c r="H60" s="294"/>
      <c r="I60" s="308"/>
      <c r="J60" s="294"/>
      <c r="K60" s="308"/>
      <c r="L60" s="294"/>
      <c r="M60" s="308"/>
      <c r="N60" s="294"/>
      <c r="O60" s="308"/>
      <c r="P60" s="294"/>
      <c r="Q60" s="296"/>
      <c r="R60" s="296"/>
      <c r="S60" s="351"/>
      <c r="T60" s="351"/>
      <c r="U60" s="351"/>
      <c r="V60" s="351"/>
      <c r="W60" s="351"/>
    </row>
    <row r="61" spans="1:23" ht="15.75">
      <c r="B61" s="276"/>
      <c r="C61" s="276"/>
      <c r="D61" s="337"/>
      <c r="E61" s="276"/>
      <c r="F61" s="337"/>
      <c r="G61" s="308"/>
      <c r="H61" s="337"/>
      <c r="I61" s="308"/>
      <c r="J61" s="337"/>
      <c r="K61" s="308"/>
      <c r="L61" s="337"/>
      <c r="M61" s="308"/>
      <c r="N61" s="337"/>
      <c r="O61" s="308"/>
      <c r="P61" s="337"/>
      <c r="Q61" s="314"/>
      <c r="R61" s="314"/>
      <c r="S61" s="351"/>
      <c r="T61" s="351"/>
      <c r="U61" s="351"/>
      <c r="V61" s="351"/>
      <c r="W61" s="351"/>
    </row>
    <row r="62" spans="1:23" ht="15.75">
      <c r="B62" s="308" t="str">
        <f>INPUT!B154</f>
        <v xml:space="preserve">          Total liabilities</v>
      </c>
      <c r="C62" s="276"/>
      <c r="D62" s="301">
        <f>SUM(D46:D60)</f>
        <v>0</v>
      </c>
      <c r="E62" s="276"/>
      <c r="F62" s="301">
        <f>SUM(F46:F60)</f>
        <v>0</v>
      </c>
      <c r="G62" s="308"/>
      <c r="H62" s="301">
        <f>SUM(H46:H60)</f>
        <v>0</v>
      </c>
      <c r="I62" s="308"/>
      <c r="J62" s="301">
        <f>SUM(J46:J60)</f>
        <v>0</v>
      </c>
      <c r="K62" s="308"/>
      <c r="L62" s="301">
        <f>SUM(L46:L60)</f>
        <v>0</v>
      </c>
      <c r="M62" s="308"/>
      <c r="N62" s="301">
        <f>SUM(N46:N60)</f>
        <v>0</v>
      </c>
      <c r="O62" s="308"/>
      <c r="P62" s="301">
        <f>SUM(P46:P60)</f>
        <v>0</v>
      </c>
      <c r="Q62" s="314"/>
      <c r="R62" s="314"/>
      <c r="S62" s="351"/>
      <c r="T62" s="351"/>
      <c r="U62" s="351"/>
      <c r="V62" s="351"/>
      <c r="W62" s="351"/>
    </row>
    <row r="63" spans="1:23" ht="15.75">
      <c r="B63" s="308"/>
      <c r="C63" s="276"/>
      <c r="D63" s="300"/>
      <c r="E63" s="276"/>
      <c r="F63" s="300"/>
      <c r="G63" s="308"/>
      <c r="H63" s="300"/>
      <c r="I63" s="308"/>
      <c r="J63" s="300"/>
      <c r="K63" s="308"/>
      <c r="L63" s="300"/>
      <c r="M63" s="308"/>
      <c r="N63" s="300"/>
      <c r="O63" s="308"/>
      <c r="P63" s="300"/>
      <c r="Q63" s="314"/>
      <c r="R63" s="314"/>
      <c r="S63" s="351"/>
      <c r="T63" s="351"/>
      <c r="U63" s="351"/>
      <c r="V63" s="351"/>
      <c r="W63" s="351"/>
    </row>
    <row r="64" spans="1:23" ht="15.75">
      <c r="B64" s="308" t="s">
        <v>1815</v>
      </c>
      <c r="C64" s="276"/>
      <c r="D64" s="300"/>
      <c r="E64" s="276"/>
      <c r="F64" s="300"/>
      <c r="G64" s="308"/>
      <c r="H64" s="300"/>
      <c r="I64" s="308"/>
      <c r="J64" s="300"/>
      <c r="K64" s="308"/>
      <c r="L64" s="300"/>
      <c r="M64" s="308"/>
      <c r="N64" s="300"/>
      <c r="O64" s="308"/>
      <c r="P64" s="300"/>
      <c r="Q64" s="314"/>
      <c r="R64" s="314"/>
      <c r="S64" s="351"/>
      <c r="T64" s="351"/>
      <c r="U64" s="351"/>
      <c r="V64" s="351"/>
      <c r="W64" s="351"/>
    </row>
    <row r="65" spans="1:23" ht="15.75">
      <c r="B65" s="276" t="str">
        <f>INPUT!B157</f>
        <v xml:space="preserve">     Deferred inflows of tax revenues</v>
      </c>
      <c r="C65" s="276"/>
      <c r="D65" s="318">
        <f>+INPUT!BH157</f>
        <v>0</v>
      </c>
      <c r="E65" s="276"/>
      <c r="F65" s="318">
        <f>+INPUT!BI157</f>
        <v>22255</v>
      </c>
      <c r="G65" s="308"/>
      <c r="H65" s="506">
        <f>+INPUT!BJ157</f>
        <v>0</v>
      </c>
      <c r="I65" s="308"/>
      <c r="J65" s="318">
        <f>+INPUT!BK157</f>
        <v>0</v>
      </c>
      <c r="K65" s="308"/>
      <c r="L65" s="318">
        <f>+INPUT!BL157</f>
        <v>2228</v>
      </c>
      <c r="M65" s="308"/>
      <c r="N65" s="318">
        <f>+INPUT!BM157</f>
        <v>15159</v>
      </c>
      <c r="O65" s="308"/>
      <c r="P65" s="318">
        <f>SUM(C65:N65)</f>
        <v>39642</v>
      </c>
      <c r="Q65" s="314"/>
      <c r="R65" s="314"/>
      <c r="S65" s="351"/>
      <c r="T65" s="351"/>
      <c r="U65" s="351"/>
      <c r="V65" s="351"/>
      <c r="W65" s="351"/>
    </row>
    <row r="66" spans="1:23" ht="15.75">
      <c r="B66" s="276"/>
      <c r="C66" s="276"/>
      <c r="D66" s="294"/>
      <c r="E66" s="276"/>
      <c r="F66" s="294"/>
      <c r="G66" s="308"/>
      <c r="H66" s="294"/>
      <c r="I66" s="308"/>
      <c r="J66" s="294"/>
      <c r="K66" s="308"/>
      <c r="L66" s="294"/>
      <c r="M66" s="308"/>
      <c r="N66" s="294"/>
      <c r="O66" s="308"/>
      <c r="P66" s="294"/>
      <c r="Q66" s="314"/>
      <c r="R66" s="294"/>
      <c r="S66" s="351"/>
      <c r="T66" s="351"/>
      <c r="U66" s="351"/>
      <c r="V66" s="351"/>
      <c r="W66" s="351"/>
    </row>
    <row r="67" spans="1:23" ht="15.75" hidden="1">
      <c r="B67" s="276"/>
      <c r="C67" s="276"/>
      <c r="D67" s="294"/>
      <c r="E67" s="276"/>
      <c r="F67" s="294"/>
      <c r="G67" s="308"/>
      <c r="H67" s="294"/>
      <c r="I67" s="308"/>
      <c r="J67" s="294"/>
      <c r="K67" s="308"/>
      <c r="L67" s="294"/>
      <c r="M67" s="308"/>
      <c r="N67" s="294"/>
      <c r="O67" s="308"/>
      <c r="P67" s="294"/>
      <c r="Q67" s="314"/>
      <c r="R67" s="314"/>
      <c r="S67" s="351"/>
      <c r="T67" s="351"/>
      <c r="U67" s="351"/>
      <c r="V67" s="351"/>
      <c r="W67" s="351"/>
    </row>
    <row r="68" spans="1:23" ht="15.75">
      <c r="B68" s="308" t="str">
        <f>INPUT!B186</f>
        <v>FUND BALANCE</v>
      </c>
      <c r="C68" s="276"/>
      <c r="D68" s="294"/>
      <c r="E68" s="276"/>
      <c r="F68" s="294"/>
      <c r="G68" s="308"/>
      <c r="H68" s="294"/>
      <c r="I68" s="308"/>
      <c r="J68" s="294"/>
      <c r="K68" s="308"/>
      <c r="L68" s="294"/>
      <c r="M68" s="308"/>
      <c r="N68" s="294"/>
      <c r="O68" s="308"/>
      <c r="P68" s="294"/>
      <c r="Q68" s="314"/>
      <c r="R68" s="314"/>
      <c r="S68" s="351"/>
      <c r="T68" s="351"/>
      <c r="U68" s="351"/>
      <c r="V68" s="351"/>
      <c r="W68" s="351"/>
    </row>
    <row r="69" spans="1:23" ht="15.75" hidden="1">
      <c r="B69" s="276"/>
      <c r="C69" s="276"/>
      <c r="D69" s="294"/>
      <c r="E69" s="276"/>
      <c r="F69" s="294"/>
      <c r="G69" s="308"/>
      <c r="H69" s="294"/>
      <c r="I69" s="308"/>
      <c r="J69" s="294"/>
      <c r="K69" s="308"/>
      <c r="L69" s="294"/>
      <c r="M69" s="308"/>
      <c r="N69" s="294"/>
      <c r="O69" s="308"/>
      <c r="P69" s="294"/>
      <c r="Q69" s="314"/>
      <c r="R69" s="314"/>
      <c r="S69" s="351"/>
      <c r="T69" s="351"/>
      <c r="U69" s="351"/>
      <c r="V69" s="351"/>
      <c r="W69" s="351"/>
    </row>
    <row r="70" spans="1:23" ht="15.75" hidden="1">
      <c r="B70" s="276" t="str">
        <f>INPUT!B188</f>
        <v xml:space="preserve">          Nonspendable</v>
      </c>
      <c r="C70" s="276"/>
      <c r="D70" s="294">
        <f>+INPUT!BH188</f>
        <v>0</v>
      </c>
      <c r="E70" s="276"/>
      <c r="F70" s="294">
        <f>+INPUT!BI188</f>
        <v>0</v>
      </c>
      <c r="G70" s="308"/>
      <c r="H70" s="294">
        <f>+INPUT!BJ188</f>
        <v>0</v>
      </c>
      <c r="I70" s="308"/>
      <c r="J70" s="294">
        <f>+INPUT!BK188</f>
        <v>0</v>
      </c>
      <c r="K70" s="308"/>
      <c r="L70" s="294">
        <f>+INPUT!BL188</f>
        <v>0</v>
      </c>
      <c r="M70" s="308"/>
      <c r="N70" s="294">
        <f>+INPUT!BM188</f>
        <v>0</v>
      </c>
      <c r="O70" s="308"/>
      <c r="P70" s="294">
        <f>SUM(C70:N70)</f>
        <v>0</v>
      </c>
      <c r="Q70" s="314"/>
      <c r="R70" s="314"/>
      <c r="S70" s="351"/>
      <c r="T70" s="351"/>
      <c r="U70" s="351"/>
      <c r="V70" s="351"/>
      <c r="W70" s="351"/>
    </row>
    <row r="71" spans="1:23" ht="15.75">
      <c r="A71" s="288" t="s">
        <v>299</v>
      </c>
      <c r="B71" s="276" t="str">
        <f>INPUT!B189</f>
        <v xml:space="preserve">          Restricted</v>
      </c>
      <c r="C71" s="276"/>
      <c r="D71" s="294">
        <f>+INPUT!BH189</f>
        <v>0</v>
      </c>
      <c r="E71" s="276"/>
      <c r="F71" s="294">
        <f>+INPUT!BI189</f>
        <v>41294</v>
      </c>
      <c r="G71" s="308"/>
      <c r="H71" s="294">
        <f>+INPUT!BJ189</f>
        <v>0</v>
      </c>
      <c r="I71" s="308"/>
      <c r="J71" s="294">
        <f>+INPUT!BK189</f>
        <v>387148</v>
      </c>
      <c r="K71" s="308"/>
      <c r="L71" s="294">
        <f>+INPUT!BL189</f>
        <v>55606</v>
      </c>
      <c r="M71" s="308"/>
      <c r="N71" s="294">
        <f>+INPUT!BM189</f>
        <v>19430</v>
      </c>
      <c r="O71" s="308"/>
      <c r="P71" s="294">
        <f t="shared" ref="P71:P77" si="3">SUM(C71:N71)</f>
        <v>503478</v>
      </c>
      <c r="Q71" s="314"/>
      <c r="R71" s="314"/>
      <c r="S71" s="351"/>
      <c r="T71" s="351"/>
      <c r="U71" s="351"/>
      <c r="V71" s="351"/>
      <c r="W71" s="351"/>
    </row>
    <row r="72" spans="1:23" ht="15.75" hidden="1">
      <c r="B72" s="276" t="str">
        <f>INPUT!B190</f>
        <v xml:space="preserve">          Unrestricted:</v>
      </c>
      <c r="C72" s="276"/>
      <c r="D72" s="294"/>
      <c r="E72" s="276"/>
      <c r="F72" s="294"/>
      <c r="G72" s="308"/>
      <c r="H72" s="294"/>
      <c r="I72" s="308"/>
      <c r="J72" s="294"/>
      <c r="K72" s="308"/>
      <c r="L72" s="294"/>
      <c r="M72" s="308"/>
      <c r="N72" s="294"/>
      <c r="O72" s="308"/>
      <c r="P72" s="294">
        <f t="shared" si="3"/>
        <v>0</v>
      </c>
      <c r="Q72" s="314"/>
      <c r="R72" s="314"/>
      <c r="S72" s="351"/>
      <c r="T72" s="351"/>
      <c r="U72" s="351"/>
      <c r="V72" s="351"/>
      <c r="W72" s="351"/>
    </row>
    <row r="73" spans="1:23" ht="15.75" hidden="1">
      <c r="B73" s="276" t="str">
        <f>INPUT!B191</f>
        <v xml:space="preserve">               Committed</v>
      </c>
      <c r="C73" s="276"/>
      <c r="D73" s="294">
        <f>+INPUT!BH191</f>
        <v>0</v>
      </c>
      <c r="E73" s="276"/>
      <c r="F73" s="294">
        <f>+INPUT!BI191</f>
        <v>0</v>
      </c>
      <c r="G73" s="308"/>
      <c r="H73" s="294">
        <f>+INPUT!BJ191</f>
        <v>0</v>
      </c>
      <c r="I73" s="308"/>
      <c r="J73" s="294">
        <f>+INPUT!BK191</f>
        <v>0</v>
      </c>
      <c r="K73" s="308"/>
      <c r="L73" s="294">
        <f>+INPUT!BL191</f>
        <v>0</v>
      </c>
      <c r="M73" s="308"/>
      <c r="N73" s="294">
        <f>+INPUT!BM191</f>
        <v>0</v>
      </c>
      <c r="O73" s="308"/>
      <c r="P73" s="294">
        <f t="shared" si="3"/>
        <v>0</v>
      </c>
      <c r="Q73" s="314"/>
      <c r="R73" s="314"/>
      <c r="S73" s="351"/>
      <c r="T73" s="351"/>
      <c r="U73" s="351"/>
      <c r="V73" s="351"/>
      <c r="W73" s="351"/>
    </row>
    <row r="74" spans="1:23" ht="15.75" hidden="1">
      <c r="B74" s="276" t="str">
        <f>INPUT!B192</f>
        <v xml:space="preserve">               Assigned</v>
      </c>
      <c r="C74" s="276"/>
      <c r="D74" s="294">
        <f>+INPUT!BH192</f>
        <v>0</v>
      </c>
      <c r="E74" s="276"/>
      <c r="F74" s="294">
        <f>+INPUT!BI192</f>
        <v>0</v>
      </c>
      <c r="G74" s="308"/>
      <c r="H74" s="294">
        <f>+INPUT!BJ192</f>
        <v>0</v>
      </c>
      <c r="I74" s="308"/>
      <c r="J74" s="294">
        <f>+INPUT!BK192</f>
        <v>0</v>
      </c>
      <c r="K74" s="308"/>
      <c r="L74" s="294">
        <f>+INPUT!BL192</f>
        <v>0</v>
      </c>
      <c r="M74" s="308"/>
      <c r="N74" s="294">
        <f>+INPUT!BM192</f>
        <v>0</v>
      </c>
      <c r="O74" s="308"/>
      <c r="P74" s="294">
        <f t="shared" si="3"/>
        <v>0</v>
      </c>
      <c r="Q74" s="314"/>
      <c r="R74" s="314"/>
      <c r="S74" s="351"/>
      <c r="T74" s="351"/>
      <c r="U74" s="351"/>
      <c r="V74" s="351"/>
      <c r="W74" s="351"/>
    </row>
    <row r="75" spans="1:23" ht="15.75" hidden="1">
      <c r="A75" s="288" t="s">
        <v>299</v>
      </c>
      <c r="B75" s="276" t="str">
        <f>INPUT!B193</f>
        <v xml:space="preserve">               Unassigned</v>
      </c>
      <c r="C75" s="276"/>
      <c r="D75" s="294">
        <f>+INPUT!BH193</f>
        <v>0</v>
      </c>
      <c r="E75" s="276"/>
      <c r="F75" s="294">
        <f>+INPUT!BI193</f>
        <v>0</v>
      </c>
      <c r="G75" s="308"/>
      <c r="H75" s="294">
        <f>+INPUT!BJ193</f>
        <v>0</v>
      </c>
      <c r="I75" s="308"/>
      <c r="J75" s="294">
        <f>+INPUT!BK193</f>
        <v>0</v>
      </c>
      <c r="K75" s="308"/>
      <c r="L75" s="294">
        <f>+INPUT!BL193</f>
        <v>0</v>
      </c>
      <c r="M75" s="308"/>
      <c r="N75" s="294">
        <f>+INPUT!BM193</f>
        <v>0</v>
      </c>
      <c r="O75" s="308"/>
      <c r="P75" s="294">
        <f t="shared" si="3"/>
        <v>0</v>
      </c>
      <c r="Q75" s="314"/>
      <c r="R75" s="314"/>
      <c r="S75" s="351"/>
      <c r="T75" s="351"/>
      <c r="U75" s="351"/>
      <c r="V75" s="351"/>
      <c r="W75" s="351"/>
    </row>
    <row r="76" spans="1:23" ht="15.75" hidden="1">
      <c r="A76" s="288" t="s">
        <v>299</v>
      </c>
      <c r="B76" s="276"/>
      <c r="C76" s="276"/>
      <c r="D76" s="294"/>
      <c r="E76" s="276"/>
      <c r="F76" s="294"/>
      <c r="G76" s="308"/>
      <c r="H76" s="294"/>
      <c r="I76" s="308"/>
      <c r="J76" s="294"/>
      <c r="K76" s="308"/>
      <c r="L76" s="294"/>
      <c r="M76" s="308"/>
      <c r="N76" s="294"/>
      <c r="O76" s="308"/>
      <c r="P76" s="294">
        <f t="shared" si="3"/>
        <v>0</v>
      </c>
      <c r="Q76" s="314"/>
      <c r="R76" s="314"/>
      <c r="S76" s="351"/>
      <c r="T76" s="351"/>
      <c r="U76" s="351"/>
      <c r="V76" s="351"/>
      <c r="W76" s="351"/>
    </row>
    <row r="77" spans="1:23" ht="15.75" hidden="1">
      <c r="A77" s="288" t="s">
        <v>299</v>
      </c>
      <c r="B77" s="276"/>
      <c r="C77" s="276"/>
      <c r="D77" s="294"/>
      <c r="E77" s="276"/>
      <c r="F77" s="294"/>
      <c r="G77" s="308"/>
      <c r="H77" s="294"/>
      <c r="I77" s="308"/>
      <c r="J77" s="294"/>
      <c r="K77" s="308"/>
      <c r="L77" s="294"/>
      <c r="M77" s="308"/>
      <c r="N77" s="294"/>
      <c r="O77" s="308"/>
      <c r="P77" s="294">
        <f t="shared" si="3"/>
        <v>0</v>
      </c>
      <c r="Q77" s="314"/>
      <c r="R77" s="314"/>
      <c r="S77" s="351"/>
      <c r="T77" s="351"/>
      <c r="U77" s="351"/>
      <c r="V77" s="351"/>
      <c r="W77" s="351"/>
    </row>
    <row r="78" spans="1:23" ht="15" customHeight="1">
      <c r="B78" s="276"/>
      <c r="C78" s="276"/>
      <c r="D78" s="337"/>
      <c r="E78" s="276"/>
      <c r="F78" s="337"/>
      <c r="G78" s="308"/>
      <c r="H78" s="337"/>
      <c r="I78" s="308"/>
      <c r="J78" s="337"/>
      <c r="K78" s="308"/>
      <c r="L78" s="337"/>
      <c r="M78" s="308"/>
      <c r="N78" s="337"/>
      <c r="O78" s="308"/>
      <c r="P78" s="337"/>
      <c r="Q78" s="314"/>
      <c r="R78" s="314"/>
      <c r="S78" s="351"/>
      <c r="T78" s="351"/>
      <c r="U78" s="351"/>
      <c r="V78" s="351"/>
      <c r="W78" s="351"/>
    </row>
    <row r="79" spans="1:23" ht="15.75">
      <c r="B79" s="308" t="str">
        <f>INPUT!B207</f>
        <v xml:space="preserve">          Total fund balance</v>
      </c>
      <c r="C79" s="276"/>
      <c r="D79" s="301">
        <f>SUM(D68:D77)</f>
        <v>0</v>
      </c>
      <c r="E79" s="276"/>
      <c r="F79" s="301">
        <f>SUM(F68:F77)</f>
        <v>41294</v>
      </c>
      <c r="G79" s="308"/>
      <c r="H79" s="301">
        <f>SUM(H68:H77)</f>
        <v>0</v>
      </c>
      <c r="I79" s="308"/>
      <c r="J79" s="301">
        <f>SUM(J68:J77)</f>
        <v>387148</v>
      </c>
      <c r="K79" s="308"/>
      <c r="L79" s="301">
        <f>SUM(L68:L77)</f>
        <v>55606</v>
      </c>
      <c r="M79" s="308"/>
      <c r="N79" s="301">
        <f>SUM(N68:N77)</f>
        <v>19430</v>
      </c>
      <c r="O79" s="308"/>
      <c r="P79" s="301">
        <f>SUM(P68:P77)</f>
        <v>503478</v>
      </c>
      <c r="Q79" s="314"/>
      <c r="R79" s="314"/>
      <c r="S79" s="351"/>
      <c r="T79" s="351"/>
      <c r="U79" s="351"/>
      <c r="V79" s="351"/>
      <c r="W79" s="351"/>
    </row>
    <row r="80" spans="1:23" ht="15.75">
      <c r="B80" s="276"/>
      <c r="C80" s="276"/>
      <c r="D80" s="294"/>
      <c r="E80" s="276"/>
      <c r="F80" s="294"/>
      <c r="G80" s="308"/>
      <c r="H80" s="294"/>
      <c r="I80" s="308"/>
      <c r="J80" s="294"/>
      <c r="K80" s="308"/>
      <c r="L80" s="294"/>
      <c r="M80" s="308"/>
      <c r="N80" s="294"/>
      <c r="O80" s="308"/>
      <c r="P80" s="294"/>
      <c r="Q80" s="314"/>
      <c r="R80" s="314"/>
      <c r="S80" s="351"/>
      <c r="T80" s="351"/>
      <c r="U80" s="351"/>
      <c r="V80" s="351"/>
      <c r="W80" s="351"/>
    </row>
    <row r="81" spans="2:23" ht="36.75" customHeight="1" thickBot="1">
      <c r="B81" s="388" t="s">
        <v>2349</v>
      </c>
      <c r="C81" s="319"/>
      <c r="D81" s="302">
        <f>D62+D65+D79</f>
        <v>0</v>
      </c>
      <c r="E81" s="319"/>
      <c r="F81" s="302">
        <f>F62+F65+F79</f>
        <v>63549</v>
      </c>
      <c r="G81" s="308"/>
      <c r="H81" s="302">
        <f>H62+H65+H79</f>
        <v>0</v>
      </c>
      <c r="I81" s="308"/>
      <c r="J81" s="302">
        <f>J62+J65+J79</f>
        <v>387148</v>
      </c>
      <c r="K81" s="308"/>
      <c r="L81" s="302">
        <f>L62+L65+L79</f>
        <v>57834</v>
      </c>
      <c r="M81" s="308"/>
      <c r="N81" s="302">
        <f>N62+N65+N79</f>
        <v>34589</v>
      </c>
      <c r="O81" s="308"/>
      <c r="P81" s="302">
        <f>P62+P65+P79</f>
        <v>543120</v>
      </c>
      <c r="Q81" s="314"/>
      <c r="R81" s="314"/>
      <c r="S81" s="351">
        <f>SUM(D81:O81)</f>
        <v>543120</v>
      </c>
      <c r="T81" s="351"/>
      <c r="U81" s="351"/>
      <c r="V81" s="351"/>
      <c r="W81" s="351"/>
    </row>
    <row r="82" spans="2:23" ht="16.5" thickTop="1">
      <c r="B82" s="276"/>
      <c r="C82" s="276"/>
      <c r="D82" s="294"/>
      <c r="E82" s="276"/>
      <c r="F82" s="294"/>
      <c r="G82" s="308"/>
      <c r="H82" s="294"/>
      <c r="I82" s="308"/>
      <c r="J82" s="294"/>
      <c r="K82" s="308"/>
      <c r="L82" s="294"/>
      <c r="M82" s="308"/>
      <c r="N82" s="294"/>
      <c r="O82" s="308"/>
      <c r="P82" s="294"/>
      <c r="Q82" s="314"/>
      <c r="R82" s="314"/>
      <c r="S82" s="351"/>
      <c r="T82" s="351"/>
      <c r="U82" s="351"/>
      <c r="V82" s="351"/>
      <c r="W82" s="351"/>
    </row>
    <row r="83" spans="2:23" ht="15.75">
      <c r="D83" s="351"/>
      <c r="F83" s="351"/>
      <c r="G83" s="308"/>
      <c r="H83" s="351"/>
      <c r="I83" s="308"/>
      <c r="J83" s="351"/>
      <c r="K83" s="308"/>
      <c r="L83" s="351"/>
      <c r="M83" s="308"/>
      <c r="N83" s="351"/>
      <c r="O83" s="308"/>
      <c r="P83" s="351"/>
      <c r="Q83" s="351"/>
      <c r="R83" s="351"/>
      <c r="S83" s="351"/>
      <c r="T83" s="351"/>
      <c r="U83" s="351"/>
      <c r="V83" s="351"/>
      <c r="W83" s="351"/>
    </row>
    <row r="84" spans="2:23" ht="15.75">
      <c r="D84" s="351">
        <f>+D42-D81</f>
        <v>0</v>
      </c>
      <c r="F84" s="351">
        <f>+F42-F81</f>
        <v>0</v>
      </c>
      <c r="G84" s="308"/>
      <c r="H84" s="351">
        <f>+H42-H81</f>
        <v>0</v>
      </c>
      <c r="I84" s="308"/>
      <c r="J84" s="351">
        <f>+J42-J81</f>
        <v>0</v>
      </c>
      <c r="K84" s="308"/>
      <c r="L84" s="351">
        <f>+L42-L81</f>
        <v>0</v>
      </c>
      <c r="M84" s="308"/>
      <c r="N84" s="351">
        <f>+N42-N81</f>
        <v>0</v>
      </c>
      <c r="O84" s="308"/>
      <c r="P84" s="351">
        <f>+P81-P42</f>
        <v>0</v>
      </c>
      <c r="Q84" s="351"/>
      <c r="R84" s="351"/>
      <c r="S84" s="351"/>
      <c r="T84" s="351"/>
      <c r="U84" s="351"/>
      <c r="V84" s="351"/>
      <c r="W84" s="351"/>
    </row>
    <row r="85" spans="2:23" ht="15.75">
      <c r="D85" s="351">
        <f>+'DS IS'!D66</f>
        <v>0</v>
      </c>
      <c r="F85" s="351">
        <f>+'DS IS'!F66</f>
        <v>41294</v>
      </c>
      <c r="G85" s="308"/>
      <c r="H85" s="351">
        <f>+'DS IS'!H66</f>
        <v>0</v>
      </c>
      <c r="I85" s="308"/>
      <c r="J85" s="351">
        <f>+'DS IS'!J66</f>
        <v>387148</v>
      </c>
      <c r="K85" s="308"/>
      <c r="L85" s="351">
        <f>+'DS IS'!L66</f>
        <v>55606</v>
      </c>
      <c r="M85" s="308"/>
      <c r="N85" s="351">
        <f>+'DS IS'!N66</f>
        <v>19430</v>
      </c>
      <c r="O85" s="308"/>
      <c r="P85" s="351">
        <f>+'DS IS'!P66</f>
        <v>503478</v>
      </c>
      <c r="Q85" s="351"/>
      <c r="R85" s="351"/>
      <c r="S85" s="351"/>
      <c r="T85" s="351"/>
      <c r="U85" s="351"/>
      <c r="V85" s="351"/>
      <c r="W85" s="351"/>
    </row>
    <row r="86" spans="2:23" ht="15.75">
      <c r="D86" s="288">
        <f>+D79-'DS IS'!D66</f>
        <v>0</v>
      </c>
      <c r="F86" s="288">
        <f>+F79-'DS IS'!F66</f>
        <v>0</v>
      </c>
      <c r="G86" s="308"/>
      <c r="H86" s="288">
        <f>+H79-'DS IS'!H66</f>
        <v>0</v>
      </c>
      <c r="I86" s="308"/>
      <c r="J86" s="288">
        <f>+J79-'DS IS'!J66</f>
        <v>0</v>
      </c>
      <c r="K86" s="308"/>
      <c r="L86" s="288">
        <f>+L79-'DS IS'!L66</f>
        <v>0</v>
      </c>
      <c r="M86" s="308"/>
      <c r="N86" s="288">
        <f>+N79-'DS IS'!N66</f>
        <v>0</v>
      </c>
      <c r="O86" s="308"/>
      <c r="P86" s="288">
        <f>+P79-'DS IS'!P66</f>
        <v>0</v>
      </c>
    </row>
  </sheetData>
  <phoneticPr fontId="0" type="noConversion"/>
  <printOptions horizontalCentered="1"/>
  <pageMargins left="0.5" right="0.5" top="0.5" bottom="0.75" header="0.5" footer="0.25"/>
  <pageSetup scale="60" firstPageNumber="83" orientation="portrait" useFirstPageNumber="1" r:id="rId1"/>
  <headerFooter alignWithMargins="0">
    <oddFooter xml:space="preserve">&amp;C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4">
    <pageSetUpPr fitToPage="1"/>
  </sheetPr>
  <dimension ref="A1:AF106"/>
  <sheetViews>
    <sheetView showGridLines="0" topLeftCell="A64" zoomScale="90" zoomScaleNormal="90" workbookViewId="0">
      <selection activeCell="A43" sqref="A43:XFD43"/>
    </sheetView>
  </sheetViews>
  <sheetFormatPr defaultColWidth="9.140625" defaultRowHeight="12.75"/>
  <cols>
    <col min="1" max="1" width="4.85546875" style="288" customWidth="1"/>
    <col min="2" max="2" width="47.7109375" style="288" customWidth="1"/>
    <col min="3" max="3" width="14.140625" style="288" bestFit="1" customWidth="1"/>
    <col min="4" max="4" width="1.7109375" style="288" customWidth="1"/>
    <col min="5" max="5" width="14" style="288" customWidth="1"/>
    <col min="6" max="6" width="1.7109375" style="288" customWidth="1"/>
    <col min="7" max="7" width="13.5703125" style="288" customWidth="1"/>
    <col min="8" max="8" width="1.7109375" style="288" customWidth="1"/>
    <col min="9" max="9" width="14.140625" style="288" customWidth="1"/>
    <col min="10" max="10" width="1.7109375" style="288" customWidth="1"/>
    <col min="11" max="11" width="10.7109375" style="288" customWidth="1"/>
    <col min="12" max="12" width="1.7109375" style="288" customWidth="1"/>
    <col min="13" max="13" width="14.140625" style="288" bestFit="1" customWidth="1"/>
    <col min="14" max="14" width="1.7109375" style="288" customWidth="1"/>
    <col min="15" max="15" width="10.7109375" style="288" hidden="1" customWidth="1"/>
    <col min="16" max="16" width="1.7109375" style="288" hidden="1" customWidth="1"/>
    <col min="17" max="17" width="10.7109375" style="288" hidden="1" customWidth="1"/>
    <col min="18" max="18" width="1.7109375" style="288" hidden="1" customWidth="1"/>
    <col min="19" max="19" width="14.140625" style="288" bestFit="1" customWidth="1"/>
    <col min="20" max="20" width="4.140625" style="288" customWidth="1"/>
    <col min="21" max="21" width="14.140625" style="288" bestFit="1" customWidth="1"/>
    <col min="22" max="22" width="9.140625" style="288"/>
    <col min="23" max="23" width="10.85546875" style="288" bestFit="1" customWidth="1"/>
    <col min="24" max="25" width="9.140625" style="288"/>
    <col min="26" max="26" width="35" style="288" bestFit="1" customWidth="1"/>
    <col min="27" max="27" width="2" style="288" customWidth="1"/>
    <col min="28" max="28" width="10.140625" style="288" bestFit="1" customWidth="1"/>
    <col min="29" max="29" width="2" style="288" customWidth="1"/>
    <col min="30" max="30" width="18.7109375" style="288" bestFit="1" customWidth="1"/>
    <col min="31" max="31" width="2" style="288" customWidth="1"/>
    <col min="32" max="32" width="10.140625" style="288" bestFit="1" customWidth="1"/>
    <col min="33" max="16384" width="9.140625" style="288"/>
  </cols>
  <sheetData>
    <row r="1" spans="1:22">
      <c r="A1" s="288" t="s">
        <v>2526</v>
      </c>
    </row>
    <row r="2" spans="1:22" ht="15.75">
      <c r="B2" s="1303" t="s">
        <v>2479</v>
      </c>
      <c r="C2" s="1303"/>
      <c r="D2" s="1303"/>
      <c r="E2" s="1303"/>
      <c r="F2" s="1303"/>
      <c r="G2" s="1303"/>
      <c r="H2" s="1303"/>
      <c r="I2" s="1303"/>
      <c r="J2" s="1303"/>
      <c r="K2" s="1303"/>
      <c r="L2" s="1303"/>
      <c r="M2" s="1303"/>
      <c r="N2" s="1303"/>
      <c r="O2" s="1303"/>
      <c r="P2" s="1303"/>
      <c r="Q2" s="1303"/>
      <c r="R2" s="1303"/>
      <c r="S2" s="1303"/>
      <c r="T2" s="1303"/>
      <c r="U2" s="1303"/>
    </row>
    <row r="3" spans="1:22" ht="4.5" customHeight="1">
      <c r="B3" s="284"/>
      <c r="C3" s="284"/>
      <c r="D3" s="284"/>
      <c r="E3" s="284"/>
      <c r="F3" s="284"/>
      <c r="G3" s="284"/>
      <c r="H3" s="284"/>
      <c r="I3" s="284"/>
      <c r="J3" s="284"/>
      <c r="K3" s="284"/>
      <c r="L3" s="284"/>
      <c r="M3" s="284"/>
      <c r="N3" s="284"/>
      <c r="O3" s="284"/>
      <c r="P3" s="284"/>
      <c r="Q3" s="284"/>
      <c r="R3" s="284"/>
      <c r="S3" s="284"/>
      <c r="T3" s="276"/>
      <c r="U3" s="276"/>
    </row>
    <row r="4" spans="1:22" ht="15.75">
      <c r="B4" s="1183"/>
      <c r="C4" s="1184"/>
      <c r="D4" s="1184"/>
      <c r="E4" s="1304" t="s">
        <v>784</v>
      </c>
      <c r="F4" s="1304"/>
      <c r="G4" s="1304"/>
      <c r="H4" s="1304"/>
      <c r="I4" s="1304"/>
      <c r="J4" s="276"/>
      <c r="K4" s="1185" t="s">
        <v>691</v>
      </c>
      <c r="L4" s="1184"/>
      <c r="M4" s="1304" t="s">
        <v>2454</v>
      </c>
      <c r="N4" s="1304"/>
      <c r="O4" s="1304"/>
      <c r="P4" s="1304"/>
      <c r="Q4" s="1304"/>
      <c r="R4" s="1184"/>
      <c r="S4" s="276"/>
      <c r="T4" s="1184"/>
      <c r="U4" s="276"/>
    </row>
    <row r="5" spans="1:22" ht="15.75">
      <c r="B5" s="1183"/>
      <c r="C5" s="1186"/>
      <c r="D5" s="1186"/>
      <c r="E5" s="1186" t="s">
        <v>392</v>
      </c>
      <c r="F5" s="1186"/>
      <c r="G5" s="1186" t="s">
        <v>2364</v>
      </c>
      <c r="H5" s="1186"/>
      <c r="I5" s="1186" t="s">
        <v>696</v>
      </c>
      <c r="J5" s="276"/>
      <c r="K5" s="1186" t="s">
        <v>63</v>
      </c>
      <c r="L5" s="1186"/>
      <c r="M5" s="1186" t="s">
        <v>798</v>
      </c>
      <c r="N5" s="1186"/>
      <c r="O5" s="1186" t="s">
        <v>3147</v>
      </c>
      <c r="P5" s="1186"/>
      <c r="Q5" s="1186" t="s">
        <v>2419</v>
      </c>
      <c r="R5" s="1186"/>
      <c r="S5" s="1186" t="s">
        <v>2450</v>
      </c>
      <c r="T5" s="1186"/>
      <c r="U5" s="1186"/>
    </row>
    <row r="6" spans="1:22" ht="17.25" customHeight="1">
      <c r="B6" s="1183"/>
      <c r="C6" s="1187" t="s">
        <v>1235</v>
      </c>
      <c r="D6" s="1183"/>
      <c r="E6" s="1187" t="s">
        <v>393</v>
      </c>
      <c r="F6" s="1183"/>
      <c r="G6" s="1187" t="s">
        <v>2365</v>
      </c>
      <c r="H6" s="1183"/>
      <c r="I6" s="1187" t="s">
        <v>3080</v>
      </c>
      <c r="J6" s="276"/>
      <c r="K6" s="1187" t="s">
        <v>1224</v>
      </c>
      <c r="L6" s="1183"/>
      <c r="M6" s="1187" t="s">
        <v>2366</v>
      </c>
      <c r="N6" s="1183"/>
      <c r="O6" s="1187" t="s">
        <v>3148</v>
      </c>
      <c r="P6" s="1186"/>
      <c r="Q6" s="1187" t="s">
        <v>2420</v>
      </c>
      <c r="R6" s="1183"/>
      <c r="S6" s="1187" t="s">
        <v>1531</v>
      </c>
      <c r="T6" s="1183"/>
      <c r="U6" s="1187" t="s">
        <v>792</v>
      </c>
    </row>
    <row r="7" spans="1:22" ht="15.75">
      <c r="B7" s="1183" t="s">
        <v>2451</v>
      </c>
      <c r="C7" s="293"/>
      <c r="D7" s="293"/>
      <c r="E7" s="293"/>
      <c r="F7" s="293"/>
      <c r="G7" s="293"/>
      <c r="H7" s="293"/>
      <c r="I7" s="293"/>
      <c r="J7" s="276"/>
      <c r="K7" s="293"/>
      <c r="L7" s="293"/>
      <c r="M7" s="293"/>
      <c r="N7" s="293"/>
      <c r="O7" s="276"/>
      <c r="P7" s="1186"/>
      <c r="Q7" s="293"/>
      <c r="R7" s="293"/>
      <c r="S7" s="276"/>
      <c r="T7" s="293"/>
      <c r="U7" s="276"/>
    </row>
    <row r="8" spans="1:22" ht="15.75">
      <c r="B8" s="1183" t="s">
        <v>1389</v>
      </c>
      <c r="C8" s="296"/>
      <c r="D8" s="296"/>
      <c r="E8" s="296"/>
      <c r="F8" s="296"/>
      <c r="G8" s="296"/>
      <c r="H8" s="296"/>
      <c r="I8" s="296"/>
      <c r="J8" s="276"/>
      <c r="K8" s="296"/>
      <c r="L8" s="296"/>
      <c r="M8" s="296"/>
      <c r="N8" s="296"/>
      <c r="O8" s="276"/>
      <c r="P8" s="1186"/>
      <c r="Q8" s="296"/>
      <c r="R8" s="296"/>
      <c r="S8" s="276"/>
      <c r="T8" s="296"/>
      <c r="U8" s="276"/>
    </row>
    <row r="9" spans="1:22" ht="15.75">
      <c r="B9" s="1183" t="s">
        <v>2369</v>
      </c>
      <c r="C9" s="874">
        <f>INPUT!D341</f>
        <v>112403</v>
      </c>
      <c r="D9" s="596"/>
      <c r="E9" s="874">
        <v>0</v>
      </c>
      <c r="F9" s="596"/>
      <c r="G9" s="874">
        <v>0</v>
      </c>
      <c r="H9" s="596"/>
      <c r="I9" s="874">
        <v>0</v>
      </c>
      <c r="J9" s="276"/>
      <c r="K9" s="874">
        <v>0</v>
      </c>
      <c r="L9" s="596"/>
      <c r="M9" s="874">
        <v>0</v>
      </c>
      <c r="N9" s="596"/>
      <c r="O9" s="874">
        <v>0</v>
      </c>
      <c r="P9" s="1186"/>
      <c r="Q9" s="874">
        <v>0</v>
      </c>
      <c r="R9" s="596"/>
      <c r="S9" s="874">
        <f>INPUT!CA341</f>
        <v>474123</v>
      </c>
      <c r="T9" s="296"/>
      <c r="U9" s="874">
        <f>SUM(C9:T9)</f>
        <v>586526</v>
      </c>
      <c r="V9" s="382"/>
    </row>
    <row r="10" spans="1:22" ht="15.75">
      <c r="B10" s="1183" t="s">
        <v>2452</v>
      </c>
      <c r="C10" s="369">
        <v>0</v>
      </c>
      <c r="D10" s="1188"/>
      <c r="E10" s="369">
        <v>0</v>
      </c>
      <c r="F10" s="1188"/>
      <c r="G10" s="369">
        <v>0</v>
      </c>
      <c r="H10" s="1188"/>
      <c r="I10" s="369">
        <v>0</v>
      </c>
      <c r="J10" s="276"/>
      <c r="K10" s="369">
        <v>0</v>
      </c>
      <c r="L10" s="1188"/>
      <c r="M10" s="369">
        <v>0</v>
      </c>
      <c r="N10" s="1188"/>
      <c r="O10" s="369">
        <v>0</v>
      </c>
      <c r="P10" s="1186"/>
      <c r="Q10" s="369">
        <v>0</v>
      </c>
      <c r="R10" s="1188"/>
      <c r="S10" s="369">
        <f>INPUT!CA344</f>
        <v>737543</v>
      </c>
      <c r="T10" s="296"/>
      <c r="U10" s="369">
        <f>SUM(C10:T10)</f>
        <v>737543</v>
      </c>
      <c r="V10" s="382"/>
    </row>
    <row r="11" spans="1:22" ht="15.75">
      <c r="B11" s="1183" t="s">
        <v>2453</v>
      </c>
      <c r="C11" s="1189">
        <f>SUM(C9:C10)</f>
        <v>112403</v>
      </c>
      <c r="D11" s="296">
        <f t="shared" ref="D11:H11" si="0">SUM(D9:D10)</f>
        <v>0</v>
      </c>
      <c r="E11" s="1189">
        <f t="shared" si="0"/>
        <v>0</v>
      </c>
      <c r="F11" s="296">
        <f t="shared" si="0"/>
        <v>0</v>
      </c>
      <c r="G11" s="1189">
        <f t="shared" si="0"/>
        <v>0</v>
      </c>
      <c r="H11" s="296">
        <f t="shared" si="0"/>
        <v>0</v>
      </c>
      <c r="I11" s="1189">
        <f t="shared" ref="I11" si="1">SUM(I9:I10)</f>
        <v>0</v>
      </c>
      <c r="J11" s="276"/>
      <c r="K11" s="1189">
        <f>SUM(K9:K10)</f>
        <v>0</v>
      </c>
      <c r="L11" s="296">
        <f>SUM(L9:L10)</f>
        <v>0</v>
      </c>
      <c r="M11" s="1189">
        <f>SUM(M9:M10)</f>
        <v>0</v>
      </c>
      <c r="N11" s="296">
        <f>SUM(N9:N10)</f>
        <v>0</v>
      </c>
      <c r="O11" s="1189">
        <f>SUM(O9:O10)</f>
        <v>0</v>
      </c>
      <c r="P11" s="1186"/>
      <c r="Q11" s="1189">
        <f>SUM(Q9:Q10)</f>
        <v>0</v>
      </c>
      <c r="R11" s="296">
        <f>SUM(R9:R10)</f>
        <v>0</v>
      </c>
      <c r="S11" s="1189">
        <f>SUM(S9:S10)</f>
        <v>1211666</v>
      </c>
      <c r="T11" s="296"/>
      <c r="U11" s="1189">
        <f>SUM(C11:T11)</f>
        <v>1324069</v>
      </c>
      <c r="V11" s="382"/>
    </row>
    <row r="12" spans="1:22" ht="15.75">
      <c r="B12" s="1183"/>
      <c r="C12" s="296"/>
      <c r="D12" s="296"/>
      <c r="E12" s="296"/>
      <c r="F12" s="296"/>
      <c r="G12" s="296"/>
      <c r="H12" s="296"/>
      <c r="I12" s="296"/>
      <c r="J12" s="276"/>
      <c r="K12" s="296"/>
      <c r="L12" s="296"/>
      <c r="M12" s="296"/>
      <c r="N12" s="296"/>
      <c r="O12" s="296"/>
      <c r="P12" s="1186"/>
      <c r="Q12" s="296"/>
      <c r="R12" s="296"/>
      <c r="S12" s="296"/>
      <c r="T12" s="296"/>
      <c r="U12" s="296"/>
      <c r="V12" s="382"/>
    </row>
    <row r="13" spans="1:22" ht="15.75">
      <c r="B13" s="1190" t="s">
        <v>1392</v>
      </c>
      <c r="C13" s="296"/>
      <c r="D13" s="296"/>
      <c r="E13" s="296"/>
      <c r="F13" s="296"/>
      <c r="G13" s="296"/>
      <c r="H13" s="296"/>
      <c r="I13" s="296"/>
      <c r="J13" s="276"/>
      <c r="K13" s="296"/>
      <c r="L13" s="296"/>
      <c r="M13" s="296"/>
      <c r="N13" s="296"/>
      <c r="O13" s="296"/>
      <c r="P13" s="1186"/>
      <c r="Q13" s="296"/>
      <c r="R13" s="296"/>
      <c r="S13" s="296"/>
      <c r="T13" s="296"/>
      <c r="U13" s="296"/>
      <c r="V13" s="382"/>
    </row>
    <row r="14" spans="1:22" ht="15.75">
      <c r="B14" s="1183" t="s">
        <v>2455</v>
      </c>
      <c r="C14" s="296"/>
      <c r="D14" s="296"/>
      <c r="E14" s="296"/>
      <c r="F14" s="296"/>
      <c r="G14" s="296"/>
      <c r="H14" s="296"/>
      <c r="I14" s="296"/>
      <c r="J14" s="276"/>
      <c r="K14" s="296"/>
      <c r="L14" s="296"/>
      <c r="M14" s="296"/>
      <c r="N14" s="296"/>
      <c r="O14" s="296"/>
      <c r="P14" s="1186"/>
      <c r="Q14" s="296"/>
      <c r="R14" s="296"/>
      <c r="S14" s="296"/>
      <c r="T14" s="296"/>
      <c r="U14" s="296"/>
      <c r="V14" s="382"/>
    </row>
    <row r="15" spans="1:22" ht="15.75">
      <c r="B15" s="1183" t="s">
        <v>2456</v>
      </c>
      <c r="C15" s="296">
        <v>0</v>
      </c>
      <c r="D15" s="296"/>
      <c r="E15" s="296">
        <v>0</v>
      </c>
      <c r="F15" s="296"/>
      <c r="G15" s="296">
        <v>0</v>
      </c>
      <c r="H15" s="296"/>
      <c r="I15" s="296">
        <v>0</v>
      </c>
      <c r="J15" s="276"/>
      <c r="K15" s="296">
        <v>0</v>
      </c>
      <c r="L15" s="296"/>
      <c r="M15" s="296">
        <v>0</v>
      </c>
      <c r="N15" s="296"/>
      <c r="O15" s="296">
        <v>0</v>
      </c>
      <c r="P15" s="1186"/>
      <c r="Q15" s="296">
        <v>0</v>
      </c>
      <c r="R15" s="296"/>
      <c r="S15" s="296">
        <f>+INPUT!CA350</f>
        <v>233289</v>
      </c>
      <c r="T15" s="296"/>
      <c r="U15" s="296">
        <f t="shared" ref="U15:U24" si="2">SUM(C15:T15)</f>
        <v>233289</v>
      </c>
      <c r="V15" s="382"/>
    </row>
    <row r="16" spans="1:22" ht="15.75">
      <c r="B16" s="1183" t="s">
        <v>2457</v>
      </c>
      <c r="C16" s="296">
        <v>110000</v>
      </c>
      <c r="D16" s="296"/>
      <c r="E16" s="296">
        <v>0</v>
      </c>
      <c r="F16" s="296"/>
      <c r="G16" s="296">
        <v>0</v>
      </c>
      <c r="H16" s="296"/>
      <c r="I16" s="296">
        <v>0</v>
      </c>
      <c r="J16" s="276"/>
      <c r="K16" s="296">
        <v>0</v>
      </c>
      <c r="L16" s="296"/>
      <c r="M16" s="296">
        <v>0</v>
      </c>
      <c r="N16" s="296"/>
      <c r="O16" s="296">
        <v>0</v>
      </c>
      <c r="P16" s="1186"/>
      <c r="Q16" s="296">
        <v>0</v>
      </c>
      <c r="R16" s="296"/>
      <c r="S16" s="296">
        <f>INPUT!CA351</f>
        <v>0</v>
      </c>
      <c r="T16" s="296"/>
      <c r="U16" s="296">
        <f t="shared" si="2"/>
        <v>110000</v>
      </c>
      <c r="V16" s="382"/>
    </row>
    <row r="17" spans="2:25" ht="15.75">
      <c r="B17" s="1183" t="s">
        <v>1808</v>
      </c>
      <c r="C17" s="296">
        <v>0</v>
      </c>
      <c r="D17" s="296"/>
      <c r="E17" s="296">
        <v>0</v>
      </c>
      <c r="F17" s="296"/>
      <c r="G17" s="296">
        <v>0</v>
      </c>
      <c r="H17" s="296"/>
      <c r="I17" s="296">
        <v>0</v>
      </c>
      <c r="J17" s="276"/>
      <c r="K17" s="296">
        <v>0</v>
      </c>
      <c r="L17" s="296"/>
      <c r="M17" s="296">
        <v>0</v>
      </c>
      <c r="N17" s="296"/>
      <c r="O17" s="296">
        <v>0</v>
      </c>
      <c r="P17" s="1186"/>
      <c r="Q17" s="296">
        <v>0</v>
      </c>
      <c r="R17" s="296"/>
      <c r="S17" s="296">
        <f>INPUT!CA352</f>
        <v>1675727</v>
      </c>
      <c r="T17" s="296"/>
      <c r="U17" s="296">
        <f t="shared" si="2"/>
        <v>1675727</v>
      </c>
      <c r="V17" s="382"/>
    </row>
    <row r="18" spans="2:25" ht="15.75" hidden="1">
      <c r="B18" s="1183" t="s">
        <v>2470</v>
      </c>
      <c r="C18" s="296">
        <v>0</v>
      </c>
      <c r="D18" s="296"/>
      <c r="E18" s="296">
        <v>0</v>
      </c>
      <c r="F18" s="296"/>
      <c r="G18" s="296">
        <v>0</v>
      </c>
      <c r="H18" s="296"/>
      <c r="I18" s="296">
        <v>0</v>
      </c>
      <c r="J18" s="276"/>
      <c r="K18" s="296">
        <v>0</v>
      </c>
      <c r="L18" s="296"/>
      <c r="M18" s="296">
        <v>0</v>
      </c>
      <c r="N18" s="296"/>
      <c r="O18" s="296">
        <v>0</v>
      </c>
      <c r="P18" s="1186"/>
      <c r="Q18" s="296">
        <v>0</v>
      </c>
      <c r="R18" s="296"/>
      <c r="S18" s="296">
        <f>INPUT!CA353</f>
        <v>0</v>
      </c>
      <c r="T18" s="296"/>
      <c r="U18" s="296">
        <f t="shared" si="2"/>
        <v>0</v>
      </c>
      <c r="V18" s="382"/>
    </row>
    <row r="19" spans="2:25" ht="15.75">
      <c r="B19" s="1183" t="s">
        <v>2458</v>
      </c>
      <c r="C19" s="296">
        <v>0</v>
      </c>
      <c r="D19" s="296"/>
      <c r="E19" s="296">
        <v>0</v>
      </c>
      <c r="F19" s="296"/>
      <c r="G19" s="296">
        <v>0</v>
      </c>
      <c r="H19" s="296"/>
      <c r="I19" s="296">
        <v>0</v>
      </c>
      <c r="J19" s="276"/>
      <c r="K19" s="296">
        <v>0</v>
      </c>
      <c r="L19" s="296"/>
      <c r="M19" s="296">
        <v>0</v>
      </c>
      <c r="N19" s="296"/>
      <c r="O19" s="296">
        <v>0</v>
      </c>
      <c r="P19" s="1186"/>
      <c r="Q19" s="296">
        <v>0</v>
      </c>
      <c r="R19" s="296"/>
      <c r="S19" s="296">
        <f>INPUT!CA354</f>
        <v>84290</v>
      </c>
      <c r="T19" s="296"/>
      <c r="U19" s="296">
        <f t="shared" si="2"/>
        <v>84290</v>
      </c>
      <c r="V19" s="382"/>
    </row>
    <row r="20" spans="2:25" ht="15.75">
      <c r="B20" s="1183" t="s">
        <v>2459</v>
      </c>
      <c r="C20" s="296">
        <v>0</v>
      </c>
      <c r="D20" s="296"/>
      <c r="E20" s="296">
        <v>0</v>
      </c>
      <c r="F20" s="296"/>
      <c r="G20" s="296">
        <v>0</v>
      </c>
      <c r="H20" s="296"/>
      <c r="I20" s="296">
        <v>0</v>
      </c>
      <c r="J20" s="276"/>
      <c r="K20" s="296">
        <v>0</v>
      </c>
      <c r="L20" s="296"/>
      <c r="M20" s="296">
        <v>0</v>
      </c>
      <c r="N20" s="296"/>
      <c r="O20" s="296">
        <v>0</v>
      </c>
      <c r="P20" s="1186"/>
      <c r="Q20" s="296">
        <v>0</v>
      </c>
      <c r="R20" s="296"/>
      <c r="S20" s="296">
        <f>INPUT!CA355</f>
        <v>758814</v>
      </c>
      <c r="T20" s="296"/>
      <c r="U20" s="296">
        <f t="shared" si="2"/>
        <v>758814</v>
      </c>
      <c r="V20" s="382"/>
    </row>
    <row r="21" spans="2:25" ht="15.75">
      <c r="B21" s="1183" t="s">
        <v>1514</v>
      </c>
      <c r="C21" s="296">
        <v>0</v>
      </c>
      <c r="D21" s="296"/>
      <c r="E21" s="296">
        <v>0</v>
      </c>
      <c r="F21" s="296"/>
      <c r="G21" s="296">
        <v>0</v>
      </c>
      <c r="H21" s="296"/>
      <c r="I21" s="296">
        <f>INPUT!BB356</f>
        <v>0</v>
      </c>
      <c r="J21" s="276"/>
      <c r="K21" s="296">
        <v>0</v>
      </c>
      <c r="L21" s="296"/>
      <c r="M21" s="296">
        <f>INPUT!BR356</f>
        <v>0</v>
      </c>
      <c r="N21" s="296"/>
      <c r="O21" s="296">
        <v>0</v>
      </c>
      <c r="P21" s="1186"/>
      <c r="Q21" s="296">
        <v>0</v>
      </c>
      <c r="R21" s="296"/>
      <c r="S21" s="296">
        <f>INPUT!CA356</f>
        <v>889770</v>
      </c>
      <c r="T21" s="296"/>
      <c r="U21" s="296">
        <f t="shared" si="2"/>
        <v>889770</v>
      </c>
      <c r="V21" s="382"/>
      <c r="W21" s="583"/>
      <c r="X21" s="583"/>
      <c r="Y21" s="583"/>
    </row>
    <row r="22" spans="2:25" ht="15.75">
      <c r="B22" s="1183" t="s">
        <v>2460</v>
      </c>
      <c r="C22" s="296">
        <v>0</v>
      </c>
      <c r="D22" s="296"/>
      <c r="E22" s="296">
        <v>0</v>
      </c>
      <c r="F22" s="296"/>
      <c r="G22" s="296">
        <v>0</v>
      </c>
      <c r="H22" s="296"/>
      <c r="I22" s="296">
        <v>0</v>
      </c>
      <c r="J22" s="276"/>
      <c r="K22" s="296">
        <v>0</v>
      </c>
      <c r="L22" s="296"/>
      <c r="M22" s="296">
        <v>0</v>
      </c>
      <c r="N22" s="296"/>
      <c r="O22" s="296">
        <v>0</v>
      </c>
      <c r="P22" s="1186"/>
      <c r="Q22" s="296">
        <v>0</v>
      </c>
      <c r="R22" s="296"/>
      <c r="S22" s="296">
        <f>INPUT!CA357</f>
        <v>104504</v>
      </c>
      <c r="T22" s="296"/>
      <c r="U22" s="296">
        <f t="shared" si="2"/>
        <v>104504</v>
      </c>
      <c r="V22" s="382"/>
      <c r="W22" s="583"/>
      <c r="X22" s="583"/>
      <c r="Y22" s="583"/>
    </row>
    <row r="23" spans="2:25" ht="15.75" hidden="1">
      <c r="B23" s="1183" t="s">
        <v>1719</v>
      </c>
      <c r="C23" s="296">
        <v>0</v>
      </c>
      <c r="D23" s="296"/>
      <c r="E23" s="296">
        <v>0</v>
      </c>
      <c r="F23" s="296"/>
      <c r="G23" s="296">
        <v>0</v>
      </c>
      <c r="H23" s="296"/>
      <c r="I23" s="296">
        <v>0</v>
      </c>
      <c r="J23" s="276"/>
      <c r="K23" s="296">
        <v>0</v>
      </c>
      <c r="L23" s="296"/>
      <c r="M23" s="296">
        <v>0</v>
      </c>
      <c r="N23" s="296"/>
      <c r="O23" s="296">
        <v>0</v>
      </c>
      <c r="P23" s="1186"/>
      <c r="Q23" s="296">
        <v>0</v>
      </c>
      <c r="R23" s="296"/>
      <c r="S23" s="296">
        <f>INPUT!CA358</f>
        <v>0</v>
      </c>
      <c r="T23" s="296"/>
      <c r="U23" s="296">
        <f t="shared" si="2"/>
        <v>0</v>
      </c>
      <c r="V23" s="382"/>
      <c r="W23" s="583"/>
      <c r="X23" s="583"/>
      <c r="Y23" s="583"/>
    </row>
    <row r="24" spans="2:25" ht="15.75">
      <c r="B24" s="1183" t="s">
        <v>720</v>
      </c>
      <c r="C24" s="369">
        <v>0</v>
      </c>
      <c r="D24" s="296"/>
      <c r="E24" s="369">
        <v>0</v>
      </c>
      <c r="F24" s="296"/>
      <c r="G24" s="369">
        <v>0</v>
      </c>
      <c r="H24" s="296"/>
      <c r="I24" s="369">
        <v>0</v>
      </c>
      <c r="J24" s="276"/>
      <c r="K24" s="369">
        <f>INPUT!BN359</f>
        <v>121101</v>
      </c>
      <c r="L24" s="296"/>
      <c r="M24" s="369">
        <v>0</v>
      </c>
      <c r="N24" s="296"/>
      <c r="O24" s="369">
        <v>0</v>
      </c>
      <c r="P24" s="1186"/>
      <c r="Q24" s="369">
        <v>0</v>
      </c>
      <c r="R24" s="296"/>
      <c r="S24" s="369">
        <f>INPUT!CA359</f>
        <v>503478</v>
      </c>
      <c r="T24" s="296"/>
      <c r="U24" s="369">
        <f t="shared" si="2"/>
        <v>624579</v>
      </c>
      <c r="V24" s="382"/>
      <c r="W24" s="583"/>
      <c r="X24" s="583"/>
      <c r="Y24" s="583"/>
    </row>
    <row r="25" spans="2:25" ht="15.75">
      <c r="B25" s="1183" t="s">
        <v>2461</v>
      </c>
      <c r="C25" s="1191">
        <f>SUM(C15:C24)</f>
        <v>110000</v>
      </c>
      <c r="D25" s="296">
        <f t="shared" ref="D25:H25" si="3">SUM(D15:D24)</f>
        <v>0</v>
      </c>
      <c r="E25" s="1191">
        <f t="shared" si="3"/>
        <v>0</v>
      </c>
      <c r="F25" s="296">
        <f t="shared" si="3"/>
        <v>0</v>
      </c>
      <c r="G25" s="1191">
        <f t="shared" si="3"/>
        <v>0</v>
      </c>
      <c r="H25" s="296">
        <f t="shared" si="3"/>
        <v>0</v>
      </c>
      <c r="I25" s="1189">
        <f t="shared" ref="I25" si="4">SUM(I15:I24)</f>
        <v>0</v>
      </c>
      <c r="J25" s="276"/>
      <c r="K25" s="1189">
        <f>SUM(K15:K24)</f>
        <v>121101</v>
      </c>
      <c r="L25" s="296">
        <f>SUM(L15:L24)</f>
        <v>0</v>
      </c>
      <c r="M25" s="1189">
        <f>SUM(M15:M24)</f>
        <v>0</v>
      </c>
      <c r="N25" s="296">
        <f>SUM(N15:N24)</f>
        <v>0</v>
      </c>
      <c r="O25" s="1189">
        <f>SUM(O15:O24)</f>
        <v>0</v>
      </c>
      <c r="P25" s="1192"/>
      <c r="Q25" s="1191">
        <f>SUM(Q15:Q24)</f>
        <v>0</v>
      </c>
      <c r="R25" s="296">
        <f>SUM(R15:R24)</f>
        <v>0</v>
      </c>
      <c r="S25" s="1189">
        <f>SUM(S15:S24)</f>
        <v>4249872</v>
      </c>
      <c r="T25" s="296"/>
      <c r="U25" s="1189">
        <f>SUM(U15:U24)</f>
        <v>4480973</v>
      </c>
      <c r="V25" s="382"/>
      <c r="W25" s="583"/>
      <c r="X25" s="583"/>
      <c r="Y25" s="583"/>
    </row>
    <row r="26" spans="2:25" ht="15.75">
      <c r="B26" s="1183"/>
      <c r="C26" s="296"/>
      <c r="D26" s="296"/>
      <c r="E26" s="296"/>
      <c r="F26" s="296"/>
      <c r="G26" s="296"/>
      <c r="H26" s="296"/>
      <c r="I26" s="296"/>
      <c r="J26" s="276"/>
      <c r="K26" s="296"/>
      <c r="L26" s="296"/>
      <c r="M26" s="296"/>
      <c r="N26" s="296"/>
      <c r="O26" s="296"/>
      <c r="P26" s="296"/>
      <c r="Q26" s="296"/>
      <c r="R26" s="296"/>
      <c r="S26" s="296"/>
      <c r="T26" s="296"/>
      <c r="U26" s="296"/>
      <c r="V26" s="382"/>
      <c r="W26" s="583"/>
      <c r="X26" s="583"/>
      <c r="Y26" s="583"/>
    </row>
    <row r="27" spans="2:25" ht="15.75">
      <c r="B27" s="1190" t="s">
        <v>1393</v>
      </c>
      <c r="C27" s="296"/>
      <c r="D27" s="296"/>
      <c r="E27" s="296"/>
      <c r="F27" s="296"/>
      <c r="G27" s="296"/>
      <c r="H27" s="296"/>
      <c r="I27" s="296"/>
      <c r="J27" s="276"/>
      <c r="K27" s="296"/>
      <c r="L27" s="296"/>
      <c r="M27" s="296"/>
      <c r="N27" s="296"/>
      <c r="O27" s="296"/>
      <c r="P27" s="296"/>
      <c r="Q27" s="296"/>
      <c r="R27" s="296"/>
      <c r="S27" s="296"/>
      <c r="T27" s="296"/>
      <c r="U27" s="296"/>
      <c r="V27" s="382"/>
      <c r="W27" s="583"/>
      <c r="X27" s="583"/>
      <c r="Y27" s="583"/>
    </row>
    <row r="28" spans="2:25" ht="15.75">
      <c r="B28" s="1183" t="s">
        <v>1470</v>
      </c>
      <c r="C28" s="296">
        <v>0</v>
      </c>
      <c r="D28" s="296"/>
      <c r="E28" s="296">
        <v>0</v>
      </c>
      <c r="F28" s="296"/>
      <c r="G28" s="296">
        <v>0</v>
      </c>
      <c r="H28" s="296"/>
      <c r="I28" s="296">
        <f>+INPUT!BB351</f>
        <v>0</v>
      </c>
      <c r="J28" s="276"/>
      <c r="K28" s="296">
        <v>0</v>
      </c>
      <c r="L28" s="296"/>
      <c r="M28" s="296">
        <f>INPUT!BR364</f>
        <v>7897869</v>
      </c>
      <c r="N28" s="296"/>
      <c r="O28" s="296">
        <f>INPUT!BV364</f>
        <v>0</v>
      </c>
      <c r="P28" s="296"/>
      <c r="Q28" s="296">
        <v>0</v>
      </c>
      <c r="R28" s="296"/>
      <c r="S28" s="296">
        <f>INPUT!CA364</f>
        <v>2939978</v>
      </c>
      <c r="T28" s="296"/>
      <c r="U28" s="296">
        <f t="shared" ref="U28:U37" si="5">SUM(C28:T28)</f>
        <v>10837847</v>
      </c>
      <c r="V28" s="382"/>
      <c r="W28" s="583"/>
      <c r="X28" s="583"/>
      <c r="Y28" s="583"/>
    </row>
    <row r="29" spans="2:25" ht="15.75">
      <c r="B29" s="1183" t="s">
        <v>2462</v>
      </c>
      <c r="C29" s="296">
        <v>0</v>
      </c>
      <c r="D29" s="296"/>
      <c r="E29" s="296">
        <v>0</v>
      </c>
      <c r="F29" s="296"/>
      <c r="G29" s="296">
        <v>0</v>
      </c>
      <c r="H29" s="296"/>
      <c r="I29" s="296">
        <f>INPUT!BB365</f>
        <v>0</v>
      </c>
      <c r="J29" s="276"/>
      <c r="K29" s="296">
        <v>0</v>
      </c>
      <c r="L29" s="296"/>
      <c r="M29" s="296">
        <f>INPUT!BR365</f>
        <v>0</v>
      </c>
      <c r="N29" s="296"/>
      <c r="O29" s="296">
        <f>INPUT!BV365</f>
        <v>0</v>
      </c>
      <c r="P29" s="296"/>
      <c r="Q29" s="296">
        <v>0</v>
      </c>
      <c r="R29" s="296"/>
      <c r="S29" s="296">
        <f>INPUT!CA365</f>
        <v>660329</v>
      </c>
      <c r="T29" s="296"/>
      <c r="U29" s="296">
        <f t="shared" si="5"/>
        <v>660329</v>
      </c>
      <c r="V29" s="382"/>
      <c r="W29" s="583"/>
      <c r="X29" s="583"/>
      <c r="Y29" s="583"/>
    </row>
    <row r="30" spans="2:25" ht="15.75">
      <c r="B30" s="1183" t="s">
        <v>1492</v>
      </c>
      <c r="C30" s="296">
        <v>0</v>
      </c>
      <c r="D30" s="296"/>
      <c r="E30" s="296">
        <f>INPUT!X366</f>
        <v>4366091</v>
      </c>
      <c r="F30" s="296"/>
      <c r="G30" s="296">
        <v>0</v>
      </c>
      <c r="H30" s="296"/>
      <c r="I30" s="296">
        <f>INPUT!BB366</f>
        <v>0</v>
      </c>
      <c r="J30" s="276"/>
      <c r="K30" s="296">
        <v>0</v>
      </c>
      <c r="L30" s="296"/>
      <c r="M30" s="296">
        <f>INPUT!BR366</f>
        <v>1704914</v>
      </c>
      <c r="N30" s="296"/>
      <c r="O30" s="296">
        <f>INPUT!BV366</f>
        <v>0</v>
      </c>
      <c r="P30" s="296"/>
      <c r="Q30" s="296">
        <v>0</v>
      </c>
      <c r="R30" s="296"/>
      <c r="S30" s="296">
        <f>INPUT!CA366</f>
        <v>212818</v>
      </c>
      <c r="T30" s="296"/>
      <c r="U30" s="296">
        <f t="shared" si="5"/>
        <v>6283823</v>
      </c>
      <c r="V30" s="382"/>
      <c r="W30" s="583"/>
      <c r="X30" s="583"/>
      <c r="Y30" s="583"/>
    </row>
    <row r="31" spans="2:25" ht="15.75">
      <c r="B31" s="1183" t="s">
        <v>716</v>
      </c>
      <c r="C31" s="296">
        <v>0</v>
      </c>
      <c r="D31" s="296"/>
      <c r="E31" s="296">
        <v>0</v>
      </c>
      <c r="F31" s="296"/>
      <c r="G31" s="296">
        <v>0</v>
      </c>
      <c r="H31" s="296"/>
      <c r="I31" s="296">
        <f>INPUT!BB367</f>
        <v>0</v>
      </c>
      <c r="J31" s="276"/>
      <c r="K31" s="296">
        <v>0</v>
      </c>
      <c r="L31" s="296"/>
      <c r="M31" s="296">
        <f>INPUT!BR367</f>
        <v>6861181</v>
      </c>
      <c r="N31" s="296"/>
      <c r="O31" s="296">
        <f>INPUT!BV367</f>
        <v>0</v>
      </c>
      <c r="P31" s="296"/>
      <c r="Q31" s="296">
        <v>0</v>
      </c>
      <c r="R31" s="296"/>
      <c r="S31" s="296">
        <f>INPUT!CA367</f>
        <v>380215</v>
      </c>
      <c r="T31" s="296"/>
      <c r="U31" s="296">
        <f t="shared" si="5"/>
        <v>7241396</v>
      </c>
      <c r="V31" s="382"/>
      <c r="W31" s="583"/>
      <c r="X31" s="583"/>
      <c r="Y31" s="583"/>
    </row>
    <row r="32" spans="2:25" ht="15.75">
      <c r="B32" s="1183" t="s">
        <v>2463</v>
      </c>
      <c r="C32" s="296">
        <v>0</v>
      </c>
      <c r="D32" s="296"/>
      <c r="E32" s="296">
        <v>0</v>
      </c>
      <c r="F32" s="296"/>
      <c r="G32" s="296">
        <v>0</v>
      </c>
      <c r="H32" s="296"/>
      <c r="I32" s="296">
        <f>INPUT!BB368</f>
        <v>0</v>
      </c>
      <c r="J32" s="276"/>
      <c r="K32" s="296">
        <v>0</v>
      </c>
      <c r="L32" s="296"/>
      <c r="M32" s="296">
        <f>INPUT!BR368</f>
        <v>0</v>
      </c>
      <c r="N32" s="296"/>
      <c r="O32" s="296">
        <f>INPUT!BV368</f>
        <v>0</v>
      </c>
      <c r="P32" s="296"/>
      <c r="Q32" s="296">
        <v>0</v>
      </c>
      <c r="R32" s="296"/>
      <c r="S32" s="296">
        <f>INPUT!CA368</f>
        <v>4152975</v>
      </c>
      <c r="T32" s="296"/>
      <c r="U32" s="296">
        <f t="shared" si="5"/>
        <v>4152975</v>
      </c>
      <c r="V32" s="382"/>
      <c r="W32" s="583"/>
      <c r="X32" s="583"/>
      <c r="Y32" s="583"/>
    </row>
    <row r="33" spans="2:31" ht="15.75">
      <c r="B33" s="1183" t="s">
        <v>1468</v>
      </c>
      <c r="C33" s="296">
        <v>0</v>
      </c>
      <c r="D33" s="296"/>
      <c r="E33" s="296">
        <v>0</v>
      </c>
      <c r="F33" s="296"/>
      <c r="G33" s="296">
        <v>0</v>
      </c>
      <c r="H33" s="296"/>
      <c r="I33" s="296">
        <f>INPUT!BB369</f>
        <v>0</v>
      </c>
      <c r="J33" s="276"/>
      <c r="K33" s="296">
        <v>0</v>
      </c>
      <c r="L33" s="296"/>
      <c r="M33" s="296">
        <f>INPUT!BR369</f>
        <v>273725</v>
      </c>
      <c r="N33" s="296"/>
      <c r="O33" s="296">
        <f>INPUT!BV369</f>
        <v>0</v>
      </c>
      <c r="P33" s="296"/>
      <c r="Q33" s="296">
        <v>0</v>
      </c>
      <c r="R33" s="296"/>
      <c r="S33" s="296">
        <f>INPUT!CA369</f>
        <v>1288986</v>
      </c>
      <c r="T33" s="296"/>
      <c r="U33" s="296">
        <f t="shared" si="5"/>
        <v>1562711</v>
      </c>
      <c r="V33" s="382"/>
      <c r="W33" s="583"/>
      <c r="X33" s="583"/>
      <c r="Y33" s="583"/>
    </row>
    <row r="34" spans="2:31" ht="15.75">
      <c r="B34" s="1183" t="s">
        <v>1469</v>
      </c>
      <c r="C34" s="296">
        <v>0</v>
      </c>
      <c r="D34" s="296"/>
      <c r="E34" s="296">
        <v>0</v>
      </c>
      <c r="F34" s="296"/>
      <c r="G34" s="296">
        <v>0</v>
      </c>
      <c r="H34" s="296"/>
      <c r="I34" s="296">
        <f>INPUT!BB370</f>
        <v>0</v>
      </c>
      <c r="J34" s="276"/>
      <c r="K34" s="296">
        <v>0</v>
      </c>
      <c r="L34" s="296"/>
      <c r="M34" s="296">
        <f>INPUT!BR370</f>
        <v>1127058</v>
      </c>
      <c r="N34" s="296"/>
      <c r="O34" s="296">
        <f>INPUT!BV370</f>
        <v>0</v>
      </c>
      <c r="P34" s="296"/>
      <c r="Q34" s="296">
        <v>0</v>
      </c>
      <c r="R34" s="296"/>
      <c r="S34" s="296">
        <f>INPUT!CA370</f>
        <v>299318</v>
      </c>
      <c r="T34" s="296"/>
      <c r="U34" s="296">
        <f t="shared" si="5"/>
        <v>1426376</v>
      </c>
      <c r="V34" s="382"/>
      <c r="W34" s="583"/>
      <c r="X34" s="583"/>
      <c r="Y34" s="583"/>
    </row>
    <row r="35" spans="2:31" ht="15.75">
      <c r="B35" s="1183" t="s">
        <v>2464</v>
      </c>
      <c r="C35" s="296">
        <v>0</v>
      </c>
      <c r="D35" s="296"/>
      <c r="E35" s="296">
        <v>0</v>
      </c>
      <c r="F35" s="296"/>
      <c r="G35" s="296">
        <v>0</v>
      </c>
      <c r="H35" s="296"/>
      <c r="I35" s="296">
        <f>INPUT!BB371</f>
        <v>0</v>
      </c>
      <c r="J35" s="276"/>
      <c r="K35" s="296">
        <v>0</v>
      </c>
      <c r="L35" s="296"/>
      <c r="M35" s="296">
        <f>INPUT!BR371</f>
        <v>41367</v>
      </c>
      <c r="N35" s="296"/>
      <c r="O35" s="296">
        <f>INPUT!BV371</f>
        <v>0</v>
      </c>
      <c r="P35" s="296"/>
      <c r="Q35" s="296">
        <v>0</v>
      </c>
      <c r="R35" s="296"/>
      <c r="S35" s="296">
        <f>INPUT!CA371</f>
        <v>257593</v>
      </c>
      <c r="T35" s="296"/>
      <c r="U35" s="296">
        <f t="shared" si="5"/>
        <v>298960</v>
      </c>
      <c r="V35" s="382"/>
      <c r="W35" s="583"/>
      <c r="X35" s="583"/>
      <c r="Y35" s="583"/>
      <c r="Z35" s="583"/>
      <c r="AA35" s="583"/>
      <c r="AB35" s="583"/>
      <c r="AC35" s="583"/>
      <c r="AE35" s="583"/>
    </row>
    <row r="36" spans="2:31" ht="15.75">
      <c r="B36" s="1183" t="s">
        <v>1511</v>
      </c>
      <c r="C36" s="296">
        <v>0</v>
      </c>
      <c r="D36" s="296"/>
      <c r="E36" s="296">
        <v>0</v>
      </c>
      <c r="F36" s="296"/>
      <c r="G36" s="296">
        <f>INPUT!BC372</f>
        <v>6813379</v>
      </c>
      <c r="H36" s="296"/>
      <c r="I36" s="296">
        <f>INPUT!BB372</f>
        <v>0</v>
      </c>
      <c r="J36" s="276"/>
      <c r="K36" s="296">
        <v>0</v>
      </c>
      <c r="L36" s="296"/>
      <c r="M36" s="296">
        <f>INPUT!BR372</f>
        <v>0</v>
      </c>
      <c r="N36" s="296"/>
      <c r="O36" s="296">
        <f>INPUT!BV372</f>
        <v>0</v>
      </c>
      <c r="P36" s="296"/>
      <c r="Q36" s="296">
        <v>0</v>
      </c>
      <c r="R36" s="296"/>
      <c r="S36" s="296">
        <f>INPUT!CA372</f>
        <v>0</v>
      </c>
      <c r="T36" s="296"/>
      <c r="U36" s="296">
        <f t="shared" si="5"/>
        <v>6813379</v>
      </c>
      <c r="V36" s="382"/>
      <c r="W36" s="583"/>
      <c r="X36" s="583"/>
      <c r="Y36" s="583"/>
      <c r="Z36" s="583"/>
      <c r="AA36" s="583"/>
      <c r="AB36" s="583"/>
      <c r="AC36" s="583"/>
      <c r="AE36" s="583"/>
    </row>
    <row r="37" spans="2:31" ht="15.75" hidden="1">
      <c r="B37" s="1183" t="s">
        <v>1412</v>
      </c>
      <c r="C37" s="369">
        <f>INPUT!D373</f>
        <v>0</v>
      </c>
      <c r="D37" s="296"/>
      <c r="E37" s="369">
        <v>0</v>
      </c>
      <c r="F37" s="296"/>
      <c r="G37" s="369">
        <v>0</v>
      </c>
      <c r="H37" s="296"/>
      <c r="I37" s="369">
        <f>INPUT!BV373</f>
        <v>0</v>
      </c>
      <c r="J37" s="276"/>
      <c r="K37" s="369">
        <v>0</v>
      </c>
      <c r="L37" s="296"/>
      <c r="M37" s="369">
        <f>INPUT!BR373</f>
        <v>0</v>
      </c>
      <c r="N37" s="296"/>
      <c r="O37" s="369">
        <f>INPUT!BT373</f>
        <v>0</v>
      </c>
      <c r="P37" s="296"/>
      <c r="Q37" s="369">
        <v>0</v>
      </c>
      <c r="R37" s="296"/>
      <c r="S37" s="369">
        <f>INPUT!CA373</f>
        <v>0</v>
      </c>
      <c r="T37" s="296"/>
      <c r="U37" s="369">
        <f t="shared" si="5"/>
        <v>0</v>
      </c>
      <c r="V37" s="382"/>
      <c r="W37" s="583"/>
      <c r="X37" s="583"/>
      <c r="Y37" s="583"/>
      <c r="Z37" s="583"/>
      <c r="AA37" s="583"/>
      <c r="AB37" s="583"/>
      <c r="AC37" s="583"/>
      <c r="AE37" s="583"/>
    </row>
    <row r="38" spans="2:31" ht="15.75">
      <c r="B38" s="1183" t="s">
        <v>2465</v>
      </c>
      <c r="C38" s="1191">
        <f>SUM(C28:C37)</f>
        <v>0</v>
      </c>
      <c r="D38" s="296">
        <f t="shared" ref="D38:H38" si="6">SUM(D28:D37)</f>
        <v>0</v>
      </c>
      <c r="E38" s="1191">
        <f t="shared" si="6"/>
        <v>4366091</v>
      </c>
      <c r="F38" s="296">
        <f t="shared" si="6"/>
        <v>0</v>
      </c>
      <c r="G38" s="1191">
        <f t="shared" si="6"/>
        <v>6813379</v>
      </c>
      <c r="H38" s="296">
        <f t="shared" si="6"/>
        <v>0</v>
      </c>
      <c r="I38" s="1191">
        <f t="shared" ref="I38" si="7">SUM(I28:I37)</f>
        <v>0</v>
      </c>
      <c r="J38" s="276"/>
      <c r="K38" s="1191">
        <f>SUM(K28:K37)</f>
        <v>0</v>
      </c>
      <c r="L38" s="296">
        <f>SUM(L28:L37)</f>
        <v>0</v>
      </c>
      <c r="M38" s="1191">
        <f>SUM(M28:M37)</f>
        <v>17906114</v>
      </c>
      <c r="N38" s="296">
        <f>SUM(N28:N37)</f>
        <v>0</v>
      </c>
      <c r="O38" s="1191">
        <f>SUM(O28:O37)</f>
        <v>0</v>
      </c>
      <c r="P38" s="1192"/>
      <c r="Q38" s="1191">
        <f>SUM(Q28:Q37)</f>
        <v>0</v>
      </c>
      <c r="R38" s="296">
        <f>SUM(R28:R37)</f>
        <v>0</v>
      </c>
      <c r="S38" s="1191">
        <f>SUM(S28:S37)</f>
        <v>10192212</v>
      </c>
      <c r="T38" s="296"/>
      <c r="U38" s="1191">
        <f>SUM(U28:U37)</f>
        <v>39277796</v>
      </c>
      <c r="V38" s="382"/>
      <c r="W38" s="583"/>
      <c r="X38" s="583"/>
      <c r="Y38" s="583"/>
      <c r="Z38" s="583"/>
      <c r="AA38" s="583"/>
      <c r="AB38" s="583"/>
      <c r="AC38" s="583"/>
      <c r="AE38" s="583"/>
    </row>
    <row r="39" spans="2:31" ht="15.75">
      <c r="B39" s="1183"/>
      <c r="C39" s="296"/>
      <c r="D39" s="296"/>
      <c r="E39" s="296"/>
      <c r="F39" s="296"/>
      <c r="G39" s="296"/>
      <c r="H39" s="296"/>
      <c r="I39" s="296"/>
      <c r="J39" s="276"/>
      <c r="K39" s="296"/>
      <c r="L39" s="296"/>
      <c r="M39" s="296"/>
      <c r="N39" s="296"/>
      <c r="O39" s="296"/>
      <c r="P39" s="296"/>
      <c r="Q39" s="296"/>
      <c r="R39" s="296"/>
      <c r="S39" s="296"/>
      <c r="T39" s="296"/>
      <c r="U39" s="296"/>
      <c r="V39" s="382"/>
      <c r="W39" s="583"/>
      <c r="X39" s="583"/>
      <c r="Y39" s="583"/>
      <c r="Z39" s="583"/>
      <c r="AA39" s="583"/>
      <c r="AB39" s="583"/>
      <c r="AC39" s="583"/>
      <c r="AE39" s="583"/>
    </row>
    <row r="40" spans="2:31" ht="15.75">
      <c r="B40" s="1190" t="s">
        <v>1395</v>
      </c>
      <c r="C40" s="296"/>
      <c r="D40" s="296"/>
      <c r="E40" s="296"/>
      <c r="F40" s="296"/>
      <c r="G40" s="296"/>
      <c r="H40" s="296"/>
      <c r="I40" s="296"/>
      <c r="J40" s="276"/>
      <c r="K40" s="296"/>
      <c r="L40" s="296"/>
      <c r="M40" s="296"/>
      <c r="N40" s="296"/>
      <c r="O40" s="296"/>
      <c r="P40" s="296"/>
      <c r="Q40" s="296"/>
      <c r="R40" s="296"/>
      <c r="S40" s="296"/>
      <c r="T40" s="296"/>
      <c r="U40" s="296"/>
      <c r="V40" s="382"/>
      <c r="W40" s="583"/>
      <c r="X40" s="583"/>
      <c r="Y40" s="583"/>
      <c r="Z40" s="583"/>
      <c r="AA40" s="583"/>
      <c r="AB40" s="583"/>
      <c r="AC40" s="583"/>
      <c r="AE40" s="583"/>
    </row>
    <row r="41" spans="2:31" ht="15.75">
      <c r="B41" s="1183" t="s">
        <v>2466</v>
      </c>
      <c r="C41" s="296">
        <f>INPUT!D382</f>
        <v>2877311</v>
      </c>
      <c r="D41" s="296"/>
      <c r="E41" s="296">
        <v>0</v>
      </c>
      <c r="F41" s="296"/>
      <c r="G41" s="296">
        <v>0</v>
      </c>
      <c r="H41" s="296"/>
      <c r="I41" s="296">
        <v>0</v>
      </c>
      <c r="J41" s="276"/>
      <c r="K41" s="296">
        <v>0</v>
      </c>
      <c r="L41" s="296"/>
      <c r="M41" s="296">
        <v>0</v>
      </c>
      <c r="N41" s="296"/>
      <c r="O41" s="296">
        <v>0</v>
      </c>
      <c r="P41" s="296"/>
      <c r="Q41" s="296">
        <v>0</v>
      </c>
      <c r="R41" s="296"/>
      <c r="S41" s="296">
        <f>+INPUT!CA379</f>
        <v>28133</v>
      </c>
      <c r="T41" s="296"/>
      <c r="U41" s="296">
        <f>SUM(C41:T41)</f>
        <v>2905444</v>
      </c>
      <c r="V41" s="382"/>
      <c r="W41" s="583"/>
      <c r="X41" s="583"/>
      <c r="Y41" s="583"/>
      <c r="Z41" s="583"/>
      <c r="AA41" s="583"/>
      <c r="AB41" s="583"/>
      <c r="AC41" s="583"/>
      <c r="AE41" s="583"/>
    </row>
    <row r="42" spans="2:31" ht="15.75">
      <c r="B42" s="1183" t="s">
        <v>715</v>
      </c>
      <c r="C42" s="369">
        <v>0</v>
      </c>
      <c r="D42" s="296"/>
      <c r="E42" s="369">
        <v>0</v>
      </c>
      <c r="F42" s="296"/>
      <c r="G42" s="369">
        <v>0</v>
      </c>
      <c r="H42" s="296"/>
      <c r="I42" s="296">
        <v>0</v>
      </c>
      <c r="J42" s="276"/>
      <c r="K42" s="369">
        <f>SUM(K32:K41)</f>
        <v>0</v>
      </c>
      <c r="L42" s="296"/>
      <c r="M42" s="296">
        <v>0</v>
      </c>
      <c r="N42" s="296"/>
      <c r="O42" s="296">
        <v>0</v>
      </c>
      <c r="P42" s="296"/>
      <c r="Q42" s="296">
        <v>0</v>
      </c>
      <c r="R42" s="296"/>
      <c r="S42" s="369">
        <f>+INPUT!CA380</f>
        <v>35779</v>
      </c>
      <c r="T42" s="296"/>
      <c r="U42" s="369">
        <f>SUM(C42:T42)</f>
        <v>35779</v>
      </c>
      <c r="V42" s="382"/>
      <c r="W42" s="583"/>
      <c r="X42" s="583"/>
      <c r="Y42" s="583"/>
      <c r="Z42" s="583"/>
      <c r="AA42" s="583"/>
      <c r="AB42" s="583"/>
      <c r="AC42" s="583"/>
      <c r="AE42" s="583"/>
    </row>
    <row r="43" spans="2:31" ht="15.75">
      <c r="B43" s="1183" t="s">
        <v>2467</v>
      </c>
      <c r="C43" s="1191">
        <f t="shared" ref="C43:H43" si="8">SUM(C41:C42)</f>
        <v>2877311</v>
      </c>
      <c r="D43" s="296">
        <f t="shared" si="8"/>
        <v>0</v>
      </c>
      <c r="E43" s="1191">
        <f t="shared" si="8"/>
        <v>0</v>
      </c>
      <c r="F43" s="296">
        <f t="shared" si="8"/>
        <v>0</v>
      </c>
      <c r="G43" s="1191">
        <f t="shared" si="8"/>
        <v>0</v>
      </c>
      <c r="H43" s="296">
        <f t="shared" si="8"/>
        <v>0</v>
      </c>
      <c r="I43" s="1191">
        <f>SUM(I41:I42)</f>
        <v>0</v>
      </c>
      <c r="J43" s="276"/>
      <c r="K43" s="1191">
        <f t="shared" ref="K43:S43" si="9">SUM(K41:K42)</f>
        <v>0</v>
      </c>
      <c r="L43" s="296">
        <f t="shared" si="9"/>
        <v>0</v>
      </c>
      <c r="M43" s="1191">
        <f t="shared" si="9"/>
        <v>0</v>
      </c>
      <c r="N43" s="296">
        <f t="shared" si="9"/>
        <v>0</v>
      </c>
      <c r="O43" s="1191">
        <f t="shared" si="9"/>
        <v>0</v>
      </c>
      <c r="P43" s="296">
        <f t="shared" si="9"/>
        <v>0</v>
      </c>
      <c r="Q43" s="1191">
        <f t="shared" si="9"/>
        <v>0</v>
      </c>
      <c r="R43" s="296">
        <f t="shared" si="9"/>
        <v>0</v>
      </c>
      <c r="S43" s="1191">
        <f t="shared" si="9"/>
        <v>63912</v>
      </c>
      <c r="T43" s="296"/>
      <c r="U43" s="1191">
        <f>SUM(U41:U42)</f>
        <v>2941223</v>
      </c>
      <c r="V43" s="382"/>
      <c r="W43" s="583"/>
      <c r="X43" s="583"/>
      <c r="Y43" s="583"/>
      <c r="Z43" s="583"/>
      <c r="AA43" s="583"/>
      <c r="AB43" s="583"/>
      <c r="AC43" s="583"/>
      <c r="AE43" s="583"/>
    </row>
    <row r="44" spans="2:31" ht="15.75">
      <c r="B44" s="1183"/>
      <c r="C44" s="296"/>
      <c r="D44" s="296"/>
      <c r="E44" s="296"/>
      <c r="F44" s="296"/>
      <c r="G44" s="296"/>
      <c r="H44" s="296"/>
      <c r="I44" s="296"/>
      <c r="J44" s="276"/>
      <c r="K44" s="296"/>
      <c r="L44" s="296"/>
      <c r="M44" s="296"/>
      <c r="N44" s="296"/>
      <c r="O44" s="296"/>
      <c r="P44" s="296"/>
      <c r="Q44" s="296"/>
      <c r="R44" s="296"/>
      <c r="S44" s="296"/>
      <c r="T44" s="296"/>
      <c r="U44" s="296"/>
      <c r="V44" s="382"/>
      <c r="W44" s="583"/>
      <c r="X44" s="583"/>
      <c r="Y44" s="583"/>
      <c r="Z44" s="583"/>
      <c r="AA44" s="583"/>
      <c r="AB44" s="583"/>
      <c r="AC44" s="583"/>
      <c r="AE44" s="583"/>
    </row>
    <row r="45" spans="2:31" ht="15.75">
      <c r="B45" s="1190" t="s">
        <v>2468</v>
      </c>
      <c r="C45" s="296">
        <f>INPUT!D384</f>
        <v>7125018</v>
      </c>
      <c r="D45" s="296"/>
      <c r="E45" s="296">
        <v>0</v>
      </c>
      <c r="F45" s="296"/>
      <c r="G45" s="296">
        <v>0</v>
      </c>
      <c r="H45" s="296"/>
      <c r="I45" s="296">
        <f>INPUT!BB384</f>
        <v>-287714</v>
      </c>
      <c r="J45" s="276"/>
      <c r="K45" s="296">
        <v>0</v>
      </c>
      <c r="L45" s="296"/>
      <c r="M45" s="296">
        <v>0</v>
      </c>
      <c r="N45" s="296"/>
      <c r="O45" s="296">
        <v>0</v>
      </c>
      <c r="P45" s="296"/>
      <c r="Q45" s="296">
        <v>0</v>
      </c>
      <c r="R45" s="296"/>
      <c r="S45" s="296">
        <f>+INPUT!CA384</f>
        <v>-170469</v>
      </c>
      <c r="T45" s="296"/>
      <c r="U45" s="296">
        <f>SUM(C45:T45)</f>
        <v>6666835</v>
      </c>
      <c r="V45" s="382"/>
    </row>
    <row r="46" spans="2:31" ht="2.25" customHeight="1">
      <c r="B46" s="276"/>
      <c r="C46" s="369"/>
      <c r="D46" s="296"/>
      <c r="E46" s="369"/>
      <c r="F46" s="296"/>
      <c r="G46" s="369"/>
      <c r="H46" s="296"/>
      <c r="I46" s="369"/>
      <c r="J46" s="276"/>
      <c r="K46" s="369"/>
      <c r="L46" s="296"/>
      <c r="M46" s="369"/>
      <c r="N46" s="296"/>
      <c r="O46" s="369"/>
      <c r="P46" s="296"/>
      <c r="Q46" s="369"/>
      <c r="R46" s="296"/>
      <c r="S46" s="369"/>
      <c r="T46" s="296"/>
      <c r="U46" s="369"/>
      <c r="V46" s="382"/>
    </row>
    <row r="47" spans="2:31" ht="16.5" thickBot="1">
      <c r="B47" s="1183" t="s">
        <v>2469</v>
      </c>
      <c r="C47" s="873">
        <f>SUM(+C45+C43+C38+C25+C11)</f>
        <v>10224732</v>
      </c>
      <c r="D47" s="293">
        <f>SUM(+D45+D43+D38+D11)</f>
        <v>0</v>
      </c>
      <c r="E47" s="873">
        <f>SUM(+E45+E43+E38+E25+E11)</f>
        <v>4366091</v>
      </c>
      <c r="F47" s="293">
        <f>SUM(+F45+F43+F38+F11)</f>
        <v>0</v>
      </c>
      <c r="G47" s="873">
        <f>SUM(+G45+G43+G38+G25+G11)</f>
        <v>6813379</v>
      </c>
      <c r="H47" s="293">
        <f>SUM(+H45+H43+H38+H11)</f>
        <v>0</v>
      </c>
      <c r="I47" s="873">
        <f>SUM(+I45+I43+I38+I25+I11)</f>
        <v>-287714</v>
      </c>
      <c r="J47" s="276"/>
      <c r="K47" s="873">
        <f>SUM(+K45+K43+K38+K25+K11)</f>
        <v>121101</v>
      </c>
      <c r="L47" s="293">
        <f>SUM(+L45+L43+L38+L11)</f>
        <v>0</v>
      </c>
      <c r="M47" s="873">
        <f>SUM(+M45+M43+M38+M25+M11)</f>
        <v>17906114</v>
      </c>
      <c r="N47" s="293">
        <f>SUM(+N45+N43+N38+N11)</f>
        <v>0</v>
      </c>
      <c r="O47" s="873">
        <f>SUM(+O45+O43+O38+O25+O11)</f>
        <v>0</v>
      </c>
      <c r="P47" s="293"/>
      <c r="Q47" s="873">
        <f>SUM(+Q45+Q43+Q38+Q25+Q11)</f>
        <v>0</v>
      </c>
      <c r="R47" s="293">
        <f>SUM(+R45+R43+R38+R11)</f>
        <v>0</v>
      </c>
      <c r="S47" s="873">
        <f>SUM(+S45+S43+S38+S25+S11)</f>
        <v>15547193</v>
      </c>
      <c r="T47" s="293"/>
      <c r="U47" s="873">
        <f>SUM(+U45+U43+U38+U25+U11)</f>
        <v>54690896</v>
      </c>
      <c r="V47" s="382"/>
      <c r="W47" s="288">
        <f>'Govt BS'!T121</f>
        <v>54690896</v>
      </c>
      <c r="X47" s="288">
        <f>W47-+U47</f>
        <v>0</v>
      </c>
    </row>
    <row r="48" spans="2:31" ht="16.5" thickTop="1">
      <c r="B48" s="276"/>
      <c r="C48" s="296"/>
      <c r="D48" s="296"/>
      <c r="E48" s="296"/>
      <c r="F48" s="296"/>
      <c r="G48" s="296"/>
      <c r="H48" s="296"/>
      <c r="I48" s="276"/>
      <c r="J48" s="276"/>
      <c r="K48" s="296"/>
      <c r="L48" s="296"/>
      <c r="M48" s="296"/>
      <c r="N48" s="296"/>
      <c r="O48" s="296"/>
      <c r="P48" s="296"/>
      <c r="Q48" s="296"/>
      <c r="R48" s="296"/>
      <c r="S48" s="296"/>
      <c r="T48" s="296"/>
      <c r="U48" s="296"/>
      <c r="V48" s="382"/>
      <c r="X48" s="288" t="s">
        <v>2480</v>
      </c>
      <c r="Y48" s="674" t="s">
        <v>3497</v>
      </c>
      <c r="Z48" s="674"/>
    </row>
    <row r="49" spans="2:32">
      <c r="C49" s="382"/>
      <c r="D49" s="382"/>
      <c r="E49" s="382"/>
      <c r="F49" s="382"/>
      <c r="G49" s="382"/>
      <c r="H49" s="382"/>
      <c r="K49" s="382"/>
      <c r="L49" s="382"/>
      <c r="M49" s="382"/>
      <c r="N49" s="382"/>
      <c r="O49" s="382"/>
      <c r="P49" s="382"/>
      <c r="Q49" s="382"/>
      <c r="R49" s="382"/>
      <c r="S49" s="382"/>
      <c r="T49" s="382"/>
      <c r="U49" s="382"/>
      <c r="V49" s="382"/>
      <c r="Y49" s="674"/>
      <c r="Z49" s="674"/>
    </row>
    <row r="50" spans="2:32">
      <c r="C50" s="382"/>
      <c r="D50" s="382"/>
      <c r="E50" s="382"/>
      <c r="F50" s="382"/>
      <c r="G50" s="382"/>
      <c r="H50" s="382"/>
      <c r="K50" s="382"/>
      <c r="L50" s="382"/>
      <c r="M50" s="382"/>
      <c r="N50" s="382"/>
      <c r="O50" s="382"/>
      <c r="P50" s="382"/>
      <c r="Q50" s="382"/>
      <c r="R50" s="382"/>
      <c r="S50" s="382"/>
      <c r="T50" s="382"/>
      <c r="U50" s="382"/>
      <c r="V50" s="382"/>
      <c r="Y50" s="674"/>
      <c r="Z50" s="674"/>
    </row>
    <row r="51" spans="2:32">
      <c r="C51" s="382"/>
      <c r="D51" s="382"/>
      <c r="E51" s="382"/>
      <c r="F51" s="382"/>
      <c r="G51" s="382"/>
      <c r="H51" s="382"/>
      <c r="K51" s="382"/>
      <c r="L51" s="382"/>
      <c r="M51" s="382"/>
      <c r="N51" s="382"/>
      <c r="O51" s="382"/>
      <c r="P51" s="382"/>
      <c r="Q51" s="382"/>
      <c r="R51" s="382"/>
      <c r="S51" s="382"/>
      <c r="T51" s="382"/>
      <c r="U51" s="382"/>
      <c r="V51" s="382"/>
      <c r="Y51" s="674"/>
      <c r="Z51" s="674"/>
    </row>
    <row r="53" spans="2:32" ht="15.75">
      <c r="B53" s="1303" t="s">
        <v>2803</v>
      </c>
      <c r="C53" s="1303"/>
      <c r="D53" s="1303"/>
      <c r="E53" s="1303"/>
      <c r="F53" s="1303"/>
      <c r="G53" s="1303"/>
      <c r="H53" s="1303"/>
      <c r="I53" s="1303"/>
    </row>
    <row r="54" spans="2:32" ht="4.5" customHeight="1">
      <c r="B54" s="276"/>
      <c r="C54" s="276"/>
      <c r="D54" s="276"/>
      <c r="E54" s="276"/>
      <c r="F54" s="276"/>
      <c r="G54" s="276"/>
      <c r="H54" s="276"/>
      <c r="I54" s="276"/>
    </row>
    <row r="55" spans="2:32" ht="15.75">
      <c r="B55" s="276"/>
      <c r="C55" s="284"/>
      <c r="D55" s="284"/>
      <c r="E55" s="284"/>
      <c r="F55" s="284"/>
      <c r="G55" s="284" t="s">
        <v>2481</v>
      </c>
      <c r="H55" s="276"/>
      <c r="I55" s="284"/>
      <c r="X55" s="583"/>
      <c r="Y55" s="583"/>
      <c r="Z55" s="583"/>
      <c r="AA55" s="583"/>
      <c r="AB55" s="583"/>
      <c r="AC55" s="583"/>
      <c r="AE55" s="583"/>
    </row>
    <row r="56" spans="2:32" ht="15" customHeight="1">
      <c r="B56" s="276"/>
      <c r="C56" s="284"/>
      <c r="D56" s="284"/>
      <c r="E56" s="284"/>
      <c r="F56" s="284"/>
      <c r="G56" s="284" t="s">
        <v>2482</v>
      </c>
      <c r="H56" s="276"/>
      <c r="I56" s="284" t="s">
        <v>3146</v>
      </c>
      <c r="X56" s="583"/>
      <c r="Y56" s="583"/>
      <c r="Z56" s="721"/>
      <c r="AA56" s="721"/>
      <c r="AB56" s="721"/>
      <c r="AC56" s="721"/>
      <c r="AD56" s="721"/>
      <c r="AE56" s="721"/>
      <c r="AF56" s="721"/>
    </row>
    <row r="57" spans="2:32" ht="18" customHeight="1">
      <c r="B57" s="276"/>
      <c r="C57" s="1153" t="s">
        <v>1235</v>
      </c>
      <c r="D57" s="284"/>
      <c r="E57" s="1153" t="s">
        <v>683</v>
      </c>
      <c r="F57" s="284"/>
      <c r="G57" s="1153" t="s">
        <v>2365</v>
      </c>
      <c r="H57" s="276"/>
      <c r="I57" s="1153" t="s">
        <v>3080</v>
      </c>
      <c r="X57" s="583"/>
      <c r="Y57" s="583"/>
      <c r="Z57" s="721"/>
      <c r="AA57" s="721"/>
      <c r="AB57" s="721"/>
      <c r="AC57" s="721"/>
      <c r="AD57" s="721"/>
      <c r="AE57" s="721"/>
      <c r="AF57" s="721"/>
    </row>
    <row r="58" spans="2:32" ht="15.75">
      <c r="B58" s="276"/>
      <c r="C58" s="276"/>
      <c r="D58" s="276"/>
      <c r="E58" s="276"/>
      <c r="F58" s="276"/>
      <c r="G58" s="276"/>
      <c r="H58" s="276"/>
      <c r="I58" s="276"/>
      <c r="X58" s="583"/>
      <c r="Y58" s="583"/>
      <c r="Z58" s="723"/>
      <c r="AA58" s="397"/>
      <c r="AB58" s="724"/>
      <c r="AC58" s="397"/>
      <c r="AD58" s="721"/>
      <c r="AE58" s="397"/>
      <c r="AF58" s="724"/>
    </row>
    <row r="59" spans="2:32" ht="15.75">
      <c r="B59" s="276" t="s">
        <v>2483</v>
      </c>
      <c r="C59" s="874">
        <f>INPUT!D10</f>
        <v>8345677</v>
      </c>
      <c r="D59" s="1188"/>
      <c r="E59" s="874">
        <f>+INPUT!X10</f>
        <v>12195590</v>
      </c>
      <c r="F59" s="1188"/>
      <c r="G59" s="874">
        <f>+INPUT!BC10</f>
        <v>1661921</v>
      </c>
      <c r="H59" s="276"/>
      <c r="I59" s="874">
        <f>+INPUT!BB10</f>
        <v>0</v>
      </c>
      <c r="X59" s="583"/>
      <c r="Y59" s="583"/>
      <c r="Z59" s="723"/>
      <c r="AA59" s="397"/>
      <c r="AB59" s="725"/>
      <c r="AC59" s="397"/>
      <c r="AD59" s="721"/>
      <c r="AE59" s="397"/>
      <c r="AF59" s="725"/>
    </row>
    <row r="60" spans="2:32" ht="15.75">
      <c r="B60" s="276" t="s">
        <v>1276</v>
      </c>
      <c r="C60" s="1193">
        <f>INPUT!D11</f>
        <v>260735</v>
      </c>
      <c r="D60" s="1188"/>
      <c r="E60" s="1193">
        <f>+INPUT!X11</f>
        <v>2170</v>
      </c>
      <c r="F60" s="1188"/>
      <c r="G60" s="1193">
        <f>+INPUT!BC11</f>
        <v>0</v>
      </c>
      <c r="H60" s="276"/>
      <c r="I60" s="1193">
        <f>+INPUT!BB11</f>
        <v>0</v>
      </c>
      <c r="X60" s="583"/>
      <c r="Y60" s="583"/>
      <c r="Z60" s="723"/>
      <c r="AA60" s="397"/>
      <c r="AB60" s="725"/>
      <c r="AC60" s="397"/>
      <c r="AD60" s="721"/>
      <c r="AE60" s="397"/>
      <c r="AF60" s="725"/>
    </row>
    <row r="61" spans="2:32" ht="15.75">
      <c r="B61" s="276" t="s">
        <v>2485</v>
      </c>
      <c r="C61" s="1193">
        <v>2638739</v>
      </c>
      <c r="D61" s="1188"/>
      <c r="E61" s="1193">
        <v>210477</v>
      </c>
      <c r="F61" s="1188"/>
      <c r="G61" s="1193">
        <v>0</v>
      </c>
      <c r="H61" s="276"/>
      <c r="I61" s="1193">
        <f>1588854+981694-110000</f>
        <v>2460548</v>
      </c>
      <c r="X61" s="583"/>
      <c r="Y61" s="583"/>
      <c r="Z61" s="723"/>
      <c r="AA61" s="397"/>
      <c r="AB61" s="725"/>
      <c r="AC61" s="397"/>
      <c r="AD61" s="721"/>
      <c r="AE61" s="397"/>
      <c r="AF61" s="725"/>
    </row>
    <row r="62" spans="2:32" ht="15.75">
      <c r="B62" s="276" t="s">
        <v>2484</v>
      </c>
      <c r="C62" s="1193">
        <f>1151366+368704</f>
        <v>1520070</v>
      </c>
      <c r="D62" s="1188"/>
      <c r="E62" s="1193">
        <v>952927</v>
      </c>
      <c r="F62" s="1188"/>
      <c r="G62" s="1193">
        <v>0</v>
      </c>
      <c r="H62" s="276"/>
      <c r="I62" s="1193">
        <v>20000</v>
      </c>
      <c r="O62" s="849"/>
      <c r="P62" s="849"/>
      <c r="Q62" s="849"/>
      <c r="R62" s="849"/>
      <c r="S62" s="849" t="s">
        <v>3355</v>
      </c>
      <c r="T62" s="304"/>
      <c r="X62" s="583"/>
      <c r="Y62" s="583"/>
      <c r="Z62" s="723"/>
      <c r="AA62" s="397"/>
      <c r="AB62" s="725"/>
      <c r="AC62" s="397"/>
      <c r="AD62" s="721"/>
      <c r="AE62" s="397"/>
      <c r="AF62" s="725"/>
    </row>
    <row r="63" spans="2:32" ht="15.75">
      <c r="B63" s="276" t="s">
        <v>2486</v>
      </c>
      <c r="C63" s="1193">
        <v>2000</v>
      </c>
      <c r="D63" s="1188"/>
      <c r="E63" s="1193">
        <v>0</v>
      </c>
      <c r="F63" s="1188"/>
      <c r="G63" s="1193">
        <v>895</v>
      </c>
      <c r="H63" s="276"/>
      <c r="I63" s="1193">
        <v>0</v>
      </c>
      <c r="S63" s="1221" t="s">
        <v>3389</v>
      </c>
      <c r="X63" s="583"/>
      <c r="Y63" s="583"/>
      <c r="Z63" s="723"/>
      <c r="AA63" s="397"/>
      <c r="AB63" s="725"/>
      <c r="AC63" s="397"/>
      <c r="AD63" s="721"/>
      <c r="AE63" s="397"/>
      <c r="AF63" s="725"/>
    </row>
    <row r="64" spans="2:32" ht="15.75">
      <c r="B64" s="276" t="s">
        <v>2487</v>
      </c>
      <c r="C64" s="1193">
        <f>INPUT!D13</f>
        <v>1289265</v>
      </c>
      <c r="D64" s="1188"/>
      <c r="E64" s="1193">
        <f>+INPUT!X13</f>
        <v>712666</v>
      </c>
      <c r="F64" s="1188"/>
      <c r="G64" s="1193">
        <f>+INPUT!BC13</f>
        <v>0</v>
      </c>
      <c r="H64" s="276"/>
      <c r="I64" s="1193">
        <f>+INPUT!BB13</f>
        <v>0</v>
      </c>
      <c r="X64" s="583"/>
      <c r="Y64" s="583"/>
      <c r="Z64" s="723"/>
      <c r="AA64" s="397"/>
      <c r="AB64" s="725"/>
      <c r="AC64" s="397"/>
      <c r="AD64" s="721"/>
      <c r="AE64" s="397"/>
      <c r="AF64" s="725"/>
    </row>
    <row r="65" spans="2:32" ht="15.75">
      <c r="B65" s="276" t="s">
        <v>2488</v>
      </c>
      <c r="C65" s="1193">
        <f>INPUT!D14</f>
        <v>36199</v>
      </c>
      <c r="D65" s="1188"/>
      <c r="E65" s="1193">
        <f>+INPUT!X14</f>
        <v>379217</v>
      </c>
      <c r="F65" s="1188"/>
      <c r="G65" s="1193">
        <f>+INPUT!BC14</f>
        <v>0</v>
      </c>
      <c r="H65" s="276"/>
      <c r="I65" s="1193">
        <f>+INPUT!BB14</f>
        <v>0</v>
      </c>
      <c r="X65" s="583"/>
      <c r="Y65" s="583"/>
      <c r="Z65" s="723"/>
      <c r="AA65" s="397"/>
      <c r="AB65" s="725"/>
      <c r="AC65" s="397"/>
      <c r="AD65" s="721"/>
      <c r="AE65" s="397"/>
      <c r="AF65" s="725"/>
    </row>
    <row r="66" spans="2:32" ht="15.75">
      <c r="B66" s="276" t="s">
        <v>109</v>
      </c>
      <c r="C66" s="1193">
        <f>INPUT!D15</f>
        <v>187792</v>
      </c>
      <c r="D66" s="1188"/>
      <c r="E66" s="1193">
        <f>+INPUT!X15</f>
        <v>192438</v>
      </c>
      <c r="F66" s="1188"/>
      <c r="G66" s="1193">
        <f>+INPUT!BC15</f>
        <v>82156</v>
      </c>
      <c r="H66" s="276"/>
      <c r="I66" s="1193">
        <f>+INPUT!BB15</f>
        <v>0</v>
      </c>
      <c r="X66" s="583"/>
      <c r="Y66" s="583"/>
      <c r="Z66" s="723"/>
      <c r="AA66" s="397"/>
      <c r="AB66" s="725"/>
      <c r="AC66" s="397"/>
      <c r="AD66" s="721"/>
      <c r="AE66" s="397"/>
      <c r="AF66" s="725"/>
    </row>
    <row r="67" spans="2:32" ht="15.75">
      <c r="B67" s="276" t="s">
        <v>2489</v>
      </c>
      <c r="C67" s="1193">
        <f>INPUT!D16</f>
        <v>1252244</v>
      </c>
      <c r="D67" s="1188"/>
      <c r="E67" s="1193">
        <f>+INPUT!X16</f>
        <v>333</v>
      </c>
      <c r="F67" s="1188"/>
      <c r="G67" s="1193">
        <f>+INPUT!BC16</f>
        <v>214545</v>
      </c>
      <c r="H67" s="276"/>
      <c r="I67" s="1193">
        <f>+INPUT!BB16</f>
        <v>0</v>
      </c>
      <c r="X67" s="583"/>
      <c r="Y67" s="583"/>
      <c r="Z67" s="726"/>
      <c r="AA67" s="397"/>
      <c r="AB67" s="724"/>
      <c r="AC67" s="397"/>
      <c r="AD67" s="397"/>
      <c r="AE67" s="397"/>
      <c r="AF67" s="724"/>
    </row>
    <row r="68" spans="2:32" ht="15.75">
      <c r="B68" s="276" t="s">
        <v>2490</v>
      </c>
      <c r="C68" s="1189">
        <f>INPUT!D46</f>
        <v>2070536</v>
      </c>
      <c r="D68" s="1194"/>
      <c r="E68" s="1189">
        <f>+INPUT!X46</f>
        <v>599925</v>
      </c>
      <c r="F68" s="1194"/>
      <c r="G68" s="1189">
        <f>+INPUT!BC46</f>
        <v>11447</v>
      </c>
      <c r="H68" s="276"/>
      <c r="I68" s="1189">
        <f>+INPUT!BB46</f>
        <v>0</v>
      </c>
      <c r="X68" s="583"/>
      <c r="Y68" s="583"/>
      <c r="Z68" s="583"/>
      <c r="AA68" s="583"/>
      <c r="AB68" s="583"/>
      <c r="AC68" s="583"/>
      <c r="AE68" s="583"/>
    </row>
    <row r="69" spans="2:32" ht="3" customHeight="1">
      <c r="B69" s="276"/>
      <c r="C69" s="1188"/>
      <c r="D69" s="1188"/>
      <c r="E69" s="1188"/>
      <c r="F69" s="1188"/>
      <c r="G69" s="1188"/>
      <c r="H69" s="276"/>
      <c r="I69" s="1188"/>
    </row>
    <row r="70" spans="2:32" ht="15.75">
      <c r="B70" s="276" t="s">
        <v>2804</v>
      </c>
      <c r="C70" s="1188"/>
      <c r="D70" s="1188"/>
      <c r="E70" s="1188"/>
      <c r="F70" s="1188"/>
      <c r="G70" s="1188"/>
      <c r="H70" s="276"/>
      <c r="I70" s="1188"/>
    </row>
    <row r="71" spans="2:32" ht="16.5" thickBot="1">
      <c r="B71" s="276" t="s">
        <v>2805</v>
      </c>
      <c r="C71" s="1195">
        <f>SUM(C59:C69)</f>
        <v>17603257</v>
      </c>
      <c r="D71" s="1188"/>
      <c r="E71" s="1195">
        <f>SUM(E59:E69)</f>
        <v>15245743</v>
      </c>
      <c r="F71" s="1188"/>
      <c r="G71" s="1195">
        <f>SUM(G59:G69)</f>
        <v>1970964</v>
      </c>
      <c r="H71" s="276"/>
      <c r="I71" s="1195">
        <f>SUM(I59:I69)</f>
        <v>2480548</v>
      </c>
    </row>
    <row r="72" spans="2:32" ht="16.5" thickTop="1">
      <c r="B72" s="276"/>
      <c r="C72" s="597"/>
      <c r="D72" s="1188"/>
      <c r="E72" s="597"/>
      <c r="F72" s="1188"/>
      <c r="G72" s="597"/>
      <c r="H72" s="276"/>
      <c r="I72" s="597"/>
    </row>
    <row r="74" spans="2:32">
      <c r="C74" s="288">
        <f>INPUT!D19</f>
        <v>17603257</v>
      </c>
      <c r="E74" s="288">
        <f>+INPUT!X19</f>
        <v>15245743</v>
      </c>
      <c r="G74" s="288">
        <f>+INPUT!BC19</f>
        <v>1970964</v>
      </c>
      <c r="I74" s="288">
        <f>+INPUT!BB19</f>
        <v>2480548</v>
      </c>
    </row>
    <row r="75" spans="2:32">
      <c r="C75" s="288">
        <f>C74-C71</f>
        <v>0</v>
      </c>
      <c r="E75" s="288">
        <f>E74-E71</f>
        <v>0</v>
      </c>
      <c r="G75" s="288">
        <f>G74-G71</f>
        <v>0</v>
      </c>
      <c r="I75" s="288">
        <f>I74-I71</f>
        <v>0</v>
      </c>
    </row>
    <row r="78" spans="2:32">
      <c r="C78" s="288">
        <f>C61+C62+C63</f>
        <v>4160809</v>
      </c>
      <c r="E78" s="288">
        <f>E61+E62+E63</f>
        <v>1163404</v>
      </c>
      <c r="G78" s="288">
        <f>G61+G62+G63</f>
        <v>895</v>
      </c>
      <c r="I78" s="288">
        <f>I61+I62+I63</f>
        <v>2480548</v>
      </c>
    </row>
    <row r="79" spans="2:32">
      <c r="C79" s="288">
        <f>INPUT!D12</f>
        <v>4160809</v>
      </c>
      <c r="E79" s="288">
        <f>INPUT!X12</f>
        <v>1163404</v>
      </c>
      <c r="G79" s="288">
        <f>+INPUT!BC12</f>
        <v>895</v>
      </c>
      <c r="I79" s="288">
        <f>+INPUT!BB12</f>
        <v>2480548</v>
      </c>
    </row>
    <row r="80" spans="2:32">
      <c r="C80" s="288">
        <f>C78-C79</f>
        <v>0</v>
      </c>
      <c r="E80" s="288">
        <f>E78-E79</f>
        <v>0</v>
      </c>
      <c r="G80" s="288">
        <f>G78-G79</f>
        <v>0</v>
      </c>
      <c r="I80" s="288">
        <f>I78-I79</f>
        <v>0</v>
      </c>
      <c r="O80" s="674" t="s">
        <v>3251</v>
      </c>
    </row>
    <row r="88" spans="2:5">
      <c r="B88" s="288" t="s">
        <v>3008</v>
      </c>
    </row>
    <row r="90" spans="2:5">
      <c r="C90" s="1055">
        <v>2022</v>
      </c>
      <c r="D90" s="1055"/>
      <c r="E90" s="1055">
        <v>2021</v>
      </c>
    </row>
    <row r="91" spans="2:5">
      <c r="B91" s="288" t="s">
        <v>2509</v>
      </c>
      <c r="C91" s="1147">
        <v>4588772</v>
      </c>
      <c r="D91" s="304"/>
      <c r="E91" s="1147">
        <f>5245041+879227</f>
        <v>6124268</v>
      </c>
    </row>
    <row r="92" spans="2:5" hidden="1">
      <c r="B92" s="288" t="s">
        <v>2510</v>
      </c>
      <c r="C92" s="1148">
        <v>0</v>
      </c>
      <c r="D92" s="304"/>
      <c r="E92" s="1148">
        <v>0</v>
      </c>
    </row>
    <row r="93" spans="2:5" ht="13.5" thickBot="1">
      <c r="B93" s="288" t="s">
        <v>2511</v>
      </c>
      <c r="C93" s="1149">
        <f>SUM(C91:C92)</f>
        <v>4588772</v>
      </c>
      <c r="D93" s="304"/>
      <c r="E93" s="1149">
        <f>SUM(E91:E92)</f>
        <v>6124268</v>
      </c>
    </row>
    <row r="94" spans="2:5" ht="6" customHeight="1" thickTop="1">
      <c r="C94" s="1150"/>
      <c r="D94" s="304"/>
      <c r="E94" s="1150"/>
    </row>
    <row r="95" spans="2:5">
      <c r="B95" s="288" t="s">
        <v>1261</v>
      </c>
      <c r="C95" s="1147">
        <v>1846011</v>
      </c>
      <c r="D95" s="304"/>
      <c r="E95" s="1147">
        <v>2000008</v>
      </c>
    </row>
    <row r="96" spans="2:5" ht="13.5" thickBot="1">
      <c r="B96" s="288" t="s">
        <v>1721</v>
      </c>
      <c r="C96" s="1149">
        <f>+C93-C95</f>
        <v>2742761</v>
      </c>
      <c r="D96" s="304"/>
      <c r="E96" s="1149">
        <f>+E93-E95</f>
        <v>4124260</v>
      </c>
    </row>
    <row r="97" spans="2:14" ht="8.25" customHeight="1" thickTop="1">
      <c r="C97" s="1150"/>
      <c r="D97" s="304"/>
      <c r="E97" s="1150"/>
    </row>
    <row r="98" spans="2:14">
      <c r="B98" s="288" t="s">
        <v>3181</v>
      </c>
      <c r="C98" s="1147">
        <v>4259793</v>
      </c>
      <c r="D98" s="304"/>
      <c r="E98" s="1147">
        <v>4078951</v>
      </c>
    </row>
    <row r="99" spans="2:14">
      <c r="B99" s="288" t="s">
        <v>3182</v>
      </c>
      <c r="C99" s="1148">
        <v>-5641292</v>
      </c>
      <c r="D99" s="304"/>
      <c r="E99" s="1148">
        <v>-7147888</v>
      </c>
    </row>
    <row r="100" spans="2:14">
      <c r="B100" s="288" t="s">
        <v>2512</v>
      </c>
      <c r="C100" s="1151">
        <f>SUM(C98:C99)</f>
        <v>-1381499</v>
      </c>
      <c r="D100" s="304"/>
      <c r="E100" s="1151">
        <f>SUM(E98:E99)</f>
        <v>-3068937</v>
      </c>
    </row>
    <row r="101" spans="2:14" hidden="1">
      <c r="B101" s="288" t="s">
        <v>2723</v>
      </c>
      <c r="C101" s="1152">
        <v>0</v>
      </c>
      <c r="D101" s="304"/>
      <c r="E101" s="1152">
        <v>0</v>
      </c>
    </row>
    <row r="102" spans="2:14">
      <c r="B102" s="288" t="s">
        <v>2729</v>
      </c>
      <c r="C102" s="1148">
        <v>4124260</v>
      </c>
      <c r="D102" s="304"/>
      <c r="E102" s="1148">
        <v>7193197</v>
      </c>
    </row>
    <row r="103" spans="2:14" ht="13.5" thickBot="1">
      <c r="B103" s="288" t="s">
        <v>2513</v>
      </c>
      <c r="C103" s="1149">
        <f>+C102+C100+C101</f>
        <v>2742761</v>
      </c>
      <c r="D103" s="304"/>
      <c r="E103" s="1149">
        <f>+E102+E100+E101</f>
        <v>4124260</v>
      </c>
      <c r="I103" s="304" t="s">
        <v>3183</v>
      </c>
      <c r="J103" s="304"/>
      <c r="K103" s="304"/>
      <c r="M103" s="304" t="s">
        <v>3266</v>
      </c>
      <c r="N103" s="304"/>
    </row>
    <row r="104" spans="2:14" ht="13.5" thickTop="1"/>
    <row r="106" spans="2:14">
      <c r="C106" s="288">
        <f>C96-C103</f>
        <v>0</v>
      </c>
    </row>
  </sheetData>
  <mergeCells count="4">
    <mergeCell ref="B53:I53"/>
    <mergeCell ref="M4:Q4"/>
    <mergeCell ref="E4:I4"/>
    <mergeCell ref="B2:U2"/>
  </mergeCells>
  <pageMargins left="0.7" right="0.7" top="0.75" bottom="0.75" header="0.3" footer="0.3"/>
  <pageSetup fitToHeight="0" orientation="portrait" r:id="rId1"/>
  <ignoredErrors>
    <ignoredError sqref="D47:H47 M47:N47 L47 R47" formula="1"/>
    <ignoredError sqref="C93 E93" formulaRang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ransitionEvaluation="1" codeName="Sheet25">
    <pageSetUpPr fitToPage="1"/>
  </sheetPr>
  <dimension ref="A3:R113"/>
  <sheetViews>
    <sheetView showGridLines="0" topLeftCell="A4" zoomScale="68" zoomScaleNormal="70" workbookViewId="0">
      <selection activeCell="R92" sqref="R92"/>
    </sheetView>
  </sheetViews>
  <sheetFormatPr defaultColWidth="9.7109375" defaultRowHeight="12.75"/>
  <cols>
    <col min="1" max="1" width="2.7109375" style="288" customWidth="1"/>
    <col min="2" max="2" width="39.140625" style="288" customWidth="1"/>
    <col min="3" max="3" width="2.7109375" style="288" customWidth="1"/>
    <col min="4" max="4" width="14.140625" style="288" customWidth="1"/>
    <col min="5" max="5" width="2.28515625" style="288" customWidth="1"/>
    <col min="6" max="6" width="14.140625" style="288" customWidth="1"/>
    <col min="7" max="7" width="2.28515625" style="288" customWidth="1"/>
    <col min="8" max="8" width="16.7109375" style="288" customWidth="1"/>
    <col min="9" max="9" width="2.28515625" style="288" customWidth="1"/>
    <col min="10" max="10" width="16.7109375" style="288" customWidth="1"/>
    <col min="11" max="11" width="2.28515625" style="288" customWidth="1"/>
    <col min="12" max="12" width="20.85546875" style="288" customWidth="1"/>
    <col min="13" max="13" width="2.7109375" style="288" customWidth="1"/>
    <col min="14" max="14" width="20.7109375" style="288" customWidth="1"/>
    <col min="15" max="15" width="9.7109375" style="288" customWidth="1"/>
    <col min="16" max="16" width="18.7109375" style="288" bestFit="1" customWidth="1"/>
    <col min="17" max="16384" width="9.7109375" style="288"/>
  </cols>
  <sheetData>
    <row r="3" spans="2:17" ht="15.75">
      <c r="B3" s="305" t="s">
        <v>1049</v>
      </c>
      <c r="C3" s="305"/>
      <c r="D3" s="305"/>
      <c r="E3" s="305"/>
      <c r="F3" s="305"/>
      <c r="G3" s="305"/>
      <c r="H3" s="305"/>
      <c r="I3" s="305"/>
      <c r="J3" s="305"/>
      <c r="K3" s="305"/>
      <c r="L3" s="305"/>
      <c r="M3" s="289"/>
      <c r="N3" s="289"/>
    </row>
    <row r="4" spans="2:17" ht="15.75">
      <c r="B4" s="305" t="s">
        <v>248</v>
      </c>
      <c r="C4" s="305"/>
      <c r="D4" s="305"/>
      <c r="E4" s="305"/>
      <c r="F4" s="305"/>
      <c r="G4" s="305"/>
      <c r="H4" s="305"/>
      <c r="I4" s="305"/>
      <c r="J4" s="305"/>
      <c r="K4" s="305"/>
      <c r="L4" s="305"/>
      <c r="M4" s="289"/>
      <c r="N4" s="289"/>
    </row>
    <row r="5" spans="2:17" ht="15.75">
      <c r="B5" s="305" t="s">
        <v>6</v>
      </c>
      <c r="C5" s="305"/>
      <c r="D5" s="305"/>
      <c r="E5" s="305"/>
      <c r="F5" s="305"/>
      <c r="G5" s="305"/>
      <c r="H5" s="305"/>
      <c r="I5" s="305"/>
      <c r="J5" s="305"/>
      <c r="K5" s="305"/>
      <c r="L5" s="305"/>
      <c r="M5" s="289"/>
      <c r="N5" s="289"/>
    </row>
    <row r="6" spans="2:17" ht="15.75">
      <c r="B6" s="307">
        <f>+'Sys INPUT'!B1</f>
        <v>45107</v>
      </c>
      <c r="C6" s="305"/>
      <c r="D6" s="305"/>
      <c r="E6" s="305"/>
      <c r="F6" s="305"/>
      <c r="G6" s="305"/>
      <c r="H6" s="305"/>
      <c r="I6" s="305"/>
      <c r="J6" s="305"/>
      <c r="K6" s="305"/>
      <c r="L6" s="305"/>
      <c r="M6" s="289"/>
      <c r="N6" s="289"/>
    </row>
    <row r="7" spans="2:17" ht="15.75" hidden="1">
      <c r="B7" s="307"/>
      <c r="C7" s="305"/>
      <c r="D7" s="305"/>
      <c r="E7" s="305"/>
      <c r="F7" s="305"/>
      <c r="G7" s="305"/>
      <c r="H7" s="305"/>
      <c r="I7" s="305"/>
      <c r="J7" s="305"/>
      <c r="K7" s="305"/>
      <c r="L7" s="305"/>
      <c r="M7" s="289"/>
      <c r="N7" s="289"/>
      <c r="P7" s="305"/>
      <c r="Q7" s="305"/>
    </row>
    <row r="8" spans="2:17" ht="15.75">
      <c r="B8" s="303"/>
      <c r="C8" s="303"/>
      <c r="D8" s="303"/>
      <c r="E8" s="303"/>
      <c r="F8" s="303"/>
      <c r="G8" s="303"/>
      <c r="H8" s="303"/>
      <c r="I8" s="303"/>
      <c r="J8" s="303"/>
      <c r="K8" s="303"/>
      <c r="L8" s="303"/>
      <c r="M8" s="277"/>
      <c r="N8" s="303"/>
    </row>
    <row r="9" spans="2:17" ht="15.75">
      <c r="B9" s="276"/>
      <c r="C9" s="308"/>
      <c r="D9" s="287"/>
      <c r="E9" s="308"/>
      <c r="F9" s="287"/>
      <c r="G9" s="308"/>
      <c r="H9" s="287"/>
      <c r="I9" s="308"/>
      <c r="J9" s="287"/>
      <c r="K9" s="287"/>
      <c r="L9" s="303"/>
      <c r="M9" s="308"/>
      <c r="N9" s="308"/>
    </row>
    <row r="10" spans="2:17" ht="15.75">
      <c r="B10" s="308"/>
      <c r="C10" s="287"/>
      <c r="D10" s="287"/>
      <c r="E10" s="287"/>
      <c r="F10" s="287"/>
      <c r="G10" s="287"/>
      <c r="H10" s="287" t="str">
        <f>INPUT!BU5</f>
        <v>FEDERAL</v>
      </c>
      <c r="I10" s="287"/>
      <c r="J10" s="287" t="str">
        <f>INPUT!BV5</f>
        <v>DETENTION</v>
      </c>
      <c r="L10" s="287" t="str">
        <f>INPUT!BW5</f>
        <v>ROAD/BRIDGE</v>
      </c>
      <c r="M10" s="287"/>
      <c r="N10" s="287" t="str">
        <f>INPUT!BY5</f>
        <v>TOTAL</v>
      </c>
    </row>
    <row r="11" spans="2:17" ht="15.75">
      <c r="B11" s="308"/>
      <c r="C11" s="287"/>
      <c r="D11" s="287" t="str">
        <f>INPUT!BS6</f>
        <v>CTEP</v>
      </c>
      <c r="E11" s="287"/>
      <c r="F11" s="287" t="str">
        <f>INPUT!BT6</f>
        <v>RID</v>
      </c>
      <c r="G11" s="287"/>
      <c r="H11" s="287" t="str">
        <f>INPUT!BU6</f>
        <v>GRANT</v>
      </c>
      <c r="I11" s="287"/>
      <c r="J11" s="287" t="str">
        <f>INPUT!BV6</f>
        <v>CENTER</v>
      </c>
      <c r="L11" s="287" t="str">
        <f>INPUT!BW6</f>
        <v>INFRASTRUCTURE</v>
      </c>
      <c r="M11" s="287"/>
      <c r="N11" s="287" t="str">
        <f>INPUT!BY6</f>
        <v>CAPITAL</v>
      </c>
    </row>
    <row r="12" spans="2:17" ht="15.75">
      <c r="B12" s="308"/>
      <c r="C12" s="308"/>
      <c r="D12" s="290" t="str">
        <f>INPUT!BS7</f>
        <v>PROJECTS</v>
      </c>
      <c r="E12" s="308"/>
      <c r="F12" s="290" t="str">
        <f>INPUT!BT7</f>
        <v>PROJECTS</v>
      </c>
      <c r="G12" s="308"/>
      <c r="H12" s="290" t="str">
        <f>INPUT!BU7</f>
        <v>PROJECTS</v>
      </c>
      <c r="I12" s="308"/>
      <c r="J12" s="290" t="str">
        <f>INPUT!BV7</f>
        <v>REMODEL</v>
      </c>
      <c r="L12" s="290" t="str">
        <f>INPUT!BW7</f>
        <v>PROJECTS</v>
      </c>
      <c r="M12" s="308"/>
      <c r="N12" s="290" t="str">
        <f>INPUT!BY7</f>
        <v>PROJECTS</v>
      </c>
    </row>
    <row r="13" spans="2:17" ht="15.75">
      <c r="B13" s="308" t="str">
        <f>INPUT!B83</f>
        <v>ASSETS</v>
      </c>
      <c r="C13" s="308"/>
      <c r="D13" s="276"/>
      <c r="E13" s="308"/>
      <c r="F13" s="276"/>
      <c r="G13" s="308"/>
      <c r="H13" s="276"/>
      <c r="I13" s="308"/>
      <c r="J13" s="276"/>
      <c r="K13" s="276"/>
      <c r="L13" s="303"/>
      <c r="M13" s="308"/>
      <c r="N13" s="276"/>
    </row>
    <row r="14" spans="2:17" ht="15.75" customHeight="1">
      <c r="B14" s="276" t="str">
        <f>INPUT!B85</f>
        <v xml:space="preserve">     Cash and cash equivalents</v>
      </c>
      <c r="C14" s="303"/>
      <c r="D14" s="292">
        <f>+INPUT!BS85</f>
        <v>0</v>
      </c>
      <c r="E14" s="303"/>
      <c r="F14" s="292">
        <f>+INPUT!BT85</f>
        <v>0</v>
      </c>
      <c r="G14" s="303"/>
      <c r="H14" s="292">
        <f>+INPUT!BU85</f>
        <v>0</v>
      </c>
      <c r="I14" s="303"/>
      <c r="J14" s="292">
        <f>+INPUT!BV85</f>
        <v>0</v>
      </c>
      <c r="K14" s="292"/>
      <c r="L14" s="292">
        <f>+INPUT!BW85</f>
        <v>2060137</v>
      </c>
      <c r="M14" s="303"/>
      <c r="N14" s="292">
        <f t="shared" ref="N14:N34" si="0">SUM(C14:M14)</f>
        <v>2060137</v>
      </c>
    </row>
    <row r="15" spans="2:17" ht="15.75" customHeight="1">
      <c r="B15" s="276" t="str">
        <f>INPUT!B86</f>
        <v xml:space="preserve">     Investments </v>
      </c>
      <c r="C15" s="276"/>
      <c r="D15" s="294">
        <f>+INPUT!BS86+INPUT!BS100</f>
        <v>0</v>
      </c>
      <c r="E15" s="276"/>
      <c r="F15" s="294">
        <f>+INPUT!BT86+INPUT!BT100</f>
        <v>0</v>
      </c>
      <c r="G15" s="276"/>
      <c r="H15" s="294">
        <f>+INPUT!BU86+INPUT!BU100</f>
        <v>0</v>
      </c>
      <c r="I15" s="276"/>
      <c r="J15" s="294">
        <f>+INPUT!BV86+INPUT!BV100</f>
        <v>0</v>
      </c>
      <c r="K15" s="294"/>
      <c r="L15" s="294">
        <f>+INPUT!BW86+INPUT!BW100</f>
        <v>393491</v>
      </c>
      <c r="M15" s="276"/>
      <c r="N15" s="294">
        <f t="shared" si="0"/>
        <v>393491</v>
      </c>
    </row>
    <row r="16" spans="2:17" ht="15.75" hidden="1" customHeight="1">
      <c r="B16" s="276" t="str">
        <f>INPUT!B87</f>
        <v xml:space="preserve">     Receivables (net of allowance):</v>
      </c>
      <c r="C16" s="308"/>
      <c r="D16" s="294"/>
      <c r="E16" s="308"/>
      <c r="F16" s="294"/>
      <c r="G16" s="308"/>
      <c r="H16" s="294"/>
      <c r="I16" s="308"/>
      <c r="J16" s="294"/>
      <c r="K16" s="294"/>
      <c r="L16" s="294"/>
      <c r="M16" s="308"/>
      <c r="N16" s="294">
        <f t="shared" si="0"/>
        <v>0</v>
      </c>
    </row>
    <row r="17" spans="1:14" ht="15.75" hidden="1" customHeight="1">
      <c r="B17" s="276" t="str">
        <f>INPUT!B88</f>
        <v xml:space="preserve">          Taxes/assessments</v>
      </c>
      <c r="C17" s="276"/>
      <c r="D17" s="294">
        <f>+INPUT!BS88</f>
        <v>0</v>
      </c>
      <c r="E17" s="276"/>
      <c r="F17" s="294">
        <f>+INPUT!BT88</f>
        <v>0</v>
      </c>
      <c r="G17" s="276"/>
      <c r="H17" s="294">
        <f>+INPUT!BU88</f>
        <v>0</v>
      </c>
      <c r="I17" s="276"/>
      <c r="J17" s="294">
        <f>+INPUT!BV88</f>
        <v>0</v>
      </c>
      <c r="K17" s="294"/>
      <c r="L17" s="294">
        <f>+INPUT!BW88</f>
        <v>0</v>
      </c>
      <c r="M17" s="276"/>
      <c r="N17" s="294">
        <f t="shared" si="0"/>
        <v>0</v>
      </c>
    </row>
    <row r="18" spans="1:14" ht="15.75" hidden="1" customHeight="1">
      <c r="A18" s="288" t="s">
        <v>299</v>
      </c>
      <c r="B18" s="276" t="str">
        <f>INPUT!B89</f>
        <v xml:space="preserve">          Accounts/contracts</v>
      </c>
      <c r="C18" s="276"/>
      <c r="D18" s="294">
        <f>+INPUT!BS89</f>
        <v>0</v>
      </c>
      <c r="E18" s="276"/>
      <c r="F18" s="294">
        <f>+INPUT!BT89</f>
        <v>0</v>
      </c>
      <c r="G18" s="276"/>
      <c r="H18" s="294">
        <f>+INPUT!BU89</f>
        <v>0</v>
      </c>
      <c r="I18" s="276"/>
      <c r="J18" s="294">
        <f>+INPUT!BV89</f>
        <v>0</v>
      </c>
      <c r="K18" s="294"/>
      <c r="L18" s="294">
        <f>+INPUT!BW89</f>
        <v>0</v>
      </c>
      <c r="M18" s="276"/>
      <c r="N18" s="294">
        <f t="shared" si="0"/>
        <v>0</v>
      </c>
    </row>
    <row r="19" spans="1:14" ht="15.75" hidden="1" customHeight="1">
      <c r="B19" s="276" t="str">
        <f>INPUT!B90</f>
        <v xml:space="preserve">          Notes receivable</v>
      </c>
      <c r="C19" s="276"/>
      <c r="D19" s="294">
        <f>+INPUT!BS90</f>
        <v>0</v>
      </c>
      <c r="E19" s="276"/>
      <c r="F19" s="294">
        <f>+INPUT!BT90</f>
        <v>0</v>
      </c>
      <c r="G19" s="276"/>
      <c r="H19" s="294">
        <f>+INPUT!BU90</f>
        <v>0</v>
      </c>
      <c r="I19" s="276"/>
      <c r="J19" s="294">
        <f>+INPUT!BV90</f>
        <v>0</v>
      </c>
      <c r="K19" s="294"/>
      <c r="L19" s="294">
        <f>+INPUT!BW90</f>
        <v>0</v>
      </c>
      <c r="M19" s="276"/>
      <c r="N19" s="294">
        <f t="shared" si="0"/>
        <v>0</v>
      </c>
    </row>
    <row r="20" spans="1:14" ht="15.75" hidden="1" customHeight="1">
      <c r="B20" s="276" t="str">
        <f>INPUT!B91</f>
        <v xml:space="preserve">          Leases</v>
      </c>
      <c r="C20" s="276"/>
      <c r="D20" s="294">
        <f>+INPUT!BS91</f>
        <v>0</v>
      </c>
      <c r="E20" s="276"/>
      <c r="F20" s="294">
        <f>+INPUT!BT91</f>
        <v>0</v>
      </c>
      <c r="G20" s="276"/>
      <c r="H20" s="294">
        <f>+INPUT!BU91</f>
        <v>0</v>
      </c>
      <c r="I20" s="276"/>
      <c r="J20" s="294">
        <f>+INPUT!BV91</f>
        <v>0</v>
      </c>
      <c r="K20" s="294"/>
      <c r="L20" s="294">
        <f>+INPUT!BW91</f>
        <v>0</v>
      </c>
      <c r="M20" s="276"/>
      <c r="N20" s="294">
        <f t="shared" ref="N20" si="1">SUM(C20:M20)</f>
        <v>0</v>
      </c>
    </row>
    <row r="21" spans="1:14" ht="15.75" hidden="1" customHeight="1">
      <c r="A21" s="288" t="s">
        <v>299</v>
      </c>
      <c r="B21" s="276" t="str">
        <f>INPUT!B92</f>
        <v xml:space="preserve">     Due from other funds</v>
      </c>
      <c r="C21" s="276"/>
      <c r="D21" s="294">
        <f>+INPUT!BS92</f>
        <v>0</v>
      </c>
      <c r="E21" s="276"/>
      <c r="F21" s="294">
        <f>+INPUT!BT92</f>
        <v>0</v>
      </c>
      <c r="G21" s="276"/>
      <c r="H21" s="294">
        <f>+INPUT!BU92</f>
        <v>0</v>
      </c>
      <c r="I21" s="276"/>
      <c r="J21" s="294">
        <f>+INPUT!BV92</f>
        <v>0</v>
      </c>
      <c r="K21" s="294"/>
      <c r="L21" s="294">
        <f>+INPUT!BW92</f>
        <v>0</v>
      </c>
      <c r="M21" s="276"/>
      <c r="N21" s="294">
        <f t="shared" si="0"/>
        <v>0</v>
      </c>
    </row>
    <row r="22" spans="1:14" ht="15.75" hidden="1">
      <c r="A22" s="288" t="s">
        <v>299</v>
      </c>
      <c r="B22" s="276" t="str">
        <f>INPUT!B93</f>
        <v xml:space="preserve">     Due from other governments</v>
      </c>
      <c r="C22" s="276"/>
      <c r="D22" s="292">
        <f>+INPUT!BS93</f>
        <v>0</v>
      </c>
      <c r="E22" s="303"/>
      <c r="F22" s="292">
        <f>+INPUT!BT93</f>
        <v>0</v>
      </c>
      <c r="G22" s="303"/>
      <c r="H22" s="292">
        <f>+INPUT!BU93</f>
        <v>0</v>
      </c>
      <c r="I22" s="303"/>
      <c r="J22" s="292">
        <f>+INPUT!BV93</f>
        <v>0</v>
      </c>
      <c r="K22" s="292"/>
      <c r="L22" s="292">
        <f>+INPUT!BW93</f>
        <v>0</v>
      </c>
      <c r="M22" s="303"/>
      <c r="N22" s="292">
        <f t="shared" si="0"/>
        <v>0</v>
      </c>
    </row>
    <row r="23" spans="1:14" ht="15.75" hidden="1" customHeight="1">
      <c r="A23" s="288" t="s">
        <v>299</v>
      </c>
      <c r="B23" s="276" t="str">
        <f>INPUT!B94</f>
        <v xml:space="preserve">     Inventories</v>
      </c>
      <c r="C23" s="276"/>
      <c r="D23" s="294">
        <f>+INPUT!BS94</f>
        <v>0</v>
      </c>
      <c r="E23" s="276"/>
      <c r="F23" s="294">
        <f>+INPUT!BT94</f>
        <v>0</v>
      </c>
      <c r="G23" s="276"/>
      <c r="H23" s="294">
        <f>+INPUT!BU94</f>
        <v>0</v>
      </c>
      <c r="I23" s="276"/>
      <c r="J23" s="294">
        <f>+INPUT!BV94</f>
        <v>0</v>
      </c>
      <c r="K23" s="294"/>
      <c r="L23" s="294">
        <f>+INPUT!BW94</f>
        <v>0</v>
      </c>
      <c r="M23" s="276"/>
      <c r="N23" s="294">
        <f t="shared" si="0"/>
        <v>0</v>
      </c>
    </row>
    <row r="24" spans="1:14" ht="15.75" hidden="1" customHeight="1">
      <c r="A24" s="288" t="s">
        <v>299</v>
      </c>
      <c r="B24" s="276" t="str">
        <f>INPUT!B96</f>
        <v>Noncurrent assets:</v>
      </c>
      <c r="C24" s="276"/>
      <c r="D24" s="294"/>
      <c r="E24" s="276"/>
      <c r="F24" s="294"/>
      <c r="G24" s="276"/>
      <c r="H24" s="294"/>
      <c r="I24" s="276"/>
      <c r="J24" s="294"/>
      <c r="K24" s="294"/>
      <c r="L24" s="294"/>
      <c r="M24" s="276"/>
      <c r="N24" s="294">
        <f t="shared" si="0"/>
        <v>0</v>
      </c>
    </row>
    <row r="25" spans="1:14" ht="15.75" hidden="1" customHeight="1">
      <c r="A25" s="288" t="s">
        <v>299</v>
      </c>
      <c r="B25" s="276" t="str">
        <f>INPUT!B97</f>
        <v xml:space="preserve">     Restricted assets:</v>
      </c>
      <c r="C25" s="276"/>
      <c r="D25" s="294"/>
      <c r="E25" s="276"/>
      <c r="F25" s="294"/>
      <c r="G25" s="276"/>
      <c r="H25" s="294"/>
      <c r="I25" s="276"/>
      <c r="J25" s="294"/>
      <c r="K25" s="294"/>
      <c r="L25" s="294"/>
      <c r="M25" s="276"/>
      <c r="N25" s="294">
        <f t="shared" si="0"/>
        <v>0</v>
      </c>
    </row>
    <row r="26" spans="1:14" ht="15.75" hidden="1" customHeight="1">
      <c r="A26" s="288" t="s">
        <v>299</v>
      </c>
      <c r="B26" s="276" t="str">
        <f>INPUT!B98</f>
        <v xml:space="preserve">          Cash and cash equivalents</v>
      </c>
      <c r="C26" s="276"/>
      <c r="D26" s="294">
        <f>+INPUT!BS98</f>
        <v>0</v>
      </c>
      <c r="E26" s="276"/>
      <c r="F26" s="294">
        <f>+INPUT!BT98</f>
        <v>0</v>
      </c>
      <c r="G26" s="276"/>
      <c r="H26" s="294">
        <f>+INPUT!BU98</f>
        <v>0</v>
      </c>
      <c r="I26" s="276"/>
      <c r="J26" s="294">
        <f>+INPUT!BV98</f>
        <v>0</v>
      </c>
      <c r="K26" s="294"/>
      <c r="L26" s="294">
        <f>+INPUT!BW98</f>
        <v>0</v>
      </c>
      <c r="M26" s="276"/>
      <c r="N26" s="294">
        <f t="shared" si="0"/>
        <v>0</v>
      </c>
    </row>
    <row r="27" spans="1:14" ht="15.75" hidden="1" customHeight="1">
      <c r="A27" s="288" t="s">
        <v>299</v>
      </c>
      <c r="B27" s="276" t="s">
        <v>637</v>
      </c>
      <c r="C27" s="276"/>
      <c r="D27" s="294">
        <f>+INPUT!BS99</f>
        <v>0</v>
      </c>
      <c r="E27" s="276"/>
      <c r="F27" s="294">
        <f>+INPUT!BT99</f>
        <v>0</v>
      </c>
      <c r="G27" s="276"/>
      <c r="H27" s="294">
        <f>+INPUT!BU99</f>
        <v>0</v>
      </c>
      <c r="I27" s="276"/>
      <c r="J27" s="294">
        <f>+INPUT!BV99</f>
        <v>0</v>
      </c>
      <c r="K27" s="294"/>
      <c r="L27" s="294">
        <f>+INPUT!BW99</f>
        <v>0</v>
      </c>
      <c r="M27" s="276"/>
      <c r="N27" s="294">
        <f t="shared" si="0"/>
        <v>0</v>
      </c>
    </row>
    <row r="28" spans="1:14" ht="15.75" hidden="1" customHeight="1">
      <c r="A28" s="276" t="s">
        <v>299</v>
      </c>
      <c r="B28" s="276" t="str">
        <f>INPUT!B100</f>
        <v xml:space="preserve">     Valuation of investments to fair value</v>
      </c>
      <c r="C28" s="276"/>
      <c r="D28" s="294">
        <f>+INPUT!BS100</f>
        <v>0</v>
      </c>
      <c r="E28" s="276"/>
      <c r="F28" s="294">
        <f>+INPUT!BT100</f>
        <v>0</v>
      </c>
      <c r="G28" s="276"/>
      <c r="H28" s="294">
        <f>+INPUT!BU100</f>
        <v>0</v>
      </c>
      <c r="I28" s="276"/>
      <c r="J28" s="294"/>
      <c r="K28" s="294"/>
      <c r="L28" s="294"/>
      <c r="M28" s="276"/>
      <c r="N28" s="294">
        <f t="shared" si="0"/>
        <v>0</v>
      </c>
    </row>
    <row r="29" spans="1:14" ht="15.75" hidden="1" customHeight="1">
      <c r="A29" s="276"/>
      <c r="B29" s="276" t="str">
        <f>INPUT!B101</f>
        <v xml:space="preserve">     Long-term accounts/contracts receivable</v>
      </c>
      <c r="C29" s="276"/>
      <c r="D29" s="294">
        <f>+INPUT!BS101</f>
        <v>0</v>
      </c>
      <c r="E29" s="276"/>
      <c r="F29" s="294">
        <f>+INPUT!BT101</f>
        <v>0</v>
      </c>
      <c r="G29" s="276"/>
      <c r="H29" s="294">
        <f>+INPUT!BU101</f>
        <v>0</v>
      </c>
      <c r="I29" s="276"/>
      <c r="J29" s="294">
        <f>+INPUT!BV101</f>
        <v>0</v>
      </c>
      <c r="K29" s="294"/>
      <c r="L29" s="294">
        <f>+INPUT!BW101</f>
        <v>0</v>
      </c>
      <c r="M29" s="276"/>
      <c r="N29" s="294">
        <f t="shared" si="0"/>
        <v>0</v>
      </c>
    </row>
    <row r="30" spans="1:14" ht="15.75" hidden="1" customHeight="1">
      <c r="A30" s="276"/>
      <c r="B30" s="276" t="str">
        <f>INPUT!B102</f>
        <v xml:space="preserve">     Long-term notes receivable</v>
      </c>
      <c r="C30" s="276"/>
      <c r="D30" s="294">
        <f>+INPUT!BS102</f>
        <v>0</v>
      </c>
      <c r="E30" s="276"/>
      <c r="F30" s="294">
        <f>+INPUT!BT102</f>
        <v>0</v>
      </c>
      <c r="G30" s="276"/>
      <c r="H30" s="294">
        <f>+INPUT!BU102</f>
        <v>0</v>
      </c>
      <c r="I30" s="276"/>
      <c r="J30" s="294">
        <f>+INPUT!BV102</f>
        <v>0</v>
      </c>
      <c r="K30" s="294"/>
      <c r="L30" s="294">
        <f>+INPUT!BW102</f>
        <v>0</v>
      </c>
      <c r="M30" s="276"/>
      <c r="N30" s="294">
        <f t="shared" si="0"/>
        <v>0</v>
      </c>
    </row>
    <row r="31" spans="1:14" ht="15.75" hidden="1" customHeight="1">
      <c r="B31" s="276" t="str">
        <f>INPUT!B103</f>
        <v xml:space="preserve">     Advances to other funds</v>
      </c>
      <c r="C31" s="276"/>
      <c r="D31" s="294">
        <f>+INPUT!BS103</f>
        <v>0</v>
      </c>
      <c r="E31" s="276"/>
      <c r="F31" s="294">
        <f>+INPUT!BT103</f>
        <v>0</v>
      </c>
      <c r="G31" s="276"/>
      <c r="H31" s="294">
        <f>+INPUT!BU103</f>
        <v>0</v>
      </c>
      <c r="I31" s="276"/>
      <c r="J31" s="294">
        <f>+INPUT!BV103</f>
        <v>0</v>
      </c>
      <c r="K31" s="294"/>
      <c r="L31" s="294">
        <f>+INPUT!BW103</f>
        <v>0</v>
      </c>
      <c r="M31" s="276"/>
      <c r="N31" s="294">
        <f t="shared" si="0"/>
        <v>0</v>
      </c>
    </row>
    <row r="32" spans="1:14" ht="15.75" hidden="1" customHeight="1">
      <c r="A32" s="288" t="s">
        <v>299</v>
      </c>
      <c r="B32" s="276" t="str">
        <f>INPUT!B105</f>
        <v xml:space="preserve">     Land held for resale</v>
      </c>
      <c r="C32" s="276"/>
      <c r="D32" s="294"/>
      <c r="E32" s="276"/>
      <c r="F32" s="294"/>
      <c r="G32" s="276"/>
      <c r="H32" s="294"/>
      <c r="I32" s="276"/>
      <c r="J32" s="294"/>
      <c r="K32" s="294"/>
      <c r="L32" s="294"/>
      <c r="M32" s="276"/>
      <c r="N32" s="294">
        <f t="shared" si="0"/>
        <v>0</v>
      </c>
    </row>
    <row r="33" spans="1:14" ht="15.75" hidden="1" customHeight="1">
      <c r="B33" s="276" t="str">
        <f>INPUT!B107</f>
        <v xml:space="preserve">     Land and construction in progress</v>
      </c>
      <c r="C33" s="276"/>
      <c r="D33" s="294"/>
      <c r="E33" s="276"/>
      <c r="F33" s="294"/>
      <c r="G33" s="276"/>
      <c r="H33" s="294"/>
      <c r="I33" s="276"/>
      <c r="J33" s="294"/>
      <c r="K33" s="294"/>
      <c r="L33" s="294"/>
      <c r="M33" s="276"/>
      <c r="N33" s="294">
        <f t="shared" si="0"/>
        <v>0</v>
      </c>
    </row>
    <row r="34" spans="1:14" ht="15.75" hidden="1" customHeight="1">
      <c r="B34" s="276" t="str">
        <f>INPUT!B108</f>
        <v xml:space="preserve">     Buildings, improvements, vehicles and equipment (net)</v>
      </c>
      <c r="C34" s="276"/>
      <c r="D34" s="294"/>
      <c r="E34" s="276"/>
      <c r="F34" s="294"/>
      <c r="G34" s="276"/>
      <c r="H34" s="294"/>
      <c r="I34" s="276"/>
      <c r="J34" s="294"/>
      <c r="K34" s="294"/>
      <c r="L34" s="294"/>
      <c r="M34" s="276"/>
      <c r="N34" s="294">
        <f t="shared" si="0"/>
        <v>0</v>
      </c>
    </row>
    <row r="35" spans="1:14" ht="15.75" hidden="1" customHeight="1">
      <c r="A35" s="288" t="s">
        <v>299</v>
      </c>
      <c r="B35" s="276"/>
      <c r="C35" s="276"/>
      <c r="D35" s="294"/>
      <c r="E35" s="276"/>
      <c r="F35" s="294"/>
      <c r="G35" s="276"/>
      <c r="H35" s="294"/>
      <c r="I35" s="276"/>
      <c r="J35" s="294"/>
      <c r="K35" s="294"/>
      <c r="L35" s="294"/>
      <c r="M35" s="276"/>
      <c r="N35" s="294"/>
    </row>
    <row r="36" spans="1:14" ht="15.75">
      <c r="B36" s="276"/>
      <c r="C36" s="308"/>
      <c r="D36" s="1085"/>
      <c r="E36" s="308"/>
      <c r="F36" s="1085"/>
      <c r="G36" s="308"/>
      <c r="H36" s="1085"/>
      <c r="I36" s="308"/>
      <c r="J36" s="1085"/>
      <c r="K36" s="294"/>
      <c r="L36" s="1085"/>
      <c r="M36" s="308"/>
      <c r="N36" s="1085"/>
    </row>
    <row r="37" spans="1:14" ht="16.5" thickBot="1">
      <c r="B37" s="308" t="str">
        <f>INPUT!B114</f>
        <v xml:space="preserve">          Total assets</v>
      </c>
      <c r="C37" s="308"/>
      <c r="D37" s="302">
        <f>SUM(D14:D35)</f>
        <v>0</v>
      </c>
      <c r="E37" s="319"/>
      <c r="F37" s="302">
        <f>SUM(F14:F35)</f>
        <v>0</v>
      </c>
      <c r="G37" s="319"/>
      <c r="H37" s="302">
        <f>SUM(H14:H35)</f>
        <v>0</v>
      </c>
      <c r="I37" s="319"/>
      <c r="J37" s="302">
        <f>SUM(J14:J36)</f>
        <v>0</v>
      </c>
      <c r="K37" s="326"/>
      <c r="L37" s="302">
        <f>SUM(L14:L36)</f>
        <v>2453628</v>
      </c>
      <c r="M37" s="319"/>
      <c r="N37" s="302">
        <f>SUM(N14:N35)</f>
        <v>2453628</v>
      </c>
    </row>
    <row r="38" spans="1:14" ht="16.5" thickTop="1">
      <c r="B38" s="276"/>
      <c r="C38" s="308"/>
      <c r="D38" s="294"/>
      <c r="E38" s="308"/>
      <c r="F38" s="294"/>
      <c r="G38" s="308"/>
      <c r="H38" s="294"/>
      <c r="I38" s="308"/>
      <c r="J38" s="294"/>
      <c r="K38" s="294"/>
      <c r="L38" s="294"/>
      <c r="M38" s="308"/>
      <c r="N38" s="294"/>
    </row>
    <row r="39" spans="1:14" ht="15.75">
      <c r="B39" s="308" t="str">
        <f>INPUT!B129</f>
        <v>LIABILITIES</v>
      </c>
      <c r="C39" s="308"/>
      <c r="D39" s="294"/>
      <c r="E39" s="308"/>
      <c r="F39" s="294"/>
      <c r="G39" s="308"/>
      <c r="H39" s="294"/>
      <c r="I39" s="308"/>
      <c r="J39" s="294"/>
      <c r="K39" s="294"/>
      <c r="L39" s="294"/>
      <c r="M39" s="308"/>
      <c r="N39" s="294"/>
    </row>
    <row r="40" spans="1:14" ht="15.75" hidden="1">
      <c r="B40" s="276" t="str">
        <f>INPUT!B130</f>
        <v>LIABILITIES</v>
      </c>
      <c r="C40" s="303"/>
      <c r="D40" s="294"/>
      <c r="E40" s="303"/>
      <c r="F40" s="294"/>
      <c r="G40" s="303"/>
      <c r="H40" s="294"/>
      <c r="I40" s="303"/>
      <c r="J40" s="294"/>
      <c r="K40" s="294"/>
      <c r="L40" s="294"/>
      <c r="M40" s="303"/>
      <c r="N40" s="292"/>
    </row>
    <row r="41" spans="1:14" ht="15.75">
      <c r="B41" s="276" t="str">
        <f>INPUT!B132</f>
        <v xml:space="preserve">     Accounts payable</v>
      </c>
      <c r="C41" s="276"/>
      <c r="D41" s="292">
        <f>+INPUT!BS132</f>
        <v>0</v>
      </c>
      <c r="E41" s="303"/>
      <c r="F41" s="292">
        <f>+INPUT!BT132</f>
        <v>0</v>
      </c>
      <c r="G41" s="303"/>
      <c r="H41" s="292">
        <f>+INPUT!BU132</f>
        <v>0</v>
      </c>
      <c r="I41" s="303"/>
      <c r="J41" s="292">
        <f>+INPUT!BV132</f>
        <v>0</v>
      </c>
      <c r="K41" s="294"/>
      <c r="L41" s="292">
        <f>+INPUT!BW132</f>
        <v>111170</v>
      </c>
      <c r="M41" s="303"/>
      <c r="N41" s="292">
        <f>SUM(C41:M41)</f>
        <v>111170</v>
      </c>
    </row>
    <row r="42" spans="1:14" ht="15.75" hidden="1">
      <c r="A42" s="288" t="s">
        <v>299</v>
      </c>
      <c r="B42" s="276" t="str">
        <f>INPUT!B133</f>
        <v xml:space="preserve">     Contracts/loans payable - current</v>
      </c>
      <c r="C42" s="276"/>
      <c r="D42" s="294"/>
      <c r="E42" s="276"/>
      <c r="F42" s="294"/>
      <c r="G42" s="276"/>
      <c r="H42" s="294"/>
      <c r="I42" s="276"/>
      <c r="J42" s="294">
        <f>INPUT!BV133</f>
        <v>0</v>
      </c>
      <c r="K42" s="294"/>
      <c r="L42" s="294">
        <f>INPUT!BW133</f>
        <v>0</v>
      </c>
      <c r="M42" s="276"/>
      <c r="N42" s="294">
        <f>SUM(C42:M42)</f>
        <v>0</v>
      </c>
    </row>
    <row r="43" spans="1:14" ht="15.75" hidden="1">
      <c r="A43" s="288" t="s">
        <v>299</v>
      </c>
      <c r="B43" s="276" t="str">
        <f>INPUT!B134</f>
        <v xml:space="preserve">     Intergovernmental payable</v>
      </c>
      <c r="C43" s="276"/>
      <c r="D43" s="294"/>
      <c r="E43" s="276"/>
      <c r="F43" s="294"/>
      <c r="G43" s="276"/>
      <c r="H43" s="294"/>
      <c r="I43" s="276"/>
      <c r="J43" s="294">
        <f>INPUT!BV134</f>
        <v>0</v>
      </c>
      <c r="K43" s="294"/>
      <c r="L43" s="294">
        <f>INPUT!BW134</f>
        <v>0</v>
      </c>
      <c r="M43" s="276"/>
      <c r="N43" s="294">
        <f>SUM(C43:M43)</f>
        <v>0</v>
      </c>
    </row>
    <row r="44" spans="1:14" ht="15.75">
      <c r="A44" s="288" t="s">
        <v>299</v>
      </c>
      <c r="B44" s="276" t="str">
        <f>INPUT!B135</f>
        <v xml:space="preserve">     Due to other funds</v>
      </c>
      <c r="C44" s="276"/>
      <c r="D44" s="294">
        <f>+INPUT!BS135</f>
        <v>0</v>
      </c>
      <c r="E44" s="294"/>
      <c r="F44" s="294">
        <f>+INPUT!BT135</f>
        <v>24383</v>
      </c>
      <c r="G44" s="294"/>
      <c r="H44" s="294">
        <f>+INPUT!BU135</f>
        <v>0</v>
      </c>
      <c r="I44" s="294"/>
      <c r="J44" s="294">
        <f>INPUT!BV135</f>
        <v>0</v>
      </c>
      <c r="K44" s="294"/>
      <c r="L44" s="294">
        <f>INPUT!BW135</f>
        <v>0</v>
      </c>
      <c r="M44" s="294"/>
      <c r="N44" s="294">
        <f>SUM(C44:M44)</f>
        <v>24383</v>
      </c>
    </row>
    <row r="45" spans="1:14" ht="15.75" hidden="1">
      <c r="K45" s="294"/>
    </row>
    <row r="46" spans="1:14" ht="15.75" hidden="1">
      <c r="B46" s="276"/>
      <c r="C46" s="276"/>
      <c r="D46" s="294"/>
      <c r="E46" s="276"/>
      <c r="F46" s="294"/>
      <c r="G46" s="276"/>
      <c r="H46" s="294"/>
      <c r="I46" s="276"/>
      <c r="J46" s="294"/>
      <c r="K46" s="294"/>
      <c r="L46" s="294"/>
      <c r="M46" s="276"/>
      <c r="N46" s="294">
        <f t="shared" ref="N46:N59" si="2">SUM(C46:M46)</f>
        <v>0</v>
      </c>
    </row>
    <row r="47" spans="1:14" ht="15.75" hidden="1">
      <c r="A47" s="288" t="s">
        <v>299</v>
      </c>
      <c r="B47" s="296" t="str">
        <f>INPUT!B136</f>
        <v xml:space="preserve">     Advanced lease payments - current</v>
      </c>
      <c r="C47" s="276"/>
      <c r="D47" s="294"/>
      <c r="E47" s="276"/>
      <c r="F47" s="294"/>
      <c r="G47" s="276"/>
      <c r="H47" s="294"/>
      <c r="I47" s="276"/>
      <c r="J47" s="294">
        <f>INPUT!BV136</f>
        <v>0</v>
      </c>
      <c r="K47" s="294"/>
      <c r="L47" s="294">
        <f>INPUT!BW136</f>
        <v>0</v>
      </c>
      <c r="M47" s="276"/>
      <c r="N47" s="294">
        <f t="shared" si="2"/>
        <v>0</v>
      </c>
    </row>
    <row r="48" spans="1:14" ht="15.75" hidden="1">
      <c r="A48" s="288" t="s">
        <v>299</v>
      </c>
      <c r="B48" s="296" t="str">
        <f>INPUT!B138</f>
        <v xml:space="preserve">     Revenue bonds payable</v>
      </c>
      <c r="C48" s="276"/>
      <c r="D48" s="294"/>
      <c r="E48" s="276"/>
      <c r="F48" s="294"/>
      <c r="G48" s="276"/>
      <c r="H48" s="294"/>
      <c r="I48" s="276"/>
      <c r="J48" s="294"/>
      <c r="K48" s="294"/>
      <c r="L48" s="294"/>
      <c r="M48" s="276"/>
      <c r="N48" s="294">
        <f t="shared" si="2"/>
        <v>0</v>
      </c>
    </row>
    <row r="49" spans="1:14" ht="15.75" hidden="1">
      <c r="B49" s="296"/>
      <c r="C49" s="276"/>
      <c r="D49" s="294"/>
      <c r="E49" s="276"/>
      <c r="F49" s="294"/>
      <c r="G49" s="276"/>
      <c r="H49" s="294"/>
      <c r="I49" s="276"/>
      <c r="J49" s="294">
        <f>INPUT!BV138</f>
        <v>0</v>
      </c>
      <c r="K49" s="300"/>
      <c r="L49" s="294">
        <f>INPUT!BW138</f>
        <v>0</v>
      </c>
      <c r="M49" s="276"/>
      <c r="N49" s="294">
        <f t="shared" si="2"/>
        <v>0</v>
      </c>
    </row>
    <row r="50" spans="1:14" ht="15.75" hidden="1">
      <c r="A50" s="288" t="s">
        <v>299</v>
      </c>
      <c r="B50" s="296" t="str">
        <f>INPUT!B139</f>
        <v xml:space="preserve">     Landfill postclosure costs payable - current</v>
      </c>
      <c r="C50" s="276"/>
      <c r="D50" s="294"/>
      <c r="E50" s="276"/>
      <c r="F50" s="294"/>
      <c r="G50" s="276"/>
      <c r="H50" s="294"/>
      <c r="I50" s="276"/>
      <c r="J50" s="294"/>
      <c r="K50" s="300"/>
      <c r="L50" s="294"/>
      <c r="M50" s="276"/>
      <c r="N50" s="294">
        <f t="shared" si="2"/>
        <v>0</v>
      </c>
    </row>
    <row r="51" spans="1:14" ht="15.75" hidden="1">
      <c r="A51" s="288" t="s">
        <v>299</v>
      </c>
      <c r="B51" s="296" t="str">
        <f>INPUT!B140</f>
        <v xml:space="preserve">     Claims payable</v>
      </c>
      <c r="C51" s="276"/>
      <c r="D51" s="294"/>
      <c r="E51" s="276"/>
      <c r="F51" s="294"/>
      <c r="G51" s="276"/>
      <c r="H51" s="294"/>
      <c r="I51" s="276"/>
      <c r="J51" s="294">
        <f>INPUT!BV139</f>
        <v>0</v>
      </c>
      <c r="K51" s="300"/>
      <c r="L51" s="294">
        <f>INPUT!BW139</f>
        <v>0</v>
      </c>
      <c r="M51" s="276"/>
      <c r="N51" s="294">
        <f t="shared" si="2"/>
        <v>0</v>
      </c>
    </row>
    <row r="52" spans="1:14" ht="15.75" hidden="1">
      <c r="B52" s="296"/>
      <c r="C52" s="276"/>
      <c r="D52" s="294"/>
      <c r="E52" s="276"/>
      <c r="F52" s="294"/>
      <c r="G52" s="276"/>
      <c r="H52" s="294"/>
      <c r="I52" s="276"/>
      <c r="J52" s="294">
        <f>INPUT!BV140</f>
        <v>0</v>
      </c>
      <c r="K52" s="294"/>
      <c r="L52" s="294">
        <f>INPUT!BW140</f>
        <v>0</v>
      </c>
      <c r="M52" s="276"/>
      <c r="N52" s="294">
        <f t="shared" si="2"/>
        <v>0</v>
      </c>
    </row>
    <row r="53" spans="1:14" ht="15.75" hidden="1">
      <c r="A53" s="288" t="s">
        <v>299</v>
      </c>
      <c r="B53" s="296" t="str">
        <f>INPUT!B141</f>
        <v xml:space="preserve">     Advances from other funds</v>
      </c>
      <c r="C53" s="276"/>
      <c r="D53" s="294">
        <f>+INPUT!BS141</f>
        <v>0</v>
      </c>
      <c r="E53" s="276"/>
      <c r="F53" s="294">
        <f>+INPUT!BT141</f>
        <v>0</v>
      </c>
      <c r="G53" s="276"/>
      <c r="H53" s="294">
        <f>+INPUT!BU141</f>
        <v>0</v>
      </c>
      <c r="I53" s="276"/>
      <c r="J53" s="294">
        <f>INPUT!BV141</f>
        <v>0</v>
      </c>
      <c r="K53" s="294"/>
      <c r="L53" s="294">
        <f>INPUT!BW141</f>
        <v>0</v>
      </c>
      <c r="M53" s="276"/>
      <c r="N53" s="294">
        <f t="shared" si="2"/>
        <v>0</v>
      </c>
    </row>
    <row r="54" spans="1:14" ht="15.75" hidden="1">
      <c r="A54" s="288" t="s">
        <v>299</v>
      </c>
      <c r="B54" s="296" t="str">
        <f>INPUT!B142</f>
        <v xml:space="preserve">     General obligation bonds payable</v>
      </c>
      <c r="C54" s="276"/>
      <c r="D54" s="294"/>
      <c r="E54" s="276"/>
      <c r="F54" s="294"/>
      <c r="G54" s="276"/>
      <c r="H54" s="294"/>
      <c r="I54" s="276"/>
      <c r="J54" s="294"/>
      <c r="K54" s="294"/>
      <c r="L54" s="294"/>
      <c r="M54" s="276"/>
      <c r="N54" s="294">
        <f t="shared" si="2"/>
        <v>0</v>
      </c>
    </row>
    <row r="55" spans="1:14" ht="15.75" hidden="1">
      <c r="A55" s="288" t="s">
        <v>299</v>
      </c>
      <c r="B55" s="296" t="str">
        <f>INPUT!B143</f>
        <v xml:space="preserve">     Special assessment debt with government commitment</v>
      </c>
      <c r="C55" s="276"/>
      <c r="D55" s="294"/>
      <c r="E55" s="276"/>
      <c r="F55" s="294"/>
      <c r="G55" s="276"/>
      <c r="H55" s="294"/>
      <c r="I55" s="276"/>
      <c r="J55" s="294"/>
      <c r="K55" s="294"/>
      <c r="L55" s="294"/>
      <c r="M55" s="276"/>
      <c r="N55" s="294">
        <f t="shared" si="2"/>
        <v>0</v>
      </c>
    </row>
    <row r="56" spans="1:14" ht="15.75" hidden="1">
      <c r="B56" s="296"/>
      <c r="C56" s="276"/>
      <c r="D56" s="294"/>
      <c r="E56" s="276"/>
      <c r="F56" s="294"/>
      <c r="G56" s="276"/>
      <c r="H56" s="294"/>
      <c r="I56" s="276"/>
      <c r="J56" s="294"/>
      <c r="K56" s="294"/>
      <c r="L56" s="294"/>
      <c r="M56" s="276"/>
      <c r="N56" s="294">
        <f t="shared" si="2"/>
        <v>0</v>
      </c>
    </row>
    <row r="57" spans="1:14" ht="15.75" hidden="1">
      <c r="A57" s="288" t="s">
        <v>299</v>
      </c>
      <c r="B57" s="296" t="str">
        <f>INPUT!B145</f>
        <v xml:space="preserve">     Contracts/loans payable</v>
      </c>
      <c r="C57" s="276"/>
      <c r="D57" s="294"/>
      <c r="E57" s="276"/>
      <c r="F57" s="294"/>
      <c r="G57" s="276"/>
      <c r="H57" s="294"/>
      <c r="I57" s="276"/>
      <c r="J57" s="294"/>
      <c r="K57" s="294"/>
      <c r="L57" s="294"/>
      <c r="M57" s="276"/>
      <c r="N57" s="294">
        <f t="shared" si="2"/>
        <v>0</v>
      </c>
    </row>
    <row r="58" spans="1:14" ht="15.75" hidden="1">
      <c r="A58" s="288" t="s">
        <v>299</v>
      </c>
      <c r="B58" s="296" t="str">
        <f>INPUT!B146</f>
        <v xml:space="preserve">     Revenue bonds payable</v>
      </c>
      <c r="C58" s="276"/>
      <c r="D58" s="294"/>
      <c r="E58" s="276"/>
      <c r="F58" s="294"/>
      <c r="G58" s="276"/>
      <c r="H58" s="294"/>
      <c r="I58" s="276"/>
      <c r="J58" s="294"/>
      <c r="K58" s="294"/>
      <c r="L58" s="294"/>
      <c r="M58" s="276"/>
      <c r="N58" s="294">
        <f t="shared" si="2"/>
        <v>0</v>
      </c>
    </row>
    <row r="59" spans="1:14" ht="15.75" hidden="1">
      <c r="A59" s="288" t="s">
        <v>299</v>
      </c>
      <c r="B59" s="296">
        <f>INPUT!B147</f>
        <v>0</v>
      </c>
      <c r="C59" s="276"/>
      <c r="D59" s="294"/>
      <c r="E59" s="276"/>
      <c r="F59" s="294"/>
      <c r="G59" s="276"/>
      <c r="H59" s="294"/>
      <c r="I59" s="276"/>
      <c r="J59" s="294"/>
      <c r="K59" s="294"/>
      <c r="L59" s="294"/>
      <c r="M59" s="276"/>
      <c r="N59" s="294">
        <f t="shared" si="2"/>
        <v>0</v>
      </c>
    </row>
    <row r="60" spans="1:14" ht="15.75" hidden="1">
      <c r="B60" s="296"/>
      <c r="C60" s="276"/>
      <c r="D60" s="294"/>
      <c r="E60" s="276"/>
      <c r="F60" s="294"/>
      <c r="G60" s="276"/>
      <c r="H60" s="294"/>
      <c r="I60" s="276"/>
      <c r="J60" s="294"/>
      <c r="K60" s="294"/>
      <c r="L60" s="294"/>
      <c r="M60" s="276"/>
      <c r="N60" s="294"/>
    </row>
    <row r="61" spans="1:14" ht="15.75" hidden="1">
      <c r="B61" s="296"/>
      <c r="C61" s="276"/>
      <c r="D61" s="294"/>
      <c r="E61" s="276"/>
      <c r="F61" s="294"/>
      <c r="G61" s="276"/>
      <c r="H61" s="294"/>
      <c r="I61" s="276"/>
      <c r="J61" s="294"/>
      <c r="K61" s="294"/>
      <c r="L61" s="294"/>
      <c r="M61" s="276"/>
      <c r="N61" s="294"/>
    </row>
    <row r="62" spans="1:14" ht="15.75">
      <c r="B62" s="276"/>
      <c r="C62" s="308"/>
      <c r="D62" s="337"/>
      <c r="E62" s="308"/>
      <c r="F62" s="337"/>
      <c r="G62" s="308"/>
      <c r="H62" s="337"/>
      <c r="I62" s="308"/>
      <c r="J62" s="337"/>
      <c r="K62" s="294"/>
      <c r="L62" s="337"/>
      <c r="M62" s="308"/>
      <c r="N62" s="337"/>
    </row>
    <row r="63" spans="1:14" ht="15.75">
      <c r="B63" s="308" t="str">
        <f>INPUT!B154</f>
        <v xml:space="preserve">          Total liabilities</v>
      </c>
      <c r="C63" s="308"/>
      <c r="D63" s="301">
        <f>SUM(D41:D59)</f>
        <v>0</v>
      </c>
      <c r="E63" s="308"/>
      <c r="F63" s="301">
        <f>SUM(F41:F59)</f>
        <v>24383</v>
      </c>
      <c r="G63" s="308"/>
      <c r="H63" s="301">
        <f>SUM(H41:H59)</f>
        <v>0</v>
      </c>
      <c r="I63" s="308"/>
      <c r="J63" s="301">
        <f>SUM(J41:J61)</f>
        <v>0</v>
      </c>
      <c r="K63" s="294"/>
      <c r="L63" s="301">
        <f>SUM(L41:L61)</f>
        <v>111170</v>
      </c>
      <c r="M63" s="308"/>
      <c r="N63" s="301">
        <f>SUM(N41:N59)</f>
        <v>135553</v>
      </c>
    </row>
    <row r="64" spans="1:14" ht="15.75">
      <c r="B64" s="308"/>
      <c r="C64" s="308"/>
      <c r="D64" s="300"/>
      <c r="E64" s="308"/>
      <c r="F64" s="300"/>
      <c r="G64" s="308"/>
      <c r="H64" s="300"/>
      <c r="I64" s="308"/>
      <c r="J64" s="300"/>
      <c r="K64" s="300"/>
      <c r="L64" s="300"/>
      <c r="M64" s="308"/>
      <c r="N64" s="300"/>
    </row>
    <row r="65" spans="1:18" ht="15.75" hidden="1">
      <c r="B65" s="308" t="s">
        <v>1815</v>
      </c>
      <c r="C65" s="308"/>
      <c r="D65" s="300"/>
      <c r="E65" s="308"/>
      <c r="F65" s="300"/>
      <c r="G65" s="308"/>
      <c r="H65" s="300"/>
      <c r="I65" s="308"/>
      <c r="J65" s="300"/>
      <c r="K65" s="300"/>
      <c r="L65" s="300"/>
      <c r="M65" s="308"/>
      <c r="N65" s="300"/>
    </row>
    <row r="66" spans="1:18" ht="15.75" hidden="1">
      <c r="B66" s="276" t="str">
        <f>INPUT!B157</f>
        <v xml:space="preserve">     Deferred inflows of tax revenues</v>
      </c>
      <c r="C66" s="276"/>
      <c r="D66" s="318">
        <f>+INPUT!BS157</f>
        <v>0</v>
      </c>
      <c r="E66" s="276"/>
      <c r="F66" s="318">
        <f>+INPUT!BT157</f>
        <v>0</v>
      </c>
      <c r="G66" s="276"/>
      <c r="H66" s="318">
        <f>+INPUT!BU157</f>
        <v>0</v>
      </c>
      <c r="I66" s="276"/>
      <c r="J66" s="318">
        <f>INPUT!BV157</f>
        <v>0</v>
      </c>
      <c r="K66" s="326"/>
      <c r="L66" s="318">
        <f>INPUT!BW157</f>
        <v>0</v>
      </c>
      <c r="M66" s="276"/>
      <c r="N66" s="318">
        <f>SUM(C66:M66)</f>
        <v>0</v>
      </c>
    </row>
    <row r="67" spans="1:18" ht="15.75" hidden="1">
      <c r="B67" s="276"/>
      <c r="C67" s="308"/>
      <c r="D67" s="294"/>
      <c r="E67" s="308"/>
      <c r="F67" s="294"/>
      <c r="G67" s="308"/>
      <c r="H67" s="294"/>
      <c r="I67" s="308"/>
      <c r="J67" s="294"/>
      <c r="K67" s="319"/>
      <c r="L67" s="294"/>
      <c r="M67" s="308"/>
      <c r="N67" s="294"/>
    </row>
    <row r="68" spans="1:18" ht="15.75">
      <c r="B68" s="308" t="str">
        <f>INPUT!B186</f>
        <v>FUND BALANCE</v>
      </c>
      <c r="C68" s="308"/>
      <c r="D68" s="294"/>
      <c r="E68" s="308"/>
      <c r="F68" s="294"/>
      <c r="G68" s="308"/>
      <c r="H68" s="294"/>
      <c r="I68" s="308"/>
      <c r="J68" s="294"/>
      <c r="L68" s="294"/>
      <c r="M68" s="308"/>
      <c r="N68" s="294"/>
      <c r="R68" s="292"/>
    </row>
    <row r="69" spans="1:18" ht="15.75">
      <c r="B69" s="276"/>
      <c r="C69" s="276"/>
      <c r="D69" s="294"/>
      <c r="E69" s="276"/>
      <c r="F69" s="294"/>
      <c r="G69" s="276"/>
      <c r="H69" s="294"/>
      <c r="I69" s="276"/>
      <c r="J69" s="294"/>
      <c r="L69" s="294"/>
      <c r="M69" s="276"/>
      <c r="N69" s="294"/>
    </row>
    <row r="70" spans="1:18" ht="15.75" hidden="1">
      <c r="B70" s="276" t="str">
        <f>INPUT!B188</f>
        <v xml:space="preserve">          Nonspendable</v>
      </c>
      <c r="C70" s="276"/>
      <c r="D70" s="294">
        <f>+INPUT!BS188</f>
        <v>0</v>
      </c>
      <c r="E70" s="276"/>
      <c r="F70" s="294">
        <f>+INPUT!BT188</f>
        <v>0</v>
      </c>
      <c r="G70" s="276"/>
      <c r="H70" s="294">
        <f>+INPUT!BU188</f>
        <v>0</v>
      </c>
      <c r="I70" s="276"/>
      <c r="J70" s="294">
        <f>+INPUT!BV188</f>
        <v>0</v>
      </c>
      <c r="L70" s="294">
        <f>+INPUT!BW188</f>
        <v>0</v>
      </c>
      <c r="M70" s="276"/>
      <c r="N70" s="294">
        <f>SUM(C70:M70)</f>
        <v>0</v>
      </c>
    </row>
    <row r="71" spans="1:18" ht="15.75">
      <c r="A71" s="288" t="s">
        <v>299</v>
      </c>
      <c r="B71" s="276" t="str">
        <f>INPUT!B189</f>
        <v xml:space="preserve">          Restricted</v>
      </c>
      <c r="C71" s="276"/>
      <c r="D71" s="294">
        <f>+INPUT!BS189</f>
        <v>0</v>
      </c>
      <c r="E71" s="276"/>
      <c r="F71" s="294">
        <f>+INPUT!BT189</f>
        <v>0</v>
      </c>
      <c r="G71" s="276"/>
      <c r="H71" s="294">
        <f>+INPUT!BU189</f>
        <v>0</v>
      </c>
      <c r="I71" s="276"/>
      <c r="J71" s="294">
        <f>+INPUT!BV189</f>
        <v>0</v>
      </c>
      <c r="L71" s="294">
        <f>+INPUT!BW189</f>
        <v>-111170</v>
      </c>
      <c r="M71" s="276"/>
      <c r="N71" s="294">
        <f>SUM(C71:M71)</f>
        <v>-111170</v>
      </c>
    </row>
    <row r="72" spans="1:18" ht="15.75">
      <c r="B72" s="276" t="str">
        <f>INPUT!B190</f>
        <v xml:space="preserve">          Unrestricted:</v>
      </c>
      <c r="C72" s="276"/>
      <c r="D72" s="294"/>
      <c r="E72" s="276"/>
      <c r="F72" s="294"/>
      <c r="G72" s="276"/>
      <c r="H72" s="294"/>
      <c r="I72" s="276"/>
      <c r="J72" s="294"/>
      <c r="L72" s="294"/>
      <c r="M72" s="276"/>
      <c r="N72" s="294"/>
    </row>
    <row r="73" spans="1:18" ht="15.75">
      <c r="B73" s="276" t="str">
        <f>INPUT!B191</f>
        <v xml:space="preserve">               Committed</v>
      </c>
      <c r="C73" s="276"/>
      <c r="D73" s="294">
        <f>+INPUT!BS191</f>
        <v>0</v>
      </c>
      <c r="E73" s="276"/>
      <c r="F73" s="294">
        <f>+INPUT!BT191</f>
        <v>0</v>
      </c>
      <c r="G73" s="276"/>
      <c r="H73" s="294">
        <f>+INPUT!BU191</f>
        <v>0</v>
      </c>
      <c r="I73" s="276"/>
      <c r="J73" s="294">
        <f>+INPUT!BV191</f>
        <v>0</v>
      </c>
      <c r="L73" s="294">
        <f>+INPUT!BW191</f>
        <v>2453628</v>
      </c>
      <c r="M73" s="276"/>
      <c r="N73" s="294">
        <f>SUM(C73:M73)</f>
        <v>2453628</v>
      </c>
    </row>
    <row r="74" spans="1:18" ht="15.75">
      <c r="B74" s="276" t="str">
        <f>INPUT!B192</f>
        <v xml:space="preserve">               Assigned</v>
      </c>
      <c r="C74" s="276"/>
      <c r="D74" s="294">
        <f>+INPUT!BS192</f>
        <v>0</v>
      </c>
      <c r="E74" s="276"/>
      <c r="F74" s="294">
        <f>+INPUT!BT192</f>
        <v>0</v>
      </c>
      <c r="G74" s="276"/>
      <c r="H74" s="294">
        <f>+INPUT!BU192</f>
        <v>0</v>
      </c>
      <c r="I74" s="276"/>
      <c r="J74" s="294">
        <f>+INPUT!BV192</f>
        <v>0</v>
      </c>
      <c r="L74" s="294">
        <f>+INPUT!BW192</f>
        <v>0</v>
      </c>
      <c r="M74" s="276"/>
      <c r="N74" s="294">
        <f>SUM(C74:M74)</f>
        <v>0</v>
      </c>
    </row>
    <row r="75" spans="1:18" ht="15.75">
      <c r="B75" s="276" t="str">
        <f>INPUT!B193</f>
        <v xml:space="preserve">               Unassigned</v>
      </c>
      <c r="C75" s="276"/>
      <c r="D75" s="294">
        <f>+INPUT!BS193</f>
        <v>0</v>
      </c>
      <c r="E75" s="276"/>
      <c r="F75" s="294">
        <f>+INPUT!BT193</f>
        <v>-24383</v>
      </c>
      <c r="G75" s="276"/>
      <c r="H75" s="294">
        <f>+INPUT!BU193</f>
        <v>0</v>
      </c>
      <c r="I75" s="276"/>
      <c r="J75" s="294">
        <f>+INPUT!BV193</f>
        <v>0</v>
      </c>
      <c r="L75" s="294">
        <f>+INPUT!BW193</f>
        <v>0</v>
      </c>
      <c r="M75" s="276"/>
      <c r="N75" s="294">
        <f>SUM(C75:M75)</f>
        <v>-24383</v>
      </c>
    </row>
    <row r="76" spans="1:18" ht="15.75" hidden="1">
      <c r="B76" s="276"/>
      <c r="C76" s="276"/>
      <c r="D76" s="294"/>
      <c r="E76" s="276"/>
      <c r="F76" s="294"/>
      <c r="G76" s="276"/>
      <c r="H76" s="294"/>
      <c r="I76" s="276"/>
      <c r="J76" s="294"/>
      <c r="L76" s="294"/>
      <c r="M76" s="276"/>
      <c r="N76" s="294"/>
    </row>
    <row r="77" spans="1:18" ht="15.75" hidden="1">
      <c r="B77" s="276"/>
      <c r="C77" s="276"/>
      <c r="D77" s="294"/>
      <c r="E77" s="276"/>
      <c r="F77" s="294"/>
      <c r="G77" s="276"/>
      <c r="H77" s="294"/>
      <c r="I77" s="276"/>
      <c r="J77" s="294"/>
      <c r="L77" s="294"/>
      <c r="M77" s="276"/>
      <c r="N77" s="294"/>
    </row>
    <row r="78" spans="1:18" ht="15.75" hidden="1">
      <c r="B78" s="276"/>
      <c r="C78" s="276"/>
      <c r="D78" s="294"/>
      <c r="E78" s="276"/>
      <c r="F78" s="294"/>
      <c r="G78" s="276"/>
      <c r="H78" s="294"/>
      <c r="I78" s="276"/>
      <c r="J78" s="294"/>
      <c r="L78" s="294"/>
      <c r="M78" s="276"/>
      <c r="N78" s="294"/>
    </row>
    <row r="79" spans="1:18" ht="15.75">
      <c r="B79" s="276"/>
      <c r="C79" s="308"/>
      <c r="D79" s="337"/>
      <c r="E79" s="308"/>
      <c r="F79" s="337"/>
      <c r="G79" s="308"/>
      <c r="H79" s="337"/>
      <c r="I79" s="308"/>
      <c r="J79" s="337"/>
      <c r="L79" s="337"/>
      <c r="M79" s="308"/>
      <c r="N79" s="337"/>
    </row>
    <row r="80" spans="1:18" ht="15.75">
      <c r="B80" s="308" t="str">
        <f>INPUT!B207</f>
        <v xml:space="preserve">          Total fund balance</v>
      </c>
      <c r="C80" s="308"/>
      <c r="D80" s="301">
        <f>SUM(D69:D79)</f>
        <v>0</v>
      </c>
      <c r="E80" s="308"/>
      <c r="F80" s="301">
        <f>SUM(F69:F79)</f>
        <v>-24383</v>
      </c>
      <c r="G80" s="308"/>
      <c r="H80" s="301">
        <f>SUM(H69:H79)</f>
        <v>0</v>
      </c>
      <c r="I80" s="308"/>
      <c r="J80" s="301">
        <f>SUM(J69:J79)</f>
        <v>0</v>
      </c>
      <c r="L80" s="301">
        <f>SUM(L69:L79)</f>
        <v>2342458</v>
      </c>
      <c r="M80" s="308"/>
      <c r="N80" s="301">
        <f>SUM(N69:N79)</f>
        <v>2318075</v>
      </c>
    </row>
    <row r="81" spans="2:16" ht="15.75" customHeight="1">
      <c r="B81" s="308"/>
      <c r="C81" s="308"/>
      <c r="D81" s="300"/>
      <c r="E81" s="308"/>
      <c r="F81" s="300"/>
      <c r="G81" s="308"/>
      <c r="H81" s="300"/>
      <c r="I81" s="308"/>
      <c r="J81" s="300"/>
      <c r="L81" s="300"/>
      <c r="M81" s="308"/>
      <c r="N81" s="300"/>
    </row>
    <row r="82" spans="2:16" ht="32.25" thickBot="1">
      <c r="B82" s="388" t="s">
        <v>2349</v>
      </c>
      <c r="C82" s="319"/>
      <c r="D82" s="302">
        <f>SUM(D63+D66+D80)</f>
        <v>0</v>
      </c>
      <c r="E82" s="319"/>
      <c r="F82" s="302">
        <f>SUM(F63+F66+F80)</f>
        <v>0</v>
      </c>
      <c r="G82" s="319"/>
      <c r="H82" s="302">
        <f>SUM(H63+H66+H80)</f>
        <v>0</v>
      </c>
      <c r="I82" s="319"/>
      <c r="J82" s="302">
        <f>SUM(J63+J66+J80)</f>
        <v>0</v>
      </c>
      <c r="L82" s="302">
        <f>SUM(L63+L66+L80)</f>
        <v>2453628</v>
      </c>
      <c r="M82" s="319"/>
      <c r="N82" s="302">
        <f>SUM(N63+N66+N80)</f>
        <v>2453628</v>
      </c>
      <c r="P82" s="288">
        <f>SUM(D82:L82)</f>
        <v>2453628</v>
      </c>
    </row>
    <row r="83" spans="2:16" ht="16.5" thickTop="1">
      <c r="B83" s="276"/>
      <c r="C83" s="319"/>
      <c r="D83" s="319"/>
      <c r="E83" s="319"/>
      <c r="F83" s="319"/>
      <c r="G83" s="319"/>
      <c r="H83" s="319"/>
      <c r="I83" s="319"/>
      <c r="M83" s="319"/>
      <c r="N83" s="303"/>
    </row>
    <row r="85" spans="2:16">
      <c r="D85" s="351">
        <f>+D82-D37</f>
        <v>0</v>
      </c>
      <c r="F85" s="351">
        <f>+F82-F37</f>
        <v>0</v>
      </c>
      <c r="H85" s="351">
        <f>+H82-H37</f>
        <v>0</v>
      </c>
      <c r="J85" s="351">
        <f t="shared" ref="J85" si="3">+J82-J37</f>
        <v>0</v>
      </c>
      <c r="L85" s="351">
        <f t="shared" ref="L85" si="4">+L82-L37</f>
        <v>0</v>
      </c>
      <c r="N85" s="351">
        <f>+N82-N37</f>
        <v>0</v>
      </c>
    </row>
    <row r="86" spans="2:16">
      <c r="D86" s="351">
        <f>+'CP IS'!D64</f>
        <v>0</v>
      </c>
      <c r="F86" s="351">
        <f>+'CP IS'!F64</f>
        <v>-24383</v>
      </c>
      <c r="H86" s="351">
        <f>+'CP IS'!H64</f>
        <v>0</v>
      </c>
      <c r="J86" s="351">
        <f>+'CP IS'!J64</f>
        <v>0</v>
      </c>
      <c r="L86" s="351">
        <f>+'CP IS'!L64</f>
        <v>2342458</v>
      </c>
      <c r="N86" s="351">
        <f>+'CP IS'!N64</f>
        <v>2318075</v>
      </c>
    </row>
    <row r="87" spans="2:16">
      <c r="D87" s="288">
        <f>+D80-'CP IS'!D64</f>
        <v>0</v>
      </c>
      <c r="F87" s="288">
        <f>+F80-'CP IS'!F64</f>
        <v>0</v>
      </c>
      <c r="H87" s="288">
        <f>+H80-'CP IS'!H64</f>
        <v>0</v>
      </c>
      <c r="J87" s="288">
        <f>+J80-'CP IS'!J64</f>
        <v>0</v>
      </c>
      <c r="L87" s="288">
        <f>+L80-'CP IS'!L64</f>
        <v>0</v>
      </c>
      <c r="N87" s="288">
        <f>+N80-'CP IS'!N64</f>
        <v>0</v>
      </c>
    </row>
    <row r="113" spans="10:10" ht="15.75">
      <c r="J113" s="385"/>
    </row>
  </sheetData>
  <phoneticPr fontId="0" type="noConversion"/>
  <printOptions horizontalCentered="1"/>
  <pageMargins left="0.5" right="0.5" top="0.5" bottom="0.75" header="0.5" footer="0.25"/>
  <pageSetup scale="62" firstPageNumber="85" orientation="portrait" useFirstPageNumber="1" r:id="rId1"/>
  <headerFooter alignWithMargins="0">
    <oddFooter xml:space="preserve">&amp;C
</oddFooter>
  </headerFooter>
  <ignoredErrors>
    <ignoredError sqref="N20" 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ransitionEvaluation="1" codeName="Sheet26"/>
  <dimension ref="A3:O81"/>
  <sheetViews>
    <sheetView showGridLines="0" topLeftCell="A8" zoomScale="70" workbookViewId="0">
      <selection activeCell="R33" sqref="R33"/>
    </sheetView>
  </sheetViews>
  <sheetFormatPr defaultColWidth="9.7109375" defaultRowHeight="12.75"/>
  <cols>
    <col min="1" max="1" width="2.7109375" style="288" customWidth="1"/>
    <col min="2" max="2" width="48" style="288" customWidth="1"/>
    <col min="3" max="3" width="2.7109375" style="288" customWidth="1"/>
    <col min="4" max="4" width="16.7109375" style="288" customWidth="1"/>
    <col min="5" max="5" width="2.7109375" style="288" customWidth="1"/>
    <col min="6" max="6" width="16.7109375" style="288" customWidth="1"/>
    <col min="7" max="7" width="2.7109375" style="288" customWidth="1"/>
    <col min="8" max="8" width="15.85546875" style="288" customWidth="1"/>
    <col min="9" max="9" width="2.7109375" style="288" customWidth="1"/>
    <col min="10" max="10" width="16.7109375" style="288" customWidth="1"/>
    <col min="11" max="11" width="2.7109375" style="288" customWidth="1"/>
    <col min="12" max="12" width="19" style="288" customWidth="1"/>
    <col min="13" max="14" width="9.7109375" style="288"/>
    <col min="15" max="15" width="10.7109375" style="288" bestFit="1" customWidth="1"/>
    <col min="16" max="16384" width="9.7109375" style="288"/>
  </cols>
  <sheetData>
    <row r="3" spans="2:12" ht="15.75">
      <c r="B3" s="305" t="s">
        <v>1049</v>
      </c>
      <c r="C3" s="305"/>
      <c r="D3" s="305"/>
      <c r="E3" s="305"/>
      <c r="F3" s="305"/>
      <c r="G3" s="305"/>
      <c r="H3" s="305"/>
      <c r="I3" s="305"/>
      <c r="J3" s="305"/>
      <c r="K3" s="305"/>
      <c r="L3" s="305"/>
    </row>
    <row r="4" spans="2:12" ht="15.75">
      <c r="B4" s="305" t="s">
        <v>1123</v>
      </c>
      <c r="C4" s="305"/>
      <c r="D4" s="305"/>
      <c r="E4" s="305"/>
      <c r="F4" s="305"/>
      <c r="G4" s="305"/>
      <c r="H4" s="305"/>
      <c r="I4" s="305"/>
      <c r="J4" s="305"/>
      <c r="K4" s="305"/>
      <c r="L4" s="305"/>
    </row>
    <row r="5" spans="2:12" ht="15.75">
      <c r="B5" s="305" t="s">
        <v>7</v>
      </c>
      <c r="C5" s="305"/>
      <c r="D5" s="305"/>
      <c r="E5" s="305"/>
      <c r="F5" s="305"/>
      <c r="G5" s="305"/>
      <c r="H5" s="305"/>
      <c r="I5" s="305"/>
      <c r="J5" s="305"/>
      <c r="K5" s="305"/>
      <c r="L5" s="305"/>
    </row>
    <row r="6" spans="2:12" ht="15.75">
      <c r="B6" s="395" t="str">
        <f>+'Sys INPUT'!B2</f>
        <v>For the  Fiscal Year Ended June 30, 2023</v>
      </c>
      <c r="C6" s="305"/>
      <c r="D6" s="305"/>
      <c r="E6" s="305"/>
      <c r="F6" s="305"/>
      <c r="G6" s="305"/>
      <c r="H6" s="305"/>
      <c r="I6" s="305"/>
      <c r="J6" s="305"/>
      <c r="K6" s="305"/>
      <c r="L6" s="305"/>
    </row>
    <row r="7" spans="2:12" ht="15.75">
      <c r="B7" s="305"/>
      <c r="C7" s="305"/>
      <c r="D7" s="305"/>
      <c r="E7" s="305"/>
      <c r="F7" s="305"/>
      <c r="G7" s="305"/>
      <c r="H7" s="305"/>
      <c r="I7" s="305"/>
      <c r="J7" s="305"/>
      <c r="K7" s="305"/>
      <c r="L7" s="305"/>
    </row>
    <row r="8" spans="2:12" ht="15.75">
      <c r="B8" s="308"/>
      <c r="C8" s="308"/>
      <c r="D8" s="308"/>
      <c r="E8" s="308"/>
      <c r="F8" s="308"/>
      <c r="G8" s="308"/>
      <c r="H8" s="308"/>
      <c r="I8" s="308"/>
      <c r="J8" s="308"/>
      <c r="K8" s="308"/>
      <c r="L8" s="308"/>
    </row>
    <row r="9" spans="2:12" ht="15.75">
      <c r="B9" s="287"/>
      <c r="C9" s="287"/>
      <c r="D9" s="287"/>
      <c r="E9" s="287"/>
      <c r="F9" s="287"/>
      <c r="G9" s="287"/>
      <c r="H9" s="287"/>
      <c r="I9" s="287"/>
      <c r="J9" s="287" t="s">
        <v>9</v>
      </c>
      <c r="K9" s="287"/>
    </row>
    <row r="10" spans="2:12" ht="15.75">
      <c r="B10" s="287"/>
      <c r="C10" s="287"/>
      <c r="D10" s="287"/>
      <c r="E10" s="287"/>
      <c r="F10" s="287"/>
      <c r="G10" s="287"/>
      <c r="H10" s="287"/>
      <c r="I10" s="287"/>
      <c r="J10" s="328" t="s">
        <v>762</v>
      </c>
      <c r="K10" s="287"/>
      <c r="L10" s="287" t="s">
        <v>315</v>
      </c>
    </row>
    <row r="11" spans="2:12" ht="15.75">
      <c r="B11" s="287"/>
      <c r="C11" s="287"/>
      <c r="D11" s="287"/>
      <c r="E11" s="287"/>
      <c r="F11" s="287"/>
      <c r="G11" s="287"/>
      <c r="H11" s="287"/>
      <c r="I11" s="287"/>
      <c r="J11" s="287" t="s">
        <v>901</v>
      </c>
      <c r="K11" s="287"/>
      <c r="L11" s="287" t="s">
        <v>4</v>
      </c>
    </row>
    <row r="12" spans="2:12" ht="15.75">
      <c r="B12" s="287"/>
      <c r="C12" s="287"/>
      <c r="D12" s="287" t="s">
        <v>1297</v>
      </c>
      <c r="E12" s="287"/>
      <c r="F12" s="287" t="s">
        <v>38</v>
      </c>
      <c r="G12" s="287"/>
      <c r="H12" s="287" t="s">
        <v>67</v>
      </c>
      <c r="J12" s="287" t="s">
        <v>746</v>
      </c>
      <c r="K12" s="287"/>
      <c r="L12" s="287" t="s">
        <v>338</v>
      </c>
    </row>
    <row r="13" spans="2:12" ht="15.75">
      <c r="B13" s="287"/>
      <c r="C13" s="287"/>
      <c r="D13" s="290" t="s">
        <v>221</v>
      </c>
      <c r="E13" s="287"/>
      <c r="F13" s="290" t="s">
        <v>223</v>
      </c>
      <c r="G13" s="287"/>
      <c r="H13" s="290" t="s">
        <v>224</v>
      </c>
      <c r="J13" s="290" t="s">
        <v>73</v>
      </c>
      <c r="K13" s="287"/>
      <c r="L13" s="290" t="s">
        <v>540</v>
      </c>
    </row>
    <row r="14" spans="2:12" ht="15.75">
      <c r="B14" s="308" t="str">
        <f>INPUT!B9</f>
        <v>REVENUES</v>
      </c>
      <c r="C14" s="308"/>
      <c r="D14" s="308"/>
      <c r="E14" s="308"/>
      <c r="F14" s="308"/>
      <c r="G14" s="308"/>
      <c r="H14" s="308"/>
      <c r="I14" s="308"/>
      <c r="J14" s="308"/>
      <c r="K14" s="308"/>
      <c r="L14" s="308"/>
    </row>
    <row r="15" spans="2:12" ht="15.75">
      <c r="B15" s="276" t="str">
        <f>INPUT!B10</f>
        <v xml:space="preserve">     Taxes/assessments</v>
      </c>
      <c r="C15" s="303"/>
      <c r="D15" s="292">
        <f>+'SR IS'!EC15</f>
        <v>15617708</v>
      </c>
      <c r="E15" s="303"/>
      <c r="F15" s="292">
        <f>+'DS IS'!P15</f>
        <v>1682416</v>
      </c>
      <c r="G15" s="303"/>
      <c r="H15" s="292">
        <f>+'CP IS'!N15</f>
        <v>0</v>
      </c>
      <c r="I15" s="303"/>
      <c r="J15" s="292">
        <f>+'PERM IS'!D17</f>
        <v>0</v>
      </c>
      <c r="K15" s="303"/>
      <c r="L15" s="292">
        <f t="shared" ref="L15:L21" si="0">SUM(D15:J15)</f>
        <v>17300124</v>
      </c>
    </row>
    <row r="16" spans="2:12" ht="15" customHeight="1">
      <c r="B16" s="276" t="str">
        <f>INPUT!B11</f>
        <v xml:space="preserve">     Licenses and permits</v>
      </c>
      <c r="C16" s="276"/>
      <c r="D16" s="294">
        <f>+'SR IS'!EC16</f>
        <v>2400</v>
      </c>
      <c r="E16" s="276"/>
      <c r="F16" s="294">
        <f>+'DS IS'!P16</f>
        <v>0</v>
      </c>
      <c r="G16" s="276"/>
      <c r="H16" s="294">
        <f>+'CP IS'!N16</f>
        <v>0</v>
      </c>
      <c r="I16" s="276"/>
      <c r="J16" s="294">
        <f>+'PERM IS'!D18</f>
        <v>0</v>
      </c>
      <c r="K16" s="276"/>
      <c r="L16" s="294">
        <f t="shared" si="0"/>
        <v>2400</v>
      </c>
    </row>
    <row r="17" spans="2:15" ht="15.75">
      <c r="B17" s="276" t="str">
        <f>INPUT!B12</f>
        <v xml:space="preserve">     Intergovernmental</v>
      </c>
      <c r="C17" s="276"/>
      <c r="D17" s="294">
        <f>+'SR IS'!EC17</f>
        <v>5344922</v>
      </c>
      <c r="E17" s="276"/>
      <c r="F17" s="294">
        <f>+'DS IS'!P17</f>
        <v>0</v>
      </c>
      <c r="G17" s="276"/>
      <c r="H17" s="294">
        <f>+'CP IS'!N17</f>
        <v>13259</v>
      </c>
      <c r="I17" s="276"/>
      <c r="J17" s="294">
        <f>+'PERM IS'!D19</f>
        <v>0</v>
      </c>
      <c r="K17" s="276"/>
      <c r="L17" s="294">
        <f t="shared" si="0"/>
        <v>5358181</v>
      </c>
    </row>
    <row r="18" spans="2:15" ht="15.75">
      <c r="B18" s="276" t="str">
        <f>INPUT!B13</f>
        <v xml:space="preserve">     Charges for services</v>
      </c>
      <c r="C18" s="276"/>
      <c r="D18" s="294">
        <f>+'SR IS'!EC18</f>
        <v>1383677</v>
      </c>
      <c r="E18" s="276"/>
      <c r="F18" s="294">
        <f>+'DS IS'!P18</f>
        <v>0</v>
      </c>
      <c r="G18" s="276"/>
      <c r="H18" s="294">
        <f>+'CP IS'!N18</f>
        <v>0</v>
      </c>
      <c r="I18" s="276"/>
      <c r="J18" s="294">
        <f>+'PERM IS'!D20</f>
        <v>1052</v>
      </c>
      <c r="K18" s="276"/>
      <c r="L18" s="294">
        <f t="shared" si="0"/>
        <v>1384729</v>
      </c>
    </row>
    <row r="19" spans="2:15" ht="15.75">
      <c r="B19" s="276" t="str">
        <f>INPUT!B14</f>
        <v xml:space="preserve">     Fines and forfeitures</v>
      </c>
      <c r="C19" s="276"/>
      <c r="D19" s="294">
        <f>+'SR IS'!EC19</f>
        <v>46524</v>
      </c>
      <c r="E19" s="276"/>
      <c r="F19" s="294">
        <f>+'DS IS'!P19</f>
        <v>0</v>
      </c>
      <c r="G19" s="276"/>
      <c r="H19" s="294">
        <f>+'CP IS'!N19</f>
        <v>0</v>
      </c>
      <c r="I19" s="276"/>
      <c r="J19" s="294">
        <f>+'PERM IS'!D21</f>
        <v>0</v>
      </c>
      <c r="K19" s="276"/>
      <c r="L19" s="294">
        <f t="shared" si="0"/>
        <v>46524</v>
      </c>
    </row>
    <row r="20" spans="2:15" ht="15.75">
      <c r="B20" s="276" t="str">
        <f>INPUT!B15</f>
        <v xml:space="preserve">     Miscellaneous</v>
      </c>
      <c r="C20" s="276"/>
      <c r="D20" s="294">
        <f>+'SR IS'!EC20</f>
        <v>492120</v>
      </c>
      <c r="E20" s="276"/>
      <c r="F20" s="294">
        <f>+'DS IS'!P20</f>
        <v>112309</v>
      </c>
      <c r="G20" s="276"/>
      <c r="H20" s="294">
        <f>+'CP IS'!N20</f>
        <v>111</v>
      </c>
      <c r="I20" s="276"/>
      <c r="J20" s="294">
        <f>+'PERM IS'!D22</f>
        <v>0</v>
      </c>
      <c r="K20" s="276"/>
      <c r="L20" s="294">
        <f t="shared" si="0"/>
        <v>604540</v>
      </c>
    </row>
    <row r="21" spans="2:15" ht="15.75">
      <c r="B21" s="276" t="str">
        <f>INPUT!B16</f>
        <v xml:space="preserve">     Interest earnings</v>
      </c>
      <c r="C21" s="276"/>
      <c r="D21" s="294">
        <f>+'SR IS'!EC21</f>
        <v>195834</v>
      </c>
      <c r="E21" s="276"/>
      <c r="F21" s="294">
        <f>+'DS IS'!P21</f>
        <v>35354</v>
      </c>
      <c r="G21" s="276"/>
      <c r="H21" s="294">
        <f>+'CP IS'!N21</f>
        <v>317</v>
      </c>
      <c r="I21" s="276"/>
      <c r="J21" s="294">
        <f>+'PERM IS'!D23</f>
        <v>16958</v>
      </c>
      <c r="K21" s="276"/>
      <c r="L21" s="294">
        <f t="shared" si="0"/>
        <v>248463</v>
      </c>
    </row>
    <row r="22" spans="2:15" ht="15.75">
      <c r="B22" s="276"/>
      <c r="C22" s="276"/>
      <c r="D22" s="337"/>
      <c r="E22" s="276"/>
      <c r="F22" s="337"/>
      <c r="G22" s="276"/>
      <c r="H22" s="337"/>
      <c r="I22" s="276"/>
      <c r="J22" s="337"/>
      <c r="K22" s="276"/>
      <c r="L22" s="337"/>
      <c r="O22" s="288">
        <f>+D23+D41+D45+D49</f>
        <v>28496265</v>
      </c>
    </row>
    <row r="23" spans="2:15" ht="15.75">
      <c r="B23" s="308" t="str">
        <f>INPUT!B18</f>
        <v xml:space="preserve">         Total revenues</v>
      </c>
      <c r="C23" s="276"/>
      <c r="D23" s="301">
        <f>SUM(D15:D22)</f>
        <v>23083185</v>
      </c>
      <c r="E23" s="276"/>
      <c r="F23" s="301">
        <f t="shared" ref="F23" si="1">SUM(F15:F22)</f>
        <v>1830079</v>
      </c>
      <c r="G23" s="276"/>
      <c r="H23" s="301">
        <f t="shared" ref="H23" si="2">SUM(H15:H22)</f>
        <v>13687</v>
      </c>
      <c r="I23" s="276"/>
      <c r="J23" s="301">
        <f t="shared" ref="J23:L23" si="3">SUM(J15:J22)</f>
        <v>18010</v>
      </c>
      <c r="K23" s="276"/>
      <c r="L23" s="301">
        <f t="shared" si="3"/>
        <v>24944961</v>
      </c>
      <c r="O23" s="288">
        <v>12562323</v>
      </c>
    </row>
    <row r="24" spans="2:15" ht="15.75">
      <c r="B24" s="276"/>
      <c r="C24" s="276"/>
      <c r="D24" s="294"/>
      <c r="E24" s="276"/>
      <c r="F24" s="294"/>
      <c r="G24" s="276"/>
      <c r="H24" s="294"/>
      <c r="I24" s="276"/>
      <c r="J24" s="294"/>
      <c r="K24" s="276"/>
      <c r="L24" s="294"/>
      <c r="O24" s="288">
        <f>+O23-O22</f>
        <v>-15933942</v>
      </c>
    </row>
    <row r="25" spans="2:15" ht="15.75">
      <c r="B25" s="308" t="str">
        <f>INPUT!B20</f>
        <v>EXPENDITURES</v>
      </c>
      <c r="C25" s="276"/>
      <c r="D25" s="294"/>
      <c r="E25" s="276"/>
      <c r="F25" s="294"/>
      <c r="G25" s="276"/>
      <c r="H25" s="294"/>
      <c r="I25" s="276"/>
      <c r="J25" s="294"/>
      <c r="K25" s="276"/>
      <c r="L25" s="294"/>
      <c r="O25" s="288">
        <v>13583</v>
      </c>
    </row>
    <row r="26" spans="2:15" ht="15.75">
      <c r="B26" s="276" t="str">
        <f>INPUT!B21</f>
        <v xml:space="preserve">     Current:</v>
      </c>
      <c r="C26" s="276"/>
      <c r="D26" s="294"/>
      <c r="E26" s="276"/>
      <c r="F26" s="294"/>
      <c r="G26" s="276"/>
      <c r="H26" s="294"/>
      <c r="I26" s="276"/>
      <c r="J26" s="294"/>
      <c r="K26" s="276"/>
      <c r="L26" s="294"/>
      <c r="O26" s="288">
        <f>+O25+O24</f>
        <v>-15920359</v>
      </c>
    </row>
    <row r="27" spans="2:15" ht="15.75">
      <c r="B27" s="276" t="str">
        <f>INPUT!B22</f>
        <v xml:space="preserve">          General government</v>
      </c>
      <c r="C27" s="276"/>
      <c r="D27" s="294">
        <f>+'SR IS'!EC27</f>
        <v>5344822</v>
      </c>
      <c r="E27" s="276"/>
      <c r="F27" s="294">
        <f>+'DS IS'!P27</f>
        <v>0</v>
      </c>
      <c r="G27" s="276"/>
      <c r="H27" s="294">
        <f>+'CP IS'!N27</f>
        <v>0</v>
      </c>
      <c r="I27" s="276"/>
      <c r="J27" s="294">
        <f>+'PERM IS'!D29</f>
        <v>0</v>
      </c>
      <c r="K27" s="276"/>
      <c r="L27" s="294">
        <f t="shared" ref="L27:L34" si="4">SUM(D27:J27)</f>
        <v>5344822</v>
      </c>
    </row>
    <row r="28" spans="2:15" ht="15.75">
      <c r="B28" s="276" t="str">
        <f>INPUT!B23</f>
        <v xml:space="preserve">          Public safety</v>
      </c>
      <c r="C28" s="276"/>
      <c r="D28" s="294">
        <f>+'SR IS'!EC28</f>
        <v>6073406</v>
      </c>
      <c r="E28" s="276"/>
      <c r="F28" s="294">
        <f>+'DS IS'!P28</f>
        <v>0</v>
      </c>
      <c r="G28" s="276"/>
      <c r="H28" s="294">
        <f>+'CP IS'!N28</f>
        <v>2416</v>
      </c>
      <c r="I28" s="276"/>
      <c r="J28" s="294">
        <f>+'PERM IS'!D30</f>
        <v>0</v>
      </c>
      <c r="K28" s="276"/>
      <c r="L28" s="294">
        <f t="shared" si="4"/>
        <v>6075822</v>
      </c>
    </row>
    <row r="29" spans="2:15" ht="15.75">
      <c r="B29" s="276" t="str">
        <f>INPUT!B24</f>
        <v xml:space="preserve">          Public works</v>
      </c>
      <c r="C29" s="276"/>
      <c r="D29" s="294">
        <f>+'SR IS'!EC29</f>
        <v>3636741</v>
      </c>
      <c r="E29" s="276"/>
      <c r="F29" s="294">
        <f>+'DS IS'!P29</f>
        <v>0</v>
      </c>
      <c r="G29" s="276"/>
      <c r="H29" s="294">
        <f>+'CP IS'!N29</f>
        <v>238300</v>
      </c>
      <c r="I29" s="276"/>
      <c r="J29" s="294">
        <f>+'PERM IS'!D31</f>
        <v>0</v>
      </c>
      <c r="K29" s="276"/>
      <c r="L29" s="294">
        <f t="shared" si="4"/>
        <v>3875041</v>
      </c>
    </row>
    <row r="30" spans="2:15" ht="15.75">
      <c r="B30" s="276" t="str">
        <f>INPUT!B25</f>
        <v xml:space="preserve">          Public health</v>
      </c>
      <c r="C30" s="276"/>
      <c r="D30" s="294">
        <f>+'SR IS'!EC30</f>
        <v>6241039</v>
      </c>
      <c r="E30" s="276"/>
      <c r="F30" s="294">
        <f>+'DS IS'!P30</f>
        <v>0</v>
      </c>
      <c r="G30" s="276"/>
      <c r="H30" s="294">
        <f>+'CP IS'!N30</f>
        <v>0</v>
      </c>
      <c r="I30" s="276"/>
      <c r="J30" s="294">
        <f>+'PERM IS'!D32</f>
        <v>9604</v>
      </c>
      <c r="K30" s="276"/>
      <c r="L30" s="294">
        <f t="shared" si="4"/>
        <v>6250643</v>
      </c>
    </row>
    <row r="31" spans="2:15" ht="15.75">
      <c r="B31" s="276" t="str">
        <f>INPUT!B26</f>
        <v xml:space="preserve">          Social and economic</v>
      </c>
      <c r="C31" s="276"/>
      <c r="D31" s="294">
        <f>+'SR IS'!EC31</f>
        <v>428489</v>
      </c>
      <c r="E31" s="276"/>
      <c r="F31" s="294">
        <f>+'DS IS'!P31</f>
        <v>0</v>
      </c>
      <c r="G31" s="276"/>
      <c r="H31" s="294">
        <f>+'CP IS'!N31</f>
        <v>0</v>
      </c>
      <c r="I31" s="276"/>
      <c r="J31" s="294">
        <f>+'PERM IS'!D33</f>
        <v>0</v>
      </c>
      <c r="K31" s="276"/>
      <c r="L31" s="294">
        <f t="shared" si="4"/>
        <v>428489</v>
      </c>
    </row>
    <row r="32" spans="2:15" ht="15.75">
      <c r="B32" s="276" t="str">
        <f>INPUT!B27</f>
        <v xml:space="preserve">          Culture and recreation</v>
      </c>
      <c r="C32" s="276"/>
      <c r="D32" s="294">
        <f>+'SR IS'!EC32</f>
        <v>69502</v>
      </c>
      <c r="E32" s="276"/>
      <c r="F32" s="294">
        <f>+'DS IS'!P32</f>
        <v>0</v>
      </c>
      <c r="G32" s="276"/>
      <c r="H32" s="294">
        <f>+'CP IS'!N32</f>
        <v>0</v>
      </c>
      <c r="I32" s="276"/>
      <c r="J32" s="294">
        <f>+'PERM IS'!D34</f>
        <v>0</v>
      </c>
      <c r="K32" s="276"/>
      <c r="L32" s="294">
        <f t="shared" si="4"/>
        <v>69502</v>
      </c>
    </row>
    <row r="33" spans="1:12" ht="15.75">
      <c r="B33" s="276" t="str">
        <f>INPUT!B28</f>
        <v xml:space="preserve">     Debt service</v>
      </c>
      <c r="C33" s="276"/>
      <c r="D33" s="294">
        <f>+'SR IS'!EC33</f>
        <v>81345</v>
      </c>
      <c r="E33" s="276"/>
      <c r="F33" s="294">
        <f>+'DS IS'!P33</f>
        <v>1812062</v>
      </c>
      <c r="G33" s="276"/>
      <c r="H33" s="294">
        <f>+'CP IS'!N33</f>
        <v>0</v>
      </c>
      <c r="I33" s="276"/>
      <c r="J33" s="294">
        <f>+'PERM IS'!D35</f>
        <v>0</v>
      </c>
      <c r="K33" s="276"/>
      <c r="L33" s="294">
        <f t="shared" si="4"/>
        <v>1893407</v>
      </c>
    </row>
    <row r="34" spans="1:12" ht="15.75">
      <c r="B34" s="276" t="str">
        <f>INPUT!B29</f>
        <v xml:space="preserve">     Capital outlay</v>
      </c>
      <c r="C34" s="276"/>
      <c r="D34" s="294">
        <f>+'SR IS'!EC34</f>
        <v>821925</v>
      </c>
      <c r="E34" s="276"/>
      <c r="F34" s="294">
        <f>+'DS IS'!P34</f>
        <v>0</v>
      </c>
      <c r="G34" s="276"/>
      <c r="H34" s="294">
        <f>+'CP IS'!N34</f>
        <v>733331</v>
      </c>
      <c r="I34" s="276"/>
      <c r="J34" s="294">
        <f>+'PERM IS'!D36</f>
        <v>0</v>
      </c>
      <c r="K34" s="276"/>
      <c r="L34" s="294">
        <f t="shared" si="4"/>
        <v>1555256</v>
      </c>
    </row>
    <row r="35" spans="1:12" ht="15.75">
      <c r="B35" s="276"/>
      <c r="C35" s="276"/>
      <c r="D35" s="337"/>
      <c r="E35" s="276"/>
      <c r="F35" s="337"/>
      <c r="G35" s="276"/>
      <c r="H35" s="337"/>
      <c r="I35" s="276"/>
      <c r="J35" s="337"/>
      <c r="K35" s="276"/>
      <c r="L35" s="337"/>
    </row>
    <row r="36" spans="1:12" ht="15.75">
      <c r="B36" s="308" t="str">
        <f>INPUT!B41</f>
        <v xml:space="preserve">         Total expenditures</v>
      </c>
      <c r="C36" s="308"/>
      <c r="D36" s="301">
        <f>IF(SUM(D27:D34)&lt;&gt;0,SUM(D27:D34),"-")</f>
        <v>22697269</v>
      </c>
      <c r="E36" s="308"/>
      <c r="F36" s="301">
        <f t="shared" ref="F36" si="5">IF(SUM(F27:F34)&lt;&gt;0,SUM(F27:F34),"-")</f>
        <v>1812062</v>
      </c>
      <c r="G36" s="308"/>
      <c r="H36" s="301">
        <f t="shared" ref="H36" si="6">IF(SUM(H27:H34)&lt;&gt;0,SUM(H27:H34),"-")</f>
        <v>974047</v>
      </c>
      <c r="I36" s="308"/>
      <c r="J36" s="301">
        <f t="shared" ref="J36" si="7">IF(SUM(J27:J34)&lt;&gt;0,SUM(J27:J34),"-")</f>
        <v>9604</v>
      </c>
      <c r="K36" s="308"/>
      <c r="L36" s="301">
        <f t="shared" ref="L36" si="8">IF(SUM(L27:L34)&lt;&gt;0,SUM(L27:L34),"-")</f>
        <v>25492982</v>
      </c>
    </row>
    <row r="37" spans="1:12" ht="15.75">
      <c r="B37" s="308" t="str">
        <f>INPUT!B42</f>
        <v xml:space="preserve">             Excess (deficiency) of revenue</v>
      </c>
      <c r="C37" s="276"/>
      <c r="D37" s="294"/>
      <c r="E37" s="276"/>
      <c r="F37" s="294"/>
      <c r="G37" s="276"/>
      <c r="H37" s="294"/>
      <c r="I37" s="276"/>
      <c r="J37" s="294"/>
      <c r="K37" s="276"/>
      <c r="L37" s="294"/>
    </row>
    <row r="38" spans="1:12" ht="15.75">
      <c r="B38" s="308" t="str">
        <f>INPUT!B43</f>
        <v xml:space="preserve">                 over (under) expenditures</v>
      </c>
      <c r="C38" s="276"/>
      <c r="D38" s="300">
        <f>D23-D36</f>
        <v>385916</v>
      </c>
      <c r="E38" s="276"/>
      <c r="F38" s="300">
        <f t="shared" ref="F38" si="9">F23-F36</f>
        <v>18017</v>
      </c>
      <c r="G38" s="276"/>
      <c r="H38" s="300">
        <f t="shared" ref="H38" si="10">H23-H36</f>
        <v>-960360</v>
      </c>
      <c r="I38" s="276"/>
      <c r="J38" s="300">
        <f t="shared" ref="J38" si="11">J23-J36</f>
        <v>8406</v>
      </c>
      <c r="K38" s="276"/>
      <c r="L38" s="300">
        <f t="shared" ref="L38" si="12">L23-L36</f>
        <v>-548021</v>
      </c>
    </row>
    <row r="39" spans="1:12" ht="15.75">
      <c r="B39" s="276"/>
      <c r="C39" s="276"/>
      <c r="D39" s="294"/>
      <c r="E39" s="276"/>
      <c r="F39" s="294"/>
      <c r="G39" s="276"/>
      <c r="H39" s="294"/>
      <c r="I39" s="276"/>
      <c r="J39" s="294"/>
      <c r="K39" s="276"/>
      <c r="L39" s="294"/>
    </row>
    <row r="40" spans="1:12" ht="15.75">
      <c r="B40" s="308" t="str">
        <f>INPUT!B45</f>
        <v>OTHER FINANCING SOURCES (USES)</v>
      </c>
      <c r="C40" s="276"/>
      <c r="D40" s="294"/>
      <c r="E40" s="276"/>
      <c r="F40" s="294"/>
      <c r="G40" s="276"/>
      <c r="H40" s="294"/>
      <c r="I40" s="276"/>
      <c r="J40" s="294"/>
      <c r="K40" s="276"/>
      <c r="L40" s="294"/>
    </row>
    <row r="41" spans="1:12" ht="15.75">
      <c r="B41" s="276" t="str">
        <f>INPUT!B46</f>
        <v xml:space="preserve">     Transfers in</v>
      </c>
      <c r="C41" s="276"/>
      <c r="D41" s="294">
        <f>+'SR IS'!EC41</f>
        <v>2198197</v>
      </c>
      <c r="E41" s="276"/>
      <c r="F41" s="294">
        <f>+'DS IS'!P41</f>
        <v>0</v>
      </c>
      <c r="G41" s="276"/>
      <c r="H41" s="294">
        <f>+'CP IS'!N41</f>
        <v>1593796</v>
      </c>
      <c r="I41" s="276"/>
      <c r="J41" s="294">
        <f>+'PERM IS'!D43</f>
        <v>0</v>
      </c>
      <c r="K41" s="276"/>
      <c r="L41" s="294">
        <f t="shared" ref="L41:L51" si="13">SUM(D41:J41)</f>
        <v>3791993</v>
      </c>
    </row>
    <row r="42" spans="1:12" ht="15.75">
      <c r="B42" s="276" t="str">
        <f>INPUT!B47</f>
        <v xml:space="preserve">     Transfers out</v>
      </c>
      <c r="C42" s="276"/>
      <c r="D42" s="294">
        <f>+'SR IS'!EC42</f>
        <v>-4640128</v>
      </c>
      <c r="E42" s="276"/>
      <c r="F42" s="294">
        <f>+'DS IS'!P42</f>
        <v>0</v>
      </c>
      <c r="G42" s="276"/>
      <c r="H42" s="294">
        <f>+'CP IS'!N42</f>
        <v>-59840</v>
      </c>
      <c r="I42" s="276"/>
      <c r="J42" s="294">
        <f>+'PERM IS'!D44</f>
        <v>0</v>
      </c>
      <c r="K42" s="276"/>
      <c r="L42" s="294">
        <f t="shared" si="13"/>
        <v>-4699968</v>
      </c>
    </row>
    <row r="43" spans="1:12" ht="15.75">
      <c r="B43" s="276" t="str">
        <f>INPUT!B48</f>
        <v xml:space="preserve">     Financing of leases</v>
      </c>
      <c r="C43" s="276"/>
      <c r="D43" s="294">
        <f>+'SR IS'!EC43</f>
        <v>157932</v>
      </c>
      <c r="E43" s="276"/>
      <c r="F43" s="294">
        <f>+'DS IS'!P43</f>
        <v>0</v>
      </c>
      <c r="G43" s="276"/>
      <c r="H43" s="294">
        <f>+'CP IS'!N43</f>
        <v>0</v>
      </c>
      <c r="I43" s="276"/>
      <c r="J43" s="294" t="str">
        <f>+'PERM IS'!D45</f>
        <v>-</v>
      </c>
      <c r="K43" s="276"/>
      <c r="L43" s="294">
        <f t="shared" ref="L43:L44" si="14">SUM(D43:J43)</f>
        <v>157932</v>
      </c>
    </row>
    <row r="44" spans="1:12" ht="15.75" hidden="1">
      <c r="B44" s="276" t="str">
        <f>INPUT!B49</f>
        <v xml:space="preserve">     Financing of SBITAs</v>
      </c>
      <c r="C44" s="276"/>
      <c r="D44" s="294">
        <f>+'SR IS'!EC44</f>
        <v>0</v>
      </c>
      <c r="E44" s="276"/>
      <c r="F44" s="294">
        <f>+'DS IS'!P44</f>
        <v>0</v>
      </c>
      <c r="G44" s="276"/>
      <c r="H44" s="294">
        <f>+'CP IS'!N44</f>
        <v>0</v>
      </c>
      <c r="I44" s="276"/>
      <c r="J44" s="294">
        <f>+'PERM IS'!D46</f>
        <v>0</v>
      </c>
      <c r="K44" s="276"/>
      <c r="L44" s="294">
        <f t="shared" si="14"/>
        <v>0</v>
      </c>
    </row>
    <row r="45" spans="1:12" ht="15.75">
      <c r="A45" s="276"/>
      <c r="B45" s="276" t="str">
        <f>INPUT!B50</f>
        <v xml:space="preserve">     Issuance of long-term debt</v>
      </c>
      <c r="C45" s="276"/>
      <c r="D45" s="294">
        <f>+'SR IS'!EC45</f>
        <v>3214883</v>
      </c>
      <c r="E45" s="276"/>
      <c r="F45" s="294">
        <f>+'DS IS'!P45</f>
        <v>7975</v>
      </c>
      <c r="G45" s="276"/>
      <c r="H45" s="294">
        <f>+'CP IS'!N45</f>
        <v>151522</v>
      </c>
      <c r="I45" s="276"/>
      <c r="J45" s="294">
        <v>0</v>
      </c>
      <c r="K45" s="276"/>
      <c r="L45" s="294">
        <f>SUM(D45:J45)</f>
        <v>3374380</v>
      </c>
    </row>
    <row r="46" spans="1:12" ht="15.75" hidden="1">
      <c r="A46" s="276" t="s">
        <v>299</v>
      </c>
      <c r="B46" s="276" t="str">
        <f>INPUT!B51</f>
        <v xml:space="preserve">     Premium on long-term debt issue</v>
      </c>
      <c r="C46" s="276"/>
      <c r="D46" s="294">
        <f>+'SR IS'!EC46</f>
        <v>0</v>
      </c>
      <c r="E46" s="276"/>
      <c r="F46" s="294">
        <f>+'DS IS'!P46</f>
        <v>0</v>
      </c>
      <c r="G46" s="276"/>
      <c r="H46" s="294">
        <f>+'CP IS'!N46</f>
        <v>0</v>
      </c>
      <c r="I46" s="276"/>
      <c r="J46" s="294">
        <v>0</v>
      </c>
      <c r="K46" s="276"/>
      <c r="L46" s="294">
        <f t="shared" ref="L46:L48" si="15">SUM(D46:J46)</f>
        <v>0</v>
      </c>
    </row>
    <row r="47" spans="1:12" ht="15.75" hidden="1">
      <c r="A47" s="276"/>
      <c r="B47" s="276" t="str">
        <f>INPUT!B52</f>
        <v xml:space="preserve">     Refund payment to escrow</v>
      </c>
      <c r="C47" s="276"/>
      <c r="D47" s="294">
        <f>+'SR IS'!EC47</f>
        <v>0</v>
      </c>
      <c r="E47" s="276"/>
      <c r="F47" s="294">
        <f>+'DS IS'!P47</f>
        <v>0</v>
      </c>
      <c r="G47" s="276"/>
      <c r="H47" s="294">
        <f>+'CP IS'!N47</f>
        <v>0</v>
      </c>
      <c r="I47" s="276"/>
      <c r="J47" s="294">
        <v>0</v>
      </c>
      <c r="K47" s="276"/>
      <c r="L47" s="294">
        <f t="shared" si="15"/>
        <v>0</v>
      </c>
    </row>
    <row r="48" spans="1:12" ht="15.75" hidden="1">
      <c r="A48" s="276"/>
      <c r="B48" s="276" t="str">
        <f>INPUT!B53</f>
        <v xml:space="preserve">     Cost of bond issuance</v>
      </c>
      <c r="C48" s="276"/>
      <c r="D48" s="294">
        <f>+'SR IS'!EC48</f>
        <v>0</v>
      </c>
      <c r="E48" s="276"/>
      <c r="F48" s="294">
        <f>+'DS IS'!P48</f>
        <v>0</v>
      </c>
      <c r="G48" s="276"/>
      <c r="H48" s="294">
        <f>+'CP IS'!N48</f>
        <v>0</v>
      </c>
      <c r="I48" s="276"/>
      <c r="J48" s="294">
        <v>0</v>
      </c>
      <c r="K48" s="276"/>
      <c r="L48" s="294">
        <f t="shared" si="15"/>
        <v>0</v>
      </c>
    </row>
    <row r="49" spans="1:12" ht="15.75" hidden="1">
      <c r="A49" s="276"/>
      <c r="B49" s="276" t="str">
        <f>INPUT!B54</f>
        <v xml:space="preserve">     Proceeds from disposal of capital assets(MOVE to mis rev/exp)GFOA finding</v>
      </c>
      <c r="C49" s="276"/>
      <c r="D49" s="294">
        <f>+'SR IS'!EC46</f>
        <v>0</v>
      </c>
      <c r="E49" s="276"/>
      <c r="F49" s="294">
        <f>+'DS IS'!P49</f>
        <v>0</v>
      </c>
      <c r="G49" s="276"/>
      <c r="H49" s="294">
        <f>+'CP IS'!N47</f>
        <v>0</v>
      </c>
      <c r="I49" s="276"/>
      <c r="J49" s="294">
        <v>0</v>
      </c>
      <c r="K49" s="276"/>
      <c r="L49" s="294">
        <f t="shared" si="13"/>
        <v>0</v>
      </c>
    </row>
    <row r="50" spans="1:12" ht="15.75" hidden="1">
      <c r="A50" s="276"/>
      <c r="B50" s="276" t="str">
        <f>INPUT!B56</f>
        <v xml:space="preserve">     Capital contributions</v>
      </c>
      <c r="C50" s="276"/>
      <c r="D50" s="294">
        <f>+'SR IS'!EC49</f>
        <v>0</v>
      </c>
      <c r="E50" s="276"/>
      <c r="F50" s="294">
        <f>+'DS IS'!P50</f>
        <v>0</v>
      </c>
      <c r="G50" s="276"/>
      <c r="H50" s="294">
        <f>+'CP IS'!N48</f>
        <v>0</v>
      </c>
      <c r="I50" s="276"/>
      <c r="J50" s="294">
        <v>0</v>
      </c>
      <c r="K50" s="276"/>
      <c r="L50" s="294">
        <f t="shared" si="13"/>
        <v>0</v>
      </c>
    </row>
    <row r="51" spans="1:12" ht="15.75" hidden="1">
      <c r="A51" s="276"/>
      <c r="B51" s="276" t="str">
        <f>INPUT!B57</f>
        <v xml:space="preserve">     Gain (Loss) on sale of investments</v>
      </c>
      <c r="C51" s="276"/>
      <c r="D51" s="294">
        <f>+'SR IS'!EC50</f>
        <v>0</v>
      </c>
      <c r="E51" s="276"/>
      <c r="F51" s="294">
        <f>+'DS IS'!P51</f>
        <v>0</v>
      </c>
      <c r="G51" s="276"/>
      <c r="H51" s="294">
        <f>+'CP IS'!N49</f>
        <v>0</v>
      </c>
      <c r="I51" s="276"/>
      <c r="J51" s="294" t="str">
        <f>+'PERM IS'!D45</f>
        <v>-</v>
      </c>
      <c r="K51" s="276"/>
      <c r="L51" s="294">
        <f t="shared" si="13"/>
        <v>0</v>
      </c>
    </row>
    <row r="52" spans="1:12" ht="15.75">
      <c r="B52" s="276"/>
      <c r="C52" s="276"/>
      <c r="D52" s="337"/>
      <c r="E52" s="276"/>
      <c r="F52" s="337"/>
      <c r="G52" s="276"/>
      <c r="H52" s="337"/>
      <c r="I52" s="276"/>
      <c r="J52" s="337"/>
      <c r="K52" s="276"/>
      <c r="L52" s="337"/>
    </row>
    <row r="53" spans="1:12" ht="15.75">
      <c r="B53" s="308" t="str">
        <f>INPUT!B58</f>
        <v xml:space="preserve">         Total other financing sources and uses</v>
      </c>
      <c r="C53" s="308"/>
      <c r="D53" s="301">
        <f>SUM(D41:D52)</f>
        <v>930884</v>
      </c>
      <c r="E53" s="308"/>
      <c r="F53" s="301">
        <f>SUM(F41:F52)</f>
        <v>7975</v>
      </c>
      <c r="G53" s="308"/>
      <c r="H53" s="301">
        <f>SUM(H41:H52)</f>
        <v>1685478</v>
      </c>
      <c r="I53" s="308"/>
      <c r="J53" s="301">
        <f>SUM(J41:J52)</f>
        <v>0</v>
      </c>
      <c r="K53" s="308"/>
      <c r="L53" s="301">
        <f>SUM(L41:L52)</f>
        <v>2624337</v>
      </c>
    </row>
    <row r="54" spans="1:12" ht="15.75">
      <c r="B54" s="276"/>
      <c r="C54" s="276"/>
      <c r="D54" s="294"/>
      <c r="E54" s="276"/>
      <c r="F54" s="294"/>
      <c r="G54" s="276"/>
      <c r="H54" s="294"/>
      <c r="I54" s="276"/>
      <c r="J54" s="294"/>
      <c r="K54" s="276"/>
      <c r="L54" s="294"/>
    </row>
    <row r="55" spans="1:12" ht="15.75">
      <c r="B55" s="308"/>
      <c r="C55" s="308"/>
      <c r="D55" s="300"/>
      <c r="E55" s="308"/>
      <c r="F55" s="300"/>
      <c r="G55" s="308"/>
      <c r="H55" s="300"/>
      <c r="I55" s="308"/>
      <c r="J55" s="300"/>
      <c r="K55" s="308"/>
      <c r="L55" s="300"/>
    </row>
    <row r="56" spans="1:12" ht="15.75">
      <c r="B56" s="308" t="str">
        <f>INPUT!B61</f>
        <v xml:space="preserve">             Net change in fund balances</v>
      </c>
      <c r="C56" s="308"/>
      <c r="D56" s="300">
        <f>SUM(D38+D53)</f>
        <v>1316800</v>
      </c>
      <c r="E56" s="308"/>
      <c r="F56" s="300">
        <f>SUM(F38+F53)</f>
        <v>25992</v>
      </c>
      <c r="G56" s="308"/>
      <c r="H56" s="300">
        <f>SUM(H38+H53)</f>
        <v>725118</v>
      </c>
      <c r="I56" s="308"/>
      <c r="J56" s="300">
        <f>SUM(J38+J53)</f>
        <v>8406</v>
      </c>
      <c r="K56" s="308"/>
      <c r="L56" s="300">
        <f>SUM(L38+L53)</f>
        <v>2076316</v>
      </c>
    </row>
    <row r="57" spans="1:12" ht="15.75">
      <c r="B57" s="276"/>
      <c r="C57" s="276"/>
      <c r="D57" s="294"/>
      <c r="E57" s="276"/>
      <c r="F57" s="294"/>
      <c r="G57" s="276"/>
      <c r="H57" s="294"/>
      <c r="I57" s="276"/>
      <c r="J57" s="294"/>
      <c r="K57" s="276"/>
      <c r="L57" s="294"/>
    </row>
    <row r="58" spans="1:12" ht="15.75">
      <c r="B58" s="276" t="str">
        <f>INPUT!B63</f>
        <v xml:space="preserve">     Fund balance, July 1</v>
      </c>
      <c r="C58" s="276"/>
      <c r="D58" s="294">
        <f>+'SR IS'!EC57</f>
        <v>11042943</v>
      </c>
      <c r="E58" s="276"/>
      <c r="F58" s="294">
        <f>+'DS IS'!P58</f>
        <v>477486</v>
      </c>
      <c r="G58" s="276"/>
      <c r="H58" s="294">
        <f>+'CP IS'!N56</f>
        <v>1592957</v>
      </c>
      <c r="I58" s="276"/>
      <c r="J58" s="294">
        <f>+'PERM IS'!D52</f>
        <v>357491</v>
      </c>
      <c r="K58" s="276"/>
      <c r="L58" s="294">
        <f>SUM(D58:J58)</f>
        <v>13470877</v>
      </c>
    </row>
    <row r="59" spans="1:12" ht="15.75" hidden="1">
      <c r="B59" s="276"/>
      <c r="C59" s="276"/>
      <c r="D59" s="294"/>
      <c r="E59" s="276"/>
      <c r="F59" s="294"/>
      <c r="G59" s="276"/>
      <c r="H59" s="294"/>
      <c r="I59" s="276"/>
      <c r="J59" s="294"/>
      <c r="K59" s="276"/>
      <c r="L59" s="294"/>
    </row>
    <row r="60" spans="1:12" ht="15.75" hidden="1">
      <c r="A60" s="276"/>
      <c r="B60" s="276" t="str">
        <f>INPUT!B66</f>
        <v xml:space="preserve">     Prior period adjustments</v>
      </c>
      <c r="C60" s="276"/>
      <c r="D60" s="294">
        <f>+'SR IS'!EC59</f>
        <v>0</v>
      </c>
      <c r="E60" s="276"/>
      <c r="F60" s="294">
        <f>+'DS IS'!P60</f>
        <v>0</v>
      </c>
      <c r="G60" s="276"/>
      <c r="H60" s="294">
        <f>+'CP IS'!N58</f>
        <v>0</v>
      </c>
      <c r="I60" s="276"/>
      <c r="J60" s="294">
        <f>+'PERM IS'!D54</f>
        <v>0</v>
      </c>
      <c r="K60" s="276"/>
      <c r="L60" s="294" t="str">
        <f>IF(SUM(D60:J60)&lt;&gt;0,SUM(D60:J60),"-")</f>
        <v>-</v>
      </c>
    </row>
    <row r="61" spans="1:12" ht="15.75" hidden="1">
      <c r="A61" s="276"/>
      <c r="B61" s="276"/>
      <c r="C61" s="276"/>
      <c r="D61" s="337"/>
      <c r="E61" s="276"/>
      <c r="F61" s="337"/>
      <c r="G61" s="276"/>
      <c r="H61" s="337"/>
      <c r="I61" s="276"/>
      <c r="J61" s="337"/>
      <c r="K61" s="276"/>
      <c r="L61" s="337"/>
    </row>
    <row r="62" spans="1:12" ht="15.75" hidden="1">
      <c r="A62" s="276"/>
      <c r="B62" s="308" t="str">
        <f>INPUT!B69</f>
        <v xml:space="preserve">     Total net position, beginning, as restated</v>
      </c>
      <c r="C62" s="308"/>
      <c r="D62" s="300">
        <f>SUM(D58+D60)</f>
        <v>11042943</v>
      </c>
      <c r="E62" s="308"/>
      <c r="F62" s="300">
        <f>SUM(F58+F60)</f>
        <v>477486</v>
      </c>
      <c r="G62" s="308"/>
      <c r="H62" s="300">
        <f>SUM(H58+H60)</f>
        <v>1592957</v>
      </c>
      <c r="I62" s="308"/>
      <c r="J62" s="300">
        <f>SUM(J58+J60)</f>
        <v>357491</v>
      </c>
      <c r="K62" s="308"/>
      <c r="L62" s="300">
        <f>SUM(L58+L60)</f>
        <v>13470877</v>
      </c>
    </row>
    <row r="63" spans="1:12" ht="15.75" hidden="1">
      <c r="A63" s="276"/>
      <c r="B63" s="276"/>
      <c r="C63" s="276"/>
      <c r="D63" s="294"/>
      <c r="E63" s="276"/>
      <c r="F63" s="294"/>
      <c r="G63" s="276"/>
      <c r="H63" s="294"/>
      <c r="I63" s="276"/>
      <c r="J63" s="294"/>
      <c r="K63" s="276"/>
      <c r="L63" s="294"/>
    </row>
    <row r="64" spans="1:12" ht="15.75" hidden="1">
      <c r="B64" s="276" t="str">
        <f>INPUT!B71</f>
        <v xml:space="preserve">     Residual equity transfers</v>
      </c>
      <c r="C64" s="276"/>
      <c r="D64" s="294">
        <f>+'SR IS'!EC63</f>
        <v>0</v>
      </c>
      <c r="E64" s="276"/>
      <c r="F64" s="294">
        <f>+'DS IS'!P64</f>
        <v>0</v>
      </c>
      <c r="G64" s="276"/>
      <c r="H64" s="294">
        <f>+'CP IS'!N62</f>
        <v>0</v>
      </c>
      <c r="I64" s="276"/>
      <c r="J64" s="294">
        <f>+'PERM IS'!D58</f>
        <v>0</v>
      </c>
      <c r="K64" s="276"/>
      <c r="L64" s="294" t="str">
        <f>IF(SUM(D64:J64)&lt;&gt;0,SUM(D64:J64),"-")</f>
        <v>-</v>
      </c>
    </row>
    <row r="65" spans="2:12" ht="15.75">
      <c r="B65" s="276"/>
      <c r="C65" s="276"/>
      <c r="D65" s="337"/>
      <c r="E65" s="276"/>
      <c r="F65" s="337"/>
      <c r="G65" s="276"/>
      <c r="H65" s="337"/>
      <c r="I65" s="276"/>
      <c r="J65" s="337"/>
      <c r="K65" s="276"/>
      <c r="L65" s="337"/>
    </row>
    <row r="66" spans="2:12" ht="26.25" customHeight="1" thickBot="1">
      <c r="B66" s="276" t="str">
        <f>INPUT!B73</f>
        <v xml:space="preserve">     Fund balance, June 30</v>
      </c>
      <c r="C66" s="319"/>
      <c r="D66" s="302">
        <f>SUM(D56+D62+D64)</f>
        <v>12359743</v>
      </c>
      <c r="E66" s="319"/>
      <c r="F66" s="302">
        <f>SUM(F56+F62+F64)</f>
        <v>503478</v>
      </c>
      <c r="G66" s="319"/>
      <c r="H66" s="302">
        <f>SUM(H56+H62+H64)</f>
        <v>2318075</v>
      </c>
      <c r="I66" s="319"/>
      <c r="J66" s="302">
        <f>SUM(J56+J62+J64)</f>
        <v>365897</v>
      </c>
      <c r="K66" s="319"/>
      <c r="L66" s="302">
        <f>SUM(L56+L62+L64)</f>
        <v>15547193</v>
      </c>
    </row>
    <row r="67" spans="2:12" ht="16.5" thickTop="1">
      <c r="B67" s="276"/>
      <c r="C67" s="276"/>
      <c r="D67" s="303"/>
      <c r="E67" s="303"/>
      <c r="F67" s="303"/>
      <c r="G67" s="303"/>
      <c r="H67" s="303"/>
      <c r="I67" s="303"/>
      <c r="J67" s="303"/>
      <c r="K67" s="303"/>
      <c r="L67" s="303"/>
    </row>
    <row r="68" spans="2:12" ht="15.75">
      <c r="B68" s="276"/>
      <c r="C68" s="276"/>
      <c r="D68" s="303"/>
      <c r="E68" s="303"/>
      <c r="F68" s="303"/>
      <c r="G68" s="303"/>
      <c r="H68" s="303"/>
      <c r="I68" s="303"/>
      <c r="J68" s="303"/>
      <c r="K68" s="303"/>
      <c r="L68" s="303"/>
    </row>
    <row r="69" spans="2:12" ht="15.75">
      <c r="B69" s="276"/>
      <c r="C69" s="276"/>
      <c r="D69" s="303"/>
      <c r="E69" s="303"/>
      <c r="F69" s="303"/>
      <c r="G69" s="303"/>
      <c r="H69" s="303"/>
      <c r="I69" s="303"/>
      <c r="J69" s="303"/>
      <c r="K69" s="303"/>
      <c r="L69" s="303"/>
    </row>
    <row r="70" spans="2:12" ht="15.75">
      <c r="B70" s="276"/>
      <c r="C70" s="276"/>
      <c r="D70" s="303"/>
      <c r="E70" s="303"/>
      <c r="F70" s="303"/>
      <c r="G70" s="303"/>
      <c r="H70" s="303"/>
      <c r="I70" s="303"/>
      <c r="J70" s="303"/>
      <c r="K70" s="303"/>
      <c r="L70" s="303"/>
    </row>
    <row r="71" spans="2:12" ht="15.75">
      <c r="B71" s="276"/>
      <c r="C71" s="276"/>
      <c r="D71" s="303"/>
      <c r="E71" s="303"/>
      <c r="F71" s="303"/>
      <c r="G71" s="303"/>
      <c r="H71" s="303"/>
      <c r="I71" s="303"/>
      <c r="J71" s="303"/>
      <c r="K71" s="303"/>
      <c r="L71" s="303"/>
    </row>
    <row r="72" spans="2:12" ht="15.75">
      <c r="B72" s="276"/>
      <c r="C72" s="276"/>
      <c r="D72" s="303"/>
      <c r="E72" s="303"/>
      <c r="F72" s="303"/>
      <c r="G72" s="303"/>
      <c r="H72" s="303"/>
      <c r="I72" s="303"/>
      <c r="J72" s="303"/>
      <c r="K72" s="303"/>
      <c r="L72" s="303"/>
    </row>
    <row r="73" spans="2:12" ht="15.75">
      <c r="B73" s="276"/>
      <c r="C73" s="276"/>
      <c r="D73" s="303"/>
      <c r="E73" s="303"/>
      <c r="F73" s="303"/>
      <c r="G73" s="303"/>
      <c r="H73" s="303"/>
      <c r="I73" s="303"/>
      <c r="J73" s="303"/>
      <c r="K73" s="303"/>
      <c r="L73" s="303"/>
    </row>
    <row r="74" spans="2:12" ht="15.75">
      <c r="B74" s="276"/>
      <c r="C74" s="276"/>
      <c r="D74" s="303"/>
      <c r="E74" s="303"/>
      <c r="F74" s="303"/>
      <c r="G74" s="303"/>
      <c r="H74" s="303"/>
      <c r="I74" s="303"/>
      <c r="J74" s="303"/>
      <c r="K74" s="303"/>
      <c r="L74" s="303"/>
    </row>
    <row r="75" spans="2:12" ht="15.75">
      <c r="B75" s="276"/>
      <c r="C75" s="276"/>
      <c r="D75" s="303"/>
      <c r="E75" s="303"/>
      <c r="F75" s="303"/>
      <c r="G75" s="303"/>
      <c r="H75" s="303"/>
      <c r="I75" s="303"/>
      <c r="J75" s="303"/>
      <c r="K75" s="276"/>
      <c r="L75" s="276"/>
    </row>
    <row r="76" spans="2:12" ht="15.75">
      <c r="B76" s="276"/>
      <c r="C76" s="276"/>
      <c r="D76" s="303"/>
      <c r="E76" s="303"/>
      <c r="F76" s="303"/>
      <c r="G76" s="303"/>
      <c r="H76" s="303"/>
      <c r="I76" s="303"/>
      <c r="J76" s="303"/>
      <c r="K76" s="277"/>
      <c r="L76" s="277"/>
    </row>
    <row r="77" spans="2:12" ht="15.75">
      <c r="B77" s="276"/>
      <c r="C77" s="276"/>
      <c r="D77" s="303"/>
      <c r="E77" s="303"/>
      <c r="F77" s="303"/>
      <c r="G77" s="303"/>
      <c r="H77" s="303"/>
      <c r="I77" s="303"/>
      <c r="J77" s="303"/>
      <c r="K77" s="303"/>
      <c r="L77" s="303"/>
    </row>
    <row r="78" spans="2:12" ht="15.75">
      <c r="B78" s="276"/>
      <c r="C78" s="276"/>
      <c r="D78" s="303"/>
      <c r="E78" s="303"/>
      <c r="F78" s="303"/>
      <c r="G78" s="303"/>
      <c r="H78" s="303"/>
      <c r="I78" s="303"/>
      <c r="J78" s="303"/>
      <c r="K78" s="303"/>
      <c r="L78" s="303"/>
    </row>
    <row r="79" spans="2:12" ht="15.75">
      <c r="B79" s="276"/>
      <c r="C79" s="276"/>
      <c r="D79" s="303"/>
      <c r="E79" s="303"/>
      <c r="F79" s="303"/>
      <c r="G79" s="303"/>
      <c r="H79" s="303"/>
      <c r="I79" s="303"/>
      <c r="J79" s="303"/>
      <c r="K79" s="303"/>
      <c r="L79" s="303"/>
    </row>
    <row r="80" spans="2:12" ht="15.75">
      <c r="B80" s="276"/>
      <c r="C80" s="276"/>
      <c r="D80" s="303"/>
      <c r="E80" s="303"/>
      <c r="F80" s="303"/>
      <c r="G80" s="303"/>
      <c r="H80" s="303"/>
      <c r="I80" s="303"/>
      <c r="J80" s="303"/>
      <c r="K80" s="303"/>
      <c r="L80" s="303"/>
    </row>
    <row r="81" spans="2:12" ht="15.75">
      <c r="B81" s="276"/>
      <c r="C81" s="276"/>
      <c r="D81" s="303"/>
      <c r="E81" s="303"/>
      <c r="F81" s="303"/>
      <c r="G81" s="303"/>
      <c r="H81" s="303"/>
      <c r="I81" s="303"/>
      <c r="J81" s="303"/>
      <c r="K81" s="303"/>
      <c r="L81" s="303"/>
    </row>
  </sheetData>
  <phoneticPr fontId="0" type="noConversion"/>
  <printOptions horizontalCentered="1"/>
  <pageMargins left="0.4" right="0.39" top="0.5" bottom="0.75" header="0.5" footer="0.25"/>
  <pageSetup scale="65" firstPageNumber="87" orientation="portrait" useFirstPageNumber="1" r:id="rId1"/>
  <headerFooter alignWithMargins="0">
    <oddFooter xml:space="preserve">&amp;C
</oddFooter>
  </headerFooter>
  <ignoredErrors>
    <ignoredError sqref="H48"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ransitionEvaluation="1" codeName="Sheet28"/>
  <dimension ref="A3:U415"/>
  <sheetViews>
    <sheetView showGridLines="0" zoomScale="70" zoomScaleNormal="70" workbookViewId="0">
      <selection activeCell="F73" sqref="F73"/>
    </sheetView>
  </sheetViews>
  <sheetFormatPr defaultColWidth="9.7109375" defaultRowHeight="12.75"/>
  <cols>
    <col min="1" max="1" width="2.7109375" style="288" customWidth="1"/>
    <col min="2" max="2" width="46.140625" style="288" customWidth="1"/>
    <col min="3" max="3" width="2.28515625" style="288" customWidth="1"/>
    <col min="4" max="4" width="16.7109375" style="288" customWidth="1"/>
    <col min="5" max="5" width="2.28515625" style="288" customWidth="1"/>
    <col min="6" max="6" width="16.7109375" style="288" customWidth="1"/>
    <col min="7" max="7" width="2.28515625" style="288" customWidth="1"/>
    <col min="8" max="8" width="16.7109375" style="288" hidden="1" customWidth="1"/>
    <col min="9" max="9" width="2.28515625" style="288" hidden="1" customWidth="1"/>
    <col min="10" max="10" width="16.7109375" style="288" customWidth="1"/>
    <col min="11" max="11" width="2.28515625" style="288" customWidth="1"/>
    <col min="12" max="12" width="16.7109375" style="288" customWidth="1"/>
    <col min="13" max="13" width="2.28515625" style="288" customWidth="1"/>
    <col min="14" max="14" width="16.7109375" style="288" customWidth="1"/>
    <col min="15" max="15" width="2.28515625" style="288" customWidth="1"/>
    <col min="16" max="16" width="18.7109375" style="288" customWidth="1"/>
    <col min="17" max="17" width="1.7109375" style="288" customWidth="1"/>
    <col min="18" max="18" width="14" style="288" customWidth="1"/>
    <col min="19" max="19" width="12" style="288" bestFit="1" customWidth="1"/>
    <col min="20" max="20" width="10.42578125" style="288" bestFit="1" customWidth="1"/>
    <col min="21" max="16384" width="9.7109375" style="288"/>
  </cols>
  <sheetData>
    <row r="3" spans="2:21" ht="15.75">
      <c r="B3" s="305" t="s">
        <v>1049</v>
      </c>
      <c r="C3" s="305"/>
      <c r="D3" s="305"/>
      <c r="E3" s="305"/>
      <c r="F3" s="305"/>
      <c r="G3" s="305"/>
      <c r="H3" s="305"/>
      <c r="I3" s="305"/>
      <c r="J3" s="289"/>
      <c r="K3" s="305"/>
      <c r="L3" s="289"/>
      <c r="M3" s="289"/>
      <c r="N3" s="289"/>
      <c r="O3" s="289"/>
      <c r="P3" s="289"/>
      <c r="S3" s="277"/>
      <c r="T3" s="277"/>
      <c r="U3" s="277"/>
    </row>
    <row r="4" spans="2:21" ht="15.75">
      <c r="B4" s="305" t="s">
        <v>301</v>
      </c>
      <c r="C4" s="305"/>
      <c r="D4" s="305"/>
      <c r="E4" s="305"/>
      <c r="F4" s="305"/>
      <c r="G4" s="305"/>
      <c r="H4" s="305"/>
      <c r="I4" s="305"/>
      <c r="J4" s="289"/>
      <c r="K4" s="305"/>
      <c r="L4" s="289"/>
      <c r="M4" s="289"/>
      <c r="N4" s="289"/>
      <c r="O4" s="289"/>
      <c r="P4" s="289"/>
      <c r="S4" s="277"/>
      <c r="T4" s="277"/>
      <c r="U4" s="277"/>
    </row>
    <row r="5" spans="2:21" ht="15.75">
      <c r="B5" s="305" t="s">
        <v>5</v>
      </c>
      <c r="C5" s="305"/>
      <c r="D5" s="305"/>
      <c r="E5" s="305"/>
      <c r="F5" s="305"/>
      <c r="G5" s="305"/>
      <c r="H5" s="305"/>
      <c r="I5" s="305"/>
      <c r="J5" s="289"/>
      <c r="K5" s="305"/>
      <c r="L5" s="289"/>
      <c r="M5" s="289"/>
      <c r="N5" s="289"/>
      <c r="O5" s="289"/>
      <c r="P5" s="289"/>
      <c r="S5" s="277"/>
      <c r="T5" s="277"/>
      <c r="U5" s="277"/>
    </row>
    <row r="6" spans="2:21" ht="15.75">
      <c r="B6" s="305" t="str">
        <f>+'Sys INPUT'!B2</f>
        <v>For the  Fiscal Year Ended June 30, 2023</v>
      </c>
      <c r="C6" s="305"/>
      <c r="D6" s="305"/>
      <c r="E6" s="305"/>
      <c r="F6" s="305"/>
      <c r="G6" s="305"/>
      <c r="H6" s="305"/>
      <c r="I6" s="305"/>
      <c r="J6" s="289"/>
      <c r="K6" s="305"/>
      <c r="L6" s="289"/>
      <c r="M6" s="289"/>
      <c r="N6" s="289"/>
      <c r="O6" s="289"/>
      <c r="P6" s="289"/>
      <c r="S6" s="277"/>
      <c r="T6" s="277"/>
      <c r="U6" s="277"/>
    </row>
    <row r="7" spans="2:21" ht="15.75">
      <c r="B7" s="1313"/>
      <c r="C7" s="1313"/>
      <c r="D7" s="1313"/>
      <c r="E7" s="1313"/>
      <c r="F7" s="1313"/>
      <c r="G7" s="1313"/>
      <c r="H7" s="1313"/>
      <c r="I7" s="287"/>
      <c r="J7" s="289"/>
      <c r="K7" s="287"/>
      <c r="L7" s="289"/>
      <c r="M7" s="289"/>
      <c r="N7" s="289"/>
      <c r="O7" s="289"/>
      <c r="P7" s="289"/>
      <c r="S7" s="277"/>
      <c r="T7" s="277"/>
      <c r="U7" s="277"/>
    </row>
    <row r="8" spans="2:21" ht="15.75">
      <c r="B8" s="289"/>
      <c r="C8" s="289"/>
      <c r="D8" s="289"/>
      <c r="E8" s="289"/>
      <c r="F8" s="289"/>
      <c r="G8" s="289"/>
      <c r="H8" s="289"/>
      <c r="I8" s="289"/>
      <c r="J8" s="277"/>
      <c r="K8" s="289"/>
      <c r="L8" s="277"/>
      <c r="M8" s="277"/>
      <c r="N8" s="277"/>
      <c r="O8" s="277"/>
      <c r="P8" s="277"/>
      <c r="Q8" s="277"/>
      <c r="R8" s="289"/>
      <c r="S8" s="277"/>
      <c r="T8" s="277"/>
      <c r="U8" s="277"/>
    </row>
    <row r="9" spans="2:21" ht="15.75">
      <c r="B9" s="277"/>
      <c r="C9" s="277"/>
      <c r="D9" s="277"/>
      <c r="E9" s="277"/>
      <c r="F9" s="277"/>
      <c r="G9" s="277"/>
      <c r="H9" s="277"/>
      <c r="I9" s="277"/>
      <c r="J9" s="277"/>
      <c r="K9" s="277"/>
      <c r="L9" s="277"/>
      <c r="M9" s="277"/>
      <c r="N9" s="277"/>
      <c r="O9" s="277"/>
      <c r="P9" s="277"/>
      <c r="Q9" s="277"/>
      <c r="S9" s="277"/>
      <c r="T9" s="276"/>
      <c r="U9" s="276"/>
    </row>
    <row r="10" spans="2:21" ht="15.75">
      <c r="B10" s="276"/>
      <c r="C10" s="276"/>
      <c r="D10" s="276"/>
      <c r="E10" s="276"/>
      <c r="F10" s="276"/>
      <c r="G10" s="276"/>
      <c r="H10" s="276"/>
      <c r="I10" s="276"/>
      <c r="J10" s="321"/>
      <c r="K10" s="276"/>
      <c r="L10" s="321"/>
      <c r="M10" s="321"/>
      <c r="N10" s="321"/>
      <c r="O10" s="321"/>
      <c r="P10" s="321"/>
      <c r="Q10" s="321"/>
      <c r="S10" s="276"/>
      <c r="T10" s="276"/>
      <c r="U10" s="276"/>
    </row>
    <row r="11" spans="2:21" ht="15.75">
      <c r="B11" s="308"/>
      <c r="C11" s="287"/>
      <c r="D11" s="287" t="str">
        <f>INPUT!BH5</f>
        <v>CITY/COUNTY</v>
      </c>
      <c r="E11" s="287"/>
      <c r="F11" s="287" t="str">
        <f>INPUT!BI5</f>
        <v>OPEN</v>
      </c>
      <c r="G11" s="276"/>
      <c r="H11" s="287" t="str">
        <f>INPUT!BJ5</f>
        <v>HEALTH</v>
      </c>
      <c r="I11" s="276"/>
      <c r="J11" s="287" t="str">
        <f>INPUT!BK5</f>
        <v>RSID</v>
      </c>
      <c r="K11" s="276"/>
      <c r="L11" s="287" t="str">
        <f>INPUT!BL5</f>
        <v>SEARCH &amp;</v>
      </c>
      <c r="M11" s="276"/>
      <c r="N11" s="287" t="str">
        <f>INPUT!BM5</f>
        <v>DETENTION</v>
      </c>
      <c r="O11" s="276"/>
      <c r="P11" s="287" t="str">
        <f>INPUT!BP5</f>
        <v>TOTAL</v>
      </c>
      <c r="Q11" s="284"/>
      <c r="S11" s="276"/>
      <c r="T11" s="276"/>
      <c r="U11" s="276"/>
    </row>
    <row r="12" spans="2:21" ht="15.75">
      <c r="B12" s="308"/>
      <c r="C12" s="287"/>
      <c r="D12" s="287" t="str">
        <f>INPUT!BH6</f>
        <v>BUILDING</v>
      </c>
      <c r="E12" s="287"/>
      <c r="F12" s="287" t="str">
        <f>INPUT!BI6</f>
        <v>SPACE</v>
      </c>
      <c r="G12" s="276"/>
      <c r="H12" s="287" t="str">
        <f>INPUT!BJ6</f>
        <v>FACILITIES</v>
      </c>
      <c r="I12" s="276"/>
      <c r="J12" s="287" t="str">
        <f>INPUT!BK6</f>
        <v>REVOLVING</v>
      </c>
      <c r="K12" s="276"/>
      <c r="L12" s="287" t="str">
        <f>INPUT!BL6</f>
        <v>RESCUE BLDG</v>
      </c>
      <c r="M12" s="276"/>
      <c r="N12" s="287" t="str">
        <f>INPUT!BM6</f>
        <v>CENTER</v>
      </c>
      <c r="O12" s="276"/>
      <c r="P12" s="287" t="str">
        <f>INPUT!BP6</f>
        <v>DEBT</v>
      </c>
      <c r="Q12" s="284"/>
      <c r="S12" s="284"/>
      <c r="T12" s="284"/>
      <c r="U12" s="276"/>
    </row>
    <row r="13" spans="2:21" ht="15.75">
      <c r="B13" s="308"/>
      <c r="C13" s="287"/>
      <c r="D13" s="290" t="str">
        <f>INPUT!BH7</f>
        <v>DEBT</v>
      </c>
      <c r="E13" s="287"/>
      <c r="F13" s="290" t="str">
        <f>INPUT!BI7</f>
        <v>DEBT</v>
      </c>
      <c r="G13" s="276"/>
      <c r="H13" s="290" t="str">
        <f>INPUT!BJ7</f>
        <v>DEBT</v>
      </c>
      <c r="I13" s="276"/>
      <c r="J13" s="290" t="str">
        <f>INPUT!BK7</f>
        <v>DEBT</v>
      </c>
      <c r="K13" s="276"/>
      <c r="L13" s="290" t="str">
        <f>INPUT!BL7</f>
        <v>DEBT</v>
      </c>
      <c r="M13" s="276"/>
      <c r="N13" s="290" t="str">
        <f>INPUT!BM7</f>
        <v>DEBT</v>
      </c>
      <c r="O13" s="276"/>
      <c r="P13" s="290" t="str">
        <f>INPUT!BP7</f>
        <v>SERVICE</v>
      </c>
      <c r="Q13" s="284"/>
      <c r="R13" s="284"/>
      <c r="S13" s="284"/>
      <c r="T13" s="284"/>
      <c r="U13" s="276"/>
    </row>
    <row r="14" spans="2:21" ht="15.75">
      <c r="B14" s="308" t="str">
        <f>INPUT!B9</f>
        <v>REVENUES</v>
      </c>
      <c r="C14" s="276"/>
      <c r="D14" s="276"/>
      <c r="E14" s="287"/>
      <c r="F14" s="276"/>
      <c r="G14" s="276"/>
      <c r="H14" s="276"/>
      <c r="I14" s="276"/>
      <c r="J14" s="276"/>
      <c r="K14" s="276"/>
      <c r="L14" s="276"/>
      <c r="M14" s="276"/>
      <c r="O14" s="276"/>
      <c r="P14" s="276"/>
      <c r="Q14" s="276"/>
      <c r="R14" s="276"/>
      <c r="S14" s="276"/>
      <c r="T14" s="276"/>
      <c r="U14" s="276"/>
    </row>
    <row r="15" spans="2:21" ht="15.75">
      <c r="B15" s="276" t="str">
        <f>INPUT!B10</f>
        <v xml:space="preserve">     Taxes/assessments</v>
      </c>
      <c r="C15" s="303"/>
      <c r="D15" s="292">
        <f>+INPUT!BH10</f>
        <v>0</v>
      </c>
      <c r="E15" s="287"/>
      <c r="F15" s="292">
        <f>+INPUT!BI10</f>
        <v>946730</v>
      </c>
      <c r="G15" s="276"/>
      <c r="H15" s="292">
        <f>+INPUT!BJ10</f>
        <v>0</v>
      </c>
      <c r="I15" s="276"/>
      <c r="J15" s="292">
        <f>+INPUT!BK10</f>
        <v>0</v>
      </c>
      <c r="K15" s="276"/>
      <c r="L15" s="292">
        <f>+INPUT!BL10</f>
        <v>91757</v>
      </c>
      <c r="M15" s="276"/>
      <c r="N15" s="292">
        <f>+INPUT!BM10</f>
        <v>643929</v>
      </c>
      <c r="O15" s="276"/>
      <c r="P15" s="293">
        <f>SUM(C15:O15)</f>
        <v>1682416</v>
      </c>
      <c r="Q15" s="276"/>
      <c r="R15" s="276"/>
      <c r="S15" s="276"/>
      <c r="T15" s="276"/>
      <c r="U15" s="276"/>
    </row>
    <row r="16" spans="2:21" ht="15.75" hidden="1">
      <c r="B16" s="276" t="str">
        <f>INPUT!B11</f>
        <v xml:space="preserve">     Licenses and permits</v>
      </c>
      <c r="C16" s="276"/>
      <c r="D16" s="294">
        <f>+INPUT!BH11</f>
        <v>0</v>
      </c>
      <c r="E16" s="287"/>
      <c r="F16" s="294">
        <f>+INPUT!BI11</f>
        <v>0</v>
      </c>
      <c r="G16" s="276"/>
      <c r="H16" s="294">
        <f>+INPUT!BJ11</f>
        <v>0</v>
      </c>
      <c r="I16" s="276"/>
      <c r="J16" s="294">
        <f>+INPUT!BK11</f>
        <v>0</v>
      </c>
      <c r="K16" s="276"/>
      <c r="L16" s="294">
        <f>+INPUT!BL11</f>
        <v>0</v>
      </c>
      <c r="M16" s="276"/>
      <c r="N16" s="294">
        <f>+INPUT!BM11</f>
        <v>0</v>
      </c>
      <c r="O16" s="276"/>
      <c r="P16" s="296">
        <f t="shared" ref="P16:P19" si="0">SUM(C16:O16)</f>
        <v>0</v>
      </c>
      <c r="Q16" s="276"/>
      <c r="R16" s="276"/>
      <c r="S16" s="276"/>
      <c r="T16" s="276"/>
      <c r="U16" s="276"/>
    </row>
    <row r="17" spans="1:21" ht="15.75" hidden="1">
      <c r="B17" s="276" t="str">
        <f>INPUT!B12</f>
        <v xml:space="preserve">     Intergovernmental</v>
      </c>
      <c r="C17" s="276"/>
      <c r="D17" s="294">
        <f>+INPUT!BH12</f>
        <v>0</v>
      </c>
      <c r="E17" s="287"/>
      <c r="F17" s="294">
        <f>+INPUT!BI12</f>
        <v>0</v>
      </c>
      <c r="G17" s="276"/>
      <c r="H17" s="294">
        <f>+INPUT!BJ12</f>
        <v>0</v>
      </c>
      <c r="I17" s="276"/>
      <c r="J17" s="294">
        <f>+INPUT!BK12</f>
        <v>0</v>
      </c>
      <c r="K17" s="276"/>
      <c r="L17" s="294">
        <f>+INPUT!BL12</f>
        <v>0</v>
      </c>
      <c r="M17" s="276"/>
      <c r="N17" s="294">
        <f>+INPUT!BM12</f>
        <v>0</v>
      </c>
      <c r="O17" s="276"/>
      <c r="P17" s="296">
        <f t="shared" si="0"/>
        <v>0</v>
      </c>
      <c r="Q17" s="276"/>
      <c r="R17" s="276"/>
      <c r="S17" s="276"/>
      <c r="T17" s="276"/>
      <c r="U17" s="276"/>
    </row>
    <row r="18" spans="1:21" ht="15.75" hidden="1">
      <c r="A18" s="276" t="s">
        <v>299</v>
      </c>
      <c r="B18" s="276" t="str">
        <f>INPUT!B13</f>
        <v xml:space="preserve">     Charges for services</v>
      </c>
      <c r="C18" s="276"/>
      <c r="D18" s="294">
        <f>+INPUT!BH13</f>
        <v>0</v>
      </c>
      <c r="E18" s="287"/>
      <c r="F18" s="294">
        <f>+INPUT!BI13</f>
        <v>0</v>
      </c>
      <c r="G18" s="276"/>
      <c r="H18" s="294">
        <f>+INPUT!BJ13</f>
        <v>0</v>
      </c>
      <c r="I18" s="276"/>
      <c r="J18" s="294">
        <f>+INPUT!BK13</f>
        <v>0</v>
      </c>
      <c r="K18" s="276"/>
      <c r="L18" s="294">
        <f>+INPUT!BL13</f>
        <v>0</v>
      </c>
      <c r="M18" s="276"/>
      <c r="N18" s="294">
        <f>+INPUT!BM13</f>
        <v>0</v>
      </c>
      <c r="O18" s="276"/>
      <c r="P18" s="296">
        <f t="shared" si="0"/>
        <v>0</v>
      </c>
      <c r="Q18" s="276"/>
      <c r="R18" s="276"/>
      <c r="S18" s="276"/>
      <c r="T18" s="276"/>
      <c r="U18" s="276"/>
    </row>
    <row r="19" spans="1:21" ht="15.75" hidden="1">
      <c r="A19" s="276" t="s">
        <v>299</v>
      </c>
      <c r="B19" s="276" t="str">
        <f>INPUT!B14</f>
        <v xml:space="preserve">     Fines and forfeitures</v>
      </c>
      <c r="C19" s="276"/>
      <c r="D19" s="294">
        <f>+INPUT!BH14</f>
        <v>0</v>
      </c>
      <c r="E19" s="287"/>
      <c r="F19" s="294">
        <f>+INPUT!BI14</f>
        <v>0</v>
      </c>
      <c r="G19" s="276"/>
      <c r="H19" s="294">
        <f>+INPUT!BJ14</f>
        <v>0</v>
      </c>
      <c r="I19" s="276"/>
      <c r="J19" s="294">
        <f>+INPUT!BK14</f>
        <v>0</v>
      </c>
      <c r="K19" s="276"/>
      <c r="L19" s="294">
        <f>+INPUT!BL14</f>
        <v>0</v>
      </c>
      <c r="M19" s="276"/>
      <c r="N19" s="294">
        <f>+INPUT!BM14</f>
        <v>0</v>
      </c>
      <c r="O19" s="276"/>
      <c r="P19" s="296">
        <f t="shared" si="0"/>
        <v>0</v>
      </c>
      <c r="Q19" s="276"/>
      <c r="R19" s="276"/>
      <c r="S19" s="276"/>
      <c r="T19" s="276"/>
      <c r="U19" s="276"/>
    </row>
    <row r="20" spans="1:21" ht="15.75">
      <c r="B20" s="276" t="str">
        <f>INPUT!B15</f>
        <v xml:space="preserve">     Miscellaneous</v>
      </c>
      <c r="C20" s="276"/>
      <c r="D20" s="294">
        <f>+INPUT!BH15</f>
        <v>112309</v>
      </c>
      <c r="E20" s="287"/>
      <c r="F20" s="294">
        <f>+INPUT!BI15</f>
        <v>0</v>
      </c>
      <c r="G20" s="276"/>
      <c r="H20" s="294">
        <f>+INPUT!BJ15</f>
        <v>0</v>
      </c>
      <c r="I20" s="276"/>
      <c r="J20" s="294">
        <f>+INPUT!BK15</f>
        <v>0</v>
      </c>
      <c r="K20" s="276"/>
      <c r="L20" s="294">
        <f>+INPUT!BL15</f>
        <v>0</v>
      </c>
      <c r="M20" s="276"/>
      <c r="N20" s="294">
        <f>+INPUT!BM15</f>
        <v>0</v>
      </c>
      <c r="O20" s="276"/>
      <c r="P20" s="296">
        <f>SUM(C20:O20)</f>
        <v>112309</v>
      </c>
      <c r="Q20" s="276"/>
      <c r="R20" s="276"/>
      <c r="S20" s="276"/>
      <c r="T20" s="276"/>
      <c r="U20" s="276"/>
    </row>
    <row r="21" spans="1:21" ht="15.75">
      <c r="B21" s="276" t="str">
        <f>INPUT!B16</f>
        <v xml:space="preserve">     Interest earnings</v>
      </c>
      <c r="C21" s="276"/>
      <c r="D21" s="294">
        <f>+INPUT!BH16</f>
        <v>0</v>
      </c>
      <c r="E21" s="287"/>
      <c r="F21" s="294">
        <f>+INPUT!BI16</f>
        <v>14292</v>
      </c>
      <c r="G21" s="276"/>
      <c r="H21" s="294">
        <f>+INPUT!BJ16</f>
        <v>0</v>
      </c>
      <c r="I21" s="276"/>
      <c r="J21" s="294">
        <f>+INPUT!BK16</f>
        <v>12653</v>
      </c>
      <c r="K21" s="276"/>
      <c r="L21" s="294">
        <f>+INPUT!BL16</f>
        <v>1125</v>
      </c>
      <c r="M21" s="276"/>
      <c r="N21" s="294">
        <f>+INPUT!BM16</f>
        <v>7284</v>
      </c>
      <c r="O21" s="276"/>
      <c r="P21" s="296">
        <f>SUM(C21:O21)</f>
        <v>35354</v>
      </c>
      <c r="Q21" s="276"/>
      <c r="R21" s="276"/>
      <c r="S21" s="276"/>
      <c r="T21" s="276"/>
      <c r="U21" s="276"/>
    </row>
    <row r="22" spans="1:21" ht="15.75">
      <c r="B22" s="276"/>
      <c r="C22" s="276"/>
      <c r="D22" s="337"/>
      <c r="E22" s="287"/>
      <c r="F22" s="337"/>
      <c r="G22" s="276"/>
      <c r="H22" s="337"/>
      <c r="I22" s="276"/>
      <c r="J22" s="337"/>
      <c r="K22" s="276"/>
      <c r="L22" s="337"/>
      <c r="M22" s="276"/>
      <c r="N22" s="337"/>
      <c r="O22" s="276"/>
      <c r="P22" s="337"/>
      <c r="Q22" s="276"/>
      <c r="R22" s="276"/>
      <c r="S22" s="276"/>
      <c r="T22" s="276"/>
      <c r="U22" s="276"/>
    </row>
    <row r="23" spans="1:21" ht="15.75">
      <c r="B23" s="308" t="str">
        <f>INPUT!B18</f>
        <v xml:space="preserve">         Total revenues</v>
      </c>
      <c r="C23" s="308"/>
      <c r="D23" s="301">
        <f>SUM(D15:D22)</f>
        <v>112309</v>
      </c>
      <c r="E23" s="287"/>
      <c r="F23" s="301">
        <f>SUM(F15:F22)</f>
        <v>961022</v>
      </c>
      <c r="G23" s="276"/>
      <c r="H23" s="301">
        <f>SUM(H15:H22)</f>
        <v>0</v>
      </c>
      <c r="I23" s="276"/>
      <c r="J23" s="301">
        <f>SUM(J15:J22)</f>
        <v>12653</v>
      </c>
      <c r="K23" s="276"/>
      <c r="L23" s="301">
        <f>SUM(L15:L22)</f>
        <v>92882</v>
      </c>
      <c r="M23" s="276"/>
      <c r="N23" s="301">
        <f>SUM(N15:N22)</f>
        <v>651213</v>
      </c>
      <c r="O23" s="276"/>
      <c r="P23" s="301">
        <f>SUM(P15:P22)</f>
        <v>1830079</v>
      </c>
      <c r="Q23" s="276"/>
      <c r="R23" s="276"/>
      <c r="S23" s="276">
        <f>+INPUT!BP18</f>
        <v>1961655</v>
      </c>
      <c r="T23" s="276">
        <f>+S23-P23</f>
        <v>131576</v>
      </c>
      <c r="U23" s="276"/>
    </row>
    <row r="24" spans="1:21" ht="15.75">
      <c r="B24" s="276"/>
      <c r="C24" s="276"/>
      <c r="D24" s="294"/>
      <c r="E24" s="287"/>
      <c r="F24" s="294"/>
      <c r="G24" s="276"/>
      <c r="H24" s="294"/>
      <c r="I24" s="276"/>
      <c r="J24" s="294"/>
      <c r="K24" s="276"/>
      <c r="L24" s="294"/>
      <c r="M24" s="276"/>
      <c r="N24" s="294"/>
      <c r="O24" s="276"/>
      <c r="P24" s="296"/>
      <c r="Q24" s="276"/>
      <c r="R24" s="276"/>
      <c r="S24" s="276"/>
      <c r="T24" s="276"/>
      <c r="U24" s="276"/>
    </row>
    <row r="25" spans="1:21" ht="15.75">
      <c r="B25" s="308" t="str">
        <f>INPUT!B20</f>
        <v>EXPENDITURES</v>
      </c>
      <c r="C25" s="276"/>
      <c r="D25" s="294"/>
      <c r="E25" s="287"/>
      <c r="F25" s="294"/>
      <c r="G25" s="276"/>
      <c r="H25" s="294"/>
      <c r="I25" s="276"/>
      <c r="J25" s="294"/>
      <c r="K25" s="276"/>
      <c r="L25" s="294"/>
      <c r="M25" s="276"/>
      <c r="N25" s="294"/>
      <c r="O25" s="276"/>
      <c r="P25" s="296"/>
      <c r="Q25" s="276"/>
      <c r="R25" s="276"/>
      <c r="S25" s="276"/>
      <c r="T25" s="276"/>
      <c r="U25" s="276"/>
    </row>
    <row r="26" spans="1:21" ht="15.75">
      <c r="B26" s="276" t="str">
        <f>INPUT!B21</f>
        <v xml:space="preserve">     Current:</v>
      </c>
      <c r="C26" s="276"/>
      <c r="D26" s="294"/>
      <c r="E26" s="287"/>
      <c r="F26" s="294"/>
      <c r="G26" s="276"/>
      <c r="H26" s="294"/>
      <c r="I26" s="276"/>
      <c r="J26" s="294"/>
      <c r="K26" s="276"/>
      <c r="L26" s="294"/>
      <c r="M26" s="276"/>
      <c r="N26" s="294"/>
      <c r="O26" s="276"/>
      <c r="P26" s="296"/>
      <c r="Q26" s="276"/>
      <c r="R26" s="276"/>
      <c r="S26" s="276"/>
      <c r="T26" s="276"/>
      <c r="U26" s="276"/>
    </row>
    <row r="27" spans="1:21" ht="15" hidden="1" customHeight="1">
      <c r="A27" s="276" t="s">
        <v>299</v>
      </c>
      <c r="B27" s="276" t="str">
        <f>INPUT!B22</f>
        <v xml:space="preserve">          General government</v>
      </c>
      <c r="C27" s="276"/>
      <c r="D27" s="294"/>
      <c r="E27" s="287"/>
      <c r="F27" s="294"/>
      <c r="G27" s="276"/>
      <c r="H27" s="294"/>
      <c r="I27" s="276"/>
      <c r="J27" s="294"/>
      <c r="K27" s="276"/>
      <c r="L27" s="294"/>
      <c r="M27" s="276"/>
      <c r="N27" s="294"/>
      <c r="O27" s="276"/>
      <c r="P27" s="296"/>
      <c r="Q27" s="276"/>
      <c r="R27" s="276"/>
      <c r="S27" s="276"/>
      <c r="T27" s="276"/>
      <c r="U27" s="276"/>
    </row>
    <row r="28" spans="1:21" ht="15.75" hidden="1">
      <c r="A28" s="276" t="s">
        <v>299</v>
      </c>
      <c r="B28" s="276" t="str">
        <f>INPUT!B23</f>
        <v xml:space="preserve">          Public safety</v>
      </c>
      <c r="C28" s="276"/>
      <c r="D28" s="294"/>
      <c r="E28" s="287"/>
      <c r="F28" s="294"/>
      <c r="G28" s="276"/>
      <c r="H28" s="294"/>
      <c r="I28" s="276"/>
      <c r="J28" s="294"/>
      <c r="K28" s="276"/>
      <c r="L28" s="294"/>
      <c r="M28" s="276"/>
      <c r="N28" s="294"/>
      <c r="O28" s="276"/>
      <c r="P28" s="296">
        <f>SUM(C28:O28)</f>
        <v>0</v>
      </c>
      <c r="Q28" s="276"/>
      <c r="R28" s="276"/>
      <c r="S28" s="276"/>
      <c r="T28" s="276"/>
      <c r="U28" s="276"/>
    </row>
    <row r="29" spans="1:21" ht="15.75" hidden="1">
      <c r="A29" s="276" t="s">
        <v>299</v>
      </c>
      <c r="B29" s="276" t="str">
        <f>INPUT!B24</f>
        <v xml:space="preserve">          Public works</v>
      </c>
      <c r="C29" s="276"/>
      <c r="D29" s="294">
        <f>+INPUT!BH24</f>
        <v>0</v>
      </c>
      <c r="E29" s="287"/>
      <c r="F29" s="294">
        <f>+INPUT!BI24</f>
        <v>0</v>
      </c>
      <c r="G29" s="276"/>
      <c r="H29" s="294">
        <v>0</v>
      </c>
      <c r="I29" s="276"/>
      <c r="J29" s="294">
        <v>0</v>
      </c>
      <c r="K29" s="276"/>
      <c r="L29" s="294">
        <v>0</v>
      </c>
      <c r="M29" s="276"/>
      <c r="N29" s="294">
        <v>0</v>
      </c>
      <c r="O29" s="276"/>
      <c r="P29" s="296">
        <f t="shared" ref="P29:P33" si="1">SUM(C29:O29)</f>
        <v>0</v>
      </c>
      <c r="Q29" s="276"/>
      <c r="R29" s="276"/>
      <c r="S29" s="276"/>
      <c r="T29" s="276"/>
      <c r="U29" s="276"/>
    </row>
    <row r="30" spans="1:21" ht="15.75" hidden="1">
      <c r="A30" s="276" t="s">
        <v>299</v>
      </c>
      <c r="B30" s="276" t="str">
        <f>INPUT!B25</f>
        <v xml:space="preserve">          Public health</v>
      </c>
      <c r="C30" s="276"/>
      <c r="D30" s="294"/>
      <c r="E30" s="287"/>
      <c r="F30" s="294"/>
      <c r="G30" s="276"/>
      <c r="H30" s="294"/>
      <c r="I30" s="276"/>
      <c r="J30" s="294"/>
      <c r="K30" s="276"/>
      <c r="L30" s="294"/>
      <c r="M30" s="276"/>
      <c r="N30" s="294"/>
      <c r="O30" s="276"/>
      <c r="P30" s="296">
        <f t="shared" si="1"/>
        <v>0</v>
      </c>
      <c r="Q30" s="276"/>
      <c r="R30" s="276"/>
      <c r="S30" s="276"/>
      <c r="T30" s="276"/>
      <c r="U30" s="276"/>
    </row>
    <row r="31" spans="1:21" ht="15.75" hidden="1">
      <c r="A31" s="276" t="s">
        <v>299</v>
      </c>
      <c r="B31" s="276" t="str">
        <f>INPUT!B26</f>
        <v xml:space="preserve">          Social and economic</v>
      </c>
      <c r="C31" s="276"/>
      <c r="D31" s="294"/>
      <c r="E31" s="287"/>
      <c r="F31" s="294"/>
      <c r="G31" s="276"/>
      <c r="H31" s="294"/>
      <c r="I31" s="276"/>
      <c r="J31" s="294"/>
      <c r="K31" s="276"/>
      <c r="L31" s="294"/>
      <c r="M31" s="276"/>
      <c r="N31" s="294"/>
      <c r="O31" s="276"/>
      <c r="P31" s="296">
        <f t="shared" si="1"/>
        <v>0</v>
      </c>
      <c r="Q31" s="276"/>
      <c r="R31" s="276"/>
      <c r="S31" s="276"/>
      <c r="T31" s="276"/>
      <c r="U31" s="276"/>
    </row>
    <row r="32" spans="1:21" ht="15.75" hidden="1">
      <c r="A32" s="276" t="s">
        <v>299</v>
      </c>
      <c r="B32" s="276" t="str">
        <f>INPUT!B27</f>
        <v xml:space="preserve">          Culture and recreation</v>
      </c>
      <c r="C32" s="276"/>
      <c r="D32" s="294"/>
      <c r="E32" s="287"/>
      <c r="F32" s="294"/>
      <c r="G32" s="276"/>
      <c r="H32" s="294"/>
      <c r="I32" s="276"/>
      <c r="J32" s="294"/>
      <c r="K32" s="276"/>
      <c r="L32" s="294"/>
      <c r="M32" s="276"/>
      <c r="N32" s="294"/>
      <c r="O32" s="276"/>
      <c r="P32" s="296">
        <f t="shared" si="1"/>
        <v>0</v>
      </c>
      <c r="Q32" s="276"/>
      <c r="R32" s="276"/>
      <c r="S32" s="276"/>
      <c r="T32" s="276"/>
      <c r="U32" s="276"/>
    </row>
    <row r="33" spans="1:21" ht="15.75">
      <c r="B33" s="276" t="str">
        <f>INPUT!B28</f>
        <v xml:space="preserve">     Debt service</v>
      </c>
      <c r="C33" s="276"/>
      <c r="D33" s="317">
        <f>+INPUT!BH41-D29</f>
        <v>112309</v>
      </c>
      <c r="E33" s="287"/>
      <c r="F33" s="317">
        <f>+INPUT!BI41-F29</f>
        <v>966683</v>
      </c>
      <c r="G33" s="276"/>
      <c r="H33" s="317">
        <f>+INPUT!BJ41</f>
        <v>0</v>
      </c>
      <c r="I33" s="276"/>
      <c r="J33" s="317">
        <f>+INPUT!BK41</f>
        <v>0</v>
      </c>
      <c r="K33" s="276"/>
      <c r="L33" s="317">
        <f>+INPUT!BL41</f>
        <v>96470</v>
      </c>
      <c r="M33" s="276"/>
      <c r="N33" s="317">
        <f>+INPUT!BM41</f>
        <v>636600</v>
      </c>
      <c r="O33" s="276"/>
      <c r="P33" s="296">
        <f t="shared" si="1"/>
        <v>1812062</v>
      </c>
      <c r="Q33" s="276"/>
      <c r="R33" s="276"/>
      <c r="S33" s="276"/>
      <c r="T33" s="276"/>
      <c r="U33" s="276"/>
    </row>
    <row r="34" spans="1:21" ht="15.75" customHeight="1">
      <c r="A34" s="276" t="s">
        <v>299</v>
      </c>
      <c r="B34" s="276"/>
      <c r="C34" s="276"/>
      <c r="D34" s="337"/>
      <c r="E34" s="287"/>
      <c r="F34" s="337"/>
      <c r="G34" s="276"/>
      <c r="H34" s="337"/>
      <c r="I34" s="276"/>
      <c r="J34" s="337"/>
      <c r="K34" s="276"/>
      <c r="L34" s="337"/>
      <c r="M34" s="276"/>
      <c r="N34" s="337"/>
      <c r="O34" s="276"/>
      <c r="P34" s="337"/>
      <c r="Q34" s="276"/>
      <c r="R34" s="276"/>
      <c r="S34" s="276"/>
      <c r="T34" s="276"/>
      <c r="U34" s="276"/>
    </row>
    <row r="35" spans="1:21" ht="15.75">
      <c r="B35" s="276"/>
      <c r="C35" s="276"/>
      <c r="D35" s="294"/>
      <c r="E35" s="287"/>
      <c r="F35" s="294"/>
      <c r="G35" s="276"/>
      <c r="H35" s="294"/>
      <c r="I35" s="276"/>
      <c r="J35" s="294"/>
      <c r="K35" s="276"/>
      <c r="L35" s="294"/>
      <c r="M35" s="276"/>
      <c r="N35" s="294"/>
      <c r="O35" s="276"/>
      <c r="P35" s="296"/>
      <c r="Q35" s="276"/>
      <c r="R35" s="276"/>
      <c r="S35" s="276"/>
      <c r="T35" s="276"/>
      <c r="U35" s="276"/>
    </row>
    <row r="36" spans="1:21" ht="15.75">
      <c r="B36" s="308" t="str">
        <f>INPUT!B41</f>
        <v xml:space="preserve">         Total expenditures</v>
      </c>
      <c r="C36" s="308"/>
      <c r="D36" s="301">
        <f>SUM(D27:D35)</f>
        <v>112309</v>
      </c>
      <c r="E36" s="287"/>
      <c r="F36" s="301">
        <f>SUM(F27:F35)</f>
        <v>966683</v>
      </c>
      <c r="G36" s="276"/>
      <c r="H36" s="301">
        <f>SUM(H27:H35)</f>
        <v>0</v>
      </c>
      <c r="I36" s="276"/>
      <c r="J36" s="301">
        <f>SUM(J27:J35)</f>
        <v>0</v>
      </c>
      <c r="K36" s="276"/>
      <c r="L36" s="301">
        <f>SUM(L27:L35)</f>
        <v>96470</v>
      </c>
      <c r="M36" s="276"/>
      <c r="N36" s="301">
        <f>SUM(N27:N35)</f>
        <v>636600</v>
      </c>
      <c r="O36" s="276"/>
      <c r="P36" s="301">
        <f>SUM(P27:P35)</f>
        <v>1812062</v>
      </c>
      <c r="Q36" s="308"/>
      <c r="R36" s="276"/>
      <c r="S36" s="276"/>
      <c r="T36" s="276"/>
      <c r="U36" s="276"/>
    </row>
    <row r="37" spans="1:21" ht="15.75">
      <c r="B37" s="308" t="str">
        <f>INPUT!B42</f>
        <v xml:space="preserve">             Excess (deficiency) of revenue</v>
      </c>
      <c r="C37" s="276"/>
      <c r="D37" s="296"/>
      <c r="E37" s="287"/>
      <c r="F37" s="296"/>
      <c r="G37" s="276"/>
      <c r="H37" s="296"/>
      <c r="I37" s="276"/>
      <c r="J37" s="296"/>
      <c r="K37" s="276"/>
      <c r="L37" s="296"/>
      <c r="M37" s="276"/>
      <c r="N37" s="296"/>
      <c r="O37" s="276"/>
      <c r="P37" s="296"/>
      <c r="Q37" s="276"/>
      <c r="R37" s="276"/>
      <c r="S37" s="276"/>
      <c r="T37" s="276"/>
      <c r="U37" s="276"/>
    </row>
    <row r="38" spans="1:21" ht="15.75">
      <c r="B38" s="308" t="str">
        <f>INPUT!B43</f>
        <v xml:space="preserve">                 over (under) expenditures</v>
      </c>
      <c r="C38" s="276"/>
      <c r="D38" s="300">
        <f>SUM(D23-D36)</f>
        <v>0</v>
      </c>
      <c r="E38" s="287"/>
      <c r="F38" s="300">
        <f>SUM(F23-F36)</f>
        <v>-5661</v>
      </c>
      <c r="G38" s="276"/>
      <c r="H38" s="300">
        <f>SUM(H23-H36)</f>
        <v>0</v>
      </c>
      <c r="I38" s="276"/>
      <c r="J38" s="300">
        <f>SUM(J23-J36)</f>
        <v>12653</v>
      </c>
      <c r="K38" s="276"/>
      <c r="L38" s="300">
        <f>SUM(L23-L36)</f>
        <v>-3588</v>
      </c>
      <c r="M38" s="276"/>
      <c r="N38" s="300">
        <f>SUM(N23-N36)</f>
        <v>14613</v>
      </c>
      <c r="O38" s="276"/>
      <c r="P38" s="300">
        <f>SUM(P23-P36)</f>
        <v>18017</v>
      </c>
      <c r="Q38" s="276"/>
      <c r="R38" s="276"/>
      <c r="S38" s="276"/>
      <c r="T38" s="276"/>
      <c r="U38" s="276"/>
    </row>
    <row r="39" spans="1:21" ht="15.75">
      <c r="B39" s="276"/>
      <c r="C39" s="276"/>
      <c r="D39" s="294"/>
      <c r="E39" s="287"/>
      <c r="F39" s="294"/>
      <c r="G39" s="276"/>
      <c r="H39" s="294"/>
      <c r="I39" s="276"/>
      <c r="J39" s="294"/>
      <c r="K39" s="276"/>
      <c r="L39" s="294"/>
      <c r="M39" s="276"/>
      <c r="N39" s="294"/>
      <c r="O39" s="276"/>
      <c r="P39" s="296"/>
      <c r="Q39" s="276"/>
      <c r="R39" s="276"/>
      <c r="S39" s="276"/>
      <c r="T39" s="276"/>
      <c r="U39" s="276"/>
    </row>
    <row r="40" spans="1:21" ht="15.75">
      <c r="B40" s="308" t="str">
        <f>INPUT!B45</f>
        <v>OTHER FINANCING SOURCES (USES)</v>
      </c>
      <c r="C40" s="276"/>
      <c r="D40" s="294"/>
      <c r="E40" s="287"/>
      <c r="F40" s="294"/>
      <c r="G40" s="276"/>
      <c r="H40" s="294"/>
      <c r="I40" s="276"/>
      <c r="J40" s="294"/>
      <c r="K40" s="276"/>
      <c r="L40" s="294"/>
      <c r="M40" s="276"/>
      <c r="N40" s="294"/>
      <c r="O40" s="276"/>
      <c r="P40" s="296"/>
      <c r="Q40" s="276"/>
      <c r="R40" s="276"/>
      <c r="S40" s="276"/>
      <c r="T40" s="276"/>
      <c r="U40" s="276"/>
    </row>
    <row r="41" spans="1:21" ht="15.75" hidden="1" customHeight="1">
      <c r="A41" s="288" t="s">
        <v>299</v>
      </c>
      <c r="B41" s="321" t="str">
        <f>INPUT!B46</f>
        <v xml:space="preserve">     Transfers in</v>
      </c>
      <c r="C41" s="276"/>
      <c r="D41" s="294">
        <f>+INPUT!BH46</f>
        <v>0</v>
      </c>
      <c r="E41" s="287"/>
      <c r="F41" s="294">
        <f>+INPUT!BI46</f>
        <v>0</v>
      </c>
      <c r="G41" s="276"/>
      <c r="H41" s="294">
        <f>+INPUT!BJ46</f>
        <v>0</v>
      </c>
      <c r="I41" s="276"/>
      <c r="J41" s="294">
        <f>+INPUT!BK46</f>
        <v>0</v>
      </c>
      <c r="K41" s="276"/>
      <c r="L41" s="294">
        <f>+INPUT!BL46</f>
        <v>0</v>
      </c>
      <c r="M41" s="276"/>
      <c r="N41" s="294">
        <f>+INPUT!BM46</f>
        <v>0</v>
      </c>
      <c r="O41" s="276"/>
      <c r="P41" s="294">
        <f>SUM(C41:O41)</f>
        <v>0</v>
      </c>
      <c r="Q41" s="276"/>
      <c r="R41" s="276"/>
      <c r="S41" s="276"/>
      <c r="T41" s="276"/>
      <c r="U41" s="276"/>
    </row>
    <row r="42" spans="1:21" ht="15.75" hidden="1">
      <c r="B42" s="276" t="str">
        <f>INPUT!B47</f>
        <v xml:space="preserve">     Transfers out</v>
      </c>
      <c r="C42" s="276"/>
      <c r="D42" s="294">
        <f>+INPUT!BH47</f>
        <v>0</v>
      </c>
      <c r="E42" s="287"/>
      <c r="F42" s="294">
        <f>+INPUT!BI47</f>
        <v>0</v>
      </c>
      <c r="G42" s="276"/>
      <c r="H42" s="294">
        <f>+INPUT!BJ47</f>
        <v>0</v>
      </c>
      <c r="I42" s="276"/>
      <c r="J42" s="294">
        <f>+INPUT!BK47</f>
        <v>0</v>
      </c>
      <c r="K42" s="276"/>
      <c r="L42" s="294">
        <f>+INPUT!BL47</f>
        <v>0</v>
      </c>
      <c r="M42" s="276"/>
      <c r="N42" s="294">
        <f>+INPUT!BM47</f>
        <v>0</v>
      </c>
      <c r="O42" s="276"/>
      <c r="P42" s="294">
        <f t="shared" ref="P42:P51" si="2">SUM(C42:O42)</f>
        <v>0</v>
      </c>
      <c r="Q42" s="276"/>
      <c r="R42" s="276"/>
      <c r="S42" s="276"/>
      <c r="T42" s="276"/>
      <c r="U42" s="276"/>
    </row>
    <row r="43" spans="1:21" ht="15.75" hidden="1">
      <c r="B43" s="276" t="str">
        <f>INPUT!B48</f>
        <v xml:space="preserve">     Financing of leases</v>
      </c>
      <c r="C43" s="276"/>
      <c r="D43" s="294">
        <f>+INPUT!BH48</f>
        <v>0</v>
      </c>
      <c r="E43" s="287"/>
      <c r="F43" s="294">
        <f>+INPUT!BI48</f>
        <v>0</v>
      </c>
      <c r="G43" s="276"/>
      <c r="H43" s="294">
        <f>+INPUT!BJ48</f>
        <v>0</v>
      </c>
      <c r="I43" s="276"/>
      <c r="J43" s="294">
        <f>+INPUT!BK48</f>
        <v>0</v>
      </c>
      <c r="K43" s="276"/>
      <c r="L43" s="294">
        <f>+INPUT!BL48</f>
        <v>0</v>
      </c>
      <c r="M43" s="276"/>
      <c r="N43" s="294">
        <f>+INPUT!BM48</f>
        <v>0</v>
      </c>
      <c r="O43" s="276"/>
      <c r="P43" s="294">
        <f t="shared" ref="P43:P44" si="3">SUM(C43:O43)</f>
        <v>0</v>
      </c>
      <c r="Q43" s="276"/>
      <c r="R43" s="276"/>
      <c r="S43" s="276"/>
      <c r="T43" s="276"/>
      <c r="U43" s="276"/>
    </row>
    <row r="44" spans="1:21" ht="15.75" hidden="1">
      <c r="B44" s="276" t="str">
        <f>INPUT!B49</f>
        <v xml:space="preserve">     Financing of SBITAs</v>
      </c>
      <c r="C44" s="276"/>
      <c r="D44" s="294">
        <f>+INPUT!BH49</f>
        <v>0</v>
      </c>
      <c r="E44" s="287"/>
      <c r="F44" s="294">
        <f>+INPUT!BI49</f>
        <v>0</v>
      </c>
      <c r="G44" s="276"/>
      <c r="H44" s="294">
        <f>+INPUT!BJ49</f>
        <v>0</v>
      </c>
      <c r="I44" s="276"/>
      <c r="J44" s="294">
        <f>+INPUT!BK49</f>
        <v>0</v>
      </c>
      <c r="K44" s="276"/>
      <c r="L44" s="294">
        <f>+INPUT!BL49</f>
        <v>0</v>
      </c>
      <c r="M44" s="276"/>
      <c r="N44" s="294">
        <f>+INPUT!BM49</f>
        <v>0</v>
      </c>
      <c r="O44" s="276"/>
      <c r="P44" s="294">
        <f t="shared" si="3"/>
        <v>0</v>
      </c>
      <c r="Q44" s="276"/>
      <c r="R44" s="276"/>
      <c r="S44" s="276"/>
      <c r="T44" s="276"/>
      <c r="U44" s="276"/>
    </row>
    <row r="45" spans="1:21" ht="15.75">
      <c r="A45" s="288" t="s">
        <v>299</v>
      </c>
      <c r="B45" s="276" t="str">
        <f>INPUT!B50</f>
        <v xml:space="preserve">     Issuance of long-term debt</v>
      </c>
      <c r="C45" s="276"/>
      <c r="D45" s="294">
        <f>+INPUT!BH50</f>
        <v>0</v>
      </c>
      <c r="E45" s="287"/>
      <c r="F45" s="294">
        <f>+INPUT!BI50</f>
        <v>0</v>
      </c>
      <c r="G45" s="276"/>
      <c r="H45" s="294">
        <f>+INPUT!BJ50</f>
        <v>0</v>
      </c>
      <c r="I45" s="276"/>
      <c r="J45" s="294">
        <f>+INPUT!BK50</f>
        <v>7975</v>
      </c>
      <c r="K45" s="276"/>
      <c r="L45" s="294">
        <f>+INPUT!BL50</f>
        <v>0</v>
      </c>
      <c r="M45" s="276"/>
      <c r="N45" s="294">
        <f>+INPUT!BM50</f>
        <v>0</v>
      </c>
      <c r="O45" s="276"/>
      <c r="P45" s="294">
        <f t="shared" si="2"/>
        <v>7975</v>
      </c>
      <c r="Q45" s="276"/>
      <c r="R45" s="276"/>
      <c r="S45" s="276"/>
      <c r="T45" s="276"/>
      <c r="U45" s="276"/>
    </row>
    <row r="46" spans="1:21" ht="15.75" hidden="1" customHeight="1">
      <c r="A46" s="288" t="s">
        <v>299</v>
      </c>
      <c r="B46" s="276" t="str">
        <f>INPUT!B51</f>
        <v xml:space="preserve">     Premium on long-term debt issue</v>
      </c>
      <c r="C46" s="276"/>
      <c r="D46" s="294">
        <f>+INPUT!BH51</f>
        <v>0</v>
      </c>
      <c r="E46" s="287"/>
      <c r="F46" s="294">
        <f>+INPUT!BI51</f>
        <v>0</v>
      </c>
      <c r="G46" s="276"/>
      <c r="H46" s="294">
        <f>+INPUT!BJ51</f>
        <v>0</v>
      </c>
      <c r="I46" s="276"/>
      <c r="J46" s="294">
        <f>+INPUT!BK51</f>
        <v>0</v>
      </c>
      <c r="K46" s="276"/>
      <c r="L46" s="294">
        <f>+INPUT!BL51</f>
        <v>0</v>
      </c>
      <c r="M46" s="276"/>
      <c r="N46" s="294">
        <f>+INPUT!BM51</f>
        <v>0</v>
      </c>
      <c r="O46" s="276"/>
      <c r="P46" s="294">
        <f t="shared" ref="P46:P48" si="4">SUM(C46:O46)</f>
        <v>0</v>
      </c>
      <c r="Q46" s="276"/>
      <c r="R46" s="276"/>
      <c r="S46" s="276"/>
      <c r="T46" s="276"/>
      <c r="U46" s="276"/>
    </row>
    <row r="47" spans="1:21" ht="15.75" hidden="1" customHeight="1">
      <c r="B47" s="276" t="str">
        <f>INPUT!B52</f>
        <v xml:space="preserve">     Refund payment to escrow</v>
      </c>
      <c r="C47" s="276"/>
      <c r="D47" s="294">
        <f>+INPUT!BH52</f>
        <v>0</v>
      </c>
      <c r="E47" s="287"/>
      <c r="F47" s="294">
        <f>+INPUT!BI52</f>
        <v>0</v>
      </c>
      <c r="G47" s="276"/>
      <c r="H47" s="294">
        <f>+INPUT!BJ52</f>
        <v>0</v>
      </c>
      <c r="I47" s="276"/>
      <c r="J47" s="294">
        <f>+INPUT!BK52</f>
        <v>0</v>
      </c>
      <c r="K47" s="276"/>
      <c r="L47" s="294">
        <f>+INPUT!BL52</f>
        <v>0</v>
      </c>
      <c r="M47" s="276"/>
      <c r="N47" s="294">
        <f>+INPUT!BM52</f>
        <v>0</v>
      </c>
      <c r="O47" s="276"/>
      <c r="P47" s="294">
        <f t="shared" si="4"/>
        <v>0</v>
      </c>
      <c r="Q47" s="276"/>
      <c r="R47" s="276"/>
      <c r="S47" s="276"/>
      <c r="T47" s="276"/>
      <c r="U47" s="276"/>
    </row>
    <row r="48" spans="1:21" ht="15.75" hidden="1" customHeight="1">
      <c r="B48" s="276" t="str">
        <f>INPUT!B53</f>
        <v xml:space="preserve">     Cost of bond issuance</v>
      </c>
      <c r="C48" s="276"/>
      <c r="D48" s="294">
        <f>+INPUT!BH53</f>
        <v>0</v>
      </c>
      <c r="E48" s="287"/>
      <c r="F48" s="294">
        <f>+INPUT!BI53</f>
        <v>0</v>
      </c>
      <c r="G48" s="276"/>
      <c r="H48" s="294">
        <f>+INPUT!BJ53</f>
        <v>0</v>
      </c>
      <c r="I48" s="276"/>
      <c r="J48" s="294">
        <f>+INPUT!BK53</f>
        <v>0</v>
      </c>
      <c r="K48" s="276"/>
      <c r="L48" s="294">
        <f>+INPUT!BL53</f>
        <v>0</v>
      </c>
      <c r="M48" s="276"/>
      <c r="N48" s="294">
        <f>+INPUT!BM53</f>
        <v>0</v>
      </c>
      <c r="O48" s="276"/>
      <c r="P48" s="294">
        <f t="shared" si="4"/>
        <v>0</v>
      </c>
      <c r="Q48" s="276"/>
      <c r="R48" s="276"/>
      <c r="S48" s="276"/>
      <c r="T48" s="276"/>
      <c r="U48" s="276"/>
    </row>
    <row r="49" spans="1:21" ht="15.75" hidden="1" customHeight="1">
      <c r="A49" s="288" t="s">
        <v>299</v>
      </c>
      <c r="B49" s="276" t="str">
        <f>INPUT!B54</f>
        <v xml:space="preserve">     Proceeds from disposal of capital assets(MOVE to mis rev/exp)GFOA finding</v>
      </c>
      <c r="C49" s="276"/>
      <c r="D49" s="294"/>
      <c r="E49" s="287"/>
      <c r="F49" s="294"/>
      <c r="G49" s="276"/>
      <c r="H49" s="294"/>
      <c r="I49" s="276"/>
      <c r="J49" s="294"/>
      <c r="K49" s="276"/>
      <c r="L49" s="294"/>
      <c r="M49" s="276"/>
      <c r="N49" s="294"/>
      <c r="O49" s="276"/>
      <c r="P49" s="294">
        <f t="shared" si="2"/>
        <v>0</v>
      </c>
      <c r="Q49" s="276"/>
      <c r="R49" s="276"/>
      <c r="S49" s="276"/>
      <c r="T49" s="276"/>
      <c r="U49" s="276"/>
    </row>
    <row r="50" spans="1:21" ht="15.75" hidden="1" customHeight="1">
      <c r="A50" s="288" t="s">
        <v>299</v>
      </c>
      <c r="B50" s="276" t="str">
        <f>INPUT!B56</f>
        <v xml:space="preserve">     Capital contributions</v>
      </c>
      <c r="C50" s="276"/>
      <c r="D50" s="294"/>
      <c r="E50" s="287"/>
      <c r="F50" s="294"/>
      <c r="G50" s="276"/>
      <c r="H50" s="294"/>
      <c r="I50" s="276"/>
      <c r="J50" s="294"/>
      <c r="K50" s="276"/>
      <c r="L50" s="294"/>
      <c r="M50" s="276"/>
      <c r="N50" s="294"/>
      <c r="O50" s="276"/>
      <c r="P50" s="294">
        <f t="shared" si="2"/>
        <v>0</v>
      </c>
      <c r="Q50" s="276"/>
      <c r="R50" s="276"/>
      <c r="S50" s="276"/>
      <c r="T50" s="276"/>
      <c r="U50" s="276"/>
    </row>
    <row r="51" spans="1:21" ht="15.75" hidden="1" customHeight="1">
      <c r="A51" s="288" t="s">
        <v>299</v>
      </c>
      <c r="B51" s="276" t="str">
        <f>INPUT!B57</f>
        <v xml:space="preserve">     Gain (Loss) on sale of investments</v>
      </c>
      <c r="C51" s="276"/>
      <c r="D51" s="294"/>
      <c r="E51" s="287"/>
      <c r="F51" s="294"/>
      <c r="G51" s="276"/>
      <c r="H51" s="294"/>
      <c r="I51" s="276"/>
      <c r="J51" s="294"/>
      <c r="K51" s="276"/>
      <c r="L51" s="294"/>
      <c r="M51" s="276"/>
      <c r="N51" s="294"/>
      <c r="O51" s="276"/>
      <c r="P51" s="294">
        <f t="shared" si="2"/>
        <v>0</v>
      </c>
      <c r="Q51" s="276"/>
      <c r="R51" s="276"/>
      <c r="S51" s="276"/>
      <c r="T51" s="276"/>
      <c r="U51" s="276"/>
    </row>
    <row r="52" spans="1:21" ht="15.75">
      <c r="B52" s="276"/>
      <c r="C52" s="276"/>
      <c r="D52" s="298"/>
      <c r="E52" s="287"/>
      <c r="F52" s="298"/>
      <c r="G52" s="276"/>
      <c r="H52" s="298"/>
      <c r="I52" s="276"/>
      <c r="J52" s="298"/>
      <c r="K52" s="276"/>
      <c r="L52" s="298"/>
      <c r="M52" s="276"/>
      <c r="N52" s="298"/>
      <c r="O52" s="276"/>
      <c r="P52" s="507"/>
      <c r="Q52" s="276"/>
      <c r="R52" s="276"/>
      <c r="S52" s="276"/>
      <c r="T52" s="276"/>
      <c r="U52" s="276"/>
    </row>
    <row r="53" spans="1:21" ht="15.75">
      <c r="B53" s="308" t="str">
        <f>INPUT!B58</f>
        <v xml:space="preserve">         Total other financing sources and uses</v>
      </c>
      <c r="C53" s="308"/>
      <c r="D53" s="301">
        <f>SUM(D41:D52)</f>
        <v>0</v>
      </c>
      <c r="E53" s="287"/>
      <c r="F53" s="301">
        <f>SUM(F41:F52)</f>
        <v>0</v>
      </c>
      <c r="G53" s="276"/>
      <c r="H53" s="301">
        <f>SUM(H41:H52)</f>
        <v>0</v>
      </c>
      <c r="I53" s="276"/>
      <c r="J53" s="301">
        <f>SUM(J41:J52)</f>
        <v>7975</v>
      </c>
      <c r="K53" s="276"/>
      <c r="L53" s="301">
        <f>SUM(L41:L52)</f>
        <v>0</v>
      </c>
      <c r="M53" s="276"/>
      <c r="N53" s="301">
        <f>SUM(N41:N52)</f>
        <v>0</v>
      </c>
      <c r="O53" s="276"/>
      <c r="P53" s="301">
        <f>SUM(P41:P52)</f>
        <v>7975</v>
      </c>
      <c r="Q53" s="276"/>
      <c r="R53" s="276"/>
      <c r="S53" s="276"/>
      <c r="T53" s="276"/>
      <c r="U53" s="276"/>
    </row>
    <row r="54" spans="1:21" ht="15.75">
      <c r="B54" s="276"/>
      <c r="C54" s="276"/>
      <c r="D54" s="294"/>
      <c r="E54" s="287"/>
      <c r="F54" s="294"/>
      <c r="G54" s="276"/>
      <c r="H54" s="294"/>
      <c r="I54" s="276"/>
      <c r="J54" s="294"/>
      <c r="K54" s="276"/>
      <c r="L54" s="294"/>
      <c r="M54" s="276"/>
      <c r="N54" s="294"/>
      <c r="O54" s="276"/>
      <c r="P54" s="294"/>
      <c r="Q54" s="276"/>
      <c r="R54" s="276"/>
      <c r="S54" s="276"/>
      <c r="T54" s="276"/>
      <c r="U54" s="276"/>
    </row>
    <row r="55" spans="1:21" ht="15.75">
      <c r="B55" s="308"/>
      <c r="C55" s="308"/>
      <c r="D55" s="300"/>
      <c r="E55" s="287"/>
      <c r="F55" s="300"/>
      <c r="G55" s="276"/>
      <c r="H55" s="300"/>
      <c r="I55" s="276"/>
      <c r="J55" s="300"/>
      <c r="K55" s="276"/>
      <c r="L55" s="300"/>
      <c r="M55" s="276"/>
      <c r="N55" s="300"/>
      <c r="O55" s="276"/>
      <c r="P55" s="300"/>
      <c r="Q55" s="308"/>
      <c r="R55" s="276"/>
      <c r="S55" s="276"/>
      <c r="T55" s="276"/>
      <c r="U55" s="276"/>
    </row>
    <row r="56" spans="1:21" ht="15.75">
      <c r="B56" s="308" t="str">
        <f>INPUT!B61</f>
        <v xml:space="preserve">             Net change in fund balances</v>
      </c>
      <c r="C56" s="308"/>
      <c r="D56" s="300">
        <f>SUM(D38+D53)</f>
        <v>0</v>
      </c>
      <c r="E56" s="287"/>
      <c r="F56" s="300">
        <f>SUM(F38+F53)</f>
        <v>-5661</v>
      </c>
      <c r="G56" s="276"/>
      <c r="H56" s="300">
        <f>SUM(H38+H53)</f>
        <v>0</v>
      </c>
      <c r="I56" s="276"/>
      <c r="J56" s="300">
        <f>SUM(J38+J53)</f>
        <v>20628</v>
      </c>
      <c r="K56" s="276"/>
      <c r="L56" s="300">
        <f>SUM(L38+L53)</f>
        <v>-3588</v>
      </c>
      <c r="M56" s="276"/>
      <c r="N56" s="300">
        <f>SUM(N38+N53)</f>
        <v>14613</v>
      </c>
      <c r="O56" s="276"/>
      <c r="P56" s="300">
        <f>SUM(P38+P53)</f>
        <v>25992</v>
      </c>
      <c r="Q56" s="308"/>
      <c r="R56" s="276"/>
      <c r="S56" s="276"/>
      <c r="T56" s="276"/>
      <c r="U56" s="276"/>
    </row>
    <row r="57" spans="1:21" ht="15.75">
      <c r="B57" s="276"/>
      <c r="C57" s="276"/>
      <c r="D57" s="294"/>
      <c r="E57" s="287"/>
      <c r="F57" s="294"/>
      <c r="G57" s="276"/>
      <c r="H57" s="294"/>
      <c r="I57" s="276"/>
      <c r="J57" s="294"/>
      <c r="K57" s="276"/>
      <c r="L57" s="294"/>
      <c r="M57" s="276"/>
      <c r="N57" s="294"/>
      <c r="O57" s="276"/>
      <c r="P57" s="296"/>
      <c r="Q57" s="276"/>
      <c r="R57" s="276"/>
      <c r="S57" s="276"/>
      <c r="T57" s="276"/>
      <c r="U57" s="276"/>
    </row>
    <row r="58" spans="1:21" ht="15.75">
      <c r="B58" s="276" t="str">
        <f>INPUT!B63</f>
        <v xml:space="preserve">     Fund balance, July 1</v>
      </c>
      <c r="C58" s="276"/>
      <c r="D58" s="294">
        <f>+INPUT!BH276</f>
        <v>0</v>
      </c>
      <c r="E58" s="287"/>
      <c r="F58" s="294">
        <f>+INPUT!BI276</f>
        <v>46955</v>
      </c>
      <c r="G58" s="276"/>
      <c r="H58" s="294">
        <f>+INPUT!BJ276</f>
        <v>0</v>
      </c>
      <c r="I58" s="276"/>
      <c r="J58" s="294">
        <f>+INPUT!BK276</f>
        <v>366520</v>
      </c>
      <c r="K58" s="276"/>
      <c r="L58" s="294">
        <f>+INPUT!BL276</f>
        <v>59194</v>
      </c>
      <c r="M58" s="276"/>
      <c r="N58" s="294">
        <f>+INPUT!BM276</f>
        <v>4817</v>
      </c>
      <c r="O58" s="276"/>
      <c r="P58" s="296">
        <f>SUM(C58:O58)</f>
        <v>477486</v>
      </c>
      <c r="Q58" s="276"/>
      <c r="R58" s="276"/>
      <c r="S58" s="276"/>
      <c r="T58" s="276"/>
      <c r="U58" s="276"/>
    </row>
    <row r="59" spans="1:21" ht="15.75" hidden="1">
      <c r="B59" s="276"/>
      <c r="C59" s="276"/>
      <c r="D59" s="294"/>
      <c r="E59" s="287"/>
      <c r="F59" s="294"/>
      <c r="G59" s="276"/>
      <c r="H59" s="294"/>
      <c r="I59" s="276"/>
      <c r="J59" s="294"/>
      <c r="K59" s="276"/>
      <c r="L59" s="294"/>
      <c r="M59" s="276"/>
      <c r="N59" s="294"/>
      <c r="O59" s="276"/>
      <c r="P59" s="296"/>
      <c r="Q59" s="276"/>
      <c r="R59" s="276"/>
      <c r="S59" s="276"/>
      <c r="T59" s="276"/>
      <c r="U59" s="276"/>
    </row>
    <row r="60" spans="1:21" ht="15.75" hidden="1">
      <c r="A60" s="288" t="s">
        <v>299</v>
      </c>
      <c r="B60" s="276" t="str">
        <f>INPUT!B66</f>
        <v xml:space="preserve">     Prior period adjustments</v>
      </c>
      <c r="C60" s="276"/>
      <c r="D60" s="317">
        <f>+INPUT!BH66</f>
        <v>0</v>
      </c>
      <c r="E60" s="287"/>
      <c r="F60" s="317">
        <f>+INPUT!BI66</f>
        <v>0</v>
      </c>
      <c r="G60" s="276"/>
      <c r="H60" s="317">
        <f>+INPUT!BJ66</f>
        <v>0</v>
      </c>
      <c r="I60" s="276"/>
      <c r="J60" s="317">
        <f>+INPUT!BK66</f>
        <v>0</v>
      </c>
      <c r="K60" s="276"/>
      <c r="L60" s="317">
        <f>+INPUT!BL66</f>
        <v>0</v>
      </c>
      <c r="M60" s="276"/>
      <c r="N60" s="317">
        <f>+INPUT!BM66</f>
        <v>0</v>
      </c>
      <c r="O60" s="276"/>
      <c r="P60" s="296">
        <f>SUM(C60:M60)</f>
        <v>0</v>
      </c>
      <c r="Q60" s="276"/>
      <c r="R60" s="276"/>
      <c r="S60" s="276"/>
      <c r="T60" s="276"/>
      <c r="U60" s="276"/>
    </row>
    <row r="61" spans="1:21" ht="15.75" hidden="1">
      <c r="A61" s="288" t="s">
        <v>299</v>
      </c>
      <c r="B61" s="276"/>
      <c r="C61" s="276"/>
      <c r="D61" s="294"/>
      <c r="E61" s="287"/>
      <c r="F61" s="294"/>
      <c r="G61" s="276"/>
      <c r="H61" s="294"/>
      <c r="I61" s="276"/>
      <c r="J61" s="294"/>
      <c r="K61" s="276"/>
      <c r="L61" s="294"/>
      <c r="M61" s="276"/>
      <c r="N61" s="294"/>
      <c r="O61" s="276"/>
      <c r="P61" s="337"/>
      <c r="Q61" s="276"/>
      <c r="R61" s="276"/>
      <c r="S61" s="276"/>
      <c r="T61" s="276"/>
      <c r="U61" s="276"/>
    </row>
    <row r="62" spans="1:21" ht="15.75" hidden="1">
      <c r="A62" s="288" t="s">
        <v>299</v>
      </c>
      <c r="B62" s="308" t="str">
        <f>INPUT!B69</f>
        <v xml:space="preserve">     Total net position, beginning, as restated</v>
      </c>
      <c r="C62" s="308"/>
      <c r="D62" s="300">
        <f>SUM(D58+D60)</f>
        <v>0</v>
      </c>
      <c r="E62" s="287"/>
      <c r="F62" s="300">
        <f>SUM(F58+F60)</f>
        <v>46955</v>
      </c>
      <c r="G62" s="276"/>
      <c r="H62" s="300">
        <f>SUM(H58+H60)</f>
        <v>0</v>
      </c>
      <c r="I62" s="276"/>
      <c r="J62" s="300">
        <f>SUM(J58+J60)</f>
        <v>366520</v>
      </c>
      <c r="K62" s="276"/>
      <c r="L62" s="300">
        <f>SUM(L58+L60)</f>
        <v>59194</v>
      </c>
      <c r="M62" s="276"/>
      <c r="N62" s="300">
        <f>SUM(N58+N60)</f>
        <v>4817</v>
      </c>
      <c r="O62" s="276"/>
      <c r="P62" s="300">
        <f>SUM(P58+P60)</f>
        <v>477486</v>
      </c>
      <c r="Q62" s="276"/>
      <c r="R62" s="276"/>
      <c r="S62" s="276"/>
      <c r="T62" s="276"/>
      <c r="U62" s="276"/>
    </row>
    <row r="63" spans="1:21" ht="15.75" hidden="1">
      <c r="A63" s="288" t="s">
        <v>299</v>
      </c>
      <c r="B63" s="276"/>
      <c r="C63" s="276"/>
      <c r="D63" s="294"/>
      <c r="E63" s="287"/>
      <c r="F63" s="294"/>
      <c r="G63" s="276"/>
      <c r="H63" s="294"/>
      <c r="I63" s="276"/>
      <c r="J63" s="294"/>
      <c r="K63" s="276"/>
      <c r="L63" s="294"/>
      <c r="M63" s="276"/>
      <c r="N63" s="294"/>
      <c r="O63" s="276"/>
      <c r="P63" s="296"/>
      <c r="Q63" s="276"/>
      <c r="R63" s="276"/>
      <c r="S63" s="276"/>
      <c r="T63" s="276"/>
      <c r="U63" s="276"/>
    </row>
    <row r="64" spans="1:21" ht="15.75" hidden="1">
      <c r="B64" s="276" t="str">
        <f>INPUT!B71</f>
        <v xml:space="preserve">     Residual equity transfers</v>
      </c>
      <c r="C64" s="276"/>
      <c r="D64" s="317">
        <f>+INPUT!BH71</f>
        <v>0</v>
      </c>
      <c r="E64" s="287"/>
      <c r="F64" s="317">
        <f>+INPUT!BI71</f>
        <v>0</v>
      </c>
      <c r="G64" s="276"/>
      <c r="H64" s="317">
        <f>+INPUT!BJ71</f>
        <v>0</v>
      </c>
      <c r="I64" s="276"/>
      <c r="J64" s="317">
        <f>+INPUT!BK71</f>
        <v>0</v>
      </c>
      <c r="K64" s="276"/>
      <c r="L64" s="317">
        <f>+INPUT!BL71</f>
        <v>0</v>
      </c>
      <c r="M64" s="276"/>
      <c r="N64" s="317">
        <f>+INPUT!BM71</f>
        <v>0</v>
      </c>
      <c r="O64" s="276"/>
      <c r="P64" s="296">
        <f>SUM(C64:M64)</f>
        <v>0</v>
      </c>
      <c r="Q64" s="276"/>
      <c r="R64" s="276"/>
      <c r="S64" s="276"/>
      <c r="T64" s="276"/>
      <c r="U64" s="276"/>
    </row>
    <row r="65" spans="2:21" ht="15.75">
      <c r="B65" s="276"/>
      <c r="C65" s="276"/>
      <c r="D65" s="298"/>
      <c r="E65" s="287"/>
      <c r="F65" s="298"/>
      <c r="G65" s="276"/>
      <c r="H65" s="298"/>
      <c r="I65" s="276"/>
      <c r="J65" s="337"/>
      <c r="K65" s="276"/>
      <c r="L65" s="337"/>
      <c r="M65" s="276"/>
      <c r="N65" s="337"/>
      <c r="O65" s="276"/>
      <c r="P65" s="337"/>
      <c r="Q65" s="276"/>
      <c r="R65" s="276"/>
      <c r="S65" s="276"/>
      <c r="T65" s="276"/>
      <c r="U65" s="276"/>
    </row>
    <row r="66" spans="2:21" ht="16.5" thickBot="1">
      <c r="B66" s="276" t="str">
        <f>INPUT!B73</f>
        <v xml:space="preserve">     Fund balance, June 30</v>
      </c>
      <c r="C66" s="319"/>
      <c r="D66" s="302">
        <f>SUM(D56+D62+D64)</f>
        <v>0</v>
      </c>
      <c r="E66" s="287"/>
      <c r="F66" s="302">
        <f>SUM(F56+F62+F64)</f>
        <v>41294</v>
      </c>
      <c r="G66" s="276"/>
      <c r="H66" s="302">
        <f>SUM(H56+H62+H64)</f>
        <v>0</v>
      </c>
      <c r="I66" s="276"/>
      <c r="J66" s="302">
        <f>SUM(J56+J62+J64)</f>
        <v>387148</v>
      </c>
      <c r="K66" s="276"/>
      <c r="L66" s="302">
        <f>SUM(L56+L62+L64)</f>
        <v>55606</v>
      </c>
      <c r="M66" s="276"/>
      <c r="N66" s="302">
        <f>SUM(N56+N62+N64)</f>
        <v>19430</v>
      </c>
      <c r="O66" s="276"/>
      <c r="P66" s="302">
        <f>SUM(P56+P62+P64)</f>
        <v>503478</v>
      </c>
      <c r="Q66" s="308"/>
      <c r="R66" s="308"/>
      <c r="S66" s="276">
        <f>SUM(D66:N66)</f>
        <v>503478</v>
      </c>
      <c r="T66" s="276"/>
      <c r="U66" s="276"/>
    </row>
    <row r="67" spans="2:21" ht="16.5" thickTop="1">
      <c r="B67" s="276"/>
      <c r="C67" s="276"/>
      <c r="D67" s="276"/>
      <c r="E67" s="287"/>
      <c r="F67" s="276"/>
      <c r="G67" s="276"/>
      <c r="H67" s="276"/>
      <c r="I67" s="276"/>
      <c r="J67" s="276"/>
      <c r="K67" s="276"/>
      <c r="L67" s="276"/>
      <c r="M67" s="276"/>
      <c r="N67" s="276"/>
      <c r="O67" s="276"/>
      <c r="P67" s="276"/>
      <c r="Q67" s="276"/>
      <c r="R67" s="276"/>
      <c r="S67" s="276"/>
      <c r="T67" s="276"/>
      <c r="U67" s="276"/>
    </row>
    <row r="68" spans="2:21" ht="15.75">
      <c r="G68" s="276"/>
      <c r="I68" s="276"/>
      <c r="K68" s="276"/>
      <c r="M68" s="276"/>
      <c r="O68" s="276"/>
      <c r="P68" s="288">
        <f>+'Govt IS'!J70+J66+H66</f>
        <v>508249</v>
      </c>
    </row>
    <row r="69" spans="2:21" ht="15.75">
      <c r="G69" s="276"/>
    </row>
    <row r="70" spans="2:21" ht="15.75">
      <c r="G70" s="276"/>
      <c r="P70" s="288">
        <f>445965+8245</f>
        <v>454210</v>
      </c>
    </row>
    <row r="71" spans="2:21" ht="15.75">
      <c r="G71" s="276"/>
      <c r="P71" s="288">
        <f>+P70-P66</f>
        <v>-49268</v>
      </c>
    </row>
    <row r="72" spans="2:21" ht="15.75">
      <c r="G72" s="276"/>
    </row>
    <row r="73" spans="2:21" ht="15.75">
      <c r="G73" s="276"/>
    </row>
    <row r="74" spans="2:21" ht="15.75">
      <c r="G74" s="276"/>
    </row>
    <row r="75" spans="2:21" ht="15.75">
      <c r="G75" s="276"/>
    </row>
    <row r="76" spans="2:21" ht="15.75">
      <c r="G76" s="276"/>
    </row>
    <row r="77" spans="2:21" ht="15.75">
      <c r="G77" s="276"/>
    </row>
    <row r="78" spans="2:21" ht="15.75">
      <c r="G78" s="276"/>
    </row>
    <row r="79" spans="2:21" ht="15.75">
      <c r="G79" s="276"/>
    </row>
    <row r="80" spans="2:21" ht="15.75">
      <c r="G80" s="276"/>
    </row>
    <row r="81" spans="7:7" ht="15.75">
      <c r="G81" s="276"/>
    </row>
    <row r="82" spans="7:7" ht="15.75">
      <c r="G82" s="276"/>
    </row>
    <row r="83" spans="7:7" ht="15.75">
      <c r="G83" s="276"/>
    </row>
    <row r="84" spans="7:7" ht="15.75">
      <c r="G84" s="276"/>
    </row>
    <row r="85" spans="7:7" ht="15.75">
      <c r="G85" s="276"/>
    </row>
    <row r="86" spans="7:7" ht="15.75">
      <c r="G86" s="276"/>
    </row>
    <row r="87" spans="7:7" ht="15.75">
      <c r="G87" s="276"/>
    </row>
    <row r="88" spans="7:7" ht="15.75">
      <c r="G88" s="276"/>
    </row>
    <row r="89" spans="7:7" ht="15.75">
      <c r="G89" s="276"/>
    </row>
    <row r="90" spans="7:7" ht="15.75">
      <c r="G90" s="276"/>
    </row>
    <row r="91" spans="7:7" ht="15.75">
      <c r="G91" s="276"/>
    </row>
    <row r="92" spans="7:7" ht="15.75">
      <c r="G92" s="276"/>
    </row>
    <row r="93" spans="7:7" ht="15.75">
      <c r="G93" s="276"/>
    </row>
    <row r="94" spans="7:7" ht="15.75">
      <c r="G94" s="276"/>
    </row>
    <row r="95" spans="7:7" ht="15.75">
      <c r="G95" s="276"/>
    </row>
    <row r="96" spans="7:7" ht="15.75">
      <c r="G96" s="276"/>
    </row>
    <row r="97" spans="7:7" ht="15.75">
      <c r="G97" s="276"/>
    </row>
    <row r="98" spans="7:7" ht="15.75">
      <c r="G98" s="276"/>
    </row>
    <row r="99" spans="7:7" ht="15.75">
      <c r="G99" s="276"/>
    </row>
    <row r="100" spans="7:7" ht="15.75">
      <c r="G100" s="276"/>
    </row>
    <row r="101" spans="7:7" ht="15.75">
      <c r="G101" s="276"/>
    </row>
    <row r="102" spans="7:7" ht="15.75">
      <c r="G102" s="276"/>
    </row>
    <row r="103" spans="7:7" ht="15.75">
      <c r="G103" s="276"/>
    </row>
    <row r="104" spans="7:7" ht="15.75">
      <c r="G104" s="276"/>
    </row>
    <row r="105" spans="7:7" ht="15.75">
      <c r="G105" s="276"/>
    </row>
    <row r="106" spans="7:7" ht="15.75">
      <c r="G106" s="276"/>
    </row>
    <row r="107" spans="7:7" ht="15.75">
      <c r="G107" s="276"/>
    </row>
    <row r="108" spans="7:7" ht="15.75">
      <c r="G108" s="276"/>
    </row>
    <row r="109" spans="7:7" ht="15.75">
      <c r="G109" s="276"/>
    </row>
    <row r="110" spans="7:7" ht="15.75">
      <c r="G110" s="276"/>
    </row>
    <row r="111" spans="7:7" ht="15.75">
      <c r="G111" s="276"/>
    </row>
    <row r="112" spans="7:7" ht="15.75">
      <c r="G112" s="276"/>
    </row>
    <row r="113" spans="7:7" ht="15.75">
      <c r="G113" s="276"/>
    </row>
    <row r="114" spans="7:7" ht="15.75">
      <c r="G114" s="276"/>
    </row>
    <row r="115" spans="7:7" ht="15.75">
      <c r="G115" s="276"/>
    </row>
    <row r="116" spans="7:7" ht="15.75">
      <c r="G116" s="276"/>
    </row>
    <row r="117" spans="7:7" ht="15.75">
      <c r="G117" s="276"/>
    </row>
    <row r="118" spans="7:7" ht="15.75">
      <c r="G118" s="276"/>
    </row>
    <row r="119" spans="7:7" ht="15.75">
      <c r="G119" s="276"/>
    </row>
    <row r="120" spans="7:7" ht="15.75">
      <c r="G120" s="276"/>
    </row>
    <row r="121" spans="7:7" ht="15.75">
      <c r="G121" s="276"/>
    </row>
    <row r="122" spans="7:7" ht="15.75">
      <c r="G122" s="276"/>
    </row>
    <row r="123" spans="7:7" ht="15.75">
      <c r="G123" s="276"/>
    </row>
    <row r="124" spans="7:7" ht="15.75">
      <c r="G124" s="276"/>
    </row>
    <row r="125" spans="7:7" ht="15.75">
      <c r="G125" s="276"/>
    </row>
    <row r="126" spans="7:7" ht="15.75">
      <c r="G126" s="276"/>
    </row>
    <row r="127" spans="7:7" ht="15.75">
      <c r="G127" s="276"/>
    </row>
    <row r="128" spans="7:7" ht="15.75">
      <c r="G128" s="276"/>
    </row>
    <row r="129" spans="7:7" ht="15.75">
      <c r="G129" s="276"/>
    </row>
    <row r="130" spans="7:7" ht="15.75">
      <c r="G130" s="276"/>
    </row>
    <row r="131" spans="7:7" ht="15.75">
      <c r="G131" s="276"/>
    </row>
    <row r="132" spans="7:7" ht="15.75">
      <c r="G132" s="276"/>
    </row>
    <row r="133" spans="7:7" ht="15.75">
      <c r="G133" s="276"/>
    </row>
    <row r="134" spans="7:7" ht="15.75">
      <c r="G134" s="276"/>
    </row>
    <row r="135" spans="7:7" ht="15.75">
      <c r="G135" s="276"/>
    </row>
    <row r="136" spans="7:7" ht="15.75">
      <c r="G136" s="276"/>
    </row>
    <row r="137" spans="7:7" ht="15.75">
      <c r="G137" s="276"/>
    </row>
    <row r="138" spans="7:7" ht="15.75">
      <c r="G138" s="276"/>
    </row>
    <row r="139" spans="7:7" ht="15.75">
      <c r="G139" s="276"/>
    </row>
    <row r="140" spans="7:7" ht="15.75">
      <c r="G140" s="276"/>
    </row>
    <row r="141" spans="7:7" ht="15.75">
      <c r="G141" s="276"/>
    </row>
    <row r="142" spans="7:7" ht="15.75">
      <c r="G142" s="276"/>
    </row>
    <row r="143" spans="7:7" ht="15.75">
      <c r="G143" s="276"/>
    </row>
    <row r="144" spans="7:7" ht="15.75">
      <c r="G144" s="276"/>
    </row>
    <row r="145" spans="7:7" ht="15.75">
      <c r="G145" s="276"/>
    </row>
    <row r="146" spans="7:7" ht="15.75">
      <c r="G146" s="276"/>
    </row>
    <row r="147" spans="7:7" ht="15.75">
      <c r="G147" s="276"/>
    </row>
    <row r="148" spans="7:7" ht="15.75">
      <c r="G148" s="276"/>
    </row>
    <row r="149" spans="7:7" ht="15.75">
      <c r="G149" s="276"/>
    </row>
    <row r="150" spans="7:7" ht="15.75">
      <c r="G150" s="276"/>
    </row>
    <row r="151" spans="7:7" ht="15.75">
      <c r="G151" s="276"/>
    </row>
    <row r="152" spans="7:7" ht="15.75">
      <c r="G152" s="276"/>
    </row>
    <row r="153" spans="7:7" ht="15.75">
      <c r="G153" s="276"/>
    </row>
    <row r="154" spans="7:7" ht="15.75">
      <c r="G154" s="276"/>
    </row>
    <row r="155" spans="7:7" ht="15.75">
      <c r="G155" s="276"/>
    </row>
    <row r="156" spans="7:7" ht="15.75">
      <c r="G156" s="276"/>
    </row>
    <row r="157" spans="7:7" ht="15.75">
      <c r="G157" s="276"/>
    </row>
    <row r="158" spans="7:7" ht="15.75">
      <c r="G158" s="276"/>
    </row>
    <row r="159" spans="7:7" ht="15.75">
      <c r="G159" s="276"/>
    </row>
    <row r="160" spans="7:7" ht="15.75">
      <c r="G160" s="276"/>
    </row>
    <row r="161" spans="7:7" ht="15.75">
      <c r="G161" s="276"/>
    </row>
    <row r="162" spans="7:7" ht="15.75">
      <c r="G162" s="276"/>
    </row>
    <row r="163" spans="7:7" ht="15.75">
      <c r="G163" s="276"/>
    </row>
    <row r="164" spans="7:7" ht="15.75">
      <c r="G164" s="276"/>
    </row>
    <row r="165" spans="7:7" ht="15.75">
      <c r="G165" s="276"/>
    </row>
    <row r="166" spans="7:7" ht="15.75">
      <c r="G166" s="276"/>
    </row>
    <row r="167" spans="7:7" ht="15.75">
      <c r="G167" s="276"/>
    </row>
    <row r="168" spans="7:7" ht="15.75">
      <c r="G168" s="276"/>
    </row>
    <row r="169" spans="7:7" ht="15.75">
      <c r="G169" s="276"/>
    </row>
    <row r="170" spans="7:7" ht="15.75">
      <c r="G170" s="276"/>
    </row>
    <row r="171" spans="7:7" ht="15.75">
      <c r="G171" s="276"/>
    </row>
    <row r="172" spans="7:7" ht="15.75">
      <c r="G172" s="276"/>
    </row>
    <row r="173" spans="7:7" ht="15.75">
      <c r="G173" s="276"/>
    </row>
    <row r="174" spans="7:7" ht="15.75">
      <c r="G174" s="276"/>
    </row>
    <row r="175" spans="7:7" ht="15.75">
      <c r="G175" s="276"/>
    </row>
    <row r="176" spans="7:7" ht="15.75">
      <c r="G176" s="276"/>
    </row>
    <row r="177" spans="7:7" ht="15.75">
      <c r="G177" s="276"/>
    </row>
    <row r="178" spans="7:7" ht="15.75">
      <c r="G178" s="276"/>
    </row>
    <row r="179" spans="7:7" ht="15.75">
      <c r="G179" s="276"/>
    </row>
    <row r="180" spans="7:7" ht="15.75">
      <c r="G180" s="276"/>
    </row>
    <row r="181" spans="7:7" ht="15.75">
      <c r="G181" s="276"/>
    </row>
    <row r="182" spans="7:7" ht="15.75">
      <c r="G182" s="276"/>
    </row>
    <row r="183" spans="7:7" ht="15.75">
      <c r="G183" s="276"/>
    </row>
    <row r="184" spans="7:7" ht="15.75">
      <c r="G184" s="276"/>
    </row>
    <row r="185" spans="7:7" ht="15.75">
      <c r="G185" s="276"/>
    </row>
    <row r="186" spans="7:7" ht="15.75">
      <c r="G186" s="276"/>
    </row>
    <row r="187" spans="7:7" ht="15.75">
      <c r="G187" s="276"/>
    </row>
    <row r="188" spans="7:7" ht="15.75">
      <c r="G188" s="276"/>
    </row>
    <row r="189" spans="7:7" ht="15.75">
      <c r="G189" s="276"/>
    </row>
    <row r="190" spans="7:7" ht="15.75">
      <c r="G190" s="276"/>
    </row>
    <row r="191" spans="7:7" ht="15.75">
      <c r="G191" s="276"/>
    </row>
    <row r="192" spans="7:7" ht="15.75">
      <c r="G192" s="276"/>
    </row>
    <row r="193" spans="7:7" ht="15.75">
      <c r="G193" s="276"/>
    </row>
    <row r="194" spans="7:7" ht="15.75">
      <c r="G194" s="276"/>
    </row>
    <row r="195" spans="7:7" ht="15.75">
      <c r="G195" s="276"/>
    </row>
    <row r="196" spans="7:7" ht="15.75">
      <c r="G196" s="276"/>
    </row>
    <row r="197" spans="7:7" ht="15.75">
      <c r="G197" s="276"/>
    </row>
    <row r="198" spans="7:7" ht="15.75">
      <c r="G198" s="276"/>
    </row>
    <row r="199" spans="7:7" ht="15.75">
      <c r="G199" s="276"/>
    </row>
    <row r="200" spans="7:7" ht="15.75">
      <c r="G200" s="276"/>
    </row>
    <row r="201" spans="7:7" ht="15.75">
      <c r="G201" s="276"/>
    </row>
    <row r="202" spans="7:7" ht="15.75">
      <c r="G202" s="276"/>
    </row>
    <row r="203" spans="7:7" ht="15.75">
      <c r="G203" s="276"/>
    </row>
    <row r="204" spans="7:7" ht="15.75">
      <c r="G204" s="276"/>
    </row>
    <row r="205" spans="7:7" ht="15.75">
      <c r="G205" s="276"/>
    </row>
    <row r="206" spans="7:7" ht="15.75">
      <c r="G206" s="276"/>
    </row>
    <row r="207" spans="7:7" ht="15.75">
      <c r="G207" s="276"/>
    </row>
    <row r="208" spans="7:7" ht="15.75">
      <c r="G208" s="276"/>
    </row>
    <row r="209" spans="7:7" ht="15.75">
      <c r="G209" s="276"/>
    </row>
    <row r="210" spans="7:7" ht="15.75">
      <c r="G210" s="276"/>
    </row>
    <row r="211" spans="7:7" ht="15.75">
      <c r="G211" s="276"/>
    </row>
    <row r="212" spans="7:7" ht="15.75">
      <c r="G212" s="276"/>
    </row>
    <row r="213" spans="7:7" ht="15.75">
      <c r="G213" s="276"/>
    </row>
    <row r="214" spans="7:7" ht="15.75">
      <c r="G214" s="276"/>
    </row>
    <row r="215" spans="7:7" ht="15.75">
      <c r="G215" s="276"/>
    </row>
    <row r="216" spans="7:7" ht="15.75">
      <c r="G216" s="276"/>
    </row>
    <row r="217" spans="7:7" ht="15.75">
      <c r="G217" s="276"/>
    </row>
    <row r="218" spans="7:7" ht="15.75">
      <c r="G218" s="276"/>
    </row>
    <row r="219" spans="7:7" ht="15.75">
      <c r="G219" s="276"/>
    </row>
    <row r="220" spans="7:7" ht="15.75">
      <c r="G220" s="276"/>
    </row>
    <row r="221" spans="7:7" ht="15.75">
      <c r="G221" s="276"/>
    </row>
    <row r="222" spans="7:7" ht="15.75">
      <c r="G222" s="276"/>
    </row>
    <row r="223" spans="7:7" ht="15.75">
      <c r="G223" s="276"/>
    </row>
    <row r="224" spans="7:7" ht="15.75">
      <c r="G224" s="276"/>
    </row>
    <row r="225" spans="7:7" ht="15.75">
      <c r="G225" s="276"/>
    </row>
    <row r="226" spans="7:7" ht="15.75">
      <c r="G226" s="276"/>
    </row>
    <row r="227" spans="7:7" ht="15.75">
      <c r="G227" s="276"/>
    </row>
    <row r="228" spans="7:7" ht="15.75">
      <c r="G228" s="276"/>
    </row>
    <row r="229" spans="7:7" ht="15.75">
      <c r="G229" s="276"/>
    </row>
    <row r="230" spans="7:7" ht="15.75">
      <c r="G230" s="276"/>
    </row>
    <row r="231" spans="7:7" ht="15.75">
      <c r="G231" s="276"/>
    </row>
    <row r="232" spans="7:7" ht="15.75">
      <c r="G232" s="276"/>
    </row>
    <row r="233" spans="7:7" ht="15.75">
      <c r="G233" s="276"/>
    </row>
    <row r="234" spans="7:7" ht="15.75">
      <c r="G234" s="276"/>
    </row>
    <row r="235" spans="7:7" ht="15.75">
      <c r="G235" s="276"/>
    </row>
    <row r="236" spans="7:7" ht="15.75">
      <c r="G236" s="276"/>
    </row>
    <row r="237" spans="7:7" ht="15.75">
      <c r="G237" s="276"/>
    </row>
    <row r="238" spans="7:7" ht="15.75">
      <c r="G238" s="276"/>
    </row>
    <row r="239" spans="7:7" ht="15.75">
      <c r="G239" s="276"/>
    </row>
    <row r="240" spans="7:7" ht="15.75">
      <c r="G240" s="276"/>
    </row>
    <row r="241" spans="7:7" ht="15.75">
      <c r="G241" s="276"/>
    </row>
    <row r="242" spans="7:7" ht="15.75">
      <c r="G242" s="276"/>
    </row>
    <row r="243" spans="7:7" ht="15.75">
      <c r="G243" s="276"/>
    </row>
    <row r="244" spans="7:7" ht="15.75">
      <c r="G244" s="276"/>
    </row>
    <row r="245" spans="7:7" ht="15.75">
      <c r="G245" s="276"/>
    </row>
    <row r="246" spans="7:7" ht="15.75">
      <c r="G246" s="276"/>
    </row>
    <row r="247" spans="7:7" ht="15.75">
      <c r="G247" s="276"/>
    </row>
    <row r="248" spans="7:7" ht="15.75">
      <c r="G248" s="276"/>
    </row>
    <row r="249" spans="7:7" ht="15.75">
      <c r="G249" s="276"/>
    </row>
    <row r="250" spans="7:7" ht="15.75">
      <c r="G250" s="276"/>
    </row>
    <row r="251" spans="7:7" ht="15.75">
      <c r="G251" s="276"/>
    </row>
    <row r="252" spans="7:7" ht="15.75">
      <c r="G252" s="276"/>
    </row>
    <row r="253" spans="7:7" ht="15.75">
      <c r="G253" s="276"/>
    </row>
    <row r="254" spans="7:7" ht="15.75">
      <c r="G254" s="276"/>
    </row>
    <row r="255" spans="7:7" ht="15.75">
      <c r="G255" s="276"/>
    </row>
    <row r="256" spans="7:7" ht="15.75">
      <c r="G256" s="276"/>
    </row>
    <row r="257" spans="7:7" ht="15.75">
      <c r="G257" s="276"/>
    </row>
    <row r="258" spans="7:7" ht="15.75">
      <c r="G258" s="276"/>
    </row>
    <row r="259" spans="7:7" ht="15.75">
      <c r="G259" s="276"/>
    </row>
    <row r="260" spans="7:7" ht="15.75">
      <c r="G260" s="276"/>
    </row>
    <row r="261" spans="7:7" ht="15.75">
      <c r="G261" s="276"/>
    </row>
    <row r="262" spans="7:7" ht="15.75">
      <c r="G262" s="276"/>
    </row>
    <row r="263" spans="7:7" ht="15.75">
      <c r="G263" s="276"/>
    </row>
    <row r="264" spans="7:7" ht="15.75">
      <c r="G264" s="276"/>
    </row>
    <row r="265" spans="7:7" ht="15.75">
      <c r="G265" s="276"/>
    </row>
    <row r="266" spans="7:7" ht="15.75">
      <c r="G266" s="276"/>
    </row>
    <row r="267" spans="7:7" ht="15.75">
      <c r="G267" s="276"/>
    </row>
    <row r="268" spans="7:7" ht="15.75">
      <c r="G268" s="276"/>
    </row>
    <row r="269" spans="7:7" ht="15.75">
      <c r="G269" s="276"/>
    </row>
    <row r="270" spans="7:7" ht="15.75">
      <c r="G270" s="276"/>
    </row>
    <row r="271" spans="7:7" ht="15.75">
      <c r="G271" s="276"/>
    </row>
    <row r="272" spans="7:7" ht="15.75">
      <c r="G272" s="276"/>
    </row>
    <row r="273" spans="7:7" ht="15.75">
      <c r="G273" s="276"/>
    </row>
    <row r="274" spans="7:7" ht="15.75">
      <c r="G274" s="276"/>
    </row>
    <row r="275" spans="7:7" ht="15.75">
      <c r="G275" s="276"/>
    </row>
    <row r="276" spans="7:7" ht="15.75">
      <c r="G276" s="276"/>
    </row>
    <row r="277" spans="7:7" ht="15.75">
      <c r="G277" s="276"/>
    </row>
    <row r="278" spans="7:7" ht="15.75">
      <c r="G278" s="276"/>
    </row>
    <row r="279" spans="7:7" ht="15.75">
      <c r="G279" s="276"/>
    </row>
    <row r="280" spans="7:7" ht="15.75">
      <c r="G280" s="276"/>
    </row>
    <row r="281" spans="7:7" ht="15.75">
      <c r="G281" s="276"/>
    </row>
    <row r="282" spans="7:7" ht="15.75">
      <c r="G282" s="276"/>
    </row>
    <row r="283" spans="7:7" ht="15.75">
      <c r="G283" s="276"/>
    </row>
    <row r="284" spans="7:7" ht="15.75">
      <c r="G284" s="276"/>
    </row>
    <row r="285" spans="7:7" ht="15.75">
      <c r="G285" s="276"/>
    </row>
    <row r="286" spans="7:7" ht="15.75">
      <c r="G286" s="276"/>
    </row>
    <row r="287" spans="7:7" ht="15.75">
      <c r="G287" s="276"/>
    </row>
    <row r="288" spans="7:7" ht="15.75">
      <c r="G288" s="276"/>
    </row>
    <row r="289" spans="7:7" ht="15.75">
      <c r="G289" s="276"/>
    </row>
    <row r="290" spans="7:7" ht="15.75">
      <c r="G290" s="276"/>
    </row>
    <row r="291" spans="7:7" ht="15.75">
      <c r="G291" s="276"/>
    </row>
    <row r="292" spans="7:7" ht="15.75">
      <c r="G292" s="276"/>
    </row>
    <row r="293" spans="7:7" ht="15.75">
      <c r="G293" s="276"/>
    </row>
    <row r="294" spans="7:7" ht="15.75">
      <c r="G294" s="276"/>
    </row>
    <row r="295" spans="7:7" ht="15.75">
      <c r="G295" s="276"/>
    </row>
    <row r="296" spans="7:7" ht="15.75">
      <c r="G296" s="276"/>
    </row>
    <row r="297" spans="7:7" ht="15.75">
      <c r="G297" s="276"/>
    </row>
    <row r="298" spans="7:7" ht="15.75">
      <c r="G298" s="276"/>
    </row>
    <row r="299" spans="7:7" ht="15.75">
      <c r="G299" s="276"/>
    </row>
    <row r="300" spans="7:7" ht="15.75">
      <c r="G300" s="276"/>
    </row>
    <row r="301" spans="7:7" ht="15.75">
      <c r="G301" s="276"/>
    </row>
    <row r="302" spans="7:7" ht="15.75">
      <c r="G302" s="276"/>
    </row>
    <row r="303" spans="7:7" ht="15.75">
      <c r="G303" s="276"/>
    </row>
    <row r="304" spans="7:7" ht="15.75">
      <c r="G304" s="276"/>
    </row>
    <row r="305" spans="7:7" ht="15.75">
      <c r="G305" s="276"/>
    </row>
    <row r="306" spans="7:7" ht="15.75">
      <c r="G306" s="276"/>
    </row>
    <row r="307" spans="7:7" ht="15.75">
      <c r="G307" s="276"/>
    </row>
    <row r="308" spans="7:7" ht="15.75">
      <c r="G308" s="276"/>
    </row>
    <row r="309" spans="7:7" ht="15.75">
      <c r="G309" s="276"/>
    </row>
    <row r="310" spans="7:7" ht="15.75">
      <c r="G310" s="276"/>
    </row>
    <row r="311" spans="7:7" ht="15.75">
      <c r="G311" s="276"/>
    </row>
    <row r="312" spans="7:7" ht="15.75">
      <c r="G312" s="276"/>
    </row>
    <row r="313" spans="7:7" ht="15.75">
      <c r="G313" s="276"/>
    </row>
    <row r="314" spans="7:7" ht="15.75">
      <c r="G314" s="276"/>
    </row>
    <row r="315" spans="7:7" ht="15.75">
      <c r="G315" s="276"/>
    </row>
    <row r="316" spans="7:7" ht="15.75">
      <c r="G316" s="276"/>
    </row>
    <row r="317" spans="7:7" ht="15.75">
      <c r="G317" s="276"/>
    </row>
    <row r="318" spans="7:7" ht="15.75">
      <c r="G318" s="276"/>
    </row>
    <row r="319" spans="7:7" ht="15.75">
      <c r="G319" s="276"/>
    </row>
    <row r="320" spans="7:7" ht="15.75">
      <c r="G320" s="276"/>
    </row>
    <row r="321" spans="7:7" ht="15.75">
      <c r="G321" s="276"/>
    </row>
    <row r="322" spans="7:7" ht="15.75">
      <c r="G322" s="276"/>
    </row>
    <row r="323" spans="7:7" ht="15.75">
      <c r="G323" s="276"/>
    </row>
    <row r="324" spans="7:7" ht="15.75">
      <c r="G324" s="276"/>
    </row>
    <row r="325" spans="7:7" ht="15.75">
      <c r="G325" s="276"/>
    </row>
    <row r="326" spans="7:7" ht="15.75">
      <c r="G326" s="276"/>
    </row>
    <row r="327" spans="7:7" ht="15.75">
      <c r="G327" s="276"/>
    </row>
    <row r="328" spans="7:7" ht="15.75">
      <c r="G328" s="276"/>
    </row>
    <row r="329" spans="7:7" ht="15.75">
      <c r="G329" s="276"/>
    </row>
    <row r="330" spans="7:7" ht="15.75">
      <c r="G330" s="276"/>
    </row>
    <row r="331" spans="7:7" ht="15.75">
      <c r="G331" s="276"/>
    </row>
    <row r="332" spans="7:7" ht="15.75">
      <c r="G332" s="276"/>
    </row>
    <row r="333" spans="7:7" ht="15.75">
      <c r="G333" s="276"/>
    </row>
    <row r="334" spans="7:7" ht="15.75">
      <c r="G334" s="276"/>
    </row>
    <row r="335" spans="7:7" ht="15.75">
      <c r="G335" s="276"/>
    </row>
    <row r="336" spans="7:7" ht="15.75">
      <c r="G336" s="276"/>
    </row>
    <row r="337" spans="7:7" ht="15.75">
      <c r="G337" s="276"/>
    </row>
    <row r="338" spans="7:7" ht="15.75">
      <c r="G338" s="276"/>
    </row>
    <row r="339" spans="7:7" ht="15.75">
      <c r="G339" s="276"/>
    </row>
    <row r="340" spans="7:7" ht="15.75">
      <c r="G340" s="276"/>
    </row>
    <row r="341" spans="7:7" ht="15.75">
      <c r="G341" s="276"/>
    </row>
    <row r="342" spans="7:7" ht="15.75">
      <c r="G342" s="276"/>
    </row>
    <row r="343" spans="7:7" ht="15.75">
      <c r="G343" s="276"/>
    </row>
    <row r="344" spans="7:7" ht="15.75">
      <c r="G344" s="276"/>
    </row>
    <row r="345" spans="7:7" ht="15.75">
      <c r="G345" s="276"/>
    </row>
    <row r="346" spans="7:7" ht="15.75">
      <c r="G346" s="276"/>
    </row>
    <row r="347" spans="7:7" ht="15.75">
      <c r="G347" s="276"/>
    </row>
    <row r="348" spans="7:7" ht="15.75">
      <c r="G348" s="276"/>
    </row>
    <row r="349" spans="7:7" ht="15.75">
      <c r="G349" s="276"/>
    </row>
    <row r="350" spans="7:7" ht="15.75">
      <c r="G350" s="276"/>
    </row>
    <row r="351" spans="7:7" ht="15.75">
      <c r="G351" s="276"/>
    </row>
    <row r="352" spans="7:7" ht="15.75">
      <c r="G352" s="276"/>
    </row>
    <row r="353" spans="7:7" ht="15.75">
      <c r="G353" s="276"/>
    </row>
    <row r="354" spans="7:7" ht="15.75">
      <c r="G354" s="276"/>
    </row>
    <row r="355" spans="7:7" ht="15.75">
      <c r="G355" s="276"/>
    </row>
    <row r="356" spans="7:7" ht="15.75">
      <c r="G356" s="276"/>
    </row>
    <row r="357" spans="7:7" ht="15.75">
      <c r="G357" s="276"/>
    </row>
    <row r="358" spans="7:7" ht="15.75">
      <c r="G358" s="276"/>
    </row>
    <row r="359" spans="7:7" ht="15.75">
      <c r="G359" s="276"/>
    </row>
    <row r="360" spans="7:7" ht="15.75">
      <c r="G360" s="276"/>
    </row>
    <row r="361" spans="7:7" ht="15.75">
      <c r="G361" s="276"/>
    </row>
    <row r="362" spans="7:7" ht="15.75">
      <c r="G362" s="276"/>
    </row>
    <row r="363" spans="7:7" ht="15.75">
      <c r="G363" s="276"/>
    </row>
    <row r="364" spans="7:7" ht="15.75">
      <c r="G364" s="276"/>
    </row>
    <row r="365" spans="7:7" ht="15.75">
      <c r="G365" s="276"/>
    </row>
    <row r="366" spans="7:7" ht="15.75">
      <c r="G366" s="276"/>
    </row>
    <row r="367" spans="7:7" ht="15.75">
      <c r="G367" s="276"/>
    </row>
    <row r="368" spans="7:7" ht="15.75">
      <c r="G368" s="276"/>
    </row>
    <row r="369" spans="7:7" ht="15.75">
      <c r="G369" s="276"/>
    </row>
    <row r="370" spans="7:7" ht="15.75">
      <c r="G370" s="276"/>
    </row>
    <row r="371" spans="7:7" ht="15.75">
      <c r="G371" s="276"/>
    </row>
    <row r="372" spans="7:7" ht="15.75">
      <c r="G372" s="276"/>
    </row>
    <row r="373" spans="7:7" ht="15.75">
      <c r="G373" s="276"/>
    </row>
    <row r="374" spans="7:7" ht="15.75">
      <c r="G374" s="276"/>
    </row>
    <row r="375" spans="7:7" ht="15.75">
      <c r="G375" s="276"/>
    </row>
    <row r="376" spans="7:7" ht="15.75">
      <c r="G376" s="276"/>
    </row>
    <row r="377" spans="7:7" ht="15.75">
      <c r="G377" s="276"/>
    </row>
    <row r="378" spans="7:7" ht="15.75">
      <c r="G378" s="276"/>
    </row>
    <row r="379" spans="7:7" ht="15.75">
      <c r="G379" s="276"/>
    </row>
    <row r="380" spans="7:7" ht="15.75">
      <c r="G380" s="276"/>
    </row>
    <row r="381" spans="7:7" ht="15.75">
      <c r="G381" s="276"/>
    </row>
    <row r="382" spans="7:7" ht="15.75">
      <c r="G382" s="276"/>
    </row>
    <row r="383" spans="7:7" ht="15.75">
      <c r="G383" s="276"/>
    </row>
    <row r="384" spans="7:7" ht="15.75">
      <c r="G384" s="276"/>
    </row>
    <row r="385" spans="7:7" ht="15.75">
      <c r="G385" s="276"/>
    </row>
    <row r="386" spans="7:7" ht="15.75">
      <c r="G386" s="276"/>
    </row>
    <row r="387" spans="7:7" ht="15.75">
      <c r="G387" s="276"/>
    </row>
    <row r="388" spans="7:7" ht="15.75">
      <c r="G388" s="276"/>
    </row>
    <row r="389" spans="7:7" ht="15.75">
      <c r="G389" s="276"/>
    </row>
    <row r="390" spans="7:7" ht="15.75">
      <c r="G390" s="276"/>
    </row>
    <row r="391" spans="7:7" ht="15.75">
      <c r="G391" s="276"/>
    </row>
    <row r="392" spans="7:7" ht="15.75">
      <c r="G392" s="276"/>
    </row>
    <row r="393" spans="7:7" ht="15.75">
      <c r="G393" s="276"/>
    </row>
    <row r="394" spans="7:7" ht="15.75">
      <c r="G394" s="276"/>
    </row>
    <row r="395" spans="7:7" ht="15.75">
      <c r="G395" s="276"/>
    </row>
    <row r="396" spans="7:7" ht="15.75">
      <c r="G396" s="276"/>
    </row>
    <row r="397" spans="7:7" ht="15.75">
      <c r="G397" s="276"/>
    </row>
    <row r="398" spans="7:7" ht="15.75">
      <c r="G398" s="276"/>
    </row>
    <row r="399" spans="7:7" ht="15.75">
      <c r="G399" s="276"/>
    </row>
    <row r="400" spans="7:7" ht="15.75">
      <c r="G400" s="276"/>
    </row>
    <row r="401" spans="7:7" ht="15.75">
      <c r="G401" s="276"/>
    </row>
    <row r="402" spans="7:7" ht="15.75">
      <c r="G402" s="276"/>
    </row>
    <row r="403" spans="7:7" ht="15.75">
      <c r="G403" s="276"/>
    </row>
    <row r="404" spans="7:7" ht="15.75">
      <c r="G404" s="276"/>
    </row>
    <row r="405" spans="7:7" ht="15.75">
      <c r="G405" s="276"/>
    </row>
    <row r="406" spans="7:7" ht="15.75">
      <c r="G406" s="276"/>
    </row>
    <row r="407" spans="7:7" ht="15.75">
      <c r="G407" s="276"/>
    </row>
    <row r="408" spans="7:7" ht="15.75">
      <c r="G408" s="276"/>
    </row>
    <row r="409" spans="7:7" ht="15.75">
      <c r="G409" s="276"/>
    </row>
    <row r="410" spans="7:7" ht="15.75">
      <c r="G410" s="276"/>
    </row>
    <row r="411" spans="7:7" ht="15.75">
      <c r="G411" s="276"/>
    </row>
    <row r="412" spans="7:7" ht="15.75">
      <c r="G412" s="276"/>
    </row>
    <row r="413" spans="7:7" ht="15.75">
      <c r="G413" s="276"/>
    </row>
    <row r="414" spans="7:7" ht="15.75">
      <c r="G414" s="276"/>
    </row>
    <row r="415" spans="7:7" ht="15.75">
      <c r="G415" s="276"/>
    </row>
  </sheetData>
  <mergeCells count="1">
    <mergeCell ref="B7:H7"/>
  </mergeCells>
  <phoneticPr fontId="0" type="noConversion"/>
  <printOptions horizontalCentered="1"/>
  <pageMargins left="0.45" right="0.45" top="0.5" bottom="0.75" header="0.5" footer="0.25"/>
  <pageSetup scale="60" firstPageNumber="96" orientation="portrait" useFirstPageNumber="1" r:id="rId1"/>
  <headerFooter alignWithMargins="0">
    <oddFooter xml:space="preserve">&amp;C
</oddFooter>
  </headerFooter>
  <colBreaks count="1" manualBreakCount="1">
    <brk id="18"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ransitionEvaluation="1" codeName="Sheet29"/>
  <dimension ref="A3:S70"/>
  <sheetViews>
    <sheetView showGridLines="0" topLeftCell="A4" zoomScale="70" zoomScaleNormal="70" workbookViewId="0">
      <selection activeCell="R35" sqref="R35"/>
    </sheetView>
  </sheetViews>
  <sheetFormatPr defaultColWidth="9.7109375" defaultRowHeight="12.75"/>
  <cols>
    <col min="1" max="1" width="2.7109375" style="288" customWidth="1"/>
    <col min="2" max="2" width="45.28515625" style="288" customWidth="1"/>
    <col min="3" max="3" width="2.7109375" style="288" customWidth="1"/>
    <col min="4" max="4" width="15.140625" style="288" bestFit="1" customWidth="1"/>
    <col min="5" max="5" width="2.28515625" style="288" customWidth="1"/>
    <col min="6" max="6" width="15.140625" style="288" bestFit="1" customWidth="1"/>
    <col min="7" max="7" width="2.28515625" style="288" customWidth="1"/>
    <col min="8" max="8" width="15.140625" style="288" customWidth="1"/>
    <col min="9" max="9" width="2.28515625" style="288" customWidth="1"/>
    <col min="10" max="10" width="15.140625" style="288" customWidth="1"/>
    <col min="11" max="11" width="2.28515625" style="288" customWidth="1"/>
    <col min="12" max="12" width="19.42578125" style="288" customWidth="1"/>
    <col min="13" max="13" width="2.85546875" style="288" customWidth="1"/>
    <col min="14" max="14" width="16" style="288" customWidth="1"/>
    <col min="15" max="15" width="2.7109375" style="288" customWidth="1"/>
    <col min="16" max="16" width="13.140625" style="288" customWidth="1"/>
    <col min="17" max="17" width="13.28515625" style="288" bestFit="1" customWidth="1"/>
    <col min="18" max="18" width="11" style="288" bestFit="1" customWidth="1"/>
    <col min="19" max="19" width="20.42578125" style="288" bestFit="1" customWidth="1"/>
    <col min="20" max="16384" width="9.7109375" style="288"/>
  </cols>
  <sheetData>
    <row r="3" spans="1:17" ht="15.75">
      <c r="B3" s="305" t="s">
        <v>1049</v>
      </c>
      <c r="C3" s="305"/>
      <c r="D3" s="305"/>
      <c r="E3" s="305"/>
      <c r="F3" s="305"/>
      <c r="G3" s="305"/>
      <c r="H3" s="305"/>
      <c r="I3" s="305"/>
      <c r="J3" s="305"/>
      <c r="K3" s="305"/>
      <c r="L3" s="305"/>
      <c r="M3" s="289"/>
      <c r="N3" s="289"/>
    </row>
    <row r="4" spans="1:17" ht="15.75">
      <c r="B4" s="305" t="s">
        <v>301</v>
      </c>
      <c r="C4" s="305"/>
      <c r="D4" s="305"/>
      <c r="E4" s="305"/>
      <c r="F4" s="305"/>
      <c r="G4" s="305"/>
      <c r="H4" s="305"/>
      <c r="I4" s="305"/>
      <c r="J4" s="305"/>
      <c r="K4" s="305"/>
      <c r="L4" s="305"/>
      <c r="M4" s="289"/>
      <c r="N4" s="289"/>
    </row>
    <row r="5" spans="1:17" ht="15.75">
      <c r="B5" s="305" t="s">
        <v>6</v>
      </c>
      <c r="C5" s="305"/>
      <c r="D5" s="305"/>
      <c r="E5" s="305"/>
      <c r="F5" s="305"/>
      <c r="G5" s="305"/>
      <c r="H5" s="305"/>
      <c r="I5" s="305"/>
      <c r="J5" s="305"/>
      <c r="K5" s="305"/>
      <c r="L5" s="305"/>
      <c r="M5" s="289"/>
      <c r="N5" s="289"/>
    </row>
    <row r="6" spans="1:17" ht="15.75">
      <c r="B6" s="395" t="str">
        <f>+'Sys INPUT'!B2</f>
        <v>For the  Fiscal Year Ended June 30, 2023</v>
      </c>
      <c r="C6" s="305"/>
      <c r="D6" s="305"/>
      <c r="E6" s="305"/>
      <c r="F6" s="305"/>
      <c r="G6" s="305"/>
      <c r="H6" s="305"/>
      <c r="I6" s="305"/>
      <c r="J6" s="305"/>
      <c r="K6" s="305"/>
      <c r="L6" s="305"/>
      <c r="M6" s="289"/>
      <c r="N6" s="289"/>
    </row>
    <row r="7" spans="1:17" ht="15.75">
      <c r="B7" s="395"/>
      <c r="C7" s="305"/>
      <c r="D7" s="305"/>
      <c r="E7" s="305"/>
      <c r="F7" s="305"/>
      <c r="G7" s="305"/>
      <c r="H7" s="305"/>
      <c r="I7" s="305"/>
      <c r="J7" s="305"/>
      <c r="K7" s="305"/>
      <c r="L7" s="305"/>
      <c r="M7" s="289"/>
      <c r="N7" s="289"/>
    </row>
    <row r="8" spans="1:17" ht="15.75">
      <c r="B8" s="305"/>
      <c r="C8" s="305"/>
      <c r="D8" s="305"/>
      <c r="E8" s="305"/>
      <c r="F8" s="305"/>
      <c r="G8" s="305"/>
      <c r="H8" s="305"/>
      <c r="I8" s="305"/>
      <c r="J8" s="305"/>
      <c r="K8" s="305"/>
      <c r="L8" s="305"/>
      <c r="N8" s="305"/>
      <c r="O8" s="305"/>
    </row>
    <row r="9" spans="1:17" ht="15.75">
      <c r="B9" s="305"/>
      <c r="C9" s="305"/>
      <c r="D9" s="305"/>
      <c r="E9" s="305"/>
      <c r="F9" s="305"/>
      <c r="G9" s="305"/>
      <c r="H9" s="305"/>
      <c r="I9" s="305"/>
      <c r="J9" s="305"/>
      <c r="K9" s="305"/>
      <c r="L9" s="305"/>
      <c r="N9" s="308"/>
      <c r="O9" s="308"/>
    </row>
    <row r="10" spans="1:17" ht="15.75">
      <c r="B10" s="308"/>
      <c r="C10" s="308"/>
      <c r="D10" s="308"/>
      <c r="E10" s="308"/>
      <c r="F10" s="308"/>
      <c r="G10" s="308"/>
      <c r="H10" s="308"/>
      <c r="I10" s="308"/>
      <c r="J10" s="308"/>
      <c r="K10" s="308"/>
      <c r="L10" s="305"/>
      <c r="N10" s="308"/>
      <c r="O10" s="308"/>
      <c r="P10" s="308"/>
      <c r="Q10" s="308"/>
    </row>
    <row r="11" spans="1:17" ht="15.75">
      <c r="B11" s="308"/>
      <c r="C11" s="287"/>
      <c r="D11" s="287"/>
      <c r="E11" s="287"/>
      <c r="F11" s="287"/>
      <c r="G11" s="287"/>
      <c r="H11" s="287" t="str">
        <f>INPUT!BU5</f>
        <v>FEDERAL</v>
      </c>
      <c r="I11" s="287"/>
      <c r="J11" s="287" t="str">
        <f>INPUT!BV5</f>
        <v>DETENTION</v>
      </c>
      <c r="L11" s="287" t="str">
        <f>INPUT!BW5</f>
        <v>ROAD/BRIDGE</v>
      </c>
      <c r="N11" s="287" t="str">
        <f>INPUT!BY5</f>
        <v>TOTAL</v>
      </c>
      <c r="O11" s="287"/>
      <c r="P11" s="308"/>
      <c r="Q11" s="308"/>
    </row>
    <row r="12" spans="1:17" ht="15.75">
      <c r="B12" s="308"/>
      <c r="C12" s="287"/>
      <c r="D12" s="287" t="str">
        <f>INPUT!BS6</f>
        <v>CTEP</v>
      </c>
      <c r="E12" s="287"/>
      <c r="F12" s="287" t="str">
        <f>INPUT!BT6</f>
        <v>RID</v>
      </c>
      <c r="G12" s="287"/>
      <c r="H12" s="287" t="str">
        <f>INPUT!BU6</f>
        <v>GRANT</v>
      </c>
      <c r="I12" s="287"/>
      <c r="J12" s="287" t="str">
        <f>INPUT!BV6</f>
        <v>CENTER</v>
      </c>
      <c r="L12" s="287" t="str">
        <f>INPUT!BW6</f>
        <v>INFRASTRUCTURE</v>
      </c>
      <c r="M12" s="287"/>
      <c r="N12" s="287" t="str">
        <f>INPUT!BY6</f>
        <v>CAPITAL</v>
      </c>
      <c r="O12" s="287"/>
      <c r="P12" s="308"/>
      <c r="Q12" s="308"/>
    </row>
    <row r="13" spans="1:17" ht="15.75">
      <c r="B13" s="308"/>
      <c r="C13" s="287"/>
      <c r="D13" s="290" t="str">
        <f>INPUT!BS7</f>
        <v>PROJECTS</v>
      </c>
      <c r="E13" s="287"/>
      <c r="F13" s="290" t="str">
        <f>INPUT!BT7</f>
        <v>PROJECTS</v>
      </c>
      <c r="G13" s="287"/>
      <c r="H13" s="290" t="str">
        <f>INPUT!BU7</f>
        <v>PROJECTS</v>
      </c>
      <c r="I13" s="287"/>
      <c r="J13" s="290" t="str">
        <f>INPUT!BV7</f>
        <v>REMODEL</v>
      </c>
      <c r="L13" s="290" t="str">
        <f>INPUT!BW7</f>
        <v>PROJECTS</v>
      </c>
      <c r="M13" s="287"/>
      <c r="N13" s="290" t="str">
        <f>INPUT!BY7</f>
        <v>PROJECTS</v>
      </c>
      <c r="O13" s="287"/>
      <c r="P13" s="308"/>
      <c r="Q13" s="308"/>
    </row>
    <row r="14" spans="1:17" ht="15.75">
      <c r="B14" s="308" t="str">
        <f>INPUT!B9</f>
        <v>REVENUES</v>
      </c>
      <c r="C14" s="308"/>
      <c r="D14" s="308"/>
      <c r="E14" s="308"/>
      <c r="F14" s="308"/>
      <c r="G14" s="308"/>
      <c r="H14" s="308"/>
      <c r="I14" s="308"/>
      <c r="J14" s="308"/>
      <c r="K14" s="308"/>
      <c r="L14" s="305"/>
      <c r="M14" s="308"/>
      <c r="N14" s="308"/>
      <c r="O14" s="308"/>
      <c r="P14" s="308"/>
      <c r="Q14" s="308"/>
    </row>
    <row r="15" spans="1:17" ht="15.75" hidden="1">
      <c r="B15" s="276" t="str">
        <f>INPUT!B10</f>
        <v xml:space="preserve">     Taxes/assessments</v>
      </c>
      <c r="C15" s="303"/>
      <c r="D15" s="292">
        <f>+INPUT!BS10</f>
        <v>0</v>
      </c>
      <c r="E15" s="303"/>
      <c r="F15" s="292">
        <f>+INPUT!BT10</f>
        <v>0</v>
      </c>
      <c r="G15" s="303"/>
      <c r="H15" s="292">
        <f>+INPUT!BU10</f>
        <v>0</v>
      </c>
      <c r="I15" s="303"/>
      <c r="J15" s="292">
        <f>+INPUT!BV10</f>
        <v>0</v>
      </c>
      <c r="K15" s="303"/>
      <c r="L15" s="292">
        <f>+INPUT!BW10</f>
        <v>0</v>
      </c>
      <c r="M15" s="303"/>
      <c r="N15" s="292">
        <f t="shared" ref="N15:N21" si="0">SUM(C15:M15)</f>
        <v>0</v>
      </c>
      <c r="O15" s="292"/>
      <c r="P15" s="276"/>
      <c r="Q15" s="276"/>
    </row>
    <row r="16" spans="1:17" ht="15.75" hidden="1">
      <c r="A16" s="288" t="s">
        <v>299</v>
      </c>
      <c r="B16" s="276" t="str">
        <f>INPUT!B11</f>
        <v xml:space="preserve">     Licenses and permits</v>
      </c>
      <c r="C16" s="276"/>
      <c r="D16" s="294" t="str">
        <f>IF(+INPUT!BS11&lt;&gt;0,+INPUT!BS11,"-")</f>
        <v>-</v>
      </c>
      <c r="E16" s="276"/>
      <c r="F16" s="294" t="str">
        <f>IF(+INPUT!BT11&lt;&gt;0,+INPUT!BT11,"-")</f>
        <v>-</v>
      </c>
      <c r="G16" s="276"/>
      <c r="H16" s="294" t="str">
        <f>IF(+INPUT!BU11&lt;&gt;0,+INPUT!BU11,"-")</f>
        <v>-</v>
      </c>
      <c r="I16" s="276"/>
      <c r="J16" s="294">
        <f>+INPUT!BV11</f>
        <v>0</v>
      </c>
      <c r="K16" s="276"/>
      <c r="L16" s="294">
        <f>+INPUT!BW11</f>
        <v>0</v>
      </c>
      <c r="M16" s="276"/>
      <c r="N16" s="294">
        <f t="shared" si="0"/>
        <v>0</v>
      </c>
      <c r="O16" s="294"/>
      <c r="P16" s="276"/>
      <c r="Q16" s="276"/>
    </row>
    <row r="17" spans="1:18" ht="15.75">
      <c r="B17" s="276" t="str">
        <f>INPUT!B12</f>
        <v xml:space="preserve">     Intergovernmental</v>
      </c>
      <c r="C17" s="276"/>
      <c r="D17" s="292">
        <f>+INPUT!BS12</f>
        <v>0</v>
      </c>
      <c r="E17" s="276"/>
      <c r="F17" s="292">
        <f>+INPUT!BT12</f>
        <v>0</v>
      </c>
      <c r="G17" s="276"/>
      <c r="H17" s="292">
        <f>+INPUT!BU12</f>
        <v>0</v>
      </c>
      <c r="I17" s="276"/>
      <c r="J17" s="292">
        <f>+INPUT!BV12</f>
        <v>0</v>
      </c>
      <c r="K17" s="276"/>
      <c r="L17" s="292">
        <f>+INPUT!BW12</f>
        <v>13259</v>
      </c>
      <c r="M17" s="276"/>
      <c r="N17" s="292">
        <f t="shared" si="0"/>
        <v>13259</v>
      </c>
      <c r="O17" s="292"/>
      <c r="P17" s="276"/>
      <c r="Q17" s="276"/>
    </row>
    <row r="18" spans="1:18" ht="15.75" hidden="1">
      <c r="A18" s="288" t="s">
        <v>299</v>
      </c>
      <c r="B18" s="276" t="str">
        <f>INPUT!B13</f>
        <v xml:space="preserve">     Charges for services</v>
      </c>
      <c r="C18" s="276"/>
      <c r="D18" s="294"/>
      <c r="E18" s="276"/>
      <c r="F18" s="294"/>
      <c r="G18" s="276"/>
      <c r="H18" s="294"/>
      <c r="I18" s="276"/>
      <c r="J18" s="294">
        <f>+INPUT!BV13</f>
        <v>0</v>
      </c>
      <c r="K18" s="276"/>
      <c r="L18" s="294">
        <f>+INPUT!BW13</f>
        <v>0</v>
      </c>
      <c r="M18" s="276"/>
      <c r="N18" s="294">
        <f t="shared" si="0"/>
        <v>0</v>
      </c>
      <c r="O18" s="294"/>
      <c r="P18" s="276"/>
      <c r="Q18" s="276"/>
    </row>
    <row r="19" spans="1:18" ht="15.75" hidden="1">
      <c r="A19" s="288" t="s">
        <v>299</v>
      </c>
      <c r="B19" s="276" t="str">
        <f>INPUT!B14</f>
        <v xml:space="preserve">     Fines and forfeitures</v>
      </c>
      <c r="C19" s="276"/>
      <c r="D19" s="294"/>
      <c r="E19" s="276"/>
      <c r="F19" s="294"/>
      <c r="G19" s="276"/>
      <c r="H19" s="294"/>
      <c r="I19" s="276"/>
      <c r="J19" s="294">
        <f>+INPUT!BV14</f>
        <v>0</v>
      </c>
      <c r="K19" s="276"/>
      <c r="L19" s="294">
        <f>+INPUT!BW14</f>
        <v>0</v>
      </c>
      <c r="M19" s="276"/>
      <c r="N19" s="294">
        <f t="shared" si="0"/>
        <v>0</v>
      </c>
      <c r="O19" s="294"/>
      <c r="P19" s="276"/>
      <c r="Q19" s="276"/>
    </row>
    <row r="20" spans="1:18" ht="15.75">
      <c r="B20" s="276" t="str">
        <f>INPUT!B15</f>
        <v xml:space="preserve">     Miscellaneous</v>
      </c>
      <c r="C20" s="276"/>
      <c r="D20" s="294">
        <f>+INPUT!BS15</f>
        <v>0</v>
      </c>
      <c r="E20" s="276"/>
      <c r="F20" s="294">
        <f>+INPUT!BT15</f>
        <v>0</v>
      </c>
      <c r="G20" s="276"/>
      <c r="H20" s="294">
        <f>+INPUT!BU15</f>
        <v>0</v>
      </c>
      <c r="I20" s="276"/>
      <c r="J20" s="294">
        <f>+INPUT!BV15</f>
        <v>0</v>
      </c>
      <c r="K20" s="276"/>
      <c r="L20" s="294">
        <f>+INPUT!BW15</f>
        <v>111</v>
      </c>
      <c r="M20" s="276"/>
      <c r="N20" s="294">
        <f t="shared" si="0"/>
        <v>111</v>
      </c>
      <c r="O20" s="294"/>
      <c r="P20" s="276"/>
      <c r="Q20" s="276"/>
    </row>
    <row r="21" spans="1:18" ht="15.75">
      <c r="B21" s="276" t="str">
        <f>INPUT!B16</f>
        <v xml:space="preserve">     Interest earnings</v>
      </c>
      <c r="C21" s="276"/>
      <c r="D21" s="317">
        <f>+INPUT!BS16</f>
        <v>0</v>
      </c>
      <c r="E21" s="276"/>
      <c r="F21" s="317">
        <f>+INPUT!BT16</f>
        <v>0</v>
      </c>
      <c r="G21" s="276"/>
      <c r="H21" s="317">
        <f>+INPUT!BU16</f>
        <v>0</v>
      </c>
      <c r="I21" s="276"/>
      <c r="J21" s="317">
        <f>+INPUT!BV16</f>
        <v>317</v>
      </c>
      <c r="K21" s="276"/>
      <c r="L21" s="317">
        <f>+INPUT!BW16</f>
        <v>0</v>
      </c>
      <c r="M21" s="276"/>
      <c r="N21" s="294">
        <f t="shared" si="0"/>
        <v>317</v>
      </c>
      <c r="O21" s="294"/>
      <c r="P21" s="276"/>
      <c r="Q21" s="276"/>
    </row>
    <row r="22" spans="1:18" ht="15.75">
      <c r="B22" s="276"/>
      <c r="C22" s="276"/>
      <c r="D22" s="337"/>
      <c r="E22" s="276"/>
      <c r="F22" s="337"/>
      <c r="G22" s="276"/>
      <c r="H22" s="337"/>
      <c r="I22" s="276"/>
      <c r="J22" s="337"/>
      <c r="K22" s="276"/>
      <c r="L22" s="337"/>
      <c r="M22" s="276"/>
      <c r="N22" s="337"/>
      <c r="O22" s="294"/>
      <c r="P22" s="276"/>
      <c r="Q22" s="276"/>
    </row>
    <row r="23" spans="1:18" ht="15.75">
      <c r="B23" s="308" t="str">
        <f>INPUT!B18</f>
        <v xml:space="preserve">         Total revenues</v>
      </c>
      <c r="C23" s="308"/>
      <c r="D23" s="301">
        <f>SUM(D15:D22)</f>
        <v>0</v>
      </c>
      <c r="E23" s="308"/>
      <c r="F23" s="301">
        <f>SUM(F15:F22)</f>
        <v>0</v>
      </c>
      <c r="G23" s="308"/>
      <c r="H23" s="301">
        <f>SUM(H15:H22)</f>
        <v>0</v>
      </c>
      <c r="I23" s="308"/>
      <c r="J23" s="301">
        <f>SUM(J15:J22)</f>
        <v>317</v>
      </c>
      <c r="K23" s="308"/>
      <c r="L23" s="301">
        <f>SUM(L15:L22)</f>
        <v>13370</v>
      </c>
      <c r="M23" s="308"/>
      <c r="N23" s="301">
        <f>SUM(N15:N22)</f>
        <v>13687</v>
      </c>
      <c r="O23" s="300"/>
      <c r="P23" s="308"/>
      <c r="Q23" s="308">
        <f>+INPUT!BY18</f>
        <v>656088</v>
      </c>
      <c r="R23" s="288">
        <f>+Q23-N23</f>
        <v>642401</v>
      </c>
    </row>
    <row r="24" spans="1:18" ht="15.75">
      <c r="B24" s="276"/>
      <c r="C24" s="276"/>
      <c r="D24" s="294"/>
      <c r="E24" s="276"/>
      <c r="F24" s="294"/>
      <c r="G24" s="276"/>
      <c r="H24" s="294"/>
      <c r="I24" s="276"/>
      <c r="J24" s="294"/>
      <c r="K24" s="276"/>
      <c r="L24" s="294"/>
      <c r="M24" s="276"/>
      <c r="N24" s="294"/>
      <c r="O24" s="294"/>
      <c r="P24" s="276"/>
      <c r="Q24" s="276"/>
    </row>
    <row r="25" spans="1:18" ht="15.75">
      <c r="B25" s="308" t="str">
        <f>INPUT!B20</f>
        <v>EXPENDITURES</v>
      </c>
      <c r="C25" s="276"/>
      <c r="D25" s="294"/>
      <c r="E25" s="276"/>
      <c r="F25" s="294"/>
      <c r="G25" s="276"/>
      <c r="H25" s="294"/>
      <c r="I25" s="276"/>
      <c r="J25" s="294"/>
      <c r="K25" s="276"/>
      <c r="L25" s="294"/>
      <c r="M25" s="276"/>
      <c r="N25" s="294"/>
      <c r="O25" s="294"/>
      <c r="P25" s="276"/>
      <c r="Q25" s="276"/>
    </row>
    <row r="26" spans="1:18" ht="15.75">
      <c r="B26" s="276" t="s">
        <v>462</v>
      </c>
      <c r="C26" s="276"/>
      <c r="D26" s="294"/>
      <c r="E26" s="276"/>
      <c r="F26" s="294"/>
      <c r="G26" s="276"/>
      <c r="H26" s="294"/>
      <c r="I26" s="276"/>
      <c r="J26" s="294"/>
      <c r="K26" s="276"/>
      <c r="L26" s="294"/>
      <c r="M26" s="276"/>
      <c r="N26" s="294"/>
      <c r="O26" s="294"/>
      <c r="P26" s="276"/>
      <c r="Q26" s="276"/>
    </row>
    <row r="27" spans="1:18" ht="15.75" hidden="1">
      <c r="B27" s="276" t="str">
        <f>INPUT!B22</f>
        <v xml:space="preserve">          General government</v>
      </c>
      <c r="C27" s="276"/>
      <c r="D27" s="294">
        <f>+INPUT!BS22</f>
        <v>0</v>
      </c>
      <c r="E27" s="276"/>
      <c r="F27" s="294">
        <f>+INPUT!BT22</f>
        <v>0</v>
      </c>
      <c r="G27" s="276"/>
      <c r="H27" s="294">
        <f>+INPUT!BU22</f>
        <v>0</v>
      </c>
      <c r="I27" s="276"/>
      <c r="J27" s="294">
        <f>+INPUT!BV22</f>
        <v>0</v>
      </c>
      <c r="K27" s="276"/>
      <c r="L27" s="294">
        <f>+INPUT!BW22</f>
        <v>0</v>
      </c>
      <c r="M27" s="276"/>
      <c r="N27" s="294">
        <f t="shared" ref="N27:N34" si="1">SUM(C27:M27)</f>
        <v>0</v>
      </c>
      <c r="O27" s="294"/>
      <c r="P27" s="276"/>
      <c r="Q27" s="276"/>
    </row>
    <row r="28" spans="1:18" ht="15.75">
      <c r="B28" s="276" t="str">
        <f>INPUT!B23</f>
        <v xml:space="preserve">          Public safety</v>
      </c>
      <c r="C28" s="276"/>
      <c r="D28" s="294">
        <f>+INPUT!BS23</f>
        <v>0</v>
      </c>
      <c r="E28" s="276"/>
      <c r="F28" s="294">
        <f>+INPUT!BT23</f>
        <v>0</v>
      </c>
      <c r="G28" s="276"/>
      <c r="H28" s="294">
        <f>+INPUT!BU23</f>
        <v>0</v>
      </c>
      <c r="I28" s="276"/>
      <c r="J28" s="294">
        <f>+INPUT!BV23</f>
        <v>2416</v>
      </c>
      <c r="K28" s="276"/>
      <c r="L28" s="294">
        <f>+INPUT!BW23</f>
        <v>0</v>
      </c>
      <c r="M28" s="276"/>
      <c r="N28" s="294">
        <f t="shared" si="1"/>
        <v>2416</v>
      </c>
      <c r="O28" s="294"/>
      <c r="P28" s="276"/>
      <c r="Q28" s="276"/>
    </row>
    <row r="29" spans="1:18" ht="15.75">
      <c r="A29" s="288" t="s">
        <v>299</v>
      </c>
      <c r="B29" s="276" t="str">
        <f>INPUT!B24</f>
        <v xml:space="preserve">          Public works</v>
      </c>
      <c r="C29" s="276"/>
      <c r="D29" s="294">
        <f>+INPUT!BS24</f>
        <v>0</v>
      </c>
      <c r="E29" s="276"/>
      <c r="F29" s="294">
        <f>+INPUT!BT24</f>
        <v>86605</v>
      </c>
      <c r="G29" s="276"/>
      <c r="H29" s="294">
        <f>+INPUT!BU24</f>
        <v>0</v>
      </c>
      <c r="I29" s="276"/>
      <c r="J29" s="294">
        <f>+INPUT!BV24</f>
        <v>0</v>
      </c>
      <c r="K29" s="276"/>
      <c r="L29" s="294">
        <f>+INPUT!BW24</f>
        <v>151695</v>
      </c>
      <c r="M29" s="276"/>
      <c r="N29" s="294">
        <f t="shared" si="1"/>
        <v>238300</v>
      </c>
      <c r="O29" s="294"/>
      <c r="P29" s="276"/>
      <c r="Q29" s="276"/>
    </row>
    <row r="30" spans="1:18" ht="15.75" hidden="1">
      <c r="A30" s="288" t="s">
        <v>299</v>
      </c>
      <c r="B30" s="276" t="str">
        <f>INPUT!B25</f>
        <v xml:space="preserve">          Public health</v>
      </c>
      <c r="C30" s="276"/>
      <c r="D30" s="294">
        <f>+INPUT!BS25</f>
        <v>0</v>
      </c>
      <c r="E30" s="276"/>
      <c r="F30" s="294">
        <f>+INPUT!BT25</f>
        <v>0</v>
      </c>
      <c r="G30" s="276"/>
      <c r="H30" s="294">
        <f>+INPUT!BU25</f>
        <v>0</v>
      </c>
      <c r="I30" s="276"/>
      <c r="J30" s="294">
        <f>+INPUT!BV25</f>
        <v>0</v>
      </c>
      <c r="K30" s="276"/>
      <c r="L30" s="294">
        <f>+INPUT!BW25</f>
        <v>0</v>
      </c>
      <c r="M30" s="276"/>
      <c r="N30" s="294">
        <f t="shared" si="1"/>
        <v>0</v>
      </c>
      <c r="O30" s="294"/>
      <c r="P30" s="276"/>
      <c r="Q30" s="276"/>
    </row>
    <row r="31" spans="1:18" ht="15.75" hidden="1">
      <c r="A31" s="288" t="s">
        <v>299</v>
      </c>
      <c r="B31" s="276" t="str">
        <f>INPUT!B26</f>
        <v xml:space="preserve">          Social and economic</v>
      </c>
      <c r="C31" s="276"/>
      <c r="D31" s="294">
        <f>+INPUT!BS26</f>
        <v>0</v>
      </c>
      <c r="E31" s="276"/>
      <c r="F31" s="294">
        <f>+INPUT!BT26</f>
        <v>0</v>
      </c>
      <c r="G31" s="276"/>
      <c r="H31" s="294">
        <f>+INPUT!BU26</f>
        <v>0</v>
      </c>
      <c r="I31" s="276"/>
      <c r="J31" s="294">
        <f>+INPUT!BV26</f>
        <v>0</v>
      </c>
      <c r="K31" s="276"/>
      <c r="L31" s="294">
        <f>+INPUT!BW26</f>
        <v>0</v>
      </c>
      <c r="M31" s="276"/>
      <c r="N31" s="294">
        <f t="shared" si="1"/>
        <v>0</v>
      </c>
      <c r="O31" s="294"/>
      <c r="P31" s="276"/>
      <c r="Q31" s="276"/>
    </row>
    <row r="32" spans="1:18" ht="15.75" hidden="1">
      <c r="A32" s="288" t="s">
        <v>299</v>
      </c>
      <c r="B32" s="276" t="str">
        <f>INPUT!B27</f>
        <v xml:space="preserve">          Culture and recreation</v>
      </c>
      <c r="C32" s="276"/>
      <c r="D32" s="294"/>
      <c r="E32" s="276"/>
      <c r="F32" s="294"/>
      <c r="G32" s="276"/>
      <c r="H32" s="294"/>
      <c r="I32" s="276"/>
      <c r="J32" s="294">
        <f>+INPUT!BV27</f>
        <v>0</v>
      </c>
      <c r="K32" s="276"/>
      <c r="L32" s="294">
        <f>+INPUT!BW27</f>
        <v>0</v>
      </c>
      <c r="M32" s="276"/>
      <c r="N32" s="294">
        <f t="shared" si="1"/>
        <v>0</v>
      </c>
      <c r="O32" s="294"/>
      <c r="P32" s="276"/>
      <c r="Q32" s="276"/>
    </row>
    <row r="33" spans="1:18" ht="15.75" hidden="1">
      <c r="A33" s="288" t="s">
        <v>299</v>
      </c>
      <c r="B33" s="276" t="str">
        <f>INPUT!B28</f>
        <v xml:space="preserve">     Debt service</v>
      </c>
      <c r="C33" s="276"/>
      <c r="D33" s="294"/>
      <c r="E33" s="276"/>
      <c r="F33" s="294"/>
      <c r="G33" s="276"/>
      <c r="H33" s="294"/>
      <c r="I33" s="276"/>
      <c r="J33" s="294">
        <f>+INPUT!BV28</f>
        <v>0</v>
      </c>
      <c r="K33" s="276"/>
      <c r="L33" s="294">
        <f>+INPUT!BW28</f>
        <v>0</v>
      </c>
      <c r="M33" s="276"/>
      <c r="N33" s="294">
        <f t="shared" si="1"/>
        <v>0</v>
      </c>
      <c r="O33" s="294"/>
      <c r="P33" s="276"/>
      <c r="Q33" s="276"/>
      <c r="R33" s="337"/>
    </row>
    <row r="34" spans="1:18" ht="15.75">
      <c r="A34" s="288" t="s">
        <v>299</v>
      </c>
      <c r="B34" s="276" t="str">
        <f>INPUT!B29</f>
        <v xml:space="preserve">     Capital outlay</v>
      </c>
      <c r="C34" s="276"/>
      <c r="D34" s="294" t="str">
        <f>IF(+INPUT!BS29+INPUT!BS304&lt;&gt;0,+INPUT!BS29+INPUT!BS304,"-")</f>
        <v>-</v>
      </c>
      <c r="E34" s="276"/>
      <c r="F34" s="294">
        <f>IF(+INPUT!BT29+INPUT!BT304&lt;&gt;0,+INPUT!BT29+INPUT!BT304,"-")</f>
        <v>387324</v>
      </c>
      <c r="G34" s="276"/>
      <c r="H34" s="294" t="str">
        <f>IF(+INPUT!BU29+INPUT!BU304&lt;&gt;0,+INPUT!BU29+INPUT!BU304,"-")</f>
        <v>-</v>
      </c>
      <c r="I34" s="276"/>
      <c r="J34" s="294">
        <f>+INPUT!BV29</f>
        <v>0</v>
      </c>
      <c r="K34" s="276"/>
      <c r="L34" s="294">
        <f>+INPUT!BW29</f>
        <v>346007</v>
      </c>
      <c r="M34" s="276"/>
      <c r="N34" s="294">
        <f t="shared" si="1"/>
        <v>733331</v>
      </c>
      <c r="O34" s="294"/>
      <c r="P34" s="276"/>
      <c r="Q34" s="276"/>
    </row>
    <row r="35" spans="1:18" ht="15.75">
      <c r="B35" s="276"/>
      <c r="C35" s="276"/>
      <c r="D35" s="337"/>
      <c r="E35" s="276"/>
      <c r="F35" s="337"/>
      <c r="G35" s="276"/>
      <c r="H35" s="337"/>
      <c r="I35" s="276"/>
      <c r="J35" s="337"/>
      <c r="K35" s="276"/>
      <c r="L35" s="337"/>
      <c r="M35" s="276"/>
      <c r="N35" s="337"/>
      <c r="O35" s="294"/>
      <c r="P35" s="276"/>
      <c r="Q35" s="276"/>
    </row>
    <row r="36" spans="1:18" ht="15.75">
      <c r="B36" s="308" t="str">
        <f>INPUT!B41</f>
        <v xml:space="preserve">         Total expenditures</v>
      </c>
      <c r="C36" s="308"/>
      <c r="D36" s="301">
        <f>SUM(D27:D35)</f>
        <v>0</v>
      </c>
      <c r="E36" s="308"/>
      <c r="F36" s="301">
        <f>SUM(F27:F35)</f>
        <v>473929</v>
      </c>
      <c r="G36" s="308"/>
      <c r="H36" s="301">
        <f>SUM(H27:H35)</f>
        <v>0</v>
      </c>
      <c r="I36" s="308"/>
      <c r="J36" s="301">
        <f>SUM(J27:J35)</f>
        <v>2416</v>
      </c>
      <c r="K36" s="308"/>
      <c r="L36" s="301">
        <f>SUM(L27:L35)</f>
        <v>497702</v>
      </c>
      <c r="M36" s="308"/>
      <c r="N36" s="301">
        <f>SUM(N27:N35)</f>
        <v>974047</v>
      </c>
      <c r="O36" s="300"/>
      <c r="P36" s="308"/>
      <c r="Q36" s="308"/>
    </row>
    <row r="37" spans="1:18" ht="15.75">
      <c r="B37" s="308" t="str">
        <f>INPUT!B42</f>
        <v xml:space="preserve">             Excess (deficiency) of revenue</v>
      </c>
      <c r="C37" s="276"/>
      <c r="D37" s="294"/>
      <c r="E37" s="276"/>
      <c r="F37" s="294"/>
      <c r="G37" s="276"/>
      <c r="H37" s="294"/>
      <c r="I37" s="276"/>
      <c r="J37" s="294"/>
      <c r="K37" s="276"/>
      <c r="L37" s="294"/>
      <c r="M37" s="276"/>
      <c r="N37" s="294"/>
      <c r="O37" s="294"/>
      <c r="P37" s="276"/>
      <c r="Q37" s="276"/>
    </row>
    <row r="38" spans="1:18" ht="15.75">
      <c r="B38" s="308" t="str">
        <f>INPUT!B43</f>
        <v xml:space="preserve">                 over (under) expenditures</v>
      </c>
      <c r="C38" s="276"/>
      <c r="D38" s="300">
        <f>SUM(D23-D36)</f>
        <v>0</v>
      </c>
      <c r="E38" s="276"/>
      <c r="F38" s="300">
        <f>SUM(F23-F36)</f>
        <v>-473929</v>
      </c>
      <c r="G38" s="276"/>
      <c r="H38" s="300">
        <f>SUM(H23-H36)</f>
        <v>0</v>
      </c>
      <c r="I38" s="276"/>
      <c r="J38" s="300">
        <f>SUM(J23-J36)</f>
        <v>-2099</v>
      </c>
      <c r="K38" s="276"/>
      <c r="L38" s="300">
        <f>SUM(L23-L36)</f>
        <v>-484332</v>
      </c>
      <c r="M38" s="276"/>
      <c r="N38" s="300">
        <f>SUM(N23-N36)</f>
        <v>-960360</v>
      </c>
      <c r="O38" s="300"/>
      <c r="P38" s="276"/>
      <c r="Q38" s="276"/>
    </row>
    <row r="39" spans="1:18" ht="15.75">
      <c r="B39" s="276"/>
      <c r="C39" s="276"/>
      <c r="D39" s="294"/>
      <c r="E39" s="276"/>
      <c r="F39" s="294"/>
      <c r="G39" s="276"/>
      <c r="H39" s="294"/>
      <c r="I39" s="276"/>
      <c r="J39" s="294"/>
      <c r="K39" s="276"/>
      <c r="L39" s="294"/>
      <c r="M39" s="276"/>
      <c r="N39" s="294"/>
      <c r="O39" s="294"/>
      <c r="P39" s="276"/>
      <c r="Q39" s="276"/>
    </row>
    <row r="40" spans="1:18" ht="15.75">
      <c r="B40" s="308" t="str">
        <f>INPUT!B45</f>
        <v>OTHER FINANCING SOURCES (USES)</v>
      </c>
      <c r="C40" s="276"/>
      <c r="D40" s="294"/>
      <c r="E40" s="276"/>
      <c r="F40" s="294"/>
      <c r="G40" s="276"/>
      <c r="H40" s="294"/>
      <c r="I40" s="276"/>
      <c r="J40" s="294"/>
      <c r="K40" s="276"/>
      <c r="L40" s="294"/>
      <c r="M40" s="276"/>
      <c r="N40" s="294"/>
      <c r="O40" s="294"/>
      <c r="P40" s="276"/>
      <c r="Q40" s="276"/>
    </row>
    <row r="41" spans="1:18" ht="15.75">
      <c r="B41" s="276" t="str">
        <f>INPUT!B46</f>
        <v xml:space="preserve">     Transfers in</v>
      </c>
      <c r="C41" s="276"/>
      <c r="D41" s="294">
        <f>+INPUT!BS46</f>
        <v>0</v>
      </c>
      <c r="E41" s="276"/>
      <c r="F41" s="294">
        <f>+INPUT!BT46</f>
        <v>316372</v>
      </c>
      <c r="G41" s="276"/>
      <c r="H41" s="294">
        <f>+INPUT!BU46</f>
        <v>0</v>
      </c>
      <c r="I41" s="276"/>
      <c r="J41" s="294">
        <f>+INPUT!BV46</f>
        <v>0</v>
      </c>
      <c r="K41" s="276"/>
      <c r="L41" s="294">
        <f>+INPUT!BW46</f>
        <v>1277424</v>
      </c>
      <c r="M41" s="276"/>
      <c r="N41" s="294">
        <f t="shared" ref="N41:N49" si="2">SUM(C41:M41)</f>
        <v>1593796</v>
      </c>
      <c r="O41" s="294"/>
      <c r="P41" s="276"/>
      <c r="Q41" s="276"/>
    </row>
    <row r="42" spans="1:18" ht="15.75">
      <c r="B42" s="276" t="str">
        <f>INPUT!B47</f>
        <v xml:space="preserve">     Transfers out</v>
      </c>
      <c r="C42" s="276"/>
      <c r="D42" s="294">
        <f>+INPUT!BS47</f>
        <v>0</v>
      </c>
      <c r="E42" s="276"/>
      <c r="F42" s="294">
        <f>+INPUT!BT47</f>
        <v>-3032</v>
      </c>
      <c r="G42" s="276"/>
      <c r="H42" s="294">
        <f>+INPUT!BU47</f>
        <v>0</v>
      </c>
      <c r="I42" s="276"/>
      <c r="J42" s="294">
        <f>+INPUT!BV47</f>
        <v>-44065</v>
      </c>
      <c r="K42" s="276"/>
      <c r="L42" s="294">
        <f>+INPUT!BW47</f>
        <v>-12743</v>
      </c>
      <c r="M42" s="276"/>
      <c r="N42" s="294">
        <f t="shared" si="2"/>
        <v>-59840</v>
      </c>
      <c r="O42" s="294"/>
      <c r="P42" s="276"/>
      <c r="Q42" s="276"/>
    </row>
    <row r="43" spans="1:18" ht="15.75" hidden="1">
      <c r="B43" s="276" t="str">
        <f>INPUT!B48</f>
        <v xml:space="preserve">     Financing of leases</v>
      </c>
      <c r="C43" s="276"/>
      <c r="D43" s="294">
        <f>+INPUT!BS48</f>
        <v>0</v>
      </c>
      <c r="E43" s="276"/>
      <c r="F43" s="294">
        <f>+INPUT!BT48</f>
        <v>0</v>
      </c>
      <c r="G43" s="276"/>
      <c r="H43" s="294">
        <f>+INPUT!BU48</f>
        <v>0</v>
      </c>
      <c r="I43" s="276"/>
      <c r="J43" s="294">
        <f>+INPUT!BV48</f>
        <v>0</v>
      </c>
      <c r="K43" s="276"/>
      <c r="L43" s="294">
        <f>+INPUT!BW48</f>
        <v>0</v>
      </c>
      <c r="M43" s="276"/>
      <c r="N43" s="294">
        <f t="shared" ref="N43:N44" si="3">SUM(C43:M43)</f>
        <v>0</v>
      </c>
      <c r="O43" s="294"/>
      <c r="P43" s="276"/>
      <c r="Q43" s="276"/>
    </row>
    <row r="44" spans="1:18" ht="15.75" hidden="1">
      <c r="B44" s="276" t="str">
        <f>INPUT!B49</f>
        <v xml:space="preserve">     Financing of SBITAs</v>
      </c>
      <c r="C44" s="276"/>
      <c r="D44" s="294">
        <f>+INPUT!BS49</f>
        <v>0</v>
      </c>
      <c r="E44" s="276"/>
      <c r="F44" s="294">
        <f>+INPUT!BT49</f>
        <v>0</v>
      </c>
      <c r="G44" s="276"/>
      <c r="H44" s="294">
        <f>+INPUT!BU49</f>
        <v>0</v>
      </c>
      <c r="I44" s="276"/>
      <c r="J44" s="294">
        <f>+INPUT!BV49</f>
        <v>0</v>
      </c>
      <c r="K44" s="276"/>
      <c r="L44" s="294">
        <f>+INPUT!BW49</f>
        <v>0</v>
      </c>
      <c r="M44" s="276"/>
      <c r="N44" s="294">
        <f t="shared" si="3"/>
        <v>0</v>
      </c>
      <c r="O44" s="294"/>
      <c r="P44" s="276"/>
      <c r="Q44" s="276"/>
    </row>
    <row r="45" spans="1:18" ht="15.75">
      <c r="A45" s="288" t="s">
        <v>299</v>
      </c>
      <c r="B45" s="276" t="str">
        <f>INPUT!B50</f>
        <v xml:space="preserve">     Issuance of long-term debt</v>
      </c>
      <c r="C45" s="276"/>
      <c r="D45" s="294">
        <f>+INPUT!BS50</f>
        <v>0</v>
      </c>
      <c r="E45" s="276"/>
      <c r="F45" s="294">
        <f>+INPUT!BT50</f>
        <v>151522</v>
      </c>
      <c r="G45" s="276"/>
      <c r="H45" s="294">
        <f>+INPUT!BU50</f>
        <v>0</v>
      </c>
      <c r="I45" s="276"/>
      <c r="J45" s="294">
        <f>+INPUT!BV50</f>
        <v>0</v>
      </c>
      <c r="K45" s="276"/>
      <c r="L45" s="294">
        <f>+INPUT!BW50</f>
        <v>0</v>
      </c>
      <c r="M45" s="276"/>
      <c r="N45" s="294">
        <f t="shared" si="2"/>
        <v>151522</v>
      </c>
      <c r="O45" s="294"/>
      <c r="P45" s="276"/>
      <c r="Q45" s="276"/>
    </row>
    <row r="46" spans="1:18" ht="15.75" hidden="1">
      <c r="A46" s="288" t="s">
        <v>299</v>
      </c>
      <c r="B46" s="276" t="str">
        <f>INPUT!B55</f>
        <v xml:space="preserve">     Amortization of revenue bond premium</v>
      </c>
      <c r="C46" s="276"/>
      <c r="D46" s="294"/>
      <c r="E46" s="276"/>
      <c r="F46" s="294"/>
      <c r="G46" s="276"/>
      <c r="H46" s="294"/>
      <c r="I46" s="276"/>
      <c r="J46" s="294">
        <f>+INPUT!BV51</f>
        <v>0</v>
      </c>
      <c r="K46" s="276"/>
      <c r="L46" s="294">
        <f>+INPUT!BW51</f>
        <v>0</v>
      </c>
      <c r="M46" s="276"/>
      <c r="N46" s="294">
        <f t="shared" si="2"/>
        <v>0</v>
      </c>
      <c r="O46" s="294"/>
      <c r="P46" s="276"/>
      <c r="Q46" s="276"/>
    </row>
    <row r="47" spans="1:18" ht="15.75" hidden="1">
      <c r="A47" s="288" t="s">
        <v>299</v>
      </c>
      <c r="B47" s="276" t="str">
        <f>INPUT!B54</f>
        <v xml:space="preserve">     Proceeds from disposal of capital assets(MOVE to mis rev/exp)GFOA finding</v>
      </c>
      <c r="C47" s="276"/>
      <c r="D47" s="294"/>
      <c r="E47" s="276"/>
      <c r="F47" s="294"/>
      <c r="G47" s="276"/>
      <c r="H47" s="294"/>
      <c r="I47" s="276"/>
      <c r="J47" s="294">
        <f>+INPUT!BV52</f>
        <v>0</v>
      </c>
      <c r="K47" s="276"/>
      <c r="L47" s="294">
        <f>+INPUT!BW52</f>
        <v>0</v>
      </c>
      <c r="M47" s="276"/>
      <c r="N47" s="294">
        <f t="shared" si="2"/>
        <v>0</v>
      </c>
      <c r="O47" s="294"/>
      <c r="P47" s="276"/>
      <c r="Q47" s="276"/>
    </row>
    <row r="48" spans="1:18" ht="15.75" hidden="1">
      <c r="A48" s="288" t="s">
        <v>299</v>
      </c>
      <c r="B48" s="276" t="str">
        <f>INPUT!B56</f>
        <v xml:space="preserve">     Capital contributions</v>
      </c>
      <c r="C48" s="276"/>
      <c r="D48" s="294">
        <f>+INPUT!BS56</f>
        <v>0</v>
      </c>
      <c r="E48" s="276"/>
      <c r="F48" s="294">
        <f>+INPUT!BT56</f>
        <v>0</v>
      </c>
      <c r="G48" s="276"/>
      <c r="H48" s="294">
        <f>+INPUT!BU56</f>
        <v>0</v>
      </c>
      <c r="I48" s="276"/>
      <c r="J48" s="294">
        <f>+INPUT!BV53</f>
        <v>0</v>
      </c>
      <c r="K48" s="276"/>
      <c r="L48" s="294">
        <f>+INPUT!BW53</f>
        <v>0</v>
      </c>
      <c r="M48" s="276"/>
      <c r="N48" s="294">
        <f t="shared" si="2"/>
        <v>0</v>
      </c>
      <c r="O48" s="294"/>
      <c r="P48" s="276"/>
      <c r="Q48" s="276"/>
    </row>
    <row r="49" spans="1:18" ht="15.75" hidden="1">
      <c r="A49" s="288" t="s">
        <v>299</v>
      </c>
      <c r="B49" s="276" t="str">
        <f>INPUT!B57</f>
        <v xml:space="preserve">     Gain (Loss) on sale of investments</v>
      </c>
      <c r="C49" s="276"/>
      <c r="D49" s="294"/>
      <c r="E49" s="276"/>
      <c r="F49" s="294"/>
      <c r="G49" s="276"/>
      <c r="H49" s="294"/>
      <c r="I49" s="294"/>
      <c r="J49" s="294"/>
      <c r="K49" s="294"/>
      <c r="L49" s="294"/>
      <c r="M49" s="276"/>
      <c r="N49" s="294">
        <f t="shared" si="2"/>
        <v>0</v>
      </c>
      <c r="O49" s="294"/>
      <c r="P49" s="276"/>
      <c r="Q49" s="276"/>
    </row>
    <row r="50" spans="1:18" ht="15.75">
      <c r="B50" s="276"/>
      <c r="C50" s="276"/>
      <c r="D50" s="337"/>
      <c r="E50" s="276"/>
      <c r="F50" s="337"/>
      <c r="G50" s="276"/>
      <c r="H50" s="337"/>
      <c r="I50" s="337"/>
      <c r="J50" s="337"/>
      <c r="K50" s="337"/>
      <c r="L50" s="337"/>
      <c r="M50" s="276"/>
      <c r="N50" s="337"/>
      <c r="O50" s="294"/>
      <c r="P50" s="294"/>
      <c r="Q50" s="294"/>
    </row>
    <row r="51" spans="1:18" ht="15.75">
      <c r="B51" s="308" t="str">
        <f>INPUT!B58</f>
        <v xml:space="preserve">         Total other financing sources and uses</v>
      </c>
      <c r="C51" s="308"/>
      <c r="D51" s="301">
        <f>SUM(D41:D50)</f>
        <v>0</v>
      </c>
      <c r="E51" s="308"/>
      <c r="F51" s="301">
        <f>SUM(F41:F50)</f>
        <v>464862</v>
      </c>
      <c r="G51" s="308"/>
      <c r="H51" s="301">
        <f>SUM(H41:H50)</f>
        <v>0</v>
      </c>
      <c r="I51" s="301">
        <f t="shared" ref="I51:L51" si="4">SUM(I41:I50)</f>
        <v>0</v>
      </c>
      <c r="J51" s="301">
        <f t="shared" si="4"/>
        <v>-44065</v>
      </c>
      <c r="K51" s="301">
        <f t="shared" si="4"/>
        <v>0</v>
      </c>
      <c r="L51" s="301">
        <f t="shared" si="4"/>
        <v>1264681</v>
      </c>
      <c r="M51" s="308"/>
      <c r="N51" s="301">
        <f>SUM(N41:N50)</f>
        <v>1685478</v>
      </c>
      <c r="O51" s="300"/>
      <c r="P51" s="308"/>
      <c r="Q51" s="308"/>
    </row>
    <row r="52" spans="1:18" ht="15.75">
      <c r="B52" s="276"/>
      <c r="C52" s="276"/>
      <c r="D52" s="294"/>
      <c r="E52" s="276"/>
      <c r="F52" s="294"/>
      <c r="G52" s="276"/>
      <c r="H52" s="294"/>
      <c r="I52" s="276"/>
      <c r="J52" s="294"/>
      <c r="K52" s="276"/>
      <c r="L52" s="294"/>
      <c r="M52" s="276"/>
      <c r="N52" s="294"/>
      <c r="O52" s="294"/>
      <c r="P52" s="276"/>
      <c r="Q52" s="276"/>
    </row>
    <row r="53" spans="1:18" ht="15.75">
      <c r="B53" s="308"/>
      <c r="C53" s="308"/>
      <c r="D53" s="300"/>
      <c r="E53" s="308"/>
      <c r="F53" s="300"/>
      <c r="G53" s="308"/>
      <c r="H53" s="300"/>
      <c r="I53" s="308"/>
      <c r="J53" s="300"/>
      <c r="K53" s="276"/>
      <c r="L53" s="300"/>
      <c r="M53" s="308"/>
      <c r="N53" s="300"/>
      <c r="O53" s="300"/>
      <c r="P53" s="308"/>
      <c r="Q53" s="308"/>
    </row>
    <row r="54" spans="1:18" ht="15.75">
      <c r="B54" s="308" t="str">
        <f>INPUT!B61</f>
        <v xml:space="preserve">             Net change in fund balances</v>
      </c>
      <c r="C54" s="308"/>
      <c r="D54" s="300">
        <f>D38+D51</f>
        <v>0</v>
      </c>
      <c r="E54" s="308"/>
      <c r="F54" s="300">
        <f>F38+F51</f>
        <v>-9067</v>
      </c>
      <c r="G54" s="308"/>
      <c r="H54" s="300">
        <f>H38+H51</f>
        <v>0</v>
      </c>
      <c r="I54" s="308"/>
      <c r="J54" s="300">
        <f>J38+J51</f>
        <v>-46164</v>
      </c>
      <c r="K54" s="300"/>
      <c r="L54" s="300">
        <f>L38+L51</f>
        <v>780349</v>
      </c>
      <c r="M54" s="308"/>
      <c r="N54" s="300">
        <f>N38+N51</f>
        <v>725118</v>
      </c>
      <c r="O54" s="300"/>
      <c r="P54" s="308"/>
      <c r="Q54" s="308"/>
    </row>
    <row r="55" spans="1:18" ht="15.75">
      <c r="B55" s="276"/>
      <c r="C55" s="276"/>
      <c r="D55" s="294"/>
      <c r="E55" s="276"/>
      <c r="F55" s="294"/>
      <c r="G55" s="276"/>
      <c r="H55" s="294"/>
      <c r="I55" s="276"/>
      <c r="J55" s="294"/>
      <c r="K55" s="308"/>
      <c r="L55" s="294"/>
      <c r="M55" s="276"/>
      <c r="N55" s="294"/>
      <c r="O55" s="294"/>
      <c r="P55" s="276"/>
      <c r="Q55" s="276"/>
    </row>
    <row r="56" spans="1:18" ht="15.75">
      <c r="B56" s="276" t="str">
        <f>INPUT!B63</f>
        <v xml:space="preserve">     Fund balance, July 1</v>
      </c>
      <c r="C56" s="276"/>
      <c r="D56" s="294">
        <f>+INPUT!BS276</f>
        <v>0</v>
      </c>
      <c r="E56" s="276"/>
      <c r="F56" s="294">
        <f>+INPUT!BT276</f>
        <v>-15316</v>
      </c>
      <c r="G56" s="276"/>
      <c r="H56" s="294">
        <f>+INPUT!BU276</f>
        <v>0</v>
      </c>
      <c r="I56" s="276"/>
      <c r="J56" s="294">
        <f>+INPUT!BV276</f>
        <v>46164</v>
      </c>
      <c r="K56" s="276"/>
      <c r="L56" s="294">
        <f>+INPUT!BW276</f>
        <v>1562109</v>
      </c>
      <c r="M56" s="276"/>
      <c r="N56" s="294">
        <f>SUM(C56:M56)</f>
        <v>1592957</v>
      </c>
      <c r="O56" s="294"/>
      <c r="P56" s="276"/>
      <c r="Q56" s="276"/>
    </row>
    <row r="57" spans="1:18" ht="15.75" hidden="1">
      <c r="B57" s="276"/>
      <c r="C57" s="276"/>
      <c r="D57" s="294"/>
      <c r="E57" s="276"/>
      <c r="F57" s="294"/>
      <c r="G57" s="276"/>
      <c r="H57" s="294"/>
      <c r="I57" s="276"/>
      <c r="J57" s="294"/>
      <c r="K57" s="276"/>
      <c r="L57" s="294"/>
      <c r="M57" s="276"/>
      <c r="N57" s="294"/>
      <c r="O57" s="294"/>
      <c r="P57" s="276"/>
      <c r="Q57" s="276"/>
    </row>
    <row r="58" spans="1:18" ht="15.75" hidden="1">
      <c r="B58" s="276" t="str">
        <f>INPUT!B66</f>
        <v xml:space="preserve">     Prior period adjustments</v>
      </c>
      <c r="C58" s="276"/>
      <c r="D58" s="317">
        <f>+INPUT!BS66</f>
        <v>0</v>
      </c>
      <c r="E58" s="276"/>
      <c r="F58" s="317">
        <f>+INPUT!BT66</f>
        <v>0</v>
      </c>
      <c r="G58" s="276"/>
      <c r="H58" s="317">
        <f>+INPUT!BU66</f>
        <v>0</v>
      </c>
      <c r="I58" s="276"/>
      <c r="J58" s="317">
        <f>+INPUT!BV66</f>
        <v>0</v>
      </c>
      <c r="K58" s="276"/>
      <c r="L58" s="317">
        <f>+INPUT!BW66</f>
        <v>0</v>
      </c>
      <c r="M58" s="276"/>
      <c r="N58" s="294">
        <f>SUM(C58:J58)</f>
        <v>0</v>
      </c>
      <c r="O58" s="294"/>
      <c r="P58" s="276"/>
      <c r="Q58" s="276"/>
    </row>
    <row r="59" spans="1:18" ht="15.75" hidden="1">
      <c r="B59" s="276"/>
      <c r="C59" s="276"/>
      <c r="D59" s="294"/>
      <c r="E59" s="276"/>
      <c r="F59" s="294"/>
      <c r="G59" s="276"/>
      <c r="H59" s="294"/>
      <c r="I59" s="276"/>
      <c r="J59" s="294"/>
      <c r="K59" s="319"/>
      <c r="L59" s="294"/>
      <c r="M59" s="276"/>
      <c r="N59" s="337"/>
      <c r="O59" s="294"/>
      <c r="P59" s="276"/>
      <c r="Q59" s="276"/>
    </row>
    <row r="60" spans="1:18" ht="15.75" hidden="1">
      <c r="A60" s="288" t="s">
        <v>299</v>
      </c>
      <c r="B60" s="308" t="str">
        <f>INPUT!B69</f>
        <v xml:space="preserve">     Total net position, beginning, as restated</v>
      </c>
      <c r="C60" s="308"/>
      <c r="D60" s="300">
        <f>SUM(D56+D58)</f>
        <v>0</v>
      </c>
      <c r="E60" s="308"/>
      <c r="F60" s="300">
        <f>SUM(F56+F58)</f>
        <v>-15316</v>
      </c>
      <c r="G60" s="308"/>
      <c r="H60" s="300">
        <f>SUM(H56+H58)</f>
        <v>0</v>
      </c>
      <c r="I60" s="308"/>
      <c r="J60" s="300">
        <f>SUM(J56+J58)</f>
        <v>46164</v>
      </c>
      <c r="K60" s="276"/>
      <c r="L60" s="300">
        <f>SUM(L56+L58)</f>
        <v>1562109</v>
      </c>
      <c r="M60" s="308"/>
      <c r="N60" s="300">
        <f>SUM(N56+N58)</f>
        <v>1592957</v>
      </c>
      <c r="O60" s="300"/>
      <c r="P60" s="308"/>
      <c r="Q60" s="276"/>
    </row>
    <row r="61" spans="1:18" ht="15.75" hidden="1">
      <c r="A61" s="288" t="s">
        <v>299</v>
      </c>
      <c r="B61" s="276"/>
      <c r="C61" s="276"/>
      <c r="D61" s="294"/>
      <c r="E61" s="276"/>
      <c r="F61" s="294"/>
      <c r="G61" s="276"/>
      <c r="H61" s="294"/>
      <c r="I61" s="276"/>
      <c r="J61" s="294"/>
      <c r="L61" s="294"/>
      <c r="M61" s="276"/>
      <c r="N61" s="294"/>
      <c r="O61" s="294"/>
      <c r="P61" s="276"/>
      <c r="Q61" s="276"/>
      <c r="R61" s="337"/>
    </row>
    <row r="62" spans="1:18" ht="15.75" hidden="1">
      <c r="B62" s="276" t="str">
        <f>INPUT!B71</f>
        <v xml:space="preserve">     Residual equity transfers</v>
      </c>
      <c r="C62" s="276"/>
      <c r="D62" s="317">
        <f>+INPUT!BS71</f>
        <v>0</v>
      </c>
      <c r="E62" s="276"/>
      <c r="F62" s="317">
        <f>+INPUT!BT71</f>
        <v>0</v>
      </c>
      <c r="G62" s="276"/>
      <c r="H62" s="317">
        <f>+INPUT!BU71</f>
        <v>0</v>
      </c>
      <c r="I62" s="276"/>
      <c r="J62" s="317">
        <f>+INPUT!BV71</f>
        <v>0</v>
      </c>
      <c r="L62" s="317">
        <f>+INPUT!BW71</f>
        <v>0</v>
      </c>
      <c r="M62" s="276"/>
      <c r="N62" s="294">
        <f>SUM(C62:M62)</f>
        <v>0</v>
      </c>
      <c r="O62" s="294"/>
      <c r="P62" s="276"/>
      <c r="Q62" s="276"/>
    </row>
    <row r="63" spans="1:18" ht="15.75">
      <c r="B63" s="276"/>
      <c r="C63" s="276"/>
      <c r="D63" s="337"/>
      <c r="E63" s="276"/>
      <c r="F63" s="337"/>
      <c r="G63" s="276"/>
      <c r="H63" s="337"/>
      <c r="I63" s="276"/>
      <c r="J63" s="337"/>
      <c r="L63" s="337"/>
      <c r="M63" s="276"/>
      <c r="N63" s="337"/>
      <c r="O63" s="294"/>
      <c r="P63" s="276"/>
      <c r="Q63" s="276"/>
    </row>
    <row r="64" spans="1:18" ht="22.5" customHeight="1" thickBot="1">
      <c r="B64" s="276" t="str">
        <f>INPUT!B73</f>
        <v xml:space="preserve">     Fund balance, June 30</v>
      </c>
      <c r="C64" s="319"/>
      <c r="D64" s="302">
        <f>SUM(D54+D60+D62)</f>
        <v>0</v>
      </c>
      <c r="E64" s="319"/>
      <c r="F64" s="302">
        <f>SUM(F54+F60+F62)</f>
        <v>-24383</v>
      </c>
      <c r="G64" s="319"/>
      <c r="H64" s="302">
        <f>SUM(H54+H60+H62)</f>
        <v>0</v>
      </c>
      <c r="I64" s="319"/>
      <c r="J64" s="302">
        <f>SUM(J54+J60+J62)</f>
        <v>0</v>
      </c>
      <c r="L64" s="302">
        <f>SUM(L54+L60+L62)</f>
        <v>2342458</v>
      </c>
      <c r="M64" s="319"/>
      <c r="N64" s="302">
        <f>SUM(N54+N60+N62)</f>
        <v>2318075</v>
      </c>
      <c r="O64" s="326"/>
      <c r="P64" s="276"/>
      <c r="Q64" s="276">
        <f>SUM(D64:H64)</f>
        <v>-24383</v>
      </c>
    </row>
    <row r="65" spans="2:19" ht="16.5" thickTop="1">
      <c r="B65" s="276"/>
      <c r="C65" s="276"/>
      <c r="D65" s="303"/>
      <c r="E65" s="276"/>
      <c r="F65" s="303"/>
      <c r="G65" s="276"/>
      <c r="H65" s="303"/>
      <c r="I65" s="276"/>
      <c r="M65" s="276"/>
      <c r="N65" s="303"/>
      <c r="O65" s="303"/>
      <c r="P65" s="276"/>
      <c r="Q65" s="276"/>
      <c r="S65" s="303"/>
    </row>
    <row r="70" spans="2:19" ht="15.75">
      <c r="J70" s="385"/>
      <c r="L70" s="385"/>
    </row>
  </sheetData>
  <phoneticPr fontId="0" type="noConversion"/>
  <printOptions horizontalCentered="1"/>
  <pageMargins left="0.5" right="0.5" top="0.5" bottom="0.75" header="0.5" footer="0.25"/>
  <pageSetup scale="60" firstPageNumber="98" orientation="portrait" useFirstPageNumber="1" r:id="rId1"/>
  <headerFooter alignWithMargins="0">
    <oddFooter xml:space="preserve">&amp;C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ransitionEvaluation="1" codeName="Sheet27"/>
  <dimension ref="A2:EK2159"/>
  <sheetViews>
    <sheetView showGridLines="0" topLeftCell="CT13" zoomScale="70" zoomScaleNormal="70" workbookViewId="0">
      <selection activeCell="EE53" sqref="EE53"/>
    </sheetView>
  </sheetViews>
  <sheetFormatPr defaultColWidth="9.7109375" defaultRowHeight="12.75"/>
  <cols>
    <col min="1" max="1" width="2.7109375" style="288" customWidth="1"/>
    <col min="2" max="2" width="55.7109375" style="288" customWidth="1"/>
    <col min="3" max="3" width="16.7109375" style="288" customWidth="1"/>
    <col min="4" max="4" width="2.7109375" style="288" customWidth="1"/>
    <col min="5" max="5" width="16.7109375" style="288" customWidth="1"/>
    <col min="6" max="6" width="2.7109375" style="288" customWidth="1"/>
    <col min="7" max="7" width="16.7109375" style="288" customWidth="1"/>
    <col min="8" max="8" width="2.7109375" style="288" customWidth="1"/>
    <col min="9" max="9" width="16.7109375" style="288" customWidth="1"/>
    <col min="10" max="10" width="2.7109375" style="288" customWidth="1"/>
    <col min="11" max="11" width="16.7109375" style="288" customWidth="1"/>
    <col min="12" max="12" width="2.7109375" style="288" customWidth="1"/>
    <col min="13" max="13" width="55.7109375" style="288" customWidth="1"/>
    <col min="14" max="14" width="16.7109375" style="288" customWidth="1"/>
    <col min="15" max="15" width="2.7109375" style="288" customWidth="1"/>
    <col min="16" max="16" width="16.7109375" style="288" customWidth="1"/>
    <col min="17" max="17" width="2.7109375" style="288" customWidth="1"/>
    <col min="18" max="18" width="16.7109375" style="288" customWidth="1"/>
    <col min="19" max="19" width="2.7109375" style="288" customWidth="1"/>
    <col min="20" max="20" width="16.7109375" style="288" customWidth="1"/>
    <col min="21" max="21" width="2.7109375" style="288" customWidth="1"/>
    <col min="22" max="22" width="16.7109375" style="288" customWidth="1"/>
    <col min="23" max="23" width="2.7109375" style="288" customWidth="1"/>
    <col min="24" max="24" width="55.7109375" style="288" customWidth="1"/>
    <col min="25" max="25" width="16.7109375" style="288" customWidth="1"/>
    <col min="26" max="26" width="2.7109375" style="288" customWidth="1"/>
    <col min="27" max="27" width="16.7109375" style="288" customWidth="1"/>
    <col min="28" max="28" width="2.7109375" style="288" customWidth="1"/>
    <col min="29" max="29" width="16.7109375" style="288" customWidth="1"/>
    <col min="30" max="30" width="2.7109375" style="288" customWidth="1"/>
    <col min="31" max="31" width="16.7109375" style="288" customWidth="1"/>
    <col min="32" max="32" width="2.7109375" style="288" customWidth="1"/>
    <col min="33" max="33" width="16.7109375" style="288" customWidth="1"/>
    <col min="34" max="34" width="2.7109375" style="288" customWidth="1"/>
    <col min="35" max="35" width="53.7109375" style="288" customWidth="1"/>
    <col min="36" max="36" width="16.7109375" style="288" customWidth="1"/>
    <col min="37" max="37" width="2.7109375" style="288" customWidth="1"/>
    <col min="38" max="38" width="16.7109375" style="288" customWidth="1"/>
    <col min="39" max="39" width="2.7109375" style="288" customWidth="1"/>
    <col min="40" max="40" width="16.7109375" style="288" customWidth="1"/>
    <col min="41" max="41" width="2.7109375" style="288" customWidth="1"/>
    <col min="42" max="42" width="16.5703125" style="288" customWidth="1"/>
    <col min="43" max="43" width="2.7109375" style="288" customWidth="1"/>
    <col min="44" max="44" width="16.7109375" style="288" customWidth="1"/>
    <col min="45" max="45" width="2.7109375" style="288" customWidth="1"/>
    <col min="46" max="46" width="53.42578125" style="288" customWidth="1"/>
    <col min="47" max="47" width="18.7109375" style="288" customWidth="1"/>
    <col min="48" max="48" width="2.7109375" style="288" customWidth="1"/>
    <col min="49" max="49" width="18.7109375" style="288" customWidth="1"/>
    <col min="50" max="50" width="2.7109375" style="288" customWidth="1"/>
    <col min="51" max="51" width="18.42578125" style="288" customWidth="1"/>
    <col min="52" max="52" width="2.7109375" style="288" customWidth="1"/>
    <col min="53" max="53" width="14" style="288" customWidth="1"/>
    <col min="54" max="54" width="2.7109375" style="288" customWidth="1"/>
    <col min="55" max="55" width="16.7109375" style="288" customWidth="1"/>
    <col min="56" max="56" width="2.7109375" style="288" customWidth="1"/>
    <col min="58" max="58" width="2.7109375" style="288" customWidth="1"/>
    <col min="59" max="59" width="55.7109375" style="288" customWidth="1"/>
    <col min="60" max="60" width="17.42578125" style="288" customWidth="1"/>
    <col min="61" max="61" width="2.7109375" style="288" customWidth="1"/>
    <col min="62" max="62" width="16.7109375" style="288" customWidth="1"/>
    <col min="63" max="63" width="2.7109375" style="288" customWidth="1"/>
    <col min="64" max="64" width="16.7109375" style="288" customWidth="1"/>
    <col min="65" max="65" width="2.7109375" style="288" customWidth="1"/>
    <col min="66" max="66" width="16.7109375" style="288" customWidth="1"/>
    <col min="67" max="67" width="2.7109375" style="288" customWidth="1"/>
    <col min="68" max="68" width="17.140625" style="288" customWidth="1"/>
    <col min="69" max="69" width="2.7109375" style="288" customWidth="1"/>
    <col min="71" max="71" width="2.7109375" style="288" customWidth="1"/>
    <col min="72" max="72" width="55.7109375" style="288" customWidth="1"/>
    <col min="73" max="73" width="16.7109375" style="288" customWidth="1"/>
    <col min="74" max="74" width="2.7109375" style="288" customWidth="1"/>
    <col min="75" max="75" width="16.7109375" style="288" customWidth="1"/>
    <col min="76" max="76" width="2.7109375" style="288" customWidth="1"/>
    <col min="77" max="77" width="16.7109375" style="288" customWidth="1"/>
    <col min="78" max="78" width="2.7109375" style="288" customWidth="1"/>
    <col min="79" max="79" width="18.7109375" style="288" customWidth="1"/>
    <col min="80" max="80" width="2.7109375" style="288" hidden="1" customWidth="1"/>
    <col min="81" max="81" width="16.7109375" style="288" hidden="1" customWidth="1"/>
    <col min="82" max="82" width="2.7109375" style="288" customWidth="1"/>
    <col min="84" max="84" width="2.7109375" style="288" customWidth="1"/>
    <col min="85" max="85" width="58.85546875" style="288" customWidth="1"/>
    <col min="86" max="86" width="16.7109375" style="288" customWidth="1"/>
    <col min="87" max="87" width="2.7109375" style="288" customWidth="1"/>
    <col min="88" max="88" width="16.7109375" style="288" customWidth="1"/>
    <col min="89" max="89" width="2.7109375" style="288" customWidth="1"/>
    <col min="90" max="90" width="16.7109375" style="288" customWidth="1"/>
    <col min="91" max="91" width="2.7109375" style="288" customWidth="1"/>
    <col min="92" max="92" width="16.7109375" style="288" customWidth="1"/>
    <col min="93" max="93" width="2.7109375" style="288" customWidth="1"/>
    <col min="94" max="94" width="17.7109375" style="288" customWidth="1"/>
    <col min="95" max="95" width="2.7109375" style="288" customWidth="1"/>
    <col min="97" max="97" width="2.7109375" style="288" customWidth="1"/>
    <col min="98" max="98" width="54.28515625" style="288" customWidth="1"/>
    <col min="99" max="99" width="15.7109375" style="288" customWidth="1"/>
    <col min="100" max="100" width="3.85546875" style="288" customWidth="1"/>
    <col min="101" max="101" width="16.7109375" style="288" customWidth="1"/>
    <col min="102" max="102" width="2.7109375" style="288" customWidth="1"/>
    <col min="103" max="103" width="15.7109375" style="288" customWidth="1"/>
    <col min="104" max="104" width="2.7109375" style="288" customWidth="1"/>
    <col min="105" max="105" width="15.7109375" style="288" customWidth="1"/>
    <col min="106" max="106" width="2.7109375" style="288" customWidth="1"/>
    <col min="107" max="107" width="19.7109375" style="288" customWidth="1"/>
    <col min="108" max="108" width="2.7109375" style="288" hidden="1" customWidth="1"/>
    <col min="109" max="109" width="15" style="288" hidden="1" customWidth="1"/>
    <col min="110" max="110" width="13.85546875" style="288" hidden="1" customWidth="1"/>
    <col min="111" max="113" width="2.85546875" style="288" hidden="1" customWidth="1"/>
    <col min="114" max="114" width="2.85546875" hidden="1" customWidth="1"/>
    <col min="115" max="115" width="2.5703125" style="288" customWidth="1"/>
    <col min="117" max="117" width="2.7109375" style="288" customWidth="1"/>
    <col min="118" max="118" width="55.7109375" style="288" customWidth="1"/>
    <col min="119" max="119" width="16.7109375" style="288" customWidth="1"/>
    <col min="120" max="120" width="2.7109375" style="288" customWidth="1"/>
    <col min="121" max="121" width="16.7109375" style="288" hidden="1" customWidth="1"/>
    <col min="122" max="122" width="2.7109375" style="288" hidden="1" customWidth="1"/>
    <col min="123" max="123" width="5.5703125" style="288" hidden="1" customWidth="1"/>
    <col min="124" max="124" width="4.5703125" style="288" hidden="1" customWidth="1"/>
    <col min="125" max="125" width="18" style="288" customWidth="1"/>
    <col min="126" max="126" width="2.7109375" style="288" customWidth="1"/>
    <col min="127" max="127" width="17.42578125" style="288" customWidth="1"/>
    <col min="128" max="128" width="2.7109375" style="288" customWidth="1"/>
    <col min="129" max="129" width="13.28515625" style="288" customWidth="1"/>
    <col min="130" max="130" width="3.42578125" style="288" hidden="1" customWidth="1"/>
    <col min="131" max="131" width="16.7109375" style="288" hidden="1" customWidth="1"/>
    <col min="132" max="132" width="2.7109375" style="288" customWidth="1"/>
    <col min="133" max="133" width="16.7109375" style="288" customWidth="1"/>
    <col min="134" max="134" width="4.7109375" style="288" customWidth="1"/>
    <col min="135" max="135" width="16.7109375" style="288" customWidth="1"/>
    <col min="136" max="136" width="3.7109375" style="288" customWidth="1"/>
    <col min="137" max="137" width="12.5703125" style="288" customWidth="1"/>
    <col min="138" max="138" width="4.28515625" style="288" customWidth="1"/>
    <col min="139" max="139" width="16.7109375" style="288" customWidth="1"/>
    <col min="140" max="140" width="15.85546875" style="288" customWidth="1"/>
    <col min="141" max="141" width="13.140625" style="288" bestFit="1" customWidth="1"/>
    <col min="142" max="16384" width="9.7109375" style="288"/>
  </cols>
  <sheetData>
    <row r="2" spans="2:140">
      <c r="B2" s="503"/>
      <c r="C2" s="503"/>
      <c r="D2" s="503"/>
      <c r="E2" s="503"/>
      <c r="F2" s="503"/>
      <c r="G2" s="503"/>
      <c r="H2" s="503"/>
      <c r="I2" s="503"/>
      <c r="J2" s="503"/>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3"/>
      <c r="AJ2" s="503"/>
      <c r="AK2" s="503"/>
      <c r="AL2" s="503"/>
      <c r="AM2" s="503"/>
      <c r="AN2" s="503"/>
      <c r="AO2" s="503"/>
      <c r="AP2" s="503"/>
      <c r="AQ2" s="503"/>
      <c r="AR2" s="503"/>
      <c r="AS2" s="503"/>
      <c r="AT2" s="503"/>
      <c r="AU2" s="503"/>
      <c r="AV2" s="503"/>
      <c r="AW2" s="503"/>
      <c r="AX2" s="503"/>
      <c r="AY2" s="503"/>
      <c r="AZ2" s="503"/>
      <c r="BA2" s="503"/>
      <c r="BB2" s="503"/>
      <c r="BC2" s="503"/>
      <c r="BD2" s="503"/>
      <c r="BF2" s="503"/>
      <c r="BG2" s="503"/>
      <c r="BH2" s="503"/>
      <c r="BI2" s="503"/>
      <c r="BJ2" s="503"/>
      <c r="BK2" s="503"/>
      <c r="BL2" s="503"/>
      <c r="BM2" s="503"/>
      <c r="BN2" s="503"/>
      <c r="BO2" s="503"/>
      <c r="BP2" s="503"/>
      <c r="BQ2" s="503"/>
      <c r="BS2" s="503"/>
      <c r="BT2" s="503"/>
      <c r="BU2" s="503"/>
      <c r="BV2" s="503"/>
      <c r="BW2" s="503"/>
      <c r="BX2" s="503"/>
      <c r="BY2" s="503"/>
      <c r="BZ2" s="503"/>
      <c r="CA2" s="503"/>
      <c r="CB2" s="503"/>
      <c r="CC2" s="503"/>
      <c r="CD2" s="503"/>
      <c r="CF2" s="503"/>
      <c r="CG2" s="503"/>
      <c r="CH2" s="503"/>
      <c r="CI2" s="503"/>
      <c r="CJ2" s="503"/>
      <c r="CK2" s="503"/>
      <c r="CL2" s="503"/>
      <c r="CM2" s="503"/>
      <c r="CN2" s="503"/>
      <c r="CO2" s="503"/>
      <c r="CP2" s="503"/>
      <c r="CQ2" s="503"/>
      <c r="CS2" s="503"/>
      <c r="CT2" s="503"/>
      <c r="CU2" s="503"/>
      <c r="CV2" s="503"/>
      <c r="CW2" s="503"/>
      <c r="CX2" s="503"/>
      <c r="CY2" s="503"/>
      <c r="CZ2" s="503"/>
      <c r="DA2" s="503"/>
      <c r="DB2" s="503"/>
      <c r="DC2" s="503"/>
      <c r="DD2" s="503"/>
      <c r="DE2" s="503"/>
      <c r="DF2" s="503"/>
      <c r="DG2" s="503"/>
      <c r="DH2" s="503"/>
      <c r="DI2" s="503"/>
      <c r="DK2" s="503"/>
      <c r="DM2" s="503"/>
      <c r="DN2" s="758"/>
      <c r="DO2" s="758"/>
      <c r="DP2" s="758"/>
      <c r="DQ2" s="503"/>
      <c r="DR2" s="758"/>
      <c r="DS2" s="758"/>
      <c r="DT2" s="758"/>
      <c r="DU2" s="758"/>
      <c r="DV2" s="758"/>
      <c r="DW2" s="758"/>
      <c r="DX2" s="758"/>
      <c r="DY2" s="758"/>
      <c r="DZ2" s="758"/>
      <c r="EA2" s="758"/>
      <c r="EB2" s="330"/>
      <c r="EC2" s="330"/>
      <c r="ED2" s="289"/>
    </row>
    <row r="3" spans="2:140" ht="15.75">
      <c r="B3" s="305" t="s">
        <v>1049</v>
      </c>
      <c r="C3" s="277"/>
      <c r="D3" s="277"/>
      <c r="E3" s="277"/>
      <c r="F3" s="277"/>
      <c r="G3" s="277"/>
      <c r="H3" s="277"/>
      <c r="I3" s="277"/>
      <c r="J3" s="277"/>
      <c r="K3" s="277"/>
      <c r="L3" s="277"/>
      <c r="M3" s="305" t="str">
        <f>B3</f>
        <v>LEWIS AND CLARK COUNTY, MONTANA</v>
      </c>
      <c r="N3" s="277"/>
      <c r="O3" s="277"/>
      <c r="P3" s="277"/>
      <c r="Q3" s="277"/>
      <c r="R3" s="277"/>
      <c r="S3" s="277"/>
      <c r="T3" s="277"/>
      <c r="U3" s="277"/>
      <c r="V3" s="277"/>
      <c r="W3" s="277"/>
      <c r="X3" s="305" t="str">
        <f>B3</f>
        <v>LEWIS AND CLARK COUNTY, MONTANA</v>
      </c>
      <c r="Y3" s="277"/>
      <c r="Z3" s="277"/>
      <c r="AA3" s="277"/>
      <c r="AB3" s="277"/>
      <c r="AC3" s="277"/>
      <c r="AD3" s="277"/>
      <c r="AE3" s="277"/>
      <c r="AF3" s="277"/>
      <c r="AG3" s="277"/>
      <c r="AH3" s="277"/>
      <c r="AI3" s="305" t="str">
        <f>B3</f>
        <v>LEWIS AND CLARK COUNTY, MONTANA</v>
      </c>
      <c r="AJ3" s="277"/>
      <c r="AK3" s="277"/>
      <c r="AL3" s="277"/>
      <c r="AM3" s="277"/>
      <c r="AN3" s="277"/>
      <c r="AO3" s="277"/>
      <c r="AP3" s="277"/>
      <c r="AQ3" s="277"/>
      <c r="AR3" s="277"/>
      <c r="AS3" s="277"/>
      <c r="AT3" s="305" t="str">
        <f>B3</f>
        <v>LEWIS AND CLARK COUNTY, MONTANA</v>
      </c>
      <c r="AU3" s="277"/>
      <c r="AV3" s="305"/>
      <c r="AW3" s="277"/>
      <c r="AX3" s="305"/>
      <c r="AY3" s="305"/>
      <c r="AZ3" s="305"/>
      <c r="BA3" s="305"/>
      <c r="BB3" s="305"/>
      <c r="BC3" s="305"/>
      <c r="BD3" s="305"/>
      <c r="BF3" s="277"/>
      <c r="BG3" s="305" t="str">
        <f>B3</f>
        <v>LEWIS AND CLARK COUNTY, MONTANA</v>
      </c>
      <c r="BH3" s="277"/>
      <c r="BI3" s="305"/>
      <c r="BJ3" s="277"/>
      <c r="BK3" s="277"/>
      <c r="BL3" s="277"/>
      <c r="BM3" s="277"/>
      <c r="BN3" s="277"/>
      <c r="BO3" s="277"/>
      <c r="BP3" s="277"/>
      <c r="BQ3" s="305"/>
      <c r="BS3" s="277"/>
      <c r="BT3" s="305" t="str">
        <f>B3</f>
        <v>LEWIS AND CLARK COUNTY, MONTANA</v>
      </c>
      <c r="BU3" s="305"/>
      <c r="BV3" s="305"/>
      <c r="BW3" s="277"/>
      <c r="BX3" s="277"/>
      <c r="BY3" s="277"/>
      <c r="BZ3" s="277"/>
      <c r="CA3" s="277"/>
      <c r="CB3" s="277"/>
      <c r="CC3" s="277"/>
      <c r="CD3" s="277"/>
      <c r="CF3" s="277"/>
      <c r="CG3" s="305" t="str">
        <f>B3</f>
        <v>LEWIS AND CLARK COUNTY, MONTANA</v>
      </c>
      <c r="CH3" s="277"/>
      <c r="CI3" s="305"/>
      <c r="CJ3" s="277"/>
      <c r="CK3" s="277"/>
      <c r="CL3" s="277"/>
      <c r="CM3" s="277"/>
      <c r="CN3" s="277"/>
      <c r="CO3" s="277"/>
      <c r="CP3" s="277"/>
      <c r="CQ3" s="277"/>
      <c r="CS3" s="277"/>
      <c r="CT3" s="305" t="str">
        <f>B3</f>
        <v>LEWIS AND CLARK COUNTY, MONTANA</v>
      </c>
      <c r="CU3" s="277"/>
      <c r="CV3" s="305"/>
      <c r="CW3" s="277"/>
      <c r="CX3" s="277"/>
      <c r="CY3" s="277"/>
      <c r="CZ3" s="277"/>
      <c r="DA3" s="277"/>
      <c r="DB3" s="277"/>
      <c r="DC3" s="277"/>
      <c r="DD3" s="277"/>
      <c r="DE3" s="277"/>
      <c r="DF3" s="277"/>
      <c r="DG3" s="277"/>
      <c r="DH3" s="277"/>
      <c r="DI3" s="277"/>
      <c r="DK3" s="277"/>
      <c r="DM3" s="277"/>
      <c r="DN3" s="1313" t="str">
        <f>M3</f>
        <v>LEWIS AND CLARK COUNTY, MONTANA</v>
      </c>
      <c r="DO3" s="1313"/>
      <c r="DP3" s="1313"/>
      <c r="DQ3" s="1313"/>
      <c r="DR3" s="1313"/>
      <c r="DS3" s="1313"/>
      <c r="DT3" s="1313"/>
      <c r="DU3" s="1313"/>
      <c r="DV3" s="1313"/>
      <c r="DW3" s="1313"/>
      <c r="DX3" s="1313"/>
      <c r="DY3" s="1313"/>
      <c r="DZ3" s="1313"/>
      <c r="EA3" s="1313"/>
      <c r="EB3" s="1313"/>
      <c r="EC3" s="1313"/>
      <c r="ED3" s="277"/>
    </row>
    <row r="4" spans="2:140" ht="15.75">
      <c r="B4" s="305" t="s">
        <v>301</v>
      </c>
      <c r="C4" s="277"/>
      <c r="D4" s="277"/>
      <c r="E4" s="277"/>
      <c r="F4" s="277"/>
      <c r="G4" s="277"/>
      <c r="H4" s="277"/>
      <c r="I4" s="277"/>
      <c r="J4" s="277"/>
      <c r="K4" s="277"/>
      <c r="L4" s="277"/>
      <c r="M4" s="305" t="str">
        <f>B4</f>
        <v>COMBINING STATEMENT OF REVENUES, EXPENDITURES AND CHANGES IN FUND BALANCES</v>
      </c>
      <c r="N4" s="277"/>
      <c r="O4" s="277"/>
      <c r="P4" s="277"/>
      <c r="Q4" s="277"/>
      <c r="R4" s="277"/>
      <c r="S4" s="277"/>
      <c r="T4" s="277"/>
      <c r="U4" s="277"/>
      <c r="V4" s="277"/>
      <c r="W4" s="277"/>
      <c r="X4" s="305" t="str">
        <f>B4</f>
        <v>COMBINING STATEMENT OF REVENUES, EXPENDITURES AND CHANGES IN FUND BALANCES</v>
      </c>
      <c r="Y4" s="277"/>
      <c r="Z4" s="277"/>
      <c r="AA4" s="277"/>
      <c r="AB4" s="277"/>
      <c r="AC4" s="277"/>
      <c r="AD4" s="277"/>
      <c r="AE4" s="277"/>
      <c r="AF4" s="277"/>
      <c r="AG4" s="277"/>
      <c r="AH4" s="277"/>
      <c r="AI4" s="305" t="str">
        <f>B4</f>
        <v>COMBINING STATEMENT OF REVENUES, EXPENDITURES AND CHANGES IN FUND BALANCES</v>
      </c>
      <c r="AJ4" s="277"/>
      <c r="AK4" s="277"/>
      <c r="AL4" s="277"/>
      <c r="AM4" s="277"/>
      <c r="AN4" s="277"/>
      <c r="AO4" s="277"/>
      <c r="AP4" s="277"/>
      <c r="AQ4" s="277"/>
      <c r="AR4" s="277"/>
      <c r="AS4" s="277"/>
      <c r="AT4" s="305" t="str">
        <f>B4</f>
        <v>COMBINING STATEMENT OF REVENUES, EXPENDITURES AND CHANGES IN FUND BALANCES</v>
      </c>
      <c r="AU4" s="277"/>
      <c r="AV4" s="305"/>
      <c r="AW4" s="277"/>
      <c r="AX4" s="305"/>
      <c r="AY4" s="305"/>
      <c r="AZ4" s="305"/>
      <c r="BA4" s="305"/>
      <c r="BB4" s="305"/>
      <c r="BC4" s="305"/>
      <c r="BD4" s="305"/>
      <c r="BF4" s="277"/>
      <c r="BG4" s="305" t="str">
        <f>B4</f>
        <v>COMBINING STATEMENT OF REVENUES, EXPENDITURES AND CHANGES IN FUND BALANCES</v>
      </c>
      <c r="BH4" s="277"/>
      <c r="BI4" s="305"/>
      <c r="BJ4" s="277"/>
      <c r="BK4" s="277"/>
      <c r="BL4" s="277"/>
      <c r="BM4" s="277"/>
      <c r="BN4" s="277"/>
      <c r="BO4" s="277"/>
      <c r="BP4" s="277"/>
      <c r="BQ4" s="305"/>
      <c r="BS4" s="277"/>
      <c r="BT4" s="305" t="str">
        <f>B4</f>
        <v>COMBINING STATEMENT OF REVENUES, EXPENDITURES AND CHANGES IN FUND BALANCES</v>
      </c>
      <c r="BU4" s="305"/>
      <c r="BV4" s="305"/>
      <c r="BW4" s="277"/>
      <c r="BX4" s="277"/>
      <c r="BY4" s="277"/>
      <c r="BZ4" s="277"/>
      <c r="CA4" s="277"/>
      <c r="CB4" s="277"/>
      <c r="CC4" s="277"/>
      <c r="CD4" s="277"/>
      <c r="CF4" s="277"/>
      <c r="CG4" s="305" t="str">
        <f>B4</f>
        <v>COMBINING STATEMENT OF REVENUES, EXPENDITURES AND CHANGES IN FUND BALANCES</v>
      </c>
      <c r="CH4" s="277"/>
      <c r="CI4" s="305"/>
      <c r="CJ4" s="277"/>
      <c r="CK4" s="277"/>
      <c r="CL4" s="277"/>
      <c r="CM4" s="277"/>
      <c r="CN4" s="277"/>
      <c r="CO4" s="277"/>
      <c r="CP4" s="277"/>
      <c r="CQ4" s="277"/>
      <c r="CS4" s="277"/>
      <c r="CT4" s="1313" t="str">
        <f>B4</f>
        <v>COMBINING STATEMENT OF REVENUES, EXPENDITURES AND CHANGES IN FUND BALANCES</v>
      </c>
      <c r="CU4" s="1313"/>
      <c r="CV4" s="1313"/>
      <c r="CW4" s="1313"/>
      <c r="CX4" s="1313"/>
      <c r="CY4" s="1313"/>
      <c r="CZ4" s="1313"/>
      <c r="DA4" s="1313"/>
      <c r="DB4" s="1313"/>
      <c r="DC4" s="1313"/>
      <c r="DD4" s="1313"/>
      <c r="DE4" s="1313"/>
      <c r="DF4" s="277"/>
      <c r="DG4" s="277"/>
      <c r="DH4" s="277"/>
      <c r="DI4" s="277"/>
      <c r="DK4" s="277"/>
      <c r="DM4" s="277"/>
      <c r="DN4" s="1313" t="str">
        <f>M4</f>
        <v>COMBINING STATEMENT OF REVENUES, EXPENDITURES AND CHANGES IN FUND BALANCES</v>
      </c>
      <c r="DO4" s="1313"/>
      <c r="DP4" s="1313"/>
      <c r="DQ4" s="1313"/>
      <c r="DR4" s="1313"/>
      <c r="DS4" s="1313"/>
      <c r="DT4" s="1313"/>
      <c r="DU4" s="1313"/>
      <c r="DV4" s="1313"/>
      <c r="DW4" s="1313"/>
      <c r="DX4" s="1313"/>
      <c r="DY4" s="1313"/>
      <c r="DZ4" s="1313"/>
      <c r="EA4" s="1313"/>
      <c r="EB4" s="1313"/>
      <c r="EC4" s="1313"/>
      <c r="ED4" s="277"/>
    </row>
    <row r="5" spans="2:140" ht="15.75">
      <c r="B5" s="305" t="s">
        <v>3</v>
      </c>
      <c r="C5" s="277"/>
      <c r="D5" s="277"/>
      <c r="E5" s="277"/>
      <c r="F5" s="277"/>
      <c r="G5" s="277"/>
      <c r="H5" s="277"/>
      <c r="I5" s="277"/>
      <c r="J5" s="277"/>
      <c r="K5" s="277"/>
      <c r="L5" s="277"/>
      <c r="M5" s="305" t="str">
        <f>B5</f>
        <v>NONMAJOR SPECIAL REVENUE FUNDS</v>
      </c>
      <c r="N5" s="277"/>
      <c r="O5" s="277"/>
      <c r="P5" s="277"/>
      <c r="Q5" s="277"/>
      <c r="R5" s="277"/>
      <c r="S5" s="277"/>
      <c r="T5" s="277"/>
      <c r="U5" s="277"/>
      <c r="V5" s="277"/>
      <c r="W5" s="277"/>
      <c r="X5" s="305" t="str">
        <f>B5</f>
        <v>NONMAJOR SPECIAL REVENUE FUNDS</v>
      </c>
      <c r="Y5" s="277"/>
      <c r="Z5" s="277"/>
      <c r="AA5" s="277"/>
      <c r="AB5" s="277"/>
      <c r="AC5" s="277"/>
      <c r="AD5" s="277"/>
      <c r="AE5" s="277"/>
      <c r="AF5" s="277"/>
      <c r="AG5" s="277"/>
      <c r="AH5" s="277"/>
      <c r="AI5" s="305" t="str">
        <f>B5</f>
        <v>NONMAJOR SPECIAL REVENUE FUNDS</v>
      </c>
      <c r="AJ5" s="277"/>
      <c r="AK5" s="277"/>
      <c r="AL5" s="277"/>
      <c r="AM5" s="277"/>
      <c r="AN5" s="277"/>
      <c r="AO5" s="277"/>
      <c r="AP5" s="277"/>
      <c r="AQ5" s="277"/>
      <c r="AR5" s="277"/>
      <c r="AS5" s="277"/>
      <c r="AT5" s="305" t="str">
        <f>B5</f>
        <v>NONMAJOR SPECIAL REVENUE FUNDS</v>
      </c>
      <c r="AU5" s="277"/>
      <c r="AV5" s="305"/>
      <c r="AW5" s="277"/>
      <c r="AX5" s="305"/>
      <c r="AY5" s="305"/>
      <c r="AZ5" s="305"/>
      <c r="BA5" s="305"/>
      <c r="BB5" s="305"/>
      <c r="BC5" s="305"/>
      <c r="BD5" s="305"/>
      <c r="BF5" s="277"/>
      <c r="BG5" s="305" t="str">
        <f>B5</f>
        <v>NONMAJOR SPECIAL REVENUE FUNDS</v>
      </c>
      <c r="BH5" s="277"/>
      <c r="BI5" s="305"/>
      <c r="BJ5" s="277"/>
      <c r="BK5" s="277"/>
      <c r="BL5" s="277"/>
      <c r="BM5" s="277"/>
      <c r="BN5" s="277"/>
      <c r="BO5" s="277"/>
      <c r="BP5" s="277"/>
      <c r="BQ5" s="305"/>
      <c r="BS5" s="277"/>
      <c r="BT5" s="305" t="str">
        <f>B5</f>
        <v>NONMAJOR SPECIAL REVENUE FUNDS</v>
      </c>
      <c r="BU5" s="305"/>
      <c r="BV5" s="305"/>
      <c r="BW5" s="277"/>
      <c r="BX5" s="277"/>
      <c r="BY5" s="277"/>
      <c r="BZ5" s="277"/>
      <c r="CA5" s="277"/>
      <c r="CB5" s="277"/>
      <c r="CC5" s="277"/>
      <c r="CD5" s="277"/>
      <c r="CF5" s="277"/>
      <c r="CG5" s="305" t="str">
        <f>B5</f>
        <v>NONMAJOR SPECIAL REVENUE FUNDS</v>
      </c>
      <c r="CH5" s="277"/>
      <c r="CI5" s="305"/>
      <c r="CJ5" s="277"/>
      <c r="CK5" s="277"/>
      <c r="CL5" s="277"/>
      <c r="CM5" s="277"/>
      <c r="CN5" s="277"/>
      <c r="CO5" s="277"/>
      <c r="CP5" s="277"/>
      <c r="CQ5" s="277"/>
      <c r="CS5" s="277"/>
      <c r="CT5" s="1313" t="str">
        <f>B5</f>
        <v>NONMAJOR SPECIAL REVENUE FUNDS</v>
      </c>
      <c r="CU5" s="1313"/>
      <c r="CV5" s="1313"/>
      <c r="CW5" s="1313"/>
      <c r="CX5" s="1313"/>
      <c r="CY5" s="1313"/>
      <c r="CZ5" s="1313"/>
      <c r="DA5" s="1313"/>
      <c r="DB5" s="1313"/>
      <c r="DC5" s="1313"/>
      <c r="DD5" s="1313"/>
      <c r="DE5" s="1313"/>
      <c r="DF5" s="277"/>
      <c r="DG5" s="277"/>
      <c r="DH5" s="277"/>
      <c r="DI5" s="277"/>
      <c r="DK5" s="277"/>
      <c r="DM5" s="277"/>
      <c r="DN5" s="1313" t="str">
        <f>M5</f>
        <v>NONMAJOR SPECIAL REVENUE FUNDS</v>
      </c>
      <c r="DO5" s="1313"/>
      <c r="DP5" s="1313"/>
      <c r="DQ5" s="1313"/>
      <c r="DR5" s="1313"/>
      <c r="DS5" s="1313"/>
      <c r="DT5" s="1313"/>
      <c r="DU5" s="1313"/>
      <c r="DV5" s="1313"/>
      <c r="DW5" s="1313"/>
      <c r="DX5" s="1313"/>
      <c r="DY5" s="1313"/>
      <c r="DZ5" s="1313"/>
      <c r="EA5" s="1313"/>
      <c r="EB5" s="1313"/>
      <c r="EC5" s="1313"/>
      <c r="ED5" s="277"/>
    </row>
    <row r="6" spans="2:140" ht="15.75">
      <c r="B6" s="395" t="str">
        <f>+'Sys INPUT'!B2</f>
        <v>For the  Fiscal Year Ended June 30, 2023</v>
      </c>
      <c r="C6" s="277"/>
      <c r="D6" s="277"/>
      <c r="E6" s="277"/>
      <c r="F6" s="277"/>
      <c r="G6" s="277"/>
      <c r="H6" s="277"/>
      <c r="I6" s="277"/>
      <c r="J6" s="277"/>
      <c r="K6" s="277"/>
      <c r="L6" s="277"/>
      <c r="M6" s="305" t="str">
        <f>B6</f>
        <v>For the  Fiscal Year Ended June 30, 2023</v>
      </c>
      <c r="N6" s="277"/>
      <c r="O6" s="277"/>
      <c r="P6" s="277"/>
      <c r="Q6" s="277"/>
      <c r="R6" s="277"/>
      <c r="S6" s="277"/>
      <c r="T6" s="277"/>
      <c r="U6" s="277"/>
      <c r="V6" s="277"/>
      <c r="W6" s="277"/>
      <c r="X6" s="305" t="str">
        <f>M6</f>
        <v>For the  Fiscal Year Ended June 30, 2023</v>
      </c>
      <c r="Y6" s="277"/>
      <c r="Z6" s="277"/>
      <c r="AA6" s="277"/>
      <c r="AB6" s="277"/>
      <c r="AC6" s="277"/>
      <c r="AD6" s="277"/>
      <c r="AE6" s="277"/>
      <c r="AF6" s="277"/>
      <c r="AG6" s="277"/>
      <c r="AH6" s="277"/>
      <c r="AI6" s="305" t="str">
        <f>X6</f>
        <v>For the  Fiscal Year Ended June 30, 2023</v>
      </c>
      <c r="AJ6" s="277"/>
      <c r="AK6" s="277"/>
      <c r="AL6" s="277"/>
      <c r="AM6" s="277"/>
      <c r="AN6" s="277"/>
      <c r="AO6" s="277"/>
      <c r="AP6" s="277"/>
      <c r="AQ6" s="277"/>
      <c r="AR6" s="277"/>
      <c r="AS6" s="277"/>
      <c r="AT6" s="305" t="str">
        <f>AI6</f>
        <v>For the  Fiscal Year Ended June 30, 2023</v>
      </c>
      <c r="AU6" s="277"/>
      <c r="AV6" s="305"/>
      <c r="AW6" s="277"/>
      <c r="AX6" s="305"/>
      <c r="AY6" s="305"/>
      <c r="AZ6" s="305"/>
      <c r="BA6" s="305"/>
      <c r="BB6" s="305"/>
      <c r="BC6" s="305"/>
      <c r="BD6" s="305"/>
      <c r="BF6" s="277"/>
      <c r="BG6" s="305" t="str">
        <f>AT6</f>
        <v>For the  Fiscal Year Ended June 30, 2023</v>
      </c>
      <c r="BH6" s="277"/>
      <c r="BI6" s="305"/>
      <c r="BJ6" s="277"/>
      <c r="BK6" s="277"/>
      <c r="BL6" s="277"/>
      <c r="BM6" s="277"/>
      <c r="BN6" s="277"/>
      <c r="BO6" s="277"/>
      <c r="BP6" s="277"/>
      <c r="BQ6" s="305"/>
      <c r="BS6" s="277"/>
      <c r="BT6" s="305" t="str">
        <f>BG6</f>
        <v>For the  Fiscal Year Ended June 30, 2023</v>
      </c>
      <c r="BU6" s="305"/>
      <c r="BV6" s="305"/>
      <c r="BW6" s="277"/>
      <c r="BX6" s="277"/>
      <c r="BY6" s="277"/>
      <c r="BZ6" s="277"/>
      <c r="CA6" s="277"/>
      <c r="CB6" s="277"/>
      <c r="CC6" s="277"/>
      <c r="CD6" s="277"/>
      <c r="CF6" s="277"/>
      <c r="CG6" s="305" t="str">
        <f>B6</f>
        <v>For the  Fiscal Year Ended June 30, 2023</v>
      </c>
      <c r="CH6" s="277"/>
      <c r="CI6" s="305"/>
      <c r="CJ6" s="277"/>
      <c r="CK6" s="277"/>
      <c r="CL6" s="277"/>
      <c r="CM6" s="277"/>
      <c r="CN6" s="277"/>
      <c r="CO6" s="277"/>
      <c r="CP6" s="277"/>
      <c r="CQ6" s="277"/>
      <c r="CS6" s="277"/>
      <c r="CT6" s="1313" t="str">
        <f>B6</f>
        <v>For the  Fiscal Year Ended June 30, 2023</v>
      </c>
      <c r="CU6" s="1313"/>
      <c r="CV6" s="1313"/>
      <c r="CW6" s="1313"/>
      <c r="CX6" s="1313"/>
      <c r="CY6" s="1313"/>
      <c r="CZ6" s="1313"/>
      <c r="DA6" s="1313"/>
      <c r="DB6" s="1313"/>
      <c r="DC6" s="1313"/>
      <c r="DD6" s="1313"/>
      <c r="DE6" s="1313"/>
      <c r="DF6" s="277"/>
      <c r="DG6" s="277"/>
      <c r="DH6" s="277"/>
      <c r="DI6" s="277"/>
      <c r="DK6" s="277"/>
      <c r="DM6" s="277"/>
      <c r="DN6" s="1313" t="str">
        <f>M6</f>
        <v>For the  Fiscal Year Ended June 30, 2023</v>
      </c>
      <c r="DO6" s="1313"/>
      <c r="DP6" s="1313"/>
      <c r="DQ6" s="1313"/>
      <c r="DR6" s="1313"/>
      <c r="DS6" s="1313"/>
      <c r="DT6" s="1313"/>
      <c r="DU6" s="1313"/>
      <c r="DV6" s="1313"/>
      <c r="DW6" s="1313"/>
      <c r="DX6" s="1313"/>
      <c r="DY6" s="1313"/>
      <c r="DZ6" s="1313"/>
      <c r="EA6" s="1313"/>
      <c r="EB6" s="1313"/>
      <c r="EC6" s="1313"/>
      <c r="ED6" s="277"/>
    </row>
    <row r="7" spans="2:140" ht="15.75">
      <c r="B7" s="305" t="s">
        <v>1566</v>
      </c>
      <c r="C7" s="305"/>
      <c r="D7" s="305"/>
      <c r="E7" s="305"/>
      <c r="F7" s="305"/>
      <c r="G7" s="305"/>
      <c r="H7" s="305"/>
      <c r="I7" s="305"/>
      <c r="J7" s="305"/>
      <c r="K7" s="305"/>
      <c r="L7" s="305"/>
      <c r="M7" s="305" t="s">
        <v>1567</v>
      </c>
      <c r="N7" s="305"/>
      <c r="O7" s="305"/>
      <c r="P7" s="305"/>
      <c r="Q7" s="305"/>
      <c r="R7" s="305"/>
      <c r="S7" s="305"/>
      <c r="T7" s="305"/>
      <c r="U7" s="305"/>
      <c r="V7" s="305"/>
      <c r="W7" s="305"/>
      <c r="X7" s="305" t="s">
        <v>1568</v>
      </c>
      <c r="Y7" s="305"/>
      <c r="Z7" s="305"/>
      <c r="AA7" s="305"/>
      <c r="AB7" s="305"/>
      <c r="AC7" s="305"/>
      <c r="AD7" s="305"/>
      <c r="AE7" s="305"/>
      <c r="AF7" s="305"/>
      <c r="AG7" s="305"/>
      <c r="AH7" s="305"/>
      <c r="AI7" s="305" t="s">
        <v>1569</v>
      </c>
      <c r="AJ7" s="305"/>
      <c r="AK7" s="305"/>
      <c r="AL7" s="305"/>
      <c r="AM7" s="305"/>
      <c r="AN7" s="305"/>
      <c r="AO7" s="305"/>
      <c r="AP7" s="305"/>
      <c r="AQ7" s="305"/>
      <c r="AR7" s="305"/>
      <c r="AS7" s="305"/>
      <c r="AT7" s="305" t="s">
        <v>1570</v>
      </c>
      <c r="AU7" s="305"/>
      <c r="AV7" s="305"/>
      <c r="AW7" s="305"/>
      <c r="AX7" s="305"/>
      <c r="AY7" s="305"/>
      <c r="AZ7" s="305"/>
      <c r="BA7" s="305"/>
      <c r="BB7" s="305"/>
      <c r="BC7" s="305"/>
      <c r="BD7" s="305"/>
      <c r="BF7" s="305"/>
      <c r="BG7" s="305" t="s">
        <v>1571</v>
      </c>
      <c r="BH7" s="305"/>
      <c r="BI7" s="305"/>
      <c r="BJ7" s="305"/>
      <c r="BK7" s="305"/>
      <c r="BL7" s="305"/>
      <c r="BM7" s="305"/>
      <c r="BN7" s="305"/>
      <c r="BO7" s="305"/>
      <c r="BP7" s="305"/>
      <c r="BQ7" s="305"/>
      <c r="BS7" s="305"/>
      <c r="BT7" s="305" t="s">
        <v>1572</v>
      </c>
      <c r="BU7" s="305"/>
      <c r="BV7" s="305"/>
      <c r="BW7" s="305"/>
      <c r="BX7" s="305"/>
      <c r="BY7" s="305"/>
      <c r="BZ7" s="305"/>
      <c r="CA7" s="305"/>
      <c r="CB7" s="305"/>
      <c r="CC7" s="305"/>
      <c r="CD7" s="305"/>
      <c r="CF7" s="305"/>
      <c r="CG7" s="305" t="s">
        <v>1573</v>
      </c>
      <c r="CH7" s="305"/>
      <c r="CI7" s="305"/>
      <c r="CJ7" s="305"/>
      <c r="CK7" s="305"/>
      <c r="CL7" s="305"/>
      <c r="CM7" s="305"/>
      <c r="CN7" s="305"/>
      <c r="CO7" s="305"/>
      <c r="CP7" s="305"/>
      <c r="CQ7" s="305"/>
      <c r="CS7" s="305"/>
      <c r="CT7" s="1313" t="s">
        <v>1574</v>
      </c>
      <c r="CU7" s="1313"/>
      <c r="CV7" s="1313"/>
      <c r="CW7" s="1313"/>
      <c r="CX7" s="1313"/>
      <c r="CY7" s="1313"/>
      <c r="CZ7" s="1313"/>
      <c r="DA7" s="1313"/>
      <c r="DB7" s="1313"/>
      <c r="DC7" s="1313"/>
      <c r="DD7" s="1313"/>
      <c r="DE7" s="1313"/>
      <c r="DF7" s="305"/>
      <c r="DG7" s="305"/>
      <c r="DH7" s="305"/>
      <c r="DI7" s="305"/>
      <c r="DK7" s="305"/>
      <c r="DM7" s="305"/>
      <c r="DN7" s="1313" t="s">
        <v>1575</v>
      </c>
      <c r="DO7" s="1313"/>
      <c r="DP7" s="1313"/>
      <c r="DQ7" s="1313"/>
      <c r="DR7" s="1313"/>
      <c r="DS7" s="1313"/>
      <c r="DT7" s="1313"/>
      <c r="DU7" s="1313"/>
      <c r="DV7" s="1313"/>
      <c r="DW7" s="1313"/>
      <c r="DX7" s="1313"/>
      <c r="DY7" s="1313"/>
      <c r="DZ7" s="1313"/>
      <c r="EA7" s="1313"/>
      <c r="EB7" s="1313"/>
      <c r="EC7" s="1313"/>
      <c r="ED7" s="305"/>
    </row>
    <row r="8" spans="2:140" ht="15.75">
      <c r="B8" s="305"/>
      <c r="C8" s="305"/>
      <c r="D8" s="305"/>
      <c r="E8" s="305"/>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c r="AE8" s="305"/>
      <c r="AF8" s="305"/>
      <c r="AG8" s="305"/>
      <c r="AH8" s="305"/>
      <c r="AI8" s="305"/>
      <c r="AJ8" s="305"/>
      <c r="AK8" s="305"/>
      <c r="AL8" s="305"/>
      <c r="AM8" s="305"/>
      <c r="AN8" s="305"/>
      <c r="AO8" s="305"/>
      <c r="AP8" s="305"/>
      <c r="AQ8" s="305"/>
      <c r="AR8" s="305"/>
      <c r="AS8" s="305"/>
      <c r="AT8" s="305"/>
      <c r="AU8" s="305"/>
      <c r="AV8" s="305"/>
      <c r="AW8" s="305"/>
      <c r="AX8" s="305"/>
      <c r="AY8" s="305"/>
      <c r="AZ8" s="305"/>
      <c r="BA8" s="305"/>
      <c r="BB8" s="305"/>
      <c r="BC8" s="305"/>
      <c r="BD8" s="305"/>
      <c r="BF8" s="305"/>
      <c r="BG8" s="305"/>
      <c r="BH8" s="305"/>
      <c r="BI8" s="305"/>
      <c r="BJ8" s="305"/>
      <c r="BK8" s="305"/>
      <c r="BL8" s="305"/>
      <c r="BM8" s="305"/>
      <c r="BN8" s="305"/>
      <c r="BO8" s="305"/>
      <c r="BP8" s="305"/>
      <c r="BQ8" s="305"/>
      <c r="BS8" s="305"/>
      <c r="BT8" s="305"/>
      <c r="BU8" s="305"/>
      <c r="BV8" s="305"/>
      <c r="BW8" s="305"/>
      <c r="BX8" s="305"/>
      <c r="BY8" s="305"/>
      <c r="BZ8" s="305"/>
      <c r="CA8" s="305"/>
      <c r="CB8" s="305"/>
      <c r="CC8" s="305"/>
      <c r="CD8" s="305"/>
      <c r="CF8" s="305"/>
      <c r="CG8" s="305"/>
      <c r="CH8" s="305"/>
      <c r="CI8" s="305"/>
      <c r="CJ8" s="305"/>
      <c r="CK8" s="305"/>
      <c r="CL8" s="305"/>
      <c r="CM8" s="305"/>
      <c r="CN8" s="305"/>
      <c r="CO8" s="305"/>
      <c r="CP8" s="305"/>
      <c r="CQ8" s="305"/>
      <c r="CS8" s="305"/>
      <c r="CT8" s="305"/>
      <c r="CU8" s="305"/>
      <c r="CV8" s="305"/>
      <c r="CW8" s="305"/>
      <c r="CX8" s="305"/>
      <c r="CY8" s="305"/>
      <c r="CZ8" s="305"/>
      <c r="DA8" s="305"/>
      <c r="DB8" s="305"/>
      <c r="DC8" s="305"/>
      <c r="DD8" s="305"/>
      <c r="DE8" s="305"/>
      <c r="DF8" s="305"/>
      <c r="DG8" s="305"/>
      <c r="DH8" s="305"/>
      <c r="DI8" s="305"/>
      <c r="DK8" s="305"/>
      <c r="DM8" s="305"/>
      <c r="DN8" s="287"/>
      <c r="DO8" s="287"/>
      <c r="DP8" s="287"/>
      <c r="DQ8" s="305"/>
      <c r="DR8" s="287"/>
      <c r="DS8" s="287"/>
      <c r="DT8" s="287"/>
      <c r="DU8" s="287"/>
      <c r="DV8" s="287"/>
      <c r="DW8" s="287"/>
      <c r="DX8" s="287"/>
      <c r="DY8" s="287"/>
      <c r="DZ8" s="287"/>
      <c r="EA8" s="287"/>
      <c r="EB8" s="287"/>
      <c r="EC8" s="287"/>
      <c r="ED8" s="305"/>
      <c r="EI8" s="308"/>
      <c r="EJ8" s="308"/>
    </row>
    <row r="9" spans="2:140" ht="15.75">
      <c r="B9" s="308"/>
      <c r="C9" s="308"/>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c r="AJ9" s="308"/>
      <c r="AK9" s="305"/>
      <c r="AL9" s="308"/>
      <c r="AM9" s="305"/>
      <c r="AN9" s="308"/>
      <c r="AO9" s="305"/>
      <c r="AP9" s="305"/>
      <c r="AQ9" s="305"/>
      <c r="AR9" s="305"/>
      <c r="AS9" s="308"/>
      <c r="AT9" s="308"/>
      <c r="AU9" s="308"/>
      <c r="AV9" s="308"/>
      <c r="AW9" s="308"/>
      <c r="AX9" s="308"/>
      <c r="AY9" s="308"/>
      <c r="AZ9" s="308"/>
      <c r="BA9" s="308"/>
      <c r="BB9" s="308"/>
      <c r="BC9" s="308"/>
      <c r="BD9" s="308"/>
      <c r="BF9" s="308"/>
      <c r="BG9" s="308"/>
      <c r="BH9" s="305"/>
      <c r="BI9" s="308"/>
      <c r="BJ9" s="305"/>
      <c r="BK9" s="305"/>
      <c r="BL9" s="305"/>
      <c r="BM9" s="305"/>
      <c r="BN9" s="305"/>
      <c r="BO9" s="305"/>
      <c r="BQ9" s="308"/>
      <c r="BS9" s="308"/>
      <c r="BT9" s="308"/>
      <c r="BU9" s="308"/>
      <c r="BV9" s="308"/>
      <c r="BW9" s="308"/>
      <c r="BX9" s="305"/>
      <c r="BY9" s="308"/>
      <c r="BZ9" s="308"/>
      <c r="CA9" s="308"/>
      <c r="CB9" s="308"/>
      <c r="CC9" s="308"/>
      <c r="CD9" s="308"/>
      <c r="CF9" s="308"/>
      <c r="CG9" s="308"/>
      <c r="CH9" s="308"/>
      <c r="CI9" s="308"/>
      <c r="CJ9" s="308"/>
      <c r="CK9" s="308"/>
      <c r="CL9" s="308"/>
      <c r="CM9" s="308"/>
      <c r="CN9" s="308"/>
      <c r="CO9" s="308"/>
      <c r="CP9" s="308"/>
      <c r="CQ9" s="308"/>
      <c r="CS9" s="308"/>
      <c r="CT9" s="308"/>
      <c r="CU9" s="308"/>
      <c r="CV9" s="308"/>
      <c r="CW9" s="308"/>
      <c r="CX9" s="308"/>
      <c r="CY9" s="308"/>
      <c r="CZ9" s="308"/>
      <c r="DA9" s="308"/>
      <c r="DB9" s="308"/>
      <c r="DC9" s="308"/>
      <c r="DD9" s="308"/>
      <c r="DE9" s="308"/>
      <c r="DF9" s="308"/>
      <c r="DG9" s="308"/>
      <c r="DH9" s="308"/>
      <c r="DI9" s="308"/>
      <c r="DK9" s="308"/>
      <c r="DM9" s="308"/>
      <c r="DN9" s="308"/>
      <c r="DO9" s="308"/>
      <c r="DP9" s="308"/>
      <c r="DQ9" s="308"/>
      <c r="DR9" s="308"/>
      <c r="DS9" s="308"/>
      <c r="DT9" s="308"/>
      <c r="DU9" s="308"/>
      <c r="DV9" s="308"/>
      <c r="DW9" s="308"/>
      <c r="DX9" s="308"/>
      <c r="DY9" s="308"/>
      <c r="DZ9" s="308"/>
      <c r="EA9" s="308"/>
      <c r="EB9" s="308"/>
      <c r="EC9" s="308"/>
      <c r="ED9" s="308"/>
      <c r="EE9" s="308"/>
      <c r="EF9" s="308"/>
      <c r="EG9" s="308"/>
      <c r="EH9" s="308"/>
      <c r="EI9" s="308"/>
      <c r="EJ9" s="308"/>
    </row>
    <row r="10" spans="2:140" ht="15.75">
      <c r="B10" s="308"/>
      <c r="C10" s="308"/>
      <c r="D10" s="308"/>
      <c r="E10" s="308"/>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c r="AJ10" s="308"/>
      <c r="AK10" s="308"/>
      <c r="AL10" s="308"/>
      <c r="AM10" s="308"/>
      <c r="AN10" s="308"/>
      <c r="AO10" s="308"/>
      <c r="AP10" s="308"/>
      <c r="AQ10" s="308"/>
      <c r="AR10" s="308"/>
      <c r="AS10" s="308"/>
      <c r="AT10" s="308"/>
      <c r="AU10" s="308"/>
      <c r="AV10" s="308"/>
      <c r="AW10" s="308"/>
      <c r="AX10" s="308"/>
      <c r="AY10" s="308"/>
      <c r="AZ10" s="308"/>
      <c r="BA10" s="308"/>
      <c r="BB10" s="308"/>
      <c r="BC10" s="308"/>
      <c r="BD10" s="308"/>
      <c r="BF10" s="308"/>
      <c r="BG10" s="308"/>
      <c r="BH10" s="308"/>
      <c r="BI10" s="308"/>
      <c r="BJ10" s="308"/>
      <c r="BK10" s="308"/>
      <c r="BL10" s="308"/>
      <c r="BM10" s="308"/>
      <c r="BN10" s="308"/>
      <c r="BO10" s="308"/>
      <c r="BQ10" s="308"/>
      <c r="BS10" s="308"/>
      <c r="BT10" s="308"/>
      <c r="BU10" s="308"/>
      <c r="BV10" s="308"/>
      <c r="BW10" s="308"/>
      <c r="BX10" s="308"/>
      <c r="BY10" s="308"/>
      <c r="BZ10" s="308"/>
      <c r="CA10" s="308"/>
      <c r="CB10" s="308"/>
      <c r="CC10" s="308"/>
      <c r="CD10" s="308"/>
      <c r="CF10" s="308"/>
      <c r="CG10" s="308"/>
      <c r="CH10" s="308"/>
      <c r="CI10" s="308"/>
      <c r="CJ10" s="308"/>
      <c r="CK10" s="308"/>
      <c r="CL10" s="308"/>
      <c r="CM10" s="308"/>
      <c r="CN10" s="308"/>
      <c r="CO10" s="308"/>
      <c r="CP10" s="308"/>
      <c r="CQ10" s="308"/>
      <c r="CS10" s="308"/>
      <c r="CT10" s="308"/>
      <c r="CU10" s="308"/>
      <c r="CV10" s="308"/>
      <c r="CW10" s="308"/>
      <c r="CX10" s="308"/>
      <c r="CY10" s="308"/>
      <c r="CZ10" s="308"/>
      <c r="DA10" s="308"/>
      <c r="DB10" s="308"/>
      <c r="DC10" s="308"/>
      <c r="DD10" s="308"/>
      <c r="DF10" s="308"/>
      <c r="DG10" s="308"/>
      <c r="DH10" s="308"/>
      <c r="DI10" s="308"/>
      <c r="DK10" s="308"/>
      <c r="DM10" s="308"/>
      <c r="DN10" s="308"/>
      <c r="DO10" s="308"/>
      <c r="DP10" s="308"/>
      <c r="DQ10" s="308"/>
      <c r="DR10" s="308"/>
      <c r="DS10" s="308"/>
      <c r="DT10" s="308"/>
      <c r="DU10" s="308"/>
      <c r="DV10" s="308"/>
      <c r="DW10" s="308"/>
      <c r="DX10" s="308"/>
      <c r="DY10" s="308"/>
      <c r="DZ10" s="308"/>
      <c r="EA10" s="308"/>
      <c r="EB10" s="308"/>
      <c r="EC10" s="308"/>
      <c r="ED10" s="308"/>
      <c r="EE10" s="308"/>
      <c r="EF10" s="308"/>
      <c r="EG10" s="308"/>
      <c r="EH10" s="308"/>
      <c r="EI10" s="308"/>
      <c r="EJ10" s="308"/>
    </row>
    <row r="11" spans="2:140" ht="15.75">
      <c r="B11" s="308"/>
      <c r="C11" s="287" t="str">
        <f>+INPUT!E5</f>
        <v>HEALTH</v>
      </c>
      <c r="D11" s="308"/>
      <c r="E11" s="287" t="str">
        <f>INPUT!F5</f>
        <v>CRAIG</v>
      </c>
      <c r="F11" s="308"/>
      <c r="G11" s="287"/>
      <c r="H11" s="308"/>
      <c r="I11" s="287"/>
      <c r="J11" s="308"/>
      <c r="K11" s="287"/>
      <c r="L11" s="308"/>
      <c r="M11" s="308"/>
      <c r="O11" s="287"/>
      <c r="P11" s="287" t="str">
        <f>INPUT!K5</f>
        <v>PREDATORY</v>
      </c>
      <c r="Q11" s="287"/>
      <c r="R11" s="287" t="str">
        <f>INPUT!L5</f>
        <v>CATTLE</v>
      </c>
      <c r="S11" s="287"/>
      <c r="U11" s="287"/>
      <c r="V11" s="287" t="str">
        <f>INPUT!N5</f>
        <v>SEARCH &amp;</v>
      </c>
      <c r="W11" s="308"/>
      <c r="X11" s="308"/>
      <c r="Z11" s="276"/>
      <c r="AA11" s="287"/>
      <c r="AB11" s="276"/>
      <c r="AD11" s="276"/>
      <c r="AE11" s="276"/>
      <c r="AF11" s="287"/>
      <c r="AG11" s="287"/>
      <c r="AH11" s="308"/>
      <c r="AI11" s="308"/>
      <c r="AJ11" s="287"/>
      <c r="AK11" s="287"/>
      <c r="AL11" s="287"/>
      <c r="AM11" s="287"/>
      <c r="AN11" s="287"/>
      <c r="AO11" s="287"/>
      <c r="AP11" s="287" t="str">
        <f>INPUT!Y5</f>
        <v>PUBLIC</v>
      </c>
      <c r="AQ11" s="287"/>
      <c r="AR11" s="287"/>
      <c r="AS11" s="308"/>
      <c r="AT11" s="308"/>
      <c r="AU11" s="287"/>
      <c r="AV11" s="287"/>
      <c r="AW11" s="287" t="str">
        <f>INPUT!AB5</f>
        <v>DETENTION &amp;</v>
      </c>
      <c r="AX11" s="287"/>
      <c r="AY11" s="276"/>
      <c r="AZ11" s="287"/>
      <c r="BB11" s="287"/>
      <c r="BC11" s="287"/>
      <c r="BD11" s="287"/>
      <c r="BF11" s="308"/>
      <c r="BG11" s="308"/>
      <c r="BH11" s="287"/>
      <c r="BI11" s="308"/>
      <c r="BJ11" s="287" t="str">
        <f>INPUT!AG5</f>
        <v>MISSOURI</v>
      </c>
      <c r="BK11" s="287"/>
      <c r="BL11" s="287" t="str">
        <f>INPUT!AH5</f>
        <v>MRDTF</v>
      </c>
      <c r="BM11" s="287"/>
      <c r="BN11" s="287" t="str">
        <f>INPUT!AI5</f>
        <v>HARD ROCK</v>
      </c>
      <c r="BO11" s="287"/>
      <c r="BP11" s="287" t="str">
        <f>INPUT!AJ5</f>
        <v>METAL MINES</v>
      </c>
      <c r="BQ11" s="287"/>
      <c r="BS11" s="308"/>
      <c r="BT11" s="308"/>
      <c r="BU11" s="287" t="str">
        <f>INPUT!AK5</f>
        <v>WOLF CREEK</v>
      </c>
      <c r="BV11" s="308"/>
      <c r="BW11" s="287" t="str">
        <f>INPUT!AL5</f>
        <v>CRAIG</v>
      </c>
      <c r="BX11" s="287"/>
      <c r="BY11" s="287" t="str">
        <f>INPUT!AM5</f>
        <v>CRAIG</v>
      </c>
      <c r="BZ11" s="276"/>
      <c r="CA11" s="287" t="str">
        <f>INPUT!AN5</f>
        <v>SEPTIC</v>
      </c>
      <c r="CB11" s="276"/>
      <c r="CC11" s="287" t="str">
        <f>INPUT!AO5</f>
        <v>SEPTIC</v>
      </c>
      <c r="CD11" s="276"/>
      <c r="CF11" s="308"/>
      <c r="CG11" s="308"/>
      <c r="CH11" s="287"/>
      <c r="CI11" s="308"/>
      <c r="CJ11" s="287" t="str">
        <f>INPUT!AQ5</f>
        <v>ROAD</v>
      </c>
      <c r="CK11" s="276"/>
      <c r="CL11" s="276"/>
      <c r="CM11" s="276"/>
      <c r="CN11" s="276"/>
      <c r="CO11" s="308"/>
      <c r="CP11" s="287" t="str">
        <f>INPUT!AT5</f>
        <v>GAS TAX</v>
      </c>
      <c r="CQ11" s="276"/>
      <c r="CS11" s="308"/>
      <c r="CT11" s="505"/>
      <c r="CU11" s="276"/>
      <c r="CV11" s="505"/>
      <c r="CW11" s="287" t="s">
        <v>1357</v>
      </c>
      <c r="CX11" s="287"/>
      <c r="CY11" s="505" t="s">
        <v>1046</v>
      </c>
      <c r="CZ11" s="287"/>
      <c r="DA11" s="287"/>
      <c r="DB11" s="287"/>
      <c r="DC11" s="287" t="str">
        <f>INPUT!AZ5</f>
        <v>NOXIOUS</v>
      </c>
      <c r="DK11" s="287"/>
      <c r="DN11" s="505"/>
      <c r="DO11" s="287" t="str">
        <f>INPUT!BA5</f>
        <v>HOMELAND</v>
      </c>
      <c r="DP11" s="287"/>
      <c r="DQ11" s="287"/>
      <c r="DU11" s="276"/>
      <c r="DZ11" s="308"/>
      <c r="EA11" s="276"/>
      <c r="EB11" s="308"/>
      <c r="EC11" s="287" t="str">
        <f>INPUT!BF5</f>
        <v>TOTAL</v>
      </c>
      <c r="ED11" s="287"/>
      <c r="EE11" s="276"/>
      <c r="EF11" s="287"/>
      <c r="EH11" s="287"/>
      <c r="EI11" s="308"/>
      <c r="EJ11" s="308"/>
    </row>
    <row r="12" spans="2:140" ht="15.75">
      <c r="B12" s="308"/>
      <c r="C12" s="287" t="str">
        <f>+INPUT!E6</f>
        <v>RELATED</v>
      </c>
      <c r="D12" s="308"/>
      <c r="E12" s="287" t="str">
        <f>INPUT!F6</f>
        <v>MOSQUITO</v>
      </c>
      <c r="F12" s="308"/>
      <c r="G12" s="287" t="str">
        <f>INPUT!G6</f>
        <v>MOSQUITO</v>
      </c>
      <c r="H12" s="308"/>
      <c r="I12" s="287" t="str">
        <f>INPUT!H6</f>
        <v>WATER</v>
      </c>
      <c r="J12" s="308"/>
      <c r="K12" s="287" t="str">
        <f>INPUT!I6</f>
        <v>MENTAL</v>
      </c>
      <c r="L12" s="308"/>
      <c r="M12" s="308"/>
      <c r="O12" s="287"/>
      <c r="P12" s="287" t="str">
        <f>INPUT!K6</f>
        <v>ANIMAL</v>
      </c>
      <c r="Q12" s="287"/>
      <c r="R12" s="287" t="str">
        <f>INPUT!L6</f>
        <v>PROTECTION</v>
      </c>
      <c r="S12" s="287"/>
      <c r="T12" s="287" t="s">
        <v>893</v>
      </c>
      <c r="U12" s="287"/>
      <c r="V12" s="287" t="str">
        <f>INPUT!N6</f>
        <v>RESCUE</v>
      </c>
      <c r="W12" s="308"/>
      <c r="X12" s="308"/>
      <c r="Z12" s="287"/>
      <c r="AA12" s="287" t="str">
        <f>INPUT!Q6</f>
        <v>PERMISSIVE</v>
      </c>
      <c r="AB12" s="287"/>
      <c r="AC12" s="287" t="str">
        <f>INPUT!R6</f>
        <v>FORESTVALE</v>
      </c>
      <c r="AD12" s="287"/>
      <c r="AE12" s="287" t="s">
        <v>517</v>
      </c>
      <c r="AF12" s="287"/>
      <c r="AG12" s="287" t="str">
        <f>INPUT!T6</f>
        <v>EMERGENCY</v>
      </c>
      <c r="AH12" s="308"/>
      <c r="AI12" s="308"/>
      <c r="AJ12" s="287" t="s">
        <v>517</v>
      </c>
      <c r="AK12" s="287"/>
      <c r="AL12" s="287" t="str">
        <f>INPUT!V6</f>
        <v>SENIOR</v>
      </c>
      <c r="AM12" s="287"/>
      <c r="AN12" s="287" t="str">
        <f>INPUT!W6</f>
        <v>COUNTY</v>
      </c>
      <c r="AO12" s="287"/>
      <c r="AP12" s="287" t="str">
        <f>INPUT!Y6</f>
        <v>SAFETY RADIO</v>
      </c>
      <c r="AQ12" s="287"/>
      <c r="AR12" s="287" t="str">
        <f>INPUT!Z6</f>
        <v>INMATE</v>
      </c>
      <c r="AS12" s="308"/>
      <c r="AT12" s="308"/>
      <c r="AU12" s="287" t="str">
        <f>INPUT!AA6</f>
        <v>RECORDS</v>
      </c>
      <c r="AV12" s="287"/>
      <c r="AW12" s="287" t="str">
        <f>INPUT!AB6</f>
        <v>DIVERSION</v>
      </c>
      <c r="AX12" s="287"/>
      <c r="AY12" s="287" t="str">
        <f>INPUT!AC6</f>
        <v>PARKS</v>
      </c>
      <c r="AZ12" s="287"/>
      <c r="BA12" s="287" t="str">
        <f>INPUT!AD6</f>
        <v>LINCOLN</v>
      </c>
      <c r="BB12" s="287"/>
      <c r="BC12" s="287" t="s">
        <v>313</v>
      </c>
      <c r="BD12" s="287"/>
      <c r="BF12" s="308"/>
      <c r="BG12" s="308"/>
      <c r="BH12" s="287" t="str">
        <f>INPUT!AF6</f>
        <v>CITY/COUNTY</v>
      </c>
      <c r="BI12" s="308"/>
      <c r="BJ12" s="287" t="str">
        <f>INPUT!AG6</f>
        <v>RIVER DRUG</v>
      </c>
      <c r="BK12" s="287"/>
      <c r="BL12" s="287" t="str">
        <f>INPUT!AH6</f>
        <v>FEDERAL</v>
      </c>
      <c r="BM12" s="287"/>
      <c r="BN12" s="287" t="str">
        <f>INPUT!AI6</f>
        <v>MINE</v>
      </c>
      <c r="BO12" s="287"/>
      <c r="BP12" s="287" t="str">
        <f>INPUT!AJ6</f>
        <v>TAX</v>
      </c>
      <c r="BQ12" s="287"/>
      <c r="BS12" s="308"/>
      <c r="BT12" s="308"/>
      <c r="BU12" s="287" t="str">
        <f>INPUT!AK6</f>
        <v>WASTEWATER</v>
      </c>
      <c r="BV12" s="308"/>
      <c r="BW12" s="287" t="str">
        <f>INPUT!AL6</f>
        <v>WASTEWATER</v>
      </c>
      <c r="BX12" s="287"/>
      <c r="BY12" s="287" t="str">
        <f>INPUT!AM6</f>
        <v>TRAINING</v>
      </c>
      <c r="BZ12" s="276"/>
      <c r="CA12" s="287" t="str">
        <f>INPUT!AN6</f>
        <v>MAINTENANCE</v>
      </c>
      <c r="CB12" s="276"/>
      <c r="CC12" s="287" t="str">
        <f>INPUT!AO6</f>
        <v>Closed to</v>
      </c>
      <c r="CD12" s="276"/>
      <c r="CF12" s="308"/>
      <c r="CG12" s="308"/>
      <c r="CH12" s="287" t="str">
        <f>INPUT!AP6</f>
        <v>OPEN</v>
      </c>
      <c r="CI12" s="308"/>
      <c r="CJ12" s="287" t="str">
        <f>INPUT!AQ6</f>
        <v>IMPROVEMENT -</v>
      </c>
      <c r="CK12" s="276"/>
      <c r="CL12" s="287"/>
      <c r="CM12" s="276"/>
      <c r="CN12" s="287" t="str">
        <f>INPUT!AS6</f>
        <v>GAS</v>
      </c>
      <c r="CO12" s="308"/>
      <c r="CP12" s="287" t="str">
        <f>INPUT!AT6</f>
        <v>SPECIAL ROAD</v>
      </c>
      <c r="CQ12" s="276"/>
      <c r="CS12" s="308"/>
      <c r="CT12" s="505"/>
      <c r="CU12" s="287"/>
      <c r="CV12" s="505"/>
      <c r="CW12" s="287" t="s">
        <v>114</v>
      </c>
      <c r="CX12" s="276"/>
      <c r="CY12" s="505" t="s">
        <v>1001</v>
      </c>
      <c r="CZ12" s="276"/>
      <c r="DA12" s="287" t="str">
        <f>INPUT!AY6</f>
        <v>ECONOMIC</v>
      </c>
      <c r="DB12" s="276"/>
      <c r="DC12" s="287" t="str">
        <f>INPUT!AZ6</f>
        <v>WEED</v>
      </c>
      <c r="DK12" s="287"/>
      <c r="DN12" s="505"/>
      <c r="DO12" s="287" t="str">
        <f>INPUT!BA6</f>
        <v>SECURITY</v>
      </c>
      <c r="DP12" s="287"/>
      <c r="DQ12" s="287"/>
      <c r="DU12" s="287" t="str">
        <f>INPUT!BD6</f>
        <v>FORESTVALE</v>
      </c>
      <c r="DZ12" s="308"/>
      <c r="EA12" s="287"/>
      <c r="EB12" s="308"/>
      <c r="EC12" s="287" t="str">
        <f>INPUT!BF6</f>
        <v>SPECIAL</v>
      </c>
      <c r="ED12" s="287"/>
      <c r="EE12" s="287"/>
      <c r="EF12" s="287"/>
      <c r="EH12" s="287"/>
      <c r="EI12" s="308"/>
      <c r="EJ12" s="308"/>
    </row>
    <row r="13" spans="2:140" ht="15.75">
      <c r="B13" s="308"/>
      <c r="C13" s="290" t="str">
        <f>+INPUT!E7</f>
        <v>GRANTS</v>
      </c>
      <c r="D13" s="308"/>
      <c r="E13" s="290" t="str">
        <f>INPUT!F7</f>
        <v>CONTROL</v>
      </c>
      <c r="F13" s="308"/>
      <c r="G13" s="290" t="str">
        <f>INPUT!G7</f>
        <v>CONTROL</v>
      </c>
      <c r="H13" s="308"/>
      <c r="I13" s="290" t="str">
        <f>INPUT!H7</f>
        <v>QUALITY</v>
      </c>
      <c r="J13" s="308"/>
      <c r="K13" s="290" t="str">
        <f>INPUT!I7</f>
        <v>HEALTH</v>
      </c>
      <c r="L13" s="308"/>
      <c r="M13" s="308"/>
      <c r="N13" s="290" t="str">
        <f>INPUT!J7</f>
        <v>ROAD</v>
      </c>
      <c r="O13" s="287"/>
      <c r="P13" s="290" t="str">
        <f>INPUT!K7</f>
        <v>CONTROL</v>
      </c>
      <c r="Q13" s="287"/>
      <c r="R13" s="290" t="str">
        <f>INPUT!L7</f>
        <v>PROGRAM</v>
      </c>
      <c r="S13" s="287"/>
      <c r="T13" s="290" t="s">
        <v>535</v>
      </c>
      <c r="U13" s="287"/>
      <c r="V13" s="290" t="str">
        <f>INPUT!N7</f>
        <v>OPERATIONS</v>
      </c>
      <c r="W13" s="308"/>
      <c r="X13" s="308"/>
      <c r="Y13" s="290" t="str">
        <f>INPUT!O7</f>
        <v>PARKS</v>
      </c>
      <c r="Z13" s="287"/>
      <c r="AA13" s="290" t="str">
        <f>INPUT!Q7</f>
        <v>MEDICAL</v>
      </c>
      <c r="AB13" s="287"/>
      <c r="AC13" s="290" t="str">
        <f>INPUT!R7</f>
        <v>CEMETERY</v>
      </c>
      <c r="AD13" s="287"/>
      <c r="AE13" s="290" t="str">
        <f>INPUT!S7</f>
        <v>PLANNING</v>
      </c>
      <c r="AF13" s="287"/>
      <c r="AG13" s="290" t="str">
        <f>INPUT!T7</f>
        <v>DISASTER</v>
      </c>
      <c r="AH13" s="308"/>
      <c r="AI13" s="308"/>
      <c r="AJ13" s="290" t="str">
        <f>INPUT!U7</f>
        <v>HEALTH</v>
      </c>
      <c r="AK13" s="287"/>
      <c r="AL13" s="290" t="str">
        <f>INPUT!V7</f>
        <v>CITIZENS</v>
      </c>
      <c r="AM13" s="287"/>
      <c r="AN13" s="290" t="str">
        <f>INPUT!W7</f>
        <v>EXTENSION</v>
      </c>
      <c r="AO13" s="287"/>
      <c r="AP13" s="290" t="str">
        <f>INPUT!Y7</f>
        <v>PROJECT</v>
      </c>
      <c r="AQ13" s="287"/>
      <c r="AR13" s="290" t="str">
        <f>INPUT!Z7</f>
        <v>PROGRAMS</v>
      </c>
      <c r="AS13" s="308"/>
      <c r="AT13" s="308"/>
      <c r="AU13" s="290" t="str">
        <f>INPUT!AA7</f>
        <v>PRESERVATION</v>
      </c>
      <c r="AV13" s="287"/>
      <c r="AW13" s="290" t="str">
        <f>INPUT!AB7</f>
        <v>SERVICES</v>
      </c>
      <c r="AX13" s="287"/>
      <c r="AY13" s="290" t="str">
        <f>INPUT!AC7</f>
        <v>DEVELOPMENT</v>
      </c>
      <c r="AZ13" s="287"/>
      <c r="BA13" s="290" t="str">
        <f>INPUT!AD7</f>
        <v>PARKS</v>
      </c>
      <c r="BB13" s="287"/>
      <c r="BC13" s="290" t="s">
        <v>538</v>
      </c>
      <c r="BD13" s="287"/>
      <c r="BF13" s="308"/>
      <c r="BG13" s="308"/>
      <c r="BH13" s="290" t="str">
        <f>INPUT!AF7</f>
        <v>DRUG</v>
      </c>
      <c r="BI13" s="308"/>
      <c r="BJ13" s="290" t="str">
        <f>INPUT!AG7</f>
        <v>TASK FORCE</v>
      </c>
      <c r="BK13" s="287"/>
      <c r="BL13" s="290" t="str">
        <f>INPUT!AH7</f>
        <v>SHARING</v>
      </c>
      <c r="BM13" s="287"/>
      <c r="BN13" s="290" t="str">
        <f>INPUT!AI7</f>
        <v>RESERVE</v>
      </c>
      <c r="BO13" s="287"/>
      <c r="BP13" s="290" t="str">
        <f>INPUT!AJ7</f>
        <v>RESERVE</v>
      </c>
      <c r="BQ13" s="287"/>
      <c r="BS13" s="308"/>
      <c r="BT13" s="308"/>
      <c r="BU13" s="290" t="str">
        <f>INPUT!AK7</f>
        <v>FAC MAINT</v>
      </c>
      <c r="BV13" s="308"/>
      <c r="BW13" s="290" t="str">
        <f>INPUT!AL7</f>
        <v>FAC MAINT</v>
      </c>
      <c r="BX13" s="287"/>
      <c r="BY13" s="290" t="str">
        <f>INPUT!AM7</f>
        <v>CNTR MAINT</v>
      </c>
      <c r="BZ13" s="276"/>
      <c r="CA13" s="290" t="str">
        <f>INPUT!AN7</f>
        <v>REVOLVING LN</v>
      </c>
      <c r="CB13" s="276"/>
      <c r="CC13" s="290" t="str">
        <f>INPUT!AO7</f>
        <v>227(FY21)</v>
      </c>
      <c r="CD13" s="276"/>
      <c r="CF13" s="308"/>
      <c r="CG13" s="308"/>
      <c r="CH13" s="290" t="str">
        <f>INPUT!AP7</f>
        <v>SPACE</v>
      </c>
      <c r="CI13" s="308"/>
      <c r="CJ13" s="290" t="str">
        <f>INPUT!AQ7</f>
        <v>SUBDIVISION</v>
      </c>
      <c r="CK13" s="276"/>
      <c r="CL13" s="290" t="str">
        <f>INPUT!AR7</f>
        <v>ALCOHOLISM</v>
      </c>
      <c r="CM13" s="276"/>
      <c r="CN13" s="290" t="str">
        <f>INPUT!AS7</f>
        <v>TAX</v>
      </c>
      <c r="CO13" s="308"/>
      <c r="CP13" s="290" t="str">
        <f>INPUT!AT7</f>
        <v>PROGRAM</v>
      </c>
      <c r="CQ13" s="276"/>
      <c r="CS13" s="308"/>
      <c r="CT13" s="308"/>
      <c r="CU13" s="290" t="str">
        <f>INPUT!AU7</f>
        <v>HIDTA</v>
      </c>
      <c r="CV13" s="308"/>
      <c r="CW13" s="290" t="s">
        <v>761</v>
      </c>
      <c r="CX13" s="287"/>
      <c r="CY13" s="290" t="s">
        <v>327</v>
      </c>
      <c r="CZ13" s="287"/>
      <c r="DA13" s="290" t="str">
        <f>INPUT!AY7</f>
        <v>DEVELOPMENT</v>
      </c>
      <c r="DB13" s="287"/>
      <c r="DC13" s="290" t="str">
        <f>INPUT!AZ7</f>
        <v>GRANT</v>
      </c>
      <c r="DK13" s="287"/>
      <c r="DN13" s="308"/>
      <c r="DO13" s="290" t="str">
        <f>INPUT!BA7</f>
        <v>GRANT</v>
      </c>
      <c r="DP13" s="290"/>
      <c r="DQ13" s="290"/>
      <c r="DU13" s="290" t="str">
        <f>INPUT!BD7</f>
        <v>ENDOWMENT</v>
      </c>
      <c r="DZ13" s="308"/>
      <c r="EA13" s="287"/>
      <c r="EB13" s="308"/>
      <c r="EC13" s="290" t="str">
        <f>INPUT!BF7</f>
        <v>REVENUE</v>
      </c>
      <c r="ED13" s="287"/>
      <c r="EE13" s="287"/>
      <c r="EF13" s="287"/>
      <c r="EH13" s="287"/>
      <c r="EI13" s="308"/>
      <c r="EJ13" s="308"/>
    </row>
    <row r="14" spans="2:140" ht="15.75">
      <c r="B14" s="308" t="str">
        <f>INPUT!B9</f>
        <v>REVENUES</v>
      </c>
      <c r="C14" s="308"/>
      <c r="D14" s="308"/>
      <c r="E14" s="308"/>
      <c r="F14" s="308"/>
      <c r="G14" s="308"/>
      <c r="H14" s="308"/>
      <c r="I14" s="308"/>
      <c r="J14" s="308"/>
      <c r="K14" s="308"/>
      <c r="L14" s="308"/>
      <c r="M14" s="308" t="str">
        <f t="shared" ref="M14:M21" si="0">B14</f>
        <v>REVENUES</v>
      </c>
      <c r="N14" s="308"/>
      <c r="O14" s="287"/>
      <c r="P14" s="308"/>
      <c r="Q14" s="287"/>
      <c r="R14" s="308"/>
      <c r="S14" s="287"/>
      <c r="T14" s="308"/>
      <c r="U14" s="287"/>
      <c r="V14" s="308"/>
      <c r="W14" s="308"/>
      <c r="X14" s="308" t="str">
        <f t="shared" ref="X14:X21" si="1">B14</f>
        <v>REVENUES</v>
      </c>
      <c r="Y14" s="308"/>
      <c r="Z14" s="308"/>
      <c r="AA14" s="308"/>
      <c r="AB14" s="308"/>
      <c r="AC14" s="308"/>
      <c r="AD14" s="308"/>
      <c r="AE14" s="308"/>
      <c r="AF14" s="308"/>
      <c r="AG14" s="308"/>
      <c r="AH14" s="308"/>
      <c r="AI14" s="308" t="str">
        <f t="shared" ref="AI14:AI21" si="2">B14</f>
        <v>REVENUES</v>
      </c>
      <c r="AJ14" s="308"/>
      <c r="AK14" s="308"/>
      <c r="AL14" s="308"/>
      <c r="AM14" s="308"/>
      <c r="AN14" s="308"/>
      <c r="AO14" s="308"/>
      <c r="AP14" s="308"/>
      <c r="AQ14" s="308"/>
      <c r="AR14" s="308"/>
      <c r="AS14" s="308"/>
      <c r="AT14" s="308" t="str">
        <f t="shared" ref="AT14:AT21" si="3">B14</f>
        <v>REVENUES</v>
      </c>
      <c r="AU14" s="308"/>
      <c r="AV14" s="308"/>
      <c r="AW14" s="308"/>
      <c r="AX14" s="308"/>
      <c r="AY14" s="308"/>
      <c r="AZ14" s="308"/>
      <c r="BA14" s="308"/>
      <c r="BB14" s="308"/>
      <c r="BC14" s="308"/>
      <c r="BD14" s="308"/>
      <c r="BF14" s="308"/>
      <c r="BG14" s="308" t="str">
        <f t="shared" ref="BG14:BG21" si="4">B14</f>
        <v>REVENUES</v>
      </c>
      <c r="BH14" s="308"/>
      <c r="BI14" s="308"/>
      <c r="BJ14" s="308"/>
      <c r="BK14" s="308"/>
      <c r="BL14" s="308"/>
      <c r="BM14" s="308"/>
      <c r="BN14" s="308"/>
      <c r="BO14" s="308"/>
      <c r="BP14" s="308"/>
      <c r="BQ14" s="308"/>
      <c r="BS14" s="308"/>
      <c r="BT14" s="308" t="str">
        <f t="shared" ref="BT14:BT21" si="5">B14</f>
        <v>REVENUES</v>
      </c>
      <c r="BU14" s="308"/>
      <c r="BV14" s="308"/>
      <c r="BW14" s="308"/>
      <c r="BX14" s="308"/>
      <c r="BY14" s="308"/>
      <c r="BZ14" s="276"/>
      <c r="CA14" s="308"/>
      <c r="CB14" s="276"/>
      <c r="CC14" s="308"/>
      <c r="CD14" s="276"/>
      <c r="CF14" s="308"/>
      <c r="CG14" s="308" t="str">
        <f t="shared" ref="CG14:CG21" si="6">M14</f>
        <v>REVENUES</v>
      </c>
      <c r="CH14" s="308"/>
      <c r="CI14" s="308"/>
      <c r="CJ14" s="308"/>
      <c r="CK14" s="276"/>
      <c r="CL14" s="308"/>
      <c r="CM14" s="276"/>
      <c r="CN14" s="308"/>
      <c r="CO14" s="308"/>
      <c r="CP14" s="308"/>
      <c r="CQ14" s="276"/>
      <c r="CS14" s="308"/>
      <c r="CT14" s="308" t="str">
        <f t="shared" ref="CT14:CT21" si="7">B14</f>
        <v>REVENUES</v>
      </c>
      <c r="CU14" s="308"/>
      <c r="CV14" s="308"/>
      <c r="CW14" s="308"/>
      <c r="CX14" s="308"/>
      <c r="CY14" s="308"/>
      <c r="CZ14" s="308"/>
      <c r="DA14" s="308"/>
      <c r="DB14" s="308"/>
      <c r="DC14" s="308"/>
      <c r="DK14" s="308"/>
      <c r="DN14" s="308" t="str">
        <f t="shared" ref="DN14:DN21" si="8">B14</f>
        <v>REVENUES</v>
      </c>
      <c r="DO14" s="308"/>
      <c r="DP14" s="308"/>
      <c r="DQ14" s="308"/>
      <c r="DZ14" s="308"/>
      <c r="EA14" s="287"/>
      <c r="EB14" s="308"/>
      <c r="EC14" s="308"/>
      <c r="ED14" s="308"/>
      <c r="EF14" s="308"/>
      <c r="EH14" s="308"/>
      <c r="EI14" s="308"/>
      <c r="EJ14" s="308"/>
    </row>
    <row r="15" spans="2:140" ht="15.75">
      <c r="B15" s="276" t="str">
        <f>INPUT!B10</f>
        <v xml:space="preserve">     Taxes/assessments</v>
      </c>
      <c r="C15" s="292">
        <f>+INPUT!E10</f>
        <v>0</v>
      </c>
      <c r="D15" s="308"/>
      <c r="E15" s="292">
        <f>INPUT!F10</f>
        <v>18860</v>
      </c>
      <c r="F15" s="308"/>
      <c r="G15" s="292">
        <f>+INPUT!G10</f>
        <v>277464</v>
      </c>
      <c r="H15" s="308"/>
      <c r="I15" s="292">
        <f>+INPUT!H10</f>
        <v>383245</v>
      </c>
      <c r="J15" s="308"/>
      <c r="K15" s="292">
        <f>IF(+INPUT!I10&lt;&gt;0,+INPUT!I10,"-")</f>
        <v>118035</v>
      </c>
      <c r="L15" s="308"/>
      <c r="M15" s="296" t="str">
        <f t="shared" si="0"/>
        <v xml:space="preserve">     Taxes/assessments</v>
      </c>
      <c r="N15" s="292">
        <f>+INPUT!J10</f>
        <v>3522199</v>
      </c>
      <c r="O15" s="287"/>
      <c r="P15" s="292">
        <f>+INPUT!K10</f>
        <v>1627</v>
      </c>
      <c r="Q15" s="287"/>
      <c r="R15" s="292">
        <f>+INPUT!L10</f>
        <v>24961</v>
      </c>
      <c r="S15" s="287"/>
      <c r="T15" s="292">
        <f>+INPUT!M10</f>
        <v>1993605</v>
      </c>
      <c r="U15" s="287"/>
      <c r="V15" s="292">
        <f>+INPUT!N10</f>
        <v>164571</v>
      </c>
      <c r="W15" s="308"/>
      <c r="X15" s="296" t="str">
        <f t="shared" si="1"/>
        <v xml:space="preserve">     Taxes/assessments</v>
      </c>
      <c r="Y15" s="292">
        <f>+INPUT!O10</f>
        <v>17904</v>
      </c>
      <c r="Z15" s="294"/>
      <c r="AA15" s="292">
        <f>+INPUT!Q10</f>
        <v>1577156</v>
      </c>
      <c r="AB15" s="294"/>
      <c r="AC15" s="292">
        <f>+INPUT!R10</f>
        <v>397180</v>
      </c>
      <c r="AD15" s="294"/>
      <c r="AE15" s="292">
        <f>+INPUT!S10</f>
        <v>844820</v>
      </c>
      <c r="AF15" s="292"/>
      <c r="AG15" s="292">
        <f>+INPUT!T10</f>
        <v>19</v>
      </c>
      <c r="AH15" s="308"/>
      <c r="AI15" s="296" t="str">
        <f t="shared" si="2"/>
        <v xml:space="preserve">     Taxes/assessments</v>
      </c>
      <c r="AJ15" s="292">
        <f>+INPUT!U10</f>
        <v>1402348</v>
      </c>
      <c r="AK15" s="292"/>
      <c r="AL15" s="292">
        <f>+INPUT!V10</f>
        <v>182837</v>
      </c>
      <c r="AM15" s="292"/>
      <c r="AN15" s="292">
        <f>+INPUT!W10</f>
        <v>229335</v>
      </c>
      <c r="AO15" s="292"/>
      <c r="AP15" s="292">
        <f>+INPUT!Y10</f>
        <v>0</v>
      </c>
      <c r="AQ15" s="292"/>
      <c r="AR15" s="292">
        <f>+INPUT!Z10</f>
        <v>0</v>
      </c>
      <c r="AS15" s="308"/>
      <c r="AT15" s="296" t="str">
        <f t="shared" si="3"/>
        <v xml:space="preserve">     Taxes/assessments</v>
      </c>
      <c r="AU15" s="292">
        <f>+INPUT!AA10</f>
        <v>0</v>
      </c>
      <c r="AV15" s="292"/>
      <c r="AW15" s="292">
        <f>+INPUT!AB10</f>
        <v>4417832</v>
      </c>
      <c r="AX15" s="292"/>
      <c r="AY15" s="292">
        <f>+INPUT!AC10</f>
        <v>43710</v>
      </c>
      <c r="AZ15" s="292"/>
      <c r="BA15" s="292">
        <f>+INPUT!AD10</f>
        <v>0</v>
      </c>
      <c r="BB15" s="292"/>
      <c r="BC15" s="292">
        <f>+INPUT!AE10</f>
        <v>0</v>
      </c>
      <c r="BD15" s="292"/>
      <c r="BF15" s="308"/>
      <c r="BG15" s="296" t="str">
        <f t="shared" si="4"/>
        <v xml:space="preserve">     Taxes/assessments</v>
      </c>
      <c r="BH15" s="292">
        <f>+INPUT!AF10</f>
        <v>0</v>
      </c>
      <c r="BI15" s="296"/>
      <c r="BJ15" s="292">
        <f>+INPUT!AG10</f>
        <v>0</v>
      </c>
      <c r="BK15" s="292"/>
      <c r="BL15" s="292">
        <f>+INPUT!AH10</f>
        <v>0</v>
      </c>
      <c r="BM15" s="292"/>
      <c r="BN15" s="292">
        <f>+INPUT!AI10</f>
        <v>0</v>
      </c>
      <c r="BO15" s="294"/>
      <c r="BP15" s="292">
        <f>+INPUT!AJ10</f>
        <v>0</v>
      </c>
      <c r="BQ15" s="292"/>
      <c r="BS15" s="308"/>
      <c r="BT15" s="296" t="str">
        <f t="shared" si="5"/>
        <v xml:space="preserve">     Taxes/assessments</v>
      </c>
      <c r="BU15" s="292">
        <f>+INPUT!AK10</f>
        <v>0</v>
      </c>
      <c r="BV15" s="296"/>
      <c r="BW15" s="292">
        <f>+INPUT!AL10</f>
        <v>0</v>
      </c>
      <c r="BX15" s="294"/>
      <c r="BY15" s="292">
        <f>+INPUT!AM10</f>
        <v>0</v>
      </c>
      <c r="BZ15" s="276"/>
      <c r="CA15" s="292">
        <f>+INPUT!AN10</f>
        <v>0</v>
      </c>
      <c r="CB15" s="276"/>
      <c r="CC15" s="292">
        <f>+INPUT!AO10</f>
        <v>0</v>
      </c>
      <c r="CD15" s="276"/>
      <c r="CF15" s="308"/>
      <c r="CG15" s="296" t="str">
        <f t="shared" si="6"/>
        <v xml:space="preserve">     Taxes/assessments</v>
      </c>
      <c r="CH15" s="292">
        <f>+INPUT!AP10</f>
        <v>0</v>
      </c>
      <c r="CI15" s="296"/>
      <c r="CJ15" s="292">
        <f>+INPUT!AQ10</f>
        <v>0</v>
      </c>
      <c r="CK15" s="276"/>
      <c r="CL15" s="292">
        <f>+INPUT!AR10</f>
        <v>0</v>
      </c>
      <c r="CM15" s="276"/>
      <c r="CN15" s="292">
        <f>+INPUT!AS10</f>
        <v>0</v>
      </c>
      <c r="CO15" s="308"/>
      <c r="CP15" s="292">
        <f>+INPUT!AT10</f>
        <v>0</v>
      </c>
      <c r="CQ15" s="276"/>
      <c r="CS15" s="308"/>
      <c r="CT15" s="296" t="str">
        <f t="shared" si="7"/>
        <v xml:space="preserve">     Taxes/assessments</v>
      </c>
      <c r="CU15" s="292">
        <f>+INPUT!AU10</f>
        <v>0</v>
      </c>
      <c r="CV15" s="296"/>
      <c r="CW15" s="292">
        <f>+INPUT!AV10</f>
        <v>0</v>
      </c>
      <c r="CX15" s="292"/>
      <c r="CY15" s="292">
        <f>+INPUT!AX10</f>
        <v>0</v>
      </c>
      <c r="CZ15" s="292"/>
      <c r="DA15" s="292">
        <f>+INPUT!AY10</f>
        <v>0</v>
      </c>
      <c r="DB15" s="292"/>
      <c r="DC15" s="292">
        <f>+INPUT!AZ10</f>
        <v>0</v>
      </c>
      <c r="DK15" s="292"/>
      <c r="DN15" s="296" t="str">
        <f t="shared" si="8"/>
        <v xml:space="preserve">     Taxes/assessments</v>
      </c>
      <c r="DO15" s="292">
        <f>+INPUT!BA10</f>
        <v>0</v>
      </c>
      <c r="DP15" s="292"/>
      <c r="DQ15" s="292"/>
      <c r="DU15" s="292">
        <f>+INPUT!BD10</f>
        <v>0</v>
      </c>
      <c r="DZ15" s="308"/>
      <c r="EA15" s="287"/>
      <c r="EB15" s="308"/>
      <c r="EC15" s="292">
        <f t="shared" ref="EC15:EC21" si="9">SUM(C15:EB15)</f>
        <v>15617708</v>
      </c>
      <c r="ED15" s="292"/>
      <c r="EE15" s="292">
        <f>+EC15-5182068</f>
        <v>10435640</v>
      </c>
      <c r="EF15" s="292"/>
      <c r="EH15" s="292"/>
      <c r="EI15" s="276"/>
      <c r="EJ15" s="276"/>
    </row>
    <row r="16" spans="2:140" ht="15.75">
      <c r="B16" s="276" t="str">
        <f>INPUT!B11</f>
        <v xml:space="preserve">     Licenses and permits</v>
      </c>
      <c r="C16" s="294">
        <f>+INPUT!E11</f>
        <v>2400</v>
      </c>
      <c r="D16" s="308"/>
      <c r="E16" s="294">
        <f>+INPUT!F11</f>
        <v>0</v>
      </c>
      <c r="F16" s="308"/>
      <c r="G16" s="294">
        <f>+INPUT!G11</f>
        <v>0</v>
      </c>
      <c r="H16" s="308"/>
      <c r="I16" s="294">
        <f>+INPUT!H11</f>
        <v>0</v>
      </c>
      <c r="J16" s="308"/>
      <c r="K16" s="294">
        <f>+INPUT!I11</f>
        <v>0</v>
      </c>
      <c r="L16" s="308"/>
      <c r="M16" s="296" t="str">
        <f t="shared" si="0"/>
        <v xml:space="preserve">     Licenses and permits</v>
      </c>
      <c r="N16" s="294">
        <f>+INPUT!J11</f>
        <v>0</v>
      </c>
      <c r="O16" s="287"/>
      <c r="P16" s="294">
        <f>+INPUT!K11</f>
        <v>0</v>
      </c>
      <c r="Q16" s="287"/>
      <c r="R16" s="294">
        <f>+INPUT!L11</f>
        <v>0</v>
      </c>
      <c r="S16" s="287"/>
      <c r="T16" s="294">
        <f>+INPUT!M11</f>
        <v>0</v>
      </c>
      <c r="U16" s="287"/>
      <c r="V16" s="294">
        <f>+INPUT!N11</f>
        <v>0</v>
      </c>
      <c r="W16" s="308"/>
      <c r="X16" s="296" t="str">
        <f t="shared" si="1"/>
        <v xml:space="preserve">     Licenses and permits</v>
      </c>
      <c r="Y16" s="294">
        <f>+INPUT!O11</f>
        <v>0</v>
      </c>
      <c r="Z16" s="294"/>
      <c r="AA16" s="294">
        <f>+INPUT!Q11</f>
        <v>0</v>
      </c>
      <c r="AB16" s="294"/>
      <c r="AC16" s="294">
        <f>+INPUT!R11</f>
        <v>0</v>
      </c>
      <c r="AD16" s="294"/>
      <c r="AE16" s="294">
        <f>+INPUT!S11</f>
        <v>0</v>
      </c>
      <c r="AF16" s="294"/>
      <c r="AG16" s="294">
        <f>+INPUT!T11</f>
        <v>0</v>
      </c>
      <c r="AH16" s="308"/>
      <c r="AI16" s="296" t="str">
        <f t="shared" si="2"/>
        <v xml:space="preserve">     Licenses and permits</v>
      </c>
      <c r="AJ16" s="294">
        <f>+INPUT!U11</f>
        <v>0</v>
      </c>
      <c r="AK16" s="294"/>
      <c r="AL16" s="294">
        <f>+INPUT!V11</f>
        <v>0</v>
      </c>
      <c r="AM16" s="294"/>
      <c r="AN16" s="294">
        <f>+INPUT!W11</f>
        <v>0</v>
      </c>
      <c r="AO16" s="294"/>
      <c r="AP16" s="294">
        <f>+INPUT!Y11</f>
        <v>0</v>
      </c>
      <c r="AQ16" s="294"/>
      <c r="AR16" s="294">
        <f>+INPUT!Z11</f>
        <v>0</v>
      </c>
      <c r="AS16" s="308"/>
      <c r="AT16" s="296" t="str">
        <f t="shared" si="3"/>
        <v xml:space="preserve">     Licenses and permits</v>
      </c>
      <c r="AU16" s="294">
        <f>+INPUT!AA11</f>
        <v>0</v>
      </c>
      <c r="AV16" s="294"/>
      <c r="AW16" s="294">
        <f>+INPUT!AB11</f>
        <v>0</v>
      </c>
      <c r="AX16" s="294"/>
      <c r="AY16" s="294">
        <f>+INPUT!AC11</f>
        <v>0</v>
      </c>
      <c r="AZ16" s="294"/>
      <c r="BA16" s="294">
        <f>+INPUT!AD11</f>
        <v>0</v>
      </c>
      <c r="BB16" s="294"/>
      <c r="BC16" s="294">
        <f>+INPUT!AE11</f>
        <v>0</v>
      </c>
      <c r="BD16" s="294"/>
      <c r="BF16" s="308"/>
      <c r="BG16" s="296" t="str">
        <f t="shared" si="4"/>
        <v xml:space="preserve">     Licenses and permits</v>
      </c>
      <c r="BH16" s="294" t="str">
        <f>IF(+INPUT!AF11&lt;&gt;0,+INPUT!AF11,"-")</f>
        <v>-</v>
      </c>
      <c r="BI16" s="296"/>
      <c r="BJ16" s="294" t="str">
        <f>IF(+INPUT!AG11&lt;&gt;0,+INPUT!AG11,"-")</f>
        <v>-</v>
      </c>
      <c r="BK16" s="294"/>
      <c r="BL16" s="294" t="str">
        <f>IF(+INPUT!AH11&lt;&gt;0,+INPUT!AH11,"-")</f>
        <v>-</v>
      </c>
      <c r="BM16" s="294"/>
      <c r="BN16" s="294" t="str">
        <f>IF(+INPUT!AI11&lt;&gt;0,+INPUT!AI11,"-")</f>
        <v>-</v>
      </c>
      <c r="BO16" s="294"/>
      <c r="BP16" s="294" t="str">
        <f>IF(+INPUT!AJ11&lt;&gt;0,+INPUT!AJ11,"-")</f>
        <v>-</v>
      </c>
      <c r="BQ16" s="294"/>
      <c r="BS16" s="308"/>
      <c r="BT16" s="296" t="str">
        <f t="shared" si="5"/>
        <v xml:space="preserve">     Licenses and permits</v>
      </c>
      <c r="BU16" s="294">
        <f>+INPUT!AK11</f>
        <v>0</v>
      </c>
      <c r="BV16" s="296"/>
      <c r="BW16" s="294">
        <f>+INPUT!AL11</f>
        <v>0</v>
      </c>
      <c r="BX16" s="294"/>
      <c r="BY16" s="294">
        <f>+INPUT!AM11</f>
        <v>0</v>
      </c>
      <c r="BZ16" s="276"/>
      <c r="CA16" s="294">
        <f>+INPUT!AN11</f>
        <v>0</v>
      </c>
      <c r="CB16" s="276"/>
      <c r="CC16" s="294">
        <f>+INPUT!AO11</f>
        <v>0</v>
      </c>
      <c r="CD16" s="276"/>
      <c r="CF16" s="308"/>
      <c r="CG16" s="296" t="str">
        <f t="shared" si="6"/>
        <v xml:space="preserve">     Licenses and permits</v>
      </c>
      <c r="CH16" s="294">
        <f>+INPUT!AP11</f>
        <v>0</v>
      </c>
      <c r="CI16" s="296"/>
      <c r="CJ16" s="294">
        <f>+INPUT!AQ11</f>
        <v>0</v>
      </c>
      <c r="CK16" s="276"/>
      <c r="CL16" s="294">
        <f>+INPUT!AR11</f>
        <v>0</v>
      </c>
      <c r="CM16" s="276"/>
      <c r="CN16" s="294">
        <f>+INPUT!AS11</f>
        <v>0</v>
      </c>
      <c r="CO16" s="308"/>
      <c r="CP16" s="294">
        <f>+INPUT!AT11</f>
        <v>0</v>
      </c>
      <c r="CQ16" s="276"/>
      <c r="CS16" s="308"/>
      <c r="CT16" s="296" t="str">
        <f t="shared" si="7"/>
        <v xml:space="preserve">     Licenses and permits</v>
      </c>
      <c r="CU16" s="294">
        <f>+INPUT!AU11</f>
        <v>0</v>
      </c>
      <c r="CV16" s="296"/>
      <c r="CW16" s="294">
        <f>+INPUT!AV11</f>
        <v>0</v>
      </c>
      <c r="CX16" s="294"/>
      <c r="CY16" s="294">
        <f>+INPUT!AX11</f>
        <v>0</v>
      </c>
      <c r="CZ16" s="294"/>
      <c r="DA16" s="294">
        <f>+INPUT!AY11</f>
        <v>0</v>
      </c>
      <c r="DB16" s="294"/>
      <c r="DC16" s="294">
        <f>+INPUT!AZ11</f>
        <v>0</v>
      </c>
      <c r="DK16" s="294"/>
      <c r="DN16" s="296" t="str">
        <f t="shared" si="8"/>
        <v xml:space="preserve">     Licenses and permits</v>
      </c>
      <c r="DO16" s="294">
        <f>+INPUT!BA11</f>
        <v>0</v>
      </c>
      <c r="DP16" s="294"/>
      <c r="DQ16" s="294"/>
      <c r="DU16" s="294">
        <f>+INPUT!BD11</f>
        <v>0</v>
      </c>
      <c r="DZ16" s="308"/>
      <c r="EA16" s="287"/>
      <c r="EB16" s="308"/>
      <c r="EC16" s="294">
        <f t="shared" si="9"/>
        <v>2400</v>
      </c>
      <c r="ED16" s="294"/>
      <c r="EE16" s="294"/>
      <c r="EF16" s="294"/>
      <c r="EH16" s="294"/>
      <c r="EI16" s="276"/>
      <c r="EJ16" s="276"/>
    </row>
    <row r="17" spans="1:141" ht="15.75">
      <c r="B17" s="276" t="str">
        <f>INPUT!B12</f>
        <v xml:space="preserve">     Intergovernmental</v>
      </c>
      <c r="C17" s="294">
        <f>+INPUT!E12</f>
        <v>1617452</v>
      </c>
      <c r="D17" s="308"/>
      <c r="E17" s="294">
        <f>+INPUT!F12</f>
        <v>0</v>
      </c>
      <c r="F17" s="308"/>
      <c r="G17" s="294">
        <f>+INPUT!G12</f>
        <v>0</v>
      </c>
      <c r="H17" s="308"/>
      <c r="I17" s="294">
        <f>+INPUT!H12</f>
        <v>0</v>
      </c>
      <c r="J17" s="308"/>
      <c r="K17" s="294">
        <f>+INPUT!I12</f>
        <v>337361</v>
      </c>
      <c r="L17" s="308"/>
      <c r="M17" s="296" t="str">
        <f t="shared" si="0"/>
        <v xml:space="preserve">     Intergovernmental</v>
      </c>
      <c r="N17" s="294">
        <f>+INPUT!J12</f>
        <v>1045460</v>
      </c>
      <c r="O17" s="287"/>
      <c r="P17" s="294">
        <f>+INPUT!K12</f>
        <v>0</v>
      </c>
      <c r="Q17" s="287"/>
      <c r="R17" s="294">
        <f>+INPUT!L12</f>
        <v>0</v>
      </c>
      <c r="S17" s="287"/>
      <c r="T17" s="294">
        <f>+INPUT!M12</f>
        <v>70177</v>
      </c>
      <c r="U17" s="287"/>
      <c r="V17" s="294">
        <f>+INPUT!N12</f>
        <v>10660</v>
      </c>
      <c r="W17" s="308"/>
      <c r="X17" s="296" t="str">
        <f t="shared" si="1"/>
        <v xml:space="preserve">     Intergovernmental</v>
      </c>
      <c r="Y17" s="294">
        <f>+INPUT!O12</f>
        <v>1076</v>
      </c>
      <c r="Z17" s="294"/>
      <c r="AA17" s="294">
        <f>+INPUT!Q12</f>
        <v>0</v>
      </c>
      <c r="AB17" s="294"/>
      <c r="AC17" s="294">
        <f>+INPUT!R12</f>
        <v>26509</v>
      </c>
      <c r="AD17" s="294"/>
      <c r="AE17" s="294">
        <f>+INPUT!S12</f>
        <v>42913</v>
      </c>
      <c r="AF17" s="294"/>
      <c r="AG17" s="294">
        <f>+INPUT!T12</f>
        <v>0</v>
      </c>
      <c r="AH17" s="308"/>
      <c r="AI17" s="296" t="str">
        <f t="shared" si="2"/>
        <v xml:space="preserve">     Intergovernmental</v>
      </c>
      <c r="AJ17" s="294">
        <f>+INPUT!U12</f>
        <v>459799</v>
      </c>
      <c r="AK17" s="294"/>
      <c r="AL17" s="294">
        <f>+INPUT!V12</f>
        <v>0</v>
      </c>
      <c r="AM17" s="294"/>
      <c r="AN17" s="294">
        <f>+INPUT!W12</f>
        <v>0</v>
      </c>
      <c r="AO17" s="294"/>
      <c r="AP17" s="294">
        <f>+INPUT!Y12</f>
        <v>0</v>
      </c>
      <c r="AQ17" s="294"/>
      <c r="AR17" s="294">
        <f>+INPUT!Z12</f>
        <v>4490</v>
      </c>
      <c r="AS17" s="308"/>
      <c r="AT17" s="296" t="str">
        <f t="shared" si="3"/>
        <v xml:space="preserve">     Intergovernmental</v>
      </c>
      <c r="AU17" s="294">
        <f>+INPUT!AA12</f>
        <v>0</v>
      </c>
      <c r="AV17" s="294"/>
      <c r="AW17" s="294">
        <f>+INPUT!AB12</f>
        <v>416922</v>
      </c>
      <c r="AX17" s="294"/>
      <c r="AY17" s="294">
        <f>+INPUT!AC12</f>
        <v>0</v>
      </c>
      <c r="AZ17" s="294"/>
      <c r="BA17" s="294">
        <f>+INPUT!AD12</f>
        <v>0</v>
      </c>
      <c r="BB17" s="294"/>
      <c r="BC17" s="294">
        <f>+INPUT!AE12</f>
        <v>25558</v>
      </c>
      <c r="BD17" s="294"/>
      <c r="BF17" s="308"/>
      <c r="BG17" s="296" t="str">
        <f t="shared" si="4"/>
        <v xml:space="preserve">     Intergovernmental</v>
      </c>
      <c r="BH17" s="294">
        <f>+INPUT!AF12</f>
        <v>0</v>
      </c>
      <c r="BI17" s="296"/>
      <c r="BJ17" s="294">
        <f>+INPUT!AG12</f>
        <v>0</v>
      </c>
      <c r="BK17" s="294"/>
      <c r="BL17" s="294">
        <f>+INPUT!AH12</f>
        <v>0</v>
      </c>
      <c r="BM17" s="294"/>
      <c r="BN17" s="294">
        <f>+INPUT!AI12</f>
        <v>0</v>
      </c>
      <c r="BO17" s="294"/>
      <c r="BP17" s="294">
        <f>+INPUT!AJ12</f>
        <v>0</v>
      </c>
      <c r="BQ17" s="294"/>
      <c r="BS17" s="308"/>
      <c r="BT17" s="296" t="str">
        <f t="shared" si="5"/>
        <v xml:space="preserve">     Intergovernmental</v>
      </c>
      <c r="BU17" s="294">
        <f>+INPUT!AK12</f>
        <v>0</v>
      </c>
      <c r="BV17" s="296"/>
      <c r="BW17" s="294">
        <f>+INPUT!AL12</f>
        <v>0</v>
      </c>
      <c r="BX17" s="294"/>
      <c r="BY17" s="294">
        <f>+INPUT!AM12</f>
        <v>0</v>
      </c>
      <c r="BZ17" s="276"/>
      <c r="CA17" s="294">
        <f>+INPUT!AN12</f>
        <v>0</v>
      </c>
      <c r="CB17" s="276"/>
      <c r="CC17" s="294">
        <f>+INPUT!AO12</f>
        <v>0</v>
      </c>
      <c r="CD17" s="276"/>
      <c r="CF17" s="308"/>
      <c r="CG17" s="296" t="str">
        <f t="shared" si="6"/>
        <v xml:space="preserve">     Intergovernmental</v>
      </c>
      <c r="CH17" s="294">
        <f>+INPUT!AP12</f>
        <v>0</v>
      </c>
      <c r="CI17" s="296"/>
      <c r="CJ17" s="294">
        <f>+INPUT!AQ12</f>
        <v>0</v>
      </c>
      <c r="CK17" s="276"/>
      <c r="CL17" s="294">
        <f>+INPUT!AR12</f>
        <v>211080</v>
      </c>
      <c r="CM17" s="276"/>
      <c r="CN17" s="294">
        <f>+INPUT!AS12</f>
        <v>272779</v>
      </c>
      <c r="CO17" s="308"/>
      <c r="CP17" s="294">
        <f>+INPUT!AT12</f>
        <v>338610</v>
      </c>
      <c r="CQ17" s="276"/>
      <c r="CS17" s="308"/>
      <c r="CT17" s="296" t="str">
        <f t="shared" si="7"/>
        <v xml:space="preserve">     Intergovernmental</v>
      </c>
      <c r="CU17" s="294">
        <f>+INPUT!AU12</f>
        <v>249698</v>
      </c>
      <c r="CV17" s="296"/>
      <c r="CW17" s="294">
        <f>+INPUT!AV12</f>
        <v>0</v>
      </c>
      <c r="CX17" s="294"/>
      <c r="CY17" s="294">
        <f>+INPUT!AX12</f>
        <v>100801</v>
      </c>
      <c r="CZ17" s="294"/>
      <c r="DA17" s="294">
        <f>+INPUT!AY12</f>
        <v>0</v>
      </c>
      <c r="DB17" s="294"/>
      <c r="DC17" s="294">
        <f>+INPUT!AZ12</f>
        <v>9352</v>
      </c>
      <c r="DK17" s="294"/>
      <c r="DN17" s="296" t="str">
        <f t="shared" si="8"/>
        <v xml:space="preserve">     Intergovernmental</v>
      </c>
      <c r="DO17" s="294">
        <f>+INPUT!BA12</f>
        <v>104225</v>
      </c>
      <c r="DP17" s="294"/>
      <c r="DQ17" s="294"/>
      <c r="DU17" s="294">
        <f>+INPUT!BD12</f>
        <v>0</v>
      </c>
      <c r="DZ17" s="308"/>
      <c r="EA17" s="287"/>
      <c r="EB17" s="308"/>
      <c r="EC17" s="294">
        <f t="shared" si="9"/>
        <v>5344922</v>
      </c>
      <c r="ED17" s="294"/>
      <c r="EE17" s="294">
        <f>+EC17-4088168</f>
        <v>1256754</v>
      </c>
      <c r="EF17" s="294"/>
      <c r="EH17" s="294"/>
      <c r="EI17" s="276"/>
      <c r="EJ17" s="276"/>
    </row>
    <row r="18" spans="1:141" ht="15.75">
      <c r="B18" s="276" t="str">
        <f>INPUT!B13</f>
        <v xml:space="preserve">     Charges for services</v>
      </c>
      <c r="C18" s="294">
        <f>+INPUT!E13</f>
        <v>22930</v>
      </c>
      <c r="D18" s="308"/>
      <c r="E18" s="294">
        <f>+INPUT!F13</f>
        <v>0</v>
      </c>
      <c r="F18" s="308"/>
      <c r="G18" s="294">
        <f>+INPUT!G13</f>
        <v>0</v>
      </c>
      <c r="H18" s="308"/>
      <c r="I18" s="294">
        <f>+INPUT!H13</f>
        <v>1980</v>
      </c>
      <c r="J18" s="308"/>
      <c r="K18" s="294">
        <f>+INPUT!I13</f>
        <v>0</v>
      </c>
      <c r="L18" s="308"/>
      <c r="M18" s="296" t="str">
        <f t="shared" si="0"/>
        <v xml:space="preserve">     Charges for services</v>
      </c>
      <c r="N18" s="294">
        <f>+INPUT!J13</f>
        <v>93219</v>
      </c>
      <c r="O18" s="287"/>
      <c r="P18" s="294">
        <f>+INPUT!K13</f>
        <v>0</v>
      </c>
      <c r="Q18" s="287"/>
      <c r="R18" s="294">
        <f>+INPUT!L13</f>
        <v>0</v>
      </c>
      <c r="S18" s="287"/>
      <c r="T18" s="294">
        <f>+INPUT!M13</f>
        <v>79977</v>
      </c>
      <c r="U18" s="287"/>
      <c r="V18" s="294">
        <f>+INPUT!N13</f>
        <v>0</v>
      </c>
      <c r="W18" s="308"/>
      <c r="X18" s="296" t="str">
        <f t="shared" si="1"/>
        <v xml:space="preserve">     Charges for services</v>
      </c>
      <c r="Y18" s="294">
        <f>+INPUT!O13</f>
        <v>0</v>
      </c>
      <c r="Z18" s="294"/>
      <c r="AA18" s="294">
        <f>+INPUT!Q13</f>
        <v>0</v>
      </c>
      <c r="AB18" s="294"/>
      <c r="AC18" s="294">
        <f>+INPUT!R13</f>
        <v>31719</v>
      </c>
      <c r="AD18" s="294"/>
      <c r="AE18" s="294">
        <f>+INPUT!S13</f>
        <v>13949</v>
      </c>
      <c r="AF18" s="294"/>
      <c r="AG18" s="294">
        <f>+INPUT!T13</f>
        <v>0</v>
      </c>
      <c r="AH18" s="308"/>
      <c r="AI18" s="296" t="str">
        <f t="shared" si="2"/>
        <v xml:space="preserve">     Charges for services</v>
      </c>
      <c r="AJ18" s="294">
        <f>+INPUT!U13</f>
        <v>630381</v>
      </c>
      <c r="AK18" s="294"/>
      <c r="AL18" s="294">
        <f>+INPUT!V13</f>
        <v>0</v>
      </c>
      <c r="AM18" s="294"/>
      <c r="AN18" s="294">
        <f>+INPUT!W13</f>
        <v>3085</v>
      </c>
      <c r="AO18" s="294"/>
      <c r="AP18" s="294">
        <f>+INPUT!Y13</f>
        <v>0</v>
      </c>
      <c r="AQ18" s="294"/>
      <c r="AR18" s="294">
        <f>+INPUT!Z13</f>
        <v>141202</v>
      </c>
      <c r="AS18" s="308"/>
      <c r="AT18" s="296" t="str">
        <f t="shared" si="3"/>
        <v xml:space="preserve">     Charges for services</v>
      </c>
      <c r="AU18" s="294">
        <f>+INPUT!AA13</f>
        <v>94970</v>
      </c>
      <c r="AV18" s="294"/>
      <c r="AW18" s="294">
        <f>+INPUT!AB13</f>
        <v>0</v>
      </c>
      <c r="AX18" s="294"/>
      <c r="AY18" s="294">
        <f>+INPUT!AC13</f>
        <v>0</v>
      </c>
      <c r="AZ18" s="294"/>
      <c r="BA18" s="294">
        <f>+INPUT!AD13</f>
        <v>0</v>
      </c>
      <c r="BB18" s="294"/>
      <c r="BC18" s="294">
        <f>+INPUT!AE13</f>
        <v>0</v>
      </c>
      <c r="BD18" s="294"/>
      <c r="BF18" s="308"/>
      <c r="BG18" s="296" t="str">
        <f t="shared" si="4"/>
        <v xml:space="preserve">     Charges for services</v>
      </c>
      <c r="BH18" s="294">
        <f>+INPUT!AF13</f>
        <v>0</v>
      </c>
      <c r="BI18" s="296"/>
      <c r="BJ18" s="294">
        <f>+INPUT!AG13</f>
        <v>0</v>
      </c>
      <c r="BK18" s="294"/>
      <c r="BL18" s="294">
        <f>+INPUT!AH13</f>
        <v>0</v>
      </c>
      <c r="BM18" s="294"/>
      <c r="BN18" s="294">
        <f>+INPUT!AI13</f>
        <v>0</v>
      </c>
      <c r="BO18" s="294"/>
      <c r="BP18" s="294">
        <f>+INPUT!AJ13</f>
        <v>0</v>
      </c>
      <c r="BQ18" s="294"/>
      <c r="BS18" s="308"/>
      <c r="BT18" s="296" t="str">
        <f t="shared" si="5"/>
        <v xml:space="preserve">     Charges for services</v>
      </c>
      <c r="BU18" s="294">
        <f>+INPUT!AK13</f>
        <v>28621</v>
      </c>
      <c r="BV18" s="296"/>
      <c r="BW18" s="294">
        <f>+INPUT!AL13</f>
        <v>184447</v>
      </c>
      <c r="BX18" s="294"/>
      <c r="BY18" s="294">
        <f>+INPUT!AM13</f>
        <v>14954</v>
      </c>
      <c r="BZ18" s="276"/>
      <c r="CA18" s="294">
        <f>+INPUT!AN13</f>
        <v>27243</v>
      </c>
      <c r="CB18" s="276"/>
      <c r="CC18" s="294">
        <f>+INPUT!AO13</f>
        <v>0</v>
      </c>
      <c r="CD18" s="276"/>
      <c r="CF18" s="308"/>
      <c r="CG18" s="296" t="str">
        <f t="shared" si="6"/>
        <v xml:space="preserve">     Charges for services</v>
      </c>
      <c r="CH18" s="294">
        <f>+INPUT!AP13</f>
        <v>0</v>
      </c>
      <c r="CI18" s="296"/>
      <c r="CJ18" s="294">
        <f>+INPUT!AQ13</f>
        <v>0</v>
      </c>
      <c r="CK18" s="276"/>
      <c r="CL18" s="294">
        <f>+INPUT!AR13</f>
        <v>0</v>
      </c>
      <c r="CM18" s="276"/>
      <c r="CN18" s="294">
        <f>+INPUT!AS13</f>
        <v>0</v>
      </c>
      <c r="CO18" s="308"/>
      <c r="CP18" s="294">
        <f>+INPUT!AT13</f>
        <v>0</v>
      </c>
      <c r="CQ18" s="276"/>
      <c r="CS18" s="308"/>
      <c r="CT18" s="296" t="str">
        <f t="shared" si="7"/>
        <v xml:space="preserve">     Charges for services</v>
      </c>
      <c r="CU18" s="294">
        <f>+INPUT!AU13</f>
        <v>0</v>
      </c>
      <c r="CV18" s="296"/>
      <c r="CW18" s="294">
        <f>+INPUT!AV13</f>
        <v>0</v>
      </c>
      <c r="CX18" s="294"/>
      <c r="CY18" s="294">
        <f>+INPUT!AX13</f>
        <v>0</v>
      </c>
      <c r="CZ18" s="294"/>
      <c r="DA18" s="294">
        <f>+INPUT!AY13</f>
        <v>0</v>
      </c>
      <c r="DB18" s="294"/>
      <c r="DC18" s="294">
        <f>+INPUT!AZ13</f>
        <v>15000</v>
      </c>
      <c r="DK18" s="294"/>
      <c r="DN18" s="296" t="str">
        <f t="shared" si="8"/>
        <v xml:space="preserve">     Charges for services</v>
      </c>
      <c r="DO18" s="294">
        <f>+INPUT!BA13</f>
        <v>0</v>
      </c>
      <c r="DP18" s="294"/>
      <c r="DQ18" s="294"/>
      <c r="DU18" s="294">
        <f>+INPUT!BD13</f>
        <v>0</v>
      </c>
      <c r="DZ18" s="308"/>
      <c r="EA18" s="287"/>
      <c r="EB18" s="308"/>
      <c r="EC18" s="294">
        <f t="shared" si="9"/>
        <v>1383677</v>
      </c>
      <c r="ED18" s="294"/>
      <c r="EE18" s="294">
        <f>+EC18-852683</f>
        <v>530994</v>
      </c>
      <c r="EF18" s="294"/>
      <c r="EH18" s="294"/>
      <c r="EI18" s="276"/>
      <c r="EJ18" s="276"/>
    </row>
    <row r="19" spans="1:141" ht="15.75">
      <c r="B19" s="276" t="str">
        <f>INPUT!B14</f>
        <v xml:space="preserve">     Fines and forfeitures</v>
      </c>
      <c r="C19" s="294">
        <f>+INPUT!E14</f>
        <v>0</v>
      </c>
      <c r="D19" s="308"/>
      <c r="E19" s="294">
        <f>+INPUT!F14</f>
        <v>0</v>
      </c>
      <c r="F19" s="308"/>
      <c r="G19" s="294">
        <f>+INPUT!G14</f>
        <v>0</v>
      </c>
      <c r="H19" s="308"/>
      <c r="I19" s="294">
        <f>+INPUT!H14</f>
        <v>0</v>
      </c>
      <c r="J19" s="308"/>
      <c r="K19" s="294">
        <f>+INPUT!I14</f>
        <v>0</v>
      </c>
      <c r="L19" s="308"/>
      <c r="M19" s="296" t="str">
        <f t="shared" si="0"/>
        <v xml:space="preserve">     Fines and forfeitures</v>
      </c>
      <c r="N19" s="294">
        <f>+INPUT!J14</f>
        <v>0</v>
      </c>
      <c r="O19" s="287"/>
      <c r="P19" s="294">
        <f>+INPUT!K14</f>
        <v>0</v>
      </c>
      <c r="Q19" s="287"/>
      <c r="R19" s="294">
        <f>+INPUT!L14</f>
        <v>0</v>
      </c>
      <c r="S19" s="287"/>
      <c r="T19" s="294">
        <f>+INPUT!M14</f>
        <v>18459</v>
      </c>
      <c r="U19" s="287"/>
      <c r="V19" s="294">
        <f>+INPUT!N14</f>
        <v>0</v>
      </c>
      <c r="W19" s="308"/>
      <c r="X19" s="296" t="str">
        <f t="shared" si="1"/>
        <v xml:space="preserve">     Fines and forfeitures</v>
      </c>
      <c r="Y19" s="294">
        <f>+INPUT!O14</f>
        <v>0</v>
      </c>
      <c r="Z19" s="294"/>
      <c r="AA19" s="294">
        <f>+INPUT!Q14</f>
        <v>0</v>
      </c>
      <c r="AB19" s="294"/>
      <c r="AC19" s="294">
        <f>+INPUT!R14</f>
        <v>0</v>
      </c>
      <c r="AD19" s="294"/>
      <c r="AE19" s="294">
        <f>+INPUT!S14</f>
        <v>0</v>
      </c>
      <c r="AF19" s="294"/>
      <c r="AG19" s="294">
        <f>+INPUT!T14</f>
        <v>0</v>
      </c>
      <c r="AH19" s="308"/>
      <c r="AI19" s="296" t="str">
        <f t="shared" si="2"/>
        <v xml:space="preserve">     Fines and forfeitures</v>
      </c>
      <c r="AJ19" s="294">
        <f>+INPUT!U14</f>
        <v>5165</v>
      </c>
      <c r="AK19" s="294"/>
      <c r="AL19" s="294">
        <f>+INPUT!V14</f>
        <v>0</v>
      </c>
      <c r="AM19" s="294"/>
      <c r="AN19" s="294">
        <f>+INPUT!W14</f>
        <v>0</v>
      </c>
      <c r="AO19" s="294"/>
      <c r="AP19" s="294">
        <f>+INPUT!Y14</f>
        <v>0</v>
      </c>
      <c r="AQ19" s="294"/>
      <c r="AR19" s="294">
        <f>+INPUT!Z14</f>
        <v>4097</v>
      </c>
      <c r="AS19" s="308"/>
      <c r="AT19" s="296" t="str">
        <f t="shared" si="3"/>
        <v xml:space="preserve">     Fines and forfeitures</v>
      </c>
      <c r="AU19" s="294">
        <f>+INPUT!AA14</f>
        <v>0</v>
      </c>
      <c r="AV19" s="294"/>
      <c r="AW19" s="294">
        <f>+INPUT!AB14</f>
        <v>0</v>
      </c>
      <c r="AX19" s="294"/>
      <c r="AY19" s="294">
        <f>+INPUT!AC14</f>
        <v>0</v>
      </c>
      <c r="AZ19" s="294"/>
      <c r="BA19" s="294">
        <f>+INPUT!AD14</f>
        <v>0</v>
      </c>
      <c r="BB19" s="294"/>
      <c r="BC19" s="294">
        <f>+INPUT!AE14</f>
        <v>0</v>
      </c>
      <c r="BD19" s="294"/>
      <c r="BF19" s="308"/>
      <c r="BG19" s="296" t="str">
        <f t="shared" si="4"/>
        <v xml:space="preserve">     Fines and forfeitures</v>
      </c>
      <c r="BH19" s="294">
        <f>+INPUT!AF14</f>
        <v>94</v>
      </c>
      <c r="BI19" s="296"/>
      <c r="BJ19" s="294">
        <f>+INPUT!AG14</f>
        <v>18709</v>
      </c>
      <c r="BK19" s="294"/>
      <c r="BL19" s="294">
        <f>+INPUT!AH14</f>
        <v>0</v>
      </c>
      <c r="BM19" s="294"/>
      <c r="BN19" s="294">
        <f>+INPUT!AI14</f>
        <v>0</v>
      </c>
      <c r="BO19" s="294"/>
      <c r="BP19" s="294">
        <f>+INPUT!AJ14</f>
        <v>0</v>
      </c>
      <c r="BQ19" s="294"/>
      <c r="BS19" s="308"/>
      <c r="BT19" s="296" t="str">
        <f t="shared" si="5"/>
        <v xml:space="preserve">     Fines and forfeitures</v>
      </c>
      <c r="BU19" s="294">
        <f>+INPUT!AK14</f>
        <v>0</v>
      </c>
      <c r="BV19" s="296"/>
      <c r="BW19" s="294">
        <f>+INPUT!AL14</f>
        <v>0</v>
      </c>
      <c r="BX19" s="294"/>
      <c r="BY19" s="294">
        <f>+INPUT!AM14</f>
        <v>0</v>
      </c>
      <c r="BZ19" s="276"/>
      <c r="CA19" s="294">
        <f>+INPUT!AN14</f>
        <v>0</v>
      </c>
      <c r="CB19" s="276"/>
      <c r="CC19" s="294">
        <f>+INPUT!AO14</f>
        <v>0</v>
      </c>
      <c r="CD19" s="276"/>
      <c r="CF19" s="308"/>
      <c r="CG19" s="296" t="str">
        <f t="shared" si="6"/>
        <v xml:space="preserve">     Fines and forfeitures</v>
      </c>
      <c r="CH19" s="294">
        <f>+INPUT!AP14</f>
        <v>0</v>
      </c>
      <c r="CI19" s="296"/>
      <c r="CJ19" s="294">
        <f>+INPUT!AQ14</f>
        <v>0</v>
      </c>
      <c r="CK19" s="276"/>
      <c r="CL19" s="294">
        <f>+INPUT!AR14</f>
        <v>0</v>
      </c>
      <c r="CM19" s="276"/>
      <c r="CN19" s="294">
        <f>+INPUT!AS14</f>
        <v>0</v>
      </c>
      <c r="CO19" s="308"/>
      <c r="CP19" s="294">
        <f>+INPUT!AT14</f>
        <v>0</v>
      </c>
      <c r="CQ19" s="276"/>
      <c r="CS19" s="308"/>
      <c r="CT19" s="296" t="str">
        <f t="shared" si="7"/>
        <v xml:space="preserve">     Fines and forfeitures</v>
      </c>
      <c r="CU19" s="294">
        <f>+INPUT!AU14</f>
        <v>0</v>
      </c>
      <c r="CV19" s="296"/>
      <c r="CW19" s="294">
        <f>+INPUT!AV14</f>
        <v>0</v>
      </c>
      <c r="CX19" s="294"/>
      <c r="CY19" s="294">
        <f>+INPUT!AX14</f>
        <v>0</v>
      </c>
      <c r="CZ19" s="294"/>
      <c r="DA19" s="294">
        <f>+INPUT!AY14</f>
        <v>0</v>
      </c>
      <c r="DB19" s="294"/>
      <c r="DC19" s="294">
        <f>+INPUT!AZ14</f>
        <v>0</v>
      </c>
      <c r="DK19" s="294"/>
      <c r="DN19" s="296" t="str">
        <f t="shared" si="8"/>
        <v xml:space="preserve">     Fines and forfeitures</v>
      </c>
      <c r="DO19" s="294">
        <f>+INPUT!BA14</f>
        <v>0</v>
      </c>
      <c r="DP19" s="294"/>
      <c r="DQ19" s="294"/>
      <c r="DU19" s="294">
        <f>+INPUT!BD14</f>
        <v>0</v>
      </c>
      <c r="DZ19" s="308"/>
      <c r="EA19" s="287"/>
      <c r="EB19" s="308"/>
      <c r="EC19" s="294">
        <f t="shared" si="9"/>
        <v>46524</v>
      </c>
      <c r="ED19" s="294"/>
      <c r="EE19" s="294">
        <f>+EC19-132578</f>
        <v>-86054</v>
      </c>
      <c r="EF19" s="294"/>
      <c r="EH19" s="294"/>
      <c r="EI19" s="276"/>
      <c r="EJ19" s="276"/>
    </row>
    <row r="20" spans="1:141" ht="15.75">
      <c r="B20" s="276" t="str">
        <f>INPUT!B15</f>
        <v xml:space="preserve">     Miscellaneous</v>
      </c>
      <c r="C20" s="294">
        <f>+INPUT!E15</f>
        <v>17156</v>
      </c>
      <c r="D20" s="308"/>
      <c r="E20" s="294">
        <f>+INPUT!F15</f>
        <v>0</v>
      </c>
      <c r="F20" s="308"/>
      <c r="G20" s="294">
        <f>+INPUT!G15</f>
        <v>0</v>
      </c>
      <c r="H20" s="308"/>
      <c r="I20" s="294">
        <f>+INPUT!H15</f>
        <v>22740</v>
      </c>
      <c r="J20" s="308"/>
      <c r="K20" s="294">
        <f>+INPUT!I15</f>
        <v>74369</v>
      </c>
      <c r="L20" s="308"/>
      <c r="M20" s="296" t="str">
        <f t="shared" si="0"/>
        <v xml:space="preserve">     Miscellaneous</v>
      </c>
      <c r="N20" s="294">
        <f>+INPUT!J15</f>
        <v>3218</v>
      </c>
      <c r="O20" s="287"/>
      <c r="P20" s="294">
        <f>+INPUT!K15</f>
        <v>0</v>
      </c>
      <c r="Q20" s="287"/>
      <c r="R20" s="294">
        <f>+INPUT!L15</f>
        <v>0</v>
      </c>
      <c r="S20" s="287"/>
      <c r="T20" s="294">
        <f>+INPUT!M15</f>
        <v>7000</v>
      </c>
      <c r="U20" s="287"/>
      <c r="V20" s="294">
        <f>+INPUT!N15</f>
        <v>0</v>
      </c>
      <c r="W20" s="308"/>
      <c r="X20" s="296" t="str">
        <f t="shared" si="1"/>
        <v xml:space="preserve">     Miscellaneous</v>
      </c>
      <c r="Y20" s="294">
        <f>+INPUT!O15</f>
        <v>0</v>
      </c>
      <c r="Z20" s="294"/>
      <c r="AA20" s="294">
        <f>+INPUT!Q15</f>
        <v>0</v>
      </c>
      <c r="AB20" s="294"/>
      <c r="AC20" s="294">
        <f>+INPUT!R15</f>
        <v>0</v>
      </c>
      <c r="AD20" s="294"/>
      <c r="AE20" s="294">
        <f>+INPUT!S15</f>
        <v>5150</v>
      </c>
      <c r="AF20" s="294"/>
      <c r="AG20" s="294">
        <f>+INPUT!T15</f>
        <v>0</v>
      </c>
      <c r="AH20" s="308"/>
      <c r="AI20" s="296" t="str">
        <f t="shared" si="2"/>
        <v xml:space="preserve">     Miscellaneous</v>
      </c>
      <c r="AJ20" s="294">
        <f>+INPUT!U15</f>
        <v>13452</v>
      </c>
      <c r="AK20" s="294"/>
      <c r="AL20" s="294">
        <f>+INPUT!V15</f>
        <v>0</v>
      </c>
      <c r="AM20" s="294"/>
      <c r="AN20" s="294">
        <f>+INPUT!W15</f>
        <v>1208</v>
      </c>
      <c r="AO20" s="294"/>
      <c r="AP20" s="294">
        <f>+INPUT!Y15</f>
        <v>0</v>
      </c>
      <c r="AQ20" s="294"/>
      <c r="AR20" s="294">
        <f>+INPUT!Z15</f>
        <v>150175</v>
      </c>
      <c r="AS20" s="308"/>
      <c r="AT20" s="296" t="str">
        <f t="shared" si="3"/>
        <v xml:space="preserve">     Miscellaneous</v>
      </c>
      <c r="AU20" s="294">
        <f>+INPUT!AA15</f>
        <v>0</v>
      </c>
      <c r="AV20" s="294"/>
      <c r="AW20" s="294">
        <f>+INPUT!AB15</f>
        <v>395</v>
      </c>
      <c r="AX20" s="294"/>
      <c r="AY20" s="294">
        <f>+INPUT!AC15</f>
        <v>0</v>
      </c>
      <c r="AZ20" s="294"/>
      <c r="BA20" s="294">
        <f>+INPUT!AD15</f>
        <v>33441</v>
      </c>
      <c r="BB20" s="294"/>
      <c r="BC20" s="294">
        <f>+INPUT!AE15</f>
        <v>16396</v>
      </c>
      <c r="BD20" s="294"/>
      <c r="BF20" s="308"/>
      <c r="BG20" s="296" t="str">
        <f t="shared" si="4"/>
        <v xml:space="preserve">     Miscellaneous</v>
      </c>
      <c r="BH20" s="294">
        <f>+INPUT!AF15</f>
        <v>0</v>
      </c>
      <c r="BI20" s="296"/>
      <c r="BJ20" s="294">
        <f>+INPUT!AG15</f>
        <v>0</v>
      </c>
      <c r="BK20" s="294"/>
      <c r="BL20" s="294">
        <f>+INPUT!AH15</f>
        <v>0</v>
      </c>
      <c r="BM20" s="294"/>
      <c r="BN20" s="294">
        <f>+INPUT!AI15</f>
        <v>0</v>
      </c>
      <c r="BO20" s="294"/>
      <c r="BP20" s="294">
        <f>+INPUT!AJ15</f>
        <v>0</v>
      </c>
      <c r="BQ20" s="294"/>
      <c r="BS20" s="308"/>
      <c r="BT20" s="296" t="str">
        <f t="shared" si="5"/>
        <v xml:space="preserve">     Miscellaneous</v>
      </c>
      <c r="BU20" s="294">
        <f>+INPUT!AK15</f>
        <v>0</v>
      </c>
      <c r="BV20" s="296"/>
      <c r="BW20" s="294">
        <f>+INPUT!AL15</f>
        <v>0</v>
      </c>
      <c r="BX20" s="294"/>
      <c r="BY20" s="294">
        <f>+INPUT!AM15</f>
        <v>0</v>
      </c>
      <c r="BZ20" s="276"/>
      <c r="CA20" s="294">
        <f>+INPUT!AN15</f>
        <v>0</v>
      </c>
      <c r="CB20" s="276"/>
      <c r="CC20" s="294">
        <f>+INPUT!AO15</f>
        <v>0</v>
      </c>
      <c r="CD20" s="276"/>
      <c r="CF20" s="308"/>
      <c r="CG20" s="296" t="str">
        <f t="shared" si="6"/>
        <v xml:space="preserve">     Miscellaneous</v>
      </c>
      <c r="CH20" s="294">
        <f>+INPUT!AP15</f>
        <v>0</v>
      </c>
      <c r="CI20" s="296"/>
      <c r="CJ20" s="294">
        <f>+INPUT!AQ15</f>
        <v>147419</v>
      </c>
      <c r="CK20" s="276"/>
      <c r="CL20" s="294">
        <f>+INPUT!AR15</f>
        <v>0</v>
      </c>
      <c r="CM20" s="276"/>
      <c r="CN20" s="294">
        <f>+INPUT!AS15</f>
        <v>0</v>
      </c>
      <c r="CO20" s="308"/>
      <c r="CP20" s="294">
        <f>+INPUT!AT15</f>
        <v>0</v>
      </c>
      <c r="CQ20" s="276"/>
      <c r="CS20" s="308"/>
      <c r="CT20" s="296" t="str">
        <f t="shared" si="7"/>
        <v xml:space="preserve">     Miscellaneous</v>
      </c>
      <c r="CU20" s="294">
        <f>+INPUT!AU15+1</f>
        <v>1</v>
      </c>
      <c r="CV20" s="296"/>
      <c r="CW20" s="294">
        <f>+INPUT!AV15</f>
        <v>0</v>
      </c>
      <c r="CX20" s="294"/>
      <c r="CY20" s="294">
        <f>+INPUT!AX15</f>
        <v>0</v>
      </c>
      <c r="CZ20" s="294"/>
      <c r="DA20" s="294">
        <f>+INPUT!AY15</f>
        <v>0</v>
      </c>
      <c r="DB20" s="294"/>
      <c r="DC20" s="294">
        <f>+INPUT!AZ15</f>
        <v>0</v>
      </c>
      <c r="DK20" s="294"/>
      <c r="DN20" s="296" t="str">
        <f t="shared" si="8"/>
        <v xml:space="preserve">     Miscellaneous</v>
      </c>
      <c r="DO20" s="294">
        <f>+INPUT!BA15</f>
        <v>0</v>
      </c>
      <c r="DP20" s="294"/>
      <c r="DQ20" s="294"/>
      <c r="DU20" s="294">
        <f>+INPUT!BD15</f>
        <v>0</v>
      </c>
      <c r="DZ20" s="308"/>
      <c r="EA20" s="287"/>
      <c r="EB20" s="308"/>
      <c r="EC20" s="294">
        <f t="shared" si="9"/>
        <v>492120</v>
      </c>
      <c r="ED20" s="294"/>
      <c r="EE20" s="294">
        <f>+EC20-254564</f>
        <v>237556</v>
      </c>
      <c r="EF20" s="294"/>
      <c r="EH20" s="294"/>
      <c r="EI20" s="276"/>
      <c r="EJ20" s="276"/>
    </row>
    <row r="21" spans="1:141" ht="15.75">
      <c r="B21" s="276" t="str">
        <f>INPUT!B16</f>
        <v xml:space="preserve">     Interest earnings</v>
      </c>
      <c r="C21" s="294">
        <f>+INPUT!E16</f>
        <v>0</v>
      </c>
      <c r="D21" s="308"/>
      <c r="E21" s="294">
        <f>+INPUT!F16</f>
        <v>0</v>
      </c>
      <c r="F21" s="308"/>
      <c r="G21" s="294">
        <f>+INPUT!G16</f>
        <v>6</v>
      </c>
      <c r="H21" s="308"/>
      <c r="I21" s="294">
        <f>+INPUT!H16</f>
        <v>0</v>
      </c>
      <c r="J21" s="308"/>
      <c r="K21" s="294">
        <f>+INPUT!I16</f>
        <v>4</v>
      </c>
      <c r="L21" s="308"/>
      <c r="M21" s="296" t="str">
        <f t="shared" si="0"/>
        <v xml:space="preserve">     Interest earnings</v>
      </c>
      <c r="N21" s="294">
        <f>+INPUT!J16</f>
        <v>43436</v>
      </c>
      <c r="O21" s="287"/>
      <c r="P21" s="294">
        <f>+INPUT!K16</f>
        <v>0</v>
      </c>
      <c r="Q21" s="287"/>
      <c r="R21" s="294">
        <f>+INPUT!L16</f>
        <v>0</v>
      </c>
      <c r="S21" s="287"/>
      <c r="T21" s="294">
        <f>+INPUT!M16</f>
        <v>19</v>
      </c>
      <c r="U21" s="287"/>
      <c r="V21" s="294">
        <f>+INPUT!N16</f>
        <v>5</v>
      </c>
      <c r="W21" s="308"/>
      <c r="X21" s="296" t="str">
        <f t="shared" si="1"/>
        <v xml:space="preserve">     Interest earnings</v>
      </c>
      <c r="Y21" s="294">
        <f>+INPUT!O16</f>
        <v>1</v>
      </c>
      <c r="Z21" s="294"/>
      <c r="AA21" s="294">
        <f>+INPUT!Q16</f>
        <v>52</v>
      </c>
      <c r="AB21" s="294"/>
      <c r="AC21" s="294">
        <f>+INPUT!R16</f>
        <v>22984</v>
      </c>
      <c r="AD21" s="294"/>
      <c r="AE21" s="294">
        <f>+INPUT!S16</f>
        <v>15</v>
      </c>
      <c r="AF21" s="294"/>
      <c r="AG21" s="294">
        <f>+INPUT!T16</f>
        <v>0</v>
      </c>
      <c r="AH21" s="308"/>
      <c r="AI21" s="296" t="str">
        <f t="shared" si="2"/>
        <v xml:space="preserve">     Interest earnings</v>
      </c>
      <c r="AJ21" s="294">
        <f>+INPUT!U16</f>
        <v>42</v>
      </c>
      <c r="AK21" s="294"/>
      <c r="AL21" s="294">
        <f>+INPUT!V16</f>
        <v>6</v>
      </c>
      <c r="AM21" s="294"/>
      <c r="AN21" s="294">
        <f>+INPUT!W16</f>
        <v>7</v>
      </c>
      <c r="AO21" s="294"/>
      <c r="AP21" s="294">
        <f>+INPUT!Y16</f>
        <v>0</v>
      </c>
      <c r="AQ21" s="294"/>
      <c r="AR21" s="294">
        <f>+INPUT!Z16</f>
        <v>0</v>
      </c>
      <c r="AS21" s="308"/>
      <c r="AT21" s="296" t="str">
        <f t="shared" si="3"/>
        <v xml:space="preserve">     Interest earnings</v>
      </c>
      <c r="AU21" s="294">
        <f>+INPUT!AA16</f>
        <v>0</v>
      </c>
      <c r="AV21" s="294"/>
      <c r="AW21" s="294">
        <f>+INPUT!AB16</f>
        <v>108</v>
      </c>
      <c r="AX21" s="294"/>
      <c r="AY21" s="294">
        <f>+INPUT!AC16</f>
        <v>0</v>
      </c>
      <c r="AZ21" s="294"/>
      <c r="BA21" s="294">
        <f>+INPUT!AD16</f>
        <v>0</v>
      </c>
      <c r="BB21" s="294"/>
      <c r="BC21" s="294">
        <f>+INPUT!AE16</f>
        <v>0</v>
      </c>
      <c r="BD21" s="294"/>
      <c r="BF21" s="308"/>
      <c r="BG21" s="296" t="str">
        <f t="shared" si="4"/>
        <v xml:space="preserve">     Interest earnings</v>
      </c>
      <c r="BH21" s="294">
        <f>+INPUT!AF16</f>
        <v>0</v>
      </c>
      <c r="BI21" s="296"/>
      <c r="BJ21" s="294">
        <f>+INPUT!AG16</f>
        <v>0</v>
      </c>
      <c r="BK21" s="294"/>
      <c r="BL21" s="294">
        <f>+INPUT!AH16</f>
        <v>9564</v>
      </c>
      <c r="BM21" s="294"/>
      <c r="BN21" s="294">
        <f>+INPUT!AI16</f>
        <v>977</v>
      </c>
      <c r="BO21" s="294"/>
      <c r="BP21" s="294">
        <f>+INPUT!AJ16</f>
        <v>2070</v>
      </c>
      <c r="BQ21" s="294"/>
      <c r="BS21" s="308"/>
      <c r="BT21" s="296" t="str">
        <f t="shared" si="5"/>
        <v xml:space="preserve">     Interest earnings</v>
      </c>
      <c r="BU21" s="294">
        <f>+INPUT!AK16</f>
        <v>234</v>
      </c>
      <c r="BV21" s="296"/>
      <c r="BW21" s="294">
        <f>+INPUT!AL16</f>
        <v>2449</v>
      </c>
      <c r="BX21" s="294"/>
      <c r="BY21" s="294">
        <f>+INPUT!AM16</f>
        <v>1624</v>
      </c>
      <c r="BZ21" s="276"/>
      <c r="CA21" s="294">
        <f>+INPUT!AN16</f>
        <v>0</v>
      </c>
      <c r="CB21" s="276"/>
      <c r="CC21" s="294">
        <f>+INPUT!AO16</f>
        <v>0</v>
      </c>
      <c r="CD21" s="276"/>
      <c r="CF21" s="308"/>
      <c r="CG21" s="296" t="str">
        <f t="shared" si="6"/>
        <v xml:space="preserve">     Interest earnings</v>
      </c>
      <c r="CH21" s="294">
        <f>+INPUT!AP16</f>
        <v>66678</v>
      </c>
      <c r="CI21" s="296"/>
      <c r="CJ21" s="294">
        <f>+INPUT!AQ16</f>
        <v>27901</v>
      </c>
      <c r="CK21" s="276"/>
      <c r="CL21" s="294">
        <f>+INPUT!AR16</f>
        <v>0</v>
      </c>
      <c r="CM21" s="276"/>
      <c r="CN21" s="294">
        <f>+INPUT!AS16</f>
        <v>0</v>
      </c>
      <c r="CO21" s="308"/>
      <c r="CP21" s="294">
        <f>+INPUT!AT16</f>
        <v>0</v>
      </c>
      <c r="CQ21" s="276"/>
      <c r="CS21" s="308"/>
      <c r="CT21" s="296" t="str">
        <f t="shared" si="7"/>
        <v xml:space="preserve">     Interest earnings</v>
      </c>
      <c r="CU21" s="294">
        <f>+INPUT!AU16</f>
        <v>0</v>
      </c>
      <c r="CV21" s="296"/>
      <c r="CW21" s="294">
        <f>+INPUT!AV16</f>
        <v>0</v>
      </c>
      <c r="CX21" s="294"/>
      <c r="CY21" s="294">
        <f>+INPUT!AX16</f>
        <v>0</v>
      </c>
      <c r="CZ21" s="294"/>
      <c r="DA21" s="294">
        <f>+INPUT!AY16</f>
        <v>0</v>
      </c>
      <c r="DB21" s="294"/>
      <c r="DC21" s="294">
        <f>+INPUT!AZ16</f>
        <v>0</v>
      </c>
      <c r="DK21" s="294"/>
      <c r="DN21" s="296" t="str">
        <f t="shared" si="8"/>
        <v xml:space="preserve">     Interest earnings</v>
      </c>
      <c r="DO21" s="294">
        <f>+INPUT!BA16</f>
        <v>0</v>
      </c>
      <c r="DP21" s="294"/>
      <c r="DQ21" s="294"/>
      <c r="DU21" s="294">
        <f>+INPUT!BD16</f>
        <v>17652</v>
      </c>
      <c r="DZ21" s="308"/>
      <c r="EA21" s="287"/>
      <c r="EB21" s="308"/>
      <c r="EC21" s="294">
        <f t="shared" si="9"/>
        <v>195834</v>
      </c>
      <c r="ED21" s="294"/>
      <c r="EE21" s="294">
        <f>+EC21-54041</f>
        <v>141793</v>
      </c>
      <c r="EF21" s="294"/>
      <c r="EH21" s="294"/>
      <c r="EI21" s="276"/>
      <c r="EJ21" s="276"/>
    </row>
    <row r="22" spans="1:141" ht="15.75">
      <c r="B22" s="276"/>
      <c r="C22" s="298"/>
      <c r="D22" s="308"/>
      <c r="E22" s="298"/>
      <c r="F22" s="308"/>
      <c r="G22" s="298"/>
      <c r="H22" s="308"/>
      <c r="I22" s="298"/>
      <c r="J22" s="308"/>
      <c r="K22" s="298"/>
      <c r="L22" s="308"/>
      <c r="M22" s="296"/>
      <c r="N22" s="337"/>
      <c r="O22" s="287"/>
      <c r="P22" s="337"/>
      <c r="Q22" s="287"/>
      <c r="R22" s="337"/>
      <c r="S22" s="287"/>
      <c r="T22" s="337"/>
      <c r="U22" s="287"/>
      <c r="V22" s="337"/>
      <c r="W22" s="308"/>
      <c r="X22" s="296"/>
      <c r="Y22" s="337"/>
      <c r="Z22" s="294"/>
      <c r="AA22" s="337"/>
      <c r="AB22" s="294"/>
      <c r="AC22" s="337"/>
      <c r="AD22" s="294"/>
      <c r="AE22" s="337"/>
      <c r="AF22" s="294"/>
      <c r="AG22" s="337"/>
      <c r="AH22" s="308"/>
      <c r="AI22" s="296"/>
      <c r="AJ22" s="337"/>
      <c r="AK22" s="294"/>
      <c r="AL22" s="337"/>
      <c r="AM22" s="294"/>
      <c r="AN22" s="337"/>
      <c r="AO22" s="294"/>
      <c r="AP22" s="298"/>
      <c r="AQ22" s="294"/>
      <c r="AR22" s="298"/>
      <c r="AS22" s="308"/>
      <c r="AT22" s="296"/>
      <c r="AU22" s="337"/>
      <c r="AV22" s="294"/>
      <c r="AW22" s="337"/>
      <c r="AX22" s="294"/>
      <c r="AY22" s="337"/>
      <c r="AZ22" s="294"/>
      <c r="BA22" s="337"/>
      <c r="BB22" s="294"/>
      <c r="BC22" s="337"/>
      <c r="BD22" s="294"/>
      <c r="BF22" s="308"/>
      <c r="BG22" s="296"/>
      <c r="BH22" s="298"/>
      <c r="BI22" s="296"/>
      <c r="BJ22" s="298"/>
      <c r="BK22" s="294"/>
      <c r="BL22" s="298"/>
      <c r="BM22" s="294"/>
      <c r="BN22" s="298"/>
      <c r="BO22" s="294"/>
      <c r="BP22" s="298"/>
      <c r="BQ22" s="294"/>
      <c r="BS22" s="308"/>
      <c r="BT22" s="296"/>
      <c r="BU22" s="337"/>
      <c r="BV22" s="296"/>
      <c r="BW22" s="337"/>
      <c r="BX22" s="294"/>
      <c r="BY22" s="337"/>
      <c r="BZ22" s="276"/>
      <c r="CA22" s="337"/>
      <c r="CB22" s="276"/>
      <c r="CC22" s="337"/>
      <c r="CD22" s="276"/>
      <c r="CF22" s="308"/>
      <c r="CG22" s="296"/>
      <c r="CH22" s="337"/>
      <c r="CI22" s="296"/>
      <c r="CJ22" s="298"/>
      <c r="CK22" s="276"/>
      <c r="CL22" s="298"/>
      <c r="CM22" s="276"/>
      <c r="CN22" s="298"/>
      <c r="CO22" s="308"/>
      <c r="CP22" s="298"/>
      <c r="CQ22" s="276"/>
      <c r="CS22" s="308"/>
      <c r="CT22" s="296"/>
      <c r="CU22" s="298"/>
      <c r="CV22" s="296"/>
      <c r="CW22" s="337"/>
      <c r="CX22" s="294"/>
      <c r="CY22" s="337"/>
      <c r="CZ22" s="294"/>
      <c r="DA22" s="337"/>
      <c r="DB22" s="294"/>
      <c r="DC22" s="298"/>
      <c r="DK22" s="294"/>
      <c r="DN22" s="296"/>
      <c r="DO22" s="298"/>
      <c r="DP22" s="294"/>
      <c r="DQ22" s="337"/>
      <c r="DU22" s="337"/>
      <c r="DZ22" s="308"/>
      <c r="EA22" s="287"/>
      <c r="EB22" s="308"/>
      <c r="EC22" s="337"/>
      <c r="ED22" s="294"/>
      <c r="EE22" s="294"/>
      <c r="EF22" s="294"/>
      <c r="EH22" s="294"/>
      <c r="EI22" s="276"/>
      <c r="EJ22" s="276"/>
    </row>
    <row r="23" spans="1:141" ht="15.75">
      <c r="B23" s="308" t="str">
        <f>INPUT!B18</f>
        <v xml:space="preserve">         Total revenues</v>
      </c>
      <c r="C23" s="301">
        <f>SUM(C15:C22)</f>
        <v>1659938</v>
      </c>
      <c r="D23" s="308"/>
      <c r="E23" s="301">
        <f>SUM(E15:E22)</f>
        <v>18860</v>
      </c>
      <c r="F23" s="308"/>
      <c r="G23" s="301">
        <f>SUM(G15:G22)</f>
        <v>277470</v>
      </c>
      <c r="H23" s="308"/>
      <c r="I23" s="301">
        <f>SUM(I15:I22)</f>
        <v>407965</v>
      </c>
      <c r="J23" s="308"/>
      <c r="K23" s="301">
        <f>SUM(K15:K22)</f>
        <v>529769</v>
      </c>
      <c r="L23" s="308"/>
      <c r="M23" s="314" t="str">
        <f>B23</f>
        <v xml:space="preserve">         Total revenues</v>
      </c>
      <c r="N23" s="301">
        <f>SUM(N15:N22)</f>
        <v>4707532</v>
      </c>
      <c r="O23" s="287"/>
      <c r="P23" s="301">
        <f>SUM(P15:P22)</f>
        <v>1627</v>
      </c>
      <c r="Q23" s="287"/>
      <c r="R23" s="301">
        <f>SUM(R15:R22)</f>
        <v>24961</v>
      </c>
      <c r="S23" s="287"/>
      <c r="T23" s="301">
        <f>SUM(T15:T22)</f>
        <v>2169237</v>
      </c>
      <c r="U23" s="287"/>
      <c r="V23" s="301">
        <f>SUM(V15:V22)</f>
        <v>175236</v>
      </c>
      <c r="W23" s="308"/>
      <c r="X23" s="314" t="str">
        <f>B23</f>
        <v xml:space="preserve">         Total revenues</v>
      </c>
      <c r="Y23" s="301">
        <f>SUM(Y15:Y22)</f>
        <v>18981</v>
      </c>
      <c r="Z23" s="308"/>
      <c r="AA23" s="301">
        <f>SUM(AA15:AA22)</f>
        <v>1577208</v>
      </c>
      <c r="AB23" s="308"/>
      <c r="AC23" s="301">
        <f>SUM(AC15:AC22)</f>
        <v>478392</v>
      </c>
      <c r="AD23" s="308"/>
      <c r="AE23" s="301">
        <f>SUM(AE15:AE22)</f>
        <v>906847</v>
      </c>
      <c r="AF23" s="308"/>
      <c r="AG23" s="301">
        <f>SUM(AG15:AG22)</f>
        <v>19</v>
      </c>
      <c r="AH23" s="308"/>
      <c r="AI23" s="314" t="str">
        <f>B23</f>
        <v xml:space="preserve">         Total revenues</v>
      </c>
      <c r="AJ23" s="301">
        <f>SUM(AJ15:AJ22)</f>
        <v>2511187</v>
      </c>
      <c r="AK23" s="308"/>
      <c r="AL23" s="301">
        <f>SUM(AL15:AL22)</f>
        <v>182843</v>
      </c>
      <c r="AM23" s="308"/>
      <c r="AN23" s="301">
        <f>SUM(AN15:AN22)</f>
        <v>233635</v>
      </c>
      <c r="AO23" s="308"/>
      <c r="AP23" s="301">
        <f>SUM(AP15:AP22)</f>
        <v>0</v>
      </c>
      <c r="AQ23" s="308"/>
      <c r="AR23" s="301">
        <f>SUM(AR15:AR22)</f>
        <v>299964</v>
      </c>
      <c r="AS23" s="308"/>
      <c r="AT23" s="314" t="str">
        <f>B23</f>
        <v xml:space="preserve">         Total revenues</v>
      </c>
      <c r="AU23" s="301">
        <f>SUM(AU15:AU22)</f>
        <v>94970</v>
      </c>
      <c r="AV23" s="308"/>
      <c r="AW23" s="301">
        <f>SUM(AW15:AW22)</f>
        <v>4835257</v>
      </c>
      <c r="AX23" s="308"/>
      <c r="AY23" s="301">
        <f>SUM(AY15:AY22)</f>
        <v>43710</v>
      </c>
      <c r="AZ23" s="308"/>
      <c r="BA23" s="301">
        <f>SUM(BA15:BA22)</f>
        <v>33441</v>
      </c>
      <c r="BB23" s="308"/>
      <c r="BC23" s="301">
        <f>SUM(BC15:BC22)</f>
        <v>41954</v>
      </c>
      <c r="BD23" s="308"/>
      <c r="BF23" s="308"/>
      <c r="BG23" s="314" t="str">
        <f>B23</f>
        <v xml:space="preserve">         Total revenues</v>
      </c>
      <c r="BH23" s="301">
        <f>SUM(BH15:BH22)</f>
        <v>94</v>
      </c>
      <c r="BI23" s="314"/>
      <c r="BJ23" s="301">
        <f>SUM(BJ15:BJ22)</f>
        <v>18709</v>
      </c>
      <c r="BK23" s="308"/>
      <c r="BL23" s="301">
        <f>SUM(BL15:BL22)</f>
        <v>9564</v>
      </c>
      <c r="BM23" s="308"/>
      <c r="BN23" s="301">
        <f>SUM(BN15:BN22)</f>
        <v>977</v>
      </c>
      <c r="BO23" s="308"/>
      <c r="BP23" s="301">
        <f>SUM(BP15:BP22)</f>
        <v>2070</v>
      </c>
      <c r="BQ23" s="308"/>
      <c r="BS23" s="308"/>
      <c r="BT23" s="314" t="str">
        <f>B23</f>
        <v xml:space="preserve">         Total revenues</v>
      </c>
      <c r="BU23" s="301">
        <f>SUM(BU15:BU22)</f>
        <v>28855</v>
      </c>
      <c r="BV23" s="314"/>
      <c r="BW23" s="301">
        <f>SUM(BW15:BW22)</f>
        <v>186896</v>
      </c>
      <c r="BX23" s="308"/>
      <c r="BY23" s="301">
        <f>SUM(BY15:BY22)</f>
        <v>16578</v>
      </c>
      <c r="BZ23" s="308"/>
      <c r="CA23" s="301">
        <f>SUM(CA15:CA22)</f>
        <v>27243</v>
      </c>
      <c r="CB23" s="308"/>
      <c r="CC23" s="301">
        <f>SUM(CC15:CC22)</f>
        <v>0</v>
      </c>
      <c r="CD23" s="308"/>
      <c r="CF23" s="308"/>
      <c r="CG23" s="314" t="str">
        <f>M23</f>
        <v xml:space="preserve">         Total revenues</v>
      </c>
      <c r="CH23" s="301">
        <f>SUM(CH15:CH22)</f>
        <v>66678</v>
      </c>
      <c r="CI23" s="314"/>
      <c r="CJ23" s="301">
        <f>SUM(CJ15:CJ22)</f>
        <v>175320</v>
      </c>
      <c r="CK23" s="308"/>
      <c r="CL23" s="301">
        <f>SUM(CL15:CL22)</f>
        <v>211080</v>
      </c>
      <c r="CM23" s="308"/>
      <c r="CN23" s="301">
        <f>SUM(CN15:CN22)</f>
        <v>272779</v>
      </c>
      <c r="CO23" s="308"/>
      <c r="CP23" s="301">
        <f>SUM(CP15:CP22)</f>
        <v>338610</v>
      </c>
      <c r="CQ23" s="308"/>
      <c r="CS23" s="308"/>
      <c r="CT23" s="308" t="str">
        <f>B23</f>
        <v xml:space="preserve">         Total revenues</v>
      </c>
      <c r="CU23" s="301">
        <f>SUM(CU15:CU22)</f>
        <v>249699</v>
      </c>
      <c r="CV23" s="308"/>
      <c r="CW23" s="301">
        <f>SUM(CW15:CW22)</f>
        <v>0</v>
      </c>
      <c r="CX23" s="308"/>
      <c r="CY23" s="301">
        <f>SUM(CY15:CY22)</f>
        <v>100801</v>
      </c>
      <c r="CZ23" s="308"/>
      <c r="DA23" s="301">
        <f>SUM(DA15:DA22)</f>
        <v>0</v>
      </c>
      <c r="DB23" s="308"/>
      <c r="DC23" s="301">
        <f>SUM(DC15:DC22)</f>
        <v>24352</v>
      </c>
      <c r="DK23" s="300"/>
      <c r="DN23" s="308" t="str">
        <f>B23</f>
        <v xml:space="preserve">         Total revenues</v>
      </c>
      <c r="DO23" s="301">
        <f>SUM(DO15:DO22)</f>
        <v>104225</v>
      </c>
      <c r="DP23" s="301"/>
      <c r="DQ23" s="301"/>
      <c r="DU23" s="301">
        <f>SUM(DU15:DU22)</f>
        <v>17652</v>
      </c>
      <c r="DZ23" s="308"/>
      <c r="EA23" s="287"/>
      <c r="EB23" s="308"/>
      <c r="EC23" s="301">
        <f>SUM(EC15:EC22)</f>
        <v>23083185</v>
      </c>
      <c r="ED23" s="300"/>
      <c r="EE23" s="300">
        <f>SUM(EE15:EE22)</f>
        <v>12516683</v>
      </c>
      <c r="EF23" s="294"/>
      <c r="EH23" s="300"/>
      <c r="EJ23" s="276" t="e">
        <f>+INPUT!BF18-'SR IS'!T23-'Govt IS'!F24+INPUT!#REF!+INPUT!EG18</f>
        <v>#REF!</v>
      </c>
      <c r="EK23" s="276" t="e">
        <f>+EJ23-EC23</f>
        <v>#REF!</v>
      </c>
    </row>
    <row r="24" spans="1:141" ht="15.75">
      <c r="B24" s="276"/>
      <c r="C24" s="294"/>
      <c r="D24" s="308"/>
      <c r="E24" s="294"/>
      <c r="F24" s="308"/>
      <c r="G24" s="294"/>
      <c r="H24" s="308"/>
      <c r="I24" s="294"/>
      <c r="J24" s="308"/>
      <c r="K24" s="294"/>
      <c r="L24" s="308"/>
      <c r="M24" s="296"/>
      <c r="N24" s="294"/>
      <c r="O24" s="287"/>
      <c r="P24" s="294"/>
      <c r="Q24" s="287"/>
      <c r="R24" s="294"/>
      <c r="S24" s="287"/>
      <c r="T24" s="294"/>
      <c r="U24" s="287"/>
      <c r="V24" s="294"/>
      <c r="W24" s="308"/>
      <c r="X24" s="296"/>
      <c r="Y24" s="294"/>
      <c r="Z24" s="294"/>
      <c r="AA24" s="294"/>
      <c r="AB24" s="294"/>
      <c r="AC24" s="294"/>
      <c r="AD24" s="294"/>
      <c r="AE24" s="294"/>
      <c r="AF24" s="294"/>
      <c r="AG24" s="294"/>
      <c r="AH24" s="308"/>
      <c r="AI24" s="296"/>
      <c r="AJ24" s="294"/>
      <c r="AK24" s="294"/>
      <c r="AL24" s="294"/>
      <c r="AM24" s="294"/>
      <c r="AN24" s="294"/>
      <c r="AO24" s="294"/>
      <c r="AP24" s="294"/>
      <c r="AQ24" s="294"/>
      <c r="AR24" s="294"/>
      <c r="AS24" s="308"/>
      <c r="AT24" s="296"/>
      <c r="AU24" s="294"/>
      <c r="AV24" s="294"/>
      <c r="AW24" s="294"/>
      <c r="AX24" s="294"/>
      <c r="AY24" s="294"/>
      <c r="AZ24" s="294"/>
      <c r="BA24" s="294"/>
      <c r="BB24" s="294"/>
      <c r="BC24" s="294"/>
      <c r="BD24" s="294"/>
      <c r="BF24" s="308"/>
      <c r="BG24" s="296"/>
      <c r="BH24" s="294"/>
      <c r="BI24" s="296"/>
      <c r="BJ24" s="294"/>
      <c r="BK24" s="294"/>
      <c r="BL24" s="294"/>
      <c r="BM24" s="294"/>
      <c r="BN24" s="294"/>
      <c r="BO24" s="294"/>
      <c r="BP24" s="294"/>
      <c r="BQ24" s="294"/>
      <c r="BS24" s="308"/>
      <c r="BT24" s="296"/>
      <c r="BV24" s="296"/>
      <c r="BX24" s="294"/>
      <c r="BZ24" s="276"/>
      <c r="CB24" s="276"/>
      <c r="CD24" s="276"/>
      <c r="CF24" s="308"/>
      <c r="CG24" s="296"/>
      <c r="CI24" s="296"/>
      <c r="CJ24" s="294"/>
      <c r="CK24" s="276"/>
      <c r="CL24" s="294"/>
      <c r="CM24" s="276"/>
      <c r="CN24" s="294"/>
      <c r="CO24" s="308"/>
      <c r="CP24" s="294"/>
      <c r="CQ24" s="276"/>
      <c r="CS24" s="308"/>
      <c r="CT24" s="296"/>
      <c r="CU24" s="294"/>
      <c r="CV24" s="296"/>
      <c r="CW24" s="294"/>
      <c r="CX24" s="294"/>
      <c r="CY24" s="294"/>
      <c r="CZ24" s="294"/>
      <c r="DA24" s="294"/>
      <c r="DB24" s="294"/>
      <c r="DC24" s="294"/>
      <c r="DN24" s="296"/>
      <c r="DO24" s="294"/>
      <c r="DP24" s="294"/>
      <c r="DZ24" s="308"/>
      <c r="EA24" s="287"/>
      <c r="EB24" s="308"/>
      <c r="EC24" s="294"/>
      <c r="ED24" s="294"/>
      <c r="EE24" s="288" t="s">
        <v>3092</v>
      </c>
      <c r="EF24" s="294"/>
      <c r="EH24" s="294"/>
      <c r="EJ24" s="276"/>
      <c r="EK24" s="276"/>
    </row>
    <row r="25" spans="1:141" ht="15.75">
      <c r="B25" s="308" t="str">
        <f>INPUT!B20</f>
        <v>EXPENDITURES</v>
      </c>
      <c r="C25" s="294"/>
      <c r="D25" s="308"/>
      <c r="E25" s="294"/>
      <c r="F25" s="308"/>
      <c r="G25" s="294"/>
      <c r="H25" s="308"/>
      <c r="I25" s="294"/>
      <c r="J25" s="308"/>
      <c r="K25" s="294"/>
      <c r="L25" s="308"/>
      <c r="M25" s="314" t="str">
        <f t="shared" ref="M25:M32" si="10">B25</f>
        <v>EXPENDITURES</v>
      </c>
      <c r="N25" s="294"/>
      <c r="O25" s="287"/>
      <c r="P25" s="294"/>
      <c r="Q25" s="287"/>
      <c r="R25" s="294"/>
      <c r="S25" s="287"/>
      <c r="T25" s="294"/>
      <c r="U25" s="287"/>
      <c r="V25" s="294"/>
      <c r="W25" s="308"/>
      <c r="X25" s="314" t="str">
        <f t="shared" ref="X25:X32" si="11">B25</f>
        <v>EXPENDITURES</v>
      </c>
      <c r="Y25" s="294"/>
      <c r="Z25" s="294"/>
      <c r="AA25" s="294"/>
      <c r="AB25" s="294"/>
      <c r="AC25" s="294"/>
      <c r="AD25" s="294"/>
      <c r="AE25" s="294"/>
      <c r="AF25" s="294"/>
      <c r="AG25" s="294"/>
      <c r="AH25" s="308"/>
      <c r="AI25" s="314" t="str">
        <f t="shared" ref="AI25:AI32" si="12">B25</f>
        <v>EXPENDITURES</v>
      </c>
      <c r="AJ25" s="294"/>
      <c r="AK25" s="294"/>
      <c r="AL25" s="294"/>
      <c r="AM25" s="294"/>
      <c r="AN25" s="294"/>
      <c r="AO25" s="294"/>
      <c r="AP25" s="294"/>
      <c r="AQ25" s="294"/>
      <c r="AR25" s="294"/>
      <c r="AS25" s="308"/>
      <c r="AT25" s="314" t="str">
        <f t="shared" ref="AT25:AT32" si="13">B25</f>
        <v>EXPENDITURES</v>
      </c>
      <c r="AU25" s="294"/>
      <c r="AV25" s="294"/>
      <c r="AW25" s="294"/>
      <c r="AX25" s="294"/>
      <c r="AY25" s="294"/>
      <c r="AZ25" s="294"/>
      <c r="BA25" s="294"/>
      <c r="BB25" s="294"/>
      <c r="BC25" s="294"/>
      <c r="BD25" s="294"/>
      <c r="BF25" s="308"/>
      <c r="BG25" s="314" t="str">
        <f t="shared" ref="BG25:BG34" si="14">B25</f>
        <v>EXPENDITURES</v>
      </c>
      <c r="BH25" s="294"/>
      <c r="BI25" s="314"/>
      <c r="BJ25" s="294"/>
      <c r="BK25" s="294"/>
      <c r="BL25" s="294"/>
      <c r="BM25" s="294"/>
      <c r="BN25" s="294"/>
      <c r="BO25" s="294"/>
      <c r="BP25" s="294"/>
      <c r="BQ25" s="294"/>
      <c r="BS25" s="308"/>
      <c r="BT25" s="314" t="str">
        <f t="shared" ref="BT25:BT34" si="15">B25</f>
        <v>EXPENDITURES</v>
      </c>
      <c r="BV25" s="314"/>
      <c r="BX25" s="294"/>
      <c r="BZ25" s="276"/>
      <c r="CB25" s="276"/>
      <c r="CD25" s="276"/>
      <c r="CF25" s="308"/>
      <c r="CG25" s="314" t="str">
        <f t="shared" ref="CG25:CG34" si="16">M25</f>
        <v>EXPENDITURES</v>
      </c>
      <c r="CI25" s="314"/>
      <c r="CJ25" s="294"/>
      <c r="CK25" s="276"/>
      <c r="CL25" s="294"/>
      <c r="CM25" s="276"/>
      <c r="CN25" s="294"/>
      <c r="CO25" s="308"/>
      <c r="CP25" s="294"/>
      <c r="CQ25" s="276"/>
      <c r="CS25" s="308"/>
      <c r="CT25" s="314" t="str">
        <f t="shared" ref="CT25:CT34" si="17">B25</f>
        <v>EXPENDITURES</v>
      </c>
      <c r="CU25" s="294"/>
      <c r="CV25" s="314"/>
      <c r="CW25" s="294"/>
      <c r="CX25" s="294"/>
      <c r="CY25" s="294"/>
      <c r="CZ25" s="294"/>
      <c r="DA25" s="294"/>
      <c r="DB25" s="294"/>
      <c r="DC25" s="294"/>
      <c r="DN25" s="314" t="str">
        <f t="shared" ref="DN25:DN34" si="18">B25</f>
        <v>EXPENDITURES</v>
      </c>
      <c r="DO25" s="294"/>
      <c r="DP25" s="294"/>
      <c r="DZ25" s="308"/>
      <c r="EA25" s="287"/>
      <c r="EB25" s="308"/>
      <c r="EC25" s="294"/>
      <c r="ED25" s="294"/>
      <c r="EF25" s="294"/>
      <c r="EH25" s="294"/>
      <c r="EJ25" s="276"/>
      <c r="EK25" s="276"/>
    </row>
    <row r="26" spans="1:141" ht="15.75">
      <c r="B26" s="276" t="str">
        <f>INPUT!B21</f>
        <v xml:space="preserve">     Current:</v>
      </c>
      <c r="C26" s="294"/>
      <c r="D26" s="308"/>
      <c r="E26" s="294"/>
      <c r="F26" s="308"/>
      <c r="G26" s="294"/>
      <c r="H26" s="308"/>
      <c r="I26" s="294"/>
      <c r="J26" s="308"/>
      <c r="K26" s="294"/>
      <c r="L26" s="308"/>
      <c r="M26" s="296" t="str">
        <f t="shared" si="10"/>
        <v xml:space="preserve">     Current:</v>
      </c>
      <c r="N26" s="294"/>
      <c r="O26" s="287"/>
      <c r="P26" s="294"/>
      <c r="Q26" s="287"/>
      <c r="R26" s="294"/>
      <c r="S26" s="287"/>
      <c r="T26" s="294"/>
      <c r="U26" s="287"/>
      <c r="V26" s="294"/>
      <c r="W26" s="308"/>
      <c r="X26" s="296" t="str">
        <f t="shared" si="11"/>
        <v xml:space="preserve">     Current:</v>
      </c>
      <c r="Y26" s="294"/>
      <c r="Z26" s="294"/>
      <c r="AA26" s="294"/>
      <c r="AB26" s="294"/>
      <c r="AC26" s="294"/>
      <c r="AD26" s="294"/>
      <c r="AE26" s="294"/>
      <c r="AF26" s="294"/>
      <c r="AG26" s="294"/>
      <c r="AH26" s="308"/>
      <c r="AI26" s="296" t="str">
        <f t="shared" si="12"/>
        <v xml:space="preserve">     Current:</v>
      </c>
      <c r="AJ26" s="294"/>
      <c r="AK26" s="294"/>
      <c r="AL26" s="294"/>
      <c r="AM26" s="294"/>
      <c r="AN26" s="294"/>
      <c r="AO26" s="294"/>
      <c r="AP26" s="294"/>
      <c r="AQ26" s="294"/>
      <c r="AR26" s="294"/>
      <c r="AS26" s="308"/>
      <c r="AT26" s="296" t="str">
        <f t="shared" si="13"/>
        <v xml:space="preserve">     Current:</v>
      </c>
      <c r="AU26" s="294"/>
      <c r="AV26" s="294"/>
      <c r="AW26" s="294"/>
      <c r="AX26" s="294"/>
      <c r="AY26" s="294"/>
      <c r="AZ26" s="294"/>
      <c r="BA26" s="294"/>
      <c r="BB26" s="294"/>
      <c r="BC26" s="294"/>
      <c r="BD26" s="294"/>
      <c r="BF26" s="308"/>
      <c r="BG26" s="296" t="str">
        <f t="shared" si="14"/>
        <v xml:space="preserve">     Current:</v>
      </c>
      <c r="BH26" s="294"/>
      <c r="BI26" s="296"/>
      <c r="BJ26" s="294"/>
      <c r="BK26" s="294"/>
      <c r="BL26" s="294"/>
      <c r="BM26" s="294"/>
      <c r="BN26" s="294"/>
      <c r="BO26" s="294"/>
      <c r="BP26" s="294"/>
      <c r="BQ26" s="294"/>
      <c r="BS26" s="308"/>
      <c r="BT26" s="296" t="str">
        <f t="shared" si="15"/>
        <v xml:space="preserve">     Current:</v>
      </c>
      <c r="BV26" s="296"/>
      <c r="BX26" s="294"/>
      <c r="BZ26" s="276"/>
      <c r="CB26" s="276"/>
      <c r="CD26" s="276"/>
      <c r="CF26" s="308"/>
      <c r="CG26" s="296" t="str">
        <f t="shared" si="16"/>
        <v xml:space="preserve">     Current:</v>
      </c>
      <c r="CI26" s="296"/>
      <c r="CJ26" s="294"/>
      <c r="CK26" s="276"/>
      <c r="CL26" s="294"/>
      <c r="CM26" s="276"/>
      <c r="CN26" s="294"/>
      <c r="CO26" s="308"/>
      <c r="CP26" s="294"/>
      <c r="CQ26" s="276"/>
      <c r="CS26" s="308"/>
      <c r="CT26" s="296" t="str">
        <f t="shared" si="17"/>
        <v xml:space="preserve">     Current:</v>
      </c>
      <c r="CU26" s="294"/>
      <c r="CV26" s="296"/>
      <c r="CW26" s="294"/>
      <c r="CX26" s="294"/>
      <c r="CY26" s="294"/>
      <c r="CZ26" s="294"/>
      <c r="DA26" s="294"/>
      <c r="DB26" s="294"/>
      <c r="DC26" s="294"/>
      <c r="DN26" s="296" t="str">
        <f t="shared" si="18"/>
        <v xml:space="preserve">     Current:</v>
      </c>
      <c r="DO26" s="294"/>
      <c r="DP26" s="294"/>
      <c r="DZ26" s="308"/>
      <c r="EA26" s="287"/>
      <c r="EB26" s="308"/>
      <c r="EC26" s="294"/>
      <c r="ED26" s="294"/>
      <c r="EF26" s="294"/>
      <c r="EH26" s="294"/>
      <c r="EJ26" s="276"/>
      <c r="EK26" s="276"/>
    </row>
    <row r="27" spans="1:141" ht="15.75">
      <c r="B27" s="276" t="str">
        <f>INPUT!B22</f>
        <v xml:space="preserve">          General government</v>
      </c>
      <c r="C27" s="294">
        <f>+INPUT!E22</f>
        <v>0</v>
      </c>
      <c r="D27" s="308"/>
      <c r="E27" s="294">
        <f>+INPUT!F22</f>
        <v>0</v>
      </c>
      <c r="F27" s="308"/>
      <c r="G27" s="294">
        <f>+INPUT!G22</f>
        <v>0</v>
      </c>
      <c r="H27" s="308"/>
      <c r="I27" s="294">
        <f>+INPUT!H22</f>
        <v>0</v>
      </c>
      <c r="J27" s="308"/>
      <c r="K27" s="294">
        <f>+INPUT!I22</f>
        <v>0</v>
      </c>
      <c r="L27" s="308"/>
      <c r="M27" s="296" t="str">
        <f t="shared" si="10"/>
        <v xml:space="preserve">          General government</v>
      </c>
      <c r="N27" s="294">
        <f>+INPUT!J22</f>
        <v>0</v>
      </c>
      <c r="O27" s="287"/>
      <c r="P27" s="294">
        <f>+INPUT!K22</f>
        <v>0</v>
      </c>
      <c r="Q27" s="287"/>
      <c r="R27" s="294">
        <f>+INPUT!L22</f>
        <v>0</v>
      </c>
      <c r="S27" s="287"/>
      <c r="T27" s="294">
        <f>+INPUT!M22</f>
        <v>1747791</v>
      </c>
      <c r="U27" s="287"/>
      <c r="V27" s="294">
        <f>+INPUT!N22</f>
        <v>0</v>
      </c>
      <c r="W27" s="308"/>
      <c r="X27" s="296" t="str">
        <f t="shared" si="11"/>
        <v xml:space="preserve">          General government</v>
      </c>
      <c r="Y27" s="294">
        <f>+INPUT!O22</f>
        <v>0</v>
      </c>
      <c r="Z27" s="294"/>
      <c r="AA27" s="294">
        <f>+INPUT!Q22</f>
        <v>0</v>
      </c>
      <c r="AB27" s="294"/>
      <c r="AC27" s="294">
        <f>+INPUT!R22</f>
        <v>0</v>
      </c>
      <c r="AD27" s="294"/>
      <c r="AE27" s="294">
        <f>+INPUT!S22</f>
        <v>1069681</v>
      </c>
      <c r="AF27" s="294"/>
      <c r="AG27" s="294">
        <f>+INPUT!T22</f>
        <v>0</v>
      </c>
      <c r="AH27" s="308"/>
      <c r="AI27" s="296" t="str">
        <f t="shared" si="12"/>
        <v xml:space="preserve">          General government</v>
      </c>
      <c r="AJ27" s="294">
        <f>+INPUT!U22</f>
        <v>0</v>
      </c>
      <c r="AK27" s="294"/>
      <c r="AL27" s="294">
        <f>+INPUT!V22</f>
        <v>0</v>
      </c>
      <c r="AM27" s="294"/>
      <c r="AN27" s="294">
        <f>+INPUT!W22</f>
        <v>0</v>
      </c>
      <c r="AO27" s="294"/>
      <c r="AP27" s="294">
        <f>+INPUT!Y22</f>
        <v>0</v>
      </c>
      <c r="AQ27" s="294"/>
      <c r="AR27" s="294">
        <f>+INPUT!Z22</f>
        <v>0</v>
      </c>
      <c r="AS27" s="308"/>
      <c r="AT27" s="296" t="str">
        <f t="shared" si="13"/>
        <v xml:space="preserve">          General government</v>
      </c>
      <c r="AU27" s="294">
        <f>+INPUT!AA22</f>
        <v>108245</v>
      </c>
      <c r="AV27" s="294"/>
      <c r="AW27" s="294">
        <f>+INPUT!AB22</f>
        <v>0</v>
      </c>
      <c r="AX27" s="294"/>
      <c r="AY27" s="294">
        <f>+INPUT!AC22</f>
        <v>0</v>
      </c>
      <c r="AZ27" s="294"/>
      <c r="BA27" s="294">
        <f>+INPUT!AD22</f>
        <v>0</v>
      </c>
      <c r="BB27" s="294"/>
      <c r="BC27" s="294">
        <f>+INPUT!AE22</f>
        <v>0</v>
      </c>
      <c r="BD27" s="294"/>
      <c r="BF27" s="308"/>
      <c r="BG27" s="296" t="str">
        <f t="shared" si="14"/>
        <v xml:space="preserve">          General government</v>
      </c>
      <c r="BH27" s="294">
        <f>+INPUT!AF22</f>
        <v>0</v>
      </c>
      <c r="BI27" s="296"/>
      <c r="BJ27" s="294">
        <f>+INPUT!AG22</f>
        <v>73060</v>
      </c>
      <c r="BK27" s="294"/>
      <c r="BL27" s="294">
        <f>+INPUT!AH22</f>
        <v>103446</v>
      </c>
      <c r="BM27" s="294"/>
      <c r="BN27" s="294">
        <f>+INPUT!AI22</f>
        <v>0</v>
      </c>
      <c r="BO27" s="294"/>
      <c r="BP27" s="294">
        <f>+INPUT!AJ22</f>
        <v>0</v>
      </c>
      <c r="BQ27" s="294"/>
      <c r="BS27" s="308"/>
      <c r="BT27" s="296" t="str">
        <f t="shared" si="15"/>
        <v xml:space="preserve">          General government</v>
      </c>
      <c r="BU27" s="294">
        <f>+INPUT!AK22</f>
        <v>0</v>
      </c>
      <c r="BV27" s="296"/>
      <c r="BW27" s="294">
        <f>+INPUT!AL22</f>
        <v>0</v>
      </c>
      <c r="BX27" s="294"/>
      <c r="BY27" s="294">
        <f>+INPUT!AM22</f>
        <v>0</v>
      </c>
      <c r="BZ27" s="276"/>
      <c r="CA27" s="294">
        <f>+INPUT!AN22</f>
        <v>0</v>
      </c>
      <c r="CB27" s="276"/>
      <c r="CC27" s="294">
        <f>+INPUT!AO22</f>
        <v>0</v>
      </c>
      <c r="CD27" s="276"/>
      <c r="CF27" s="308"/>
      <c r="CG27" s="296" t="str">
        <f t="shared" si="16"/>
        <v xml:space="preserve">          General government</v>
      </c>
      <c r="CH27" s="294">
        <f>+INPUT!AP22</f>
        <v>2020387</v>
      </c>
      <c r="CI27" s="296"/>
      <c r="CJ27" s="294">
        <f>+INPUT!AQ22</f>
        <v>0</v>
      </c>
      <c r="CK27" s="276"/>
      <c r="CL27" s="294">
        <f>+INPUT!AR22</f>
        <v>0</v>
      </c>
      <c r="CM27" s="276"/>
      <c r="CN27" s="294">
        <f>+INPUT!AS22</f>
        <v>0</v>
      </c>
      <c r="CO27" s="308"/>
      <c r="CP27" s="294">
        <f>+INPUT!AT22</f>
        <v>0</v>
      </c>
      <c r="CQ27" s="276"/>
      <c r="CS27" s="308"/>
      <c r="CT27" s="296" t="str">
        <f t="shared" si="17"/>
        <v xml:space="preserve">          General government</v>
      </c>
      <c r="CU27" s="294">
        <f>+INPUT!AU22+1</f>
        <v>222212</v>
      </c>
      <c r="CV27" s="296"/>
      <c r="CW27" s="294">
        <f>+INPUT!AV22</f>
        <v>0</v>
      </c>
      <c r="CX27" s="294"/>
      <c r="CY27" s="294">
        <f>+INPUT!AX22</f>
        <v>0</v>
      </c>
      <c r="CZ27" s="294"/>
      <c r="DA27" s="294">
        <f>+INPUT!AY22</f>
        <v>0</v>
      </c>
      <c r="DB27" s="294"/>
      <c r="DC27" s="294">
        <f>+INPUT!AZ22</f>
        <v>0</v>
      </c>
      <c r="DK27" s="294"/>
      <c r="DN27" s="296" t="str">
        <f t="shared" si="18"/>
        <v xml:space="preserve">          General government</v>
      </c>
      <c r="DO27" s="294">
        <f>+INPUT!BA22</f>
        <v>0</v>
      </c>
      <c r="DP27" s="294"/>
      <c r="DQ27" s="294"/>
      <c r="DU27" s="294">
        <f>+INPUT!BD22</f>
        <v>0</v>
      </c>
      <c r="DZ27" s="308"/>
      <c r="EA27" s="287"/>
      <c r="EB27" s="308"/>
      <c r="EC27" s="294">
        <f t="shared" ref="EC27:EC34" si="19">SUM(C27:EB27)</f>
        <v>5344822</v>
      </c>
      <c r="ED27" s="294"/>
      <c r="EE27" s="294"/>
      <c r="EF27" s="294"/>
      <c r="EH27" s="294"/>
      <c r="EJ27" s="276"/>
      <c r="EK27" s="276"/>
    </row>
    <row r="28" spans="1:141" ht="15.75">
      <c r="B28" s="276" t="str">
        <f>INPUT!B23</f>
        <v xml:space="preserve">          Public safety</v>
      </c>
      <c r="C28" s="294">
        <f>+INPUT!E23</f>
        <v>0</v>
      </c>
      <c r="D28" s="308"/>
      <c r="E28" s="294">
        <f>+INPUT!F23</f>
        <v>0</v>
      </c>
      <c r="F28" s="308"/>
      <c r="G28" s="294">
        <f>+INPUT!G23</f>
        <v>0</v>
      </c>
      <c r="H28" s="308"/>
      <c r="I28" s="294">
        <f>+INPUT!H23</f>
        <v>0</v>
      </c>
      <c r="J28" s="308"/>
      <c r="K28" s="294">
        <f>+INPUT!I23</f>
        <v>445112</v>
      </c>
      <c r="L28" s="308"/>
      <c r="M28" s="296" t="str">
        <f t="shared" si="10"/>
        <v xml:space="preserve">          Public safety</v>
      </c>
      <c r="N28" s="294">
        <f>+INPUT!J23</f>
        <v>0</v>
      </c>
      <c r="O28" s="287"/>
      <c r="P28" s="294">
        <f>+INPUT!K23</f>
        <v>0</v>
      </c>
      <c r="Q28" s="287"/>
      <c r="R28" s="294">
        <f>+INPUT!L23</f>
        <v>0</v>
      </c>
      <c r="S28" s="287"/>
      <c r="T28" s="294">
        <f>+INPUT!M23</f>
        <v>367475</v>
      </c>
      <c r="U28" s="287"/>
      <c r="V28" s="294">
        <f>+INPUT!N23</f>
        <v>101961</v>
      </c>
      <c r="W28" s="308"/>
      <c r="X28" s="296" t="str">
        <f t="shared" si="11"/>
        <v xml:space="preserve">          Public safety</v>
      </c>
      <c r="Y28" s="294">
        <f>+INPUT!O23</f>
        <v>0</v>
      </c>
      <c r="Z28" s="294"/>
      <c r="AA28" s="294">
        <f>+INPUT!Q23</f>
        <v>0</v>
      </c>
      <c r="AB28" s="294"/>
      <c r="AC28" s="294">
        <f>+INPUT!R23</f>
        <v>0</v>
      </c>
      <c r="AD28" s="294"/>
      <c r="AE28" s="294">
        <f>+INPUT!S23</f>
        <v>0</v>
      </c>
      <c r="AF28" s="294"/>
      <c r="AG28" s="294">
        <f>+INPUT!T23</f>
        <v>0</v>
      </c>
      <c r="AH28" s="308"/>
      <c r="AI28" s="296" t="str">
        <f t="shared" si="12"/>
        <v xml:space="preserve">          Public safety</v>
      </c>
      <c r="AJ28" s="294">
        <f>+INPUT!U23</f>
        <v>0</v>
      </c>
      <c r="AK28" s="294"/>
      <c r="AL28" s="294">
        <f>+INPUT!V23</f>
        <v>0</v>
      </c>
      <c r="AM28" s="294"/>
      <c r="AN28" s="294">
        <f>+INPUT!W23</f>
        <v>0</v>
      </c>
      <c r="AO28" s="294"/>
      <c r="AP28" s="294">
        <f>+INPUT!Y23</f>
        <v>302307</v>
      </c>
      <c r="AQ28" s="294"/>
      <c r="AR28" s="294">
        <f>+INPUT!Z23</f>
        <v>296998</v>
      </c>
      <c r="AS28" s="308"/>
      <c r="AT28" s="296" t="str">
        <f t="shared" si="13"/>
        <v xml:space="preserve">          Public safety</v>
      </c>
      <c r="AU28" s="294">
        <f>+INPUT!AA23</f>
        <v>0</v>
      </c>
      <c r="AV28" s="294"/>
      <c r="AW28" s="294">
        <f>+INPUT!AB23</f>
        <v>4400455</v>
      </c>
      <c r="AX28" s="294"/>
      <c r="AY28" s="294">
        <f>+INPUT!AC23</f>
        <v>0</v>
      </c>
      <c r="AZ28" s="294"/>
      <c r="BA28" s="294">
        <f>+INPUT!AD23</f>
        <v>0</v>
      </c>
      <c r="BB28" s="294"/>
      <c r="BC28" s="294">
        <f>+INPUT!AE23</f>
        <v>0</v>
      </c>
      <c r="BD28" s="294"/>
      <c r="BF28" s="308"/>
      <c r="BG28" s="296" t="str">
        <f t="shared" si="14"/>
        <v xml:space="preserve">          Public safety</v>
      </c>
      <c r="BH28" s="294">
        <f>+INPUT!AF23</f>
        <v>0</v>
      </c>
      <c r="BI28" s="296"/>
      <c r="BJ28" s="294">
        <f>+INPUT!AG23</f>
        <v>0</v>
      </c>
      <c r="BK28" s="294"/>
      <c r="BL28" s="294">
        <f>+INPUT!AH23</f>
        <v>0</v>
      </c>
      <c r="BM28" s="294"/>
      <c r="BN28" s="294">
        <f>+INPUT!AI23</f>
        <v>0</v>
      </c>
      <c r="BO28" s="294"/>
      <c r="BP28" s="294">
        <f>+INPUT!AJ23</f>
        <v>0</v>
      </c>
      <c r="BQ28" s="294"/>
      <c r="BS28" s="308"/>
      <c r="BT28" s="296" t="str">
        <f t="shared" si="15"/>
        <v xml:space="preserve">          Public safety</v>
      </c>
      <c r="BU28" s="294">
        <f>+INPUT!AK23</f>
        <v>0</v>
      </c>
      <c r="BV28" s="296"/>
      <c r="BW28" s="294">
        <f>+INPUT!AL23</f>
        <v>0</v>
      </c>
      <c r="BX28" s="294"/>
      <c r="BY28" s="294">
        <f>+INPUT!AM23</f>
        <v>0</v>
      </c>
      <c r="BZ28" s="276"/>
      <c r="CA28" s="294">
        <f>+INPUT!AN23</f>
        <v>0</v>
      </c>
      <c r="CB28" s="276"/>
      <c r="CC28" s="294">
        <f>+INPUT!AO23</f>
        <v>0</v>
      </c>
      <c r="CD28" s="276"/>
      <c r="CF28" s="308"/>
      <c r="CG28" s="296" t="str">
        <f t="shared" si="16"/>
        <v xml:space="preserve">          Public safety</v>
      </c>
      <c r="CH28" s="294">
        <f>+INPUT!AP23</f>
        <v>0</v>
      </c>
      <c r="CI28" s="296"/>
      <c r="CJ28" s="294">
        <f>+INPUT!AQ23</f>
        <v>0</v>
      </c>
      <c r="CK28" s="276"/>
      <c r="CL28" s="294">
        <f>+INPUT!AR23</f>
        <v>0</v>
      </c>
      <c r="CM28" s="276"/>
      <c r="CN28" s="294">
        <f>+INPUT!AS23</f>
        <v>0</v>
      </c>
      <c r="CO28" s="308"/>
      <c r="CP28" s="294">
        <f>+INPUT!AT23</f>
        <v>0</v>
      </c>
      <c r="CQ28" s="276"/>
      <c r="CS28" s="308"/>
      <c r="CT28" s="296" t="str">
        <f t="shared" si="17"/>
        <v xml:space="preserve">          Public safety</v>
      </c>
      <c r="CU28" s="294">
        <f>+INPUT!AU23</f>
        <v>0</v>
      </c>
      <c r="CV28" s="296"/>
      <c r="CW28" s="294">
        <f>+INPUT!AV23</f>
        <v>22045</v>
      </c>
      <c r="CX28" s="294"/>
      <c r="CY28" s="294">
        <f>+INPUT!AX23</f>
        <v>50045</v>
      </c>
      <c r="CZ28" s="294"/>
      <c r="DA28" s="294">
        <f>+INPUT!AY23</f>
        <v>0</v>
      </c>
      <c r="DB28" s="294"/>
      <c r="DC28" s="294">
        <f>+INPUT!AZ23</f>
        <v>0</v>
      </c>
      <c r="DK28" s="294"/>
      <c r="DN28" s="296" t="str">
        <f t="shared" si="18"/>
        <v xml:space="preserve">          Public safety</v>
      </c>
      <c r="DO28" s="294">
        <f>+INPUT!BA23</f>
        <v>87008</v>
      </c>
      <c r="DP28" s="294"/>
      <c r="DQ28" s="294"/>
      <c r="DU28" s="294">
        <f>+INPUT!BD23</f>
        <v>0</v>
      </c>
      <c r="DZ28" s="308"/>
      <c r="EA28" s="287"/>
      <c r="EB28" s="308"/>
      <c r="EC28" s="294">
        <f t="shared" si="19"/>
        <v>6073406</v>
      </c>
      <c r="ED28" s="294"/>
      <c r="EE28" s="294"/>
      <c r="EF28" s="294"/>
      <c r="EH28" s="294"/>
      <c r="EJ28" s="276"/>
      <c r="EK28" s="276"/>
    </row>
    <row r="29" spans="1:141" ht="15.75">
      <c r="B29" s="276" t="str">
        <f>INPUT!B24</f>
        <v xml:space="preserve">          Public works</v>
      </c>
      <c r="C29" s="294">
        <f>+INPUT!E24</f>
        <v>0</v>
      </c>
      <c r="D29" s="308"/>
      <c r="E29" s="294">
        <f>+INPUT!F24</f>
        <v>0</v>
      </c>
      <c r="F29" s="308"/>
      <c r="G29" s="294">
        <f>+INPUT!G24</f>
        <v>0</v>
      </c>
      <c r="H29" s="308"/>
      <c r="I29" s="294">
        <f>+INPUT!H24</f>
        <v>0</v>
      </c>
      <c r="J29" s="308"/>
      <c r="K29" s="294">
        <f>+INPUT!I24</f>
        <v>0</v>
      </c>
      <c r="L29" s="308"/>
      <c r="M29" s="296" t="str">
        <f t="shared" si="10"/>
        <v xml:space="preserve">          Public works</v>
      </c>
      <c r="N29" s="294">
        <f>+INPUT!J24</f>
        <v>2838047</v>
      </c>
      <c r="O29" s="287"/>
      <c r="P29" s="294">
        <f>+INPUT!K24</f>
        <v>0</v>
      </c>
      <c r="Q29" s="287"/>
      <c r="R29" s="294">
        <f>+INPUT!L24</f>
        <v>0</v>
      </c>
      <c r="S29" s="287"/>
      <c r="T29" s="294">
        <f>+INPUT!M24</f>
        <v>0</v>
      </c>
      <c r="U29" s="287"/>
      <c r="V29" s="294">
        <f>+INPUT!N24</f>
        <v>0</v>
      </c>
      <c r="W29" s="308"/>
      <c r="X29" s="296" t="str">
        <f t="shared" si="11"/>
        <v xml:space="preserve">          Public works</v>
      </c>
      <c r="Y29" s="294">
        <f>+INPUT!O24</f>
        <v>0</v>
      </c>
      <c r="Z29" s="294"/>
      <c r="AA29" s="294">
        <f>+INPUT!Q24</f>
        <v>0</v>
      </c>
      <c r="AB29" s="294"/>
      <c r="AC29" s="294">
        <f>+INPUT!R24</f>
        <v>307663</v>
      </c>
      <c r="AD29" s="294"/>
      <c r="AE29" s="294">
        <f>+INPUT!S24</f>
        <v>0</v>
      </c>
      <c r="AF29" s="294"/>
      <c r="AG29" s="294">
        <f>+INPUT!T24</f>
        <v>0</v>
      </c>
      <c r="AH29" s="308"/>
      <c r="AI29" s="296" t="str">
        <f t="shared" si="12"/>
        <v xml:space="preserve">          Public works</v>
      </c>
      <c r="AJ29" s="294">
        <f>+INPUT!U24</f>
        <v>0</v>
      </c>
      <c r="AK29" s="294"/>
      <c r="AL29" s="294">
        <f>+INPUT!V24</f>
        <v>0</v>
      </c>
      <c r="AM29" s="294"/>
      <c r="AN29" s="294">
        <f>+INPUT!W24</f>
        <v>0</v>
      </c>
      <c r="AO29" s="294"/>
      <c r="AP29" s="294">
        <f>+INPUT!Y24</f>
        <v>0</v>
      </c>
      <c r="AQ29" s="294"/>
      <c r="AR29" s="294">
        <f>+INPUT!Z24</f>
        <v>0</v>
      </c>
      <c r="AS29" s="308"/>
      <c r="AT29" s="296" t="str">
        <f t="shared" si="13"/>
        <v xml:space="preserve">          Public works</v>
      </c>
      <c r="AU29" s="294">
        <f>+INPUT!AA24</f>
        <v>0</v>
      </c>
      <c r="AV29" s="294"/>
      <c r="AW29" s="294">
        <f>+INPUT!AB24</f>
        <v>0</v>
      </c>
      <c r="AX29" s="294"/>
      <c r="AY29" s="294">
        <f>+INPUT!AC24</f>
        <v>0</v>
      </c>
      <c r="AZ29" s="294"/>
      <c r="BA29" s="294">
        <f>+INPUT!AD24</f>
        <v>0</v>
      </c>
      <c r="BB29" s="294"/>
      <c r="BC29" s="294">
        <f>+INPUT!AE24</f>
        <v>0</v>
      </c>
      <c r="BD29" s="294"/>
      <c r="BF29" s="308"/>
      <c r="BG29" s="296" t="str">
        <f t="shared" si="14"/>
        <v xml:space="preserve">          Public works</v>
      </c>
      <c r="BH29" s="294">
        <f>+INPUT!AF24</f>
        <v>0</v>
      </c>
      <c r="BI29" s="296"/>
      <c r="BJ29" s="294">
        <f>+INPUT!AG24</f>
        <v>0</v>
      </c>
      <c r="BK29" s="294"/>
      <c r="BL29" s="294">
        <f>+INPUT!AH24</f>
        <v>0</v>
      </c>
      <c r="BM29" s="294"/>
      <c r="BN29" s="294">
        <f>+INPUT!AI24</f>
        <v>0</v>
      </c>
      <c r="BO29" s="294"/>
      <c r="BP29" s="294">
        <f>+INPUT!AJ24</f>
        <v>0</v>
      </c>
      <c r="BQ29" s="294"/>
      <c r="BS29" s="308"/>
      <c r="BT29" s="296" t="str">
        <f t="shared" si="15"/>
        <v xml:space="preserve">          Public works</v>
      </c>
      <c r="BU29" s="294">
        <f>+INPUT!AK24</f>
        <v>23112</v>
      </c>
      <c r="BV29" s="296"/>
      <c r="BW29" s="294">
        <f>+INPUT!AL24</f>
        <v>204151</v>
      </c>
      <c r="BX29" s="294"/>
      <c r="BY29" s="294">
        <f>+INPUT!AM24</f>
        <v>35072</v>
      </c>
      <c r="BZ29" s="276"/>
      <c r="CA29" s="294">
        <f>+INPUT!AN24</f>
        <v>0</v>
      </c>
      <c r="CB29" s="276"/>
      <c r="CC29" s="294">
        <f>+INPUT!AO24</f>
        <v>0</v>
      </c>
      <c r="CD29" s="276"/>
      <c r="CF29" s="308"/>
      <c r="CG29" s="296" t="str">
        <f t="shared" si="16"/>
        <v xml:space="preserve">          Public works</v>
      </c>
      <c r="CH29" s="294">
        <f>+INPUT!AP24</f>
        <v>0</v>
      </c>
      <c r="CI29" s="296"/>
      <c r="CJ29" s="294">
        <f>+INPUT!AQ24</f>
        <v>0</v>
      </c>
      <c r="CK29" s="276"/>
      <c r="CL29" s="294">
        <f>+INPUT!AR24</f>
        <v>0</v>
      </c>
      <c r="CM29" s="276"/>
      <c r="CN29" s="294">
        <f>+INPUT!AS24</f>
        <v>187603</v>
      </c>
      <c r="CO29" s="308"/>
      <c r="CP29" s="294">
        <f>+INPUT!AT24</f>
        <v>0</v>
      </c>
      <c r="CQ29" s="276"/>
      <c r="CS29" s="308"/>
      <c r="CT29" s="296" t="str">
        <f t="shared" si="17"/>
        <v xml:space="preserve">          Public works</v>
      </c>
      <c r="CU29" s="294">
        <f>+INPUT!AU24</f>
        <v>0</v>
      </c>
      <c r="CV29" s="296"/>
      <c r="CW29" s="294">
        <f>+INPUT!AV24</f>
        <v>0</v>
      </c>
      <c r="CX29" s="294"/>
      <c r="CY29" s="294">
        <f>+INPUT!AX24</f>
        <v>0</v>
      </c>
      <c r="CZ29" s="294"/>
      <c r="DA29" s="294">
        <f>+INPUT!AY24</f>
        <v>0</v>
      </c>
      <c r="DB29" s="294"/>
      <c r="DC29" s="294">
        <f>+INPUT!AZ24</f>
        <v>41093</v>
      </c>
      <c r="DK29" s="294"/>
      <c r="DN29" s="296" t="str">
        <f t="shared" si="18"/>
        <v xml:space="preserve">          Public works</v>
      </c>
      <c r="DO29" s="294">
        <f>+INPUT!BA24</f>
        <v>0</v>
      </c>
      <c r="DP29" s="294"/>
      <c r="DQ29" s="294"/>
      <c r="DU29" s="294">
        <f>+INPUT!BD24</f>
        <v>0</v>
      </c>
      <c r="DZ29" s="308"/>
      <c r="EA29" s="287"/>
      <c r="EB29" s="308"/>
      <c r="EC29" s="294">
        <f t="shared" si="19"/>
        <v>3636741</v>
      </c>
      <c r="ED29" s="294"/>
      <c r="EE29" s="294"/>
      <c r="EF29" s="294"/>
      <c r="EH29" s="294"/>
      <c r="EJ29" s="276"/>
      <c r="EK29" s="276"/>
    </row>
    <row r="30" spans="1:141" ht="15.75">
      <c r="B30" s="276" t="str">
        <f>INPUT!B25</f>
        <v xml:space="preserve">          Public health</v>
      </c>
      <c r="C30" s="294">
        <f>+INPUT!E25</f>
        <v>2759193</v>
      </c>
      <c r="D30" s="308"/>
      <c r="E30" s="294">
        <f>+INPUT!F25</f>
        <v>20799</v>
      </c>
      <c r="F30" s="308"/>
      <c r="G30" s="294">
        <f>+INPUT!G25</f>
        <v>190427</v>
      </c>
      <c r="H30" s="308"/>
      <c r="I30" s="294">
        <f>+INPUT!H25</f>
        <v>362149</v>
      </c>
      <c r="J30" s="308"/>
      <c r="K30" s="294">
        <f>+INPUT!I25</f>
        <v>36297</v>
      </c>
      <c r="L30" s="308"/>
      <c r="M30" s="296" t="str">
        <f t="shared" si="10"/>
        <v xml:space="preserve">          Public health</v>
      </c>
      <c r="N30" s="294">
        <f>+INPUT!J25</f>
        <v>0</v>
      </c>
      <c r="O30" s="287"/>
      <c r="P30" s="294">
        <f>+INPUT!K25</f>
        <v>398</v>
      </c>
      <c r="Q30" s="287"/>
      <c r="R30" s="294">
        <f>+INPUT!L25</f>
        <v>11806</v>
      </c>
      <c r="S30" s="287"/>
      <c r="T30" s="294">
        <f>+INPUT!M25</f>
        <v>0</v>
      </c>
      <c r="U30" s="287"/>
      <c r="V30" s="294">
        <f>+INPUT!N25</f>
        <v>0</v>
      </c>
      <c r="W30" s="308"/>
      <c r="X30" s="296" t="str">
        <f t="shared" si="11"/>
        <v xml:space="preserve">          Public health</v>
      </c>
      <c r="Y30" s="294">
        <f>+INPUT!O25</f>
        <v>0</v>
      </c>
      <c r="Z30" s="294"/>
      <c r="AA30" s="294">
        <f>+INPUT!Q25</f>
        <v>0</v>
      </c>
      <c r="AB30" s="294"/>
      <c r="AC30" s="294">
        <f>+INPUT!R25</f>
        <v>0</v>
      </c>
      <c r="AD30" s="294"/>
      <c r="AE30" s="294">
        <f>+INPUT!S25</f>
        <v>0</v>
      </c>
      <c r="AF30" s="294"/>
      <c r="AG30" s="294">
        <f>+INPUT!T25</f>
        <v>0</v>
      </c>
      <c r="AH30" s="308"/>
      <c r="AI30" s="296" t="str">
        <f t="shared" si="12"/>
        <v xml:space="preserve">          Public health</v>
      </c>
      <c r="AJ30" s="294">
        <f>+INPUT!U25</f>
        <v>2607263</v>
      </c>
      <c r="AK30" s="294"/>
      <c r="AL30" s="294">
        <f>+INPUT!V25</f>
        <v>0</v>
      </c>
      <c r="AM30" s="294"/>
      <c r="AN30" s="294">
        <f>+INPUT!W25</f>
        <v>0</v>
      </c>
      <c r="AO30" s="294"/>
      <c r="AP30" s="294">
        <f>+INPUT!Y25</f>
        <v>0</v>
      </c>
      <c r="AQ30" s="294"/>
      <c r="AR30" s="294">
        <f>+INPUT!Z25</f>
        <v>0</v>
      </c>
      <c r="AS30" s="308"/>
      <c r="AT30" s="296" t="str">
        <f t="shared" si="13"/>
        <v xml:space="preserve">          Public health</v>
      </c>
      <c r="AU30" s="294">
        <f>+INPUT!AA25</f>
        <v>0</v>
      </c>
      <c r="AV30" s="294"/>
      <c r="AW30" s="294">
        <f>+INPUT!AB25</f>
        <v>0</v>
      </c>
      <c r="AX30" s="294"/>
      <c r="AY30" s="294">
        <f>+INPUT!AC25</f>
        <v>0</v>
      </c>
      <c r="AZ30" s="294"/>
      <c r="BA30" s="294">
        <f>+INPUT!AD25</f>
        <v>0</v>
      </c>
      <c r="BB30" s="294"/>
      <c r="BC30" s="294">
        <f>+INPUT!AE25</f>
        <v>36352</v>
      </c>
      <c r="BD30" s="294"/>
      <c r="BF30" s="308"/>
      <c r="BG30" s="296" t="str">
        <f t="shared" si="14"/>
        <v xml:space="preserve">          Public health</v>
      </c>
      <c r="BH30" s="294">
        <f>+INPUT!AF25</f>
        <v>0</v>
      </c>
      <c r="BI30" s="296"/>
      <c r="BJ30" s="294">
        <f>+INPUT!AG25</f>
        <v>0</v>
      </c>
      <c r="BK30" s="294"/>
      <c r="BL30" s="294">
        <f>+INPUT!AH25</f>
        <v>0</v>
      </c>
      <c r="BM30" s="294"/>
      <c r="BN30" s="294">
        <f>+INPUT!AI25</f>
        <v>0</v>
      </c>
      <c r="BO30" s="294"/>
      <c r="BP30" s="294">
        <f>+INPUT!AJ25</f>
        <v>0</v>
      </c>
      <c r="BQ30" s="294"/>
      <c r="BS30" s="308"/>
      <c r="BT30" s="296" t="str">
        <f t="shared" si="15"/>
        <v xml:space="preserve">          Public health</v>
      </c>
      <c r="BU30" s="294">
        <f>+INPUT!AK25</f>
        <v>0</v>
      </c>
      <c r="BV30" s="296"/>
      <c r="BW30" s="294">
        <f>+INPUT!AL25</f>
        <v>0</v>
      </c>
      <c r="BX30" s="294"/>
      <c r="BY30" s="294">
        <f>+INPUT!AM25</f>
        <v>0</v>
      </c>
      <c r="BZ30" s="276"/>
      <c r="CA30" s="294">
        <f>+INPUT!AN25</f>
        <v>52642</v>
      </c>
      <c r="CB30" s="276"/>
      <c r="CC30" s="294">
        <f>+INPUT!AO25</f>
        <v>0</v>
      </c>
      <c r="CD30" s="276"/>
      <c r="CF30" s="308"/>
      <c r="CG30" s="296" t="str">
        <f t="shared" si="16"/>
        <v xml:space="preserve">          Public health</v>
      </c>
      <c r="CH30" s="294">
        <f>+INPUT!AP25</f>
        <v>0</v>
      </c>
      <c r="CI30" s="296"/>
      <c r="CJ30" s="294">
        <f>+INPUT!AQ25</f>
        <v>0</v>
      </c>
      <c r="CK30" s="276"/>
      <c r="CL30" s="294">
        <f>+INPUT!AR25</f>
        <v>153943</v>
      </c>
      <c r="CM30" s="276"/>
      <c r="CN30" s="294">
        <f>+INPUT!AS25</f>
        <v>0</v>
      </c>
      <c r="CO30" s="308"/>
      <c r="CP30" s="294">
        <f>+INPUT!AT25</f>
        <v>0</v>
      </c>
      <c r="CQ30" s="276"/>
      <c r="CS30" s="308"/>
      <c r="CT30" s="296" t="str">
        <f t="shared" si="17"/>
        <v xml:space="preserve">          Public health</v>
      </c>
      <c r="CU30" s="294">
        <f>+INPUT!AU25</f>
        <v>0</v>
      </c>
      <c r="CV30" s="296"/>
      <c r="CW30" s="294">
        <f>+INPUT!AV25</f>
        <v>0</v>
      </c>
      <c r="CX30" s="294"/>
      <c r="CY30" s="294">
        <f>+INPUT!AX25</f>
        <v>0</v>
      </c>
      <c r="CZ30" s="294"/>
      <c r="DA30" s="294">
        <f>+INPUT!AY25</f>
        <v>0</v>
      </c>
      <c r="DB30" s="294"/>
      <c r="DC30" s="294">
        <f>+INPUT!AZ25</f>
        <v>0</v>
      </c>
      <c r="DK30" s="294"/>
      <c r="DN30" s="296" t="str">
        <f t="shared" si="18"/>
        <v xml:space="preserve">          Public health</v>
      </c>
      <c r="DO30" s="294">
        <f>+INPUT!BA25</f>
        <v>0</v>
      </c>
      <c r="DP30" s="294"/>
      <c r="DQ30" s="294"/>
      <c r="DU30" s="294">
        <f>+INPUT!BD25</f>
        <v>9770</v>
      </c>
      <c r="DZ30" s="308"/>
      <c r="EA30" s="287"/>
      <c r="EB30" s="308"/>
      <c r="EC30" s="294">
        <f t="shared" si="19"/>
        <v>6241039</v>
      </c>
      <c r="ED30" s="294"/>
      <c r="EE30" s="294"/>
      <c r="EF30" s="294"/>
      <c r="EH30" s="294"/>
      <c r="EJ30" s="276"/>
      <c r="EK30" s="276"/>
    </row>
    <row r="31" spans="1:141" ht="15.75">
      <c r="B31" s="276" t="str">
        <f>INPUT!B26</f>
        <v xml:space="preserve">          Social and economic</v>
      </c>
      <c r="C31" s="294">
        <f>+INPUT!E26</f>
        <v>0</v>
      </c>
      <c r="D31" s="308"/>
      <c r="E31" s="294">
        <f>+INPUT!F26</f>
        <v>0</v>
      </c>
      <c r="F31" s="308"/>
      <c r="G31" s="294">
        <f>+INPUT!G26</f>
        <v>0</v>
      </c>
      <c r="H31" s="308"/>
      <c r="I31" s="294">
        <f>+INPUT!H26</f>
        <v>0</v>
      </c>
      <c r="J31" s="308"/>
      <c r="K31" s="294">
        <f>+INPUT!I26</f>
        <v>0</v>
      </c>
      <c r="L31" s="308"/>
      <c r="M31" s="296" t="str">
        <f t="shared" si="10"/>
        <v xml:space="preserve">          Social and economic</v>
      </c>
      <c r="N31" s="294">
        <f>+INPUT!J26</f>
        <v>0</v>
      </c>
      <c r="O31" s="287"/>
      <c r="P31" s="294">
        <f>+INPUT!K26</f>
        <v>0</v>
      </c>
      <c r="Q31" s="287"/>
      <c r="R31" s="294">
        <f>+INPUT!L26</f>
        <v>0</v>
      </c>
      <c r="S31" s="287"/>
      <c r="T31" s="294">
        <f>+INPUT!M26</f>
        <v>0</v>
      </c>
      <c r="U31" s="287"/>
      <c r="V31" s="294">
        <f>+INPUT!N26</f>
        <v>0</v>
      </c>
      <c r="W31" s="308"/>
      <c r="X31" s="296" t="str">
        <f t="shared" si="11"/>
        <v xml:space="preserve">          Social and economic</v>
      </c>
      <c r="Y31" s="294">
        <f>+INPUT!O26</f>
        <v>0</v>
      </c>
      <c r="Z31" s="294"/>
      <c r="AA31" s="294">
        <f>+INPUT!Q26</f>
        <v>0</v>
      </c>
      <c r="AB31" s="294"/>
      <c r="AC31" s="294">
        <f>+INPUT!R26</f>
        <v>0</v>
      </c>
      <c r="AD31" s="294"/>
      <c r="AE31" s="294">
        <f>+INPUT!S26</f>
        <v>0</v>
      </c>
      <c r="AF31" s="294"/>
      <c r="AG31" s="294">
        <f>+INPUT!T26</f>
        <v>0</v>
      </c>
      <c r="AH31" s="308"/>
      <c r="AI31" s="296" t="str">
        <f t="shared" si="12"/>
        <v xml:space="preserve">          Social and economic</v>
      </c>
      <c r="AJ31" s="294">
        <f>+INPUT!U26</f>
        <v>0</v>
      </c>
      <c r="AK31" s="294"/>
      <c r="AL31" s="294">
        <f>+INPUT!V26</f>
        <v>177468</v>
      </c>
      <c r="AM31" s="294"/>
      <c r="AN31" s="294">
        <f>+INPUT!W26</f>
        <v>226021</v>
      </c>
      <c r="AO31" s="294"/>
      <c r="AP31" s="294">
        <f>+INPUT!Y26</f>
        <v>0</v>
      </c>
      <c r="AQ31" s="294"/>
      <c r="AR31" s="294">
        <f>+INPUT!Z26</f>
        <v>0</v>
      </c>
      <c r="AS31" s="308"/>
      <c r="AT31" s="296" t="str">
        <f t="shared" si="13"/>
        <v xml:space="preserve">          Social and economic</v>
      </c>
      <c r="AU31" s="294">
        <f>+INPUT!AA26</f>
        <v>0</v>
      </c>
      <c r="AV31" s="294"/>
      <c r="AW31" s="294">
        <f>+INPUT!AB26</f>
        <v>0</v>
      </c>
      <c r="AX31" s="294"/>
      <c r="AY31" s="294">
        <f>+INPUT!AC26</f>
        <v>0</v>
      </c>
      <c r="AZ31" s="294"/>
      <c r="BA31" s="294">
        <f>+INPUT!AD26</f>
        <v>0</v>
      </c>
      <c r="BB31" s="294"/>
      <c r="BC31" s="294">
        <f>+INPUT!AE26</f>
        <v>0</v>
      </c>
      <c r="BD31" s="294"/>
      <c r="BF31" s="308"/>
      <c r="BG31" s="296" t="str">
        <f t="shared" si="14"/>
        <v xml:space="preserve">          Social and economic</v>
      </c>
      <c r="BH31" s="294">
        <f>+INPUT!AF26</f>
        <v>0</v>
      </c>
      <c r="BI31" s="296"/>
      <c r="BJ31" s="294">
        <f>+INPUT!AG26</f>
        <v>0</v>
      </c>
      <c r="BK31" s="294"/>
      <c r="BL31" s="294">
        <f>+INPUT!AH26</f>
        <v>0</v>
      </c>
      <c r="BM31" s="294"/>
      <c r="BN31" s="294">
        <f>+INPUT!AI26</f>
        <v>25000</v>
      </c>
      <c r="BO31" s="294"/>
      <c r="BP31" s="294">
        <f>+INPUT!AJ26</f>
        <v>0</v>
      </c>
      <c r="BQ31" s="294"/>
      <c r="BS31" s="308"/>
      <c r="BT31" s="296" t="str">
        <f t="shared" si="15"/>
        <v xml:space="preserve">          Social and economic</v>
      </c>
      <c r="BU31" s="294">
        <f>+INPUT!AK26</f>
        <v>0</v>
      </c>
      <c r="BV31" s="296"/>
      <c r="BW31" s="294">
        <f>+INPUT!AL26</f>
        <v>0</v>
      </c>
      <c r="BX31" s="294"/>
      <c r="BY31" s="294">
        <f>+INPUT!AM26</f>
        <v>0</v>
      </c>
      <c r="BZ31" s="276"/>
      <c r="CA31" s="294">
        <f>+INPUT!AN26</f>
        <v>0</v>
      </c>
      <c r="CB31" s="276"/>
      <c r="CC31" s="294">
        <f>+INPUT!AO26</f>
        <v>0</v>
      </c>
      <c r="CD31" s="276"/>
      <c r="CF31" s="308"/>
      <c r="CG31" s="296" t="str">
        <f t="shared" si="16"/>
        <v xml:space="preserve">          Social and economic</v>
      </c>
      <c r="CH31" s="294">
        <f>+INPUT!AP26</f>
        <v>0</v>
      </c>
      <c r="CI31" s="296"/>
      <c r="CJ31" s="294">
        <f>+INPUT!AQ26</f>
        <v>0</v>
      </c>
      <c r="CK31" s="276"/>
      <c r="CL31" s="294">
        <f>+INPUT!AR26</f>
        <v>0</v>
      </c>
      <c r="CM31" s="276"/>
      <c r="CN31" s="294">
        <f>+INPUT!AS26</f>
        <v>0</v>
      </c>
      <c r="CO31" s="308"/>
      <c r="CP31" s="294">
        <f>+INPUT!AT26</f>
        <v>0</v>
      </c>
      <c r="CQ31" s="276"/>
      <c r="CS31" s="308"/>
      <c r="CT31" s="296" t="str">
        <f t="shared" si="17"/>
        <v xml:space="preserve">          Social and economic</v>
      </c>
      <c r="CU31" s="294">
        <f>+INPUT!AU26</f>
        <v>0</v>
      </c>
      <c r="CV31" s="296"/>
      <c r="CW31" s="294">
        <f>+INPUT!AV26</f>
        <v>0</v>
      </c>
      <c r="CX31" s="294"/>
      <c r="CY31" s="294">
        <f>+INPUT!AX26</f>
        <v>0</v>
      </c>
      <c r="CZ31" s="294"/>
      <c r="DA31" s="294">
        <f>+INPUT!AY26</f>
        <v>0</v>
      </c>
      <c r="DB31" s="294"/>
      <c r="DC31" s="294">
        <f>+INPUT!AZ26</f>
        <v>0</v>
      </c>
      <c r="DK31" s="294"/>
      <c r="DN31" s="296" t="str">
        <f t="shared" si="18"/>
        <v xml:space="preserve">          Social and economic</v>
      </c>
      <c r="DO31" s="294">
        <f>+INPUT!BA26</f>
        <v>0</v>
      </c>
      <c r="DP31" s="294"/>
      <c r="DQ31" s="294"/>
      <c r="DU31" s="294">
        <f>+INPUT!BD26</f>
        <v>0</v>
      </c>
      <c r="DZ31" s="308"/>
      <c r="EA31" s="287"/>
      <c r="EB31" s="308"/>
      <c r="EC31" s="294">
        <f t="shared" si="19"/>
        <v>428489</v>
      </c>
      <c r="ED31" s="294"/>
      <c r="EE31" s="294"/>
      <c r="EF31" s="294"/>
      <c r="EH31" s="294"/>
      <c r="EJ31" s="276"/>
      <c r="EK31" s="276"/>
    </row>
    <row r="32" spans="1:141" ht="15.75">
      <c r="A32" s="276" t="s">
        <v>299</v>
      </c>
      <c r="B32" s="276" t="str">
        <f>INPUT!B27</f>
        <v xml:space="preserve">          Culture and recreation</v>
      </c>
      <c r="C32" s="294">
        <f>+INPUT!E27</f>
        <v>0</v>
      </c>
      <c r="D32" s="308"/>
      <c r="E32" s="294">
        <f>+INPUT!F27</f>
        <v>0</v>
      </c>
      <c r="F32" s="308"/>
      <c r="G32" s="294">
        <f>+INPUT!G27</f>
        <v>0</v>
      </c>
      <c r="H32" s="308"/>
      <c r="I32" s="294">
        <f>+INPUT!H27</f>
        <v>0</v>
      </c>
      <c r="J32" s="308"/>
      <c r="K32" s="294">
        <f>+INPUT!I27</f>
        <v>0</v>
      </c>
      <c r="L32" s="308"/>
      <c r="M32" s="296" t="str">
        <f t="shared" si="10"/>
        <v xml:space="preserve">          Culture and recreation</v>
      </c>
      <c r="N32" s="294">
        <f>+INPUT!J27</f>
        <v>0</v>
      </c>
      <c r="O32" s="287"/>
      <c r="P32" s="294">
        <f>+INPUT!K27</f>
        <v>0</v>
      </c>
      <c r="Q32" s="287"/>
      <c r="R32" s="294">
        <f>+INPUT!L27</f>
        <v>0</v>
      </c>
      <c r="S32" s="287"/>
      <c r="T32" s="294">
        <f>+INPUT!M27</f>
        <v>0</v>
      </c>
      <c r="U32" s="287"/>
      <c r="V32" s="294">
        <f>+INPUT!N27</f>
        <v>0</v>
      </c>
      <c r="W32" s="308"/>
      <c r="X32" s="296" t="str">
        <f t="shared" si="11"/>
        <v xml:space="preserve">          Culture and recreation</v>
      </c>
      <c r="Y32" s="294">
        <f>+INPUT!O27</f>
        <v>44402</v>
      </c>
      <c r="Z32" s="294"/>
      <c r="AA32" s="294">
        <f>+INPUT!Q27</f>
        <v>0</v>
      </c>
      <c r="AB32" s="294"/>
      <c r="AC32" s="294">
        <f>+INPUT!R27</f>
        <v>0</v>
      </c>
      <c r="AD32" s="294"/>
      <c r="AE32" s="294">
        <f>+INPUT!S27</f>
        <v>0</v>
      </c>
      <c r="AF32" s="294"/>
      <c r="AG32" s="294">
        <f>+INPUT!T27</f>
        <v>0</v>
      </c>
      <c r="AH32" s="308"/>
      <c r="AI32" s="296" t="str">
        <f t="shared" si="12"/>
        <v xml:space="preserve">          Culture and recreation</v>
      </c>
      <c r="AJ32" s="294">
        <f>+INPUT!U27</f>
        <v>0</v>
      </c>
      <c r="AK32" s="294"/>
      <c r="AL32" s="294">
        <f>+INPUT!V27</f>
        <v>0</v>
      </c>
      <c r="AM32" s="294"/>
      <c r="AN32" s="294">
        <f>+INPUT!W27</f>
        <v>0</v>
      </c>
      <c r="AO32" s="294"/>
      <c r="AP32" s="294">
        <f>+INPUT!Y27</f>
        <v>0</v>
      </c>
      <c r="AQ32" s="294"/>
      <c r="AR32" s="294">
        <f>+INPUT!Z27</f>
        <v>0</v>
      </c>
      <c r="AS32" s="308"/>
      <c r="AT32" s="296" t="str">
        <f t="shared" si="13"/>
        <v xml:space="preserve">          Culture and recreation</v>
      </c>
      <c r="AU32" s="294">
        <f>+INPUT!AA27</f>
        <v>0</v>
      </c>
      <c r="AV32" s="294"/>
      <c r="AW32" s="294">
        <f>+INPUT!AB27</f>
        <v>0</v>
      </c>
      <c r="AX32" s="294"/>
      <c r="AY32" s="294">
        <f>+INPUT!AC27</f>
        <v>0</v>
      </c>
      <c r="AZ32" s="294"/>
      <c r="BA32" s="294">
        <f>+INPUT!AD27</f>
        <v>25100</v>
      </c>
      <c r="BB32" s="294"/>
      <c r="BC32" s="294">
        <f>+INPUT!AE27</f>
        <v>0</v>
      </c>
      <c r="BD32" s="294"/>
      <c r="BF32" s="308"/>
      <c r="BG32" s="296" t="str">
        <f t="shared" si="14"/>
        <v xml:space="preserve">          Culture and recreation</v>
      </c>
      <c r="BH32" s="294">
        <f>+INPUT!AF27</f>
        <v>0</v>
      </c>
      <c r="BI32" s="296"/>
      <c r="BJ32" s="294">
        <f>+INPUT!AG27</f>
        <v>0</v>
      </c>
      <c r="BK32" s="294"/>
      <c r="BL32" s="294">
        <f>+INPUT!AH27</f>
        <v>0</v>
      </c>
      <c r="BM32" s="294"/>
      <c r="BN32" s="294">
        <f>+INPUT!AI27</f>
        <v>0</v>
      </c>
      <c r="BO32" s="294"/>
      <c r="BP32" s="294">
        <f>+INPUT!AJ27</f>
        <v>0</v>
      </c>
      <c r="BQ32" s="294"/>
      <c r="BS32" s="308"/>
      <c r="BT32" s="296" t="str">
        <f t="shared" si="15"/>
        <v xml:space="preserve">          Culture and recreation</v>
      </c>
      <c r="BU32" s="294">
        <f>+INPUT!AK27</f>
        <v>0</v>
      </c>
      <c r="BV32" s="296"/>
      <c r="BW32" s="294">
        <f>+INPUT!AL27</f>
        <v>0</v>
      </c>
      <c r="BX32" s="294"/>
      <c r="BY32" s="294">
        <f>+INPUT!AM27</f>
        <v>0</v>
      </c>
      <c r="BZ32" s="276"/>
      <c r="CA32" s="294">
        <f>+INPUT!AN27</f>
        <v>0</v>
      </c>
      <c r="CB32" s="276"/>
      <c r="CC32" s="294">
        <f>+INPUT!AO27</f>
        <v>0</v>
      </c>
      <c r="CD32" s="276"/>
      <c r="CF32" s="308"/>
      <c r="CG32" s="296" t="str">
        <f t="shared" si="16"/>
        <v xml:space="preserve">          Culture and recreation</v>
      </c>
      <c r="CH32" s="294">
        <f>+INPUT!AP27</f>
        <v>0</v>
      </c>
      <c r="CI32" s="296"/>
      <c r="CJ32" s="294">
        <f>+INPUT!AQ27</f>
        <v>0</v>
      </c>
      <c r="CK32" s="276"/>
      <c r="CL32" s="294">
        <f>+INPUT!AR27</f>
        <v>0</v>
      </c>
      <c r="CM32" s="276"/>
      <c r="CN32" s="294">
        <f>+INPUT!AS27</f>
        <v>0</v>
      </c>
      <c r="CO32" s="308"/>
      <c r="CP32" s="294">
        <f>+INPUT!AT27</f>
        <v>0</v>
      </c>
      <c r="CQ32" s="276"/>
      <c r="CS32" s="308"/>
      <c r="CT32" s="296" t="str">
        <f t="shared" si="17"/>
        <v xml:space="preserve">          Culture and recreation</v>
      </c>
      <c r="CU32" s="294">
        <f>+INPUT!AU27</f>
        <v>0</v>
      </c>
      <c r="CV32" s="296"/>
      <c r="CW32" s="294">
        <f>+INPUT!AV27</f>
        <v>0</v>
      </c>
      <c r="CX32" s="294"/>
      <c r="CY32" s="294">
        <f>+INPUT!AX27</f>
        <v>0</v>
      </c>
      <c r="CZ32" s="294"/>
      <c r="DA32" s="294">
        <f>+INPUT!AY27</f>
        <v>0</v>
      </c>
      <c r="DB32" s="294"/>
      <c r="DC32" s="294">
        <f>+INPUT!AZ27</f>
        <v>0</v>
      </c>
      <c r="DK32" s="294"/>
      <c r="DN32" s="296" t="str">
        <f t="shared" si="18"/>
        <v xml:space="preserve">          Culture and recreation</v>
      </c>
      <c r="DO32" s="294">
        <f>+INPUT!BA27</f>
        <v>0</v>
      </c>
      <c r="DP32" s="294"/>
      <c r="DQ32" s="294"/>
      <c r="DU32" s="294">
        <f>+INPUT!BD27</f>
        <v>0</v>
      </c>
      <c r="DZ32" s="308"/>
      <c r="EA32" s="287"/>
      <c r="EB32" s="308"/>
      <c r="EC32" s="294">
        <f t="shared" si="19"/>
        <v>69502</v>
      </c>
      <c r="ED32" s="294"/>
      <c r="EE32" s="294"/>
      <c r="EF32" s="294"/>
      <c r="EH32" s="294"/>
      <c r="EJ32" s="276"/>
      <c r="EK32" s="276"/>
    </row>
    <row r="33" spans="1:141" ht="15.75" customHeight="1">
      <c r="A33" s="276"/>
      <c r="B33" s="276" t="str">
        <f>INPUT!B28</f>
        <v xml:space="preserve">     Debt service</v>
      </c>
      <c r="C33" s="294">
        <f>+INPUT!E28</f>
        <v>0</v>
      </c>
      <c r="D33" s="308"/>
      <c r="E33" s="294">
        <f>+INPUT!F28</f>
        <v>0</v>
      </c>
      <c r="F33" s="308"/>
      <c r="G33" s="294">
        <f>+INPUT!G28</f>
        <v>0</v>
      </c>
      <c r="H33" s="308"/>
      <c r="I33" s="294">
        <f>+INPUT!H28</f>
        <v>0</v>
      </c>
      <c r="J33" s="308"/>
      <c r="K33" s="294">
        <f>+INPUT!I28</f>
        <v>54000</v>
      </c>
      <c r="L33" s="308"/>
      <c r="M33" s="296" t="str">
        <f>B33</f>
        <v xml:space="preserve">     Debt service</v>
      </c>
      <c r="N33" s="294">
        <f>+INPUT!J28</f>
        <v>0</v>
      </c>
      <c r="O33" s="287"/>
      <c r="P33" s="294">
        <f>+INPUT!K28</f>
        <v>0</v>
      </c>
      <c r="Q33" s="287"/>
      <c r="R33" s="294">
        <f>+INPUT!L28</f>
        <v>0</v>
      </c>
      <c r="S33" s="287"/>
      <c r="T33" s="294">
        <f>+INPUT!M28</f>
        <v>0</v>
      </c>
      <c r="U33" s="287"/>
      <c r="V33" s="294">
        <f>+INPUT!N28</f>
        <v>0</v>
      </c>
      <c r="W33" s="308"/>
      <c r="X33" s="296" t="str">
        <f>B33</f>
        <v xml:space="preserve">     Debt service</v>
      </c>
      <c r="Y33" s="294">
        <f>+INPUT!O28</f>
        <v>0</v>
      </c>
      <c r="Z33" s="294"/>
      <c r="AA33" s="294">
        <f>+INPUT!Q28</f>
        <v>0</v>
      </c>
      <c r="AB33" s="294"/>
      <c r="AC33" s="294">
        <f>+INPUT!R28</f>
        <v>0</v>
      </c>
      <c r="AD33" s="294"/>
      <c r="AE33" s="294">
        <f>+INPUT!S28</f>
        <v>0</v>
      </c>
      <c r="AF33" s="294"/>
      <c r="AG33" s="294">
        <f>+INPUT!T28</f>
        <v>0</v>
      </c>
      <c r="AH33" s="308"/>
      <c r="AI33" s="296" t="str">
        <f>B33</f>
        <v xml:space="preserve">     Debt service</v>
      </c>
      <c r="AJ33" s="294">
        <f>+INPUT!U28</f>
        <v>0</v>
      </c>
      <c r="AK33" s="294"/>
      <c r="AL33" s="294">
        <f>+INPUT!V28</f>
        <v>0</v>
      </c>
      <c r="AM33" s="294"/>
      <c r="AN33" s="294">
        <f>+INPUT!W28</f>
        <v>0</v>
      </c>
      <c r="AO33" s="294"/>
      <c r="AP33" s="294">
        <f>+INPUT!Y28</f>
        <v>0</v>
      </c>
      <c r="AQ33" s="294"/>
      <c r="AR33" s="294">
        <f>+INPUT!Z28</f>
        <v>0</v>
      </c>
      <c r="AS33" s="308"/>
      <c r="AT33" s="296" t="str">
        <f>B33</f>
        <v xml:space="preserve">     Debt service</v>
      </c>
      <c r="AU33" s="294">
        <f>+INPUT!AA28</f>
        <v>0</v>
      </c>
      <c r="AV33" s="294"/>
      <c r="AW33" s="294">
        <f>+INPUT!AB28</f>
        <v>0</v>
      </c>
      <c r="AX33" s="294"/>
      <c r="AY33" s="294">
        <f>+INPUT!AC28</f>
        <v>0</v>
      </c>
      <c r="AZ33" s="294"/>
      <c r="BA33" s="294">
        <f>+INPUT!AD28</f>
        <v>0</v>
      </c>
      <c r="BB33" s="294"/>
      <c r="BC33" s="294">
        <f>+INPUT!AE28</f>
        <v>0</v>
      </c>
      <c r="BD33" s="294"/>
      <c r="BF33" s="308"/>
      <c r="BG33" s="296" t="str">
        <f t="shared" si="14"/>
        <v xml:space="preserve">     Debt service</v>
      </c>
      <c r="BH33" s="294">
        <f>+INPUT!AF28</f>
        <v>0</v>
      </c>
      <c r="BI33" s="296"/>
      <c r="BJ33" s="294">
        <f>+INPUT!AG28</f>
        <v>0</v>
      </c>
      <c r="BK33" s="294"/>
      <c r="BL33" s="294">
        <f>+INPUT!AH28</f>
        <v>0</v>
      </c>
      <c r="BM33" s="294"/>
      <c r="BN33" s="294">
        <f>+INPUT!AI28</f>
        <v>0</v>
      </c>
      <c r="BO33" s="294"/>
      <c r="BP33" s="294">
        <f>+INPUT!AJ28</f>
        <v>0</v>
      </c>
      <c r="BQ33" s="294"/>
      <c r="BS33" s="308"/>
      <c r="BT33" s="296" t="str">
        <f t="shared" si="15"/>
        <v xml:space="preserve">     Debt service</v>
      </c>
      <c r="BU33" s="294">
        <f>+INPUT!AK28</f>
        <v>0</v>
      </c>
      <c r="BV33" s="296"/>
      <c r="BW33" s="294">
        <f>+INPUT!AL28</f>
        <v>0</v>
      </c>
      <c r="BX33" s="294"/>
      <c r="BY33" s="294">
        <f>+INPUT!AM28</f>
        <v>0</v>
      </c>
      <c r="BZ33" s="276"/>
      <c r="CA33" s="294">
        <f>+INPUT!AN28</f>
        <v>0</v>
      </c>
      <c r="CB33" s="276"/>
      <c r="CC33" s="294">
        <f>+INPUT!AO28</f>
        <v>0</v>
      </c>
      <c r="CD33" s="276"/>
      <c r="CF33" s="308"/>
      <c r="CG33" s="296" t="str">
        <f t="shared" si="16"/>
        <v xml:space="preserve">     Debt service</v>
      </c>
      <c r="CH33" s="294">
        <f>+INPUT!AP28</f>
        <v>0</v>
      </c>
      <c r="CI33" s="296"/>
      <c r="CJ33" s="294">
        <f>+INPUT!AQ28</f>
        <v>0</v>
      </c>
      <c r="CK33" s="276"/>
      <c r="CL33" s="294">
        <f>+INPUT!AR28</f>
        <v>0</v>
      </c>
      <c r="CM33" s="276"/>
      <c r="CN33" s="294">
        <f>+INPUT!AS28</f>
        <v>0</v>
      </c>
      <c r="CO33" s="308"/>
      <c r="CP33" s="294">
        <f>+INPUT!AT28</f>
        <v>0</v>
      </c>
      <c r="CQ33" s="276"/>
      <c r="CS33" s="308"/>
      <c r="CT33" s="296" t="str">
        <f t="shared" si="17"/>
        <v xml:space="preserve">     Debt service</v>
      </c>
      <c r="CU33" s="294">
        <f>+INPUT!AU28</f>
        <v>27345</v>
      </c>
      <c r="CV33" s="296"/>
      <c r="CW33" s="294">
        <f>+INPUT!AV28</f>
        <v>0</v>
      </c>
      <c r="CX33" s="294"/>
      <c r="CY33" s="294">
        <f>+INPUT!AX28</f>
        <v>0</v>
      </c>
      <c r="CZ33" s="294"/>
      <c r="DA33" s="294">
        <f>+INPUT!AY28</f>
        <v>0</v>
      </c>
      <c r="DB33" s="294"/>
      <c r="DC33" s="294">
        <f>+INPUT!AZ28</f>
        <v>0</v>
      </c>
      <c r="DK33" s="294"/>
      <c r="DN33" s="296" t="str">
        <f t="shared" si="18"/>
        <v xml:space="preserve">     Debt service</v>
      </c>
      <c r="DO33" s="294">
        <f>+INPUT!BA28</f>
        <v>0</v>
      </c>
      <c r="DP33" s="294"/>
      <c r="DQ33" s="294"/>
      <c r="DU33" s="294">
        <f>+INPUT!BD28</f>
        <v>0</v>
      </c>
      <c r="DZ33" s="308"/>
      <c r="EA33" s="287"/>
      <c r="EB33" s="308"/>
      <c r="EC33" s="294">
        <f t="shared" si="19"/>
        <v>81345</v>
      </c>
      <c r="ED33" s="294"/>
      <c r="EF33" s="294"/>
      <c r="EH33" s="294"/>
      <c r="EJ33" s="276"/>
      <c r="EK33" s="276"/>
    </row>
    <row r="34" spans="1:141" ht="15.75" customHeight="1">
      <c r="A34" s="276"/>
      <c r="B34" s="276" t="str">
        <f>INPUT!B29</f>
        <v xml:space="preserve">     Capital outlay</v>
      </c>
      <c r="C34" s="294">
        <f>+INPUT!E29</f>
        <v>0</v>
      </c>
      <c r="D34" s="308"/>
      <c r="E34" s="294">
        <f>+INPUT!F29</f>
        <v>0</v>
      </c>
      <c r="F34" s="308"/>
      <c r="G34" s="294">
        <f>+INPUT!G29</f>
        <v>0</v>
      </c>
      <c r="H34" s="308"/>
      <c r="I34" s="294">
        <f>+INPUT!H29</f>
        <v>0</v>
      </c>
      <c r="J34" s="308"/>
      <c r="K34" s="294">
        <f>+INPUT!I29</f>
        <v>0</v>
      </c>
      <c r="L34" s="308"/>
      <c r="M34" s="296" t="str">
        <f>B34</f>
        <v xml:space="preserve">     Capital outlay</v>
      </c>
      <c r="N34" s="294">
        <f>+INPUT!J29</f>
        <v>0</v>
      </c>
      <c r="O34" s="287"/>
      <c r="P34" s="294">
        <f>+INPUT!K29</f>
        <v>0</v>
      </c>
      <c r="Q34" s="287"/>
      <c r="R34" s="294">
        <f>+INPUT!L29</f>
        <v>0</v>
      </c>
      <c r="S34" s="287"/>
      <c r="T34" s="294">
        <f>+INPUT!M29</f>
        <v>0</v>
      </c>
      <c r="U34" s="287"/>
      <c r="V34" s="294">
        <f>+INPUT!N29</f>
        <v>0</v>
      </c>
      <c r="W34" s="308"/>
      <c r="X34" s="296" t="str">
        <f>B34</f>
        <v xml:space="preserve">     Capital outlay</v>
      </c>
      <c r="Y34" s="294">
        <f>+INPUT!O29</f>
        <v>0</v>
      </c>
      <c r="Z34" s="294"/>
      <c r="AA34" s="294">
        <f>+INPUT!Q29</f>
        <v>0</v>
      </c>
      <c r="AB34" s="294"/>
      <c r="AC34" s="294">
        <f>+INPUT!R29</f>
        <v>0</v>
      </c>
      <c r="AD34" s="294"/>
      <c r="AE34" s="294">
        <f>+INPUT!S29</f>
        <v>0</v>
      </c>
      <c r="AF34" s="294"/>
      <c r="AG34" s="294">
        <f>+INPUT!T29</f>
        <v>0</v>
      </c>
      <c r="AH34" s="308"/>
      <c r="AI34" s="296" t="str">
        <f>B34</f>
        <v xml:space="preserve">     Capital outlay</v>
      </c>
      <c r="AJ34" s="294">
        <f>+INPUT!U29</f>
        <v>0</v>
      </c>
      <c r="AK34" s="294"/>
      <c r="AL34" s="294">
        <f>+INPUT!V29</f>
        <v>0</v>
      </c>
      <c r="AM34" s="294"/>
      <c r="AN34" s="294">
        <f>+INPUT!W29</f>
        <v>0</v>
      </c>
      <c r="AO34" s="294"/>
      <c r="AP34" s="294">
        <f>+INPUT!Y29</f>
        <v>0</v>
      </c>
      <c r="AQ34" s="294"/>
      <c r="AR34" s="294">
        <f>+INPUT!Z29</f>
        <v>0</v>
      </c>
      <c r="AS34" s="308"/>
      <c r="AT34" s="296" t="str">
        <f>B34</f>
        <v xml:space="preserve">     Capital outlay</v>
      </c>
      <c r="AU34" s="294">
        <f>+INPUT!AA29</f>
        <v>0</v>
      </c>
      <c r="AV34" s="294"/>
      <c r="AW34" s="294">
        <f>+INPUT!AB29</f>
        <v>0</v>
      </c>
      <c r="AX34" s="294"/>
      <c r="AY34" s="294">
        <f>+INPUT!AC29</f>
        <v>0</v>
      </c>
      <c r="AZ34" s="294"/>
      <c r="BA34" s="294">
        <f>+INPUT!AD29</f>
        <v>0</v>
      </c>
      <c r="BB34" s="294"/>
      <c r="BC34" s="294">
        <f>+INPUT!AE29</f>
        <v>0</v>
      </c>
      <c r="BD34" s="294"/>
      <c r="BF34" s="308"/>
      <c r="BG34" s="296" t="str">
        <f t="shared" si="14"/>
        <v xml:space="preserve">     Capital outlay</v>
      </c>
      <c r="BH34" s="294">
        <f>+INPUT!AF29</f>
        <v>0</v>
      </c>
      <c r="BI34" s="296"/>
      <c r="BJ34" s="294">
        <f>+INPUT!AG29</f>
        <v>0</v>
      </c>
      <c r="BK34" s="294"/>
      <c r="BL34" s="294">
        <f>+INPUT!AH29</f>
        <v>0</v>
      </c>
      <c r="BM34" s="294"/>
      <c r="BN34" s="294">
        <f>+INPUT!AI29</f>
        <v>0</v>
      </c>
      <c r="BO34" s="294"/>
      <c r="BP34" s="294">
        <f>+INPUT!AJ29</f>
        <v>0</v>
      </c>
      <c r="BQ34" s="294"/>
      <c r="BS34" s="308"/>
      <c r="BT34" s="296" t="str">
        <f t="shared" si="15"/>
        <v xml:space="preserve">     Capital outlay</v>
      </c>
      <c r="BU34" s="294">
        <f>+INPUT!AK29</f>
        <v>0</v>
      </c>
      <c r="BV34" s="296"/>
      <c r="BW34" s="294">
        <f>+INPUT!AL29</f>
        <v>0</v>
      </c>
      <c r="BX34" s="294"/>
      <c r="BY34" s="294">
        <f>+INPUT!AM29</f>
        <v>0</v>
      </c>
      <c r="BZ34" s="276"/>
      <c r="CA34" s="294">
        <f>+INPUT!AN29</f>
        <v>0</v>
      </c>
      <c r="CB34" s="276"/>
      <c r="CC34" s="294">
        <f>+INPUT!AO29</f>
        <v>0</v>
      </c>
      <c r="CD34" s="276"/>
      <c r="CF34" s="308"/>
      <c r="CG34" s="296" t="str">
        <f t="shared" si="16"/>
        <v xml:space="preserve">     Capital outlay</v>
      </c>
      <c r="CH34" s="294">
        <f>+INPUT!AP29</f>
        <v>0</v>
      </c>
      <c r="CI34" s="296"/>
      <c r="CJ34" s="294">
        <f>+INPUT!AQ29</f>
        <v>0</v>
      </c>
      <c r="CK34" s="276"/>
      <c r="CL34" s="294">
        <f>+INPUT!AR29</f>
        <v>0</v>
      </c>
      <c r="CM34" s="276"/>
      <c r="CN34" s="294">
        <f>+INPUT!AS29</f>
        <v>0</v>
      </c>
      <c r="CO34" s="308"/>
      <c r="CP34" s="294">
        <f>+INPUT!AT29</f>
        <v>663993</v>
      </c>
      <c r="CQ34" s="276"/>
      <c r="CS34" s="308"/>
      <c r="CT34" s="296" t="str">
        <f t="shared" si="17"/>
        <v xml:space="preserve">     Capital outlay</v>
      </c>
      <c r="CU34" s="294">
        <f>+INPUT!AU29</f>
        <v>157932</v>
      </c>
      <c r="CV34" s="296"/>
      <c r="CW34" s="294">
        <f>+INPUT!AV29</f>
        <v>0</v>
      </c>
      <c r="CX34" s="294"/>
      <c r="CY34" s="294">
        <f>+INPUT!AX29</f>
        <v>0</v>
      </c>
      <c r="CZ34" s="294"/>
      <c r="DA34" s="294">
        <f>+INPUT!AY29</f>
        <v>0</v>
      </c>
      <c r="DB34" s="294"/>
      <c r="DC34" s="294">
        <f>+INPUT!AZ29</f>
        <v>0</v>
      </c>
      <c r="DK34" s="294"/>
      <c r="DN34" s="296" t="str">
        <f t="shared" si="18"/>
        <v xml:space="preserve">     Capital outlay</v>
      </c>
      <c r="DO34" s="294">
        <f>+INPUT!BA29</f>
        <v>0</v>
      </c>
      <c r="DP34" s="294"/>
      <c r="DQ34" s="294"/>
      <c r="DU34" s="294">
        <f>+INPUT!BD29</f>
        <v>0</v>
      </c>
      <c r="DZ34" s="308"/>
      <c r="EA34" s="287"/>
      <c r="EB34" s="308"/>
      <c r="EC34" s="294">
        <f t="shared" si="19"/>
        <v>821925</v>
      </c>
      <c r="ED34" s="294"/>
      <c r="EE34" s="294"/>
      <c r="EF34" s="294"/>
      <c r="EH34" s="294"/>
      <c r="EJ34" s="276"/>
      <c r="EK34" s="276"/>
    </row>
    <row r="35" spans="1:141" ht="15.75">
      <c r="B35" s="276"/>
      <c r="C35" s="337"/>
      <c r="D35" s="308"/>
      <c r="E35" s="337"/>
      <c r="F35" s="308"/>
      <c r="G35" s="337"/>
      <c r="H35" s="308"/>
      <c r="I35" s="337"/>
      <c r="J35" s="308"/>
      <c r="K35" s="337"/>
      <c r="L35" s="308"/>
      <c r="M35" s="296"/>
      <c r="N35" s="337"/>
      <c r="O35" s="287"/>
      <c r="P35" s="337"/>
      <c r="Q35" s="287"/>
      <c r="R35" s="337"/>
      <c r="S35" s="287"/>
      <c r="T35" s="337"/>
      <c r="U35" s="287"/>
      <c r="V35" s="337"/>
      <c r="W35" s="308"/>
      <c r="X35" s="296"/>
      <c r="Y35" s="337"/>
      <c r="Z35" s="294"/>
      <c r="AA35" s="337"/>
      <c r="AB35" s="294"/>
      <c r="AC35" s="337"/>
      <c r="AD35" s="294"/>
      <c r="AE35" s="337"/>
      <c r="AF35" s="294"/>
      <c r="AG35" s="337"/>
      <c r="AH35" s="308"/>
      <c r="AI35" s="296"/>
      <c r="AJ35" s="337"/>
      <c r="AK35" s="294"/>
      <c r="AL35" s="337"/>
      <c r="AM35" s="294"/>
      <c r="AN35" s="337"/>
      <c r="AO35" s="294"/>
      <c r="AP35" s="337"/>
      <c r="AQ35" s="294"/>
      <c r="AR35" s="337"/>
      <c r="AS35" s="308"/>
      <c r="AT35" s="296"/>
      <c r="AU35" s="337"/>
      <c r="AV35" s="294"/>
      <c r="AW35" s="337"/>
      <c r="AX35" s="294"/>
      <c r="AY35" s="337"/>
      <c r="AZ35" s="294"/>
      <c r="BA35" s="337"/>
      <c r="BB35" s="294"/>
      <c r="BC35" s="337"/>
      <c r="BD35" s="294"/>
      <c r="BF35" s="308"/>
      <c r="BG35" s="296"/>
      <c r="BH35" s="337"/>
      <c r="BI35" s="296"/>
      <c r="BJ35" s="337"/>
      <c r="BK35" s="294"/>
      <c r="BL35" s="337"/>
      <c r="BM35" s="294"/>
      <c r="BN35" s="337"/>
      <c r="BO35" s="294"/>
      <c r="BP35" s="337"/>
      <c r="BQ35" s="294"/>
      <c r="BS35" s="308"/>
      <c r="BT35" s="296"/>
      <c r="BU35" s="337"/>
      <c r="BV35" s="296"/>
      <c r="BW35" s="337"/>
      <c r="BX35" s="294"/>
      <c r="BY35" s="337"/>
      <c r="BZ35" s="276"/>
      <c r="CA35" s="337"/>
      <c r="CB35" s="276"/>
      <c r="CC35" s="337"/>
      <c r="CD35" s="276"/>
      <c r="CF35" s="308"/>
      <c r="CG35" s="296"/>
      <c r="CH35" s="337"/>
      <c r="CI35" s="296"/>
      <c r="CJ35" s="337"/>
      <c r="CK35" s="276"/>
      <c r="CL35" s="337"/>
      <c r="CM35" s="276"/>
      <c r="CN35" s="337"/>
      <c r="CO35" s="308"/>
      <c r="CP35" s="337"/>
      <c r="CQ35" s="276"/>
      <c r="CS35" s="308"/>
      <c r="CT35" s="296"/>
      <c r="CU35" s="337"/>
      <c r="CV35" s="296"/>
      <c r="CW35" s="337"/>
      <c r="CX35" s="294"/>
      <c r="CY35" s="337"/>
      <c r="CZ35" s="294"/>
      <c r="DA35" s="337"/>
      <c r="DB35" s="294"/>
      <c r="DC35" s="337"/>
      <c r="DK35" s="294"/>
      <c r="DN35" s="296"/>
      <c r="DO35" s="337"/>
      <c r="DP35" s="1035"/>
      <c r="DQ35" s="337"/>
      <c r="DU35" s="337"/>
      <c r="DZ35" s="308"/>
      <c r="EA35" s="287"/>
      <c r="EB35" s="308"/>
      <c r="EC35" s="337"/>
      <c r="ED35" s="294"/>
      <c r="EE35" s="294"/>
      <c r="EF35" s="294"/>
      <c r="EH35" s="294"/>
      <c r="EJ35" s="276"/>
      <c r="EK35" s="276"/>
    </row>
    <row r="36" spans="1:141" ht="15.75">
      <c r="B36" s="308" t="str">
        <f>INPUT!B41</f>
        <v xml:space="preserve">         Total expenditures</v>
      </c>
      <c r="C36" s="301">
        <f>SUM(C27:C35)</f>
        <v>2759193</v>
      </c>
      <c r="D36" s="308"/>
      <c r="E36" s="301">
        <f>SUM(E27:E35)</f>
        <v>20799</v>
      </c>
      <c r="F36" s="308"/>
      <c r="G36" s="301">
        <f>SUM(G27:G35)</f>
        <v>190427</v>
      </c>
      <c r="H36" s="308"/>
      <c r="I36" s="301">
        <f>SUM(I27:I35)</f>
        <v>362149</v>
      </c>
      <c r="J36" s="308"/>
      <c r="K36" s="301">
        <f>SUM(K27:K35)</f>
        <v>535409</v>
      </c>
      <c r="L36" s="308"/>
      <c r="M36" s="314" t="str">
        <f>B36</f>
        <v xml:space="preserve">         Total expenditures</v>
      </c>
      <c r="N36" s="301">
        <f>SUM(N27:N35)</f>
        <v>2838047</v>
      </c>
      <c r="O36" s="287"/>
      <c r="P36" s="301">
        <f>SUM(P27:P35)</f>
        <v>398</v>
      </c>
      <c r="Q36" s="287"/>
      <c r="R36" s="301">
        <f>SUM(R27:R35)</f>
        <v>11806</v>
      </c>
      <c r="S36" s="287"/>
      <c r="T36" s="301">
        <f>SUM(T27:T35)</f>
        <v>2115266</v>
      </c>
      <c r="U36" s="287"/>
      <c r="V36" s="301">
        <f>SUM(V27:V35)</f>
        <v>101961</v>
      </c>
      <c r="W36" s="308"/>
      <c r="X36" s="314" t="str">
        <f>B36</f>
        <v xml:space="preserve">         Total expenditures</v>
      </c>
      <c r="Y36" s="301">
        <f>SUM(Y27:Y35)</f>
        <v>44402</v>
      </c>
      <c r="Z36" s="308"/>
      <c r="AA36" s="301">
        <f>SUM(AA27:AA35)</f>
        <v>0</v>
      </c>
      <c r="AB36" s="308"/>
      <c r="AC36" s="301">
        <f>SUM(AC27:AC35)</f>
        <v>307663</v>
      </c>
      <c r="AD36" s="308"/>
      <c r="AE36" s="301">
        <f>SUM(AE27:AE35)</f>
        <v>1069681</v>
      </c>
      <c r="AF36" s="308"/>
      <c r="AG36" s="301">
        <f>SUM(AG27:AG35)</f>
        <v>0</v>
      </c>
      <c r="AH36" s="308"/>
      <c r="AI36" s="314" t="str">
        <f>B36</f>
        <v xml:space="preserve">         Total expenditures</v>
      </c>
      <c r="AJ36" s="301">
        <f>SUM(AJ27:AJ35)</f>
        <v>2607263</v>
      </c>
      <c r="AK36" s="308"/>
      <c r="AL36" s="301">
        <f>SUM(AL27:AL35)</f>
        <v>177468</v>
      </c>
      <c r="AM36" s="308"/>
      <c r="AN36" s="301">
        <f>SUM(AN27:AN35)</f>
        <v>226021</v>
      </c>
      <c r="AO36" s="308"/>
      <c r="AP36" s="301">
        <f>SUM(AP27:AP35)</f>
        <v>302307</v>
      </c>
      <c r="AQ36" s="308"/>
      <c r="AR36" s="301">
        <f>SUM(AR27:AR35)</f>
        <v>296998</v>
      </c>
      <c r="AS36" s="308"/>
      <c r="AT36" s="314" t="str">
        <f>B36</f>
        <v xml:space="preserve">         Total expenditures</v>
      </c>
      <c r="AU36" s="301">
        <f>SUM(AU27:AU35)</f>
        <v>108245</v>
      </c>
      <c r="AV36" s="308"/>
      <c r="AW36" s="301">
        <f>SUM(AW27:AW35)</f>
        <v>4400455</v>
      </c>
      <c r="AX36" s="308"/>
      <c r="AY36" s="301">
        <f>SUM(AY27:AY35)</f>
        <v>0</v>
      </c>
      <c r="AZ36" s="308"/>
      <c r="BA36" s="301">
        <f>SUM(BA27:BA35)</f>
        <v>25100</v>
      </c>
      <c r="BB36" s="308"/>
      <c r="BC36" s="301">
        <f>SUM(BC27:BC35)</f>
        <v>36352</v>
      </c>
      <c r="BD36" s="308"/>
      <c r="BF36" s="308"/>
      <c r="BG36" s="314" t="str">
        <f>B36</f>
        <v xml:space="preserve">         Total expenditures</v>
      </c>
      <c r="BH36" s="301">
        <f>SUM(BH27:BH35)</f>
        <v>0</v>
      </c>
      <c r="BI36" s="314"/>
      <c r="BJ36" s="301">
        <f>SUM(BJ27:BJ35)</f>
        <v>73060</v>
      </c>
      <c r="BK36" s="308"/>
      <c r="BL36" s="301">
        <f>SUM(BL27:BL35)</f>
        <v>103446</v>
      </c>
      <c r="BM36" s="308"/>
      <c r="BN36" s="301">
        <f>SUM(BN27:BN35)</f>
        <v>25000</v>
      </c>
      <c r="BO36" s="308"/>
      <c r="BP36" s="301">
        <f>SUM(BP27:BP35)</f>
        <v>0</v>
      </c>
      <c r="BQ36" s="308"/>
      <c r="BS36" s="308"/>
      <c r="BT36" s="314" t="str">
        <f>B36</f>
        <v xml:space="preserve">         Total expenditures</v>
      </c>
      <c r="BU36" s="301">
        <f>SUM(BU27:BU35)</f>
        <v>23112</v>
      </c>
      <c r="BV36" s="314"/>
      <c r="BW36" s="301">
        <f>SUM(BW27:BW35)</f>
        <v>204151</v>
      </c>
      <c r="BX36" s="308"/>
      <c r="BY36" s="301">
        <f>SUM(BY27:BY35)</f>
        <v>35072</v>
      </c>
      <c r="BZ36" s="308"/>
      <c r="CA36" s="301">
        <f>SUM(CA27:CA35)</f>
        <v>52642</v>
      </c>
      <c r="CB36" s="308"/>
      <c r="CC36" s="301">
        <f>SUM(CC27:CC35)</f>
        <v>0</v>
      </c>
      <c r="CD36" s="308"/>
      <c r="CF36" s="308"/>
      <c r="CG36" s="314" t="str">
        <f>M36</f>
        <v xml:space="preserve">         Total expenditures</v>
      </c>
      <c r="CH36" s="301">
        <f>SUM(CH27:CH35)</f>
        <v>2020387</v>
      </c>
      <c r="CI36" s="314"/>
      <c r="CJ36" s="301">
        <f>SUM(CJ27:CJ35)</f>
        <v>0</v>
      </c>
      <c r="CK36" s="308"/>
      <c r="CL36" s="301">
        <f>SUM(CL27:CL35)</f>
        <v>153943</v>
      </c>
      <c r="CM36" s="308"/>
      <c r="CN36" s="301">
        <f>SUM(CN27:CN35)</f>
        <v>187603</v>
      </c>
      <c r="CO36" s="308"/>
      <c r="CP36" s="301">
        <f>SUM(CP27:CP35)</f>
        <v>663993</v>
      </c>
      <c r="CQ36" s="308"/>
      <c r="CS36" s="308"/>
      <c r="CT36" s="314" t="str">
        <f>B36</f>
        <v xml:space="preserve">         Total expenditures</v>
      </c>
      <c r="CU36" s="301">
        <f>SUM(CU27:CU35)</f>
        <v>407489</v>
      </c>
      <c r="CV36" s="314"/>
      <c r="CW36" s="301">
        <f>SUM(CW27:CW35)</f>
        <v>22045</v>
      </c>
      <c r="CX36" s="308"/>
      <c r="CY36" s="301">
        <f>SUM(CY27:CY35)</f>
        <v>50045</v>
      </c>
      <c r="CZ36" s="308"/>
      <c r="DA36" s="301">
        <f>SUM(DA27:DA35)</f>
        <v>0</v>
      </c>
      <c r="DB36" s="308"/>
      <c r="DC36" s="301">
        <f>SUM(DC27:DC35)</f>
        <v>41093</v>
      </c>
      <c r="DK36" s="300"/>
      <c r="DN36" s="314" t="str">
        <f>B36</f>
        <v xml:space="preserve">         Total expenditures</v>
      </c>
      <c r="DO36" s="301">
        <f>SUM(DO27:DO35)</f>
        <v>87008</v>
      </c>
      <c r="DP36" s="301"/>
      <c r="DQ36" s="301"/>
      <c r="DU36" s="301">
        <f>SUM(DU27:DU35)</f>
        <v>9770</v>
      </c>
      <c r="DZ36" s="308"/>
      <c r="EA36" s="287"/>
      <c r="EB36" s="308"/>
      <c r="EC36" s="301">
        <f>+SUM(EC27:EC35)</f>
        <v>22697269</v>
      </c>
      <c r="ED36" s="300"/>
      <c r="EE36" s="294">
        <f>+EC36-9665331</f>
        <v>13031938</v>
      </c>
      <c r="EF36" s="294"/>
      <c r="EH36" s="300"/>
      <c r="EJ36" s="276" t="e">
        <f>+INPUT!BF41-'SR IS'!T36-'Govt IS'!F37+INPUT!#REF!+INPUT!EG41</f>
        <v>#REF!</v>
      </c>
      <c r="EK36" s="276" t="e">
        <f>+EJ36-EC36</f>
        <v>#REF!</v>
      </c>
    </row>
    <row r="37" spans="1:141" ht="15.75">
      <c r="B37" s="308" t="str">
        <f>INPUT!B42</f>
        <v xml:space="preserve">             Excess (deficiency) of revenue</v>
      </c>
      <c r="C37" s="294"/>
      <c r="D37" s="308"/>
      <c r="E37" s="294"/>
      <c r="F37" s="308"/>
      <c r="G37" s="294"/>
      <c r="H37" s="308"/>
      <c r="I37" s="294"/>
      <c r="J37" s="308"/>
      <c r="K37" s="294"/>
      <c r="L37" s="308"/>
      <c r="M37" s="314" t="str">
        <f>B37</f>
        <v xml:space="preserve">             Excess (deficiency) of revenue</v>
      </c>
      <c r="N37" s="294"/>
      <c r="O37" s="287"/>
      <c r="P37" s="294"/>
      <c r="Q37" s="287"/>
      <c r="R37" s="294"/>
      <c r="S37" s="287"/>
      <c r="T37" s="294"/>
      <c r="U37" s="287"/>
      <c r="V37" s="294"/>
      <c r="W37" s="308"/>
      <c r="X37" s="314" t="str">
        <f>B37</f>
        <v xml:space="preserve">             Excess (deficiency) of revenue</v>
      </c>
      <c r="Y37" s="294"/>
      <c r="Z37" s="308"/>
      <c r="AA37" s="294"/>
      <c r="AB37" s="308"/>
      <c r="AC37" s="294"/>
      <c r="AD37" s="308"/>
      <c r="AE37" s="294"/>
      <c r="AF37" s="308"/>
      <c r="AG37" s="294"/>
      <c r="AH37" s="308"/>
      <c r="AI37" s="314" t="str">
        <f>B37</f>
        <v xml:space="preserve">             Excess (deficiency) of revenue</v>
      </c>
      <c r="AJ37" s="294"/>
      <c r="AK37" s="308"/>
      <c r="AL37" s="294"/>
      <c r="AM37" s="308"/>
      <c r="AN37" s="294"/>
      <c r="AO37" s="308"/>
      <c r="AP37" s="294"/>
      <c r="AQ37" s="308"/>
      <c r="AR37" s="294"/>
      <c r="AS37" s="308"/>
      <c r="AT37" s="314" t="str">
        <f>B37</f>
        <v xml:space="preserve">             Excess (deficiency) of revenue</v>
      </c>
      <c r="AU37" s="294"/>
      <c r="AV37" s="308"/>
      <c r="AW37" s="294"/>
      <c r="AX37" s="308"/>
      <c r="AY37" s="294"/>
      <c r="AZ37" s="308"/>
      <c r="BA37" s="294"/>
      <c r="BB37" s="308"/>
      <c r="BC37" s="294"/>
      <c r="BD37" s="308"/>
      <c r="BF37" s="308"/>
      <c r="BG37" s="314" t="str">
        <f>B37</f>
        <v xml:space="preserve">             Excess (deficiency) of revenue</v>
      </c>
      <c r="BH37" s="294"/>
      <c r="BI37" s="314"/>
      <c r="BJ37" s="294"/>
      <c r="BK37" s="308"/>
      <c r="BL37" s="294"/>
      <c r="BM37" s="308"/>
      <c r="BN37" s="294"/>
      <c r="BO37" s="308"/>
      <c r="BP37" s="294"/>
      <c r="BQ37" s="308"/>
      <c r="BS37" s="308"/>
      <c r="BT37" s="314" t="str">
        <f>B37</f>
        <v xml:space="preserve">             Excess (deficiency) of revenue</v>
      </c>
      <c r="BU37" s="294"/>
      <c r="BV37" s="314"/>
      <c r="BW37" s="294"/>
      <c r="BX37" s="308"/>
      <c r="BY37" s="294"/>
      <c r="BZ37" s="308"/>
      <c r="CA37" s="294"/>
      <c r="CB37" s="308"/>
      <c r="CC37" s="294"/>
      <c r="CD37" s="308"/>
      <c r="CF37" s="308"/>
      <c r="CG37" s="314" t="str">
        <f>M37</f>
        <v xml:space="preserve">             Excess (deficiency) of revenue</v>
      </c>
      <c r="CH37" s="294"/>
      <c r="CI37" s="314"/>
      <c r="CJ37" s="294"/>
      <c r="CK37" s="308"/>
      <c r="CL37" s="294"/>
      <c r="CM37" s="308"/>
      <c r="CN37" s="294"/>
      <c r="CO37" s="308"/>
      <c r="CP37" s="294"/>
      <c r="CQ37" s="308"/>
      <c r="CS37" s="308"/>
      <c r="CT37" s="314" t="str">
        <f>B37</f>
        <v xml:space="preserve">             Excess (deficiency) of revenue</v>
      </c>
      <c r="CU37" s="294"/>
      <c r="CV37" s="314"/>
      <c r="CW37" s="294"/>
      <c r="CX37" s="308"/>
      <c r="CY37" s="294"/>
      <c r="CZ37" s="308"/>
      <c r="DA37" s="294"/>
      <c r="DB37" s="308"/>
      <c r="DC37" s="294"/>
      <c r="DK37" s="294"/>
      <c r="DN37" s="314" t="str">
        <f>B37</f>
        <v xml:space="preserve">             Excess (deficiency) of revenue</v>
      </c>
      <c r="DO37" s="294"/>
      <c r="DP37" s="294"/>
      <c r="DQ37" s="294"/>
      <c r="DU37" s="294"/>
      <c r="DZ37" s="308"/>
      <c r="EA37" s="287"/>
      <c r="EB37" s="308"/>
      <c r="EC37" s="294"/>
      <c r="ED37" s="294"/>
      <c r="EE37" s="294"/>
      <c r="EF37" s="294"/>
      <c r="EH37" s="294"/>
      <c r="EI37" s="276"/>
      <c r="EJ37" s="276"/>
    </row>
    <row r="38" spans="1:141" ht="15.75">
      <c r="B38" s="308" t="str">
        <f>INPUT!B43</f>
        <v xml:space="preserve">                 over (under) expenditures</v>
      </c>
      <c r="C38" s="300">
        <f>SUM(C23-C36)</f>
        <v>-1099255</v>
      </c>
      <c r="D38" s="308"/>
      <c r="E38" s="300">
        <f>SUM(E23-E36)</f>
        <v>-1939</v>
      </c>
      <c r="F38" s="308"/>
      <c r="G38" s="300">
        <f>SUM(G23-G36)</f>
        <v>87043</v>
      </c>
      <c r="H38" s="308"/>
      <c r="I38" s="300">
        <f>SUM(I23-I36)</f>
        <v>45816</v>
      </c>
      <c r="J38" s="308"/>
      <c r="K38" s="300">
        <f>SUM(K23-K36)</f>
        <v>-5640</v>
      </c>
      <c r="L38" s="308"/>
      <c r="M38" s="314" t="str">
        <f>B38</f>
        <v xml:space="preserve">                 over (under) expenditures</v>
      </c>
      <c r="N38" s="300">
        <f>SUM(N23-N36)</f>
        <v>1869485</v>
      </c>
      <c r="O38" s="287"/>
      <c r="P38" s="300">
        <f>SUM(P23-P36)</f>
        <v>1229</v>
      </c>
      <c r="Q38" s="287"/>
      <c r="R38" s="300">
        <f>SUM(R23-R36)</f>
        <v>13155</v>
      </c>
      <c r="S38" s="287"/>
      <c r="T38" s="300">
        <f>SUM(T23-T36)</f>
        <v>53971</v>
      </c>
      <c r="U38" s="287"/>
      <c r="V38" s="300">
        <f>SUM(V23-V36)</f>
        <v>73275</v>
      </c>
      <c r="W38" s="308"/>
      <c r="X38" s="314" t="str">
        <f>B38</f>
        <v xml:space="preserve">                 over (under) expenditures</v>
      </c>
      <c r="Y38" s="300">
        <f>SUM(Y23-Y36)</f>
        <v>-25421</v>
      </c>
      <c r="Z38" s="308"/>
      <c r="AA38" s="300">
        <f>SUM(AA23-AA36)</f>
        <v>1577208</v>
      </c>
      <c r="AB38" s="308"/>
      <c r="AC38" s="300">
        <f>SUM(AC23-AC36)</f>
        <v>170729</v>
      </c>
      <c r="AD38" s="308"/>
      <c r="AE38" s="300">
        <f>SUM(AE23-AE36)</f>
        <v>-162834</v>
      </c>
      <c r="AF38" s="308"/>
      <c r="AG38" s="300">
        <f>SUM(AG23-AG36)</f>
        <v>19</v>
      </c>
      <c r="AH38" s="308"/>
      <c r="AI38" s="314" t="str">
        <f>B38</f>
        <v xml:space="preserve">                 over (under) expenditures</v>
      </c>
      <c r="AJ38" s="300">
        <f>SUM(AJ23-AJ36)</f>
        <v>-96076</v>
      </c>
      <c r="AK38" s="308"/>
      <c r="AL38" s="300">
        <f>SUM(AL23-AL36)</f>
        <v>5375</v>
      </c>
      <c r="AM38" s="308"/>
      <c r="AN38" s="300">
        <f>SUM(AN23-AN36)</f>
        <v>7614</v>
      </c>
      <c r="AO38" s="308"/>
      <c r="AP38" s="300">
        <f>SUM(AP23-AP36)</f>
        <v>-302307</v>
      </c>
      <c r="AQ38" s="308"/>
      <c r="AR38" s="300">
        <f>SUM(AR23-AR36)</f>
        <v>2966</v>
      </c>
      <c r="AS38" s="308"/>
      <c r="AT38" s="314" t="str">
        <f>B38</f>
        <v xml:space="preserve">                 over (under) expenditures</v>
      </c>
      <c r="AU38" s="300">
        <f>SUM(AU23-AU36)</f>
        <v>-13275</v>
      </c>
      <c r="AV38" s="308"/>
      <c r="AW38" s="300">
        <f>SUM(AW23-AW36)</f>
        <v>434802</v>
      </c>
      <c r="AX38" s="308"/>
      <c r="AY38" s="300">
        <f>SUM(AY23-AY36)</f>
        <v>43710</v>
      </c>
      <c r="AZ38" s="308"/>
      <c r="BA38" s="300">
        <f>SUM(BA23-BA36)</f>
        <v>8341</v>
      </c>
      <c r="BB38" s="308"/>
      <c r="BC38" s="300">
        <f>SUM(BC23-BC36)</f>
        <v>5602</v>
      </c>
      <c r="BD38" s="308"/>
      <c r="BF38" s="308"/>
      <c r="BG38" s="314" t="str">
        <f>B38</f>
        <v xml:space="preserve">                 over (under) expenditures</v>
      </c>
      <c r="BH38" s="300">
        <f>SUM(BH23-BH36)</f>
        <v>94</v>
      </c>
      <c r="BI38" s="314"/>
      <c r="BJ38" s="300">
        <f>SUM(BJ23-BJ36)</f>
        <v>-54351</v>
      </c>
      <c r="BK38" s="308"/>
      <c r="BL38" s="300">
        <f>SUM(BL23-BL36)</f>
        <v>-93882</v>
      </c>
      <c r="BM38" s="308"/>
      <c r="BN38" s="300">
        <f>SUM(BN23-BN36)</f>
        <v>-24023</v>
      </c>
      <c r="BO38" s="308"/>
      <c r="BP38" s="300">
        <f>SUM(BP23-BP36)</f>
        <v>2070</v>
      </c>
      <c r="BQ38" s="308"/>
      <c r="BS38" s="308"/>
      <c r="BT38" s="314" t="str">
        <f>B38</f>
        <v xml:space="preserve">                 over (under) expenditures</v>
      </c>
      <c r="BU38" s="300">
        <f>SUM(BU23-BU36)</f>
        <v>5743</v>
      </c>
      <c r="BV38" s="314"/>
      <c r="BW38" s="300">
        <f>SUM(BW23-BW36)</f>
        <v>-17255</v>
      </c>
      <c r="BX38" s="308"/>
      <c r="BY38" s="300">
        <f>SUM(BY23-BY36)</f>
        <v>-18494</v>
      </c>
      <c r="BZ38" s="308"/>
      <c r="CA38" s="300">
        <f>SUM(CA23-CA36)</f>
        <v>-25399</v>
      </c>
      <c r="CB38" s="308"/>
      <c r="CC38" s="300">
        <f>SUM(CC23-CC36)</f>
        <v>0</v>
      </c>
      <c r="CD38" s="308"/>
      <c r="CF38" s="308"/>
      <c r="CG38" s="314" t="str">
        <f>M38</f>
        <v xml:space="preserve">                 over (under) expenditures</v>
      </c>
      <c r="CH38" s="300">
        <f>SUM(CH23-CH36)</f>
        <v>-1953709</v>
      </c>
      <c r="CI38" s="314"/>
      <c r="CJ38" s="300">
        <f>SUM(CJ23-CJ36)</f>
        <v>175320</v>
      </c>
      <c r="CK38" s="308"/>
      <c r="CL38" s="300">
        <f>SUM(CL23-CL36)</f>
        <v>57137</v>
      </c>
      <c r="CM38" s="308"/>
      <c r="CN38" s="300">
        <f>SUM(CN23-CN36)</f>
        <v>85176</v>
      </c>
      <c r="CO38" s="308"/>
      <c r="CP38" s="300">
        <f>SUM(CP23-CP36)</f>
        <v>-325383</v>
      </c>
      <c r="CQ38" s="308"/>
      <c r="CS38" s="308"/>
      <c r="CT38" s="314" t="str">
        <f>B38</f>
        <v xml:space="preserve">                 over (under) expenditures</v>
      </c>
      <c r="CU38" s="300">
        <f>SUM(CU23-CU36)</f>
        <v>-157790</v>
      </c>
      <c r="CV38" s="314"/>
      <c r="CW38" s="300">
        <f>SUM(CW23-CW36)</f>
        <v>-22045</v>
      </c>
      <c r="CX38" s="308"/>
      <c r="CY38" s="300">
        <f>SUM(CY23-CY36)</f>
        <v>50756</v>
      </c>
      <c r="CZ38" s="308"/>
      <c r="DA38" s="300">
        <f>SUM(DA23-DA36)</f>
        <v>0</v>
      </c>
      <c r="DB38" s="308"/>
      <c r="DC38" s="300">
        <f>SUM(DC23-DC36)</f>
        <v>-16741</v>
      </c>
      <c r="DK38" s="300"/>
      <c r="DN38" s="314" t="str">
        <f>B38</f>
        <v xml:space="preserve">                 over (under) expenditures</v>
      </c>
      <c r="DO38" s="300">
        <f>SUM(DO23-DO36)</f>
        <v>17217</v>
      </c>
      <c r="DP38" s="300"/>
      <c r="DQ38" s="300"/>
      <c r="DU38" s="300">
        <f>SUM(DU23-DU36)</f>
        <v>7882</v>
      </c>
      <c r="DZ38" s="308"/>
      <c r="EA38" s="287"/>
      <c r="EB38" s="308"/>
      <c r="EC38" s="300">
        <f>SUM(EC23-EC36)</f>
        <v>385916</v>
      </c>
      <c r="ED38" s="300"/>
      <c r="EE38" s="300"/>
      <c r="EF38" s="294"/>
      <c r="EH38" s="300"/>
      <c r="EI38" s="276"/>
      <c r="EJ38" s="276"/>
    </row>
    <row r="39" spans="1:141" ht="15.75">
      <c r="B39" s="276"/>
      <c r="C39" s="294"/>
      <c r="D39" s="308"/>
      <c r="E39" s="294"/>
      <c r="F39" s="308"/>
      <c r="G39" s="294"/>
      <c r="H39" s="308"/>
      <c r="I39" s="294"/>
      <c r="J39" s="308"/>
      <c r="K39" s="294"/>
      <c r="L39" s="308"/>
      <c r="M39" s="296"/>
      <c r="N39" s="294"/>
      <c r="O39" s="287"/>
      <c r="P39" s="294"/>
      <c r="Q39" s="287"/>
      <c r="R39" s="294"/>
      <c r="S39" s="287"/>
      <c r="T39" s="294"/>
      <c r="U39" s="287"/>
      <c r="V39" s="294"/>
      <c r="W39" s="308"/>
      <c r="X39" s="296"/>
      <c r="Y39" s="294"/>
      <c r="Z39" s="294"/>
      <c r="AA39" s="294"/>
      <c r="AB39" s="294"/>
      <c r="AC39" s="294"/>
      <c r="AD39" s="294"/>
      <c r="AE39" s="294"/>
      <c r="AF39" s="294"/>
      <c r="AG39" s="294"/>
      <c r="AH39" s="308"/>
      <c r="AI39" s="296"/>
      <c r="AJ39" s="294"/>
      <c r="AK39" s="294"/>
      <c r="AL39" s="294"/>
      <c r="AM39" s="294"/>
      <c r="AN39" s="294"/>
      <c r="AO39" s="294"/>
      <c r="AP39" s="294"/>
      <c r="AQ39" s="294"/>
      <c r="AR39" s="294"/>
      <c r="AS39" s="308"/>
      <c r="AT39" s="296"/>
      <c r="AU39" s="294"/>
      <c r="AV39" s="294"/>
      <c r="AW39" s="294"/>
      <c r="AX39" s="294"/>
      <c r="AY39" s="294"/>
      <c r="AZ39" s="294"/>
      <c r="BA39" s="294"/>
      <c r="BB39" s="294"/>
      <c r="BC39" s="294"/>
      <c r="BD39" s="294"/>
      <c r="BF39" s="308"/>
      <c r="BG39" s="296"/>
      <c r="BH39" s="294"/>
      <c r="BI39" s="296"/>
      <c r="BJ39" s="294"/>
      <c r="BK39" s="294"/>
      <c r="BL39" s="294"/>
      <c r="BM39" s="294"/>
      <c r="BN39" s="294"/>
      <c r="BO39" s="294"/>
      <c r="BP39" s="294"/>
      <c r="BQ39" s="294"/>
      <c r="BS39" s="308"/>
      <c r="BT39" s="296"/>
      <c r="BV39" s="296"/>
      <c r="BX39" s="294"/>
      <c r="BZ39" s="276"/>
      <c r="CB39" s="276"/>
      <c r="CD39" s="276"/>
      <c r="CF39" s="308"/>
      <c r="CG39" s="296"/>
      <c r="CI39" s="296"/>
      <c r="CJ39" s="294"/>
      <c r="CK39" s="276"/>
      <c r="CL39" s="294"/>
      <c r="CM39" s="276"/>
      <c r="CN39" s="294"/>
      <c r="CO39" s="308"/>
      <c r="CP39" s="294"/>
      <c r="CQ39" s="276"/>
      <c r="CS39" s="308"/>
      <c r="CT39" s="296"/>
      <c r="CU39" s="294"/>
      <c r="CV39" s="296"/>
      <c r="CW39" s="294"/>
      <c r="CX39" s="294"/>
      <c r="CY39" s="294"/>
      <c r="CZ39" s="294"/>
      <c r="DA39" s="294"/>
      <c r="DB39" s="294"/>
      <c r="DC39" s="294"/>
      <c r="DN39" s="296"/>
      <c r="DO39" s="294"/>
      <c r="DP39" s="294"/>
      <c r="DZ39" s="308"/>
      <c r="EA39" s="287"/>
      <c r="EB39" s="308"/>
      <c r="EC39" s="294"/>
      <c r="ED39" s="294"/>
      <c r="EF39" s="294"/>
      <c r="EH39" s="294"/>
      <c r="EI39" s="276"/>
      <c r="EJ39" s="276"/>
    </row>
    <row r="40" spans="1:141" ht="15.75">
      <c r="B40" s="308" t="str">
        <f>INPUT!B45</f>
        <v>OTHER FINANCING SOURCES (USES)</v>
      </c>
      <c r="C40" s="294"/>
      <c r="D40" s="308"/>
      <c r="E40" s="294"/>
      <c r="F40" s="308"/>
      <c r="G40" s="294"/>
      <c r="H40" s="308"/>
      <c r="I40" s="294"/>
      <c r="J40" s="308"/>
      <c r="K40" s="294"/>
      <c r="L40" s="308"/>
      <c r="M40" s="314" t="str">
        <f t="shared" ref="M40:M50" si="20">B40</f>
        <v>OTHER FINANCING SOURCES (USES)</v>
      </c>
      <c r="N40" s="294"/>
      <c r="O40" s="287"/>
      <c r="P40" s="294"/>
      <c r="Q40" s="287"/>
      <c r="R40" s="294"/>
      <c r="S40" s="287"/>
      <c r="T40" s="294"/>
      <c r="U40" s="287"/>
      <c r="V40" s="294"/>
      <c r="W40" s="308"/>
      <c r="X40" s="314" t="str">
        <f t="shared" ref="X40:X50" si="21">B40</f>
        <v>OTHER FINANCING SOURCES (USES)</v>
      </c>
      <c r="Y40" s="294"/>
      <c r="Z40" s="294"/>
      <c r="AA40" s="294"/>
      <c r="AB40" s="294"/>
      <c r="AC40" s="294"/>
      <c r="AD40" s="294"/>
      <c r="AE40" s="294"/>
      <c r="AF40" s="294"/>
      <c r="AG40" s="294"/>
      <c r="AH40" s="308"/>
      <c r="AI40" s="314" t="str">
        <f t="shared" ref="AI40:AI50" si="22">B40</f>
        <v>OTHER FINANCING SOURCES (USES)</v>
      </c>
      <c r="AJ40" s="294"/>
      <c r="AK40" s="294"/>
      <c r="AL40" s="294"/>
      <c r="AM40" s="294"/>
      <c r="AN40" s="294"/>
      <c r="AO40" s="294"/>
      <c r="AP40" s="294"/>
      <c r="AQ40" s="294"/>
      <c r="AR40" s="294"/>
      <c r="AS40" s="308"/>
      <c r="AT40" s="314" t="str">
        <f t="shared" ref="AT40:AT50" si="23">B40</f>
        <v>OTHER FINANCING SOURCES (USES)</v>
      </c>
      <c r="AU40" s="294"/>
      <c r="AV40" s="294"/>
      <c r="AW40" s="294"/>
      <c r="AX40" s="294"/>
      <c r="AY40" s="294"/>
      <c r="AZ40" s="294"/>
      <c r="BA40" s="294"/>
      <c r="BB40" s="294"/>
      <c r="BC40" s="294"/>
      <c r="BD40" s="294"/>
      <c r="BF40" s="308"/>
      <c r="BG40" s="314" t="str">
        <f t="shared" ref="BG40:BG47" si="24">B40</f>
        <v>OTHER FINANCING SOURCES (USES)</v>
      </c>
      <c r="BH40" s="294"/>
      <c r="BI40" s="314"/>
      <c r="BJ40" s="294"/>
      <c r="BK40" s="294"/>
      <c r="BL40" s="294"/>
      <c r="BM40" s="294"/>
      <c r="BN40" s="294"/>
      <c r="BO40" s="294"/>
      <c r="BP40" s="294"/>
      <c r="BQ40" s="294"/>
      <c r="BS40" s="308"/>
      <c r="BT40" s="314" t="str">
        <f t="shared" ref="BT40:BT47" si="25">B40</f>
        <v>OTHER FINANCING SOURCES (USES)</v>
      </c>
      <c r="BV40" s="314"/>
      <c r="BX40" s="294"/>
      <c r="BZ40" s="276"/>
      <c r="CB40" s="276"/>
      <c r="CD40" s="276"/>
      <c r="CF40" s="308"/>
      <c r="CG40" s="314" t="str">
        <f t="shared" ref="CG40:CG47" si="26">M40</f>
        <v>OTHER FINANCING SOURCES (USES)</v>
      </c>
      <c r="CI40" s="314"/>
      <c r="CJ40" s="294"/>
      <c r="CK40" s="276"/>
      <c r="CL40" s="294"/>
      <c r="CM40" s="276"/>
      <c r="CN40" s="294"/>
      <c r="CO40" s="308"/>
      <c r="CP40" s="294"/>
      <c r="CQ40" s="276"/>
      <c r="CS40" s="308"/>
      <c r="CT40" s="314" t="str">
        <f t="shared" ref="CT40:CT47" si="27">B40</f>
        <v>OTHER FINANCING SOURCES (USES)</v>
      </c>
      <c r="CU40" s="294"/>
      <c r="CV40" s="314"/>
      <c r="CW40" s="294"/>
      <c r="CX40" s="294"/>
      <c r="CY40" s="294"/>
      <c r="CZ40" s="294"/>
      <c r="DA40" s="294"/>
      <c r="DB40" s="294"/>
      <c r="DC40" s="294"/>
      <c r="DN40" s="314" t="str">
        <f t="shared" ref="DN40:DN47" si="28">B40</f>
        <v>OTHER FINANCING SOURCES (USES)</v>
      </c>
      <c r="DO40" s="294"/>
      <c r="DP40" s="294"/>
      <c r="DZ40" s="308"/>
      <c r="EA40" s="287"/>
      <c r="EB40" s="308"/>
      <c r="EC40" s="294"/>
      <c r="ED40" s="294"/>
      <c r="EF40" s="294"/>
      <c r="EH40" s="294"/>
      <c r="EI40" s="276"/>
      <c r="EJ40" s="276"/>
    </row>
    <row r="41" spans="1:141" ht="15.75">
      <c r="B41" s="276" t="str">
        <f>INPUT!B46</f>
        <v xml:space="preserve">     Transfers in</v>
      </c>
      <c r="C41" s="294">
        <f>+INPUT!E46</f>
        <v>727830</v>
      </c>
      <c r="D41" s="308"/>
      <c r="E41" s="294">
        <f>+INPUT!F46</f>
        <v>0</v>
      </c>
      <c r="F41" s="308"/>
      <c r="G41" s="294">
        <f>+INPUT!G46</f>
        <v>0</v>
      </c>
      <c r="H41" s="308"/>
      <c r="I41" s="294">
        <f>+INPUT!H46</f>
        <v>14446</v>
      </c>
      <c r="J41" s="308"/>
      <c r="K41" s="294">
        <f>+INPUT!I46</f>
        <v>5640</v>
      </c>
      <c r="L41" s="308"/>
      <c r="M41" s="296" t="str">
        <f t="shared" si="20"/>
        <v xml:space="preserve">     Transfers in</v>
      </c>
      <c r="N41" s="294">
        <f>+INPUT!J46</f>
        <v>212430</v>
      </c>
      <c r="O41" s="287"/>
      <c r="P41" s="294">
        <f>+INPUT!K46</f>
        <v>0</v>
      </c>
      <c r="Q41" s="287"/>
      <c r="R41" s="294">
        <f>+INPUT!L46</f>
        <v>0</v>
      </c>
      <c r="S41" s="287"/>
      <c r="T41" s="294">
        <f>+INPUT!M46</f>
        <v>82358</v>
      </c>
      <c r="U41" s="287"/>
      <c r="V41" s="294">
        <f>+INPUT!N46</f>
        <v>0</v>
      </c>
      <c r="W41" s="308"/>
      <c r="X41" s="296" t="str">
        <f t="shared" si="21"/>
        <v xml:space="preserve">     Transfers in</v>
      </c>
      <c r="Y41" s="294">
        <f>+INPUT!O46</f>
        <v>40000</v>
      </c>
      <c r="Z41" s="294"/>
      <c r="AA41" s="294">
        <f>+INPUT!Q46</f>
        <v>0</v>
      </c>
      <c r="AB41" s="294"/>
      <c r="AC41" s="294">
        <f>+INPUT!R46</f>
        <v>12220</v>
      </c>
      <c r="AD41" s="294"/>
      <c r="AE41" s="294">
        <f>+INPUT!S46</f>
        <v>43710</v>
      </c>
      <c r="AF41" s="294"/>
      <c r="AG41" s="294">
        <f>+INPUT!T46</f>
        <v>0</v>
      </c>
      <c r="AH41" s="308"/>
      <c r="AI41" s="296" t="str">
        <f t="shared" si="22"/>
        <v xml:space="preserve">     Transfers in</v>
      </c>
      <c r="AJ41" s="294">
        <f>+INPUT!U46</f>
        <v>434813</v>
      </c>
      <c r="AK41" s="294"/>
      <c r="AL41" s="294">
        <f>+INPUT!V46</f>
        <v>0</v>
      </c>
      <c r="AM41" s="294"/>
      <c r="AN41" s="294">
        <f>+INPUT!W46</f>
        <v>5640</v>
      </c>
      <c r="AO41" s="294"/>
      <c r="AP41" s="294">
        <f>INPUT!Y46</f>
        <v>342640</v>
      </c>
      <c r="AQ41" s="294"/>
      <c r="AR41" s="294">
        <f>INPUT!Z46</f>
        <v>50000</v>
      </c>
      <c r="AS41" s="308"/>
      <c r="AT41" s="296" t="str">
        <f t="shared" si="23"/>
        <v xml:space="preserve">     Transfers in</v>
      </c>
      <c r="AU41" s="294">
        <f>+INPUT!AA46</f>
        <v>5640</v>
      </c>
      <c r="AV41" s="294"/>
      <c r="AW41" s="294">
        <f>+INPUT!AB46</f>
        <v>202447</v>
      </c>
      <c r="AX41" s="294"/>
      <c r="AY41" s="294">
        <f>+INPUT!AC46</f>
        <v>0</v>
      </c>
      <c r="AZ41" s="294"/>
      <c r="BA41" s="294">
        <f>+INPUT!AD46</f>
        <v>0</v>
      </c>
      <c r="BB41" s="294"/>
      <c r="BC41" s="294">
        <f>+INPUT!AE46</f>
        <v>0</v>
      </c>
      <c r="BD41" s="294"/>
      <c r="BF41" s="308"/>
      <c r="BG41" s="296" t="str">
        <f t="shared" si="24"/>
        <v xml:space="preserve">     Transfers in</v>
      </c>
      <c r="BH41" s="294">
        <f>+INPUT!AF46</f>
        <v>0</v>
      </c>
      <c r="BI41" s="296"/>
      <c r="BJ41" s="294">
        <f>+INPUT!AG46</f>
        <v>0</v>
      </c>
      <c r="BK41" s="294"/>
      <c r="BL41" s="294">
        <f>+INPUT!AH46</f>
        <v>0</v>
      </c>
      <c r="BM41" s="294"/>
      <c r="BN41" s="294">
        <f>+INPUT!AI46</f>
        <v>0</v>
      </c>
      <c r="BO41" s="294"/>
      <c r="BP41" s="294">
        <f>+INPUT!AJ46</f>
        <v>0</v>
      </c>
      <c r="BQ41" s="294"/>
      <c r="BS41" s="308"/>
      <c r="BT41" s="296" t="str">
        <f t="shared" si="25"/>
        <v xml:space="preserve">     Transfers in</v>
      </c>
      <c r="BU41" s="294">
        <f>+INPUT!AK46</f>
        <v>0</v>
      </c>
      <c r="BV41" s="296"/>
      <c r="BW41" s="294">
        <f>+INPUT!AL46</f>
        <v>0</v>
      </c>
      <c r="BX41" s="294"/>
      <c r="BY41" s="294">
        <f>+INPUT!AM46</f>
        <v>0</v>
      </c>
      <c r="BZ41" s="276"/>
      <c r="CA41" s="294">
        <f>+INPUT!AN46</f>
        <v>0</v>
      </c>
      <c r="CB41" s="276"/>
      <c r="CC41" s="294">
        <f>+INPUT!AO46</f>
        <v>0</v>
      </c>
      <c r="CD41" s="276"/>
      <c r="CF41" s="308"/>
      <c r="CG41" s="296" t="str">
        <f t="shared" si="26"/>
        <v xml:space="preserve">     Transfers in</v>
      </c>
      <c r="CH41" s="294">
        <f>+INPUT!AP46</f>
        <v>0</v>
      </c>
      <c r="CI41" s="296"/>
      <c r="CJ41" s="294">
        <f>+INPUT!AQ46</f>
        <v>0</v>
      </c>
      <c r="CK41" s="276"/>
      <c r="CL41" s="294">
        <f>+INPUT!AR46</f>
        <v>0</v>
      </c>
      <c r="CM41" s="276"/>
      <c r="CN41" s="294">
        <f>+INPUT!AS46</f>
        <v>0</v>
      </c>
      <c r="CO41" s="308"/>
      <c r="CP41" s="294">
        <f>+INPUT!AT46</f>
        <v>12743</v>
      </c>
      <c r="CQ41" s="276"/>
      <c r="CS41" s="308"/>
      <c r="CT41" s="296" t="str">
        <f t="shared" si="27"/>
        <v xml:space="preserve">     Transfers in</v>
      </c>
      <c r="CU41" s="294">
        <f>+INPUT!AU46</f>
        <v>5640</v>
      </c>
      <c r="CV41" s="296"/>
      <c r="CW41" s="294">
        <f>+INPUT!AV46</f>
        <v>0</v>
      </c>
      <c r="CX41" s="294"/>
      <c r="CY41" s="294">
        <f>+INPUT!AX46</f>
        <v>0</v>
      </c>
      <c r="CZ41" s="294"/>
      <c r="DA41" s="294">
        <f>+INPUT!AY46</f>
        <v>0</v>
      </c>
      <c r="DB41" s="294"/>
      <c r="DC41" s="294">
        <f>+INPUT!AZ46</f>
        <v>0</v>
      </c>
      <c r="DK41" s="294"/>
      <c r="DN41" s="296" t="str">
        <f t="shared" si="28"/>
        <v xml:space="preserve">     Transfers in</v>
      </c>
      <c r="DO41" s="294">
        <f>+INPUT!BA46</f>
        <v>0</v>
      </c>
      <c r="DP41" s="294"/>
      <c r="DQ41" s="294"/>
      <c r="DU41" s="294">
        <f>+INPUT!BD46</f>
        <v>0</v>
      </c>
      <c r="DZ41" s="308"/>
      <c r="EA41" s="287"/>
      <c r="EB41" s="308"/>
      <c r="EC41" s="294">
        <f t="shared" ref="EC41:EC47" si="29">SUM(C41:EB41)</f>
        <v>2198197</v>
      </c>
      <c r="ED41" s="294"/>
      <c r="EE41" s="294"/>
      <c r="EF41" s="294"/>
      <c r="EH41" s="294"/>
      <c r="EI41" s="276"/>
      <c r="EJ41" s="276"/>
    </row>
    <row r="42" spans="1:141" ht="15.75">
      <c r="B42" s="276" t="str">
        <f>INPUT!B47</f>
        <v xml:space="preserve">     Transfers out</v>
      </c>
      <c r="C42" s="294">
        <f>+INPUT!E47</f>
        <v>-60816</v>
      </c>
      <c r="D42" s="308"/>
      <c r="E42" s="294">
        <f>+INPUT!F47</f>
        <v>0</v>
      </c>
      <c r="F42" s="308"/>
      <c r="G42" s="294">
        <f>+INPUT!G47</f>
        <v>0</v>
      </c>
      <c r="H42" s="308"/>
      <c r="I42" s="294">
        <f>+INPUT!H47</f>
        <v>-8025</v>
      </c>
      <c r="J42" s="308"/>
      <c r="K42" s="294">
        <f>+INPUT!I47</f>
        <v>0</v>
      </c>
      <c r="L42" s="308"/>
      <c r="M42" s="296" t="str">
        <f t="shared" si="20"/>
        <v xml:space="preserve">     Transfers out</v>
      </c>
      <c r="N42" s="294">
        <f>+INPUT!J47</f>
        <v>-1955024</v>
      </c>
      <c r="O42" s="287"/>
      <c r="P42" s="294">
        <f>+INPUT!K47</f>
        <v>0</v>
      </c>
      <c r="Q42" s="287"/>
      <c r="R42" s="294">
        <f>+INPUT!L47</f>
        <v>0</v>
      </c>
      <c r="S42" s="287"/>
      <c r="T42" s="294">
        <f>+INPUT!M47</f>
        <v>-5000</v>
      </c>
      <c r="U42" s="287"/>
      <c r="V42" s="294">
        <f>+INPUT!N47</f>
        <v>-75000</v>
      </c>
      <c r="W42" s="308"/>
      <c r="X42" s="296" t="str">
        <f t="shared" si="21"/>
        <v xml:space="preserve">     Transfers out</v>
      </c>
      <c r="Y42" s="294">
        <f>+INPUT!O47</f>
        <v>-3000</v>
      </c>
      <c r="Z42" s="294"/>
      <c r="AA42" s="294">
        <f>+INPUT!Q47</f>
        <v>-1589670</v>
      </c>
      <c r="AB42" s="294"/>
      <c r="AC42" s="294">
        <f>+INPUT!R47</f>
        <v>-150000</v>
      </c>
      <c r="AD42" s="294"/>
      <c r="AE42" s="294">
        <f>+INPUT!S47</f>
        <v>-15614</v>
      </c>
      <c r="AF42" s="294"/>
      <c r="AG42" s="294">
        <f>+INPUT!T47</f>
        <v>0</v>
      </c>
      <c r="AH42" s="308"/>
      <c r="AI42" s="296" t="str">
        <f t="shared" si="22"/>
        <v xml:space="preserve">     Transfers out</v>
      </c>
      <c r="AJ42" s="294">
        <f>+INPUT!U47</f>
        <v>-352040</v>
      </c>
      <c r="AK42" s="294"/>
      <c r="AL42" s="294">
        <f>+INPUT!V47</f>
        <v>-3000</v>
      </c>
      <c r="AM42" s="294"/>
      <c r="AN42" s="294">
        <f>+INPUT!W47</f>
        <v>-12000</v>
      </c>
      <c r="AO42" s="294"/>
      <c r="AP42" s="294">
        <f>INPUT!Y47</f>
        <v>0</v>
      </c>
      <c r="AQ42" s="294"/>
      <c r="AR42" s="294">
        <f>INPUT!Z47</f>
        <v>0</v>
      </c>
      <c r="AS42" s="308"/>
      <c r="AT42" s="296" t="str">
        <f t="shared" si="23"/>
        <v xml:space="preserve">     Transfers out</v>
      </c>
      <c r="AU42" s="294">
        <f>+INPUT!AA47</f>
        <v>-31000</v>
      </c>
      <c r="AV42" s="294"/>
      <c r="AW42" s="294">
        <f>+INPUT!AB47</f>
        <v>-323579</v>
      </c>
      <c r="AX42" s="294"/>
      <c r="AY42" s="294">
        <f>+INPUT!AC47</f>
        <v>0</v>
      </c>
      <c r="AZ42" s="294"/>
      <c r="BA42" s="294">
        <f>+INPUT!AD47</f>
        <v>0</v>
      </c>
      <c r="BB42" s="294"/>
      <c r="BC42" s="294">
        <f>+INPUT!AE47</f>
        <v>-360</v>
      </c>
      <c r="BD42" s="294"/>
      <c r="BF42" s="308"/>
      <c r="BG42" s="296" t="str">
        <f t="shared" si="24"/>
        <v xml:space="preserve">     Transfers out</v>
      </c>
      <c r="BH42" s="294">
        <f>+INPUT!AF47</f>
        <v>0</v>
      </c>
      <c r="BI42" s="296"/>
      <c r="BJ42" s="294">
        <f>+INPUT!AG47</f>
        <v>0</v>
      </c>
      <c r="BK42" s="294"/>
      <c r="BL42" s="294">
        <f>+INPUT!AH47</f>
        <v>0</v>
      </c>
      <c r="BM42" s="294"/>
      <c r="BN42" s="294">
        <f>+INPUT!AI47</f>
        <v>0</v>
      </c>
      <c r="BO42" s="294"/>
      <c r="BP42" s="294">
        <f>+INPUT!AJ47</f>
        <v>0</v>
      </c>
      <c r="BQ42" s="294"/>
      <c r="BS42" s="308"/>
      <c r="BT42" s="296" t="str">
        <f t="shared" si="25"/>
        <v xml:space="preserve">     Transfers out</v>
      </c>
      <c r="BU42" s="294">
        <f>+INPUT!AK47</f>
        <v>0</v>
      </c>
      <c r="BV42" s="296"/>
      <c r="BW42" s="294">
        <f>+INPUT!AL47</f>
        <v>0</v>
      </c>
      <c r="BX42" s="294"/>
      <c r="BY42" s="294">
        <f>+INPUT!AM47</f>
        <v>0</v>
      </c>
      <c r="BZ42" s="276"/>
      <c r="CA42" s="294">
        <f>+INPUT!AN47</f>
        <v>0</v>
      </c>
      <c r="CB42" s="276"/>
      <c r="CC42" s="294">
        <f>+INPUT!AO47</f>
        <v>0</v>
      </c>
      <c r="CD42" s="276"/>
      <c r="CF42" s="308"/>
      <c r="CG42" s="296" t="str">
        <f t="shared" si="26"/>
        <v xml:space="preserve">     Transfers out</v>
      </c>
      <c r="CH42" s="294">
        <f>+INPUT!AP47</f>
        <v>0</v>
      </c>
      <c r="CI42" s="296"/>
      <c r="CJ42" s="294">
        <f>+INPUT!AQ47</f>
        <v>0</v>
      </c>
      <c r="CK42" s="276"/>
      <c r="CL42" s="294">
        <f>+INPUT!AR47</f>
        <v>0</v>
      </c>
      <c r="CM42" s="276"/>
      <c r="CN42" s="294">
        <f>+INPUT!AS47</f>
        <v>-56000</v>
      </c>
      <c r="CO42" s="308"/>
      <c r="CP42" s="294">
        <f>+INPUT!AT47</f>
        <v>0</v>
      </c>
      <c r="CQ42" s="276"/>
      <c r="CS42" s="308"/>
      <c r="CT42" s="296" t="str">
        <f t="shared" si="27"/>
        <v xml:space="preserve">     Transfers out</v>
      </c>
      <c r="CU42" s="294">
        <f>+INPUT!AU47</f>
        <v>0</v>
      </c>
      <c r="CV42" s="296"/>
      <c r="CW42" s="294">
        <f>+INPUT!AV47</f>
        <v>0</v>
      </c>
      <c r="CX42" s="294"/>
      <c r="CY42" s="294">
        <f>+INPUT!AX47</f>
        <v>0</v>
      </c>
      <c r="CZ42" s="294"/>
      <c r="DA42" s="294">
        <f>+INPUT!AY47</f>
        <v>0</v>
      </c>
      <c r="DB42" s="294"/>
      <c r="DC42" s="294">
        <f>+INPUT!AZ47</f>
        <v>0</v>
      </c>
      <c r="DK42" s="294"/>
      <c r="DN42" s="296" t="str">
        <f t="shared" si="28"/>
        <v xml:space="preserve">     Transfers out</v>
      </c>
      <c r="DO42" s="294">
        <f>+INPUT!BA47</f>
        <v>0</v>
      </c>
      <c r="DP42" s="294"/>
      <c r="DQ42" s="294"/>
      <c r="DU42" s="294">
        <f>+INPUT!BD47</f>
        <v>0</v>
      </c>
      <c r="DZ42" s="308"/>
      <c r="EA42" s="287"/>
      <c r="EB42" s="308"/>
      <c r="EC42" s="294">
        <f t="shared" si="29"/>
        <v>-4640128</v>
      </c>
      <c r="ED42" s="294"/>
      <c r="EE42" s="294"/>
      <c r="EF42" s="294"/>
      <c r="EH42" s="294"/>
      <c r="EI42" s="276"/>
      <c r="EJ42" s="276"/>
    </row>
    <row r="43" spans="1:141" ht="15.75">
      <c r="B43" s="276" t="str">
        <f>INPUT!B48</f>
        <v xml:space="preserve">     Financing of leases</v>
      </c>
      <c r="C43" s="294">
        <f>+INPUT!E48</f>
        <v>0</v>
      </c>
      <c r="D43" s="308"/>
      <c r="E43" s="294">
        <f>+INPUT!F48</f>
        <v>0</v>
      </c>
      <c r="F43" s="308"/>
      <c r="G43" s="294">
        <f>+INPUT!G48</f>
        <v>0</v>
      </c>
      <c r="H43" s="308"/>
      <c r="I43" s="294">
        <f>+INPUT!H48</f>
        <v>0</v>
      </c>
      <c r="J43" s="308"/>
      <c r="K43" s="294">
        <f>+INPUT!I48</f>
        <v>0</v>
      </c>
      <c r="L43" s="308"/>
      <c r="M43" s="296" t="str">
        <f t="shared" ref="M43:M44" si="30">B43</f>
        <v xml:space="preserve">     Financing of leases</v>
      </c>
      <c r="N43" s="294">
        <f>+INPUT!J48</f>
        <v>0</v>
      </c>
      <c r="O43" s="287"/>
      <c r="P43" s="294">
        <f>+INPUT!K48</f>
        <v>0</v>
      </c>
      <c r="Q43" s="287"/>
      <c r="R43" s="294">
        <f>+INPUT!L48</f>
        <v>0</v>
      </c>
      <c r="S43" s="287"/>
      <c r="T43" s="294">
        <f>+INPUT!M48</f>
        <v>0</v>
      </c>
      <c r="U43" s="287"/>
      <c r="V43" s="294">
        <f>+INPUT!N48</f>
        <v>0</v>
      </c>
      <c r="W43" s="308"/>
      <c r="X43" s="296" t="str">
        <f t="shared" ref="X43:X44" si="31">B43</f>
        <v xml:space="preserve">     Financing of leases</v>
      </c>
      <c r="Y43" s="294">
        <f>+INPUT!O48</f>
        <v>0</v>
      </c>
      <c r="Z43" s="294"/>
      <c r="AA43" s="294">
        <f>+INPUT!Q48</f>
        <v>0</v>
      </c>
      <c r="AB43" s="294"/>
      <c r="AC43" s="294">
        <f>+INPUT!R48</f>
        <v>0</v>
      </c>
      <c r="AD43" s="294"/>
      <c r="AE43" s="294">
        <f>+INPUT!S48</f>
        <v>0</v>
      </c>
      <c r="AF43" s="294"/>
      <c r="AG43" s="294">
        <f>+INPUT!T48</f>
        <v>0</v>
      </c>
      <c r="AH43" s="308"/>
      <c r="AI43" s="296" t="str">
        <f t="shared" ref="AI43:AI44" si="32">B43</f>
        <v xml:space="preserve">     Financing of leases</v>
      </c>
      <c r="AJ43" s="294">
        <f>+INPUT!U48</f>
        <v>0</v>
      </c>
      <c r="AK43" s="294"/>
      <c r="AL43" s="294">
        <f>+INPUT!V48</f>
        <v>0</v>
      </c>
      <c r="AM43" s="294"/>
      <c r="AN43" s="294">
        <f>+INPUT!W48</f>
        <v>0</v>
      </c>
      <c r="AO43" s="294"/>
      <c r="AP43" s="294">
        <f>INPUT!Y48</f>
        <v>0</v>
      </c>
      <c r="AQ43" s="294"/>
      <c r="AR43" s="294">
        <f>INPUT!Z48</f>
        <v>0</v>
      </c>
      <c r="AS43" s="308"/>
      <c r="AT43" s="296" t="str">
        <f t="shared" ref="AT43:AT44" si="33">B43</f>
        <v xml:space="preserve">     Financing of leases</v>
      </c>
      <c r="AU43" s="294">
        <f>+INPUT!AA48</f>
        <v>0</v>
      </c>
      <c r="AV43" s="294"/>
      <c r="AW43" s="294">
        <f>+INPUT!AB48</f>
        <v>0</v>
      </c>
      <c r="AX43" s="294"/>
      <c r="AY43" s="294">
        <f>+INPUT!AC48</f>
        <v>0</v>
      </c>
      <c r="AZ43" s="294"/>
      <c r="BA43" s="294">
        <f>+INPUT!AD48</f>
        <v>0</v>
      </c>
      <c r="BB43" s="294"/>
      <c r="BC43" s="294">
        <f>+INPUT!AE48</f>
        <v>0</v>
      </c>
      <c r="BD43" s="294"/>
      <c r="BF43" s="308"/>
      <c r="BG43" s="296" t="str">
        <f t="shared" ref="BG43:BG44" si="34">B43</f>
        <v xml:space="preserve">     Financing of leases</v>
      </c>
      <c r="BH43" s="294">
        <f>+INPUT!AF48</f>
        <v>0</v>
      </c>
      <c r="BI43" s="296"/>
      <c r="BJ43" s="294">
        <f>+INPUT!AG48</f>
        <v>0</v>
      </c>
      <c r="BK43" s="294"/>
      <c r="BL43" s="294">
        <f>+INPUT!AH48</f>
        <v>0</v>
      </c>
      <c r="BM43" s="294"/>
      <c r="BN43" s="294">
        <f>+INPUT!AI48</f>
        <v>0</v>
      </c>
      <c r="BO43" s="294"/>
      <c r="BP43" s="294">
        <f>+INPUT!AJ48</f>
        <v>0</v>
      </c>
      <c r="BQ43" s="294"/>
      <c r="BS43" s="308"/>
      <c r="BT43" s="296" t="str">
        <f t="shared" ref="BT43:BT44" si="35">B43</f>
        <v xml:space="preserve">     Financing of leases</v>
      </c>
      <c r="BU43" s="294">
        <f>+INPUT!AK48</f>
        <v>0</v>
      </c>
      <c r="BV43" s="296"/>
      <c r="BW43" s="294">
        <f>+INPUT!AL48</f>
        <v>0</v>
      </c>
      <c r="BX43" s="294"/>
      <c r="BY43" s="294">
        <f>+INPUT!AM48</f>
        <v>0</v>
      </c>
      <c r="BZ43" s="276"/>
      <c r="CA43" s="294">
        <f>+INPUT!AN48</f>
        <v>0</v>
      </c>
      <c r="CB43" s="276"/>
      <c r="CC43" s="294">
        <f>+INPUT!AO48</f>
        <v>0</v>
      </c>
      <c r="CD43" s="276"/>
      <c r="CF43" s="308"/>
      <c r="CG43" s="296" t="str">
        <f t="shared" ref="CG43:CG44" si="36">M43</f>
        <v xml:space="preserve">     Financing of leases</v>
      </c>
      <c r="CH43" s="294">
        <f>+INPUT!AP48</f>
        <v>0</v>
      </c>
      <c r="CI43" s="296"/>
      <c r="CJ43" s="294">
        <f>+INPUT!AQ48</f>
        <v>0</v>
      </c>
      <c r="CK43" s="276"/>
      <c r="CL43" s="294">
        <f>+INPUT!AR48</f>
        <v>0</v>
      </c>
      <c r="CM43" s="276"/>
      <c r="CN43" s="294">
        <f>+INPUT!AS48</f>
        <v>0</v>
      </c>
      <c r="CO43" s="308"/>
      <c r="CP43" s="294">
        <f>+INPUT!AT48</f>
        <v>0</v>
      </c>
      <c r="CQ43" s="276"/>
      <c r="CS43" s="308"/>
      <c r="CT43" s="296" t="str">
        <f t="shared" ref="CT43:CT44" si="37">B43</f>
        <v xml:space="preserve">     Financing of leases</v>
      </c>
      <c r="CU43" s="294">
        <f>+INPUT!AU48</f>
        <v>157932</v>
      </c>
      <c r="CV43" s="296"/>
      <c r="CW43" s="294">
        <f>+INPUT!AV48</f>
        <v>0</v>
      </c>
      <c r="CX43" s="294"/>
      <c r="CY43" s="294">
        <f>+INPUT!AX48</f>
        <v>0</v>
      </c>
      <c r="CZ43" s="294"/>
      <c r="DA43" s="294">
        <f>+INPUT!AY48</f>
        <v>0</v>
      </c>
      <c r="DB43" s="294"/>
      <c r="DC43" s="294">
        <f>+INPUT!AZ48</f>
        <v>0</v>
      </c>
      <c r="DK43" s="294"/>
      <c r="DN43" s="296" t="str">
        <f t="shared" ref="DN43:DN44" si="38">B43</f>
        <v xml:space="preserve">     Financing of leases</v>
      </c>
      <c r="DO43" s="294">
        <f>+INPUT!BA48</f>
        <v>0</v>
      </c>
      <c r="DP43" s="294"/>
      <c r="DQ43" s="294"/>
      <c r="DU43" s="294">
        <f>+INPUT!BD48</f>
        <v>0</v>
      </c>
      <c r="DZ43" s="308"/>
      <c r="EA43" s="287"/>
      <c r="EB43" s="308"/>
      <c r="EC43" s="294">
        <f t="shared" si="29"/>
        <v>157932</v>
      </c>
      <c r="ED43" s="294"/>
      <c r="EE43" s="294"/>
      <c r="EF43" s="294"/>
      <c r="EH43" s="294"/>
      <c r="EI43" s="276"/>
      <c r="EJ43" s="276"/>
    </row>
    <row r="44" spans="1:141" ht="15.75" hidden="1">
      <c r="B44" s="276" t="str">
        <f>INPUT!B49</f>
        <v xml:space="preserve">     Financing of SBITAs</v>
      </c>
      <c r="C44" s="294">
        <f>+INPUT!E49</f>
        <v>0</v>
      </c>
      <c r="D44" s="308"/>
      <c r="E44" s="294">
        <f>+INPUT!F49</f>
        <v>0</v>
      </c>
      <c r="F44" s="308"/>
      <c r="G44" s="294">
        <f>+INPUT!G49</f>
        <v>0</v>
      </c>
      <c r="H44" s="308"/>
      <c r="I44" s="294">
        <f>+INPUT!H49</f>
        <v>0</v>
      </c>
      <c r="J44" s="308"/>
      <c r="K44" s="294">
        <f>+INPUT!I49</f>
        <v>0</v>
      </c>
      <c r="L44" s="308"/>
      <c r="M44" s="296" t="str">
        <f t="shared" si="30"/>
        <v xml:space="preserve">     Financing of SBITAs</v>
      </c>
      <c r="N44" s="294">
        <f>+INPUT!J49</f>
        <v>0</v>
      </c>
      <c r="O44" s="287"/>
      <c r="P44" s="294">
        <f>+INPUT!K49</f>
        <v>0</v>
      </c>
      <c r="Q44" s="287"/>
      <c r="R44" s="294">
        <f>+INPUT!L49</f>
        <v>0</v>
      </c>
      <c r="S44" s="287"/>
      <c r="T44" s="294">
        <f>+INPUT!M49</f>
        <v>0</v>
      </c>
      <c r="U44" s="287"/>
      <c r="V44" s="294">
        <f>+INPUT!N49</f>
        <v>0</v>
      </c>
      <c r="W44" s="308"/>
      <c r="X44" s="296" t="str">
        <f t="shared" si="31"/>
        <v xml:space="preserve">     Financing of SBITAs</v>
      </c>
      <c r="Y44" s="294">
        <f>+INPUT!O49</f>
        <v>0</v>
      </c>
      <c r="Z44" s="294"/>
      <c r="AA44" s="294">
        <f>+INPUT!Q49</f>
        <v>0</v>
      </c>
      <c r="AB44" s="294"/>
      <c r="AC44" s="294">
        <f>+INPUT!R49</f>
        <v>0</v>
      </c>
      <c r="AD44" s="294"/>
      <c r="AE44" s="294">
        <f>+INPUT!S49</f>
        <v>0</v>
      </c>
      <c r="AF44" s="294"/>
      <c r="AG44" s="294">
        <f>+INPUT!T49</f>
        <v>0</v>
      </c>
      <c r="AH44" s="308"/>
      <c r="AI44" s="296" t="str">
        <f t="shared" si="32"/>
        <v xml:space="preserve">     Financing of SBITAs</v>
      </c>
      <c r="AJ44" s="294">
        <f>+INPUT!U49</f>
        <v>0</v>
      </c>
      <c r="AK44" s="294"/>
      <c r="AL44" s="294">
        <f>+INPUT!V49</f>
        <v>0</v>
      </c>
      <c r="AM44" s="294"/>
      <c r="AN44" s="294">
        <f>+INPUT!W49</f>
        <v>0</v>
      </c>
      <c r="AO44" s="294"/>
      <c r="AP44" s="294">
        <f>INPUT!Y49</f>
        <v>0</v>
      </c>
      <c r="AQ44" s="294"/>
      <c r="AR44" s="294">
        <f>INPUT!Z49</f>
        <v>0</v>
      </c>
      <c r="AS44" s="308"/>
      <c r="AT44" s="296" t="str">
        <f t="shared" si="33"/>
        <v xml:space="preserve">     Financing of SBITAs</v>
      </c>
      <c r="AU44" s="294">
        <f>+INPUT!AA49</f>
        <v>0</v>
      </c>
      <c r="AV44" s="294"/>
      <c r="AW44" s="294">
        <f>+INPUT!AB49</f>
        <v>0</v>
      </c>
      <c r="AX44" s="294"/>
      <c r="AY44" s="294">
        <f>+INPUT!AC49</f>
        <v>0</v>
      </c>
      <c r="AZ44" s="294"/>
      <c r="BA44" s="294">
        <f>+INPUT!AD49</f>
        <v>0</v>
      </c>
      <c r="BB44" s="294"/>
      <c r="BC44" s="294">
        <f>+INPUT!AE49</f>
        <v>0</v>
      </c>
      <c r="BD44" s="294"/>
      <c r="BF44" s="308"/>
      <c r="BG44" s="296" t="str">
        <f t="shared" si="34"/>
        <v xml:space="preserve">     Financing of SBITAs</v>
      </c>
      <c r="BH44" s="294">
        <f>+INPUT!AF49</f>
        <v>0</v>
      </c>
      <c r="BI44" s="296"/>
      <c r="BJ44" s="294">
        <f>+INPUT!AG49</f>
        <v>0</v>
      </c>
      <c r="BK44" s="294"/>
      <c r="BL44" s="294">
        <f>+INPUT!AH49</f>
        <v>0</v>
      </c>
      <c r="BM44" s="294"/>
      <c r="BN44" s="294">
        <f>+INPUT!AI49</f>
        <v>0</v>
      </c>
      <c r="BO44" s="294"/>
      <c r="BP44" s="294">
        <f>+INPUT!AJ49</f>
        <v>0</v>
      </c>
      <c r="BQ44" s="294"/>
      <c r="BS44" s="308"/>
      <c r="BT44" s="296" t="str">
        <f t="shared" si="35"/>
        <v xml:space="preserve">     Financing of SBITAs</v>
      </c>
      <c r="BU44" s="294">
        <f>+INPUT!AK49</f>
        <v>0</v>
      </c>
      <c r="BV44" s="296"/>
      <c r="BW44" s="294">
        <f>+INPUT!AL49</f>
        <v>0</v>
      </c>
      <c r="BX44" s="294"/>
      <c r="BY44" s="294">
        <f>+INPUT!AM49</f>
        <v>0</v>
      </c>
      <c r="BZ44" s="276"/>
      <c r="CA44" s="294">
        <f>+INPUT!AN49</f>
        <v>0</v>
      </c>
      <c r="CB44" s="276"/>
      <c r="CC44" s="294">
        <f>+INPUT!AO49</f>
        <v>0</v>
      </c>
      <c r="CD44" s="276"/>
      <c r="CF44" s="308"/>
      <c r="CG44" s="296" t="str">
        <f t="shared" si="36"/>
        <v xml:space="preserve">     Financing of SBITAs</v>
      </c>
      <c r="CH44" s="294">
        <f>+INPUT!AP49</f>
        <v>0</v>
      </c>
      <c r="CI44" s="296"/>
      <c r="CJ44" s="294">
        <f>+INPUT!AQ49</f>
        <v>0</v>
      </c>
      <c r="CK44" s="276"/>
      <c r="CL44" s="294">
        <f>+INPUT!AR49</f>
        <v>0</v>
      </c>
      <c r="CM44" s="276"/>
      <c r="CN44" s="294">
        <f>+INPUT!AS49</f>
        <v>0</v>
      </c>
      <c r="CO44" s="308"/>
      <c r="CP44" s="294">
        <f>+INPUT!AT49</f>
        <v>0</v>
      </c>
      <c r="CQ44" s="276"/>
      <c r="CS44" s="308"/>
      <c r="CT44" s="296" t="str">
        <f t="shared" si="37"/>
        <v xml:space="preserve">     Financing of SBITAs</v>
      </c>
      <c r="CU44" s="294">
        <f>+INPUT!AU49</f>
        <v>0</v>
      </c>
      <c r="CV44" s="296"/>
      <c r="CW44" s="294">
        <f>+INPUT!AV49</f>
        <v>0</v>
      </c>
      <c r="CX44" s="294"/>
      <c r="CY44" s="294">
        <f>+INPUT!AX49</f>
        <v>0</v>
      </c>
      <c r="CZ44" s="294"/>
      <c r="DA44" s="294">
        <f>+INPUT!AY49</f>
        <v>0</v>
      </c>
      <c r="DB44" s="294"/>
      <c r="DC44" s="294">
        <f>+INPUT!AZ49</f>
        <v>0</v>
      </c>
      <c r="DK44" s="294"/>
      <c r="DN44" s="296" t="str">
        <f t="shared" si="38"/>
        <v xml:space="preserve">     Financing of SBITAs</v>
      </c>
      <c r="DO44" s="294">
        <f>+INPUT!BA49</f>
        <v>0</v>
      </c>
      <c r="DP44" s="294"/>
      <c r="DQ44" s="294"/>
      <c r="DU44" s="294">
        <f>+INPUT!BD49</f>
        <v>0</v>
      </c>
      <c r="DZ44" s="308"/>
      <c r="EA44" s="287"/>
      <c r="EB44" s="308"/>
      <c r="EC44" s="294">
        <f t="shared" si="29"/>
        <v>0</v>
      </c>
      <c r="ED44" s="294"/>
      <c r="EE44" s="294"/>
      <c r="EF44" s="294"/>
      <c r="EH44" s="294"/>
      <c r="EI44" s="276"/>
      <c r="EJ44" s="276"/>
    </row>
    <row r="45" spans="1:141" ht="15.75" customHeight="1">
      <c r="A45" s="276"/>
      <c r="B45" s="276" t="str">
        <f>INPUT!B50</f>
        <v xml:space="preserve">     Issuance of long-term debt</v>
      </c>
      <c r="C45" s="294">
        <f>+INPUT!E50</f>
        <v>0</v>
      </c>
      <c r="D45" s="308"/>
      <c r="E45" s="294">
        <f>+INPUT!F50</f>
        <v>0</v>
      </c>
      <c r="F45" s="308"/>
      <c r="G45" s="294">
        <f>+INPUT!G50</f>
        <v>0</v>
      </c>
      <c r="H45" s="308"/>
      <c r="I45" s="294">
        <f>+INPUT!H50</f>
        <v>0</v>
      </c>
      <c r="J45" s="308"/>
      <c r="K45" s="294">
        <f>+INPUT!I50</f>
        <v>0</v>
      </c>
      <c r="L45" s="308"/>
      <c r="M45" s="296" t="str">
        <f t="shared" si="20"/>
        <v xml:space="preserve">     Issuance of long-term debt</v>
      </c>
      <c r="N45" s="294">
        <f>+INPUT!J50</f>
        <v>0</v>
      </c>
      <c r="O45" s="287"/>
      <c r="P45" s="294">
        <f>+INPUT!K50</f>
        <v>0</v>
      </c>
      <c r="Q45" s="287"/>
      <c r="R45" s="294">
        <f>+INPUT!L50</f>
        <v>0</v>
      </c>
      <c r="S45" s="287"/>
      <c r="T45" s="294">
        <f>+INPUT!M50</f>
        <v>0</v>
      </c>
      <c r="U45" s="287"/>
      <c r="V45" s="294">
        <f>+INPUT!N50</f>
        <v>0</v>
      </c>
      <c r="W45" s="308"/>
      <c r="X45" s="296" t="str">
        <f t="shared" si="21"/>
        <v xml:space="preserve">     Issuance of long-term debt</v>
      </c>
      <c r="Y45" s="294">
        <f>+INPUT!O50</f>
        <v>0</v>
      </c>
      <c r="Z45" s="294"/>
      <c r="AA45" s="294">
        <f>+INPUT!Q50</f>
        <v>0</v>
      </c>
      <c r="AB45" s="294"/>
      <c r="AC45" s="294">
        <f>+INPUT!R50</f>
        <v>0</v>
      </c>
      <c r="AD45" s="294"/>
      <c r="AE45" s="294">
        <f>+INPUT!S50</f>
        <v>0</v>
      </c>
      <c r="AF45" s="294"/>
      <c r="AG45" s="294">
        <f>+INPUT!T50</f>
        <v>0</v>
      </c>
      <c r="AH45" s="308"/>
      <c r="AI45" s="296" t="str">
        <f t="shared" si="22"/>
        <v xml:space="preserve">     Issuance of long-term debt</v>
      </c>
      <c r="AJ45" s="294">
        <f>+INPUT!U50</f>
        <v>0</v>
      </c>
      <c r="AK45" s="294"/>
      <c r="AL45" s="294">
        <f>+INPUT!V50</f>
        <v>0</v>
      </c>
      <c r="AM45" s="294"/>
      <c r="AN45" s="294">
        <f>+INPUT!W50</f>
        <v>0</v>
      </c>
      <c r="AO45" s="294"/>
      <c r="AP45" s="294">
        <f>INPUT!Y50</f>
        <v>0</v>
      </c>
      <c r="AQ45" s="294"/>
      <c r="AR45" s="294">
        <f>INPUT!Z50</f>
        <v>0</v>
      </c>
      <c r="AS45" s="308"/>
      <c r="AT45" s="296" t="str">
        <f t="shared" si="23"/>
        <v xml:space="preserve">     Issuance of long-term debt</v>
      </c>
      <c r="AU45" s="294">
        <f>+INPUT!AA50</f>
        <v>0</v>
      </c>
      <c r="AV45" s="294"/>
      <c r="AW45" s="294">
        <f>+INPUT!AB50</f>
        <v>0</v>
      </c>
      <c r="AX45" s="294"/>
      <c r="AY45" s="294">
        <f>+INPUT!AC50</f>
        <v>0</v>
      </c>
      <c r="AZ45" s="294"/>
      <c r="BA45" s="294">
        <f>+INPUT!AD50</f>
        <v>0</v>
      </c>
      <c r="BB45" s="294"/>
      <c r="BC45" s="294">
        <f>+INPUT!AE50</f>
        <v>0</v>
      </c>
      <c r="BD45" s="294"/>
      <c r="BF45" s="308"/>
      <c r="BG45" s="296" t="str">
        <f t="shared" si="24"/>
        <v xml:space="preserve">     Issuance of long-term debt</v>
      </c>
      <c r="BH45" s="294">
        <f>+INPUT!AF50</f>
        <v>0</v>
      </c>
      <c r="BI45" s="296"/>
      <c r="BJ45" s="294">
        <f>+INPUT!AG50</f>
        <v>0</v>
      </c>
      <c r="BK45" s="294"/>
      <c r="BL45" s="294">
        <f>+INPUT!AH50</f>
        <v>0</v>
      </c>
      <c r="BM45" s="294"/>
      <c r="BN45" s="294">
        <f>+INPUT!AI50</f>
        <v>0</v>
      </c>
      <c r="BO45" s="294"/>
      <c r="BP45" s="294">
        <f>+INPUT!AJ50</f>
        <v>0</v>
      </c>
      <c r="BQ45" s="294"/>
      <c r="BS45" s="308"/>
      <c r="BT45" s="296" t="str">
        <f t="shared" si="25"/>
        <v xml:space="preserve">     Issuance of long-term debt</v>
      </c>
      <c r="BU45" s="294">
        <f>+INPUT!AK50</f>
        <v>0</v>
      </c>
      <c r="BV45" s="296"/>
      <c r="BW45" s="294">
        <f>+INPUT!AL50</f>
        <v>0</v>
      </c>
      <c r="BX45" s="294"/>
      <c r="BY45" s="294">
        <f>+INPUT!AM50</f>
        <v>0</v>
      </c>
      <c r="BZ45" s="276"/>
      <c r="CA45" s="294">
        <f>+INPUT!AN50</f>
        <v>0</v>
      </c>
      <c r="CB45" s="276"/>
      <c r="CC45" s="294">
        <f>+INPUT!AO50</f>
        <v>0</v>
      </c>
      <c r="CD45" s="276"/>
      <c r="CF45" s="308"/>
      <c r="CG45" s="296" t="str">
        <f t="shared" si="26"/>
        <v xml:space="preserve">     Issuance of long-term debt</v>
      </c>
      <c r="CH45" s="294">
        <f>+INPUT!AP50</f>
        <v>3214883</v>
      </c>
      <c r="CI45" s="296"/>
      <c r="CJ45" s="294">
        <f>+INPUT!AQ50</f>
        <v>0</v>
      </c>
      <c r="CK45" s="276"/>
      <c r="CL45" s="294">
        <f>+INPUT!AR50</f>
        <v>0</v>
      </c>
      <c r="CM45" s="276"/>
      <c r="CN45" s="294">
        <f>+INPUT!AS50</f>
        <v>0</v>
      </c>
      <c r="CO45" s="308"/>
      <c r="CP45" s="294">
        <f>+INPUT!AT50</f>
        <v>0</v>
      </c>
      <c r="CQ45" s="276"/>
      <c r="CS45" s="308"/>
      <c r="CT45" s="296" t="str">
        <f t="shared" si="27"/>
        <v xml:space="preserve">     Issuance of long-term debt</v>
      </c>
      <c r="CU45" s="294">
        <f>+INPUT!AU50</f>
        <v>0</v>
      </c>
      <c r="CV45" s="296"/>
      <c r="CW45" s="294">
        <f>+INPUT!AV50</f>
        <v>0</v>
      </c>
      <c r="CX45" s="294"/>
      <c r="CY45" s="294">
        <f>+INPUT!AX50</f>
        <v>0</v>
      </c>
      <c r="CZ45" s="294"/>
      <c r="DA45" s="294">
        <f>+INPUT!AY50</f>
        <v>0</v>
      </c>
      <c r="DB45" s="294"/>
      <c r="DC45" s="294">
        <f>+INPUT!AZ50</f>
        <v>0</v>
      </c>
      <c r="DK45" s="294"/>
      <c r="DN45" s="296" t="str">
        <f t="shared" si="28"/>
        <v xml:space="preserve">     Issuance of long-term debt</v>
      </c>
      <c r="DO45" s="294">
        <f>+INPUT!BA50</f>
        <v>0</v>
      </c>
      <c r="DP45" s="294"/>
      <c r="DQ45" s="294"/>
      <c r="DU45" s="294">
        <f>+INPUT!BD50</f>
        <v>0</v>
      </c>
      <c r="DZ45" s="308"/>
      <c r="EA45" s="287"/>
      <c r="EB45" s="308"/>
      <c r="EC45" s="294">
        <f t="shared" si="29"/>
        <v>3214883</v>
      </c>
      <c r="ED45" s="294"/>
      <c r="EE45" s="294"/>
      <c r="EF45" s="294"/>
      <c r="EH45" s="294"/>
      <c r="EI45" s="276"/>
      <c r="EJ45" s="276"/>
    </row>
    <row r="46" spans="1:141" ht="15.75" hidden="1" customHeight="1">
      <c r="A46" s="276" t="s">
        <v>299</v>
      </c>
      <c r="B46" s="276" t="str">
        <f>INPUT!B54</f>
        <v xml:space="preserve">     Proceeds from disposal of capital assets(MOVE to mis rev/exp)GFOA finding</v>
      </c>
      <c r="C46" s="294">
        <f>+INPUT!E54</f>
        <v>0</v>
      </c>
      <c r="D46" s="308"/>
      <c r="E46" s="294">
        <f>+INPUT!F54</f>
        <v>0</v>
      </c>
      <c r="F46" s="308"/>
      <c r="G46" s="294">
        <f>+INPUT!G54</f>
        <v>0</v>
      </c>
      <c r="H46" s="308"/>
      <c r="I46" s="294">
        <f>+INPUT!H54</f>
        <v>0</v>
      </c>
      <c r="J46" s="308"/>
      <c r="K46" s="294">
        <f>+INPUT!I54</f>
        <v>0</v>
      </c>
      <c r="L46" s="308"/>
      <c r="M46" s="296" t="str">
        <f t="shared" si="20"/>
        <v xml:space="preserve">     Proceeds from disposal of capital assets(MOVE to mis rev/exp)GFOA finding</v>
      </c>
      <c r="N46" s="294">
        <f>+INPUT!J54</f>
        <v>0</v>
      </c>
      <c r="O46" s="287"/>
      <c r="P46" s="294">
        <f>+INPUT!K54</f>
        <v>0</v>
      </c>
      <c r="Q46" s="287"/>
      <c r="R46" s="294">
        <f>+INPUT!L54</f>
        <v>0</v>
      </c>
      <c r="S46" s="287"/>
      <c r="T46" s="294">
        <f>+INPUT!M54</f>
        <v>0</v>
      </c>
      <c r="U46" s="287"/>
      <c r="V46" s="294">
        <f>+INPUT!N54</f>
        <v>0</v>
      </c>
      <c r="W46" s="308"/>
      <c r="X46" s="296" t="str">
        <f t="shared" si="21"/>
        <v xml:space="preserve">     Proceeds from disposal of capital assets(MOVE to mis rev/exp)GFOA finding</v>
      </c>
      <c r="Y46" s="294">
        <f>+INPUT!O54</f>
        <v>0</v>
      </c>
      <c r="Z46" s="294"/>
      <c r="AA46" s="294" t="str">
        <f>IF(+INPUT!Q54&lt;&gt;0,+INPUT!Q54,"-")</f>
        <v>-</v>
      </c>
      <c r="AB46" s="294"/>
      <c r="AC46" s="294" t="str">
        <f>IF(+INPUT!R54&lt;&gt;0,+INPUT!R54,"-")</f>
        <v>-</v>
      </c>
      <c r="AD46" s="294"/>
      <c r="AE46" s="294" t="str">
        <f>IF(+INPUT!S54&lt;&gt;0,+INPUT!S54,"-")</f>
        <v>-</v>
      </c>
      <c r="AF46" s="294"/>
      <c r="AG46" s="294" t="str">
        <f>IF(+INPUT!T54&lt;&gt;0,+INPUT!T54,"-")</f>
        <v>-</v>
      </c>
      <c r="AH46" s="308"/>
      <c r="AI46" s="296" t="str">
        <f t="shared" si="22"/>
        <v xml:space="preserve">     Proceeds from disposal of capital assets(MOVE to mis rev/exp)GFOA finding</v>
      </c>
      <c r="AJ46" s="294" t="str">
        <f>IF(+INPUT!U54&lt;&gt;0,+INPUT!U54,"-")</f>
        <v>-</v>
      </c>
      <c r="AK46" s="294"/>
      <c r="AL46" s="294" t="str">
        <f>IF(+INPUT!V54&lt;&gt;0,+INPUT!V54,"-")</f>
        <v>-</v>
      </c>
      <c r="AM46" s="294"/>
      <c r="AN46" s="294" t="str">
        <f>IF(+INPUT!W54&lt;&gt;0,+INPUT!W54,"-")</f>
        <v>-</v>
      </c>
      <c r="AO46" s="294"/>
      <c r="AP46" s="294">
        <f>+INPUT!Y54</f>
        <v>0</v>
      </c>
      <c r="AQ46" s="294"/>
      <c r="AR46" s="294">
        <f>+INPUT!Z54</f>
        <v>0</v>
      </c>
      <c r="AS46" s="308"/>
      <c r="AT46" s="296" t="str">
        <f t="shared" si="23"/>
        <v xml:space="preserve">     Proceeds from disposal of capital assets(MOVE to mis rev/exp)GFOA finding</v>
      </c>
      <c r="AU46" s="294" t="str">
        <f>IF(+INPUT!AA54&lt;&gt;0,+INPUT!AA54,"-")</f>
        <v>-</v>
      </c>
      <c r="AV46" s="294"/>
      <c r="AW46" s="294" t="str">
        <f>IF(+INPUT!AB54&lt;&gt;0,+INPUT!AB54,"-")</f>
        <v>-</v>
      </c>
      <c r="AX46" s="294"/>
      <c r="AY46" s="294" t="str">
        <f>IF(+INPUT!AC54&lt;&gt;0,+INPUT!AC54,"-")</f>
        <v>-</v>
      </c>
      <c r="AZ46" s="294"/>
      <c r="BA46" s="294" t="str">
        <f>IF(+INPUT!AD54&lt;&gt;0,+INPUT!AD54,"-")</f>
        <v>-</v>
      </c>
      <c r="BB46" s="294"/>
      <c r="BC46" s="294" t="str">
        <f>IF(+INPUT!AE54&lt;&gt;0,+INPUT!AE54,"-")</f>
        <v>-</v>
      </c>
      <c r="BD46" s="294"/>
      <c r="BF46" s="308"/>
      <c r="BG46" s="296" t="str">
        <f t="shared" si="24"/>
        <v xml:space="preserve">     Proceeds from disposal of capital assets(MOVE to mis rev/exp)GFOA finding</v>
      </c>
      <c r="BH46" s="294" t="str">
        <f>IF(+INPUT!AF54&lt;&gt;0,+INPUT!AF54,"-")</f>
        <v>-</v>
      </c>
      <c r="BI46" s="296"/>
      <c r="BJ46" s="294" t="str">
        <f>IF(+INPUT!AG54&lt;&gt;0,+INPUT!AG54,"-")</f>
        <v>-</v>
      </c>
      <c r="BK46" s="294"/>
      <c r="BL46" s="294" t="str">
        <f>IF(+INPUT!AH54&lt;&gt;0,+INPUT!AH54,"-")</f>
        <v>-</v>
      </c>
      <c r="BM46" s="294"/>
      <c r="BN46" s="294" t="str">
        <f>IF(+INPUT!AI54&lt;&gt;0,+INPUT!AI54,"-")</f>
        <v>-</v>
      </c>
      <c r="BO46" s="294"/>
      <c r="BP46" s="294" t="str">
        <f>IF(+INPUT!AJ54&lt;&gt;0,+INPUT!AJ54,"-")</f>
        <v>-</v>
      </c>
      <c r="BQ46" s="294"/>
      <c r="BS46" s="308"/>
      <c r="BT46" s="296" t="str">
        <f t="shared" si="25"/>
        <v xml:space="preserve">     Proceeds from disposal of capital assets(MOVE to mis rev/exp)GFOA finding</v>
      </c>
      <c r="BU46" s="294">
        <f>+INPUT!AK54</f>
        <v>0</v>
      </c>
      <c r="BV46" s="296"/>
      <c r="BW46" s="294">
        <f>+INPUT!AL54</f>
        <v>0</v>
      </c>
      <c r="BX46" s="294"/>
      <c r="BY46" s="294">
        <f>+INPUT!AM54</f>
        <v>0</v>
      </c>
      <c r="BZ46" s="276"/>
      <c r="CA46" s="294">
        <f>+INPUT!AN54</f>
        <v>0</v>
      </c>
      <c r="CB46" s="276"/>
      <c r="CC46" s="294">
        <f>+INPUT!AO54</f>
        <v>0</v>
      </c>
      <c r="CD46" s="276"/>
      <c r="CF46" s="308"/>
      <c r="CG46" s="296" t="str">
        <f t="shared" si="26"/>
        <v xml:space="preserve">     Proceeds from disposal of capital assets(MOVE to mis rev/exp)GFOA finding</v>
      </c>
      <c r="CH46" s="294">
        <f>+INPUT!AP54</f>
        <v>0</v>
      </c>
      <c r="CI46" s="296"/>
      <c r="CJ46" s="294" t="str">
        <f>IF(+INPUT!AQ54&lt;&gt;0,+INPUT!AQ54,"-")</f>
        <v>-</v>
      </c>
      <c r="CK46" s="276"/>
      <c r="CL46" s="294" t="str">
        <f>IF(+INPUT!AR54&lt;&gt;0,+INPUT!AR54,"-")</f>
        <v>-</v>
      </c>
      <c r="CM46" s="276"/>
      <c r="CN46" s="294" t="str">
        <f>IF(+INPUT!AS54&lt;&gt;0,+INPUT!AS54,"-")</f>
        <v>-</v>
      </c>
      <c r="CO46" s="308"/>
      <c r="CP46" s="294" t="str">
        <f>IF(+INPUT!AT54&lt;&gt;0,+INPUT!AT54,"-")</f>
        <v>-</v>
      </c>
      <c r="CQ46" s="276"/>
      <c r="CS46" s="308"/>
      <c r="CT46" s="296" t="str">
        <f t="shared" si="27"/>
        <v xml:space="preserve">     Proceeds from disposal of capital assets(MOVE to mis rev/exp)GFOA finding</v>
      </c>
      <c r="CU46" s="294" t="str">
        <f>IF(+INPUT!AU54&lt;&gt;0,+INPUT!AU54,"-")</f>
        <v>-</v>
      </c>
      <c r="CV46" s="296"/>
      <c r="CW46" s="294">
        <f>+INPUT!AV54</f>
        <v>0</v>
      </c>
      <c r="CX46" s="294"/>
      <c r="CY46" s="294">
        <f>+INPUT!AX54</f>
        <v>0</v>
      </c>
      <c r="CZ46" s="294"/>
      <c r="DA46" s="294" t="str">
        <f>IF(+INPUT!AY54&lt;&gt;0,+INPUT!AY54,"-")</f>
        <v>-</v>
      </c>
      <c r="DB46" s="294"/>
      <c r="DC46" s="294" t="str">
        <f>IF(+INPUT!AZ54&lt;&gt;0,+INPUT!AZ54,"-")</f>
        <v>-</v>
      </c>
      <c r="DK46" s="294"/>
      <c r="DN46" s="296" t="str">
        <f t="shared" si="28"/>
        <v xml:space="preserve">     Proceeds from disposal of capital assets(MOVE to mis rev/exp)GFOA finding</v>
      </c>
      <c r="DO46" s="294" t="str">
        <f>IF(+INPUT!BA54&lt;&gt;0,+INPUT!BA54,"-")</f>
        <v>-</v>
      </c>
      <c r="DP46" s="294"/>
      <c r="DQ46" s="294"/>
      <c r="DU46" s="294">
        <f>+INPUT!BD54</f>
        <v>0</v>
      </c>
      <c r="DZ46" s="308"/>
      <c r="EA46" s="287"/>
      <c r="EB46" s="308"/>
      <c r="EC46" s="294">
        <f t="shared" si="29"/>
        <v>0</v>
      </c>
      <c r="ED46" s="294"/>
      <c r="EE46" s="294"/>
      <c r="EF46" s="294"/>
      <c r="EH46" s="294"/>
      <c r="EI46" s="276"/>
      <c r="EJ46" s="276"/>
    </row>
    <row r="47" spans="1:141" ht="15.75" hidden="1" customHeight="1">
      <c r="A47" s="276" t="s">
        <v>299</v>
      </c>
      <c r="B47" s="276" t="str">
        <f>INPUT!B55</f>
        <v xml:space="preserve">     Amortization of revenue bond premium</v>
      </c>
      <c r="C47" s="294">
        <f>+INPUT!E55</f>
        <v>0</v>
      </c>
      <c r="D47" s="308"/>
      <c r="E47" s="294">
        <f>+INPUT!F55</f>
        <v>0</v>
      </c>
      <c r="F47" s="308"/>
      <c r="G47" s="294">
        <f>+INPUT!G55</f>
        <v>0</v>
      </c>
      <c r="H47" s="308"/>
      <c r="I47" s="294">
        <f>+INPUT!H55</f>
        <v>0</v>
      </c>
      <c r="J47" s="308"/>
      <c r="K47" s="294">
        <f>+INPUT!I55</f>
        <v>0</v>
      </c>
      <c r="L47" s="308"/>
      <c r="M47" s="296" t="str">
        <f>B47</f>
        <v xml:space="preserve">     Amortization of revenue bond premium</v>
      </c>
      <c r="N47" s="294">
        <f>+INPUT!J55</f>
        <v>0</v>
      </c>
      <c r="O47" s="287"/>
      <c r="P47" s="294">
        <f>+INPUT!K55</f>
        <v>0</v>
      </c>
      <c r="Q47" s="287"/>
      <c r="R47" s="294">
        <f>+INPUT!L55</f>
        <v>0</v>
      </c>
      <c r="S47" s="287"/>
      <c r="T47" s="294">
        <f>+INPUT!M55</f>
        <v>0</v>
      </c>
      <c r="U47" s="287"/>
      <c r="V47" s="294">
        <f>+INPUT!N55</f>
        <v>0</v>
      </c>
      <c r="W47" s="308"/>
      <c r="X47" s="296" t="str">
        <f>B47</f>
        <v xml:space="preserve">     Amortization of revenue bond premium</v>
      </c>
      <c r="Y47" s="294">
        <f>+INPUT!O55</f>
        <v>0</v>
      </c>
      <c r="Z47" s="294"/>
      <c r="AA47" s="294" t="str">
        <f>IF(+INPUT!Q55&lt;&gt;0,+INPUT!Q55,"-")</f>
        <v>-</v>
      </c>
      <c r="AB47" s="294"/>
      <c r="AC47" s="294" t="str">
        <f>IF(+INPUT!R55&lt;&gt;0,+INPUT!R55,"-")</f>
        <v>-</v>
      </c>
      <c r="AD47" s="294"/>
      <c r="AE47" s="294" t="str">
        <f>IF(+INPUT!S55&lt;&gt;0,+INPUT!S55,"-")</f>
        <v>-</v>
      </c>
      <c r="AF47" s="294"/>
      <c r="AG47" s="294" t="str">
        <f>IF(+INPUT!T55&lt;&gt;0,+INPUT!T55,"-")</f>
        <v>-</v>
      </c>
      <c r="AH47" s="308"/>
      <c r="AI47" s="296" t="str">
        <f>B47</f>
        <v xml:space="preserve">     Amortization of revenue bond premium</v>
      </c>
      <c r="AJ47" s="294" t="str">
        <f>IF(+INPUT!U55&lt;&gt;0,+INPUT!U55,"-")</f>
        <v>-</v>
      </c>
      <c r="AK47" s="294"/>
      <c r="AL47" s="294" t="str">
        <f>IF(+INPUT!V55&lt;&gt;0,+INPUT!V55,"-")</f>
        <v>-</v>
      </c>
      <c r="AM47" s="294"/>
      <c r="AN47" s="294" t="str">
        <f>IF(+INPUT!W55&lt;&gt;0,+INPUT!W55,"-")</f>
        <v>-</v>
      </c>
      <c r="AO47" s="294"/>
      <c r="AP47" s="294">
        <f>+INPUT!Y55</f>
        <v>0</v>
      </c>
      <c r="AQ47" s="294"/>
      <c r="AR47" s="294">
        <f>+INPUT!Z55</f>
        <v>0</v>
      </c>
      <c r="AS47" s="308"/>
      <c r="AT47" s="296" t="str">
        <f>B47</f>
        <v xml:space="preserve">     Amortization of revenue bond premium</v>
      </c>
      <c r="AU47" s="294" t="str">
        <f>IF(+INPUT!AA55&lt;&gt;0,+INPUT!AA55,"-")</f>
        <v>-</v>
      </c>
      <c r="AV47" s="294"/>
      <c r="AW47" s="294" t="str">
        <f>IF(+INPUT!AB55&lt;&gt;0,+INPUT!AB55,"-")</f>
        <v>-</v>
      </c>
      <c r="AX47" s="294"/>
      <c r="AY47" s="294" t="str">
        <f>IF(+INPUT!AC55&lt;&gt;0,+INPUT!AC55,"-")</f>
        <v>-</v>
      </c>
      <c r="AZ47" s="294"/>
      <c r="BA47" s="294" t="str">
        <f>IF(+INPUT!AD55&lt;&gt;0,+INPUT!AD55,"-")</f>
        <v>-</v>
      </c>
      <c r="BB47" s="294"/>
      <c r="BC47" s="294" t="str">
        <f>IF(+INPUT!AE55&lt;&gt;0,+INPUT!AE55,"-")</f>
        <v>-</v>
      </c>
      <c r="BD47" s="294"/>
      <c r="BF47" s="308"/>
      <c r="BG47" s="296" t="str">
        <f t="shared" si="24"/>
        <v xml:space="preserve">     Amortization of revenue bond premium</v>
      </c>
      <c r="BH47" s="294" t="str">
        <f>IF(+INPUT!AF55&lt;&gt;0,+INPUT!AF55,"-")</f>
        <v>-</v>
      </c>
      <c r="BI47" s="296"/>
      <c r="BJ47" s="294" t="str">
        <f>IF(+INPUT!AG55&lt;&gt;0,+INPUT!AG55,"-")</f>
        <v>-</v>
      </c>
      <c r="BK47" s="294"/>
      <c r="BL47" s="294" t="str">
        <f>IF(+INPUT!AH55&lt;&gt;0,+INPUT!AH55,"-")</f>
        <v>-</v>
      </c>
      <c r="BM47" s="294"/>
      <c r="BN47" s="294" t="str">
        <f>IF(+INPUT!AI55&lt;&gt;0,+INPUT!AI55,"-")</f>
        <v>-</v>
      </c>
      <c r="BO47" s="294"/>
      <c r="BP47" s="294" t="str">
        <f>IF(+INPUT!AJ55&lt;&gt;0,+INPUT!AJ55,"-")</f>
        <v>-</v>
      </c>
      <c r="BQ47" s="294"/>
      <c r="BS47" s="308"/>
      <c r="BT47" s="296" t="str">
        <f t="shared" si="25"/>
        <v xml:space="preserve">     Amortization of revenue bond premium</v>
      </c>
      <c r="BU47" s="294">
        <f>+INPUT!AK55</f>
        <v>0</v>
      </c>
      <c r="BV47" s="296"/>
      <c r="BW47" s="294">
        <f>+INPUT!AL55</f>
        <v>0</v>
      </c>
      <c r="BX47" s="294"/>
      <c r="BY47" s="294">
        <f>+INPUT!AM55</f>
        <v>0</v>
      </c>
      <c r="BZ47" s="276"/>
      <c r="CA47" s="294">
        <f>+INPUT!AN55</f>
        <v>0</v>
      </c>
      <c r="CB47" s="276"/>
      <c r="CC47" s="294">
        <f>+INPUT!AO55</f>
        <v>0</v>
      </c>
      <c r="CD47" s="276"/>
      <c r="CF47" s="308"/>
      <c r="CG47" s="296" t="str">
        <f t="shared" si="26"/>
        <v xml:space="preserve">     Amortization of revenue bond premium</v>
      </c>
      <c r="CH47" s="294">
        <f>+INPUT!AP55</f>
        <v>0</v>
      </c>
      <c r="CI47" s="296"/>
      <c r="CJ47" s="294" t="str">
        <f>IF(+INPUT!AQ55&lt;&gt;0,+INPUT!AQ55,"-")</f>
        <v>-</v>
      </c>
      <c r="CK47" s="276"/>
      <c r="CL47" s="294" t="str">
        <f>IF(+INPUT!AR55&lt;&gt;0,+INPUT!AR55,"-")</f>
        <v>-</v>
      </c>
      <c r="CM47" s="276"/>
      <c r="CN47" s="294" t="str">
        <f>IF(+INPUT!AS55&lt;&gt;0,+INPUT!AS55,"-")</f>
        <v>-</v>
      </c>
      <c r="CO47" s="308"/>
      <c r="CP47" s="294" t="str">
        <f>IF(+INPUT!AT55&lt;&gt;0,+INPUT!AT55,"-")</f>
        <v>-</v>
      </c>
      <c r="CQ47" s="276"/>
      <c r="CS47" s="308"/>
      <c r="CT47" s="296" t="str">
        <f t="shared" si="27"/>
        <v xml:space="preserve">     Amortization of revenue bond premium</v>
      </c>
      <c r="CU47" s="294" t="str">
        <f>IF(+INPUT!AU55&lt;&gt;0,+INPUT!AU55,"-")</f>
        <v>-</v>
      </c>
      <c r="CV47" s="296"/>
      <c r="CW47" s="294">
        <f>+INPUT!AV55</f>
        <v>0</v>
      </c>
      <c r="CX47" s="294"/>
      <c r="CY47" s="294">
        <f>+INPUT!AX55</f>
        <v>0</v>
      </c>
      <c r="CZ47" s="294"/>
      <c r="DA47" s="294" t="str">
        <f>IF(+INPUT!AY55&lt;&gt;0,+INPUT!AY55,"-")</f>
        <v>-</v>
      </c>
      <c r="DB47" s="294"/>
      <c r="DC47" s="294" t="str">
        <f>IF(+INPUT!AZ55&lt;&gt;0,+INPUT!AZ55,"-")</f>
        <v>-</v>
      </c>
      <c r="DK47" s="294"/>
      <c r="DN47" s="296" t="str">
        <f t="shared" si="28"/>
        <v xml:space="preserve">     Amortization of revenue bond premium</v>
      </c>
      <c r="DO47" s="294" t="str">
        <f>IF(+INPUT!BA55&lt;&gt;0,+INPUT!BA55,"-")</f>
        <v>-</v>
      </c>
      <c r="DP47" s="294"/>
      <c r="DQ47" s="294"/>
      <c r="DU47" s="294">
        <f>+INPUT!BD55</f>
        <v>0</v>
      </c>
      <c r="DZ47" s="308"/>
      <c r="EA47" s="287"/>
      <c r="EB47" s="308"/>
      <c r="EC47" s="294">
        <f t="shared" si="29"/>
        <v>0</v>
      </c>
      <c r="ED47" s="294"/>
      <c r="EE47" s="294"/>
      <c r="EF47" s="294"/>
      <c r="EH47" s="294"/>
      <c r="EI47" s="276"/>
      <c r="EJ47" s="276"/>
    </row>
    <row r="48" spans="1:141" ht="15.75" hidden="1" customHeight="1">
      <c r="A48" s="276"/>
      <c r="B48" s="276"/>
      <c r="C48" s="294"/>
      <c r="D48" s="308"/>
      <c r="E48" s="294"/>
      <c r="F48" s="308"/>
      <c r="G48" s="294"/>
      <c r="H48" s="308"/>
      <c r="I48" s="294"/>
      <c r="J48" s="308"/>
      <c r="K48" s="294"/>
      <c r="L48" s="308"/>
      <c r="M48" s="296"/>
      <c r="N48" s="294"/>
      <c r="O48" s="287"/>
      <c r="P48" s="294"/>
      <c r="Q48" s="287"/>
      <c r="R48" s="294"/>
      <c r="S48" s="287"/>
      <c r="T48" s="294"/>
      <c r="U48" s="287"/>
      <c r="V48" s="294"/>
      <c r="W48" s="308"/>
      <c r="X48" s="296"/>
      <c r="Y48" s="294"/>
      <c r="Z48" s="294"/>
      <c r="AA48" s="294"/>
      <c r="AB48" s="294"/>
      <c r="AC48" s="294"/>
      <c r="AD48" s="294"/>
      <c r="AE48" s="294"/>
      <c r="AF48" s="294"/>
      <c r="AG48" s="294"/>
      <c r="AH48" s="308"/>
      <c r="AI48" s="296"/>
      <c r="AJ48" s="294"/>
      <c r="AK48" s="294"/>
      <c r="AL48" s="294"/>
      <c r="AM48" s="294"/>
      <c r="AN48" s="294"/>
      <c r="AO48" s="294"/>
      <c r="AP48" s="294"/>
      <c r="AQ48" s="294"/>
      <c r="AR48" s="294"/>
      <c r="AS48" s="308"/>
      <c r="AT48" s="296"/>
      <c r="AU48" s="294"/>
      <c r="AV48" s="294"/>
      <c r="AW48" s="294"/>
      <c r="AX48" s="294"/>
      <c r="AY48" s="294"/>
      <c r="AZ48" s="294"/>
      <c r="BA48" s="294"/>
      <c r="BB48" s="294"/>
      <c r="BC48" s="294"/>
      <c r="BD48" s="294"/>
      <c r="BF48" s="308"/>
      <c r="BG48" s="296"/>
      <c r="BH48" s="294"/>
      <c r="BI48" s="296"/>
      <c r="BJ48" s="294"/>
      <c r="BK48" s="294"/>
      <c r="BL48" s="294"/>
      <c r="BM48" s="294"/>
      <c r="BN48" s="294"/>
      <c r="BO48" s="294"/>
      <c r="BP48" s="294"/>
      <c r="BQ48" s="294"/>
      <c r="BS48" s="308"/>
      <c r="BT48" s="296"/>
      <c r="BU48" s="294"/>
      <c r="BV48" s="296"/>
      <c r="BW48" s="294"/>
      <c r="BX48" s="294"/>
      <c r="BY48" s="294"/>
      <c r="BZ48" s="276"/>
      <c r="CA48" s="294"/>
      <c r="CB48" s="276"/>
      <c r="CC48" s="294"/>
      <c r="CD48" s="276"/>
      <c r="CF48" s="308"/>
      <c r="CG48" s="296"/>
      <c r="CH48" s="294"/>
      <c r="CI48" s="296"/>
      <c r="CJ48" s="294"/>
      <c r="CK48" s="276"/>
      <c r="CL48" s="294"/>
      <c r="CM48" s="276"/>
      <c r="CN48" s="294"/>
      <c r="CO48" s="308"/>
      <c r="CP48" s="294"/>
      <c r="CQ48" s="276"/>
      <c r="CS48" s="308"/>
      <c r="CT48" s="296"/>
      <c r="CU48" s="294"/>
      <c r="CV48" s="296"/>
      <c r="CW48" s="294"/>
      <c r="CX48" s="294"/>
      <c r="CY48" s="294"/>
      <c r="CZ48" s="294"/>
      <c r="DA48" s="294"/>
      <c r="DB48" s="294"/>
      <c r="DC48" s="294"/>
      <c r="DK48" s="294"/>
      <c r="DN48" s="296"/>
      <c r="DO48" s="294"/>
      <c r="DP48" s="294"/>
      <c r="DQ48" s="294"/>
      <c r="DU48" s="294"/>
      <c r="DZ48" s="308"/>
      <c r="EA48" s="287"/>
      <c r="EB48" s="308"/>
      <c r="EC48" s="294"/>
      <c r="ED48" s="294"/>
      <c r="EE48" s="294"/>
      <c r="EF48" s="294"/>
      <c r="EH48" s="294"/>
      <c r="EI48" s="276"/>
      <c r="EJ48" s="276"/>
    </row>
    <row r="49" spans="1:141" ht="15.75" hidden="1" customHeight="1">
      <c r="A49" s="276" t="s">
        <v>299</v>
      </c>
      <c r="B49" s="276" t="str">
        <f>INPUT!B56</f>
        <v xml:space="preserve">     Capital contributions</v>
      </c>
      <c r="C49" s="294">
        <f>+INPUT!E56</f>
        <v>0</v>
      </c>
      <c r="D49" s="308"/>
      <c r="E49" s="294">
        <f>+INPUT!F56</f>
        <v>0</v>
      </c>
      <c r="F49" s="308"/>
      <c r="G49" s="294">
        <f>+INPUT!G56</f>
        <v>0</v>
      </c>
      <c r="H49" s="308"/>
      <c r="I49" s="294">
        <f>+INPUT!H56</f>
        <v>0</v>
      </c>
      <c r="J49" s="308"/>
      <c r="K49" s="294">
        <f>+INPUT!I56</f>
        <v>0</v>
      </c>
      <c r="L49" s="308"/>
      <c r="M49" s="296" t="str">
        <f t="shared" si="20"/>
        <v xml:space="preserve">     Capital contributions</v>
      </c>
      <c r="N49" s="294">
        <f>+INPUT!J56</f>
        <v>0</v>
      </c>
      <c r="O49" s="287"/>
      <c r="P49" s="294">
        <f>+INPUT!K56</f>
        <v>0</v>
      </c>
      <c r="Q49" s="287"/>
      <c r="R49" s="294">
        <f>+INPUT!L56</f>
        <v>0</v>
      </c>
      <c r="S49" s="287"/>
      <c r="T49" s="294">
        <f>+INPUT!M56</f>
        <v>0</v>
      </c>
      <c r="U49" s="287"/>
      <c r="V49" s="294">
        <f>+INPUT!N56</f>
        <v>0</v>
      </c>
      <c r="W49" s="308"/>
      <c r="X49" s="296" t="str">
        <f t="shared" si="21"/>
        <v xml:space="preserve">     Capital contributions</v>
      </c>
      <c r="Y49" s="294">
        <f>+INPUT!O56</f>
        <v>0</v>
      </c>
      <c r="Z49" s="294"/>
      <c r="AA49" s="294" t="str">
        <f>IF(+INPUT!Q56&lt;&gt;0,+INPUT!Q56,"-")</f>
        <v>-</v>
      </c>
      <c r="AB49" s="294"/>
      <c r="AC49" s="294" t="str">
        <f>IF(+INPUT!R56&lt;&gt;0,+INPUT!R56,"-")</f>
        <v>-</v>
      </c>
      <c r="AD49" s="294"/>
      <c r="AE49" s="294" t="str">
        <f>IF(+INPUT!S56&lt;&gt;0,+INPUT!S56,"-")</f>
        <v>-</v>
      </c>
      <c r="AF49" s="294"/>
      <c r="AG49" s="294" t="str">
        <f>IF(+INPUT!T56&lt;&gt;0,+INPUT!T56,"-")</f>
        <v>-</v>
      </c>
      <c r="AH49" s="308"/>
      <c r="AI49" s="296" t="str">
        <f t="shared" si="22"/>
        <v xml:space="preserve">     Capital contributions</v>
      </c>
      <c r="AJ49" s="294" t="str">
        <f>IF(+INPUT!U56&lt;&gt;0,+INPUT!U56,"-")</f>
        <v>-</v>
      </c>
      <c r="AK49" s="294"/>
      <c r="AL49" s="294" t="str">
        <f>IF(+INPUT!V56&lt;&gt;0,+INPUT!V56,"-")</f>
        <v>-</v>
      </c>
      <c r="AM49" s="294"/>
      <c r="AN49" s="294" t="str">
        <f>IF(+INPUT!W56&lt;&gt;0,+INPUT!W56,"-")</f>
        <v>-</v>
      </c>
      <c r="AO49" s="294"/>
      <c r="AP49" s="294">
        <f>+INPUT!Y56</f>
        <v>0</v>
      </c>
      <c r="AQ49" s="294"/>
      <c r="AR49" s="294">
        <f>+INPUT!Z56</f>
        <v>0</v>
      </c>
      <c r="AS49" s="308"/>
      <c r="AT49" s="296" t="str">
        <f t="shared" si="23"/>
        <v xml:space="preserve">     Capital contributions</v>
      </c>
      <c r="AU49" s="294" t="str">
        <f>IF(+INPUT!AA56&lt;&gt;0,+INPUT!AA56,"-")</f>
        <v>-</v>
      </c>
      <c r="AV49" s="294"/>
      <c r="AW49" s="294" t="str">
        <f>IF(+INPUT!AB56&lt;&gt;0,+INPUT!AB56,"-")</f>
        <v>-</v>
      </c>
      <c r="AX49" s="294"/>
      <c r="AY49" s="294" t="str">
        <f>IF(+INPUT!AC56&lt;&gt;0,+INPUT!AC56,"-")</f>
        <v>-</v>
      </c>
      <c r="AZ49" s="294"/>
      <c r="BA49" s="294" t="str">
        <f>IF(+INPUT!AD56&lt;&gt;0,+INPUT!AD56,"-")</f>
        <v>-</v>
      </c>
      <c r="BB49" s="294"/>
      <c r="BC49" s="294" t="str">
        <f>IF(+INPUT!AE56&lt;&gt;0,+INPUT!AE56,"-")</f>
        <v>-</v>
      </c>
      <c r="BD49" s="294"/>
      <c r="BF49" s="308"/>
      <c r="BG49" s="296" t="str">
        <f>B49</f>
        <v xml:space="preserve">     Capital contributions</v>
      </c>
      <c r="BH49" s="294" t="str">
        <f>IF(+INPUT!AF56&lt;&gt;0,+INPUT!AF56,"-")</f>
        <v>-</v>
      </c>
      <c r="BI49" s="296"/>
      <c r="BJ49" s="294" t="str">
        <f>IF(+INPUT!AG56&lt;&gt;0,+INPUT!AG56,"-")</f>
        <v>-</v>
      </c>
      <c r="BK49" s="294"/>
      <c r="BL49" s="294" t="str">
        <f>IF(+INPUT!AH56&lt;&gt;0,+INPUT!AH56,"-")</f>
        <v>-</v>
      </c>
      <c r="BM49" s="294"/>
      <c r="BN49" s="294" t="str">
        <f>IF(+INPUT!AI56&lt;&gt;0,+INPUT!AI56,"-")</f>
        <v>-</v>
      </c>
      <c r="BO49" s="294"/>
      <c r="BP49" s="294" t="str">
        <f>IF(+INPUT!AJ56&lt;&gt;0,+INPUT!AJ56,"-")</f>
        <v>-</v>
      </c>
      <c r="BQ49" s="294"/>
      <c r="BS49" s="308"/>
      <c r="BT49" s="296" t="str">
        <f>B49</f>
        <v xml:space="preserve">     Capital contributions</v>
      </c>
      <c r="BU49" s="294">
        <f>+INPUT!AK56</f>
        <v>0</v>
      </c>
      <c r="BV49" s="296"/>
      <c r="BW49" s="294">
        <f>+INPUT!AL56</f>
        <v>0</v>
      </c>
      <c r="BX49" s="294"/>
      <c r="BY49" s="294">
        <f>+INPUT!AM56</f>
        <v>0</v>
      </c>
      <c r="BZ49" s="276"/>
      <c r="CA49" s="294">
        <f>+INPUT!AN56</f>
        <v>0</v>
      </c>
      <c r="CB49" s="276"/>
      <c r="CC49" s="294">
        <f>+INPUT!AO56</f>
        <v>0</v>
      </c>
      <c r="CD49" s="276"/>
      <c r="CF49" s="308"/>
      <c r="CG49" s="296" t="str">
        <f>M49</f>
        <v xml:space="preserve">     Capital contributions</v>
      </c>
      <c r="CH49" s="294">
        <f>+INPUT!AP56</f>
        <v>0</v>
      </c>
      <c r="CI49" s="296"/>
      <c r="CJ49" s="294" t="str">
        <f>IF(+INPUT!AQ56&lt;&gt;0,+INPUT!AQ56,"-")</f>
        <v>-</v>
      </c>
      <c r="CK49" s="276"/>
      <c r="CL49" s="294" t="str">
        <f>IF(+INPUT!AR56&lt;&gt;0,+INPUT!AR56,"-")</f>
        <v>-</v>
      </c>
      <c r="CM49" s="276"/>
      <c r="CN49" s="294" t="str">
        <f>IF(+INPUT!AS56&lt;&gt;0,+INPUT!AS56,"-")</f>
        <v>-</v>
      </c>
      <c r="CO49" s="308"/>
      <c r="CP49" s="294" t="str">
        <f>IF(+INPUT!AT56&lt;&gt;0,+INPUT!AT56,"-")</f>
        <v>-</v>
      </c>
      <c r="CQ49" s="276"/>
      <c r="CS49" s="308"/>
      <c r="CT49" s="296" t="str">
        <f>B49</f>
        <v xml:space="preserve">     Capital contributions</v>
      </c>
      <c r="CU49" s="294" t="str">
        <f>IF(+INPUT!AU56&lt;&gt;0,+INPUT!AU56,"-")</f>
        <v>-</v>
      </c>
      <c r="CV49" s="296"/>
      <c r="CW49" s="294">
        <f>+INPUT!AV56</f>
        <v>0</v>
      </c>
      <c r="CX49" s="294"/>
      <c r="CY49" s="294">
        <f>+INPUT!AX56</f>
        <v>0</v>
      </c>
      <c r="CZ49" s="294"/>
      <c r="DA49" s="294" t="str">
        <f>IF(+INPUT!AY56&lt;&gt;0,+INPUT!AY56,"-")</f>
        <v>-</v>
      </c>
      <c r="DB49" s="294"/>
      <c r="DC49" s="294" t="str">
        <f>IF(+INPUT!AZ56&lt;&gt;0,+INPUT!AZ56,"-")</f>
        <v>-</v>
      </c>
      <c r="DK49" s="294"/>
      <c r="DN49" s="296" t="str">
        <f>B49</f>
        <v xml:space="preserve">     Capital contributions</v>
      </c>
      <c r="DO49" s="294" t="str">
        <f>IF(+INPUT!BA56&lt;&gt;0,+INPUT!BA56,"-")</f>
        <v>-</v>
      </c>
      <c r="DP49" s="294"/>
      <c r="DQ49" s="294"/>
      <c r="DU49" s="294">
        <f>+INPUT!BD56</f>
        <v>0</v>
      </c>
      <c r="DZ49" s="308"/>
      <c r="EA49" s="287"/>
      <c r="EB49" s="308"/>
      <c r="EC49" s="294">
        <f>SUM(C49:EB49)</f>
        <v>0</v>
      </c>
      <c r="ED49" s="294"/>
      <c r="EE49" s="294"/>
      <c r="EF49" s="294"/>
      <c r="EH49" s="294"/>
      <c r="EI49" s="276"/>
      <c r="EJ49" s="276"/>
    </row>
    <row r="50" spans="1:141" ht="15.75" hidden="1" customHeight="1">
      <c r="A50" s="276" t="s">
        <v>299</v>
      </c>
      <c r="B50" s="276" t="str">
        <f>INPUT!B57</f>
        <v xml:space="preserve">     Gain (Loss) on sale of investments</v>
      </c>
      <c r="C50" s="294">
        <v>0</v>
      </c>
      <c r="D50" s="308"/>
      <c r="E50" s="294">
        <v>0</v>
      </c>
      <c r="F50" s="308"/>
      <c r="G50" s="294">
        <v>0</v>
      </c>
      <c r="H50" s="308"/>
      <c r="I50" s="294">
        <v>0</v>
      </c>
      <c r="J50" s="308"/>
      <c r="K50" s="294">
        <v>0</v>
      </c>
      <c r="L50" s="308"/>
      <c r="M50" s="296" t="str">
        <f t="shared" si="20"/>
        <v xml:space="preserve">     Gain (Loss) on sale of investments</v>
      </c>
      <c r="N50" s="294">
        <v>0</v>
      </c>
      <c r="O50" s="287"/>
      <c r="P50" s="294">
        <v>0</v>
      </c>
      <c r="Q50" s="287"/>
      <c r="R50" s="294">
        <v>0</v>
      </c>
      <c r="S50" s="287"/>
      <c r="T50" s="294">
        <v>0</v>
      </c>
      <c r="U50" s="287"/>
      <c r="V50" s="294">
        <v>0</v>
      </c>
      <c r="W50" s="308"/>
      <c r="X50" s="296" t="str">
        <f t="shared" si="21"/>
        <v xml:space="preserve">     Gain (Loss) on sale of investments</v>
      </c>
      <c r="Y50" s="294">
        <v>0</v>
      </c>
      <c r="Z50" s="294"/>
      <c r="AA50" s="294">
        <v>0</v>
      </c>
      <c r="AB50" s="294"/>
      <c r="AC50" s="294">
        <v>0</v>
      </c>
      <c r="AD50" s="294"/>
      <c r="AE50" s="294">
        <v>0</v>
      </c>
      <c r="AF50" s="294"/>
      <c r="AG50" s="294">
        <v>0</v>
      </c>
      <c r="AH50" s="308"/>
      <c r="AI50" s="296" t="str">
        <f t="shared" si="22"/>
        <v xml:space="preserve">     Gain (Loss) on sale of investments</v>
      </c>
      <c r="AJ50" s="294">
        <v>0</v>
      </c>
      <c r="AK50" s="294"/>
      <c r="AL50" s="294">
        <v>0</v>
      </c>
      <c r="AM50" s="294"/>
      <c r="AN50" s="294">
        <v>0</v>
      </c>
      <c r="AO50" s="294"/>
      <c r="AP50" s="294">
        <v>0</v>
      </c>
      <c r="AQ50" s="294"/>
      <c r="AR50" s="294">
        <v>0</v>
      </c>
      <c r="AS50" s="308"/>
      <c r="AT50" s="296" t="str">
        <f t="shared" si="23"/>
        <v xml:space="preserve">     Gain (Loss) on sale of investments</v>
      </c>
      <c r="AU50" s="294">
        <v>0</v>
      </c>
      <c r="AV50" s="294"/>
      <c r="AW50" s="294">
        <v>0</v>
      </c>
      <c r="AX50" s="294"/>
      <c r="AY50" s="294">
        <v>0</v>
      </c>
      <c r="AZ50" s="294"/>
      <c r="BA50" s="294">
        <v>0</v>
      </c>
      <c r="BB50" s="294"/>
      <c r="BC50" s="294">
        <v>0</v>
      </c>
      <c r="BD50" s="294"/>
      <c r="BF50" s="308"/>
      <c r="BG50" s="296" t="str">
        <f>B50</f>
        <v xml:space="preserve">     Gain (Loss) on sale of investments</v>
      </c>
      <c r="BH50" s="294">
        <v>0</v>
      </c>
      <c r="BI50" s="296"/>
      <c r="BJ50" s="294">
        <v>0</v>
      </c>
      <c r="BK50" s="294"/>
      <c r="BL50" s="294">
        <v>0</v>
      </c>
      <c r="BM50" s="294"/>
      <c r="BN50" s="294">
        <v>0</v>
      </c>
      <c r="BO50" s="294"/>
      <c r="BP50" s="294">
        <v>0</v>
      </c>
      <c r="BQ50" s="294"/>
      <c r="BS50" s="308"/>
      <c r="BT50" s="296" t="str">
        <f>B50</f>
        <v xml:space="preserve">     Gain (Loss) on sale of investments</v>
      </c>
      <c r="BU50" s="296">
        <v>0</v>
      </c>
      <c r="BV50" s="296"/>
      <c r="BW50" s="296">
        <v>0</v>
      </c>
      <c r="BX50" s="294"/>
      <c r="BY50" s="296">
        <v>0</v>
      </c>
      <c r="BZ50" s="276"/>
      <c r="CA50" s="296">
        <v>0</v>
      </c>
      <c r="CB50" s="276"/>
      <c r="CC50" s="296">
        <v>0</v>
      </c>
      <c r="CD50" s="276"/>
      <c r="CF50" s="308"/>
      <c r="CG50" s="296" t="str">
        <f>M50</f>
        <v xml:space="preserve">     Gain (Loss) on sale of investments</v>
      </c>
      <c r="CH50" s="296">
        <v>0</v>
      </c>
      <c r="CI50" s="296"/>
      <c r="CJ50" s="294">
        <v>0</v>
      </c>
      <c r="CK50" s="276"/>
      <c r="CL50" s="294">
        <v>0</v>
      </c>
      <c r="CM50" s="276"/>
      <c r="CN50" s="294">
        <v>0</v>
      </c>
      <c r="CO50" s="308"/>
      <c r="CP50" s="294">
        <v>0</v>
      </c>
      <c r="CQ50" s="276"/>
      <c r="CS50" s="308"/>
      <c r="CT50" s="296" t="str">
        <f>B50</f>
        <v xml:space="preserve">     Gain (Loss) on sale of investments</v>
      </c>
      <c r="CU50" s="294">
        <v>0</v>
      </c>
      <c r="CV50" s="296"/>
      <c r="CW50" s="294">
        <v>0</v>
      </c>
      <c r="CX50" s="294"/>
      <c r="CY50" s="294">
        <v>0</v>
      </c>
      <c r="CZ50" s="294"/>
      <c r="DA50" s="294">
        <v>0</v>
      </c>
      <c r="DB50" s="294"/>
      <c r="DC50" s="294">
        <v>0</v>
      </c>
      <c r="DK50" s="294"/>
      <c r="DN50" s="296" t="str">
        <f>B50</f>
        <v xml:space="preserve">     Gain (Loss) on sale of investments</v>
      </c>
      <c r="DO50" s="294">
        <v>0</v>
      </c>
      <c r="DP50" s="294"/>
      <c r="DQ50" s="294"/>
      <c r="DU50" s="294">
        <f>+INPUT!BD57</f>
        <v>0</v>
      </c>
      <c r="DZ50" s="308"/>
      <c r="EA50" s="287"/>
      <c r="EB50" s="308"/>
      <c r="EC50" s="294">
        <f>SUM(C50:EB50)</f>
        <v>0</v>
      </c>
      <c r="ED50" s="294"/>
      <c r="EE50" s="294"/>
      <c r="EF50" s="294"/>
      <c r="EH50" s="294"/>
      <c r="EI50" s="276"/>
      <c r="EJ50" s="276"/>
    </row>
    <row r="51" spans="1:141" ht="15.75">
      <c r="B51" s="276"/>
      <c r="C51" s="337"/>
      <c r="D51" s="308"/>
      <c r="E51" s="337"/>
      <c r="F51" s="308"/>
      <c r="G51" s="337"/>
      <c r="H51" s="308"/>
      <c r="I51" s="337"/>
      <c r="J51" s="308"/>
      <c r="K51" s="337"/>
      <c r="L51" s="308"/>
      <c r="M51" s="296"/>
      <c r="N51" s="337"/>
      <c r="O51" s="287"/>
      <c r="P51" s="337"/>
      <c r="Q51" s="287"/>
      <c r="R51" s="337"/>
      <c r="S51" s="287"/>
      <c r="T51" s="337"/>
      <c r="U51" s="287"/>
      <c r="V51" s="337"/>
      <c r="W51" s="308"/>
      <c r="X51" s="296"/>
      <c r="Y51" s="337"/>
      <c r="Z51" s="294"/>
      <c r="AA51" s="337"/>
      <c r="AB51" s="294"/>
      <c r="AC51" s="337"/>
      <c r="AD51" s="294"/>
      <c r="AE51" s="337"/>
      <c r="AF51" s="294"/>
      <c r="AG51" s="337"/>
      <c r="AH51" s="308"/>
      <c r="AI51" s="296"/>
      <c r="AJ51" s="337"/>
      <c r="AK51" s="294"/>
      <c r="AL51" s="337"/>
      <c r="AM51" s="294"/>
      <c r="AN51" s="337"/>
      <c r="AO51" s="294"/>
      <c r="AP51" s="337"/>
      <c r="AQ51" s="294"/>
      <c r="AR51" s="337"/>
      <c r="AS51" s="308"/>
      <c r="AT51" s="296"/>
      <c r="AU51" s="337"/>
      <c r="AV51" s="294"/>
      <c r="AW51" s="337"/>
      <c r="AX51" s="294"/>
      <c r="AY51" s="337"/>
      <c r="AZ51" s="294"/>
      <c r="BA51" s="337"/>
      <c r="BB51" s="294"/>
      <c r="BC51" s="337"/>
      <c r="BD51" s="294"/>
      <c r="BF51" s="308"/>
      <c r="BG51" s="296"/>
      <c r="BH51" s="337"/>
      <c r="BI51" s="296"/>
      <c r="BJ51" s="337"/>
      <c r="BK51" s="294"/>
      <c r="BL51" s="337"/>
      <c r="BM51" s="294"/>
      <c r="BN51" s="337"/>
      <c r="BO51" s="294"/>
      <c r="BP51" s="337"/>
      <c r="BQ51" s="294"/>
      <c r="BS51" s="308"/>
      <c r="BT51" s="296"/>
      <c r="BU51" s="337"/>
      <c r="BV51" s="296"/>
      <c r="BW51" s="337"/>
      <c r="BX51" s="294"/>
      <c r="BY51" s="337"/>
      <c r="BZ51" s="276"/>
      <c r="CA51" s="337"/>
      <c r="CB51" s="276"/>
      <c r="CC51" s="337"/>
      <c r="CD51" s="276"/>
      <c r="CF51" s="308"/>
      <c r="CG51" s="296"/>
      <c r="CH51" s="337"/>
      <c r="CI51" s="296"/>
      <c r="CJ51" s="337"/>
      <c r="CK51" s="276"/>
      <c r="CL51" s="337"/>
      <c r="CM51" s="276"/>
      <c r="CN51" s="337"/>
      <c r="CO51" s="308"/>
      <c r="CP51" s="337"/>
      <c r="CQ51" s="276"/>
      <c r="CS51" s="308"/>
      <c r="CT51" s="296"/>
      <c r="CU51" s="337"/>
      <c r="CV51" s="296"/>
      <c r="CW51" s="337"/>
      <c r="CX51" s="294"/>
      <c r="CY51" s="337"/>
      <c r="CZ51" s="294"/>
      <c r="DA51" s="337"/>
      <c r="DB51" s="294"/>
      <c r="DC51" s="337"/>
      <c r="DK51" s="294"/>
      <c r="DN51" s="296"/>
      <c r="DO51" s="337"/>
      <c r="DP51" s="1035"/>
      <c r="DQ51" s="337"/>
      <c r="DU51" s="337"/>
      <c r="DZ51" s="308"/>
      <c r="EA51" s="287"/>
      <c r="EB51" s="308"/>
      <c r="EC51" s="337"/>
      <c r="ED51" s="294"/>
      <c r="EE51" s="294"/>
      <c r="EF51" s="294"/>
      <c r="EH51" s="294"/>
      <c r="EI51" s="276"/>
      <c r="EJ51" s="276"/>
    </row>
    <row r="52" spans="1:141" ht="15.75">
      <c r="B52" s="308" t="str">
        <f>INPUT!B58</f>
        <v xml:space="preserve">         Total other financing sources and uses</v>
      </c>
      <c r="C52" s="301">
        <f>SUM(C41:C51)</f>
        <v>667014</v>
      </c>
      <c r="D52" s="308"/>
      <c r="E52" s="301">
        <f>SUM(E41:E51)</f>
        <v>0</v>
      </c>
      <c r="F52" s="308"/>
      <c r="G52" s="301">
        <f>SUM(G41:G51)</f>
        <v>0</v>
      </c>
      <c r="H52" s="308"/>
      <c r="I52" s="301">
        <f>SUM(I41:I51)</f>
        <v>6421</v>
      </c>
      <c r="J52" s="308"/>
      <c r="K52" s="301">
        <f>SUM(K41:K51)</f>
        <v>5640</v>
      </c>
      <c r="L52" s="308"/>
      <c r="M52" s="314" t="str">
        <f>B52</f>
        <v xml:space="preserve">         Total other financing sources and uses</v>
      </c>
      <c r="N52" s="301">
        <f>SUM(N41:N51)</f>
        <v>-1742594</v>
      </c>
      <c r="O52" s="287"/>
      <c r="P52" s="301">
        <f>SUM(P41:P51)</f>
        <v>0</v>
      </c>
      <c r="Q52" s="287"/>
      <c r="R52" s="301">
        <f>SUM(R41:R51)</f>
        <v>0</v>
      </c>
      <c r="S52" s="287"/>
      <c r="T52" s="301">
        <f>IF(SUM(T41:T51)&lt;&gt;0,SUM(T41:T51),"-")</f>
        <v>77358</v>
      </c>
      <c r="U52" s="287"/>
      <c r="V52" s="301">
        <f>SUM(V41:V51)</f>
        <v>-75000</v>
      </c>
      <c r="W52" s="308"/>
      <c r="X52" s="314" t="str">
        <f>B52</f>
        <v xml:space="preserve">         Total other financing sources and uses</v>
      </c>
      <c r="Y52" s="301">
        <f>SUM(Y41:Y51)</f>
        <v>37000</v>
      </c>
      <c r="Z52" s="294"/>
      <c r="AA52" s="301">
        <f>SUM(AA41:AA51)</f>
        <v>-1589670</v>
      </c>
      <c r="AB52" s="294"/>
      <c r="AC52" s="301">
        <f>SUM(AC41:AC51)</f>
        <v>-137780</v>
      </c>
      <c r="AD52" s="294"/>
      <c r="AE52" s="301">
        <f>SUM(AE41:AE51)</f>
        <v>28096</v>
      </c>
      <c r="AF52" s="294"/>
      <c r="AG52" s="301">
        <f>SUM(AG41:AG51)</f>
        <v>0</v>
      </c>
      <c r="AH52" s="308"/>
      <c r="AI52" s="314" t="str">
        <f>B52</f>
        <v xml:space="preserve">         Total other financing sources and uses</v>
      </c>
      <c r="AJ52" s="301">
        <f>SUM(AJ41:AJ51)</f>
        <v>82773</v>
      </c>
      <c r="AK52" s="294"/>
      <c r="AL52" s="301">
        <f>SUM(AL41:AL51)</f>
        <v>-3000</v>
      </c>
      <c r="AM52" s="294"/>
      <c r="AN52" s="301">
        <f>SUM(AN41:AN51)</f>
        <v>-6360</v>
      </c>
      <c r="AO52" s="294"/>
      <c r="AP52" s="301">
        <f>SUM(AP41:AP51)</f>
        <v>342640</v>
      </c>
      <c r="AQ52" s="294"/>
      <c r="AR52" s="301">
        <f>SUM(AR41:AR51)</f>
        <v>50000</v>
      </c>
      <c r="AS52" s="308"/>
      <c r="AT52" s="314" t="str">
        <f>B52</f>
        <v xml:space="preserve">         Total other financing sources and uses</v>
      </c>
      <c r="AU52" s="301">
        <f>SUM(AU41:AU51)</f>
        <v>-25360</v>
      </c>
      <c r="AV52" s="294"/>
      <c r="AW52" s="301">
        <f>SUM(AW41:AW51)</f>
        <v>-121132</v>
      </c>
      <c r="AX52" s="294"/>
      <c r="AY52" s="301">
        <f>SUM(AY41:AY51)</f>
        <v>0</v>
      </c>
      <c r="AZ52" s="294"/>
      <c r="BA52" s="301">
        <f>SUM(BA41:BA51)</f>
        <v>0</v>
      </c>
      <c r="BB52" s="294"/>
      <c r="BC52" s="301">
        <f>SUM(BC41:BC51)</f>
        <v>-360</v>
      </c>
      <c r="BD52" s="294"/>
      <c r="BF52" s="308"/>
      <c r="BG52" s="314" t="str">
        <f>B52</f>
        <v xml:space="preserve">         Total other financing sources and uses</v>
      </c>
      <c r="BH52" s="301">
        <f>SUM(BH41:BH51)</f>
        <v>0</v>
      </c>
      <c r="BI52" s="314"/>
      <c r="BJ52" s="301">
        <f>SUM(BJ41:BJ51)</f>
        <v>0</v>
      </c>
      <c r="BK52" s="294"/>
      <c r="BL52" s="301">
        <f>SUM(BL41:BL51)</f>
        <v>0</v>
      </c>
      <c r="BM52" s="294"/>
      <c r="BN52" s="301">
        <f>SUM(BN41:BN51)</f>
        <v>0</v>
      </c>
      <c r="BO52" s="294"/>
      <c r="BP52" s="301">
        <f>SUM(BP41:BP51)</f>
        <v>0</v>
      </c>
      <c r="BQ52" s="294"/>
      <c r="BS52" s="308"/>
      <c r="BT52" s="314" t="str">
        <f>B52</f>
        <v xml:space="preserve">         Total other financing sources and uses</v>
      </c>
      <c r="BU52" s="301">
        <f>SUM(BU41:BU51)</f>
        <v>0</v>
      </c>
      <c r="BV52" s="314"/>
      <c r="BW52" s="301">
        <f>SUM(BW41:BW51)</f>
        <v>0</v>
      </c>
      <c r="BX52" s="294"/>
      <c r="BY52" s="301">
        <f>SUM(BY41:BY51)</f>
        <v>0</v>
      </c>
      <c r="BZ52" s="276"/>
      <c r="CA52" s="301">
        <f>SUM(CA41:CA51)</f>
        <v>0</v>
      </c>
      <c r="CB52" s="276"/>
      <c r="CC52" s="301">
        <f>SUM(CC41:CC51)</f>
        <v>0</v>
      </c>
      <c r="CD52" s="276"/>
      <c r="CF52" s="308"/>
      <c r="CG52" s="314" t="str">
        <f>M52</f>
        <v xml:space="preserve">         Total other financing sources and uses</v>
      </c>
      <c r="CH52" s="301">
        <f>SUM(CH41:CH51)</f>
        <v>3214883</v>
      </c>
      <c r="CI52" s="314"/>
      <c r="CJ52" s="301">
        <f>SUM(CJ41:CJ51)</f>
        <v>0</v>
      </c>
      <c r="CK52" s="276"/>
      <c r="CL52" s="301">
        <f>SUM(CL41:CL51)</f>
        <v>0</v>
      </c>
      <c r="CM52" s="276"/>
      <c r="CN52" s="301">
        <f>SUM(CN41:CN51)</f>
        <v>-56000</v>
      </c>
      <c r="CO52" s="308"/>
      <c r="CP52" s="301">
        <f>SUM(CP41:CP51)</f>
        <v>12743</v>
      </c>
      <c r="CQ52" s="276"/>
      <c r="CS52" s="308"/>
      <c r="CT52" s="314" t="str">
        <f>B52</f>
        <v xml:space="preserve">         Total other financing sources and uses</v>
      </c>
      <c r="CU52" s="301">
        <f>SUM(CU41:CU51)</f>
        <v>163572</v>
      </c>
      <c r="CV52" s="314"/>
      <c r="CW52" s="301">
        <f>SUM(CW41:CW51)</f>
        <v>0</v>
      </c>
      <c r="CX52" s="294"/>
      <c r="CY52" s="301">
        <f>SUM(CY41:CY51)</f>
        <v>0</v>
      </c>
      <c r="CZ52" s="294"/>
      <c r="DA52" s="301">
        <f>SUM(DA41:DA51)</f>
        <v>0</v>
      </c>
      <c r="DB52" s="294"/>
      <c r="DC52" s="301">
        <f>SUM(DC41:DC51)</f>
        <v>0</v>
      </c>
      <c r="DK52" s="300"/>
      <c r="DN52" s="314" t="str">
        <f>B52</f>
        <v xml:space="preserve">         Total other financing sources and uses</v>
      </c>
      <c r="DO52" s="301">
        <f>SUM(DO41:DO51)</f>
        <v>0</v>
      </c>
      <c r="DP52" s="301"/>
      <c r="DQ52" s="301"/>
      <c r="DU52" s="301">
        <f>SUM(DU41:DU51)</f>
        <v>0</v>
      </c>
      <c r="DZ52" s="308"/>
      <c r="EA52" s="287"/>
      <c r="EB52" s="308"/>
      <c r="EC52" s="301">
        <f>SUM(EC41:EC51)</f>
        <v>930884</v>
      </c>
      <c r="ED52" s="300"/>
      <c r="EE52" s="294">
        <f>+EC52+450673</f>
        <v>1381557</v>
      </c>
      <c r="EF52" s="294"/>
      <c r="EH52" s="300"/>
      <c r="EI52" s="276"/>
      <c r="EJ52" s="276"/>
    </row>
    <row r="53" spans="1:141" ht="15.75">
      <c r="B53" s="276"/>
      <c r="C53" s="294"/>
      <c r="D53" s="308"/>
      <c r="E53" s="294"/>
      <c r="F53" s="308"/>
      <c r="G53" s="294"/>
      <c r="H53" s="308"/>
      <c r="I53" s="294"/>
      <c r="J53" s="308"/>
      <c r="K53" s="294"/>
      <c r="L53" s="308"/>
      <c r="M53" s="296"/>
      <c r="N53" s="294"/>
      <c r="O53" s="287"/>
      <c r="P53" s="294"/>
      <c r="Q53" s="287"/>
      <c r="R53" s="294"/>
      <c r="S53" s="287"/>
      <c r="T53" s="294"/>
      <c r="U53" s="287"/>
      <c r="V53" s="294"/>
      <c r="W53" s="308"/>
      <c r="X53" s="296"/>
      <c r="Y53" s="294"/>
      <c r="Z53" s="294"/>
      <c r="AA53" s="294"/>
      <c r="AB53" s="294"/>
      <c r="AC53" s="294"/>
      <c r="AD53" s="294"/>
      <c r="AE53" s="294"/>
      <c r="AF53" s="294"/>
      <c r="AG53" s="294"/>
      <c r="AH53" s="308"/>
      <c r="AI53" s="296"/>
      <c r="AJ53" s="294"/>
      <c r="AK53" s="294"/>
      <c r="AL53" s="294"/>
      <c r="AM53" s="294"/>
      <c r="AN53" s="294"/>
      <c r="AO53" s="294"/>
      <c r="AP53" s="294"/>
      <c r="AQ53" s="294"/>
      <c r="AR53" s="294"/>
      <c r="AS53" s="308"/>
      <c r="AT53" s="296"/>
      <c r="AU53" s="294"/>
      <c r="AV53" s="294"/>
      <c r="AW53" s="294"/>
      <c r="AX53" s="294"/>
      <c r="AY53" s="294"/>
      <c r="AZ53" s="294"/>
      <c r="BA53" s="294"/>
      <c r="BB53" s="294"/>
      <c r="BC53" s="294"/>
      <c r="BD53" s="294"/>
      <c r="BF53" s="308"/>
      <c r="BG53" s="296"/>
      <c r="BH53" s="294"/>
      <c r="BI53" s="296"/>
      <c r="BJ53" s="294"/>
      <c r="BK53" s="294"/>
      <c r="BL53" s="294"/>
      <c r="BM53" s="294"/>
      <c r="BN53" s="294"/>
      <c r="BO53" s="294"/>
      <c r="BP53" s="294"/>
      <c r="BQ53" s="294"/>
      <c r="BS53" s="308"/>
      <c r="BT53" s="296"/>
      <c r="BU53" s="294"/>
      <c r="BV53" s="296"/>
      <c r="BW53" s="294"/>
      <c r="BX53" s="294"/>
      <c r="BY53" s="294"/>
      <c r="BZ53" s="276"/>
      <c r="CA53" s="294"/>
      <c r="CB53" s="276"/>
      <c r="CC53" s="294"/>
      <c r="CD53" s="276"/>
      <c r="CF53" s="308"/>
      <c r="CG53" s="296"/>
      <c r="CH53" s="294"/>
      <c r="CI53" s="296"/>
      <c r="CJ53" s="294"/>
      <c r="CK53" s="276"/>
      <c r="CL53" s="294"/>
      <c r="CM53" s="276"/>
      <c r="CN53" s="294"/>
      <c r="CO53" s="308"/>
      <c r="CP53" s="294"/>
      <c r="CQ53" s="276"/>
      <c r="CS53" s="308"/>
      <c r="CT53" s="296"/>
      <c r="CU53" s="294"/>
      <c r="CV53" s="296"/>
      <c r="CW53" s="294"/>
      <c r="CX53" s="294"/>
      <c r="CY53" s="294"/>
      <c r="CZ53" s="294"/>
      <c r="DA53" s="294"/>
      <c r="DB53" s="294"/>
      <c r="DC53" s="294"/>
      <c r="DK53" s="294"/>
      <c r="DN53" s="296"/>
      <c r="DO53" s="294"/>
      <c r="DP53" s="294"/>
      <c r="DQ53" s="294"/>
      <c r="DU53" s="294"/>
      <c r="DZ53" s="308"/>
      <c r="EA53" s="287"/>
      <c r="EB53" s="308"/>
      <c r="EC53" s="294"/>
      <c r="ED53" s="294"/>
      <c r="EE53" s="294"/>
      <c r="EF53" s="294"/>
      <c r="EH53" s="294"/>
      <c r="EI53" s="276"/>
      <c r="EJ53" s="276"/>
    </row>
    <row r="54" spans="1:141" ht="15.75">
      <c r="B54" s="308"/>
      <c r="C54" s="300"/>
      <c r="D54" s="308"/>
      <c r="E54" s="300"/>
      <c r="F54" s="308"/>
      <c r="G54" s="300"/>
      <c r="H54" s="308"/>
      <c r="I54" s="300"/>
      <c r="J54" s="308"/>
      <c r="K54" s="300"/>
      <c r="L54" s="308"/>
      <c r="M54" s="314"/>
      <c r="N54" s="300"/>
      <c r="O54" s="287"/>
      <c r="P54" s="300"/>
      <c r="Q54" s="287"/>
      <c r="R54" s="300"/>
      <c r="S54" s="287"/>
      <c r="T54" s="300"/>
      <c r="U54" s="287"/>
      <c r="V54" s="300"/>
      <c r="W54" s="308"/>
      <c r="X54" s="314"/>
      <c r="Y54" s="300"/>
      <c r="Z54" s="300"/>
      <c r="AA54" s="300"/>
      <c r="AB54" s="300"/>
      <c r="AC54" s="300"/>
      <c r="AD54" s="300"/>
      <c r="AE54" s="300"/>
      <c r="AF54" s="300"/>
      <c r="AG54" s="300"/>
      <c r="AH54" s="308"/>
      <c r="AI54" s="314"/>
      <c r="AJ54" s="300"/>
      <c r="AK54" s="300"/>
      <c r="AL54" s="300"/>
      <c r="AM54" s="300"/>
      <c r="AN54" s="300"/>
      <c r="AO54" s="300"/>
      <c r="AP54" s="300"/>
      <c r="AQ54" s="300"/>
      <c r="AR54" s="300"/>
      <c r="AS54" s="308"/>
      <c r="AT54" s="314"/>
      <c r="AU54" s="300"/>
      <c r="AV54" s="300"/>
      <c r="AW54" s="300"/>
      <c r="AX54" s="300"/>
      <c r="AY54" s="300"/>
      <c r="AZ54" s="300"/>
      <c r="BA54" s="300"/>
      <c r="BB54" s="300"/>
      <c r="BC54" s="300"/>
      <c r="BD54" s="300"/>
      <c r="BF54" s="308"/>
      <c r="BG54" s="314"/>
      <c r="BH54" s="300"/>
      <c r="BI54" s="314"/>
      <c r="BJ54" s="300"/>
      <c r="BK54" s="300"/>
      <c r="BL54" s="300"/>
      <c r="BM54" s="300"/>
      <c r="BN54" s="300"/>
      <c r="BO54" s="300"/>
      <c r="BP54" s="300"/>
      <c r="BQ54" s="300"/>
      <c r="BS54" s="308"/>
      <c r="BT54" s="314"/>
      <c r="BU54" s="300"/>
      <c r="BV54" s="314"/>
      <c r="BW54" s="300"/>
      <c r="BX54" s="300"/>
      <c r="BY54" s="300"/>
      <c r="BZ54" s="276"/>
      <c r="CA54" s="300"/>
      <c r="CB54" s="276"/>
      <c r="CC54" s="300"/>
      <c r="CD54" s="276"/>
      <c r="CF54" s="308"/>
      <c r="CG54" s="314"/>
      <c r="CH54" s="300"/>
      <c r="CI54" s="314"/>
      <c r="CJ54" s="300"/>
      <c r="CK54" s="276"/>
      <c r="CL54" s="300"/>
      <c r="CM54" s="276"/>
      <c r="CN54" s="300"/>
      <c r="CO54" s="308"/>
      <c r="CP54" s="300"/>
      <c r="CQ54" s="276"/>
      <c r="CS54" s="308"/>
      <c r="CT54" s="314"/>
      <c r="CU54" s="300"/>
      <c r="CV54" s="314"/>
      <c r="CW54" s="300"/>
      <c r="CX54" s="300"/>
      <c r="CY54" s="300"/>
      <c r="CZ54" s="300"/>
      <c r="DA54" s="300"/>
      <c r="DB54" s="300"/>
      <c r="DC54" s="300"/>
      <c r="DK54" s="300"/>
      <c r="DN54" s="314"/>
      <c r="DO54" s="300"/>
      <c r="DP54" s="300"/>
      <c r="DQ54" s="300"/>
      <c r="DU54" s="300"/>
      <c r="DZ54" s="308"/>
      <c r="EA54" s="287"/>
      <c r="EB54" s="308"/>
      <c r="EC54" s="300"/>
      <c r="ED54" s="300"/>
      <c r="EE54" s="300"/>
      <c r="EF54" s="300"/>
      <c r="EH54" s="300"/>
      <c r="EI54" s="276"/>
      <c r="EJ54" s="276"/>
    </row>
    <row r="55" spans="1:141" ht="15.75">
      <c r="B55" s="308" t="str">
        <f>INPUT!B61</f>
        <v xml:space="preserve">             Net change in fund balances</v>
      </c>
      <c r="C55" s="300">
        <f>SUM(C38+C52)</f>
        <v>-432241</v>
      </c>
      <c r="D55" s="308"/>
      <c r="E55" s="300">
        <f>SUM(E38+E52)</f>
        <v>-1939</v>
      </c>
      <c r="F55" s="308"/>
      <c r="G55" s="300">
        <f>SUM(G38+G52)</f>
        <v>87043</v>
      </c>
      <c r="H55" s="308"/>
      <c r="I55" s="300">
        <f>SUM(I38+I52)</f>
        <v>52237</v>
      </c>
      <c r="J55" s="308"/>
      <c r="K55" s="300">
        <f>SUM(K38+K52)</f>
        <v>0</v>
      </c>
      <c r="L55" s="308"/>
      <c r="M55" s="314" t="str">
        <f>B55</f>
        <v xml:space="preserve">             Net change in fund balances</v>
      </c>
      <c r="N55" s="300">
        <f>SUM(N38+N52)</f>
        <v>126891</v>
      </c>
      <c r="O55" s="287"/>
      <c r="P55" s="300">
        <f>SUM(P38+P52)</f>
        <v>1229</v>
      </c>
      <c r="Q55" s="287"/>
      <c r="R55" s="300">
        <f>SUM(R38+R52)</f>
        <v>13155</v>
      </c>
      <c r="S55" s="287"/>
      <c r="T55" s="300">
        <f>IF(SUM(T38+T52)&lt;&gt;0,SUM(T38+T52),"-")</f>
        <v>131329</v>
      </c>
      <c r="U55" s="287"/>
      <c r="V55" s="300">
        <f>SUM(V38+V52)</f>
        <v>-1725</v>
      </c>
      <c r="W55" s="308"/>
      <c r="X55" s="314" t="str">
        <f>B55</f>
        <v xml:space="preserve">             Net change in fund balances</v>
      </c>
      <c r="Y55" s="300">
        <f>SUM(Y38+Y52)</f>
        <v>11579</v>
      </c>
      <c r="Z55" s="300"/>
      <c r="AA55" s="300">
        <f>SUM(AA38+AA52)</f>
        <v>-12462</v>
      </c>
      <c r="AB55" s="300"/>
      <c r="AC55" s="300">
        <f>SUM(AC38+AC52)</f>
        <v>32949</v>
      </c>
      <c r="AD55" s="300"/>
      <c r="AE55" s="300">
        <f>SUM(AE38+AE52)</f>
        <v>-134738</v>
      </c>
      <c r="AF55" s="300"/>
      <c r="AG55" s="300">
        <f>SUM(AG38+AG52)</f>
        <v>19</v>
      </c>
      <c r="AH55" s="308"/>
      <c r="AI55" s="314" t="str">
        <f>B55</f>
        <v xml:space="preserve">             Net change in fund balances</v>
      </c>
      <c r="AJ55" s="300">
        <f>SUM(AJ38+AJ52)</f>
        <v>-13303</v>
      </c>
      <c r="AK55" s="300"/>
      <c r="AL55" s="300">
        <f>SUM(AL38+AL52)</f>
        <v>2375</v>
      </c>
      <c r="AM55" s="300"/>
      <c r="AN55" s="300">
        <f>SUM(AN38+AN52)</f>
        <v>1254</v>
      </c>
      <c r="AO55" s="300"/>
      <c r="AP55" s="300">
        <f>SUM(AP38+AP52)</f>
        <v>40333</v>
      </c>
      <c r="AQ55" s="300"/>
      <c r="AR55" s="300">
        <f>SUM(AR38+AR52)</f>
        <v>52966</v>
      </c>
      <c r="AS55" s="308"/>
      <c r="AT55" s="314" t="str">
        <f>B55</f>
        <v xml:space="preserve">             Net change in fund balances</v>
      </c>
      <c r="AU55" s="300">
        <f>SUM(AU38+AU52)</f>
        <v>-38635</v>
      </c>
      <c r="AV55" s="300"/>
      <c r="AW55" s="300">
        <f>SUM(AW38+AW52)</f>
        <v>313670</v>
      </c>
      <c r="AX55" s="300"/>
      <c r="AY55" s="300">
        <f>SUM(AY38+AY52)</f>
        <v>43710</v>
      </c>
      <c r="AZ55" s="300"/>
      <c r="BA55" s="300">
        <f>SUM(BA38+BA52)</f>
        <v>8341</v>
      </c>
      <c r="BB55" s="300"/>
      <c r="BC55" s="300">
        <f>SUM(BC38+BC52)</f>
        <v>5242</v>
      </c>
      <c r="BD55" s="300"/>
      <c r="BF55" s="308"/>
      <c r="BG55" s="314" t="str">
        <f>B55</f>
        <v xml:space="preserve">             Net change in fund balances</v>
      </c>
      <c r="BH55" s="300">
        <f>SUM(BH38+BH52)</f>
        <v>94</v>
      </c>
      <c r="BI55" s="314"/>
      <c r="BJ55" s="300">
        <f>SUM(BJ38+BJ52)</f>
        <v>-54351</v>
      </c>
      <c r="BK55" s="300"/>
      <c r="BL55" s="300">
        <f>SUM(BL38+BL52)</f>
        <v>-93882</v>
      </c>
      <c r="BM55" s="300"/>
      <c r="BN55" s="300">
        <f>SUM(BN38+BN52)</f>
        <v>-24023</v>
      </c>
      <c r="BO55" s="300"/>
      <c r="BP55" s="300">
        <f>SUM(BP38+BP52)</f>
        <v>2070</v>
      </c>
      <c r="BQ55" s="300"/>
      <c r="BS55" s="308"/>
      <c r="BT55" s="314" t="str">
        <f>B55</f>
        <v xml:space="preserve">             Net change in fund balances</v>
      </c>
      <c r="BU55" s="300">
        <f>SUM(BU38+BU52)</f>
        <v>5743</v>
      </c>
      <c r="BV55" s="314"/>
      <c r="BW55" s="300">
        <f>SUM(BW38+BW52)</f>
        <v>-17255</v>
      </c>
      <c r="BX55" s="300"/>
      <c r="BY55" s="300">
        <f>SUM(BY38+BY52)</f>
        <v>-18494</v>
      </c>
      <c r="BZ55" s="276"/>
      <c r="CA55" s="300">
        <f>SUM(CA38+CA52)</f>
        <v>-25399</v>
      </c>
      <c r="CB55" s="276"/>
      <c r="CC55" s="300">
        <f>SUM(CC38+CC52)</f>
        <v>0</v>
      </c>
      <c r="CD55" s="276"/>
      <c r="CF55" s="308"/>
      <c r="CG55" s="314" t="str">
        <f>M55</f>
        <v xml:space="preserve">             Net change in fund balances</v>
      </c>
      <c r="CH55" s="300">
        <f>SUM(CH38+CH52)</f>
        <v>1261174</v>
      </c>
      <c r="CI55" s="314"/>
      <c r="CJ55" s="300">
        <f>SUM(CJ38+CJ52)</f>
        <v>175320</v>
      </c>
      <c r="CK55" s="276"/>
      <c r="CL55" s="300">
        <f>SUM(CL38+CL52)</f>
        <v>57137</v>
      </c>
      <c r="CM55" s="276"/>
      <c r="CN55" s="300">
        <f>SUM(CN38+CN52)</f>
        <v>29176</v>
      </c>
      <c r="CO55" s="308"/>
      <c r="CP55" s="300">
        <f>SUM(CP38+CP52)</f>
        <v>-312640</v>
      </c>
      <c r="CQ55" s="276"/>
      <c r="CS55" s="308"/>
      <c r="CT55" s="314" t="str">
        <f>B55</f>
        <v xml:space="preserve">             Net change in fund balances</v>
      </c>
      <c r="CU55" s="300">
        <f>SUM(CU38+CU52)</f>
        <v>5782</v>
      </c>
      <c r="CV55" s="314"/>
      <c r="CW55" s="300">
        <f>SUM(CW38+CW52)</f>
        <v>-22045</v>
      </c>
      <c r="CX55" s="300"/>
      <c r="CY55" s="300">
        <f>SUM(CY38+CY52)</f>
        <v>50756</v>
      </c>
      <c r="CZ55" s="300"/>
      <c r="DA55" s="300">
        <f>SUM(DA38+DA52)</f>
        <v>0</v>
      </c>
      <c r="DB55" s="300"/>
      <c r="DC55" s="300">
        <f>SUM(DC38+DC52)</f>
        <v>-16741</v>
      </c>
      <c r="DK55" s="300"/>
      <c r="DN55" s="314" t="str">
        <f>B55</f>
        <v xml:space="preserve">             Net change in fund balances</v>
      </c>
      <c r="DO55" s="300">
        <f>SUM(DO38+DO52)</f>
        <v>17217</v>
      </c>
      <c r="DP55" s="300"/>
      <c r="DQ55" s="300"/>
      <c r="DU55" s="300">
        <f>SUM(DU38+DU52)</f>
        <v>7882</v>
      </c>
      <c r="DZ55" s="308"/>
      <c r="EA55" s="287"/>
      <c r="EB55" s="308"/>
      <c r="EC55" s="300">
        <f>SUM(C55:DU55)</f>
        <v>1316800</v>
      </c>
      <c r="ED55" s="300"/>
      <c r="EE55" s="300"/>
      <c r="EF55" s="300"/>
      <c r="EH55" s="300"/>
      <c r="EI55" s="276"/>
      <c r="EJ55" s="276"/>
    </row>
    <row r="56" spans="1:141" ht="15.75">
      <c r="B56" s="276"/>
      <c r="C56" s="294"/>
      <c r="D56" s="308"/>
      <c r="E56" s="294"/>
      <c r="F56" s="308"/>
      <c r="G56" s="294"/>
      <c r="H56" s="308"/>
      <c r="I56" s="294"/>
      <c r="J56" s="308"/>
      <c r="K56" s="294"/>
      <c r="L56" s="308"/>
      <c r="M56" s="296"/>
      <c r="N56" s="294"/>
      <c r="O56" s="287"/>
      <c r="P56" s="294"/>
      <c r="Q56" s="287"/>
      <c r="R56" s="294"/>
      <c r="S56" s="287"/>
      <c r="T56" s="294"/>
      <c r="U56" s="287"/>
      <c r="V56" s="294"/>
      <c r="W56" s="308"/>
      <c r="X56" s="296"/>
      <c r="Y56" s="294"/>
      <c r="Z56" s="294"/>
      <c r="AA56" s="294"/>
      <c r="AB56" s="294"/>
      <c r="AC56" s="294"/>
      <c r="AD56" s="294"/>
      <c r="AE56" s="294"/>
      <c r="AF56" s="294"/>
      <c r="AG56" s="294"/>
      <c r="AH56" s="308"/>
      <c r="AI56" s="296"/>
      <c r="AJ56" s="294"/>
      <c r="AK56" s="294"/>
      <c r="AL56" s="294"/>
      <c r="AM56" s="294"/>
      <c r="AN56" s="294"/>
      <c r="AO56" s="294"/>
      <c r="AP56" s="294"/>
      <c r="AQ56" s="294"/>
      <c r="AR56" s="294"/>
      <c r="AS56" s="308"/>
      <c r="AT56" s="296"/>
      <c r="AU56" s="294"/>
      <c r="AV56" s="294"/>
      <c r="AW56" s="294"/>
      <c r="AX56" s="294"/>
      <c r="AY56" s="294"/>
      <c r="AZ56" s="294"/>
      <c r="BA56" s="294"/>
      <c r="BB56" s="294"/>
      <c r="BC56" s="294"/>
      <c r="BD56" s="294"/>
      <c r="BF56" s="308"/>
      <c r="BG56" s="296"/>
      <c r="BH56" s="294"/>
      <c r="BI56" s="296"/>
      <c r="BJ56" s="294"/>
      <c r="BK56" s="294"/>
      <c r="BL56" s="294"/>
      <c r="BM56" s="294"/>
      <c r="BN56" s="294"/>
      <c r="BO56" s="294"/>
      <c r="BP56" s="294"/>
      <c r="BQ56" s="294"/>
      <c r="BS56" s="308"/>
      <c r="BT56" s="296"/>
      <c r="BV56" s="296"/>
      <c r="BX56" s="294"/>
      <c r="BZ56" s="276"/>
      <c r="CB56" s="276"/>
      <c r="CD56" s="276"/>
      <c r="CF56" s="308"/>
      <c r="CG56" s="296"/>
      <c r="CI56" s="296"/>
      <c r="CJ56" s="294"/>
      <c r="CK56" s="276"/>
      <c r="CL56" s="294"/>
      <c r="CM56" s="276"/>
      <c r="CN56" s="294"/>
      <c r="CO56" s="308"/>
      <c r="CP56" s="294"/>
      <c r="CQ56" s="276"/>
      <c r="CS56" s="308"/>
      <c r="CT56" s="296"/>
      <c r="CU56" s="294"/>
      <c r="CV56" s="296"/>
      <c r="CW56" s="294"/>
      <c r="CX56" s="294"/>
      <c r="CY56" s="294"/>
      <c r="CZ56" s="294"/>
      <c r="DA56" s="294"/>
      <c r="DB56" s="294"/>
      <c r="DC56" s="294"/>
      <c r="DN56" s="296"/>
      <c r="DO56" s="294"/>
      <c r="DP56" s="294"/>
      <c r="DZ56" s="308"/>
      <c r="EA56" s="287"/>
      <c r="EB56" s="308"/>
      <c r="EC56" s="294"/>
      <c r="ED56" s="294"/>
      <c r="EF56" s="294"/>
      <c r="EH56" s="294"/>
      <c r="EI56" s="276"/>
      <c r="EJ56" s="276"/>
    </row>
    <row r="57" spans="1:141" ht="15.75">
      <c r="B57" s="276" t="str">
        <f>INPUT!B63</f>
        <v xml:space="preserve">     Fund balance, July 1</v>
      </c>
      <c r="C57" s="294">
        <f>+INPUT!E276</f>
        <v>330187</v>
      </c>
      <c r="D57" s="308"/>
      <c r="E57" s="294">
        <f>+INPUT!F276</f>
        <v>5631</v>
      </c>
      <c r="F57" s="308"/>
      <c r="G57" s="294">
        <f>+INPUT!G276</f>
        <v>-13234</v>
      </c>
      <c r="H57" s="308"/>
      <c r="I57" s="294">
        <f>+INPUT!H276</f>
        <v>305110</v>
      </c>
      <c r="J57" s="308"/>
      <c r="K57" s="294">
        <f>+INPUT!I276</f>
        <v>4500</v>
      </c>
      <c r="L57" s="308"/>
      <c r="M57" s="296" t="str">
        <f>B57</f>
        <v xml:space="preserve">     Fund balance, July 1</v>
      </c>
      <c r="N57" s="294">
        <f>+INPUT!J276</f>
        <v>1970166</v>
      </c>
      <c r="O57" s="287"/>
      <c r="P57" s="294">
        <f>+INPUT!K276</f>
        <v>74</v>
      </c>
      <c r="Q57" s="287"/>
      <c r="R57" s="294">
        <f>+INPUT!L276</f>
        <v>8485</v>
      </c>
      <c r="S57" s="287"/>
      <c r="T57" s="294">
        <f>+INPUT!M276</f>
        <v>529000</v>
      </c>
      <c r="U57" s="287"/>
      <c r="V57" s="294">
        <f>+INPUT!N276</f>
        <v>86030</v>
      </c>
      <c r="W57" s="308"/>
      <c r="X57" s="296" t="str">
        <f>B57</f>
        <v xml:space="preserve">     Fund balance, July 1</v>
      </c>
      <c r="Y57" s="294">
        <f>+INPUT!O276</f>
        <v>48826</v>
      </c>
      <c r="Z57" s="294"/>
      <c r="AA57" s="294">
        <f>IF(+INPUT!Q276&lt;&gt;0,+INPUT!Q276,"-")</f>
        <v>198091</v>
      </c>
      <c r="AB57" s="294"/>
      <c r="AC57" s="294">
        <f>IF(+INPUT!R276&lt;&gt;0,+INPUT!R276,"-")</f>
        <v>347266</v>
      </c>
      <c r="AD57" s="294"/>
      <c r="AE57" s="294">
        <f>IF(+INPUT!S276&lt;&gt;0,+INPUT!S276,"-")</f>
        <v>1157672</v>
      </c>
      <c r="AF57" s="294"/>
      <c r="AG57" s="294">
        <f>IF(+INPUT!T276&lt;&gt;0,+INPUT!T276,"-")</f>
        <v>289</v>
      </c>
      <c r="AH57" s="308"/>
      <c r="AI57" s="296" t="str">
        <f>B57</f>
        <v xml:space="preserve">     Fund balance, July 1</v>
      </c>
      <c r="AJ57" s="294">
        <f>IF(+INPUT!U276&lt;&gt;0,+INPUT!U276,"-")</f>
        <v>666764</v>
      </c>
      <c r="AK57" s="294"/>
      <c r="AL57" s="294">
        <f>IF(+INPUT!V276&lt;&gt;0,+INPUT!V276,"-")</f>
        <v>142</v>
      </c>
      <c r="AM57" s="294"/>
      <c r="AN57" s="294">
        <f>IF(+INPUT!W276&lt;&gt;0,+INPUT!W276,"-")</f>
        <v>253822</v>
      </c>
      <c r="AO57" s="294"/>
      <c r="AP57" s="294">
        <f>+INPUT!Y276</f>
        <v>-4554</v>
      </c>
      <c r="AQ57" s="294"/>
      <c r="AR57" s="294">
        <f>+INPUT!Z276</f>
        <v>54037</v>
      </c>
      <c r="AS57" s="308"/>
      <c r="AT57" s="296" t="str">
        <f>B57</f>
        <v xml:space="preserve">     Fund balance, July 1</v>
      </c>
      <c r="AU57" s="294">
        <f>IF(+INPUT!AA276&lt;&gt;0,+INPUT!AA276,"-")</f>
        <v>138674</v>
      </c>
      <c r="AV57" s="294"/>
      <c r="AW57" s="294">
        <f>IF(+INPUT!AB276&lt;&gt;0,+INPUT!AB276,"-")</f>
        <v>1317706</v>
      </c>
      <c r="AX57" s="294"/>
      <c r="AY57" s="294">
        <f>IF(+INPUT!AC276&lt;&gt;0,+INPUT!AC276,"-")</f>
        <v>195203</v>
      </c>
      <c r="AZ57" s="294"/>
      <c r="BA57" s="294">
        <f>IF(+INPUT!AD276&lt;&gt;0,+INPUT!AD276,"-")</f>
        <v>19792</v>
      </c>
      <c r="BB57" s="294"/>
      <c r="BC57" s="294">
        <f>IF(+INPUT!AE276&lt;&gt;0,+INPUT!AE276,"-")</f>
        <v>77193</v>
      </c>
      <c r="BD57" s="294"/>
      <c r="BF57" s="308"/>
      <c r="BG57" s="296" t="str">
        <f>B57</f>
        <v xml:space="preserve">     Fund balance, July 1</v>
      </c>
      <c r="BH57" s="294">
        <f>IF(+INPUT!AF276&lt;&gt;0,+INPUT!AF276,"-")</f>
        <v>21108</v>
      </c>
      <c r="BI57" s="296"/>
      <c r="BJ57" s="294">
        <f>IF(+INPUT!AG276&lt;&gt;0,+INPUT!AG276,"-")</f>
        <v>476992</v>
      </c>
      <c r="BK57" s="294"/>
      <c r="BL57" s="294">
        <f>IF(+INPUT!AH276&lt;&gt;0,+INPUT!AH276,"-")</f>
        <v>347620</v>
      </c>
      <c r="BM57" s="294"/>
      <c r="BN57" s="294">
        <f>IF(+INPUT!AI276&lt;&gt;0,+INPUT!AI276,"-")</f>
        <v>45849</v>
      </c>
      <c r="BO57" s="294"/>
      <c r="BP57" s="294">
        <f>IF(+INPUT!AJ276&lt;&gt;0,+INPUT!AJ276,"-")</f>
        <v>60394</v>
      </c>
      <c r="BQ57" s="294"/>
      <c r="BS57" s="308"/>
      <c r="BT57" s="296" t="str">
        <f>B57</f>
        <v xml:space="preserve">     Fund balance, July 1</v>
      </c>
      <c r="BU57" s="294">
        <f>IF(+INPUT!AK63&lt;&gt;0,+INPUT!AK63,"-")</f>
        <v>25</v>
      </c>
      <c r="BV57" s="296"/>
      <c r="BW57" s="294">
        <f>IF(+INPUT!AL63&lt;&gt;0,+INPUT!AL63,"-")</f>
        <v>52789</v>
      </c>
      <c r="BX57" s="294"/>
      <c r="BY57" s="294">
        <f>IF(+INPUT!AM63&lt;&gt;0,+INPUT!AM63,"-")</f>
        <v>58393</v>
      </c>
      <c r="BZ57" s="276"/>
      <c r="CA57" s="294">
        <f>IF(+INPUT!AN63&lt;&gt;0,+INPUT!AN63,"-")</f>
        <v>193845</v>
      </c>
      <c r="CB57" s="276"/>
      <c r="CC57" s="294" t="str">
        <f>IF(+INPUT!AO63&lt;&gt;0,+INPUT!AO63,"-")</f>
        <v>-</v>
      </c>
      <c r="CD57" s="276"/>
      <c r="CF57" s="308"/>
      <c r="CG57" s="296" t="str">
        <f>M57</f>
        <v xml:space="preserve">     Fund balance, July 1</v>
      </c>
      <c r="CH57" s="294">
        <f>IF(+INPUT!AP63&lt;&gt;0,+INPUT!AP63,"-")</f>
        <v>414553</v>
      </c>
      <c r="CI57" s="296"/>
      <c r="CJ57" s="294">
        <f>+INPUT!AQ276</f>
        <v>696878</v>
      </c>
      <c r="CK57" s="276"/>
      <c r="CL57" s="294">
        <f>+INPUT!AR276</f>
        <v>47367</v>
      </c>
      <c r="CM57" s="276"/>
      <c r="CN57" s="294">
        <f>+INPUT!AS276</f>
        <v>67703</v>
      </c>
      <c r="CO57" s="308"/>
      <c r="CP57" s="294">
        <f>+INPUT!AT276</f>
        <v>560220</v>
      </c>
      <c r="CQ57" s="276"/>
      <c r="CS57" s="308"/>
      <c r="CT57" s="296" t="str">
        <f>B57</f>
        <v xml:space="preserve">     Fund balance, July 1</v>
      </c>
      <c r="CU57" s="294">
        <f>+INPUT!AU276</f>
        <v>-7069</v>
      </c>
      <c r="CV57" s="296"/>
      <c r="CW57" s="294">
        <f>INPUT!AV276</f>
        <v>0</v>
      </c>
      <c r="CX57" s="294"/>
      <c r="CY57" s="294">
        <f>INPUT!AX276</f>
        <v>-62728</v>
      </c>
      <c r="CZ57" s="294"/>
      <c r="DA57" s="294" t="str">
        <f>IF(+INPUT!AY276&lt;&gt;0,+INPUT!AY276,"-")</f>
        <v>-</v>
      </c>
      <c r="DB57" s="294"/>
      <c r="DC57" s="294">
        <f>IF(+INPUT!AZ276&lt;&gt;0,+INPUT!AZ276,"-")</f>
        <v>34313</v>
      </c>
      <c r="DK57" s="294"/>
      <c r="DN57" s="296" t="str">
        <f>B57</f>
        <v xml:space="preserve">     Fund balance, July 1</v>
      </c>
      <c r="DO57" s="294">
        <f>INPUT!BA276</f>
        <v>-25945</v>
      </c>
      <c r="DP57" s="294"/>
      <c r="DQ57" s="294"/>
      <c r="DU57" s="294">
        <f>IF(+INPUT!BD63&lt;&gt;0,+INPUT!BD63,"-")</f>
        <v>363764</v>
      </c>
      <c r="DZ57" s="308"/>
      <c r="EA57" s="287"/>
      <c r="EB57" s="308"/>
      <c r="EC57" s="294">
        <f>SUM(C57:EB57)</f>
        <v>11042943</v>
      </c>
      <c r="ED57" s="294"/>
      <c r="EE57" s="294"/>
      <c r="EF57" s="294"/>
      <c r="EH57" s="294"/>
      <c r="EJ57" s="276" t="e">
        <f>+INPUT!BF63-'SR IS'!T57-'Govt IS'!F62+INPUT!#REF!+INPUT!EG63</f>
        <v>#REF!</v>
      </c>
      <c r="EK57" s="288" t="e">
        <f>+EJ57-EC57</f>
        <v>#REF!</v>
      </c>
    </row>
    <row r="58" spans="1:141" ht="15.75" hidden="1" customHeight="1">
      <c r="B58" s="276"/>
      <c r="C58" s="294"/>
      <c r="D58" s="308"/>
      <c r="E58" s="294"/>
      <c r="F58" s="308"/>
      <c r="G58" s="294"/>
      <c r="H58" s="308"/>
      <c r="I58" s="294"/>
      <c r="J58" s="308"/>
      <c r="K58" s="294"/>
      <c r="L58" s="308"/>
      <c r="M58" s="296"/>
      <c r="N58" s="294"/>
      <c r="O58" s="287"/>
      <c r="P58" s="294"/>
      <c r="Q58" s="287"/>
      <c r="R58" s="294"/>
      <c r="S58" s="287"/>
      <c r="T58" s="294"/>
      <c r="U58" s="287"/>
      <c r="V58" s="294"/>
      <c r="W58" s="308"/>
      <c r="X58" s="296"/>
      <c r="Y58" s="294"/>
      <c r="Z58" s="294"/>
      <c r="AA58" s="294"/>
      <c r="AB58" s="294"/>
      <c r="AC58" s="294"/>
      <c r="AD58" s="294"/>
      <c r="AE58" s="294"/>
      <c r="AF58" s="294"/>
      <c r="AG58" s="294"/>
      <c r="AH58" s="308"/>
      <c r="AI58" s="296"/>
      <c r="AJ58" s="294"/>
      <c r="AK58" s="294"/>
      <c r="AL58" s="294"/>
      <c r="AM58" s="294"/>
      <c r="AN58" s="294"/>
      <c r="AO58" s="294"/>
      <c r="AP58" s="294"/>
      <c r="AQ58" s="294"/>
      <c r="AR58" s="294"/>
      <c r="AS58" s="308"/>
      <c r="AT58" s="296"/>
      <c r="AU58" s="294"/>
      <c r="AV58" s="294"/>
      <c r="AW58" s="294"/>
      <c r="AX58" s="294"/>
      <c r="AY58" s="294"/>
      <c r="AZ58" s="294"/>
      <c r="BA58" s="294"/>
      <c r="BB58" s="294"/>
      <c r="BC58" s="294"/>
      <c r="BD58" s="294"/>
      <c r="BF58" s="308"/>
      <c r="BG58" s="296"/>
      <c r="BH58" s="294"/>
      <c r="BI58" s="296"/>
      <c r="BJ58" s="294"/>
      <c r="BK58" s="294"/>
      <c r="BL58" s="294"/>
      <c r="BM58" s="294"/>
      <c r="BN58" s="294"/>
      <c r="BO58" s="294"/>
      <c r="BP58" s="294"/>
      <c r="BQ58" s="294"/>
      <c r="BS58" s="308"/>
      <c r="BT58" s="296"/>
      <c r="BU58" s="294"/>
      <c r="BV58" s="296"/>
      <c r="BW58" s="294"/>
      <c r="BX58" s="294"/>
      <c r="BY58" s="294"/>
      <c r="BZ58" s="276"/>
      <c r="CA58" s="294"/>
      <c r="CB58" s="276"/>
      <c r="CC58" s="294"/>
      <c r="CD58" s="276"/>
      <c r="CF58" s="308"/>
      <c r="CG58" s="296"/>
      <c r="CH58" s="294"/>
      <c r="CI58" s="296"/>
      <c r="CJ58" s="294"/>
      <c r="CK58" s="276"/>
      <c r="CL58" s="294"/>
      <c r="CM58" s="276"/>
      <c r="CN58" s="294"/>
      <c r="CO58" s="308"/>
      <c r="CP58" s="294"/>
      <c r="CQ58" s="276"/>
      <c r="CS58" s="308"/>
      <c r="CT58" s="296"/>
      <c r="CU58" s="294"/>
      <c r="CV58" s="296"/>
      <c r="CW58" s="294"/>
      <c r="CX58" s="294"/>
      <c r="CY58" s="294"/>
      <c r="CZ58" s="294"/>
      <c r="DA58" s="294"/>
      <c r="DB58" s="294"/>
      <c r="DC58" s="294"/>
      <c r="DK58" s="294"/>
      <c r="DN58" s="296"/>
      <c r="DO58" s="294"/>
      <c r="DP58" s="294"/>
      <c r="DQ58" s="294"/>
      <c r="DU58" s="294"/>
      <c r="DZ58" s="308"/>
      <c r="EA58" s="287"/>
      <c r="EB58" s="308"/>
      <c r="EC58" s="294"/>
      <c r="ED58" s="294"/>
      <c r="EE58" s="294"/>
      <c r="EF58" s="294"/>
      <c r="EH58" s="294"/>
      <c r="EI58" s="276"/>
      <c r="EJ58" s="276"/>
    </row>
    <row r="59" spans="1:141" ht="15.75" hidden="1" customHeight="1">
      <c r="B59" s="276" t="str">
        <f>INPUT!B66</f>
        <v xml:space="preserve">     Prior period adjustments</v>
      </c>
      <c r="C59" s="317">
        <f>+INPUT!E66</f>
        <v>0</v>
      </c>
      <c r="D59" s="308"/>
      <c r="E59" s="317">
        <f>+INPUT!F66</f>
        <v>0</v>
      </c>
      <c r="F59" s="308"/>
      <c r="G59" s="317">
        <f>+INPUT!G66</f>
        <v>0</v>
      </c>
      <c r="H59" s="308"/>
      <c r="I59" s="317">
        <f>+INPUT!H66</f>
        <v>0</v>
      </c>
      <c r="J59" s="308"/>
      <c r="K59" s="317">
        <f>+INPUT!I66</f>
        <v>0</v>
      </c>
      <c r="L59" s="308"/>
      <c r="M59" s="296" t="str">
        <f>B59</f>
        <v xml:space="preserve">     Prior period adjustments</v>
      </c>
      <c r="N59" s="317">
        <f>+INPUT!J66</f>
        <v>0</v>
      </c>
      <c r="O59" s="287"/>
      <c r="P59" s="317">
        <f>+INPUT!K66</f>
        <v>0</v>
      </c>
      <c r="Q59" s="287"/>
      <c r="R59" s="317">
        <f>+INPUT!L66</f>
        <v>0</v>
      </c>
      <c r="S59" s="287"/>
      <c r="T59" s="317">
        <f>+INPUT!M66</f>
        <v>0</v>
      </c>
      <c r="U59" s="287"/>
      <c r="V59" s="317">
        <f>+INPUT!N66</f>
        <v>0</v>
      </c>
      <c r="W59" s="308"/>
      <c r="X59" s="296" t="str">
        <f>B59</f>
        <v xml:space="preserve">     Prior period adjustments</v>
      </c>
      <c r="Y59" s="317">
        <f>+INPUT!O66</f>
        <v>0</v>
      </c>
      <c r="Z59" s="294"/>
      <c r="AA59" s="317" t="str">
        <f>IF(+INPUT!Q66&lt;&gt;0,+INPUT!Q66,"-")</f>
        <v>-</v>
      </c>
      <c r="AB59" s="294"/>
      <c r="AC59" s="317" t="str">
        <f>IF(+INPUT!R66&lt;&gt;0,+INPUT!R66,"-")</f>
        <v>-</v>
      </c>
      <c r="AD59" s="294"/>
      <c r="AE59" s="317" t="str">
        <f>IF(+INPUT!S66&lt;&gt;0,+INPUT!S66,"-")</f>
        <v>-</v>
      </c>
      <c r="AF59" s="294"/>
      <c r="AG59" s="317" t="str">
        <f>IF(+INPUT!T66&lt;&gt;0,+INPUT!T66,"-")</f>
        <v>-</v>
      </c>
      <c r="AH59" s="308"/>
      <c r="AI59" s="296" t="str">
        <f>B59</f>
        <v xml:space="preserve">     Prior period adjustments</v>
      </c>
      <c r="AJ59" s="317" t="str">
        <f>IF(+INPUT!U66&lt;&gt;0,+INPUT!U66,"-")</f>
        <v>-</v>
      </c>
      <c r="AK59" s="294"/>
      <c r="AL59" s="317" t="str">
        <f>IF(+INPUT!V66&lt;&gt;0,+INPUT!V66,"-")</f>
        <v>-</v>
      </c>
      <c r="AM59" s="294"/>
      <c r="AN59" s="317" t="str">
        <f>IF(+INPUT!W66&lt;&gt;0,+INPUT!W66,"-")</f>
        <v>-</v>
      </c>
      <c r="AO59" s="294"/>
      <c r="AP59" s="317">
        <f>+INPUT!Y66</f>
        <v>0</v>
      </c>
      <c r="AQ59" s="294"/>
      <c r="AR59" s="317">
        <f>+INPUT!Z66</f>
        <v>0</v>
      </c>
      <c r="AS59" s="308"/>
      <c r="AT59" s="296" t="str">
        <f>B59</f>
        <v xml:space="preserve">     Prior period adjustments</v>
      </c>
      <c r="AU59" s="317" t="str">
        <f>IF(+INPUT!AA66&lt;&gt;0,+INPUT!AA66,"-")</f>
        <v>-</v>
      </c>
      <c r="AV59" s="294"/>
      <c r="AW59" s="317" t="str">
        <f>IF(+INPUT!AB66&lt;&gt;0,+INPUT!AB66,"-")</f>
        <v>-</v>
      </c>
      <c r="AX59" s="294"/>
      <c r="AY59" s="317" t="str">
        <f>IF(+INPUT!AC66&lt;&gt;0,+INPUT!AC66,"-")</f>
        <v>-</v>
      </c>
      <c r="AZ59" s="294"/>
      <c r="BA59" s="317" t="str">
        <f>IF(+INPUT!AD66&lt;&gt;0,+INPUT!AD66,"-")</f>
        <v>-</v>
      </c>
      <c r="BB59" s="294"/>
      <c r="BC59" s="317" t="str">
        <f>IF(+INPUT!AE66&lt;&gt;0,+INPUT!AE66,"-")</f>
        <v>-</v>
      </c>
      <c r="BD59" s="294"/>
      <c r="BF59" s="308"/>
      <c r="BG59" s="296" t="str">
        <f>B59</f>
        <v xml:space="preserve">     Prior period adjustments</v>
      </c>
      <c r="BH59" s="317" t="str">
        <f>IF(+INPUT!AF66&lt;&gt;0,+INPUT!AF66,"-")</f>
        <v>-</v>
      </c>
      <c r="BI59" s="296"/>
      <c r="BJ59" s="317" t="str">
        <f>IF(+INPUT!AG66&lt;&gt;0,+INPUT!AG66,"-")</f>
        <v>-</v>
      </c>
      <c r="BK59" s="294"/>
      <c r="BL59" s="317" t="str">
        <f>IF(+INPUT!AH66&lt;&gt;0,+INPUT!AH66,"-")</f>
        <v>-</v>
      </c>
      <c r="BM59" s="294"/>
      <c r="BN59" s="317" t="str">
        <f>IF(+INPUT!AI66&lt;&gt;0,+INPUT!AI66,"-")</f>
        <v>-</v>
      </c>
      <c r="BO59" s="294"/>
      <c r="BP59" s="317" t="str">
        <f>IF(+INPUT!AJ66&lt;&gt;0,+INPUT!AJ66,"-")</f>
        <v>-</v>
      </c>
      <c r="BQ59" s="294"/>
      <c r="BS59" s="308"/>
      <c r="BT59" s="296" t="str">
        <f>B59</f>
        <v xml:space="preserve">     Prior period adjustments</v>
      </c>
      <c r="BU59" s="317" t="str">
        <f>IF(+INPUT!AK66&lt;&gt;0,+INPUT!AK66,"-")</f>
        <v>-</v>
      </c>
      <c r="BV59" s="296"/>
      <c r="BW59" s="317" t="str">
        <f>IF(+INPUT!AL66&lt;&gt;0,+INPUT!AL66,"-")</f>
        <v>-</v>
      </c>
      <c r="BX59" s="294"/>
      <c r="BY59" s="317" t="str">
        <f>IF(+INPUT!AM66&lt;&gt;0,+INPUT!AM66,"-")</f>
        <v>-</v>
      </c>
      <c r="BZ59" s="276"/>
      <c r="CA59" s="317" t="str">
        <f>IF(+INPUT!AN66&lt;&gt;0,+INPUT!AN66,"-")</f>
        <v>-</v>
      </c>
      <c r="CB59" s="276"/>
      <c r="CC59" s="317" t="str">
        <f>IF(+INPUT!AO66&lt;&gt;0,+INPUT!AO66,"-")</f>
        <v>-</v>
      </c>
      <c r="CD59" s="276"/>
      <c r="CF59" s="308"/>
      <c r="CG59" s="296" t="str">
        <f>M59</f>
        <v xml:space="preserve">     Prior period adjustments</v>
      </c>
      <c r="CH59" s="317" t="str">
        <f>IF(+INPUT!AP66&lt;&gt;0,+INPUT!AP66,"-")</f>
        <v>-</v>
      </c>
      <c r="CI59" s="296"/>
      <c r="CJ59" s="317" t="str">
        <f>IF(+INPUT!AQ66&lt;&gt;0,+INPUT!AQ66,"-")</f>
        <v>-</v>
      </c>
      <c r="CK59" s="276"/>
      <c r="CL59" s="317" t="str">
        <f>IF(+INPUT!AR66&lt;&gt;0,+INPUT!AR66,"-")</f>
        <v>-</v>
      </c>
      <c r="CM59" s="276"/>
      <c r="CN59" s="317" t="str">
        <f>IF(+INPUT!AS66&lt;&gt;0,+INPUT!AS66,"-")</f>
        <v>-</v>
      </c>
      <c r="CO59" s="308"/>
      <c r="CP59" s="317" t="str">
        <f>IF(+INPUT!AT66&lt;&gt;0,+INPUT!AT66,"-")</f>
        <v>-</v>
      </c>
      <c r="CQ59" s="276"/>
      <c r="CS59" s="308"/>
      <c r="CT59" s="296" t="str">
        <f>B59</f>
        <v xml:space="preserve">     Prior period adjustments</v>
      </c>
      <c r="CU59" s="317" t="str">
        <f>IF(+INPUT!AU66&lt;&gt;0,+INPUT!AU66,"-")</f>
        <v>-</v>
      </c>
      <c r="CV59" s="296"/>
      <c r="CW59" s="317">
        <f>+INPUT!AV66</f>
        <v>0</v>
      </c>
      <c r="CX59" s="294"/>
      <c r="CY59" s="317">
        <f>+INPUT!AX66</f>
        <v>0</v>
      </c>
      <c r="CZ59" s="294"/>
      <c r="DA59" s="317" t="str">
        <f>IF(+INPUT!AY66&lt;&gt;0,+INPUT!AY66,"-")</f>
        <v>-</v>
      </c>
      <c r="DB59" s="294"/>
      <c r="DC59" s="317" t="str">
        <f>IF(+INPUT!AZ66&lt;&gt;0,+INPUT!AZ66,"-")</f>
        <v>-</v>
      </c>
      <c r="DK59" s="294"/>
      <c r="DN59" s="296" t="str">
        <f>B59</f>
        <v xml:space="preserve">     Prior period adjustments</v>
      </c>
      <c r="DO59" s="317" t="str">
        <f>IF(+INPUT!BA66&lt;&gt;0,+INPUT!BA66,"-")</f>
        <v>-</v>
      </c>
      <c r="DP59" s="317"/>
      <c r="DQ59" s="317"/>
      <c r="DU59" s="317" t="str">
        <f>IF(+INPUT!BD66&lt;&gt;0,+INPUT!BD66,"-")</f>
        <v>-</v>
      </c>
      <c r="DZ59" s="308"/>
      <c r="EA59" s="287"/>
      <c r="EB59" s="308"/>
      <c r="EC59" s="294">
        <f>SUM(C59:EB59)</f>
        <v>0</v>
      </c>
      <c r="ED59" s="294"/>
      <c r="EE59" s="294"/>
      <c r="EF59" s="294"/>
      <c r="EH59" s="294"/>
      <c r="EI59" s="276"/>
      <c r="EJ59" s="276"/>
    </row>
    <row r="60" spans="1:141" ht="15.75" hidden="1" customHeight="1">
      <c r="B60" s="276"/>
      <c r="C60" s="294"/>
      <c r="D60" s="308"/>
      <c r="E60" s="294"/>
      <c r="F60" s="308"/>
      <c r="G60" s="294"/>
      <c r="H60" s="308"/>
      <c r="I60" s="294"/>
      <c r="J60" s="308"/>
      <c r="K60" s="294"/>
      <c r="L60" s="308"/>
      <c r="M60" s="296"/>
      <c r="N60" s="294"/>
      <c r="O60" s="287"/>
      <c r="P60" s="294"/>
      <c r="Q60" s="287"/>
      <c r="R60" s="294"/>
      <c r="S60" s="287"/>
      <c r="T60" s="294"/>
      <c r="U60" s="287"/>
      <c r="V60" s="294"/>
      <c r="W60" s="308"/>
      <c r="X60" s="296"/>
      <c r="Y60" s="294"/>
      <c r="Z60" s="294"/>
      <c r="AA60" s="294"/>
      <c r="AB60" s="294"/>
      <c r="AC60" s="294"/>
      <c r="AD60" s="294"/>
      <c r="AE60" s="294"/>
      <c r="AF60" s="294"/>
      <c r="AG60" s="294"/>
      <c r="AH60" s="308"/>
      <c r="AI60" s="296"/>
      <c r="AJ60" s="294"/>
      <c r="AK60" s="294"/>
      <c r="AL60" s="294"/>
      <c r="AM60" s="294"/>
      <c r="AN60" s="294"/>
      <c r="AO60" s="294"/>
      <c r="AP60" s="294"/>
      <c r="AQ60" s="294"/>
      <c r="AR60" s="294"/>
      <c r="AS60" s="308"/>
      <c r="AT60" s="296"/>
      <c r="AU60" s="294"/>
      <c r="AV60" s="294"/>
      <c r="AW60" s="294"/>
      <c r="AX60" s="294"/>
      <c r="AY60" s="294"/>
      <c r="AZ60" s="294"/>
      <c r="BA60" s="294"/>
      <c r="BB60" s="294"/>
      <c r="BC60" s="294"/>
      <c r="BD60" s="294"/>
      <c r="BF60" s="308"/>
      <c r="BG60" s="296"/>
      <c r="BH60" s="294"/>
      <c r="BI60" s="296"/>
      <c r="BJ60" s="294"/>
      <c r="BK60" s="294"/>
      <c r="BL60" s="294"/>
      <c r="BM60" s="294"/>
      <c r="BN60" s="294"/>
      <c r="BO60" s="294"/>
      <c r="BP60" s="294"/>
      <c r="BQ60" s="294"/>
      <c r="BS60" s="308"/>
      <c r="BT60" s="296"/>
      <c r="BV60" s="296"/>
      <c r="BX60" s="294"/>
      <c r="BZ60" s="276"/>
      <c r="CB60" s="276"/>
      <c r="CD60" s="276"/>
      <c r="CF60" s="308"/>
      <c r="CG60" s="296"/>
      <c r="CI60" s="296"/>
      <c r="CJ60" s="294"/>
      <c r="CK60" s="276"/>
      <c r="CL60" s="294"/>
      <c r="CM60" s="276"/>
      <c r="CN60" s="294"/>
      <c r="CO60" s="308"/>
      <c r="CP60" s="294"/>
      <c r="CQ60" s="276"/>
      <c r="CS60" s="308"/>
      <c r="CT60" s="296"/>
      <c r="CU60" s="294"/>
      <c r="CV60" s="296"/>
      <c r="CW60" s="294"/>
      <c r="CX60" s="294"/>
      <c r="CY60" s="294"/>
      <c r="CZ60" s="294"/>
      <c r="DA60" s="294"/>
      <c r="DB60" s="294"/>
      <c r="DC60" s="294"/>
      <c r="DN60" s="296"/>
      <c r="DO60" s="294"/>
      <c r="DP60" s="294"/>
      <c r="DZ60" s="308"/>
      <c r="EA60" s="287"/>
      <c r="EB60" s="308"/>
      <c r="EC60" s="337"/>
      <c r="ED60" s="294"/>
      <c r="EF60" s="294"/>
      <c r="EH60" s="294"/>
      <c r="EI60" s="276"/>
      <c r="EJ60" s="276"/>
    </row>
    <row r="61" spans="1:141" ht="15.75" hidden="1" customHeight="1">
      <c r="B61" s="308" t="str">
        <f>INPUT!B69</f>
        <v xml:space="preserve">     Total net position, beginning, as restated</v>
      </c>
      <c r="C61" s="300">
        <f>SUM(C57+C59)</f>
        <v>330187</v>
      </c>
      <c r="D61" s="308"/>
      <c r="E61" s="300">
        <f>SUM(E57+E59)</f>
        <v>5631</v>
      </c>
      <c r="F61" s="308"/>
      <c r="G61" s="300">
        <f>SUM(G57+G59)</f>
        <v>-13234</v>
      </c>
      <c r="H61" s="308"/>
      <c r="I61" s="300">
        <f>SUM(I57+I59)</f>
        <v>305110</v>
      </c>
      <c r="J61" s="308"/>
      <c r="K61" s="300">
        <f>SUM(K57+K59)</f>
        <v>4500</v>
      </c>
      <c r="L61" s="308"/>
      <c r="M61" s="314" t="str">
        <f>B61</f>
        <v xml:space="preserve">     Total net position, beginning, as restated</v>
      </c>
      <c r="N61" s="300">
        <f>SUM(N57+N59)</f>
        <v>1970166</v>
      </c>
      <c r="O61" s="287"/>
      <c r="P61" s="300">
        <f>SUM(P57+P59)</f>
        <v>74</v>
      </c>
      <c r="Q61" s="287"/>
      <c r="R61" s="300">
        <f>SUM(R57+R59)</f>
        <v>8485</v>
      </c>
      <c r="S61" s="287"/>
      <c r="T61" s="300">
        <f>IF(SUM(T57+T59)&lt;&gt;0,SUM(T57+T59),"-")</f>
        <v>529000</v>
      </c>
      <c r="U61" s="287"/>
      <c r="V61" s="300">
        <f>SUM(V57+V59)</f>
        <v>86030</v>
      </c>
      <c r="W61" s="308"/>
      <c r="X61" s="314" t="str">
        <f>B61</f>
        <v xml:space="preserve">     Total net position, beginning, as restated</v>
      </c>
      <c r="Y61" s="300">
        <f>SUM(Y57+Y59)</f>
        <v>48826</v>
      </c>
      <c r="Z61" s="300"/>
      <c r="AA61" s="300">
        <f>SUM(AA57+AA59)</f>
        <v>198091</v>
      </c>
      <c r="AB61" s="300"/>
      <c r="AC61" s="300">
        <f>SUM(AC57+AC59)</f>
        <v>347266</v>
      </c>
      <c r="AD61" s="300"/>
      <c r="AE61" s="300">
        <f>SUM(AE57+AE59)</f>
        <v>1157672</v>
      </c>
      <c r="AF61" s="300"/>
      <c r="AG61" s="300">
        <f>SUM(AG57+AG59)</f>
        <v>289</v>
      </c>
      <c r="AH61" s="308"/>
      <c r="AI61" s="314" t="str">
        <f>B61</f>
        <v xml:space="preserve">     Total net position, beginning, as restated</v>
      </c>
      <c r="AJ61" s="300">
        <f>SUM(AJ57+AJ59)</f>
        <v>666764</v>
      </c>
      <c r="AK61" s="300"/>
      <c r="AL61" s="300">
        <f>SUM(AL57+AL59)</f>
        <v>142</v>
      </c>
      <c r="AM61" s="300"/>
      <c r="AN61" s="300">
        <f>SUM(AN57+AN59)</f>
        <v>253822</v>
      </c>
      <c r="AO61" s="300"/>
      <c r="AP61" s="300">
        <f>SUM(AP57+AP59)</f>
        <v>-4554</v>
      </c>
      <c r="AQ61" s="300"/>
      <c r="AR61" s="300">
        <f>SUM(AR57+AR59)</f>
        <v>54037</v>
      </c>
      <c r="AS61" s="308"/>
      <c r="AT61" s="314" t="str">
        <f>B61</f>
        <v xml:space="preserve">     Total net position, beginning, as restated</v>
      </c>
      <c r="AU61" s="300">
        <f>SUM(AU57+AU59)</f>
        <v>138674</v>
      </c>
      <c r="AV61" s="300"/>
      <c r="AW61" s="300">
        <f>SUM(AW57+AW59)</f>
        <v>1317706</v>
      </c>
      <c r="AX61" s="300"/>
      <c r="AY61" s="300">
        <f>SUM(AY57+AY59)</f>
        <v>195203</v>
      </c>
      <c r="AZ61" s="300"/>
      <c r="BA61" s="300">
        <f>SUM(BA57+BA59)</f>
        <v>19792</v>
      </c>
      <c r="BB61" s="300"/>
      <c r="BC61" s="300">
        <f>SUM(BC57+BC59)</f>
        <v>77193</v>
      </c>
      <c r="BD61" s="300"/>
      <c r="BF61" s="308"/>
      <c r="BG61" s="314" t="str">
        <f>B61</f>
        <v xml:space="preserve">     Total net position, beginning, as restated</v>
      </c>
      <c r="BH61" s="300">
        <f>SUM(BH57+BH59)</f>
        <v>21108</v>
      </c>
      <c r="BI61" s="314"/>
      <c r="BJ61" s="300">
        <f>SUM(BJ57+BJ59)</f>
        <v>476992</v>
      </c>
      <c r="BK61" s="300"/>
      <c r="BL61" s="300">
        <f>SUM(BL57+BL59)</f>
        <v>347620</v>
      </c>
      <c r="BM61" s="300"/>
      <c r="BN61" s="300">
        <f>SUM(BN57+BN59)</f>
        <v>45849</v>
      </c>
      <c r="BO61" s="300"/>
      <c r="BP61" s="300">
        <f>SUM(BP57+BP59)</f>
        <v>60394</v>
      </c>
      <c r="BQ61" s="300"/>
      <c r="BS61" s="308"/>
      <c r="BT61" s="314" t="str">
        <f>B61</f>
        <v xml:space="preserve">     Total net position, beginning, as restated</v>
      </c>
      <c r="BU61" s="300">
        <f>SUM(BU57+BU59)</f>
        <v>25</v>
      </c>
      <c r="BV61" s="314"/>
      <c r="BW61" s="300">
        <f>SUM(BW57+BW59)</f>
        <v>52789</v>
      </c>
      <c r="BX61" s="300"/>
      <c r="BY61" s="300">
        <f>SUM(BY57+BY59)</f>
        <v>58393</v>
      </c>
      <c r="BZ61" s="276"/>
      <c r="CA61" s="300">
        <f>SUM(CA57+CA59)</f>
        <v>193845</v>
      </c>
      <c r="CB61" s="276"/>
      <c r="CC61" s="300">
        <f>SUM(CC57+CC59)</f>
        <v>0</v>
      </c>
      <c r="CD61" s="276"/>
      <c r="CF61" s="308"/>
      <c r="CG61" s="314" t="str">
        <f>M61</f>
        <v xml:space="preserve">     Total net position, beginning, as restated</v>
      </c>
      <c r="CH61" s="300">
        <f>SUM(CH57+CH59)</f>
        <v>414553</v>
      </c>
      <c r="CI61" s="314"/>
      <c r="CJ61" s="300">
        <f>SUM(CJ57+CJ59)</f>
        <v>696878</v>
      </c>
      <c r="CK61" s="276"/>
      <c r="CL61" s="300">
        <f>SUM(CL57+CL59)</f>
        <v>47367</v>
      </c>
      <c r="CM61" s="276"/>
      <c r="CN61" s="300">
        <f>SUM(CN57+CN59)</f>
        <v>67703</v>
      </c>
      <c r="CO61" s="308"/>
      <c r="CP61" s="300">
        <f>SUM(CP57+CP59)</f>
        <v>560220</v>
      </c>
      <c r="CQ61" s="276"/>
      <c r="CS61" s="308"/>
      <c r="CT61" s="314" t="str">
        <f>B61</f>
        <v xml:space="preserve">     Total net position, beginning, as restated</v>
      </c>
      <c r="CU61" s="300">
        <f>SUM(CU57+CU59)</f>
        <v>-7069</v>
      </c>
      <c r="CV61" s="314"/>
      <c r="CW61" s="300">
        <f>SUM(CW57+CW59)</f>
        <v>0</v>
      </c>
      <c r="CX61" s="300"/>
      <c r="CY61" s="300">
        <f>SUM(CY57+CY59)</f>
        <v>-62728</v>
      </c>
      <c r="CZ61" s="300"/>
      <c r="DA61" s="300">
        <f>SUM(DA57+DA59)</f>
        <v>0</v>
      </c>
      <c r="DB61" s="300"/>
      <c r="DC61" s="300">
        <f>SUM(DC57+DC59)</f>
        <v>34313</v>
      </c>
      <c r="DK61" s="300"/>
      <c r="DN61" s="314" t="str">
        <f>B61</f>
        <v xml:space="preserve">     Total net position, beginning, as restated</v>
      </c>
      <c r="DO61" s="300">
        <f>SUM(DO57+DO59)</f>
        <v>-25945</v>
      </c>
      <c r="DP61" s="300"/>
      <c r="DQ61" s="300"/>
      <c r="DU61" s="300">
        <f>SUM(DU57+DU59)</f>
        <v>363764</v>
      </c>
      <c r="DZ61" s="308"/>
      <c r="EA61" s="287"/>
      <c r="EB61" s="308"/>
      <c r="EC61" s="300">
        <f>SUM(EC57+EC59)</f>
        <v>11042943</v>
      </c>
      <c r="ED61" s="300"/>
      <c r="EE61" s="300"/>
      <c r="EF61" s="300"/>
      <c r="EH61" s="300"/>
      <c r="EI61" s="276"/>
      <c r="EJ61" s="276"/>
    </row>
    <row r="62" spans="1:141" ht="15.75" hidden="1" customHeight="1">
      <c r="B62" s="276"/>
      <c r="C62" s="294"/>
      <c r="D62" s="308"/>
      <c r="E62" s="294"/>
      <c r="F62" s="308"/>
      <c r="G62" s="294"/>
      <c r="H62" s="308"/>
      <c r="I62" s="294"/>
      <c r="J62" s="308"/>
      <c r="K62" s="294"/>
      <c r="L62" s="308"/>
      <c r="M62" s="296"/>
      <c r="N62" s="294"/>
      <c r="O62" s="287"/>
      <c r="P62" s="294"/>
      <c r="Q62" s="287"/>
      <c r="R62" s="294"/>
      <c r="S62" s="287"/>
      <c r="T62" s="294"/>
      <c r="U62" s="287"/>
      <c r="V62" s="294"/>
      <c r="W62" s="308"/>
      <c r="X62" s="296"/>
      <c r="Y62" s="294"/>
      <c r="Z62" s="294"/>
      <c r="AA62" s="294"/>
      <c r="AB62" s="294"/>
      <c r="AC62" s="294"/>
      <c r="AD62" s="294"/>
      <c r="AE62" s="294"/>
      <c r="AF62" s="294"/>
      <c r="AG62" s="294"/>
      <c r="AH62" s="308"/>
      <c r="AI62" s="296"/>
      <c r="AJ62" s="294"/>
      <c r="AK62" s="294"/>
      <c r="AL62" s="294"/>
      <c r="AM62" s="294"/>
      <c r="AN62" s="294"/>
      <c r="AO62" s="294"/>
      <c r="AP62" s="294"/>
      <c r="AQ62" s="294"/>
      <c r="AR62" s="294"/>
      <c r="AS62" s="308"/>
      <c r="AT62" s="296"/>
      <c r="AU62" s="294"/>
      <c r="AV62" s="294"/>
      <c r="AW62" s="294"/>
      <c r="AX62" s="294"/>
      <c r="AY62" s="294"/>
      <c r="AZ62" s="294"/>
      <c r="BA62" s="294"/>
      <c r="BB62" s="294"/>
      <c r="BC62" s="294"/>
      <c r="BD62" s="294"/>
      <c r="BF62" s="308"/>
      <c r="BG62" s="296"/>
      <c r="BH62" s="294"/>
      <c r="BI62" s="296"/>
      <c r="BJ62" s="294"/>
      <c r="BK62" s="294"/>
      <c r="BL62" s="294"/>
      <c r="BM62" s="294"/>
      <c r="BN62" s="294"/>
      <c r="BO62" s="294"/>
      <c r="BP62" s="294"/>
      <c r="BQ62" s="294"/>
      <c r="BS62" s="308"/>
      <c r="BT62" s="296"/>
      <c r="BV62" s="296"/>
      <c r="BX62" s="294"/>
      <c r="BZ62" s="276"/>
      <c r="CB62" s="276"/>
      <c r="CD62" s="276"/>
      <c r="CF62" s="308"/>
      <c r="CG62" s="296"/>
      <c r="CI62" s="296"/>
      <c r="CJ62" s="294"/>
      <c r="CK62" s="276"/>
      <c r="CL62" s="294"/>
      <c r="CM62" s="276"/>
      <c r="CN62" s="294"/>
      <c r="CO62" s="308"/>
      <c r="CP62" s="294"/>
      <c r="CQ62" s="276"/>
      <c r="CS62" s="308"/>
      <c r="CT62" s="296"/>
      <c r="CU62" s="294"/>
      <c r="CV62" s="296"/>
      <c r="CW62" s="294"/>
      <c r="CX62" s="294"/>
      <c r="CY62" s="294"/>
      <c r="CZ62" s="294"/>
      <c r="DA62" s="294"/>
      <c r="DB62" s="294"/>
      <c r="DC62" s="294"/>
      <c r="DN62" s="296"/>
      <c r="DO62" s="294"/>
      <c r="DP62" s="294"/>
      <c r="DZ62" s="308"/>
      <c r="EA62" s="287"/>
      <c r="EB62" s="308"/>
      <c r="EC62" s="294"/>
      <c r="ED62" s="294"/>
      <c r="EF62" s="294"/>
      <c r="EH62" s="294"/>
      <c r="EI62" s="276"/>
      <c r="EJ62" s="276"/>
    </row>
    <row r="63" spans="1:141" ht="15.75" hidden="1" customHeight="1">
      <c r="B63" s="276" t="str">
        <f>INPUT!B71</f>
        <v xml:space="preserve">     Residual equity transfers</v>
      </c>
      <c r="C63" s="317">
        <f>+INPUT!E71</f>
        <v>0</v>
      </c>
      <c r="D63" s="308"/>
      <c r="E63" s="317">
        <f>+INPUT!F71</f>
        <v>0</v>
      </c>
      <c r="F63" s="308"/>
      <c r="G63" s="317">
        <f>+INPUT!G71</f>
        <v>0</v>
      </c>
      <c r="H63" s="308"/>
      <c r="I63" s="317">
        <f>+INPUT!H71</f>
        <v>0</v>
      </c>
      <c r="J63" s="308"/>
      <c r="K63" s="317" t="b">
        <f>IF(+INPUT!I71&lt;&gt;0,+INPUT!I71)</f>
        <v>0</v>
      </c>
      <c r="L63" s="308"/>
      <c r="M63" s="296" t="str">
        <f>B63</f>
        <v xml:space="preserve">     Residual equity transfers</v>
      </c>
      <c r="N63" s="317">
        <f>+INPUT!J71</f>
        <v>0</v>
      </c>
      <c r="O63" s="287"/>
      <c r="P63" s="317">
        <f>+INPUT!K71</f>
        <v>0</v>
      </c>
      <c r="Q63" s="287"/>
      <c r="R63" s="317">
        <f>+INPUT!L71</f>
        <v>0</v>
      </c>
      <c r="S63" s="287"/>
      <c r="T63" s="317">
        <f>+INPUT!M71</f>
        <v>0</v>
      </c>
      <c r="U63" s="287"/>
      <c r="V63" s="317">
        <f>+INPUT!N71</f>
        <v>0</v>
      </c>
      <c r="W63" s="308"/>
      <c r="X63" s="296" t="str">
        <f>B63</f>
        <v xml:space="preserve">     Residual equity transfers</v>
      </c>
      <c r="Y63" s="317">
        <f>+INPUT!O71</f>
        <v>0</v>
      </c>
      <c r="Z63" s="294"/>
      <c r="AA63" s="317" t="str">
        <f>IF(+INPUT!Q71&lt;&gt;0,+INPUT!Q71,"-")</f>
        <v>-</v>
      </c>
      <c r="AB63" s="294"/>
      <c r="AC63" s="317" t="str">
        <f>IF(+INPUT!R71&lt;&gt;0,+INPUT!R71,"-")</f>
        <v>-</v>
      </c>
      <c r="AD63" s="294"/>
      <c r="AE63" s="317" t="str">
        <f>IF(+INPUT!S71&lt;&gt;0,+INPUT!S71,"-")</f>
        <v>-</v>
      </c>
      <c r="AF63" s="294"/>
      <c r="AG63" s="317" t="str">
        <f>IF(+INPUT!T71&lt;&gt;0,+INPUT!T71,"-")</f>
        <v>-</v>
      </c>
      <c r="AH63" s="308"/>
      <c r="AI63" s="296" t="str">
        <f>B63</f>
        <v xml:space="preserve">     Residual equity transfers</v>
      </c>
      <c r="AJ63" s="317" t="str">
        <f>IF(+INPUT!U71&lt;&gt;0,+INPUT!U71,"-")</f>
        <v>-</v>
      </c>
      <c r="AK63" s="294"/>
      <c r="AL63" s="317" t="str">
        <f>IF(+INPUT!V71&lt;&gt;0,+INPUT!V71,"-")</f>
        <v>-</v>
      </c>
      <c r="AM63" s="294"/>
      <c r="AN63" s="317" t="str">
        <f>IF(+INPUT!W71&lt;&gt;0,+INPUT!W71,"-")</f>
        <v>-</v>
      </c>
      <c r="AO63" s="294"/>
      <c r="AP63" s="317">
        <f>+INPUT!Y71</f>
        <v>0</v>
      </c>
      <c r="AQ63" s="294"/>
      <c r="AR63" s="317">
        <f>+INPUT!Z71</f>
        <v>0</v>
      </c>
      <c r="AS63" s="308"/>
      <c r="AT63" s="296" t="str">
        <f>B63</f>
        <v xml:space="preserve">     Residual equity transfers</v>
      </c>
      <c r="AU63" s="317" t="str">
        <f>IF(+INPUT!AA71&lt;&gt;0,+INPUT!AA71,"-")</f>
        <v>-</v>
      </c>
      <c r="AV63" s="294"/>
      <c r="AW63" s="317" t="str">
        <f>IF(+INPUT!AB71&lt;&gt;0,+INPUT!AB71,"-")</f>
        <v>-</v>
      </c>
      <c r="AX63" s="294"/>
      <c r="AY63" s="317" t="str">
        <f>IF(+INPUT!AC71&lt;&gt;0,+INPUT!AC71,"-")</f>
        <v>-</v>
      </c>
      <c r="AZ63" s="294"/>
      <c r="BA63" s="317" t="str">
        <f>IF(+INPUT!AD71&lt;&gt;0,+INPUT!AD71,"-")</f>
        <v>-</v>
      </c>
      <c r="BB63" s="294"/>
      <c r="BC63" s="317" t="str">
        <f>IF(+INPUT!AE71&lt;&gt;0,+INPUT!AE71,"-")</f>
        <v>-</v>
      </c>
      <c r="BD63" s="294"/>
      <c r="BF63" s="308"/>
      <c r="BG63" s="296" t="str">
        <f>B63</f>
        <v xml:space="preserve">     Residual equity transfers</v>
      </c>
      <c r="BH63" s="317" t="str">
        <f>IF(+INPUT!AF71&lt;&gt;0,+INPUT!AF71,"-")</f>
        <v>-</v>
      </c>
      <c r="BI63" s="296"/>
      <c r="BJ63" s="317" t="str">
        <f>IF(+INPUT!AG71&lt;&gt;0,+INPUT!AG71,"-")</f>
        <v>-</v>
      </c>
      <c r="BK63" s="294"/>
      <c r="BL63" s="317" t="str">
        <f>IF(+INPUT!AH71&lt;&gt;0,+INPUT!AH71,"-")</f>
        <v>-</v>
      </c>
      <c r="BM63" s="294"/>
      <c r="BN63" s="317" t="str">
        <f>IF(+INPUT!AI71&lt;&gt;0,+INPUT!AI71,"-")</f>
        <v>-</v>
      </c>
      <c r="BO63" s="294"/>
      <c r="BP63" s="317" t="str">
        <f>IF(+INPUT!AJ71&lt;&gt;0,+INPUT!AJ71,"-")</f>
        <v>-</v>
      </c>
      <c r="BQ63" s="294"/>
      <c r="BS63" s="308"/>
      <c r="BT63" s="296" t="str">
        <f>B63</f>
        <v xml:space="preserve">     Residual equity transfers</v>
      </c>
      <c r="BU63" s="317" t="str">
        <f>IF(+INPUT!AK71&lt;&gt;0,+INPUT!AK71,"-")</f>
        <v>-</v>
      </c>
      <c r="BV63" s="296"/>
      <c r="BW63" s="317" t="str">
        <f>IF(+INPUT!AL71&lt;&gt;0,+INPUT!AL71,"-")</f>
        <v>-</v>
      </c>
      <c r="BX63" s="294"/>
      <c r="BY63" s="317" t="str">
        <f>IF(+INPUT!AM71&lt;&gt;0,+INPUT!AM71,"-")</f>
        <v>-</v>
      </c>
      <c r="BZ63" s="276"/>
      <c r="CA63" s="317" t="str">
        <f>IF(+INPUT!AN71&lt;&gt;0,+INPUT!AN71,"-")</f>
        <v>-</v>
      </c>
      <c r="CB63" s="276"/>
      <c r="CC63" s="317" t="str">
        <f>IF(+INPUT!AO71&lt;&gt;0,+INPUT!AO71,"-")</f>
        <v>-</v>
      </c>
      <c r="CD63" s="276"/>
      <c r="CF63" s="308"/>
      <c r="CG63" s="296" t="str">
        <f>M63</f>
        <v xml:space="preserve">     Residual equity transfers</v>
      </c>
      <c r="CH63" s="317" t="str">
        <f>IF(+INPUT!AP71&lt;&gt;0,+INPUT!AP71,"-")</f>
        <v>-</v>
      </c>
      <c r="CI63" s="296"/>
      <c r="CJ63" s="317" t="str">
        <f>IF(+INPUT!AQ71&lt;&gt;0,+INPUT!AQ71,"-")</f>
        <v>-</v>
      </c>
      <c r="CK63" s="276"/>
      <c r="CL63" s="317" t="str">
        <f>IF(+INPUT!AR71&lt;&gt;0,+INPUT!AR71,"-")</f>
        <v>-</v>
      </c>
      <c r="CM63" s="276"/>
      <c r="CN63" s="317" t="str">
        <f>IF(+INPUT!AS71&lt;&gt;0,+INPUT!AS71,"-")</f>
        <v>-</v>
      </c>
      <c r="CO63" s="308"/>
      <c r="CP63" s="317" t="str">
        <f>IF(+INPUT!AT71&lt;&gt;0,+INPUT!AT71,"-")</f>
        <v>-</v>
      </c>
      <c r="CQ63" s="276"/>
      <c r="CS63" s="308"/>
      <c r="CT63" s="296" t="str">
        <f>B63</f>
        <v xml:space="preserve">     Residual equity transfers</v>
      </c>
      <c r="CU63" s="317" t="str">
        <f>IF(+INPUT!AU71&lt;&gt;0,+INPUT!AU71,"-")</f>
        <v>-</v>
      </c>
      <c r="CV63" s="296"/>
      <c r="CW63" s="317">
        <f>+INPUT!AV71</f>
        <v>0</v>
      </c>
      <c r="CX63" s="294"/>
      <c r="CY63" s="317">
        <f>+INPUT!AX71</f>
        <v>0</v>
      </c>
      <c r="CZ63" s="294"/>
      <c r="DA63" s="317" t="str">
        <f>IF(+INPUT!AY71&lt;&gt;0,+INPUT!AY71,"-")</f>
        <v>-</v>
      </c>
      <c r="DB63" s="294"/>
      <c r="DC63" s="317" t="str">
        <f>IF(+INPUT!AZ71&lt;&gt;0,+INPUT!AZ71,"-")</f>
        <v>-</v>
      </c>
      <c r="DK63" s="294"/>
      <c r="DN63" s="296" t="str">
        <f>B63</f>
        <v xml:space="preserve">     Residual equity transfers</v>
      </c>
      <c r="DO63" s="317" t="str">
        <f>IF(+INPUT!BA71&lt;&gt;0,+INPUT!BA71,"-")</f>
        <v>-</v>
      </c>
      <c r="DP63" s="317"/>
      <c r="DQ63" s="317"/>
      <c r="DU63" s="317" t="str">
        <f>IF(+INPUT!BD71&lt;&gt;0,+INPUT!BD71,"-")</f>
        <v>-</v>
      </c>
      <c r="DZ63" s="308"/>
      <c r="EA63" s="287"/>
      <c r="EB63" s="308"/>
      <c r="EC63" s="294">
        <f>SUM(M63:DN63)</f>
        <v>0</v>
      </c>
      <c r="ED63" s="294"/>
      <c r="EE63" s="294"/>
      <c r="EF63" s="294"/>
      <c r="EH63" s="294"/>
      <c r="EI63" s="276"/>
      <c r="EJ63" s="276"/>
    </row>
    <row r="64" spans="1:141" ht="15.75">
      <c r="B64" s="276"/>
      <c r="C64" s="337"/>
      <c r="D64" s="308"/>
      <c r="E64" s="337"/>
      <c r="F64" s="308"/>
      <c r="G64" s="337"/>
      <c r="H64" s="308"/>
      <c r="I64" s="337"/>
      <c r="J64" s="308"/>
      <c r="K64" s="337"/>
      <c r="L64" s="308"/>
      <c r="M64" s="296"/>
      <c r="N64" s="337"/>
      <c r="O64" s="287"/>
      <c r="P64" s="337"/>
      <c r="Q64" s="287"/>
      <c r="R64" s="337"/>
      <c r="S64" s="287"/>
      <c r="T64" s="337"/>
      <c r="U64" s="287"/>
      <c r="V64" s="337"/>
      <c r="W64" s="308"/>
      <c r="X64" s="296"/>
      <c r="Y64" s="337"/>
      <c r="Z64" s="294"/>
      <c r="AA64" s="337"/>
      <c r="AB64" s="294"/>
      <c r="AC64" s="337"/>
      <c r="AD64" s="294"/>
      <c r="AE64" s="337"/>
      <c r="AF64" s="294"/>
      <c r="AG64" s="337"/>
      <c r="AH64" s="308"/>
      <c r="AI64" s="296"/>
      <c r="AJ64" s="337"/>
      <c r="AK64" s="294"/>
      <c r="AL64" s="337"/>
      <c r="AM64" s="294"/>
      <c r="AN64" s="337"/>
      <c r="AO64" s="294"/>
      <c r="AP64" s="337"/>
      <c r="AQ64" s="294"/>
      <c r="AR64" s="337"/>
      <c r="AS64" s="308"/>
      <c r="AT64" s="296"/>
      <c r="AU64" s="337"/>
      <c r="AV64" s="294"/>
      <c r="AW64" s="337"/>
      <c r="AX64" s="294"/>
      <c r="AY64" s="337"/>
      <c r="AZ64" s="294"/>
      <c r="BA64" s="337"/>
      <c r="BB64" s="294"/>
      <c r="BC64" s="337"/>
      <c r="BD64" s="294"/>
      <c r="BF64" s="308"/>
      <c r="BG64" s="296"/>
      <c r="BH64" s="337"/>
      <c r="BI64" s="296"/>
      <c r="BJ64" s="337"/>
      <c r="BK64" s="294"/>
      <c r="BL64" s="337"/>
      <c r="BM64" s="294"/>
      <c r="BN64" s="337"/>
      <c r="BO64" s="294"/>
      <c r="BP64" s="337"/>
      <c r="BQ64" s="294"/>
      <c r="BS64" s="308"/>
      <c r="BT64" s="296"/>
      <c r="BU64" s="337"/>
      <c r="BV64" s="296"/>
      <c r="BW64" s="337"/>
      <c r="BX64" s="294"/>
      <c r="BY64" s="337"/>
      <c r="BZ64" s="276"/>
      <c r="CA64" s="337"/>
      <c r="CB64" s="276"/>
      <c r="CC64" s="337"/>
      <c r="CD64" s="276"/>
      <c r="CF64" s="308"/>
      <c r="CG64" s="296"/>
      <c r="CH64" s="337"/>
      <c r="CI64" s="296"/>
      <c r="CJ64" s="337"/>
      <c r="CK64" s="276"/>
      <c r="CL64" s="337"/>
      <c r="CM64" s="276"/>
      <c r="CN64" s="337"/>
      <c r="CO64" s="308"/>
      <c r="CP64" s="337"/>
      <c r="CQ64" s="276"/>
      <c r="CS64" s="308"/>
      <c r="CT64" s="296"/>
      <c r="CU64" s="337"/>
      <c r="CV64" s="296"/>
      <c r="CW64" s="337"/>
      <c r="CX64" s="294"/>
      <c r="CY64" s="337"/>
      <c r="CZ64" s="294"/>
      <c r="DA64" s="337"/>
      <c r="DB64" s="294"/>
      <c r="DC64" s="337"/>
      <c r="DK64" s="294"/>
      <c r="DN64" s="296"/>
      <c r="DO64" s="337"/>
      <c r="DP64" s="1035"/>
      <c r="DQ64" s="337"/>
      <c r="DU64" s="337"/>
      <c r="DZ64" s="308"/>
      <c r="EA64" s="287"/>
      <c r="EB64" s="308"/>
      <c r="EC64" s="337"/>
      <c r="ED64" s="294"/>
      <c r="EF64" s="294"/>
      <c r="EH64" s="294"/>
      <c r="EI64" s="276"/>
      <c r="EJ64" s="276"/>
    </row>
    <row r="65" spans="2:140" ht="16.5" thickBot="1">
      <c r="B65" s="276" t="str">
        <f>INPUT!B73</f>
        <v xml:space="preserve">     Fund balance, June 30</v>
      </c>
      <c r="C65" s="302">
        <f>SUM(C55+C61+C63)</f>
        <v>-102054</v>
      </c>
      <c r="D65" s="308"/>
      <c r="E65" s="302">
        <f>SUM(E55+E61+E63)</f>
        <v>3692</v>
      </c>
      <c r="F65" s="308"/>
      <c r="G65" s="302">
        <f>SUM(G55+G61+G63)</f>
        <v>73809</v>
      </c>
      <c r="H65" s="308"/>
      <c r="I65" s="302">
        <f>SUM(I55+I61+I63)</f>
        <v>357347</v>
      </c>
      <c r="J65" s="308"/>
      <c r="K65" s="302">
        <f>SUM(K55+K61+K63)</f>
        <v>4500</v>
      </c>
      <c r="L65" s="308"/>
      <c r="M65" s="296" t="str">
        <f>B65</f>
        <v xml:space="preserve">     Fund balance, June 30</v>
      </c>
      <c r="N65" s="302">
        <f>SUM(N55+N61+N63)</f>
        <v>2097057</v>
      </c>
      <c r="O65" s="287"/>
      <c r="P65" s="302">
        <f>SUM(P55+P61+P63)</f>
        <v>1303</v>
      </c>
      <c r="Q65" s="287"/>
      <c r="R65" s="302">
        <f>SUM(R55+R61+R63)</f>
        <v>21640</v>
      </c>
      <c r="S65" s="287"/>
      <c r="T65" s="302">
        <f>IF(SUM(T55+T61+T63)&lt;&gt;0,SUM(T55+T61+T63),"-")</f>
        <v>660329</v>
      </c>
      <c r="U65" s="287"/>
      <c r="V65" s="302">
        <f>SUM(V55+V61+V63)</f>
        <v>84305</v>
      </c>
      <c r="W65" s="308"/>
      <c r="X65" s="296" t="str">
        <f>B65</f>
        <v xml:space="preserve">     Fund balance, June 30</v>
      </c>
      <c r="Y65" s="302">
        <f>SUM(Y55+Y61+Y63)</f>
        <v>60405</v>
      </c>
      <c r="Z65" s="300"/>
      <c r="AA65" s="302">
        <f>SUM(AA55+AA61+AA63)</f>
        <v>185629</v>
      </c>
      <c r="AB65" s="300"/>
      <c r="AC65" s="302">
        <f>SUM(AC55+AC61+AC63)</f>
        <v>380215</v>
      </c>
      <c r="AD65" s="300"/>
      <c r="AE65" s="302">
        <f>SUM(AE55+AE61+AE63)</f>
        <v>1022934</v>
      </c>
      <c r="AF65" s="300"/>
      <c r="AG65" s="302">
        <f>SUM(AG55+AG61+AG63)</f>
        <v>308</v>
      </c>
      <c r="AH65" s="308"/>
      <c r="AI65" s="296" t="str">
        <f>B65</f>
        <v xml:space="preserve">     Fund balance, June 30</v>
      </c>
      <c r="AJ65" s="302">
        <f>SUM(AJ55+AJ61+AJ63)</f>
        <v>653461</v>
      </c>
      <c r="AK65" s="300"/>
      <c r="AL65" s="302">
        <f>SUM(AL55+AL61+AL63)</f>
        <v>2517</v>
      </c>
      <c r="AM65" s="300"/>
      <c r="AN65" s="302">
        <f>SUM(AN55+AN61+AN63)</f>
        <v>255076</v>
      </c>
      <c r="AO65" s="300"/>
      <c r="AP65" s="302">
        <f>SUM(AP55+AP61+AP63)</f>
        <v>35779</v>
      </c>
      <c r="AQ65" s="300"/>
      <c r="AR65" s="302">
        <f>SUM(AR55+AR61+AR63)</f>
        <v>107003</v>
      </c>
      <c r="AS65" s="308"/>
      <c r="AT65" s="296" t="str">
        <f>B65</f>
        <v xml:space="preserve">     Fund balance, June 30</v>
      </c>
      <c r="AU65" s="302">
        <f>SUM(AU55+AU61+AU63)</f>
        <v>100039</v>
      </c>
      <c r="AV65" s="300"/>
      <c r="AW65" s="302">
        <f>SUM(AW55+AW61+AW63)</f>
        <v>1631376</v>
      </c>
      <c r="AX65" s="300"/>
      <c r="AY65" s="302">
        <f>SUM(AY55+AY61+AY63)</f>
        <v>238913</v>
      </c>
      <c r="AZ65" s="300"/>
      <c r="BA65" s="302">
        <f>SUM(BA55+BA61+BA63)</f>
        <v>28133</v>
      </c>
      <c r="BB65" s="300"/>
      <c r="BC65" s="302">
        <f>SUM(BC55+BC61+BC63)</f>
        <v>82435</v>
      </c>
      <c r="BD65" s="300"/>
      <c r="BF65" s="308"/>
      <c r="BG65" s="296" t="str">
        <f>B65</f>
        <v xml:space="preserve">     Fund balance, June 30</v>
      </c>
      <c r="BH65" s="302">
        <f>SUM(BH55+BH61+BH63)</f>
        <v>21202</v>
      </c>
      <c r="BI65" s="296"/>
      <c r="BJ65" s="302">
        <f>SUM(BJ55+BJ61+BJ63)</f>
        <v>422641</v>
      </c>
      <c r="BK65" s="300"/>
      <c r="BL65" s="302">
        <f>SUM(BL55+BL61+BL63)</f>
        <v>253738</v>
      </c>
      <c r="BM65" s="300"/>
      <c r="BN65" s="302">
        <f>SUM(BN55+BN61+BN63)</f>
        <v>21826</v>
      </c>
      <c r="BO65" s="300"/>
      <c r="BP65" s="302">
        <f>SUM(BP55+BP61+BP63)</f>
        <v>62464</v>
      </c>
      <c r="BQ65" s="300"/>
      <c r="BS65" s="308"/>
      <c r="BT65" s="296" t="str">
        <f>B65</f>
        <v xml:space="preserve">     Fund balance, June 30</v>
      </c>
      <c r="BU65" s="302">
        <f>SUM(BU55+BU61+BU63)</f>
        <v>5768</v>
      </c>
      <c r="BV65" s="296"/>
      <c r="BW65" s="302">
        <f>SUM(BW55+BW61+BW63)</f>
        <v>35534</v>
      </c>
      <c r="BX65" s="300"/>
      <c r="BY65" s="302">
        <f>SUM(BY55+BY61+BY63)</f>
        <v>39899</v>
      </c>
      <c r="BZ65" s="276"/>
      <c r="CA65" s="302">
        <f>SUM(CA55+CA61+CA63)</f>
        <v>168446</v>
      </c>
      <c r="CB65" s="276"/>
      <c r="CC65" s="302">
        <f>SUM(CC55+CC61+CC63)</f>
        <v>0</v>
      </c>
      <c r="CD65" s="276"/>
      <c r="CF65" s="308"/>
      <c r="CG65" s="296" t="str">
        <f>M65</f>
        <v xml:space="preserve">     Fund balance, June 30</v>
      </c>
      <c r="CH65" s="302">
        <f>SUM(CH55+CH61+CH63)</f>
        <v>1675727</v>
      </c>
      <c r="CI65" s="296"/>
      <c r="CJ65" s="302">
        <f>SUM(CJ55+CJ61+CJ63)</f>
        <v>872198</v>
      </c>
      <c r="CK65" s="276"/>
      <c r="CL65" s="302">
        <f>SUM(CL55+CL61+CL63)</f>
        <v>104504</v>
      </c>
      <c r="CM65" s="276"/>
      <c r="CN65" s="302">
        <f>SUM(CN55+CN61+CN63)</f>
        <v>96879</v>
      </c>
      <c r="CO65" s="308"/>
      <c r="CP65" s="302">
        <f>SUM(CP55+CP61+CP63)</f>
        <v>247580</v>
      </c>
      <c r="CQ65" s="276"/>
      <c r="CS65" s="308"/>
      <c r="CT65" s="296" t="str">
        <f>B65</f>
        <v xml:space="preserve">     Fund balance, June 30</v>
      </c>
      <c r="CU65" s="302">
        <f>SUM(CU55+CU61+CU63)</f>
        <v>-1287</v>
      </c>
      <c r="CV65" s="296"/>
      <c r="CW65" s="302">
        <f>SUM(CW55+CW61+CW63)</f>
        <v>-22045</v>
      </c>
      <c r="CX65" s="300"/>
      <c r="CY65" s="302">
        <f>SUM(CY55+CY61+CY63)</f>
        <v>-11972</v>
      </c>
      <c r="CZ65" s="300"/>
      <c r="DA65" s="302">
        <f>SUM(DA55+DA61+DA63)</f>
        <v>0</v>
      </c>
      <c r="DB65" s="300"/>
      <c r="DC65" s="302">
        <f>SUM(DC55+DC61+DC63)</f>
        <v>17572</v>
      </c>
      <c r="DK65" s="326"/>
      <c r="DN65" s="296" t="str">
        <f>B65</f>
        <v xml:space="preserve">     Fund balance, June 30</v>
      </c>
      <c r="DO65" s="302">
        <f>SUM(DO55+DO61+DO63)</f>
        <v>-8728</v>
      </c>
      <c r="DP65" s="302"/>
      <c r="DQ65" s="302"/>
      <c r="DU65" s="302">
        <f>SUM(DU55+DU61+DU63)</f>
        <v>371646</v>
      </c>
      <c r="DZ65" s="308"/>
      <c r="EA65" s="287"/>
      <c r="EB65" s="308"/>
      <c r="EC65" s="302">
        <f>SUM(EC55+EC61+EC63)</f>
        <v>12359743</v>
      </c>
      <c r="ED65" s="326"/>
      <c r="EE65" s="294">
        <f>SUM(C65:DY65)</f>
        <v>12359743</v>
      </c>
      <c r="EF65" s="300"/>
      <c r="EH65" s="326"/>
      <c r="EI65" s="276"/>
      <c r="EJ65" s="276" t="e">
        <f>SUM(M65:AN65)-I65-#REF!-AY65-BA65</f>
        <v>#REF!</v>
      </c>
    </row>
    <row r="66" spans="2:140" ht="16.5" thickTop="1">
      <c r="B66" s="276"/>
      <c r="C66" s="303"/>
      <c r="D66" s="308"/>
      <c r="E66" s="303"/>
      <c r="F66" s="308"/>
      <c r="G66" s="303"/>
      <c r="H66" s="308"/>
      <c r="I66" s="303"/>
      <c r="J66" s="308"/>
      <c r="K66" s="303"/>
      <c r="L66" s="308"/>
      <c r="M66" s="308"/>
      <c r="N66" s="303"/>
      <c r="O66" s="287"/>
      <c r="P66" s="303"/>
      <c r="Q66" s="287"/>
      <c r="R66" s="303"/>
      <c r="S66" s="287"/>
      <c r="T66" s="303"/>
      <c r="U66" s="287"/>
      <c r="V66" s="303"/>
      <c r="W66" s="308"/>
      <c r="X66" s="305"/>
      <c r="Y66" s="303"/>
      <c r="Z66" s="303"/>
      <c r="AA66" s="303"/>
      <c r="AB66" s="303"/>
      <c r="AC66" s="303"/>
      <c r="AD66" s="303"/>
      <c r="AE66" s="303"/>
      <c r="AF66" s="303"/>
      <c r="AG66" s="303"/>
      <c r="AH66" s="308"/>
      <c r="AI66" s="305"/>
      <c r="AJ66" s="303"/>
      <c r="AK66" s="303"/>
      <c r="AL66" s="303"/>
      <c r="AM66" s="303"/>
      <c r="AN66" s="303"/>
      <c r="AO66" s="303"/>
      <c r="AP66" s="303"/>
      <c r="AQ66" s="303"/>
      <c r="AR66" s="303"/>
      <c r="AS66" s="308"/>
      <c r="AT66" s="287"/>
      <c r="AU66" s="287"/>
      <c r="AV66" s="287"/>
      <c r="AW66" s="287"/>
      <c r="AX66" s="287"/>
      <c r="AY66" s="303"/>
      <c r="AZ66" s="287"/>
      <c r="BA66" s="303"/>
      <c r="BB66" s="287"/>
      <c r="BC66" s="303"/>
      <c r="BD66" s="287"/>
      <c r="BF66" s="308"/>
      <c r="BG66" s="287"/>
      <c r="BH66" s="303"/>
      <c r="BI66" s="287"/>
      <c r="BJ66" s="287"/>
      <c r="BK66" s="303"/>
      <c r="BL66" s="287"/>
      <c r="BM66" s="303"/>
      <c r="BN66" s="303"/>
      <c r="BO66" s="303"/>
      <c r="BP66" s="303"/>
      <c r="BQ66" s="287"/>
      <c r="BS66" s="308"/>
      <c r="BT66" s="305"/>
      <c r="BU66" s="303"/>
      <c r="BV66" s="305"/>
      <c r="BW66" s="303"/>
      <c r="BX66" s="303"/>
      <c r="BY66" s="303"/>
      <c r="BZ66" s="276"/>
      <c r="CA66" s="303"/>
      <c r="CB66" s="276"/>
      <c r="CC66" s="303"/>
      <c r="CD66" s="276"/>
      <c r="CF66" s="308"/>
      <c r="CG66" s="305"/>
      <c r="CH66" s="303"/>
      <c r="CI66" s="305"/>
      <c r="CJ66" s="287"/>
      <c r="CK66" s="276"/>
      <c r="CL66" s="287"/>
      <c r="CM66" s="276"/>
      <c r="CN66" s="303"/>
      <c r="CO66" s="276"/>
      <c r="CP66" s="303"/>
      <c r="CQ66" s="276"/>
      <c r="CS66" s="308"/>
      <c r="CT66" s="305"/>
      <c r="CU66" s="303"/>
      <c r="CV66" s="305"/>
      <c r="CW66" s="303"/>
      <c r="CX66" s="303"/>
      <c r="CY66" s="303"/>
      <c r="CZ66" s="303"/>
      <c r="DA66" s="303"/>
      <c r="DB66" s="303"/>
      <c r="DC66" s="303"/>
      <c r="DD66" s="303"/>
      <c r="DE66" s="303"/>
      <c r="DF66" s="303"/>
      <c r="DG66" s="303"/>
      <c r="DH66" s="303"/>
      <c r="DI66" s="303"/>
      <c r="DK66" s="303"/>
      <c r="DM66" s="303"/>
      <c r="DN66" s="287"/>
      <c r="DO66" s="287"/>
      <c r="DP66" s="287"/>
      <c r="DQ66" s="303"/>
      <c r="DR66" s="308"/>
      <c r="DS66" s="276"/>
      <c r="DT66" s="308"/>
      <c r="DU66" s="276"/>
      <c r="DV66" s="308"/>
      <c r="DW66" s="308"/>
      <c r="DX66" s="308"/>
      <c r="DY66" s="276"/>
      <c r="DZ66" s="308"/>
      <c r="EA66" s="287"/>
      <c r="EB66" s="308"/>
      <c r="EC66" s="303"/>
      <c r="ED66" s="303"/>
      <c r="EE66" s="276"/>
      <c r="EF66" s="303"/>
      <c r="EH66" s="303"/>
      <c r="EI66" s="276"/>
      <c r="EJ66" s="276" t="e">
        <f>EC65-EJ65</f>
        <v>#REF!</v>
      </c>
    </row>
    <row r="67" spans="2:140" ht="15.75">
      <c r="D67" s="308"/>
      <c r="F67" s="308"/>
      <c r="H67" s="308"/>
      <c r="J67" s="308"/>
      <c r="L67" s="308"/>
      <c r="O67" s="287"/>
      <c r="Q67" s="287"/>
      <c r="S67" s="287"/>
      <c r="U67" s="287"/>
      <c r="W67" s="308"/>
      <c r="AH67" s="308"/>
      <c r="AS67" s="308"/>
      <c r="BF67" s="308"/>
      <c r="BS67" s="308"/>
      <c r="BZ67" s="276"/>
      <c r="CB67" s="276"/>
      <c r="CD67" s="276"/>
      <c r="CF67" s="308"/>
      <c r="CJ67" s="287"/>
      <c r="CK67" s="276"/>
      <c r="CL67" s="287"/>
      <c r="CM67" s="276"/>
      <c r="CO67" s="276"/>
      <c r="CQ67" s="276"/>
      <c r="CS67" s="308"/>
      <c r="CU67" s="276"/>
      <c r="DR67" s="308"/>
      <c r="DT67" s="308"/>
      <c r="DV67" s="308"/>
      <c r="DW67" s="308"/>
      <c r="DX67" s="308"/>
      <c r="DZ67" s="308"/>
      <c r="EA67" s="287"/>
      <c r="EB67" s="308"/>
    </row>
    <row r="68" spans="2:140" ht="15.75">
      <c r="D68" s="308"/>
      <c r="F68" s="308"/>
      <c r="H68" s="308"/>
      <c r="J68" s="308"/>
      <c r="L68" s="308"/>
      <c r="O68" s="287"/>
      <c r="Q68" s="287"/>
      <c r="S68" s="287"/>
      <c r="U68" s="287"/>
      <c r="W68" s="308"/>
      <c r="AH68" s="308"/>
      <c r="AS68" s="308"/>
      <c r="BF68" s="308"/>
      <c r="BS68" s="308"/>
      <c r="BZ68" s="276"/>
      <c r="CB68" s="276"/>
      <c r="CD68" s="276"/>
      <c r="CF68" s="308"/>
      <c r="CJ68" s="287"/>
      <c r="CK68" s="276"/>
      <c r="CL68" s="287"/>
      <c r="CM68" s="276"/>
      <c r="CO68" s="276"/>
      <c r="CQ68" s="276"/>
      <c r="CS68" s="308"/>
      <c r="CU68" s="276"/>
      <c r="DR68" s="308"/>
      <c r="DT68" s="308"/>
      <c r="DV68" s="308"/>
      <c r="DW68" s="308"/>
      <c r="DX68" s="308"/>
      <c r="DZ68" s="308"/>
      <c r="EA68" s="287"/>
      <c r="EB68" s="308"/>
      <c r="EI68" s="288">
        <f>+EC68-4220253</f>
        <v>-4220253</v>
      </c>
    </row>
    <row r="69" spans="2:140" ht="15.75">
      <c r="D69" s="308"/>
      <c r="F69" s="308"/>
      <c r="H69" s="308"/>
      <c r="J69" s="308"/>
      <c r="L69" s="308"/>
      <c r="O69" s="287"/>
      <c r="Q69" s="287"/>
      <c r="S69" s="287"/>
      <c r="U69" s="287"/>
      <c r="W69" s="308"/>
      <c r="AH69" s="308"/>
      <c r="AS69" s="308"/>
      <c r="BF69" s="308"/>
      <c r="BS69" s="308"/>
      <c r="BZ69" s="276"/>
      <c r="CB69" s="276"/>
      <c r="CD69" s="276"/>
      <c r="CF69" s="308"/>
      <c r="CJ69" s="287"/>
      <c r="CK69" s="276"/>
      <c r="CL69" s="287"/>
      <c r="CM69" s="276"/>
      <c r="CO69" s="276"/>
      <c r="CQ69" s="276"/>
      <c r="CS69" s="308"/>
      <c r="CU69" s="276"/>
      <c r="DK69" s="287"/>
      <c r="DQ69" s="287"/>
      <c r="DR69" s="308"/>
      <c r="DT69" s="308"/>
      <c r="DV69" s="308"/>
      <c r="DW69" s="308"/>
      <c r="DX69" s="308"/>
      <c r="DZ69" s="308"/>
      <c r="EA69" s="287"/>
      <c r="EB69" s="308"/>
    </row>
    <row r="70" spans="2:140" ht="15.75">
      <c r="D70" s="308"/>
      <c r="F70" s="308"/>
      <c r="H70" s="308"/>
      <c r="J70" s="308"/>
      <c r="L70" s="308"/>
      <c r="W70" s="308"/>
      <c r="AH70" s="308"/>
      <c r="AS70" s="308"/>
      <c r="BF70" s="308"/>
      <c r="BS70" s="308"/>
      <c r="BU70" s="276"/>
      <c r="BW70" s="276"/>
      <c r="BY70" s="276"/>
      <c r="BZ70" s="276"/>
      <c r="CA70" s="276"/>
      <c r="CB70" s="276"/>
      <c r="CC70" s="276"/>
      <c r="CD70" s="276"/>
      <c r="CF70" s="308"/>
      <c r="CH70" s="276"/>
      <c r="CJ70" s="287"/>
      <c r="CK70" s="276"/>
      <c r="CL70" s="287"/>
      <c r="CM70" s="276"/>
      <c r="CN70" s="276"/>
      <c r="CO70" s="276"/>
      <c r="CP70" s="276"/>
      <c r="CQ70" s="276"/>
      <c r="CS70" s="308"/>
      <c r="CU70" s="276"/>
      <c r="DR70" s="308"/>
      <c r="DT70" s="308"/>
      <c r="DV70" s="308"/>
      <c r="DW70" s="308"/>
      <c r="DX70" s="308"/>
      <c r="DZ70" s="308"/>
      <c r="EA70" s="287"/>
      <c r="EB70" s="308"/>
    </row>
    <row r="71" spans="2:140" ht="15.75">
      <c r="D71" s="308"/>
      <c r="F71" s="308"/>
      <c r="H71" s="308"/>
      <c r="J71" s="308"/>
      <c r="L71" s="308"/>
      <c r="W71" s="308"/>
      <c r="AH71" s="308"/>
      <c r="AS71" s="308"/>
      <c r="BF71" s="308"/>
      <c r="BS71" s="308"/>
      <c r="BU71" s="276"/>
      <c r="BW71" s="276"/>
      <c r="BY71" s="276"/>
      <c r="BZ71" s="276"/>
      <c r="CA71" s="276"/>
      <c r="CB71" s="276"/>
      <c r="CC71" s="276"/>
      <c r="CD71" s="276"/>
      <c r="CF71" s="308"/>
      <c r="CH71" s="276"/>
      <c r="CJ71" s="287"/>
      <c r="CK71" s="276"/>
      <c r="CL71" s="287"/>
      <c r="CM71" s="276"/>
      <c r="CN71" s="276"/>
      <c r="CO71" s="276"/>
      <c r="CP71" s="276"/>
      <c r="CQ71" s="276"/>
      <c r="CS71" s="308"/>
      <c r="CU71" s="276"/>
      <c r="DR71" s="308"/>
      <c r="DT71" s="308"/>
      <c r="DV71" s="308"/>
      <c r="DW71" s="308"/>
      <c r="DX71" s="308"/>
      <c r="DZ71" s="308"/>
      <c r="EA71" s="287"/>
      <c r="EB71" s="308"/>
    </row>
    <row r="72" spans="2:140" ht="15.75">
      <c r="D72" s="308"/>
      <c r="BU72" s="276"/>
      <c r="BW72" s="276"/>
      <c r="BY72" s="276"/>
      <c r="BZ72" s="276"/>
      <c r="CA72" s="276"/>
      <c r="CB72" s="276"/>
      <c r="CC72" s="276"/>
      <c r="CD72" s="276"/>
      <c r="CH72" s="276"/>
      <c r="CJ72" s="287"/>
      <c r="CK72" s="276"/>
      <c r="CL72" s="287"/>
      <c r="CM72" s="276"/>
      <c r="CN72" s="276"/>
      <c r="CO72" s="276"/>
      <c r="CP72" s="276"/>
      <c r="CQ72" s="276"/>
      <c r="CU72" s="276"/>
      <c r="DR72" s="308"/>
      <c r="DT72" s="308"/>
      <c r="DV72" s="308"/>
      <c r="DW72" s="308"/>
      <c r="DX72" s="308"/>
      <c r="DZ72" s="308"/>
      <c r="EA72" s="287"/>
      <c r="EB72" s="308"/>
    </row>
    <row r="73" spans="2:140" ht="15.75">
      <c r="BU73" s="276"/>
      <c r="BW73" s="276"/>
      <c r="BY73" s="276"/>
      <c r="BZ73" s="276"/>
      <c r="CA73" s="276"/>
      <c r="CB73" s="276"/>
      <c r="CC73" s="276"/>
      <c r="CD73" s="276"/>
      <c r="CH73" s="276"/>
      <c r="CJ73" s="287"/>
      <c r="CK73" s="276"/>
      <c r="CL73" s="287"/>
      <c r="CM73" s="276"/>
      <c r="CN73" s="276"/>
      <c r="CO73" s="276"/>
      <c r="CP73" s="276"/>
      <c r="CQ73" s="276"/>
      <c r="CU73" s="276"/>
      <c r="DR73" s="308"/>
      <c r="DT73" s="308"/>
      <c r="DV73" s="308"/>
      <c r="DW73" s="308"/>
      <c r="DX73" s="308"/>
      <c r="DZ73" s="308"/>
      <c r="EA73" s="287"/>
      <c r="EB73" s="308"/>
    </row>
    <row r="74" spans="2:140" ht="15.75">
      <c r="BU74" s="276"/>
      <c r="BW74" s="276"/>
      <c r="BY74" s="276"/>
      <c r="BZ74" s="276"/>
      <c r="CA74" s="276"/>
      <c r="CB74" s="276"/>
      <c r="CC74" s="276"/>
      <c r="CD74" s="276"/>
      <c r="CH74" s="276"/>
      <c r="CJ74" s="287"/>
      <c r="CK74" s="276"/>
      <c r="CL74" s="287"/>
      <c r="CM74" s="276"/>
      <c r="CN74" s="276"/>
      <c r="CO74" s="276"/>
      <c r="CP74" s="276"/>
      <c r="CQ74" s="276"/>
      <c r="CU74" s="276"/>
      <c r="DR74" s="308"/>
      <c r="DT74" s="308"/>
      <c r="DV74" s="308"/>
      <c r="DW74" s="308"/>
      <c r="DX74" s="308"/>
      <c r="DZ74" s="308"/>
      <c r="EB74" s="308"/>
    </row>
    <row r="75" spans="2:140" ht="15.75">
      <c r="BU75" s="276"/>
      <c r="BW75" s="276"/>
      <c r="BY75" s="276"/>
      <c r="BZ75" s="276"/>
      <c r="CA75" s="276"/>
      <c r="CB75" s="276"/>
      <c r="CC75" s="276"/>
      <c r="CD75" s="276"/>
      <c r="CH75" s="276"/>
      <c r="CJ75" s="287"/>
      <c r="CK75" s="276"/>
      <c r="CL75" s="287"/>
      <c r="CM75" s="276"/>
      <c r="CN75" s="276"/>
      <c r="CO75" s="276"/>
      <c r="CP75" s="276"/>
      <c r="CQ75" s="276"/>
      <c r="CU75" s="276"/>
      <c r="DR75" s="308"/>
      <c r="DT75" s="308"/>
      <c r="DV75" s="308"/>
      <c r="DW75" s="308"/>
      <c r="DX75" s="308"/>
      <c r="DZ75" s="308"/>
      <c r="EB75" s="308"/>
    </row>
    <row r="76" spans="2:140" ht="15.75">
      <c r="BU76" s="276"/>
      <c r="BW76" s="276"/>
      <c r="BY76" s="276"/>
      <c r="BZ76" s="276"/>
      <c r="CA76" s="276"/>
      <c r="CB76" s="276"/>
      <c r="CC76" s="276"/>
      <c r="CD76" s="276"/>
      <c r="CH76" s="276"/>
      <c r="CJ76" s="287"/>
      <c r="CK76" s="276"/>
      <c r="CL76" s="287"/>
      <c r="CM76" s="276"/>
      <c r="CN76" s="276"/>
      <c r="CO76" s="276"/>
      <c r="CP76" s="276"/>
      <c r="CQ76" s="276"/>
      <c r="CU76" s="276"/>
      <c r="DR76" s="308"/>
      <c r="DT76" s="308"/>
      <c r="DV76" s="308"/>
      <c r="DW76" s="308"/>
      <c r="DX76" s="308"/>
      <c r="DZ76" s="308"/>
      <c r="EB76" s="308"/>
    </row>
    <row r="77" spans="2:140" ht="15.75">
      <c r="BU77" s="276"/>
      <c r="BW77" s="276"/>
      <c r="BY77" s="276"/>
      <c r="BZ77" s="276"/>
      <c r="CA77" s="276"/>
      <c r="CB77" s="276"/>
      <c r="CC77" s="276"/>
      <c r="CD77" s="276"/>
      <c r="CH77" s="276"/>
      <c r="CJ77" s="287"/>
      <c r="CK77" s="276"/>
      <c r="CL77" s="287"/>
      <c r="CM77" s="276"/>
      <c r="CN77" s="276"/>
      <c r="CO77" s="276"/>
      <c r="CP77" s="276"/>
      <c r="CQ77" s="276"/>
      <c r="CU77" s="276"/>
    </row>
    <row r="78" spans="2:140" ht="15.75">
      <c r="BU78" s="276"/>
      <c r="BW78" s="276"/>
      <c r="BY78" s="276"/>
      <c r="BZ78" s="276"/>
      <c r="CA78" s="276"/>
      <c r="CB78" s="276"/>
      <c r="CC78" s="276"/>
      <c r="CD78" s="276"/>
      <c r="CH78" s="276"/>
      <c r="CJ78" s="287"/>
      <c r="CK78" s="276"/>
      <c r="CL78" s="287"/>
      <c r="CM78" s="276"/>
      <c r="CN78" s="276"/>
      <c r="CO78" s="276"/>
      <c r="CP78" s="276"/>
      <c r="CQ78" s="276"/>
      <c r="CU78" s="276"/>
    </row>
    <row r="79" spans="2:140" ht="15.75">
      <c r="BU79" s="276"/>
      <c r="BW79" s="276"/>
      <c r="BY79" s="276"/>
      <c r="BZ79" s="276"/>
      <c r="CA79" s="276"/>
      <c r="CB79" s="276"/>
      <c r="CC79" s="276"/>
      <c r="CD79" s="276"/>
      <c r="CH79" s="276"/>
      <c r="CJ79" s="287"/>
      <c r="CK79" s="276"/>
      <c r="CL79" s="287"/>
      <c r="CM79" s="276"/>
      <c r="CN79" s="276"/>
      <c r="CO79" s="276"/>
      <c r="CP79" s="276"/>
      <c r="CQ79" s="276"/>
      <c r="CU79" s="276"/>
    </row>
    <row r="80" spans="2:140" ht="15.75">
      <c r="BU80" s="276"/>
      <c r="BW80" s="276"/>
      <c r="BY80" s="276"/>
      <c r="BZ80" s="276"/>
      <c r="CA80" s="276"/>
      <c r="CB80" s="276"/>
      <c r="CC80" s="276"/>
      <c r="CD80" s="276"/>
      <c r="CH80" s="276"/>
      <c r="CJ80" s="287"/>
      <c r="CK80" s="276"/>
      <c r="CL80" s="287"/>
      <c r="CM80" s="276"/>
      <c r="CN80" s="276"/>
      <c r="CO80" s="276"/>
      <c r="CP80" s="276"/>
      <c r="CQ80" s="276"/>
      <c r="CU80" s="276"/>
    </row>
    <row r="81" spans="73:99" ht="15.75">
      <c r="BU81" s="276"/>
      <c r="BW81" s="276"/>
      <c r="BY81" s="276"/>
      <c r="BZ81" s="276"/>
      <c r="CA81" s="276"/>
      <c r="CB81" s="276"/>
      <c r="CC81" s="276"/>
      <c r="CD81" s="276"/>
      <c r="CH81" s="276"/>
      <c r="CJ81" s="287"/>
      <c r="CK81" s="276"/>
      <c r="CL81" s="287"/>
      <c r="CM81" s="276"/>
      <c r="CN81" s="276"/>
      <c r="CO81" s="276"/>
      <c r="CP81" s="276"/>
      <c r="CQ81" s="276"/>
      <c r="CU81" s="276"/>
    </row>
    <row r="82" spans="73:99" ht="15.75">
      <c r="BU82" s="276"/>
      <c r="BW82" s="276"/>
      <c r="BY82" s="276"/>
      <c r="BZ82" s="276"/>
      <c r="CA82" s="276"/>
      <c r="CB82" s="276"/>
      <c r="CC82" s="276"/>
      <c r="CD82" s="276"/>
      <c r="CH82" s="276"/>
      <c r="CJ82" s="287"/>
      <c r="CK82" s="276"/>
      <c r="CL82" s="287"/>
      <c r="CM82" s="276"/>
      <c r="CN82" s="276"/>
      <c r="CO82" s="276"/>
      <c r="CP82" s="276"/>
      <c r="CQ82" s="276"/>
      <c r="CU82" s="276"/>
    </row>
    <row r="83" spans="73:99" ht="15.75">
      <c r="BU83" s="276"/>
      <c r="BW83" s="276"/>
      <c r="BY83" s="276"/>
      <c r="BZ83" s="276"/>
      <c r="CA83" s="276"/>
      <c r="CB83" s="276"/>
      <c r="CC83" s="276"/>
      <c r="CD83" s="276"/>
      <c r="CH83" s="276"/>
      <c r="CJ83" s="287"/>
      <c r="CK83" s="276"/>
      <c r="CL83" s="287"/>
      <c r="CM83" s="276"/>
      <c r="CN83" s="276"/>
      <c r="CO83" s="276"/>
      <c r="CP83" s="276"/>
      <c r="CQ83" s="276"/>
      <c r="CU83" s="276"/>
    </row>
    <row r="84" spans="73:99" ht="15.75">
      <c r="BU84" s="276"/>
      <c r="BW84" s="276"/>
      <c r="BY84" s="276"/>
      <c r="BZ84" s="276"/>
      <c r="CA84" s="276"/>
      <c r="CB84" s="276"/>
      <c r="CC84" s="276"/>
      <c r="CD84" s="276"/>
      <c r="CH84" s="276"/>
      <c r="CJ84" s="287"/>
      <c r="CK84" s="276"/>
      <c r="CL84" s="287"/>
      <c r="CM84" s="276"/>
      <c r="CN84" s="276"/>
      <c r="CO84" s="276"/>
      <c r="CP84" s="276"/>
      <c r="CQ84" s="276"/>
      <c r="CU84" s="276"/>
    </row>
    <row r="85" spans="73:99" ht="15.75">
      <c r="BU85" s="276"/>
      <c r="BW85" s="276"/>
      <c r="BY85" s="276"/>
      <c r="BZ85" s="276"/>
      <c r="CA85" s="276"/>
      <c r="CB85" s="276"/>
      <c r="CC85" s="276"/>
      <c r="CD85" s="276"/>
      <c r="CH85" s="276"/>
      <c r="CJ85" s="287"/>
      <c r="CK85" s="276"/>
      <c r="CL85" s="287"/>
      <c r="CM85" s="276"/>
      <c r="CN85" s="276"/>
      <c r="CO85" s="276"/>
      <c r="CP85" s="276"/>
      <c r="CQ85" s="276"/>
      <c r="CU85" s="276"/>
    </row>
    <row r="86" spans="73:99" ht="15.75">
      <c r="BU86" s="276"/>
      <c r="BW86" s="276"/>
      <c r="BY86" s="276"/>
      <c r="BZ86" s="276"/>
      <c r="CA86" s="276"/>
      <c r="CB86" s="276"/>
      <c r="CC86" s="276"/>
      <c r="CD86" s="276"/>
      <c r="CH86" s="276"/>
      <c r="CJ86" s="287"/>
      <c r="CK86" s="276"/>
      <c r="CL86" s="287"/>
      <c r="CM86" s="276"/>
      <c r="CN86" s="276"/>
      <c r="CO86" s="276"/>
      <c r="CP86" s="276"/>
      <c r="CQ86" s="276"/>
      <c r="CU86" s="276"/>
    </row>
    <row r="87" spans="73:99" ht="15.75">
      <c r="BU87" s="276"/>
      <c r="BW87" s="276"/>
      <c r="BY87" s="276"/>
      <c r="BZ87" s="276"/>
      <c r="CA87" s="276"/>
      <c r="CB87" s="276"/>
      <c r="CC87" s="276"/>
      <c r="CD87" s="276"/>
      <c r="CH87" s="276"/>
      <c r="CJ87" s="287"/>
      <c r="CK87" s="276"/>
      <c r="CL87" s="287"/>
      <c r="CM87" s="276"/>
      <c r="CN87" s="276"/>
      <c r="CO87" s="276"/>
      <c r="CP87" s="276"/>
      <c r="CQ87" s="276"/>
      <c r="CU87" s="276"/>
    </row>
    <row r="88" spans="73:99" ht="15.75">
      <c r="BU88" s="276"/>
      <c r="BW88" s="276"/>
      <c r="BY88" s="276"/>
      <c r="BZ88" s="276"/>
      <c r="CA88" s="276"/>
      <c r="CB88" s="276"/>
      <c r="CC88" s="276"/>
      <c r="CD88" s="276"/>
      <c r="CH88" s="276"/>
      <c r="CJ88" s="287"/>
      <c r="CK88" s="276"/>
      <c r="CL88" s="287"/>
      <c r="CM88" s="276"/>
      <c r="CN88" s="276"/>
      <c r="CO88" s="276"/>
      <c r="CP88" s="276"/>
      <c r="CQ88" s="276"/>
      <c r="CU88" s="276"/>
    </row>
    <row r="89" spans="73:99" ht="15.75">
      <c r="BU89" s="276"/>
      <c r="BW89" s="276"/>
      <c r="BY89" s="276"/>
      <c r="BZ89" s="276"/>
      <c r="CA89" s="276"/>
      <c r="CB89" s="276"/>
      <c r="CC89" s="276"/>
      <c r="CD89" s="276"/>
      <c r="CH89" s="276"/>
      <c r="CJ89" s="287"/>
      <c r="CK89" s="276"/>
      <c r="CL89" s="287"/>
      <c r="CM89" s="276"/>
      <c r="CN89" s="276"/>
      <c r="CO89" s="276"/>
      <c r="CP89" s="276"/>
      <c r="CQ89" s="276"/>
      <c r="CU89" s="276"/>
    </row>
    <row r="90" spans="73:99" ht="15.75">
      <c r="BU90" s="276"/>
      <c r="BW90" s="276"/>
      <c r="BY90" s="276"/>
      <c r="BZ90" s="276"/>
      <c r="CA90" s="276"/>
      <c r="CB90" s="276"/>
      <c r="CC90" s="276"/>
      <c r="CD90" s="276"/>
      <c r="CH90" s="276"/>
      <c r="CJ90" s="287"/>
      <c r="CK90" s="276"/>
      <c r="CL90" s="287"/>
      <c r="CM90" s="276"/>
      <c r="CN90" s="276"/>
      <c r="CO90" s="276"/>
      <c r="CP90" s="276"/>
      <c r="CQ90" s="276"/>
      <c r="CU90" s="276"/>
    </row>
    <row r="91" spans="73:99" ht="15.75">
      <c r="BU91" s="276"/>
      <c r="BW91" s="276"/>
      <c r="BY91" s="276"/>
      <c r="BZ91" s="276"/>
      <c r="CA91" s="276"/>
      <c r="CB91" s="276"/>
      <c r="CC91" s="276"/>
      <c r="CD91" s="276"/>
      <c r="CH91" s="276"/>
      <c r="CJ91" s="287"/>
      <c r="CK91" s="276"/>
      <c r="CL91" s="287"/>
      <c r="CM91" s="276"/>
      <c r="CN91" s="276"/>
      <c r="CO91" s="276"/>
      <c r="CP91" s="276"/>
      <c r="CQ91" s="276"/>
      <c r="CU91" s="276"/>
    </row>
    <row r="92" spans="73:99" ht="15.75">
      <c r="BU92" s="276"/>
      <c r="BW92" s="276"/>
      <c r="BY92" s="276"/>
      <c r="BZ92" s="276"/>
      <c r="CA92" s="276"/>
      <c r="CB92" s="276"/>
      <c r="CC92" s="276"/>
      <c r="CD92" s="276"/>
      <c r="CH92" s="276"/>
      <c r="CJ92" s="287"/>
      <c r="CK92" s="276"/>
      <c r="CL92" s="287"/>
      <c r="CM92" s="276"/>
      <c r="CN92" s="276"/>
      <c r="CO92" s="276"/>
      <c r="CP92" s="276"/>
      <c r="CQ92" s="276"/>
      <c r="CU92" s="276"/>
    </row>
    <row r="93" spans="73:99" ht="15.75">
      <c r="BU93" s="276"/>
      <c r="BW93" s="276"/>
      <c r="BY93" s="276"/>
      <c r="BZ93" s="276"/>
      <c r="CA93" s="276"/>
      <c r="CB93" s="276"/>
      <c r="CC93" s="276"/>
      <c r="CD93" s="276"/>
      <c r="CH93" s="276"/>
      <c r="CJ93" s="287"/>
      <c r="CK93" s="276"/>
      <c r="CL93" s="287"/>
      <c r="CM93" s="276"/>
      <c r="CN93" s="276"/>
      <c r="CO93" s="276"/>
      <c r="CP93" s="276"/>
      <c r="CQ93" s="276"/>
      <c r="CU93" s="276"/>
    </row>
    <row r="94" spans="73:99" ht="15.75">
      <c r="BU94" s="276"/>
      <c r="BW94" s="276"/>
      <c r="BY94" s="276"/>
      <c r="BZ94" s="276"/>
      <c r="CA94" s="276"/>
      <c r="CB94" s="276"/>
      <c r="CC94" s="276"/>
      <c r="CD94" s="276"/>
      <c r="CH94" s="276"/>
      <c r="CJ94" s="287"/>
      <c r="CK94" s="276"/>
      <c r="CL94" s="287"/>
      <c r="CM94" s="276"/>
      <c r="CN94" s="276"/>
      <c r="CO94" s="276"/>
      <c r="CP94" s="276"/>
      <c r="CQ94" s="276"/>
      <c r="CU94" s="276"/>
    </row>
    <row r="95" spans="73:99" ht="15.75">
      <c r="BU95" s="276"/>
      <c r="BW95" s="276"/>
      <c r="BY95" s="276"/>
      <c r="BZ95" s="276"/>
      <c r="CA95" s="276"/>
      <c r="CB95" s="276"/>
      <c r="CC95" s="276"/>
      <c r="CD95" s="276"/>
      <c r="CH95" s="276"/>
      <c r="CJ95" s="287"/>
      <c r="CK95" s="276"/>
      <c r="CL95" s="287"/>
      <c r="CM95" s="276"/>
      <c r="CN95" s="276"/>
      <c r="CO95" s="276"/>
      <c r="CP95" s="276"/>
      <c r="CQ95" s="276"/>
      <c r="CU95" s="276"/>
    </row>
    <row r="96" spans="73:99" ht="15.75">
      <c r="BU96" s="276"/>
      <c r="BW96" s="276"/>
      <c r="BY96" s="276"/>
      <c r="BZ96" s="276"/>
      <c r="CA96" s="276"/>
      <c r="CB96" s="276"/>
      <c r="CC96" s="276"/>
      <c r="CD96" s="276"/>
      <c r="CH96" s="276"/>
      <c r="CJ96" s="287"/>
      <c r="CK96" s="276"/>
      <c r="CL96" s="287"/>
      <c r="CM96" s="276"/>
      <c r="CN96" s="276"/>
      <c r="CO96" s="276"/>
      <c r="CP96" s="276"/>
      <c r="CQ96" s="276"/>
      <c r="CU96" s="276"/>
    </row>
    <row r="97" spans="73:99" ht="15.75">
      <c r="BU97" s="276"/>
      <c r="BW97" s="276"/>
      <c r="BY97" s="276"/>
      <c r="BZ97" s="276"/>
      <c r="CA97" s="276"/>
      <c r="CB97" s="276"/>
      <c r="CC97" s="276"/>
      <c r="CD97" s="276"/>
      <c r="CH97" s="276"/>
      <c r="CJ97" s="287"/>
      <c r="CK97" s="276"/>
      <c r="CL97" s="287"/>
      <c r="CM97" s="276"/>
      <c r="CN97" s="276"/>
      <c r="CO97" s="276"/>
      <c r="CP97" s="276"/>
      <c r="CQ97" s="276"/>
      <c r="CU97" s="276"/>
    </row>
    <row r="98" spans="73:99" ht="15.75">
      <c r="BU98" s="276"/>
      <c r="BW98" s="276"/>
      <c r="BY98" s="276"/>
      <c r="BZ98" s="276"/>
      <c r="CA98" s="276"/>
      <c r="CB98" s="276"/>
      <c r="CC98" s="276"/>
      <c r="CD98" s="276"/>
      <c r="CH98" s="276"/>
      <c r="CJ98" s="287"/>
      <c r="CK98" s="276"/>
      <c r="CL98" s="287"/>
      <c r="CM98" s="276"/>
      <c r="CN98" s="276"/>
      <c r="CO98" s="276"/>
      <c r="CP98" s="276"/>
      <c r="CQ98" s="276"/>
      <c r="CU98" s="276"/>
    </row>
    <row r="99" spans="73:99" ht="15.75">
      <c r="BU99" s="276"/>
      <c r="BW99" s="276"/>
      <c r="BY99" s="276"/>
      <c r="BZ99" s="276"/>
      <c r="CA99" s="276"/>
      <c r="CB99" s="276"/>
      <c r="CC99" s="276"/>
      <c r="CD99" s="276"/>
      <c r="CH99" s="276"/>
      <c r="CJ99" s="287"/>
      <c r="CK99" s="276"/>
      <c r="CL99" s="287"/>
      <c r="CM99" s="276"/>
      <c r="CN99" s="276"/>
      <c r="CO99" s="276"/>
      <c r="CP99" s="276"/>
      <c r="CQ99" s="276"/>
      <c r="CU99" s="276"/>
    </row>
    <row r="100" spans="73:99" ht="15.75">
      <c r="BU100" s="276"/>
      <c r="BW100" s="276"/>
      <c r="BY100" s="276"/>
      <c r="BZ100" s="276"/>
      <c r="CA100" s="276"/>
      <c r="CB100" s="276"/>
      <c r="CC100" s="276"/>
      <c r="CD100" s="276"/>
      <c r="CH100" s="276"/>
      <c r="CJ100" s="287"/>
      <c r="CK100" s="276"/>
      <c r="CL100" s="287"/>
      <c r="CM100" s="276"/>
      <c r="CN100" s="276"/>
      <c r="CO100" s="276"/>
      <c r="CP100" s="276"/>
      <c r="CQ100" s="276"/>
      <c r="CU100" s="276"/>
    </row>
    <row r="101" spans="73:99" ht="15.75">
      <c r="BU101" s="276"/>
      <c r="BW101" s="276"/>
      <c r="BY101" s="276"/>
      <c r="BZ101" s="276"/>
      <c r="CA101" s="276"/>
      <c r="CB101" s="276"/>
      <c r="CC101" s="276"/>
      <c r="CD101" s="276"/>
      <c r="CH101" s="276"/>
      <c r="CJ101" s="287"/>
      <c r="CK101" s="276"/>
      <c r="CL101" s="287"/>
      <c r="CM101" s="276"/>
      <c r="CN101" s="276"/>
      <c r="CO101" s="276"/>
      <c r="CP101" s="276"/>
      <c r="CQ101" s="276"/>
      <c r="CU101" s="276"/>
    </row>
    <row r="102" spans="73:99" ht="15.75">
      <c r="BU102" s="276"/>
      <c r="BW102" s="276"/>
      <c r="BY102" s="276"/>
      <c r="BZ102" s="276"/>
      <c r="CA102" s="276"/>
      <c r="CB102" s="276"/>
      <c r="CC102" s="276"/>
      <c r="CD102" s="276"/>
      <c r="CH102" s="276"/>
      <c r="CJ102" s="287"/>
      <c r="CK102" s="276"/>
      <c r="CL102" s="287"/>
      <c r="CM102" s="276"/>
      <c r="CN102" s="276"/>
      <c r="CO102" s="276"/>
      <c r="CP102" s="276"/>
      <c r="CQ102" s="276"/>
      <c r="CU102" s="276"/>
    </row>
    <row r="103" spans="73:99" ht="15.75">
      <c r="BU103" s="276"/>
      <c r="BW103" s="276"/>
      <c r="BY103" s="276"/>
      <c r="BZ103" s="276"/>
      <c r="CA103" s="276"/>
      <c r="CB103" s="276"/>
      <c r="CC103" s="276"/>
      <c r="CD103" s="276"/>
      <c r="CH103" s="276"/>
      <c r="CJ103" s="287"/>
      <c r="CK103" s="276"/>
      <c r="CL103" s="287"/>
      <c r="CM103" s="276"/>
      <c r="CN103" s="276"/>
      <c r="CO103" s="276"/>
      <c r="CP103" s="276"/>
      <c r="CQ103" s="276"/>
      <c r="CU103" s="276"/>
    </row>
    <row r="104" spans="73:99" ht="15.75">
      <c r="BU104" s="276"/>
      <c r="BW104" s="276"/>
      <c r="BY104" s="276"/>
      <c r="BZ104" s="276"/>
      <c r="CA104" s="276"/>
      <c r="CB104" s="276"/>
      <c r="CC104" s="276"/>
      <c r="CD104" s="276"/>
      <c r="CH104" s="276"/>
      <c r="CJ104" s="287"/>
      <c r="CK104" s="276"/>
      <c r="CL104" s="287"/>
      <c r="CM104" s="276"/>
      <c r="CN104" s="276"/>
      <c r="CO104" s="276"/>
      <c r="CP104" s="276"/>
      <c r="CQ104" s="276"/>
      <c r="CU104" s="276"/>
    </row>
    <row r="105" spans="73:99" ht="15.75">
      <c r="BU105" s="276"/>
      <c r="BW105" s="276"/>
      <c r="BY105" s="276"/>
      <c r="BZ105" s="276"/>
      <c r="CA105" s="276"/>
      <c r="CB105" s="276"/>
      <c r="CC105" s="276"/>
      <c r="CD105" s="276"/>
      <c r="CH105" s="276"/>
      <c r="CJ105" s="287"/>
      <c r="CK105" s="276"/>
      <c r="CL105" s="287"/>
      <c r="CM105" s="276"/>
      <c r="CN105" s="276"/>
      <c r="CO105" s="276"/>
      <c r="CP105" s="276"/>
      <c r="CQ105" s="276"/>
      <c r="CU105" s="276"/>
    </row>
    <row r="106" spans="73:99" ht="15.75">
      <c r="BU106" s="276"/>
      <c r="BW106" s="276"/>
      <c r="BY106" s="276"/>
      <c r="BZ106" s="276"/>
      <c r="CA106" s="276"/>
      <c r="CB106" s="276"/>
      <c r="CC106" s="276"/>
      <c r="CD106" s="276"/>
      <c r="CH106" s="276"/>
      <c r="CJ106" s="287"/>
      <c r="CK106" s="276"/>
      <c r="CL106" s="287"/>
      <c r="CM106" s="276"/>
      <c r="CN106" s="276"/>
      <c r="CO106" s="276"/>
      <c r="CP106" s="276"/>
      <c r="CQ106" s="276"/>
      <c r="CU106" s="276"/>
    </row>
    <row r="107" spans="73:99" ht="15.75">
      <c r="BU107" s="276"/>
      <c r="BW107" s="276"/>
      <c r="BY107" s="276"/>
      <c r="BZ107" s="276"/>
      <c r="CA107" s="276"/>
      <c r="CB107" s="276"/>
      <c r="CC107" s="276"/>
      <c r="CD107" s="276"/>
      <c r="CH107" s="276"/>
      <c r="CJ107" s="287"/>
      <c r="CK107" s="276"/>
      <c r="CL107" s="287"/>
      <c r="CM107" s="276"/>
      <c r="CN107" s="276"/>
      <c r="CO107" s="276"/>
      <c r="CP107" s="276"/>
      <c r="CQ107" s="276"/>
      <c r="CU107" s="276"/>
    </row>
    <row r="108" spans="73:99" ht="15.75">
      <c r="BU108" s="276"/>
      <c r="BW108" s="276"/>
      <c r="BY108" s="276"/>
      <c r="BZ108" s="276"/>
      <c r="CA108" s="276"/>
      <c r="CB108" s="276"/>
      <c r="CC108" s="276"/>
      <c r="CD108" s="276"/>
      <c r="CH108" s="276"/>
      <c r="CJ108" s="287"/>
      <c r="CK108" s="276"/>
      <c r="CL108" s="287"/>
      <c r="CM108" s="276"/>
      <c r="CN108" s="276"/>
      <c r="CO108" s="276"/>
      <c r="CP108" s="276"/>
      <c r="CQ108" s="276"/>
      <c r="CU108" s="276"/>
    </row>
    <row r="109" spans="73:99" ht="15.75">
      <c r="BU109" s="276"/>
      <c r="BW109" s="276"/>
      <c r="BY109" s="276"/>
      <c r="BZ109" s="276"/>
      <c r="CA109" s="276"/>
      <c r="CB109" s="276"/>
      <c r="CC109" s="276"/>
      <c r="CD109" s="276"/>
      <c r="CH109" s="276"/>
      <c r="CJ109" s="287"/>
      <c r="CK109" s="276"/>
      <c r="CL109" s="287"/>
      <c r="CM109" s="276"/>
      <c r="CN109" s="276"/>
      <c r="CO109" s="276"/>
      <c r="CP109" s="276"/>
      <c r="CQ109" s="276"/>
      <c r="CU109" s="276"/>
    </row>
    <row r="110" spans="73:99" ht="15.75">
      <c r="BU110" s="276"/>
      <c r="BW110" s="276"/>
      <c r="BY110" s="276"/>
      <c r="BZ110" s="276"/>
      <c r="CA110" s="276"/>
      <c r="CB110" s="276"/>
      <c r="CC110" s="276"/>
      <c r="CD110" s="276"/>
      <c r="CH110" s="276"/>
      <c r="CJ110" s="287"/>
      <c r="CK110" s="276"/>
      <c r="CL110" s="287"/>
      <c r="CM110" s="276"/>
      <c r="CN110" s="276"/>
      <c r="CO110" s="276"/>
      <c r="CP110" s="276"/>
      <c r="CQ110" s="276"/>
      <c r="CU110" s="276"/>
    </row>
    <row r="111" spans="73:99" ht="15.75">
      <c r="BU111" s="276"/>
      <c r="BW111" s="276"/>
      <c r="BY111" s="276"/>
      <c r="BZ111" s="276"/>
      <c r="CA111" s="276"/>
      <c r="CB111" s="276"/>
      <c r="CC111" s="276"/>
      <c r="CD111" s="276"/>
      <c r="CH111" s="276"/>
      <c r="CJ111" s="287"/>
      <c r="CK111" s="276"/>
      <c r="CL111" s="287"/>
      <c r="CM111" s="276"/>
      <c r="CN111" s="276"/>
      <c r="CO111" s="276"/>
      <c r="CP111" s="276"/>
      <c r="CQ111" s="276"/>
      <c r="CU111" s="276"/>
    </row>
    <row r="112" spans="73:99" ht="15.75">
      <c r="BU112" s="276"/>
      <c r="BW112" s="276"/>
      <c r="BY112" s="276"/>
      <c r="BZ112" s="276"/>
      <c r="CA112" s="276"/>
      <c r="CB112" s="276"/>
      <c r="CC112" s="276"/>
      <c r="CD112" s="276"/>
      <c r="CH112" s="276"/>
      <c r="CJ112" s="287"/>
      <c r="CK112" s="276"/>
      <c r="CL112" s="287"/>
      <c r="CM112" s="276"/>
      <c r="CN112" s="276"/>
      <c r="CO112" s="276"/>
      <c r="CP112" s="276"/>
      <c r="CQ112" s="276"/>
      <c r="CU112" s="276"/>
    </row>
    <row r="113" spans="73:99" ht="15.75">
      <c r="BU113" s="276"/>
      <c r="BW113" s="276"/>
      <c r="BY113" s="276"/>
      <c r="BZ113" s="276"/>
      <c r="CA113" s="276"/>
      <c r="CB113" s="276"/>
      <c r="CC113" s="276"/>
      <c r="CD113" s="276"/>
      <c r="CH113" s="276"/>
      <c r="CJ113" s="287"/>
      <c r="CK113" s="276"/>
      <c r="CL113" s="287"/>
      <c r="CM113" s="276"/>
      <c r="CN113" s="276"/>
      <c r="CO113" s="276"/>
      <c r="CP113" s="276"/>
      <c r="CQ113" s="276"/>
      <c r="CU113" s="276"/>
    </row>
    <row r="114" spans="73:99" ht="15.75">
      <c r="BU114" s="276"/>
      <c r="BW114" s="276"/>
      <c r="BY114" s="276"/>
      <c r="BZ114" s="276"/>
      <c r="CA114" s="276"/>
      <c r="CB114" s="276"/>
      <c r="CC114" s="276"/>
      <c r="CD114" s="276"/>
      <c r="CH114" s="276"/>
      <c r="CJ114" s="287"/>
      <c r="CK114" s="276"/>
      <c r="CL114" s="287"/>
      <c r="CM114" s="276"/>
      <c r="CN114" s="276"/>
      <c r="CO114" s="276"/>
      <c r="CP114" s="276"/>
      <c r="CQ114" s="276"/>
      <c r="CU114" s="276"/>
    </row>
    <row r="115" spans="73:99" ht="15.75">
      <c r="BU115" s="276"/>
      <c r="BW115" s="276"/>
      <c r="BY115" s="276"/>
      <c r="BZ115" s="276"/>
      <c r="CA115" s="276"/>
      <c r="CB115" s="276"/>
      <c r="CC115" s="276"/>
      <c r="CD115" s="276"/>
      <c r="CH115" s="276"/>
      <c r="CJ115" s="287"/>
      <c r="CK115" s="276"/>
      <c r="CL115" s="287"/>
      <c r="CM115" s="276"/>
      <c r="CN115" s="276"/>
      <c r="CO115" s="276"/>
      <c r="CP115" s="276"/>
      <c r="CQ115" s="276"/>
      <c r="CU115" s="276"/>
    </row>
    <row r="116" spans="73:99" ht="15.75">
      <c r="BU116" s="276"/>
      <c r="BW116" s="276"/>
      <c r="BY116" s="276"/>
      <c r="BZ116" s="276"/>
      <c r="CA116" s="276"/>
      <c r="CB116" s="276"/>
      <c r="CC116" s="276"/>
      <c r="CD116" s="276"/>
      <c r="CH116" s="276"/>
      <c r="CJ116" s="287"/>
      <c r="CK116" s="276"/>
      <c r="CL116" s="287"/>
      <c r="CM116" s="276"/>
      <c r="CN116" s="276"/>
      <c r="CO116" s="276"/>
      <c r="CP116" s="276"/>
      <c r="CQ116" s="276"/>
      <c r="CU116" s="276"/>
    </row>
    <row r="117" spans="73:99" ht="15.75">
      <c r="BU117" s="276"/>
      <c r="BW117" s="276"/>
      <c r="BY117" s="276"/>
      <c r="BZ117" s="276"/>
      <c r="CA117" s="276"/>
      <c r="CB117" s="276"/>
      <c r="CC117" s="276"/>
      <c r="CD117" s="276"/>
      <c r="CH117" s="276"/>
      <c r="CJ117" s="287"/>
      <c r="CK117" s="276"/>
      <c r="CL117" s="287"/>
      <c r="CM117" s="276"/>
      <c r="CN117" s="276"/>
      <c r="CO117" s="276"/>
      <c r="CP117" s="276"/>
      <c r="CQ117" s="276"/>
      <c r="CU117" s="276"/>
    </row>
    <row r="118" spans="73:99" ht="15.75">
      <c r="BU118" s="276"/>
      <c r="BW118" s="276"/>
      <c r="BY118" s="276"/>
      <c r="BZ118" s="276"/>
      <c r="CA118" s="276"/>
      <c r="CB118" s="276"/>
      <c r="CC118" s="276"/>
      <c r="CD118" s="276"/>
      <c r="CH118" s="276"/>
      <c r="CJ118" s="287"/>
      <c r="CK118" s="276"/>
      <c r="CL118" s="287"/>
      <c r="CM118" s="276"/>
      <c r="CN118" s="276"/>
      <c r="CO118" s="276"/>
      <c r="CP118" s="276"/>
      <c r="CQ118" s="276"/>
      <c r="CU118" s="276"/>
    </row>
    <row r="119" spans="73:99" ht="15.75">
      <c r="BU119" s="276"/>
      <c r="BW119" s="276"/>
      <c r="BY119" s="276"/>
      <c r="BZ119" s="276"/>
      <c r="CA119" s="276"/>
      <c r="CB119" s="276"/>
      <c r="CC119" s="276"/>
      <c r="CD119" s="276"/>
      <c r="CH119" s="276"/>
      <c r="CJ119" s="287"/>
      <c r="CK119" s="276"/>
      <c r="CL119" s="287"/>
      <c r="CM119" s="276"/>
      <c r="CN119" s="276"/>
      <c r="CO119" s="276"/>
      <c r="CP119" s="276"/>
      <c r="CQ119" s="276"/>
      <c r="CU119" s="276"/>
    </row>
    <row r="120" spans="73:99" ht="15.75">
      <c r="BU120" s="276"/>
      <c r="BW120" s="276"/>
      <c r="BY120" s="276"/>
      <c r="BZ120" s="276"/>
      <c r="CA120" s="276"/>
      <c r="CB120" s="276"/>
      <c r="CC120" s="276"/>
      <c r="CD120" s="276"/>
      <c r="CH120" s="276"/>
      <c r="CJ120" s="287"/>
      <c r="CK120" s="276"/>
      <c r="CL120" s="287"/>
      <c r="CM120" s="276"/>
      <c r="CN120" s="276"/>
      <c r="CO120" s="276"/>
      <c r="CP120" s="276"/>
      <c r="CQ120" s="276"/>
      <c r="CU120" s="276"/>
    </row>
    <row r="121" spans="73:99" ht="15.75">
      <c r="BU121" s="276"/>
      <c r="BW121" s="276"/>
      <c r="BY121" s="276"/>
      <c r="BZ121" s="276"/>
      <c r="CA121" s="276"/>
      <c r="CB121" s="276"/>
      <c r="CC121" s="276"/>
      <c r="CD121" s="276"/>
      <c r="CH121" s="276"/>
      <c r="CJ121" s="287"/>
      <c r="CK121" s="276"/>
      <c r="CL121" s="287"/>
      <c r="CM121" s="276"/>
      <c r="CN121" s="276"/>
      <c r="CO121" s="276"/>
      <c r="CP121" s="276"/>
      <c r="CQ121" s="276"/>
      <c r="CU121" s="276"/>
    </row>
    <row r="122" spans="73:99" ht="15.75">
      <c r="BU122" s="276"/>
      <c r="BW122" s="276"/>
      <c r="BY122" s="276"/>
      <c r="BZ122" s="276"/>
      <c r="CA122" s="276"/>
      <c r="CB122" s="276"/>
      <c r="CC122" s="276"/>
      <c r="CD122" s="276"/>
      <c r="CH122" s="276"/>
      <c r="CJ122" s="287"/>
      <c r="CK122" s="276"/>
      <c r="CL122" s="287"/>
      <c r="CM122" s="276"/>
      <c r="CN122" s="276"/>
      <c r="CO122" s="276"/>
      <c r="CP122" s="276"/>
      <c r="CQ122" s="276"/>
      <c r="CU122" s="276"/>
    </row>
    <row r="123" spans="73:99" ht="15.75">
      <c r="BU123" s="276"/>
      <c r="BW123" s="276"/>
      <c r="BY123" s="276"/>
      <c r="BZ123" s="276"/>
      <c r="CA123" s="276"/>
      <c r="CB123" s="276"/>
      <c r="CC123" s="276"/>
      <c r="CD123" s="276"/>
      <c r="CH123" s="276"/>
      <c r="CJ123" s="287"/>
      <c r="CK123" s="276"/>
      <c r="CL123" s="287"/>
      <c r="CM123" s="276"/>
      <c r="CN123" s="276"/>
      <c r="CO123" s="276"/>
      <c r="CP123" s="276"/>
      <c r="CQ123" s="276"/>
      <c r="CU123" s="276"/>
    </row>
    <row r="124" spans="73:99" ht="15.75">
      <c r="BU124" s="276"/>
      <c r="BW124" s="276"/>
      <c r="BY124" s="276"/>
      <c r="BZ124" s="276"/>
      <c r="CA124" s="276"/>
      <c r="CB124" s="276"/>
      <c r="CC124" s="276"/>
      <c r="CD124" s="276"/>
      <c r="CH124" s="276"/>
      <c r="CJ124" s="287"/>
      <c r="CK124" s="276"/>
      <c r="CL124" s="287"/>
      <c r="CM124" s="276"/>
      <c r="CN124" s="276"/>
      <c r="CO124" s="276"/>
      <c r="CP124" s="276"/>
      <c r="CQ124" s="276"/>
      <c r="CU124" s="276"/>
    </row>
    <row r="125" spans="73:99" ht="15.75">
      <c r="BU125" s="276"/>
      <c r="BW125" s="276"/>
      <c r="BY125" s="276"/>
      <c r="BZ125" s="276"/>
      <c r="CA125" s="276"/>
      <c r="CB125" s="276"/>
      <c r="CC125" s="276"/>
      <c r="CD125" s="276"/>
      <c r="CH125" s="276"/>
      <c r="CJ125" s="287"/>
      <c r="CK125" s="276"/>
      <c r="CL125" s="287"/>
      <c r="CM125" s="276"/>
      <c r="CN125" s="276"/>
      <c r="CO125" s="276"/>
      <c r="CP125" s="276"/>
      <c r="CQ125" s="276"/>
      <c r="CU125" s="276"/>
    </row>
    <row r="126" spans="73:99" ht="15.75">
      <c r="BU126" s="276"/>
      <c r="BW126" s="276"/>
      <c r="BY126" s="276"/>
      <c r="BZ126" s="276"/>
      <c r="CA126" s="276"/>
      <c r="CB126" s="276"/>
      <c r="CC126" s="276"/>
      <c r="CD126" s="276"/>
      <c r="CH126" s="276"/>
      <c r="CJ126" s="287"/>
      <c r="CK126" s="276"/>
      <c r="CL126" s="287"/>
      <c r="CM126" s="276"/>
      <c r="CN126" s="276"/>
      <c r="CO126" s="276"/>
      <c r="CP126" s="276"/>
      <c r="CQ126" s="276"/>
      <c r="CU126" s="276"/>
    </row>
    <row r="127" spans="73:99" ht="15.75">
      <c r="BU127" s="276"/>
      <c r="BW127" s="276"/>
      <c r="BY127" s="276"/>
      <c r="BZ127" s="276"/>
      <c r="CA127" s="276"/>
      <c r="CB127" s="276"/>
      <c r="CC127" s="276"/>
      <c r="CD127" s="276"/>
      <c r="CH127" s="276"/>
      <c r="CJ127" s="287"/>
      <c r="CK127" s="276"/>
      <c r="CL127" s="287"/>
      <c r="CM127" s="276"/>
      <c r="CN127" s="276"/>
      <c r="CO127" s="276"/>
      <c r="CP127" s="276"/>
      <c r="CQ127" s="276"/>
      <c r="CU127" s="276"/>
    </row>
    <row r="128" spans="73:99" ht="15.75">
      <c r="BU128" s="276"/>
      <c r="BW128" s="276"/>
      <c r="BY128" s="276"/>
      <c r="BZ128" s="276"/>
      <c r="CA128" s="276"/>
      <c r="CB128" s="276"/>
      <c r="CC128" s="276"/>
      <c r="CD128" s="276"/>
      <c r="CH128" s="276"/>
      <c r="CJ128" s="287"/>
      <c r="CK128" s="276"/>
      <c r="CL128" s="287"/>
      <c r="CM128" s="276"/>
      <c r="CN128" s="276"/>
      <c r="CO128" s="276"/>
      <c r="CP128" s="276"/>
      <c r="CQ128" s="276"/>
      <c r="CU128" s="276"/>
    </row>
    <row r="129" spans="73:99" ht="15.75">
      <c r="BU129" s="276"/>
      <c r="BW129" s="276"/>
      <c r="BY129" s="276"/>
      <c r="BZ129" s="276"/>
      <c r="CA129" s="276"/>
      <c r="CB129" s="276"/>
      <c r="CC129" s="276"/>
      <c r="CD129" s="276"/>
      <c r="CH129" s="276"/>
      <c r="CJ129" s="287"/>
      <c r="CK129" s="276"/>
      <c r="CL129" s="287"/>
      <c r="CM129" s="276"/>
      <c r="CN129" s="276"/>
      <c r="CO129" s="276"/>
      <c r="CP129" s="276"/>
      <c r="CQ129" s="276"/>
      <c r="CU129" s="276"/>
    </row>
    <row r="130" spans="73:99" ht="15.75">
      <c r="BU130" s="276"/>
      <c r="BW130" s="276"/>
      <c r="BY130" s="276"/>
      <c r="BZ130" s="276"/>
      <c r="CA130" s="276"/>
      <c r="CB130" s="276"/>
      <c r="CC130" s="276"/>
      <c r="CD130" s="276"/>
      <c r="CH130" s="276"/>
      <c r="CJ130" s="287"/>
      <c r="CK130" s="276"/>
      <c r="CL130" s="287"/>
      <c r="CM130" s="276"/>
      <c r="CN130" s="276"/>
      <c r="CO130" s="276"/>
      <c r="CP130" s="276"/>
      <c r="CQ130" s="276"/>
      <c r="CU130" s="276"/>
    </row>
    <row r="131" spans="73:99" ht="15.75">
      <c r="BU131" s="276"/>
      <c r="BW131" s="276"/>
      <c r="BY131" s="276"/>
      <c r="BZ131" s="276"/>
      <c r="CA131" s="276"/>
      <c r="CB131" s="276"/>
      <c r="CC131" s="276"/>
      <c r="CD131" s="276"/>
      <c r="CH131" s="276"/>
      <c r="CJ131" s="287"/>
      <c r="CK131" s="276"/>
      <c r="CL131" s="287"/>
      <c r="CM131" s="276"/>
      <c r="CN131" s="276"/>
      <c r="CO131" s="276"/>
      <c r="CP131" s="276"/>
      <c r="CQ131" s="276"/>
      <c r="CU131" s="276"/>
    </row>
    <row r="132" spans="73:99" ht="15.75">
      <c r="BU132" s="276"/>
      <c r="BW132" s="276"/>
      <c r="BY132" s="276"/>
      <c r="BZ132" s="276"/>
      <c r="CA132" s="276"/>
      <c r="CB132" s="276"/>
      <c r="CC132" s="276"/>
      <c r="CD132" s="276"/>
      <c r="CH132" s="276"/>
      <c r="CJ132" s="287"/>
      <c r="CK132" s="276"/>
      <c r="CL132" s="287"/>
      <c r="CM132" s="276"/>
      <c r="CN132" s="276"/>
      <c r="CO132" s="276"/>
      <c r="CP132" s="276"/>
      <c r="CQ132" s="276"/>
      <c r="CU132" s="276"/>
    </row>
    <row r="133" spans="73:99" ht="15.75">
      <c r="BU133" s="276"/>
      <c r="BW133" s="276"/>
      <c r="BY133" s="276"/>
      <c r="BZ133" s="276"/>
      <c r="CA133" s="276"/>
      <c r="CB133" s="276"/>
      <c r="CC133" s="276"/>
      <c r="CD133" s="276"/>
      <c r="CH133" s="276"/>
      <c r="CJ133" s="287"/>
      <c r="CK133" s="276"/>
      <c r="CL133" s="287"/>
      <c r="CM133" s="276"/>
      <c r="CN133" s="276"/>
      <c r="CO133" s="276"/>
      <c r="CP133" s="276"/>
      <c r="CQ133" s="276"/>
      <c r="CU133" s="276"/>
    </row>
    <row r="134" spans="73:99" ht="15.75">
      <c r="BU134" s="276"/>
      <c r="BW134" s="276"/>
      <c r="BY134" s="276"/>
      <c r="BZ134" s="276"/>
      <c r="CA134" s="276"/>
      <c r="CB134" s="276"/>
      <c r="CC134" s="276"/>
      <c r="CD134" s="276"/>
      <c r="CH134" s="276"/>
      <c r="CJ134" s="287"/>
      <c r="CK134" s="276"/>
      <c r="CL134" s="287"/>
      <c r="CM134" s="276"/>
      <c r="CN134" s="276"/>
      <c r="CO134" s="276"/>
      <c r="CP134" s="276"/>
      <c r="CQ134" s="276"/>
      <c r="CU134" s="276"/>
    </row>
    <row r="135" spans="73:99" ht="15.75">
      <c r="BU135" s="276"/>
      <c r="BW135" s="276"/>
      <c r="BY135" s="276"/>
      <c r="BZ135" s="276"/>
      <c r="CA135" s="276"/>
      <c r="CB135" s="276"/>
      <c r="CC135" s="276"/>
      <c r="CD135" s="276"/>
      <c r="CH135" s="276"/>
      <c r="CJ135" s="287"/>
      <c r="CK135" s="276"/>
      <c r="CL135" s="287"/>
      <c r="CM135" s="276"/>
      <c r="CN135" s="276"/>
      <c r="CO135" s="276"/>
      <c r="CP135" s="276"/>
      <c r="CQ135" s="276"/>
      <c r="CU135" s="276"/>
    </row>
    <row r="136" spans="73:99" ht="15.75">
      <c r="BU136" s="276"/>
      <c r="BW136" s="276"/>
      <c r="BY136" s="276"/>
      <c r="BZ136" s="276"/>
      <c r="CA136" s="276"/>
      <c r="CB136" s="276"/>
      <c r="CC136" s="276"/>
      <c r="CD136" s="276"/>
      <c r="CH136" s="276"/>
      <c r="CJ136" s="287"/>
      <c r="CK136" s="276"/>
      <c r="CL136" s="287"/>
      <c r="CM136" s="276"/>
      <c r="CN136" s="276"/>
      <c r="CO136" s="276"/>
      <c r="CP136" s="276"/>
      <c r="CQ136" s="276"/>
      <c r="CU136" s="276"/>
    </row>
    <row r="137" spans="73:99" ht="15.75">
      <c r="BU137" s="276"/>
      <c r="BW137" s="276"/>
      <c r="BY137" s="276"/>
      <c r="BZ137" s="276"/>
      <c r="CA137" s="276"/>
      <c r="CB137" s="276"/>
      <c r="CC137" s="276"/>
      <c r="CD137" s="276"/>
      <c r="CH137" s="276"/>
      <c r="CJ137" s="287"/>
      <c r="CK137" s="276"/>
      <c r="CL137" s="287"/>
      <c r="CM137" s="276"/>
      <c r="CN137" s="276"/>
      <c r="CO137" s="276"/>
      <c r="CP137" s="276"/>
      <c r="CQ137" s="276"/>
      <c r="CU137" s="276"/>
    </row>
    <row r="138" spans="73:99" ht="15.75">
      <c r="BU138" s="276"/>
      <c r="BW138" s="276"/>
      <c r="BY138" s="276"/>
      <c r="BZ138" s="276"/>
      <c r="CA138" s="276"/>
      <c r="CB138" s="276"/>
      <c r="CC138" s="276"/>
      <c r="CD138" s="276"/>
      <c r="CH138" s="276"/>
      <c r="CJ138" s="287"/>
      <c r="CK138" s="276"/>
      <c r="CL138" s="287"/>
      <c r="CM138" s="276"/>
      <c r="CN138" s="276"/>
      <c r="CO138" s="276"/>
      <c r="CP138" s="276"/>
      <c r="CQ138" s="276"/>
      <c r="CU138" s="276"/>
    </row>
    <row r="139" spans="73:99" ht="15.75">
      <c r="BU139" s="276"/>
      <c r="BW139" s="276"/>
      <c r="BY139" s="276"/>
      <c r="BZ139" s="276"/>
      <c r="CA139" s="276"/>
      <c r="CB139" s="276"/>
      <c r="CC139" s="276"/>
      <c r="CD139" s="276"/>
      <c r="CH139" s="276"/>
      <c r="CJ139" s="287"/>
      <c r="CK139" s="276"/>
      <c r="CL139" s="287"/>
      <c r="CM139" s="276"/>
      <c r="CN139" s="276"/>
      <c r="CO139" s="276"/>
      <c r="CP139" s="276"/>
      <c r="CQ139" s="276"/>
      <c r="CU139" s="276"/>
    </row>
    <row r="140" spans="73:99" ht="15.75">
      <c r="BU140" s="276"/>
      <c r="BW140" s="276"/>
      <c r="BY140" s="276"/>
      <c r="BZ140" s="276"/>
      <c r="CA140" s="276"/>
      <c r="CB140" s="276"/>
      <c r="CC140" s="276"/>
      <c r="CD140" s="276"/>
      <c r="CH140" s="276"/>
      <c r="CJ140" s="287"/>
      <c r="CK140" s="276"/>
      <c r="CL140" s="287"/>
      <c r="CM140" s="276"/>
      <c r="CN140" s="276"/>
      <c r="CO140" s="276"/>
      <c r="CP140" s="276"/>
      <c r="CQ140" s="276"/>
      <c r="CU140" s="276"/>
    </row>
    <row r="141" spans="73:99" ht="15.75">
      <c r="BU141" s="276"/>
      <c r="BW141" s="276"/>
      <c r="BY141" s="276"/>
      <c r="BZ141" s="276"/>
      <c r="CA141" s="276"/>
      <c r="CB141" s="276"/>
      <c r="CC141" s="276"/>
      <c r="CD141" s="276"/>
      <c r="CH141" s="276"/>
      <c r="CJ141" s="287"/>
      <c r="CK141" s="276"/>
      <c r="CL141" s="287"/>
      <c r="CM141" s="276"/>
      <c r="CN141" s="276"/>
      <c r="CO141" s="276"/>
      <c r="CP141" s="276"/>
      <c r="CQ141" s="276"/>
      <c r="CU141" s="276"/>
    </row>
    <row r="142" spans="73:99" ht="15.75">
      <c r="BU142" s="276"/>
      <c r="BW142" s="276"/>
      <c r="BY142" s="276"/>
      <c r="BZ142" s="276"/>
      <c r="CA142" s="276"/>
      <c r="CB142" s="276"/>
      <c r="CC142" s="276"/>
      <c r="CD142" s="276"/>
      <c r="CH142" s="276"/>
      <c r="CJ142" s="287"/>
      <c r="CK142" s="276"/>
      <c r="CL142" s="287"/>
      <c r="CM142" s="276"/>
      <c r="CN142" s="276"/>
      <c r="CO142" s="276"/>
      <c r="CP142" s="276"/>
      <c r="CQ142" s="276"/>
      <c r="CU142" s="276"/>
    </row>
    <row r="143" spans="73:99" ht="15.75">
      <c r="BW143" s="276"/>
      <c r="BY143" s="276"/>
      <c r="BZ143" s="276"/>
      <c r="CA143" s="276"/>
      <c r="CB143" s="276"/>
      <c r="CC143" s="276"/>
      <c r="CD143" s="276"/>
      <c r="CH143" s="276"/>
      <c r="CJ143" s="287"/>
      <c r="CK143" s="276"/>
      <c r="CL143" s="287"/>
      <c r="CM143" s="276"/>
      <c r="CN143" s="276"/>
      <c r="CO143" s="276"/>
      <c r="CP143" s="276"/>
      <c r="CQ143" s="276"/>
      <c r="CU143" s="276"/>
    </row>
    <row r="144" spans="73:99" ht="15.75">
      <c r="BW144" s="276"/>
      <c r="BY144" s="276"/>
      <c r="BZ144" s="276"/>
      <c r="CA144" s="276"/>
      <c r="CB144" s="276"/>
      <c r="CC144" s="276"/>
      <c r="CD144" s="276"/>
      <c r="CH144" s="276"/>
      <c r="CJ144" s="287"/>
      <c r="CK144" s="276"/>
      <c r="CL144" s="287"/>
      <c r="CM144" s="276"/>
      <c r="CN144" s="276"/>
      <c r="CO144" s="276"/>
      <c r="CP144" s="276"/>
      <c r="CQ144" s="276"/>
      <c r="CU144" s="276"/>
    </row>
    <row r="145" spans="75:99" ht="15.75">
      <c r="BW145" s="276"/>
      <c r="BY145" s="276"/>
      <c r="BZ145" s="276"/>
      <c r="CA145" s="276"/>
      <c r="CB145" s="276"/>
      <c r="CC145" s="276"/>
      <c r="CD145" s="276"/>
      <c r="CH145" s="276"/>
      <c r="CJ145" s="287"/>
      <c r="CK145" s="276"/>
      <c r="CL145" s="287"/>
      <c r="CM145" s="276"/>
      <c r="CN145" s="276"/>
      <c r="CO145" s="276"/>
      <c r="CP145" s="276"/>
      <c r="CQ145" s="276"/>
      <c r="CU145" s="276"/>
    </row>
    <row r="146" spans="75:99" ht="15.75">
      <c r="BW146" s="276"/>
      <c r="BY146" s="276"/>
      <c r="BZ146" s="276"/>
      <c r="CA146" s="276"/>
      <c r="CB146" s="276"/>
      <c r="CC146" s="276"/>
      <c r="CD146" s="276"/>
      <c r="CH146" s="276"/>
      <c r="CJ146" s="287"/>
      <c r="CK146" s="276"/>
      <c r="CL146" s="287"/>
      <c r="CM146" s="276"/>
      <c r="CN146" s="276"/>
      <c r="CO146" s="276"/>
      <c r="CP146" s="276"/>
      <c r="CQ146" s="276"/>
      <c r="CU146" s="276"/>
    </row>
    <row r="147" spans="75:99" ht="15.75">
      <c r="BW147" s="276"/>
      <c r="BY147" s="276"/>
      <c r="BZ147" s="276"/>
      <c r="CA147" s="276"/>
      <c r="CB147" s="276"/>
      <c r="CC147" s="276"/>
      <c r="CD147" s="276"/>
      <c r="CH147" s="276"/>
      <c r="CJ147" s="287"/>
      <c r="CK147" s="276"/>
      <c r="CL147" s="287"/>
      <c r="CM147" s="276"/>
      <c r="CN147" s="276"/>
      <c r="CO147" s="276"/>
      <c r="CP147" s="276"/>
      <c r="CQ147" s="276"/>
      <c r="CU147" s="276"/>
    </row>
    <row r="148" spans="75:99" ht="15.75">
      <c r="BW148" s="276"/>
      <c r="BY148" s="276"/>
      <c r="BZ148" s="276"/>
      <c r="CA148" s="276"/>
      <c r="CB148" s="276"/>
      <c r="CC148" s="276"/>
      <c r="CD148" s="276"/>
      <c r="CH148" s="276"/>
      <c r="CJ148" s="287"/>
      <c r="CK148" s="276"/>
      <c r="CL148" s="287"/>
      <c r="CM148" s="276"/>
      <c r="CN148" s="276"/>
      <c r="CO148" s="276"/>
      <c r="CP148" s="276"/>
      <c r="CQ148" s="276"/>
      <c r="CU148" s="276"/>
    </row>
    <row r="149" spans="75:99" ht="15.75">
      <c r="BW149" s="276"/>
      <c r="BY149" s="276"/>
      <c r="BZ149" s="276"/>
      <c r="CA149" s="276"/>
      <c r="CB149" s="276"/>
      <c r="CC149" s="276"/>
      <c r="CD149" s="276"/>
      <c r="CH149" s="276"/>
      <c r="CJ149" s="287"/>
      <c r="CK149" s="276"/>
      <c r="CL149" s="287"/>
      <c r="CM149" s="276"/>
      <c r="CN149" s="276"/>
      <c r="CO149" s="276"/>
      <c r="CP149" s="276"/>
      <c r="CQ149" s="276"/>
      <c r="CU149" s="276"/>
    </row>
    <row r="150" spans="75:99" ht="15.75">
      <c r="BW150" s="276"/>
      <c r="BY150" s="276"/>
      <c r="BZ150" s="276"/>
      <c r="CA150" s="276"/>
      <c r="CB150" s="276"/>
      <c r="CC150" s="276"/>
      <c r="CD150" s="276"/>
      <c r="CH150" s="276"/>
      <c r="CJ150" s="287"/>
      <c r="CK150" s="276"/>
      <c r="CL150" s="287"/>
      <c r="CM150" s="276"/>
      <c r="CN150" s="276"/>
      <c r="CO150" s="276"/>
      <c r="CP150" s="276"/>
      <c r="CQ150" s="276"/>
      <c r="CU150" s="276"/>
    </row>
    <row r="151" spans="75:99" ht="15.75">
      <c r="BW151" s="276"/>
      <c r="BY151" s="276"/>
      <c r="BZ151" s="276"/>
      <c r="CA151" s="276"/>
      <c r="CB151" s="276"/>
      <c r="CC151" s="276"/>
      <c r="CD151" s="276"/>
      <c r="CH151" s="276"/>
      <c r="CJ151" s="287"/>
      <c r="CK151" s="276"/>
      <c r="CL151" s="287"/>
      <c r="CM151" s="276"/>
      <c r="CN151" s="276"/>
      <c r="CO151" s="276"/>
      <c r="CP151" s="276"/>
      <c r="CQ151" s="276"/>
      <c r="CU151" s="276"/>
    </row>
    <row r="152" spans="75:99" ht="15.75">
      <c r="BW152" s="276"/>
      <c r="BY152" s="276"/>
      <c r="BZ152" s="276"/>
      <c r="CA152" s="276"/>
      <c r="CB152" s="276"/>
      <c r="CC152" s="276"/>
      <c r="CD152" s="276"/>
      <c r="CH152" s="276"/>
      <c r="CJ152" s="287"/>
      <c r="CK152" s="276"/>
      <c r="CL152" s="287"/>
      <c r="CM152" s="276"/>
      <c r="CN152" s="276"/>
      <c r="CO152" s="276"/>
      <c r="CP152" s="276"/>
      <c r="CQ152" s="276"/>
      <c r="CU152" s="276"/>
    </row>
    <row r="153" spans="75:99" ht="15.75">
      <c r="BW153" s="276"/>
      <c r="BY153" s="276"/>
      <c r="BZ153" s="276"/>
      <c r="CA153" s="276"/>
      <c r="CB153" s="276"/>
      <c r="CC153" s="276"/>
      <c r="CD153" s="276"/>
      <c r="CH153" s="276"/>
      <c r="CJ153" s="287"/>
      <c r="CK153" s="276"/>
      <c r="CL153" s="287"/>
      <c r="CM153" s="276"/>
      <c r="CN153" s="276"/>
      <c r="CO153" s="276"/>
      <c r="CP153" s="276"/>
      <c r="CQ153" s="276"/>
      <c r="CU153" s="276"/>
    </row>
    <row r="154" spans="75:99" ht="15.75">
      <c r="BW154" s="276"/>
      <c r="BY154" s="276"/>
      <c r="BZ154" s="276"/>
      <c r="CA154" s="276"/>
      <c r="CB154" s="276"/>
      <c r="CC154" s="276"/>
      <c r="CD154" s="276"/>
      <c r="CH154" s="276"/>
      <c r="CJ154" s="287"/>
      <c r="CK154" s="276"/>
      <c r="CL154" s="287"/>
      <c r="CM154" s="276"/>
      <c r="CN154" s="276"/>
      <c r="CO154" s="276"/>
      <c r="CP154" s="276"/>
      <c r="CQ154" s="276"/>
      <c r="CU154" s="276"/>
    </row>
    <row r="155" spans="75:99" ht="15.75">
      <c r="BW155" s="276"/>
      <c r="BY155" s="276"/>
      <c r="BZ155" s="276"/>
      <c r="CA155" s="276"/>
      <c r="CB155" s="276"/>
      <c r="CC155" s="276"/>
      <c r="CD155" s="276"/>
      <c r="CH155" s="276"/>
      <c r="CJ155" s="287"/>
      <c r="CK155" s="276"/>
      <c r="CL155" s="287"/>
      <c r="CM155" s="276"/>
      <c r="CN155" s="276"/>
      <c r="CO155" s="276"/>
      <c r="CP155" s="276"/>
      <c r="CQ155" s="276"/>
      <c r="CU155" s="276"/>
    </row>
    <row r="156" spans="75:99" ht="15.75">
      <c r="BW156" s="276"/>
      <c r="BY156" s="276"/>
      <c r="BZ156" s="276"/>
      <c r="CA156" s="276"/>
      <c r="CB156" s="276"/>
      <c r="CC156" s="276"/>
      <c r="CD156" s="276"/>
      <c r="CH156" s="276"/>
      <c r="CJ156" s="287"/>
      <c r="CK156" s="276"/>
      <c r="CL156" s="287"/>
      <c r="CM156" s="276"/>
      <c r="CN156" s="276"/>
      <c r="CO156" s="276"/>
      <c r="CP156" s="276"/>
      <c r="CQ156" s="276"/>
      <c r="CU156" s="276"/>
    </row>
    <row r="157" spans="75:99" ht="15.75">
      <c r="BW157" s="276"/>
      <c r="BY157" s="276"/>
      <c r="BZ157" s="276"/>
      <c r="CA157" s="276"/>
      <c r="CB157" s="276"/>
      <c r="CC157" s="276"/>
      <c r="CD157" s="276"/>
      <c r="CH157" s="276"/>
      <c r="CJ157" s="287"/>
      <c r="CK157" s="276"/>
      <c r="CL157" s="287"/>
      <c r="CM157" s="276"/>
      <c r="CN157" s="276"/>
      <c r="CO157" s="276"/>
      <c r="CP157" s="276"/>
      <c r="CQ157" s="276"/>
      <c r="CU157" s="276"/>
    </row>
    <row r="158" spans="75:99" ht="15.75">
      <c r="BW158" s="276"/>
      <c r="BY158" s="276"/>
      <c r="BZ158" s="276"/>
      <c r="CA158" s="276"/>
      <c r="CB158" s="276"/>
      <c r="CC158" s="276"/>
      <c r="CD158" s="276"/>
      <c r="CH158" s="276"/>
      <c r="CJ158" s="287"/>
      <c r="CK158" s="276"/>
      <c r="CL158" s="287"/>
      <c r="CM158" s="276"/>
      <c r="CN158" s="276"/>
      <c r="CO158" s="276"/>
      <c r="CP158" s="276"/>
      <c r="CQ158" s="276"/>
      <c r="CU158" s="276"/>
    </row>
    <row r="159" spans="75:99" ht="15.75">
      <c r="BW159" s="276"/>
      <c r="BY159" s="276"/>
      <c r="BZ159" s="276"/>
      <c r="CA159" s="276"/>
      <c r="CB159" s="276"/>
      <c r="CC159" s="276"/>
      <c r="CD159" s="276"/>
      <c r="CH159" s="276"/>
      <c r="CJ159" s="287"/>
      <c r="CK159" s="276"/>
      <c r="CL159" s="287"/>
      <c r="CM159" s="276"/>
      <c r="CN159" s="276"/>
      <c r="CO159" s="276"/>
      <c r="CP159" s="276"/>
      <c r="CQ159" s="276"/>
      <c r="CU159" s="276"/>
    </row>
    <row r="160" spans="75:99" ht="15.75">
      <c r="BW160" s="276"/>
      <c r="BY160" s="276"/>
      <c r="BZ160" s="276"/>
      <c r="CA160" s="276"/>
      <c r="CB160" s="276"/>
      <c r="CC160" s="276"/>
      <c r="CD160" s="276"/>
      <c r="CH160" s="276"/>
      <c r="CJ160" s="287"/>
      <c r="CK160" s="276"/>
      <c r="CL160" s="287"/>
      <c r="CM160" s="276"/>
      <c r="CN160" s="276"/>
      <c r="CO160" s="276"/>
      <c r="CP160" s="276"/>
      <c r="CQ160" s="276"/>
      <c r="CU160" s="276"/>
    </row>
    <row r="161" spans="75:99" ht="15.75">
      <c r="BW161" s="276"/>
      <c r="BY161" s="276"/>
      <c r="BZ161" s="276"/>
      <c r="CA161" s="276"/>
      <c r="CB161" s="276"/>
      <c r="CC161" s="276"/>
      <c r="CD161" s="276"/>
      <c r="CH161" s="276"/>
      <c r="CJ161" s="287"/>
      <c r="CK161" s="276"/>
      <c r="CL161" s="287"/>
      <c r="CM161" s="276"/>
      <c r="CN161" s="276"/>
      <c r="CO161" s="276"/>
      <c r="CP161" s="276"/>
      <c r="CQ161" s="276"/>
      <c r="CU161" s="276"/>
    </row>
    <row r="162" spans="75:99" ht="15.75">
      <c r="BW162" s="276"/>
      <c r="BY162" s="276"/>
      <c r="BZ162" s="276"/>
      <c r="CA162" s="276"/>
      <c r="CB162" s="276"/>
      <c r="CC162" s="276"/>
      <c r="CD162" s="276"/>
      <c r="CH162" s="276"/>
      <c r="CJ162" s="287"/>
      <c r="CK162" s="276"/>
      <c r="CL162" s="287"/>
      <c r="CM162" s="276"/>
      <c r="CN162" s="276"/>
      <c r="CO162" s="276"/>
      <c r="CP162" s="276"/>
      <c r="CQ162" s="276"/>
      <c r="CU162" s="276"/>
    </row>
    <row r="163" spans="75:99" ht="15.75">
      <c r="BW163" s="276"/>
      <c r="BY163" s="276"/>
      <c r="BZ163" s="276"/>
      <c r="CA163" s="276"/>
      <c r="CB163" s="276"/>
      <c r="CC163" s="276"/>
      <c r="CD163" s="276"/>
      <c r="CH163" s="276"/>
      <c r="CJ163" s="287"/>
      <c r="CK163" s="276"/>
      <c r="CL163" s="287"/>
      <c r="CM163" s="276"/>
      <c r="CN163" s="276"/>
      <c r="CO163" s="276"/>
      <c r="CP163" s="276"/>
      <c r="CQ163" s="276"/>
      <c r="CU163" s="276"/>
    </row>
    <row r="164" spans="75:99" ht="15.75">
      <c r="BW164" s="276"/>
      <c r="BY164" s="276"/>
      <c r="BZ164" s="276"/>
      <c r="CA164" s="276"/>
      <c r="CB164" s="276"/>
      <c r="CC164" s="276"/>
      <c r="CD164" s="276"/>
      <c r="CH164" s="276"/>
      <c r="CJ164" s="287"/>
      <c r="CK164" s="276"/>
      <c r="CL164" s="287"/>
      <c r="CM164" s="276"/>
      <c r="CN164" s="276"/>
      <c r="CO164" s="276"/>
      <c r="CP164" s="276"/>
      <c r="CQ164" s="276"/>
      <c r="CU164" s="276"/>
    </row>
    <row r="165" spans="75:99" ht="15.75">
      <c r="BW165" s="276"/>
      <c r="BY165" s="276"/>
      <c r="BZ165" s="276"/>
      <c r="CA165" s="276"/>
      <c r="CB165" s="276"/>
      <c r="CC165" s="276"/>
      <c r="CD165" s="276"/>
      <c r="CH165" s="276"/>
      <c r="CJ165" s="287"/>
      <c r="CK165" s="276"/>
      <c r="CL165" s="287"/>
      <c r="CM165" s="276"/>
      <c r="CN165" s="276"/>
      <c r="CO165" s="276"/>
      <c r="CP165" s="276"/>
      <c r="CQ165" s="276"/>
      <c r="CU165" s="276"/>
    </row>
    <row r="166" spans="75:99" ht="15.75">
      <c r="BW166" s="276"/>
      <c r="BY166" s="276"/>
      <c r="BZ166" s="276"/>
      <c r="CA166" s="276"/>
      <c r="CB166" s="276"/>
      <c r="CC166" s="276"/>
      <c r="CD166" s="276"/>
      <c r="CH166" s="276"/>
      <c r="CJ166" s="287"/>
      <c r="CK166" s="276"/>
      <c r="CL166" s="287"/>
      <c r="CM166" s="276"/>
      <c r="CN166" s="276"/>
      <c r="CO166" s="276"/>
      <c r="CP166" s="276"/>
      <c r="CQ166" s="276"/>
      <c r="CU166" s="276"/>
    </row>
    <row r="167" spans="75:99" ht="15.75">
      <c r="BW167" s="276"/>
      <c r="BY167" s="276"/>
      <c r="BZ167" s="276"/>
      <c r="CA167" s="276"/>
      <c r="CB167" s="276"/>
      <c r="CC167" s="276"/>
      <c r="CD167" s="276"/>
      <c r="CH167" s="276"/>
      <c r="CJ167" s="287"/>
      <c r="CK167" s="276"/>
      <c r="CL167" s="287"/>
      <c r="CM167" s="276"/>
      <c r="CN167" s="276"/>
      <c r="CO167" s="276"/>
      <c r="CP167" s="276"/>
      <c r="CQ167" s="276"/>
      <c r="CU167" s="276"/>
    </row>
    <row r="168" spans="75:99" ht="15.75">
      <c r="BW168" s="276"/>
      <c r="BY168" s="276"/>
      <c r="BZ168" s="276"/>
      <c r="CA168" s="276"/>
      <c r="CB168" s="276"/>
      <c r="CC168" s="276"/>
      <c r="CD168" s="276"/>
      <c r="CH168" s="276"/>
      <c r="CJ168" s="287"/>
      <c r="CK168" s="276"/>
      <c r="CL168" s="287"/>
      <c r="CM168" s="276"/>
      <c r="CN168" s="276"/>
      <c r="CO168" s="276"/>
      <c r="CP168" s="276"/>
      <c r="CQ168" s="276"/>
      <c r="CU168" s="276"/>
    </row>
    <row r="169" spans="75:99" ht="15.75">
      <c r="BW169" s="276"/>
      <c r="BY169" s="276"/>
      <c r="BZ169" s="276"/>
      <c r="CA169" s="276"/>
      <c r="CB169" s="276"/>
      <c r="CC169" s="276"/>
      <c r="CD169" s="276"/>
      <c r="CH169" s="276"/>
      <c r="CJ169" s="287"/>
      <c r="CK169" s="276"/>
      <c r="CL169" s="287"/>
      <c r="CM169" s="276"/>
      <c r="CN169" s="276"/>
      <c r="CO169" s="276"/>
      <c r="CP169" s="276"/>
      <c r="CQ169" s="276"/>
      <c r="CU169" s="276"/>
    </row>
    <row r="170" spans="75:99" ht="15.75">
      <c r="BW170" s="276"/>
      <c r="BY170" s="276"/>
      <c r="BZ170" s="276"/>
      <c r="CA170" s="276"/>
      <c r="CB170" s="276"/>
      <c r="CC170" s="276"/>
      <c r="CD170" s="276"/>
      <c r="CH170" s="276"/>
      <c r="CJ170" s="287"/>
      <c r="CK170" s="276"/>
      <c r="CL170" s="287"/>
      <c r="CM170" s="276"/>
      <c r="CN170" s="276"/>
      <c r="CO170" s="276"/>
      <c r="CP170" s="276"/>
      <c r="CQ170" s="276"/>
      <c r="CU170" s="276"/>
    </row>
    <row r="171" spans="75:99" ht="15.75">
      <c r="BW171" s="276"/>
      <c r="BY171" s="276"/>
      <c r="BZ171" s="276"/>
      <c r="CA171" s="276"/>
      <c r="CB171" s="276"/>
      <c r="CC171" s="276"/>
      <c r="CD171" s="276"/>
      <c r="CH171" s="276"/>
      <c r="CJ171" s="287"/>
      <c r="CK171" s="276"/>
      <c r="CL171" s="287"/>
      <c r="CM171" s="276"/>
      <c r="CN171" s="276"/>
      <c r="CO171" s="276"/>
      <c r="CP171" s="276"/>
      <c r="CQ171" s="276"/>
      <c r="CU171" s="276"/>
    </row>
    <row r="172" spans="75:99" ht="15.75">
      <c r="BW172" s="276"/>
      <c r="BY172" s="276"/>
      <c r="BZ172" s="276"/>
      <c r="CA172" s="276"/>
      <c r="CB172" s="276"/>
      <c r="CC172" s="276"/>
      <c r="CD172" s="276"/>
      <c r="CH172" s="276"/>
      <c r="CJ172" s="287"/>
      <c r="CK172" s="276"/>
      <c r="CL172" s="287"/>
      <c r="CM172" s="276"/>
      <c r="CN172" s="276"/>
      <c r="CO172" s="276"/>
      <c r="CP172" s="276"/>
      <c r="CQ172" s="276"/>
      <c r="CU172" s="276"/>
    </row>
    <row r="173" spans="75:99" ht="15.75">
      <c r="BW173" s="276"/>
      <c r="BY173" s="276"/>
      <c r="BZ173" s="276"/>
      <c r="CA173" s="276"/>
      <c r="CB173" s="276"/>
      <c r="CC173" s="276"/>
      <c r="CD173" s="276"/>
      <c r="CH173" s="276"/>
      <c r="CJ173" s="287"/>
      <c r="CK173" s="276"/>
      <c r="CL173" s="287"/>
      <c r="CM173" s="276"/>
      <c r="CN173" s="276"/>
      <c r="CO173" s="276"/>
      <c r="CP173" s="276"/>
      <c r="CQ173" s="276"/>
      <c r="CU173" s="276"/>
    </row>
    <row r="174" spans="75:99" ht="15.75">
      <c r="BW174" s="276"/>
      <c r="BY174" s="276"/>
      <c r="BZ174" s="276"/>
      <c r="CA174" s="276"/>
      <c r="CB174" s="276"/>
      <c r="CC174" s="276"/>
      <c r="CD174" s="276"/>
      <c r="CH174" s="276"/>
      <c r="CJ174" s="287"/>
      <c r="CK174" s="276"/>
      <c r="CL174" s="287"/>
      <c r="CM174" s="276"/>
      <c r="CN174" s="276"/>
      <c r="CO174" s="276"/>
      <c r="CP174" s="276"/>
      <c r="CQ174" s="276"/>
      <c r="CU174" s="276"/>
    </row>
    <row r="175" spans="75:99" ht="15.75">
      <c r="BW175" s="276"/>
      <c r="BY175" s="276"/>
      <c r="BZ175" s="276"/>
      <c r="CA175" s="276"/>
      <c r="CB175" s="276"/>
      <c r="CC175" s="276"/>
      <c r="CD175" s="276"/>
      <c r="CH175" s="276"/>
      <c r="CJ175" s="287"/>
      <c r="CK175" s="276"/>
      <c r="CL175" s="287"/>
      <c r="CM175" s="276"/>
      <c r="CN175" s="276"/>
      <c r="CO175" s="276"/>
      <c r="CP175" s="276"/>
      <c r="CQ175" s="276"/>
      <c r="CU175" s="276"/>
    </row>
    <row r="176" spans="75:99" ht="15.75">
      <c r="BW176" s="276"/>
      <c r="BY176" s="276"/>
      <c r="BZ176" s="276"/>
      <c r="CA176" s="276"/>
      <c r="CB176" s="276"/>
      <c r="CC176" s="276"/>
      <c r="CD176" s="276"/>
      <c r="CH176" s="276"/>
      <c r="CJ176" s="287"/>
      <c r="CK176" s="276"/>
      <c r="CL176" s="287"/>
      <c r="CM176" s="276"/>
      <c r="CN176" s="276"/>
      <c r="CO176" s="276"/>
      <c r="CP176" s="276"/>
      <c r="CQ176" s="276"/>
      <c r="CU176" s="276"/>
    </row>
    <row r="177" spans="75:99" ht="15.75">
      <c r="BW177" s="276"/>
      <c r="BY177" s="276"/>
      <c r="BZ177" s="276"/>
      <c r="CA177" s="276"/>
      <c r="CB177" s="276"/>
      <c r="CC177" s="276"/>
      <c r="CD177" s="276"/>
      <c r="CH177" s="276"/>
      <c r="CJ177" s="287"/>
      <c r="CK177" s="276"/>
      <c r="CL177" s="287"/>
      <c r="CM177" s="276"/>
      <c r="CN177" s="276"/>
      <c r="CO177" s="276"/>
      <c r="CP177" s="276"/>
      <c r="CQ177" s="276"/>
      <c r="CU177" s="276"/>
    </row>
    <row r="178" spans="75:99" ht="15.75">
      <c r="BW178" s="276"/>
      <c r="BY178" s="276"/>
      <c r="BZ178" s="276"/>
      <c r="CA178" s="276"/>
      <c r="CB178" s="276"/>
      <c r="CC178" s="276"/>
      <c r="CD178" s="276"/>
      <c r="CH178" s="276"/>
      <c r="CJ178" s="287"/>
      <c r="CK178" s="276"/>
      <c r="CL178" s="287"/>
      <c r="CM178" s="276"/>
      <c r="CN178" s="276"/>
      <c r="CO178" s="276"/>
      <c r="CP178" s="276"/>
      <c r="CQ178" s="276"/>
      <c r="CU178" s="276"/>
    </row>
    <row r="179" spans="75:99" ht="15.75">
      <c r="BW179" s="276"/>
      <c r="BY179" s="276"/>
      <c r="BZ179" s="276"/>
      <c r="CA179" s="276"/>
      <c r="CB179" s="276"/>
      <c r="CC179" s="276"/>
      <c r="CD179" s="276"/>
      <c r="CH179" s="276"/>
      <c r="CJ179" s="287"/>
      <c r="CK179" s="276"/>
      <c r="CL179" s="287"/>
      <c r="CM179" s="276"/>
      <c r="CN179" s="276"/>
      <c r="CO179" s="276"/>
      <c r="CP179" s="276"/>
      <c r="CQ179" s="276"/>
      <c r="CU179" s="276"/>
    </row>
    <row r="180" spans="75:99" ht="15.75">
      <c r="BW180" s="276"/>
      <c r="BY180" s="276"/>
      <c r="BZ180" s="276"/>
      <c r="CA180" s="276"/>
      <c r="CB180" s="276"/>
      <c r="CC180" s="276"/>
      <c r="CD180" s="276"/>
      <c r="CH180" s="276"/>
      <c r="CJ180" s="287"/>
      <c r="CK180" s="276"/>
      <c r="CL180" s="287"/>
      <c r="CM180" s="276"/>
      <c r="CN180" s="276"/>
      <c r="CO180" s="276"/>
      <c r="CP180" s="276"/>
      <c r="CQ180" s="276"/>
      <c r="CU180" s="276"/>
    </row>
    <row r="181" spans="75:99" ht="15.75">
      <c r="BW181" s="276"/>
      <c r="BY181" s="276"/>
      <c r="BZ181" s="276"/>
      <c r="CA181" s="276"/>
      <c r="CB181" s="276"/>
      <c r="CC181" s="276"/>
      <c r="CD181" s="276"/>
      <c r="CH181" s="276"/>
      <c r="CJ181" s="287"/>
      <c r="CK181" s="276"/>
      <c r="CL181" s="287"/>
      <c r="CM181" s="276"/>
      <c r="CN181" s="276"/>
      <c r="CO181" s="276"/>
      <c r="CP181" s="276"/>
      <c r="CQ181" s="276"/>
      <c r="CU181" s="276"/>
    </row>
    <row r="182" spans="75:99" ht="15.75">
      <c r="BW182" s="276"/>
      <c r="BY182" s="276"/>
      <c r="BZ182" s="276"/>
      <c r="CA182" s="276"/>
      <c r="CB182" s="276"/>
      <c r="CC182" s="276"/>
      <c r="CD182" s="276"/>
      <c r="CH182" s="276"/>
      <c r="CJ182" s="287"/>
      <c r="CK182" s="276"/>
      <c r="CL182" s="287"/>
      <c r="CM182" s="276"/>
      <c r="CN182" s="276"/>
      <c r="CO182" s="276"/>
      <c r="CP182" s="276"/>
      <c r="CQ182" s="276"/>
      <c r="CU182" s="276"/>
    </row>
    <row r="183" spans="75:99" ht="15.75">
      <c r="BW183" s="276"/>
      <c r="BY183" s="276"/>
      <c r="BZ183" s="276"/>
      <c r="CA183" s="276"/>
      <c r="CB183" s="276"/>
      <c r="CC183" s="276"/>
      <c r="CD183" s="276"/>
      <c r="CH183" s="276"/>
      <c r="CJ183" s="287"/>
      <c r="CK183" s="276"/>
      <c r="CL183" s="287"/>
      <c r="CM183" s="276"/>
      <c r="CN183" s="276"/>
      <c r="CO183" s="276"/>
      <c r="CP183" s="276"/>
      <c r="CQ183" s="276"/>
      <c r="CU183" s="276"/>
    </row>
    <row r="184" spans="75:99" ht="15.75">
      <c r="BW184" s="276"/>
      <c r="BY184" s="276"/>
      <c r="BZ184" s="276"/>
      <c r="CA184" s="276"/>
      <c r="CB184" s="276"/>
      <c r="CC184" s="276"/>
      <c r="CD184" s="276"/>
      <c r="CH184" s="276"/>
      <c r="CJ184" s="287"/>
      <c r="CK184" s="276"/>
      <c r="CL184" s="287"/>
      <c r="CM184" s="276"/>
      <c r="CN184" s="276"/>
      <c r="CO184" s="276"/>
      <c r="CP184" s="276"/>
      <c r="CQ184" s="276"/>
      <c r="CU184" s="276"/>
    </row>
    <row r="185" spans="75:99" ht="15.75">
      <c r="BW185" s="276"/>
      <c r="BY185" s="276"/>
      <c r="BZ185" s="276"/>
      <c r="CA185" s="276"/>
      <c r="CB185" s="276"/>
      <c r="CC185" s="276"/>
      <c r="CD185" s="276"/>
      <c r="CH185" s="276"/>
      <c r="CJ185" s="287"/>
      <c r="CK185" s="276"/>
      <c r="CL185" s="287"/>
      <c r="CM185" s="276"/>
      <c r="CN185" s="276"/>
      <c r="CO185" s="276"/>
      <c r="CP185" s="276"/>
      <c r="CQ185" s="276"/>
      <c r="CU185" s="276"/>
    </row>
    <row r="186" spans="75:99" ht="15.75">
      <c r="BW186" s="276"/>
      <c r="BY186" s="276"/>
      <c r="BZ186" s="276"/>
      <c r="CA186" s="276"/>
      <c r="CB186" s="276"/>
      <c r="CC186" s="276"/>
      <c r="CD186" s="276"/>
      <c r="CH186" s="276"/>
      <c r="CJ186" s="276"/>
      <c r="CK186" s="276"/>
      <c r="CL186" s="276"/>
      <c r="CM186" s="276"/>
      <c r="CN186" s="276"/>
      <c r="CO186" s="276"/>
      <c r="CP186" s="276"/>
      <c r="CQ186" s="276"/>
      <c r="CU186" s="276"/>
    </row>
    <row r="187" spans="75:99" ht="15.75">
      <c r="BW187" s="276"/>
      <c r="BY187" s="276"/>
      <c r="BZ187" s="276"/>
      <c r="CA187" s="276"/>
      <c r="CB187" s="276"/>
      <c r="CC187" s="276"/>
      <c r="CD187" s="276"/>
      <c r="CH187" s="276"/>
      <c r="CJ187" s="276"/>
      <c r="CK187" s="276"/>
      <c r="CL187" s="276"/>
      <c r="CM187" s="276"/>
      <c r="CN187" s="276"/>
      <c r="CO187" s="276"/>
      <c r="CP187" s="276"/>
      <c r="CQ187" s="276"/>
      <c r="CU187" s="276"/>
    </row>
    <row r="188" spans="75:99" ht="15.75">
      <c r="BW188" s="276"/>
      <c r="BY188" s="276"/>
      <c r="BZ188" s="276"/>
      <c r="CA188" s="276"/>
      <c r="CB188" s="276"/>
      <c r="CC188" s="276"/>
      <c r="CD188" s="276"/>
      <c r="CH188" s="276"/>
      <c r="CJ188" s="276"/>
      <c r="CK188" s="276"/>
      <c r="CL188" s="276"/>
      <c r="CM188" s="276"/>
      <c r="CN188" s="276"/>
      <c r="CO188" s="276"/>
      <c r="CP188" s="276"/>
      <c r="CQ188" s="276"/>
      <c r="CU188" s="276"/>
    </row>
    <row r="189" spans="75:99" ht="15.75">
      <c r="BW189" s="276"/>
      <c r="BY189" s="276"/>
      <c r="BZ189" s="276"/>
      <c r="CA189" s="276"/>
      <c r="CB189" s="276"/>
      <c r="CC189" s="276"/>
      <c r="CD189" s="276"/>
      <c r="CH189" s="276"/>
      <c r="CJ189" s="276"/>
      <c r="CK189" s="276"/>
      <c r="CL189" s="276"/>
      <c r="CM189" s="276"/>
      <c r="CN189" s="276"/>
      <c r="CO189" s="276"/>
      <c r="CP189" s="276"/>
      <c r="CQ189" s="276"/>
      <c r="CU189" s="276"/>
    </row>
    <row r="190" spans="75:99" ht="15.75">
      <c r="BW190" s="276"/>
      <c r="BY190" s="276"/>
      <c r="BZ190" s="276"/>
      <c r="CA190" s="276"/>
      <c r="CB190" s="276"/>
      <c r="CC190" s="276"/>
      <c r="CD190" s="276"/>
      <c r="CH190" s="276"/>
      <c r="CJ190" s="276"/>
      <c r="CK190" s="276"/>
      <c r="CL190" s="276"/>
      <c r="CM190" s="276"/>
      <c r="CN190" s="276"/>
      <c r="CO190" s="276"/>
      <c r="CP190" s="276"/>
      <c r="CQ190" s="276"/>
      <c r="CU190" s="276"/>
    </row>
    <row r="191" spans="75:99" ht="15.75">
      <c r="BW191" s="276"/>
      <c r="BY191" s="276"/>
      <c r="BZ191" s="276"/>
      <c r="CA191" s="276"/>
      <c r="CB191" s="276"/>
      <c r="CC191" s="276"/>
      <c r="CD191" s="276"/>
      <c r="CH191" s="276"/>
      <c r="CJ191" s="276"/>
      <c r="CK191" s="276"/>
      <c r="CL191" s="276"/>
      <c r="CM191" s="276"/>
      <c r="CN191" s="276"/>
      <c r="CO191" s="276"/>
      <c r="CP191" s="276"/>
      <c r="CQ191" s="276"/>
      <c r="CU191" s="276"/>
    </row>
    <row r="192" spans="75:99" ht="15.75">
      <c r="BW192" s="276"/>
      <c r="BY192" s="276"/>
      <c r="BZ192" s="276"/>
      <c r="CA192" s="276"/>
      <c r="CB192" s="276"/>
      <c r="CC192" s="276"/>
      <c r="CD192" s="276"/>
      <c r="CH192" s="276"/>
      <c r="CJ192" s="276"/>
      <c r="CK192" s="276"/>
      <c r="CL192" s="276"/>
      <c r="CM192" s="276"/>
      <c r="CN192" s="276"/>
      <c r="CO192" s="276"/>
      <c r="CP192" s="276"/>
      <c r="CQ192" s="276"/>
      <c r="CU192" s="276"/>
    </row>
    <row r="193" spans="75:99" ht="15.75">
      <c r="BW193" s="276"/>
      <c r="BY193" s="276"/>
      <c r="BZ193" s="276"/>
      <c r="CA193" s="276"/>
      <c r="CB193" s="276"/>
      <c r="CC193" s="276"/>
      <c r="CD193" s="276"/>
      <c r="CH193" s="276"/>
      <c r="CJ193" s="276"/>
      <c r="CK193" s="276"/>
      <c r="CL193" s="276"/>
      <c r="CM193" s="276"/>
      <c r="CN193" s="276"/>
      <c r="CO193" s="276"/>
      <c r="CP193" s="276"/>
      <c r="CQ193" s="276"/>
      <c r="CU193" s="276"/>
    </row>
    <row r="194" spans="75:99" ht="15.75">
      <c r="BW194" s="276"/>
      <c r="BY194" s="276"/>
      <c r="BZ194" s="276"/>
      <c r="CA194" s="276"/>
      <c r="CB194" s="276"/>
      <c r="CC194" s="276"/>
      <c r="CD194" s="276"/>
      <c r="CH194" s="276"/>
      <c r="CJ194" s="276"/>
      <c r="CK194" s="276"/>
      <c r="CL194" s="276"/>
      <c r="CM194" s="276"/>
      <c r="CN194" s="276"/>
      <c r="CO194" s="276"/>
      <c r="CP194" s="276"/>
      <c r="CQ194" s="276"/>
      <c r="CU194" s="276"/>
    </row>
    <row r="195" spans="75:99" ht="15.75">
      <c r="BW195" s="276"/>
      <c r="BY195" s="276"/>
      <c r="BZ195" s="276"/>
      <c r="CA195" s="276"/>
      <c r="CB195" s="276"/>
      <c r="CC195" s="276"/>
      <c r="CD195" s="276"/>
      <c r="CH195" s="276"/>
      <c r="CJ195" s="276"/>
      <c r="CK195" s="276"/>
      <c r="CL195" s="276"/>
      <c r="CM195" s="276"/>
      <c r="CN195" s="276"/>
      <c r="CO195" s="276"/>
      <c r="CP195" s="276"/>
      <c r="CQ195" s="276"/>
      <c r="CU195" s="276"/>
    </row>
    <row r="196" spans="75:99" ht="15.75">
      <c r="BW196" s="276"/>
      <c r="BY196" s="276"/>
      <c r="BZ196" s="276"/>
      <c r="CA196" s="276"/>
      <c r="CB196" s="276"/>
      <c r="CC196" s="276"/>
      <c r="CD196" s="276"/>
      <c r="CH196" s="276"/>
      <c r="CJ196" s="276"/>
      <c r="CK196" s="276"/>
      <c r="CL196" s="276"/>
      <c r="CM196" s="276"/>
      <c r="CN196" s="276"/>
      <c r="CO196" s="276"/>
      <c r="CP196" s="276"/>
      <c r="CQ196" s="276"/>
      <c r="CU196" s="276"/>
    </row>
    <row r="197" spans="75:99" ht="15.75">
      <c r="BW197" s="276"/>
      <c r="BY197" s="276"/>
      <c r="BZ197" s="276"/>
      <c r="CA197" s="276"/>
      <c r="CB197" s="276"/>
      <c r="CC197" s="276"/>
      <c r="CD197" s="276"/>
      <c r="CH197" s="276"/>
      <c r="CJ197" s="276"/>
      <c r="CK197" s="276"/>
      <c r="CL197" s="276"/>
      <c r="CM197" s="276"/>
      <c r="CN197" s="276"/>
      <c r="CO197" s="276"/>
      <c r="CP197" s="276"/>
      <c r="CQ197" s="276"/>
      <c r="CU197" s="276"/>
    </row>
    <row r="198" spans="75:99" ht="15.75">
      <c r="BW198" s="276"/>
      <c r="BY198" s="276"/>
      <c r="BZ198" s="276"/>
      <c r="CA198" s="276"/>
      <c r="CB198" s="276"/>
      <c r="CC198" s="276"/>
      <c r="CD198" s="276"/>
      <c r="CH198" s="276"/>
      <c r="CJ198" s="276"/>
      <c r="CK198" s="276"/>
      <c r="CL198" s="276"/>
      <c r="CM198" s="276"/>
      <c r="CN198" s="276"/>
      <c r="CO198" s="276"/>
      <c r="CP198" s="276"/>
      <c r="CQ198" s="276"/>
      <c r="CU198" s="276"/>
    </row>
    <row r="199" spans="75:99" ht="15.75">
      <c r="BW199" s="276"/>
      <c r="BY199" s="276"/>
      <c r="BZ199" s="276"/>
      <c r="CA199" s="276"/>
      <c r="CB199" s="276"/>
      <c r="CC199" s="276"/>
      <c r="CD199" s="276"/>
      <c r="CH199" s="276"/>
      <c r="CJ199" s="276"/>
      <c r="CK199" s="276"/>
      <c r="CL199" s="276"/>
      <c r="CM199" s="276"/>
      <c r="CN199" s="276"/>
      <c r="CO199" s="276"/>
      <c r="CP199" s="276"/>
      <c r="CQ199" s="276"/>
      <c r="CU199" s="276"/>
    </row>
    <row r="200" spans="75:99" ht="15.75">
      <c r="BW200" s="276"/>
      <c r="BY200" s="276"/>
      <c r="BZ200" s="276"/>
      <c r="CA200" s="276"/>
      <c r="CB200" s="276"/>
      <c r="CC200" s="276"/>
      <c r="CD200" s="276"/>
      <c r="CH200" s="276"/>
      <c r="CJ200" s="276"/>
      <c r="CK200" s="276"/>
      <c r="CL200" s="276"/>
      <c r="CM200" s="276"/>
      <c r="CN200" s="276"/>
      <c r="CO200" s="276"/>
      <c r="CP200" s="276"/>
      <c r="CQ200" s="276"/>
      <c r="CU200" s="276"/>
    </row>
    <row r="201" spans="75:99" ht="15.75">
      <c r="BW201" s="276"/>
      <c r="BY201" s="276"/>
      <c r="BZ201" s="276"/>
      <c r="CA201" s="276"/>
      <c r="CB201" s="276"/>
      <c r="CC201" s="276"/>
      <c r="CD201" s="276"/>
      <c r="CH201" s="276"/>
      <c r="CJ201" s="276"/>
      <c r="CK201" s="276"/>
      <c r="CL201" s="276"/>
      <c r="CM201" s="276"/>
      <c r="CN201" s="276"/>
      <c r="CO201" s="276"/>
      <c r="CP201" s="276"/>
      <c r="CQ201" s="276"/>
      <c r="CU201" s="276"/>
    </row>
    <row r="202" spans="75:99" ht="15.75">
      <c r="BW202" s="276"/>
      <c r="BY202" s="276"/>
      <c r="BZ202" s="276"/>
      <c r="CA202" s="276"/>
      <c r="CB202" s="276"/>
      <c r="CC202" s="276"/>
      <c r="CD202" s="276"/>
      <c r="CH202" s="276"/>
      <c r="CJ202" s="276"/>
      <c r="CK202" s="276"/>
      <c r="CL202" s="276"/>
      <c r="CM202" s="276"/>
      <c r="CN202" s="276"/>
      <c r="CO202" s="276"/>
      <c r="CP202" s="276"/>
      <c r="CQ202" s="276"/>
      <c r="CU202" s="276"/>
    </row>
    <row r="203" spans="75:99" ht="15.75">
      <c r="BW203" s="276"/>
      <c r="BY203" s="276"/>
      <c r="BZ203" s="276"/>
      <c r="CA203" s="276"/>
      <c r="CB203" s="276"/>
      <c r="CC203" s="276"/>
      <c r="CD203" s="276"/>
      <c r="CH203" s="276"/>
      <c r="CJ203" s="276"/>
      <c r="CK203" s="276"/>
      <c r="CL203" s="276"/>
      <c r="CM203" s="276"/>
      <c r="CN203" s="276"/>
      <c r="CO203" s="276"/>
      <c r="CP203" s="276"/>
      <c r="CQ203" s="276"/>
      <c r="CU203" s="276"/>
    </row>
    <row r="204" spans="75:99" ht="15.75">
      <c r="BW204" s="276"/>
      <c r="BY204" s="276"/>
      <c r="BZ204" s="276"/>
      <c r="CA204" s="276"/>
      <c r="CB204" s="276"/>
      <c r="CC204" s="276"/>
      <c r="CD204" s="276"/>
      <c r="CH204" s="276"/>
      <c r="CJ204" s="276"/>
      <c r="CK204" s="276"/>
      <c r="CL204" s="276"/>
      <c r="CM204" s="276"/>
      <c r="CN204" s="276"/>
      <c r="CO204" s="276"/>
      <c r="CP204" s="276"/>
      <c r="CQ204" s="276"/>
      <c r="CU204" s="276"/>
    </row>
    <row r="205" spans="75:99" ht="15.75">
      <c r="BW205" s="276"/>
      <c r="BY205" s="276"/>
      <c r="BZ205" s="276"/>
      <c r="CA205" s="276"/>
      <c r="CB205" s="276"/>
      <c r="CC205" s="276"/>
      <c r="CD205" s="276"/>
      <c r="CH205" s="276"/>
      <c r="CJ205" s="276"/>
      <c r="CK205" s="276"/>
      <c r="CL205" s="276"/>
      <c r="CM205" s="276"/>
      <c r="CN205" s="276"/>
      <c r="CO205" s="276"/>
      <c r="CP205" s="276"/>
      <c r="CQ205" s="276"/>
      <c r="CU205" s="276"/>
    </row>
    <row r="206" spans="75:99" ht="15.75">
      <c r="BW206" s="276"/>
      <c r="BY206" s="276"/>
      <c r="BZ206" s="276"/>
      <c r="CA206" s="276"/>
      <c r="CB206" s="276"/>
      <c r="CC206" s="276"/>
      <c r="CD206" s="276"/>
      <c r="CH206" s="276"/>
      <c r="CJ206" s="276"/>
      <c r="CK206" s="276"/>
      <c r="CL206" s="276"/>
      <c r="CM206" s="276"/>
      <c r="CN206" s="276"/>
      <c r="CO206" s="276"/>
      <c r="CP206" s="276"/>
      <c r="CQ206" s="276"/>
      <c r="CU206" s="276"/>
    </row>
    <row r="207" spans="75:99" ht="15.75">
      <c r="BW207" s="276"/>
      <c r="BY207" s="276"/>
      <c r="BZ207" s="276"/>
      <c r="CA207" s="276"/>
      <c r="CB207" s="276"/>
      <c r="CC207" s="276"/>
      <c r="CD207" s="276"/>
      <c r="CH207" s="276"/>
      <c r="CJ207" s="276"/>
      <c r="CK207" s="276"/>
      <c r="CL207" s="276"/>
      <c r="CM207" s="276"/>
      <c r="CN207" s="276"/>
      <c r="CO207" s="276"/>
      <c r="CP207" s="276"/>
      <c r="CQ207" s="276"/>
      <c r="CU207" s="276"/>
    </row>
    <row r="208" spans="75:99" ht="15.75">
      <c r="BW208" s="276"/>
      <c r="BY208" s="276"/>
      <c r="BZ208" s="276"/>
      <c r="CA208" s="276"/>
      <c r="CB208" s="276"/>
      <c r="CC208" s="276"/>
      <c r="CD208" s="276"/>
      <c r="CH208" s="276"/>
      <c r="CJ208" s="276"/>
      <c r="CK208" s="276"/>
      <c r="CL208" s="276"/>
      <c r="CM208" s="276"/>
      <c r="CN208" s="276"/>
      <c r="CO208" s="276"/>
      <c r="CP208" s="276"/>
      <c r="CQ208" s="276"/>
      <c r="CU208" s="276"/>
    </row>
    <row r="209" spans="75:99" ht="15.75">
      <c r="BW209" s="276"/>
      <c r="BY209" s="276"/>
      <c r="BZ209" s="276"/>
      <c r="CA209" s="276"/>
      <c r="CB209" s="276"/>
      <c r="CC209" s="276"/>
      <c r="CD209" s="276"/>
      <c r="CH209" s="276"/>
      <c r="CJ209" s="276"/>
      <c r="CK209" s="276"/>
      <c r="CL209" s="276"/>
      <c r="CM209" s="276"/>
      <c r="CN209" s="276"/>
      <c r="CO209" s="276"/>
      <c r="CP209" s="276"/>
      <c r="CQ209" s="276"/>
      <c r="CU209" s="276"/>
    </row>
    <row r="210" spans="75:99" ht="15.75">
      <c r="BW210" s="276"/>
      <c r="BY210" s="276"/>
      <c r="BZ210" s="276"/>
      <c r="CA210" s="276"/>
      <c r="CB210" s="276"/>
      <c r="CC210" s="276"/>
      <c r="CD210" s="276"/>
      <c r="CH210" s="276"/>
      <c r="CJ210" s="276"/>
      <c r="CK210" s="276"/>
      <c r="CL210" s="276"/>
      <c r="CM210" s="276"/>
      <c r="CN210" s="276"/>
      <c r="CO210" s="276"/>
      <c r="CP210" s="276"/>
      <c r="CQ210" s="276"/>
      <c r="CU210" s="276"/>
    </row>
    <row r="211" spans="75:99" ht="15.75">
      <c r="BW211" s="276"/>
      <c r="BY211" s="276"/>
      <c r="BZ211" s="276"/>
      <c r="CA211" s="276"/>
      <c r="CB211" s="276"/>
      <c r="CC211" s="276"/>
      <c r="CD211" s="276"/>
      <c r="CH211" s="276"/>
      <c r="CJ211" s="276"/>
      <c r="CK211" s="276"/>
      <c r="CL211" s="276"/>
      <c r="CM211" s="276"/>
      <c r="CN211" s="276"/>
      <c r="CO211" s="276"/>
      <c r="CP211" s="276"/>
      <c r="CQ211" s="276"/>
      <c r="CU211" s="276"/>
    </row>
    <row r="212" spans="75:99" ht="15.75">
      <c r="BW212" s="276"/>
      <c r="BY212" s="276"/>
      <c r="BZ212" s="276"/>
      <c r="CA212" s="276"/>
      <c r="CB212" s="276"/>
      <c r="CC212" s="276"/>
      <c r="CD212" s="276"/>
      <c r="CH212" s="276"/>
      <c r="CJ212" s="276"/>
      <c r="CK212" s="276"/>
      <c r="CL212" s="276"/>
      <c r="CM212" s="276"/>
      <c r="CN212" s="276"/>
      <c r="CO212" s="276"/>
      <c r="CP212" s="276"/>
      <c r="CQ212" s="276"/>
      <c r="CU212" s="276"/>
    </row>
    <row r="213" spans="75:99" ht="15.75">
      <c r="BW213" s="276"/>
      <c r="BY213" s="276"/>
      <c r="BZ213" s="276"/>
      <c r="CA213" s="276"/>
      <c r="CB213" s="276"/>
      <c r="CC213" s="276"/>
      <c r="CD213" s="276"/>
      <c r="CH213" s="276"/>
      <c r="CJ213" s="276"/>
      <c r="CK213" s="276"/>
      <c r="CL213" s="276"/>
      <c r="CM213" s="276"/>
      <c r="CN213" s="276"/>
      <c r="CO213" s="276"/>
      <c r="CP213" s="276"/>
      <c r="CQ213" s="276"/>
      <c r="CU213" s="276"/>
    </row>
    <row r="214" spans="75:99" ht="15.75">
      <c r="BW214" s="276"/>
      <c r="BY214" s="276"/>
      <c r="BZ214" s="276"/>
      <c r="CA214" s="276"/>
      <c r="CB214" s="276"/>
      <c r="CC214" s="276"/>
      <c r="CD214" s="276"/>
      <c r="CH214" s="276"/>
      <c r="CJ214" s="276"/>
      <c r="CK214" s="276"/>
      <c r="CL214" s="276"/>
      <c r="CM214" s="276"/>
      <c r="CN214" s="276"/>
      <c r="CO214" s="276"/>
      <c r="CP214" s="276"/>
      <c r="CQ214" s="276"/>
      <c r="CU214" s="276"/>
    </row>
    <row r="215" spans="75:99" ht="15.75">
      <c r="BW215" s="276"/>
      <c r="BY215" s="276"/>
      <c r="BZ215" s="276"/>
      <c r="CA215" s="276"/>
      <c r="CB215" s="276"/>
      <c r="CC215" s="276"/>
      <c r="CD215" s="276"/>
      <c r="CH215" s="276"/>
      <c r="CJ215" s="276"/>
      <c r="CK215" s="276"/>
      <c r="CL215" s="276"/>
      <c r="CM215" s="276"/>
      <c r="CN215" s="276"/>
      <c r="CO215" s="276"/>
      <c r="CP215" s="276"/>
      <c r="CQ215" s="276"/>
      <c r="CU215" s="276"/>
    </row>
    <row r="216" spans="75:99" ht="15.75">
      <c r="BW216" s="276"/>
      <c r="BY216" s="276"/>
      <c r="BZ216" s="276"/>
      <c r="CA216" s="276"/>
      <c r="CB216" s="276"/>
      <c r="CC216" s="276"/>
      <c r="CD216" s="276"/>
      <c r="CH216" s="276"/>
      <c r="CJ216" s="276"/>
      <c r="CK216" s="276"/>
      <c r="CL216" s="276"/>
      <c r="CM216" s="276"/>
      <c r="CN216" s="276"/>
      <c r="CO216" s="276"/>
      <c r="CP216" s="276"/>
      <c r="CQ216" s="276"/>
      <c r="CU216" s="276"/>
    </row>
    <row r="217" spans="75:99" ht="15.75">
      <c r="BW217" s="276"/>
      <c r="BY217" s="276"/>
      <c r="BZ217" s="276"/>
      <c r="CA217" s="276"/>
      <c r="CB217" s="276"/>
      <c r="CC217" s="276"/>
      <c r="CD217" s="276"/>
      <c r="CH217" s="276"/>
      <c r="CJ217" s="276"/>
      <c r="CK217" s="276"/>
      <c r="CL217" s="276"/>
      <c r="CM217" s="276"/>
      <c r="CN217" s="276"/>
      <c r="CO217" s="276"/>
      <c r="CP217" s="276"/>
      <c r="CQ217" s="276"/>
      <c r="CU217" s="276"/>
    </row>
    <row r="218" spans="75:99" ht="15.75">
      <c r="BW218" s="276"/>
      <c r="BY218" s="276"/>
      <c r="BZ218" s="276"/>
      <c r="CA218" s="276"/>
      <c r="CB218" s="276"/>
      <c r="CC218" s="276"/>
      <c r="CD218" s="276"/>
      <c r="CH218" s="276"/>
      <c r="CJ218" s="276"/>
      <c r="CK218" s="276"/>
      <c r="CL218" s="276"/>
      <c r="CM218" s="276"/>
      <c r="CN218" s="276"/>
      <c r="CO218" s="276"/>
      <c r="CP218" s="276"/>
      <c r="CQ218" s="276"/>
      <c r="CU218" s="276"/>
    </row>
    <row r="219" spans="75:99" ht="15.75">
      <c r="BW219" s="276"/>
      <c r="BY219" s="276"/>
      <c r="BZ219" s="276"/>
      <c r="CA219" s="276"/>
      <c r="CB219" s="276"/>
      <c r="CC219" s="276"/>
      <c r="CD219" s="276"/>
      <c r="CH219" s="276"/>
      <c r="CJ219" s="276"/>
      <c r="CK219" s="276"/>
      <c r="CL219" s="276"/>
      <c r="CM219" s="276"/>
      <c r="CN219" s="276"/>
      <c r="CO219" s="276"/>
      <c r="CP219" s="276"/>
      <c r="CQ219" s="276"/>
      <c r="CU219" s="276"/>
    </row>
    <row r="220" spans="75:99" ht="15.75">
      <c r="BW220" s="276"/>
      <c r="BY220" s="276"/>
      <c r="BZ220" s="276"/>
      <c r="CA220" s="276"/>
      <c r="CB220" s="276"/>
      <c r="CC220" s="276"/>
      <c r="CD220" s="276"/>
      <c r="CH220" s="276"/>
      <c r="CJ220" s="276"/>
      <c r="CK220" s="276"/>
      <c r="CL220" s="276"/>
      <c r="CM220" s="276"/>
      <c r="CN220" s="276"/>
      <c r="CO220" s="276"/>
      <c r="CP220" s="276"/>
      <c r="CQ220" s="276"/>
      <c r="CU220" s="276"/>
    </row>
    <row r="221" spans="75:99" ht="15.75">
      <c r="BW221" s="276"/>
      <c r="BY221" s="276"/>
      <c r="BZ221" s="276"/>
      <c r="CA221" s="276"/>
      <c r="CB221" s="276"/>
      <c r="CC221" s="276"/>
      <c r="CD221" s="276"/>
      <c r="CH221" s="276"/>
      <c r="CJ221" s="276"/>
      <c r="CK221" s="276"/>
      <c r="CL221" s="276"/>
      <c r="CM221" s="276"/>
      <c r="CN221" s="276"/>
      <c r="CO221" s="276"/>
      <c r="CP221" s="276"/>
      <c r="CQ221" s="276"/>
      <c r="CU221" s="276"/>
    </row>
    <row r="222" spans="75:99" ht="15.75">
      <c r="BW222" s="276"/>
      <c r="BY222" s="276"/>
      <c r="BZ222" s="276"/>
      <c r="CA222" s="276"/>
      <c r="CB222" s="276"/>
      <c r="CC222" s="276"/>
      <c r="CD222" s="276"/>
      <c r="CH222" s="276"/>
      <c r="CJ222" s="276"/>
      <c r="CK222" s="276"/>
      <c r="CL222" s="276"/>
      <c r="CM222" s="276"/>
      <c r="CN222" s="276"/>
      <c r="CO222" s="276"/>
      <c r="CP222" s="276"/>
      <c r="CQ222" s="276"/>
      <c r="CU222" s="276"/>
    </row>
    <row r="223" spans="75:99" ht="15.75">
      <c r="BW223" s="276"/>
      <c r="BY223" s="276"/>
      <c r="BZ223" s="276"/>
      <c r="CA223" s="276"/>
      <c r="CB223" s="276"/>
      <c r="CC223" s="276"/>
      <c r="CD223" s="276"/>
      <c r="CH223" s="276"/>
      <c r="CJ223" s="276"/>
      <c r="CK223" s="276"/>
      <c r="CL223" s="276"/>
      <c r="CM223" s="276"/>
      <c r="CN223" s="276"/>
      <c r="CO223" s="276"/>
      <c r="CP223" s="276"/>
      <c r="CQ223" s="276"/>
      <c r="CU223" s="276"/>
    </row>
    <row r="224" spans="75:99" ht="15.75">
      <c r="BW224" s="276"/>
      <c r="BY224" s="276"/>
      <c r="BZ224" s="276"/>
      <c r="CA224" s="276"/>
      <c r="CB224" s="276"/>
      <c r="CC224" s="276"/>
      <c r="CD224" s="276"/>
      <c r="CH224" s="276"/>
      <c r="CJ224" s="276"/>
      <c r="CK224" s="276"/>
      <c r="CL224" s="276"/>
      <c r="CM224" s="276"/>
      <c r="CN224" s="276"/>
      <c r="CO224" s="276"/>
      <c r="CP224" s="276"/>
      <c r="CQ224" s="276"/>
      <c r="CU224" s="276"/>
    </row>
    <row r="225" spans="75:99" ht="15.75">
      <c r="BW225" s="276"/>
      <c r="BY225" s="276"/>
      <c r="BZ225" s="276"/>
      <c r="CA225" s="276"/>
      <c r="CB225" s="276"/>
      <c r="CC225" s="276"/>
      <c r="CD225" s="276"/>
      <c r="CH225" s="276"/>
      <c r="CJ225" s="276"/>
      <c r="CK225" s="276"/>
      <c r="CL225" s="276"/>
      <c r="CM225" s="276"/>
      <c r="CN225" s="276"/>
      <c r="CO225" s="276"/>
      <c r="CP225" s="276"/>
      <c r="CQ225" s="276"/>
      <c r="CU225" s="276"/>
    </row>
    <row r="226" spans="75:99" ht="15.75">
      <c r="BW226" s="276"/>
      <c r="BY226" s="276"/>
      <c r="BZ226" s="276"/>
      <c r="CA226" s="276"/>
      <c r="CB226" s="276"/>
      <c r="CC226" s="276"/>
      <c r="CD226" s="276"/>
      <c r="CH226" s="276"/>
      <c r="CJ226" s="276"/>
      <c r="CK226" s="276"/>
      <c r="CL226" s="276"/>
      <c r="CM226" s="276"/>
      <c r="CN226" s="276"/>
      <c r="CO226" s="276"/>
      <c r="CP226" s="276"/>
      <c r="CQ226" s="276"/>
      <c r="CU226" s="276"/>
    </row>
    <row r="227" spans="75:99" ht="15.75">
      <c r="BW227" s="276"/>
      <c r="BY227" s="276"/>
      <c r="BZ227" s="276"/>
      <c r="CA227" s="276"/>
      <c r="CB227" s="276"/>
      <c r="CC227" s="276"/>
      <c r="CD227" s="276"/>
      <c r="CH227" s="276"/>
      <c r="CJ227" s="276"/>
      <c r="CK227" s="276"/>
      <c r="CL227" s="276"/>
      <c r="CM227" s="276"/>
      <c r="CN227" s="276"/>
      <c r="CO227" s="276"/>
      <c r="CP227" s="276"/>
      <c r="CQ227" s="276"/>
      <c r="CU227" s="276"/>
    </row>
    <row r="228" spans="75:99" ht="15.75">
      <c r="BW228" s="276"/>
      <c r="BY228" s="276"/>
      <c r="BZ228" s="276"/>
      <c r="CA228" s="276"/>
      <c r="CB228" s="276"/>
      <c r="CC228" s="276"/>
      <c r="CD228" s="276"/>
      <c r="CH228" s="276"/>
      <c r="CJ228" s="276"/>
      <c r="CK228" s="276"/>
      <c r="CL228" s="276"/>
      <c r="CM228" s="276"/>
      <c r="CN228" s="276"/>
      <c r="CO228" s="276"/>
      <c r="CP228" s="276"/>
      <c r="CQ228" s="276"/>
      <c r="CU228" s="276"/>
    </row>
    <row r="229" spans="75:99" ht="15.75">
      <c r="BW229" s="276"/>
      <c r="BY229" s="276"/>
      <c r="BZ229" s="276"/>
      <c r="CA229" s="276"/>
      <c r="CB229" s="276"/>
      <c r="CC229" s="276"/>
      <c r="CD229" s="276"/>
      <c r="CH229" s="276"/>
      <c r="CJ229" s="276"/>
      <c r="CK229" s="276"/>
      <c r="CL229" s="276"/>
      <c r="CM229" s="276"/>
      <c r="CN229" s="276"/>
      <c r="CO229" s="276"/>
      <c r="CP229" s="276"/>
      <c r="CQ229" s="276"/>
      <c r="CU229" s="276"/>
    </row>
    <row r="230" spans="75:99" ht="15.75">
      <c r="BW230" s="276"/>
      <c r="BY230" s="276"/>
      <c r="BZ230" s="276"/>
      <c r="CA230" s="276"/>
      <c r="CB230" s="276"/>
      <c r="CC230" s="276"/>
      <c r="CD230" s="276"/>
      <c r="CH230" s="276"/>
      <c r="CJ230" s="276"/>
      <c r="CK230" s="276"/>
      <c r="CL230" s="276"/>
      <c r="CM230" s="276"/>
      <c r="CN230" s="276"/>
      <c r="CO230" s="276"/>
      <c r="CP230" s="276"/>
      <c r="CQ230" s="276"/>
      <c r="CU230" s="276"/>
    </row>
    <row r="231" spans="75:99" ht="15.75">
      <c r="BW231" s="276"/>
      <c r="BY231" s="276"/>
      <c r="BZ231" s="276"/>
      <c r="CA231" s="276"/>
      <c r="CB231" s="276"/>
      <c r="CC231" s="276"/>
      <c r="CD231" s="276"/>
      <c r="CH231" s="276"/>
      <c r="CJ231" s="276"/>
      <c r="CK231" s="276"/>
      <c r="CL231" s="276"/>
      <c r="CM231" s="276"/>
      <c r="CN231" s="276"/>
      <c r="CO231" s="276"/>
      <c r="CP231" s="276"/>
      <c r="CQ231" s="276"/>
      <c r="CU231" s="276"/>
    </row>
    <row r="232" spans="75:99" ht="15.75">
      <c r="BW232" s="276"/>
      <c r="BY232" s="276"/>
      <c r="BZ232" s="276"/>
      <c r="CA232" s="276"/>
      <c r="CB232" s="276"/>
      <c r="CC232" s="276"/>
      <c r="CD232" s="276"/>
      <c r="CH232" s="276"/>
      <c r="CJ232" s="276"/>
      <c r="CK232" s="276"/>
      <c r="CL232" s="276"/>
      <c r="CM232" s="276"/>
      <c r="CN232" s="276"/>
      <c r="CO232" s="276"/>
      <c r="CP232" s="276"/>
      <c r="CQ232" s="276"/>
      <c r="CU232" s="276"/>
    </row>
    <row r="233" spans="75:99" ht="15.75">
      <c r="BW233" s="276"/>
      <c r="BY233" s="276"/>
      <c r="BZ233" s="276"/>
      <c r="CA233" s="276"/>
      <c r="CB233" s="276"/>
      <c r="CC233" s="276"/>
      <c r="CD233" s="276"/>
      <c r="CH233" s="276"/>
      <c r="CJ233" s="276"/>
      <c r="CK233" s="276"/>
      <c r="CL233" s="276"/>
      <c r="CM233" s="276"/>
      <c r="CN233" s="276"/>
      <c r="CO233" s="276"/>
      <c r="CP233" s="276"/>
      <c r="CQ233" s="276"/>
      <c r="CU233" s="276"/>
    </row>
    <row r="234" spans="75:99" ht="15.75">
      <c r="BW234" s="276"/>
      <c r="BY234" s="276"/>
      <c r="BZ234" s="276"/>
      <c r="CA234" s="276"/>
      <c r="CB234" s="276"/>
      <c r="CC234" s="276"/>
      <c r="CD234" s="276"/>
      <c r="CH234" s="276"/>
      <c r="CJ234" s="276"/>
      <c r="CK234" s="276"/>
      <c r="CL234" s="276"/>
      <c r="CM234" s="276"/>
      <c r="CN234" s="276"/>
      <c r="CO234" s="276"/>
      <c r="CP234" s="276"/>
      <c r="CQ234" s="276"/>
      <c r="CU234" s="276"/>
    </row>
    <row r="235" spans="75:99" ht="15.75">
      <c r="BW235" s="276"/>
      <c r="BY235" s="276"/>
      <c r="BZ235" s="276"/>
      <c r="CA235" s="276"/>
      <c r="CB235" s="276"/>
      <c r="CC235" s="276"/>
      <c r="CD235" s="276"/>
      <c r="CH235" s="276"/>
      <c r="CJ235" s="276"/>
      <c r="CK235" s="276"/>
      <c r="CL235" s="276"/>
      <c r="CM235" s="276"/>
      <c r="CN235" s="276"/>
      <c r="CO235" s="276"/>
      <c r="CP235" s="276"/>
      <c r="CQ235" s="276"/>
      <c r="CU235" s="276"/>
    </row>
    <row r="236" spans="75:99" ht="15.75">
      <c r="BW236" s="276"/>
      <c r="BY236" s="276"/>
      <c r="BZ236" s="276"/>
      <c r="CA236" s="276"/>
      <c r="CB236" s="276"/>
      <c r="CC236" s="276"/>
      <c r="CD236" s="276"/>
      <c r="CH236" s="276"/>
      <c r="CJ236" s="276"/>
      <c r="CK236" s="276"/>
      <c r="CL236" s="276"/>
      <c r="CM236" s="276"/>
      <c r="CN236" s="276"/>
      <c r="CO236" s="276"/>
      <c r="CP236" s="276"/>
      <c r="CQ236" s="276"/>
      <c r="CU236" s="276"/>
    </row>
    <row r="237" spans="75:99" ht="15.75">
      <c r="BW237" s="276"/>
      <c r="BY237" s="276"/>
      <c r="BZ237" s="276"/>
      <c r="CA237" s="276"/>
      <c r="CB237" s="276"/>
      <c r="CC237" s="276"/>
      <c r="CD237" s="276"/>
      <c r="CH237" s="276"/>
      <c r="CJ237" s="276"/>
      <c r="CK237" s="276"/>
      <c r="CL237" s="276"/>
      <c r="CM237" s="276"/>
      <c r="CN237" s="276"/>
      <c r="CO237" s="276"/>
      <c r="CP237" s="276"/>
      <c r="CQ237" s="276"/>
      <c r="CU237" s="276"/>
    </row>
    <row r="238" spans="75:99" ht="15.75">
      <c r="BW238" s="276"/>
      <c r="BY238" s="276"/>
      <c r="BZ238" s="276"/>
      <c r="CA238" s="276"/>
      <c r="CB238" s="276"/>
      <c r="CC238" s="276"/>
      <c r="CD238" s="276"/>
      <c r="CH238" s="276"/>
      <c r="CJ238" s="276"/>
      <c r="CK238" s="276"/>
      <c r="CL238" s="276"/>
      <c r="CM238" s="276"/>
      <c r="CN238" s="276"/>
      <c r="CO238" s="276"/>
      <c r="CP238" s="276"/>
      <c r="CQ238" s="276"/>
      <c r="CU238" s="276"/>
    </row>
    <row r="239" spans="75:99" ht="15.75">
      <c r="BW239" s="276"/>
      <c r="BY239" s="276"/>
      <c r="BZ239" s="276"/>
      <c r="CA239" s="276"/>
      <c r="CB239" s="276"/>
      <c r="CC239" s="276"/>
      <c r="CD239" s="276"/>
      <c r="CH239" s="276"/>
      <c r="CJ239" s="276"/>
      <c r="CK239" s="276"/>
      <c r="CL239" s="276"/>
      <c r="CM239" s="276"/>
      <c r="CN239" s="276"/>
      <c r="CO239" s="276"/>
      <c r="CP239" s="276"/>
      <c r="CQ239" s="276"/>
      <c r="CU239" s="276"/>
    </row>
    <row r="240" spans="75:99" ht="15.75">
      <c r="BW240" s="276"/>
      <c r="BY240" s="276"/>
      <c r="BZ240" s="276"/>
      <c r="CA240" s="276"/>
      <c r="CB240" s="276"/>
      <c r="CC240" s="276"/>
      <c r="CD240" s="276"/>
      <c r="CH240" s="276"/>
      <c r="CJ240" s="276"/>
      <c r="CK240" s="276"/>
      <c r="CL240" s="276"/>
      <c r="CM240" s="276"/>
      <c r="CN240" s="276"/>
      <c r="CO240" s="276"/>
      <c r="CP240" s="276"/>
      <c r="CQ240" s="276"/>
      <c r="CU240" s="276"/>
    </row>
    <row r="241" spans="75:99" ht="15.75">
      <c r="BW241" s="276"/>
      <c r="BY241" s="276"/>
      <c r="BZ241" s="276"/>
      <c r="CA241" s="276"/>
      <c r="CB241" s="276"/>
      <c r="CC241" s="276"/>
      <c r="CD241" s="276"/>
      <c r="CH241" s="276"/>
      <c r="CJ241" s="276"/>
      <c r="CK241" s="276"/>
      <c r="CL241" s="276"/>
      <c r="CM241" s="276"/>
      <c r="CN241" s="276"/>
      <c r="CO241" s="276"/>
      <c r="CP241" s="276"/>
      <c r="CQ241" s="276"/>
      <c r="CU241" s="276"/>
    </row>
    <row r="242" spans="75:99" ht="15.75">
      <c r="BW242" s="276"/>
      <c r="BY242" s="276"/>
      <c r="BZ242" s="276"/>
      <c r="CA242" s="276"/>
      <c r="CB242" s="276"/>
      <c r="CC242" s="276"/>
      <c r="CD242" s="276"/>
      <c r="CH242" s="276"/>
      <c r="CJ242" s="276"/>
      <c r="CK242" s="276"/>
      <c r="CL242" s="276"/>
      <c r="CM242" s="276"/>
      <c r="CN242" s="276"/>
      <c r="CO242" s="276"/>
      <c r="CP242" s="276"/>
      <c r="CQ242" s="276"/>
      <c r="CU242" s="276"/>
    </row>
    <row r="243" spans="75:99" ht="15.75">
      <c r="BW243" s="276"/>
      <c r="BY243" s="276"/>
      <c r="BZ243" s="276"/>
      <c r="CA243" s="276"/>
      <c r="CB243" s="276"/>
      <c r="CC243" s="276"/>
      <c r="CD243" s="276"/>
      <c r="CH243" s="276"/>
      <c r="CJ243" s="276"/>
      <c r="CK243" s="276"/>
      <c r="CL243" s="276"/>
      <c r="CM243" s="276"/>
      <c r="CN243" s="276"/>
      <c r="CO243" s="276"/>
      <c r="CP243" s="276"/>
      <c r="CQ243" s="276"/>
      <c r="CU243" s="276"/>
    </row>
    <row r="244" spans="75:99" ht="15.75">
      <c r="BW244" s="276"/>
      <c r="BY244" s="276"/>
      <c r="BZ244" s="276"/>
      <c r="CA244" s="276"/>
      <c r="CB244" s="276"/>
      <c r="CC244" s="276"/>
      <c r="CD244" s="276"/>
      <c r="CH244" s="276"/>
      <c r="CJ244" s="276"/>
      <c r="CK244" s="276"/>
      <c r="CL244" s="276"/>
      <c r="CM244" s="276"/>
      <c r="CN244" s="276"/>
      <c r="CO244" s="276"/>
      <c r="CP244" s="276"/>
      <c r="CQ244" s="276"/>
      <c r="CU244" s="276"/>
    </row>
    <row r="245" spans="75:99" ht="15.75">
      <c r="BW245" s="276"/>
      <c r="BY245" s="276"/>
      <c r="BZ245" s="276"/>
      <c r="CA245" s="276"/>
      <c r="CB245" s="276"/>
      <c r="CC245" s="276"/>
      <c r="CD245" s="276"/>
      <c r="CH245" s="276"/>
      <c r="CJ245" s="276"/>
      <c r="CK245" s="276"/>
      <c r="CL245" s="276"/>
      <c r="CM245" s="276"/>
      <c r="CN245" s="276"/>
      <c r="CO245" s="276"/>
      <c r="CP245" s="276"/>
      <c r="CQ245" s="276"/>
      <c r="CU245" s="276"/>
    </row>
    <row r="246" spans="75:99" ht="15.75">
      <c r="BW246" s="276"/>
      <c r="BY246" s="276"/>
      <c r="BZ246" s="276"/>
      <c r="CA246" s="276"/>
      <c r="CB246" s="276"/>
      <c r="CC246" s="276"/>
      <c r="CD246" s="276"/>
      <c r="CH246" s="276"/>
      <c r="CJ246" s="276"/>
      <c r="CK246" s="276"/>
      <c r="CL246" s="276"/>
      <c r="CM246" s="276"/>
      <c r="CN246" s="276"/>
      <c r="CO246" s="276"/>
      <c r="CP246" s="276"/>
      <c r="CQ246" s="276"/>
      <c r="CU246" s="276"/>
    </row>
    <row r="247" spans="75:99" ht="15.75">
      <c r="BW247" s="276"/>
      <c r="BY247" s="276"/>
      <c r="BZ247" s="276"/>
      <c r="CA247" s="276"/>
      <c r="CB247" s="276"/>
      <c r="CC247" s="276"/>
      <c r="CD247" s="276"/>
      <c r="CH247" s="276"/>
      <c r="CJ247" s="276"/>
      <c r="CK247" s="276"/>
      <c r="CL247" s="276"/>
      <c r="CM247" s="276"/>
      <c r="CN247" s="276"/>
      <c r="CO247" s="276"/>
      <c r="CP247" s="276"/>
      <c r="CQ247" s="276"/>
      <c r="CU247" s="276"/>
    </row>
    <row r="248" spans="75:99" ht="15.75">
      <c r="BW248" s="276"/>
      <c r="BY248" s="276"/>
      <c r="BZ248" s="276"/>
      <c r="CA248" s="276"/>
      <c r="CB248" s="276"/>
      <c r="CC248" s="276"/>
      <c r="CD248" s="276"/>
      <c r="CH248" s="276"/>
      <c r="CJ248" s="276"/>
      <c r="CK248" s="276"/>
      <c r="CL248" s="276"/>
      <c r="CM248" s="276"/>
      <c r="CN248" s="276"/>
      <c r="CO248" s="276"/>
      <c r="CP248" s="276"/>
      <c r="CQ248" s="276"/>
      <c r="CU248" s="276"/>
    </row>
    <row r="249" spans="75:99" ht="15.75">
      <c r="BW249" s="276"/>
      <c r="BY249" s="276"/>
      <c r="BZ249" s="276"/>
      <c r="CA249" s="276"/>
      <c r="CB249" s="276"/>
      <c r="CC249" s="276"/>
      <c r="CD249" s="276"/>
      <c r="CH249" s="276"/>
      <c r="CJ249" s="276"/>
      <c r="CK249" s="276"/>
      <c r="CL249" s="276"/>
      <c r="CM249" s="276"/>
      <c r="CN249" s="276"/>
      <c r="CO249" s="276"/>
      <c r="CP249" s="276"/>
      <c r="CQ249" s="276"/>
      <c r="CU249" s="276"/>
    </row>
    <row r="250" spans="75:99" ht="15.75">
      <c r="BW250" s="276"/>
      <c r="BY250" s="276"/>
      <c r="BZ250" s="276"/>
      <c r="CA250" s="276"/>
      <c r="CB250" s="276"/>
      <c r="CC250" s="276"/>
      <c r="CD250" s="276"/>
      <c r="CH250" s="276"/>
      <c r="CJ250" s="276"/>
      <c r="CK250" s="276"/>
      <c r="CL250" s="276"/>
      <c r="CM250" s="276"/>
      <c r="CN250" s="276"/>
      <c r="CO250" s="276"/>
      <c r="CP250" s="276"/>
      <c r="CQ250" s="276"/>
      <c r="CU250" s="276"/>
    </row>
    <row r="251" spans="75:99" ht="15.75">
      <c r="BW251" s="276"/>
      <c r="BY251" s="276"/>
      <c r="BZ251" s="276"/>
      <c r="CA251" s="276"/>
      <c r="CB251" s="276"/>
      <c r="CC251" s="276"/>
      <c r="CD251" s="276"/>
      <c r="CH251" s="276"/>
      <c r="CJ251" s="276"/>
      <c r="CK251" s="276"/>
      <c r="CL251" s="276"/>
      <c r="CM251" s="276"/>
      <c r="CN251" s="276"/>
      <c r="CO251" s="276"/>
      <c r="CP251" s="276"/>
      <c r="CQ251" s="276"/>
      <c r="CU251" s="276"/>
    </row>
    <row r="252" spans="75:99" ht="15.75">
      <c r="BW252" s="276"/>
      <c r="BY252" s="276"/>
      <c r="BZ252" s="276"/>
      <c r="CA252" s="276"/>
      <c r="CB252" s="276"/>
      <c r="CC252" s="276"/>
      <c r="CD252" s="276"/>
      <c r="CH252" s="276"/>
      <c r="CJ252" s="276"/>
      <c r="CK252" s="276"/>
      <c r="CL252" s="276"/>
      <c r="CM252" s="276"/>
      <c r="CN252" s="276"/>
      <c r="CO252" s="276"/>
      <c r="CP252" s="276"/>
      <c r="CQ252" s="276"/>
      <c r="CU252" s="276"/>
    </row>
    <row r="253" spans="75:99" ht="15.75">
      <c r="BW253" s="276"/>
      <c r="BY253" s="276"/>
      <c r="BZ253" s="276"/>
      <c r="CA253" s="276"/>
      <c r="CB253" s="276"/>
      <c r="CC253" s="276"/>
      <c r="CD253" s="276"/>
      <c r="CH253" s="276"/>
      <c r="CJ253" s="276"/>
      <c r="CK253" s="276"/>
      <c r="CL253" s="276"/>
      <c r="CM253" s="276"/>
      <c r="CN253" s="276"/>
      <c r="CO253" s="276"/>
      <c r="CP253" s="276"/>
      <c r="CQ253" s="276"/>
      <c r="CU253" s="276"/>
    </row>
    <row r="254" spans="75:99" ht="15.75">
      <c r="BW254" s="276"/>
      <c r="BY254" s="276"/>
      <c r="BZ254" s="276"/>
      <c r="CA254" s="276"/>
      <c r="CB254" s="276"/>
      <c r="CC254" s="276"/>
      <c r="CD254" s="276"/>
      <c r="CH254" s="276"/>
      <c r="CJ254" s="276"/>
      <c r="CK254" s="276"/>
      <c r="CL254" s="276"/>
      <c r="CM254" s="276"/>
      <c r="CN254" s="276"/>
      <c r="CO254" s="276"/>
      <c r="CP254" s="276"/>
      <c r="CQ254" s="276"/>
      <c r="CU254" s="276"/>
    </row>
    <row r="255" spans="75:99" ht="15.75">
      <c r="BW255" s="276"/>
      <c r="BY255" s="276"/>
      <c r="BZ255" s="276"/>
      <c r="CA255" s="276"/>
      <c r="CB255" s="276"/>
      <c r="CC255" s="276"/>
      <c r="CD255" s="276"/>
      <c r="CH255" s="276"/>
      <c r="CJ255" s="276"/>
      <c r="CK255" s="276"/>
      <c r="CL255" s="276"/>
      <c r="CM255" s="276"/>
      <c r="CN255" s="276"/>
      <c r="CO255" s="276"/>
      <c r="CP255" s="276"/>
      <c r="CQ255" s="276"/>
      <c r="CU255" s="276"/>
    </row>
    <row r="256" spans="75:99" ht="15.75">
      <c r="BW256" s="276"/>
      <c r="BY256" s="276"/>
      <c r="BZ256" s="276"/>
      <c r="CA256" s="276"/>
      <c r="CB256" s="276"/>
      <c r="CC256" s="276"/>
      <c r="CD256" s="276"/>
      <c r="CH256" s="276"/>
      <c r="CJ256" s="276"/>
      <c r="CK256" s="276"/>
      <c r="CL256" s="276"/>
      <c r="CM256" s="276"/>
      <c r="CN256" s="276"/>
      <c r="CO256" s="276"/>
      <c r="CP256" s="276"/>
      <c r="CQ256" s="276"/>
      <c r="CU256" s="276"/>
    </row>
    <row r="257" spans="75:99" ht="15.75">
      <c r="BW257" s="276"/>
      <c r="BY257" s="276"/>
      <c r="BZ257" s="276"/>
      <c r="CA257" s="276"/>
      <c r="CB257" s="276"/>
      <c r="CC257" s="276"/>
      <c r="CD257" s="276"/>
      <c r="CH257" s="276"/>
      <c r="CJ257" s="276"/>
      <c r="CK257" s="276"/>
      <c r="CL257" s="276"/>
      <c r="CM257" s="276"/>
      <c r="CN257" s="276"/>
      <c r="CO257" s="276"/>
      <c r="CP257" s="276"/>
      <c r="CQ257" s="276"/>
      <c r="CU257" s="276"/>
    </row>
    <row r="258" spans="75:99" ht="15.75">
      <c r="BW258" s="276"/>
      <c r="BY258" s="276"/>
      <c r="BZ258" s="276"/>
      <c r="CA258" s="276"/>
      <c r="CB258" s="276"/>
      <c r="CC258" s="276"/>
      <c r="CD258" s="276"/>
      <c r="CH258" s="276"/>
      <c r="CJ258" s="276"/>
      <c r="CK258" s="276"/>
      <c r="CL258" s="276"/>
      <c r="CM258" s="276"/>
      <c r="CN258" s="276"/>
      <c r="CO258" s="276"/>
      <c r="CP258" s="276"/>
      <c r="CQ258" s="276"/>
      <c r="CU258" s="276"/>
    </row>
    <row r="259" spans="75:99" ht="15.75">
      <c r="BW259" s="276"/>
      <c r="BY259" s="276"/>
      <c r="BZ259" s="276"/>
      <c r="CA259" s="276"/>
      <c r="CB259" s="276"/>
      <c r="CC259" s="276"/>
      <c r="CD259" s="276"/>
      <c r="CH259" s="276"/>
      <c r="CJ259" s="276"/>
      <c r="CK259" s="276"/>
      <c r="CL259" s="276"/>
      <c r="CM259" s="276"/>
      <c r="CN259" s="276"/>
      <c r="CO259" s="276"/>
      <c r="CP259" s="276"/>
      <c r="CQ259" s="276"/>
      <c r="CU259" s="276"/>
    </row>
    <row r="260" spans="75:99" ht="15.75">
      <c r="BW260" s="276"/>
      <c r="BY260" s="276"/>
      <c r="BZ260" s="276"/>
      <c r="CA260" s="276"/>
      <c r="CB260" s="276"/>
      <c r="CC260" s="276"/>
      <c r="CD260" s="276"/>
      <c r="CH260" s="276"/>
      <c r="CJ260" s="276"/>
      <c r="CK260" s="276"/>
      <c r="CL260" s="276"/>
      <c r="CM260" s="276"/>
      <c r="CN260" s="276"/>
      <c r="CO260" s="276"/>
      <c r="CP260" s="276"/>
      <c r="CQ260" s="276"/>
      <c r="CU260" s="276"/>
    </row>
    <row r="261" spans="75:99" ht="15.75">
      <c r="BW261" s="276"/>
      <c r="BY261" s="276"/>
      <c r="BZ261" s="276"/>
      <c r="CA261" s="276"/>
      <c r="CB261" s="276"/>
      <c r="CC261" s="276"/>
      <c r="CD261" s="276"/>
      <c r="CH261" s="276"/>
      <c r="CJ261" s="276"/>
      <c r="CK261" s="276"/>
      <c r="CL261" s="276"/>
      <c r="CM261" s="276"/>
      <c r="CN261" s="276"/>
      <c r="CO261" s="276"/>
      <c r="CP261" s="276"/>
      <c r="CQ261" s="276"/>
      <c r="CU261" s="276"/>
    </row>
    <row r="262" spans="75:99" ht="15.75">
      <c r="BW262" s="276"/>
      <c r="BY262" s="276"/>
      <c r="BZ262" s="276"/>
      <c r="CA262" s="276"/>
      <c r="CB262" s="276"/>
      <c r="CC262" s="276"/>
      <c r="CD262" s="276"/>
      <c r="CH262" s="276"/>
      <c r="CJ262" s="276"/>
      <c r="CK262" s="276"/>
      <c r="CL262" s="276"/>
      <c r="CM262" s="276"/>
      <c r="CN262" s="276"/>
      <c r="CO262" s="276"/>
      <c r="CP262" s="276"/>
      <c r="CQ262" s="276"/>
      <c r="CU262" s="276"/>
    </row>
    <row r="263" spans="75:99" ht="15.75">
      <c r="BW263" s="276"/>
      <c r="BY263" s="276"/>
      <c r="BZ263" s="276"/>
      <c r="CA263" s="276"/>
      <c r="CB263" s="276"/>
      <c r="CC263" s="276"/>
      <c r="CD263" s="276"/>
      <c r="CH263" s="276"/>
      <c r="CJ263" s="276"/>
      <c r="CK263" s="276"/>
      <c r="CL263" s="276"/>
      <c r="CM263" s="276"/>
      <c r="CN263" s="276"/>
      <c r="CO263" s="276"/>
      <c r="CP263" s="276"/>
      <c r="CQ263" s="276"/>
      <c r="CU263" s="276"/>
    </row>
    <row r="264" spans="75:99" ht="15.75">
      <c r="BW264" s="276"/>
      <c r="BY264" s="276"/>
      <c r="BZ264" s="276"/>
      <c r="CA264" s="276"/>
      <c r="CB264" s="276"/>
      <c r="CC264" s="276"/>
      <c r="CD264" s="276"/>
      <c r="CH264" s="276"/>
      <c r="CJ264" s="276"/>
      <c r="CK264" s="276"/>
      <c r="CL264" s="276"/>
      <c r="CM264" s="276"/>
      <c r="CN264" s="276"/>
      <c r="CO264" s="276"/>
      <c r="CP264" s="276"/>
      <c r="CQ264" s="276"/>
      <c r="CU264" s="276"/>
    </row>
    <row r="265" spans="75:99" ht="15.75">
      <c r="BW265" s="276"/>
      <c r="BY265" s="276"/>
      <c r="BZ265" s="276"/>
      <c r="CA265" s="276"/>
      <c r="CB265" s="276"/>
      <c r="CC265" s="276"/>
      <c r="CD265" s="276"/>
      <c r="CH265" s="276"/>
      <c r="CJ265" s="276"/>
      <c r="CK265" s="276"/>
      <c r="CL265" s="276"/>
      <c r="CM265" s="276"/>
      <c r="CN265" s="276"/>
      <c r="CO265" s="276"/>
      <c r="CP265" s="276"/>
      <c r="CQ265" s="276"/>
      <c r="CU265" s="276"/>
    </row>
    <row r="266" spans="75:99" ht="15.75">
      <c r="BW266" s="276"/>
      <c r="BY266" s="276"/>
      <c r="BZ266" s="276"/>
      <c r="CA266" s="276"/>
      <c r="CB266" s="276"/>
      <c r="CC266" s="276"/>
      <c r="CD266" s="276"/>
      <c r="CH266" s="276"/>
      <c r="CJ266" s="276"/>
      <c r="CK266" s="276"/>
      <c r="CL266" s="276"/>
      <c r="CM266" s="276"/>
      <c r="CN266" s="276"/>
      <c r="CO266" s="276"/>
      <c r="CP266" s="276"/>
      <c r="CQ266" s="276"/>
      <c r="CU266" s="276"/>
    </row>
    <row r="267" spans="75:99" ht="15.75">
      <c r="BW267" s="276"/>
      <c r="BY267" s="276"/>
      <c r="BZ267" s="276"/>
      <c r="CA267" s="276"/>
      <c r="CB267" s="276"/>
      <c r="CC267" s="276"/>
      <c r="CD267" s="276"/>
      <c r="CH267" s="276"/>
      <c r="CJ267" s="276"/>
      <c r="CK267" s="276"/>
      <c r="CL267" s="276"/>
      <c r="CM267" s="276"/>
      <c r="CN267" s="276"/>
      <c r="CO267" s="276"/>
      <c r="CP267" s="276"/>
      <c r="CQ267" s="276"/>
      <c r="CU267" s="276"/>
    </row>
    <row r="268" spans="75:99" ht="15.75">
      <c r="BW268" s="276"/>
      <c r="BY268" s="276"/>
      <c r="BZ268" s="276"/>
      <c r="CA268" s="276"/>
      <c r="CB268" s="276"/>
      <c r="CC268" s="276"/>
      <c r="CD268" s="276"/>
      <c r="CH268" s="276"/>
      <c r="CJ268" s="276"/>
      <c r="CK268" s="276"/>
      <c r="CL268" s="276"/>
      <c r="CM268" s="276"/>
      <c r="CN268" s="276"/>
      <c r="CO268" s="276"/>
      <c r="CP268" s="276"/>
      <c r="CQ268" s="276"/>
      <c r="CU268" s="276"/>
    </row>
    <row r="269" spans="75:99" ht="15.75">
      <c r="BW269" s="276"/>
      <c r="BY269" s="276"/>
      <c r="BZ269" s="276"/>
      <c r="CA269" s="276"/>
      <c r="CB269" s="276"/>
      <c r="CC269" s="276"/>
      <c r="CD269" s="276"/>
      <c r="CH269" s="276"/>
      <c r="CJ269" s="276"/>
      <c r="CK269" s="276"/>
      <c r="CL269" s="276"/>
      <c r="CM269" s="276"/>
      <c r="CN269" s="276"/>
      <c r="CO269" s="276"/>
      <c r="CP269" s="276"/>
      <c r="CQ269" s="276"/>
      <c r="CU269" s="276"/>
    </row>
    <row r="270" spans="75:99" ht="15.75">
      <c r="BW270" s="276"/>
      <c r="BY270" s="276"/>
      <c r="BZ270" s="276"/>
      <c r="CA270" s="276"/>
      <c r="CB270" s="276"/>
      <c r="CC270" s="276"/>
      <c r="CD270" s="276"/>
      <c r="CH270" s="276"/>
      <c r="CJ270" s="276"/>
      <c r="CK270" s="276"/>
      <c r="CL270" s="276"/>
      <c r="CM270" s="276"/>
      <c r="CN270" s="276"/>
      <c r="CO270" s="276"/>
      <c r="CP270" s="276"/>
      <c r="CQ270" s="276"/>
      <c r="CU270" s="276"/>
    </row>
    <row r="271" spans="75:99" ht="15.75">
      <c r="BW271" s="276"/>
      <c r="BY271" s="276"/>
      <c r="BZ271" s="276"/>
      <c r="CA271" s="276"/>
      <c r="CB271" s="276"/>
      <c r="CC271" s="276"/>
      <c r="CD271" s="276"/>
      <c r="CH271" s="276"/>
      <c r="CJ271" s="276"/>
      <c r="CK271" s="276"/>
      <c r="CL271" s="276"/>
      <c r="CM271" s="276"/>
      <c r="CN271" s="276"/>
      <c r="CO271" s="276"/>
      <c r="CP271" s="276"/>
      <c r="CQ271" s="276"/>
      <c r="CU271" s="276"/>
    </row>
    <row r="272" spans="75:99" ht="15.75">
      <c r="BW272" s="276"/>
      <c r="BY272" s="276"/>
      <c r="BZ272" s="276"/>
      <c r="CA272" s="276"/>
      <c r="CB272" s="276"/>
      <c r="CC272" s="276"/>
      <c r="CD272" s="276"/>
      <c r="CH272" s="276"/>
      <c r="CJ272" s="276"/>
      <c r="CK272" s="276"/>
      <c r="CL272" s="276"/>
      <c r="CM272" s="276"/>
      <c r="CN272" s="276"/>
      <c r="CO272" s="276"/>
      <c r="CP272" s="276"/>
      <c r="CQ272" s="276"/>
      <c r="CU272" s="276"/>
    </row>
    <row r="273" spans="75:99" ht="15.75">
      <c r="BW273" s="276"/>
      <c r="BY273" s="276"/>
      <c r="BZ273" s="276"/>
      <c r="CA273" s="276"/>
      <c r="CB273" s="276"/>
      <c r="CC273" s="276"/>
      <c r="CD273" s="276"/>
      <c r="CH273" s="276"/>
      <c r="CJ273" s="276"/>
      <c r="CK273" s="276"/>
      <c r="CL273" s="276"/>
      <c r="CM273" s="276"/>
      <c r="CN273" s="276"/>
      <c r="CO273" s="276"/>
      <c r="CP273" s="276"/>
      <c r="CQ273" s="276"/>
      <c r="CU273" s="276"/>
    </row>
    <row r="274" spans="75:99" ht="15.75">
      <c r="BW274" s="276"/>
      <c r="BY274" s="276"/>
      <c r="BZ274" s="276"/>
      <c r="CA274" s="276"/>
      <c r="CB274" s="276"/>
      <c r="CC274" s="276"/>
      <c r="CD274" s="276"/>
      <c r="CH274" s="276"/>
      <c r="CJ274" s="276"/>
      <c r="CK274" s="276"/>
      <c r="CL274" s="276"/>
      <c r="CM274" s="276"/>
      <c r="CN274" s="276"/>
      <c r="CO274" s="276"/>
      <c r="CP274" s="276"/>
      <c r="CQ274" s="276"/>
      <c r="CU274" s="276"/>
    </row>
    <row r="275" spans="75:99" ht="15.75">
      <c r="BW275" s="276"/>
      <c r="BY275" s="276"/>
      <c r="BZ275" s="276"/>
      <c r="CA275" s="276"/>
      <c r="CB275" s="276"/>
      <c r="CC275" s="276"/>
      <c r="CD275" s="276"/>
      <c r="CH275" s="276"/>
      <c r="CJ275" s="276"/>
      <c r="CK275" s="276"/>
      <c r="CL275" s="276"/>
      <c r="CM275" s="276"/>
      <c r="CN275" s="276"/>
      <c r="CO275" s="276"/>
      <c r="CP275" s="276"/>
      <c r="CQ275" s="276"/>
      <c r="CU275" s="276"/>
    </row>
    <row r="276" spans="75:99" ht="15.75">
      <c r="BW276" s="276"/>
      <c r="BY276" s="276"/>
      <c r="BZ276" s="276"/>
      <c r="CA276" s="276"/>
      <c r="CB276" s="276"/>
      <c r="CC276" s="276"/>
      <c r="CD276" s="276"/>
      <c r="CH276" s="276"/>
      <c r="CJ276" s="276"/>
      <c r="CK276" s="276"/>
      <c r="CL276" s="276"/>
      <c r="CM276" s="276"/>
      <c r="CN276" s="276"/>
      <c r="CO276" s="276"/>
      <c r="CP276" s="276"/>
      <c r="CQ276" s="276"/>
      <c r="CU276" s="276"/>
    </row>
    <row r="277" spans="75:99" ht="15.75">
      <c r="BW277" s="276"/>
      <c r="BY277" s="276"/>
      <c r="BZ277" s="276"/>
      <c r="CA277" s="276"/>
      <c r="CB277" s="276"/>
      <c r="CC277" s="276"/>
      <c r="CD277" s="276"/>
      <c r="CH277" s="276"/>
      <c r="CJ277" s="276"/>
      <c r="CK277" s="276"/>
      <c r="CL277" s="276"/>
      <c r="CM277" s="276"/>
      <c r="CN277" s="276"/>
      <c r="CO277" s="276"/>
      <c r="CP277" s="276"/>
      <c r="CQ277" s="276"/>
      <c r="CU277" s="276"/>
    </row>
    <row r="278" spans="75:99" ht="15.75">
      <c r="BW278" s="276"/>
      <c r="BY278" s="276"/>
      <c r="BZ278" s="276"/>
      <c r="CA278" s="276"/>
      <c r="CB278" s="276"/>
      <c r="CC278" s="276"/>
      <c r="CD278" s="276"/>
      <c r="CH278" s="276"/>
      <c r="CJ278" s="276"/>
      <c r="CK278" s="276"/>
      <c r="CL278" s="276"/>
      <c r="CM278" s="276"/>
      <c r="CN278" s="276"/>
      <c r="CO278" s="276"/>
      <c r="CP278" s="276"/>
      <c r="CQ278" s="276"/>
      <c r="CU278" s="276"/>
    </row>
    <row r="279" spans="75:99" ht="15.75">
      <c r="BW279" s="276"/>
      <c r="BY279" s="276"/>
      <c r="BZ279" s="276"/>
      <c r="CA279" s="276"/>
      <c r="CB279" s="276"/>
      <c r="CC279" s="276"/>
      <c r="CD279" s="276"/>
      <c r="CH279" s="276"/>
      <c r="CJ279" s="276"/>
      <c r="CK279" s="276"/>
      <c r="CL279" s="276"/>
      <c r="CM279" s="276"/>
      <c r="CN279" s="276"/>
      <c r="CO279" s="276"/>
      <c r="CP279" s="276"/>
      <c r="CQ279" s="276"/>
      <c r="CU279" s="276"/>
    </row>
    <row r="280" spans="75:99" ht="15.75">
      <c r="BW280" s="276"/>
      <c r="BY280" s="276"/>
      <c r="BZ280" s="276"/>
      <c r="CA280" s="276"/>
      <c r="CB280" s="276"/>
      <c r="CC280" s="276"/>
      <c r="CD280" s="276"/>
      <c r="CH280" s="276"/>
      <c r="CJ280" s="276"/>
      <c r="CK280" s="276"/>
      <c r="CL280" s="276"/>
      <c r="CM280" s="276"/>
      <c r="CN280" s="276"/>
      <c r="CO280" s="276"/>
      <c r="CP280" s="276"/>
      <c r="CQ280" s="276"/>
      <c r="CU280" s="276"/>
    </row>
    <row r="281" spans="75:99" ht="15.75">
      <c r="BW281" s="276"/>
      <c r="BY281" s="276"/>
      <c r="BZ281" s="276"/>
      <c r="CA281" s="276"/>
      <c r="CB281" s="276"/>
      <c r="CC281" s="276"/>
      <c r="CD281" s="276"/>
      <c r="CH281" s="276"/>
      <c r="CJ281" s="276"/>
      <c r="CK281" s="276"/>
      <c r="CL281" s="276"/>
      <c r="CM281" s="276"/>
      <c r="CN281" s="276"/>
      <c r="CO281" s="276"/>
      <c r="CP281" s="276"/>
      <c r="CQ281" s="276"/>
      <c r="CU281" s="276"/>
    </row>
    <row r="282" spans="75:99" ht="15.75">
      <c r="BW282" s="276"/>
      <c r="BY282" s="276"/>
      <c r="BZ282" s="276"/>
      <c r="CA282" s="276"/>
      <c r="CB282" s="276"/>
      <c r="CC282" s="276"/>
      <c r="CD282" s="276"/>
      <c r="CH282" s="276"/>
      <c r="CJ282" s="276"/>
      <c r="CK282" s="276"/>
      <c r="CL282" s="276"/>
      <c r="CM282" s="276"/>
      <c r="CN282" s="276"/>
      <c r="CO282" s="276"/>
      <c r="CP282" s="276"/>
      <c r="CQ282" s="276"/>
      <c r="CU282" s="276"/>
    </row>
    <row r="283" spans="75:99" ht="15.75">
      <c r="BW283" s="276"/>
      <c r="BY283" s="276"/>
      <c r="BZ283" s="276"/>
      <c r="CA283" s="276"/>
      <c r="CB283" s="276"/>
      <c r="CC283" s="276"/>
      <c r="CD283" s="276"/>
      <c r="CH283" s="276"/>
      <c r="CJ283" s="276"/>
      <c r="CK283" s="276"/>
      <c r="CL283" s="276"/>
      <c r="CM283" s="276"/>
      <c r="CN283" s="276"/>
      <c r="CO283" s="276"/>
      <c r="CP283" s="276"/>
      <c r="CQ283" s="276"/>
      <c r="CU283" s="276"/>
    </row>
    <row r="284" spans="75:99" ht="15.75">
      <c r="BW284" s="276"/>
      <c r="BY284" s="276"/>
      <c r="BZ284" s="276"/>
      <c r="CA284" s="276"/>
      <c r="CB284" s="276"/>
      <c r="CC284" s="276"/>
      <c r="CD284" s="276"/>
      <c r="CH284" s="276"/>
      <c r="CJ284" s="276"/>
      <c r="CK284" s="276"/>
      <c r="CL284" s="276"/>
      <c r="CM284" s="276"/>
      <c r="CN284" s="276"/>
      <c r="CO284" s="276"/>
      <c r="CP284" s="276"/>
      <c r="CQ284" s="276"/>
      <c r="CU284" s="276"/>
    </row>
    <row r="285" spans="75:99" ht="15.75">
      <c r="BW285" s="276"/>
      <c r="BY285" s="276"/>
      <c r="BZ285" s="276"/>
      <c r="CA285" s="276"/>
      <c r="CB285" s="276"/>
      <c r="CC285" s="276"/>
      <c r="CD285" s="276"/>
      <c r="CH285" s="276"/>
      <c r="CJ285" s="276"/>
      <c r="CK285" s="276"/>
      <c r="CL285" s="276"/>
      <c r="CM285" s="276"/>
      <c r="CN285" s="276"/>
      <c r="CO285" s="276"/>
      <c r="CP285" s="276"/>
      <c r="CQ285" s="276"/>
      <c r="CU285" s="276"/>
    </row>
    <row r="286" spans="75:99" ht="15.75">
      <c r="BW286" s="276"/>
      <c r="BY286" s="276"/>
      <c r="BZ286" s="276"/>
      <c r="CA286" s="276"/>
      <c r="CB286" s="276"/>
      <c r="CC286" s="276"/>
      <c r="CD286" s="276"/>
      <c r="CH286" s="276"/>
      <c r="CJ286" s="276"/>
      <c r="CK286" s="276"/>
      <c r="CL286" s="276"/>
      <c r="CM286" s="276"/>
      <c r="CN286" s="276"/>
      <c r="CO286" s="276"/>
      <c r="CP286" s="276"/>
      <c r="CQ286" s="276"/>
      <c r="CU286" s="276"/>
    </row>
    <row r="287" spans="75:99" ht="15.75">
      <c r="BW287" s="276"/>
      <c r="BY287" s="276"/>
      <c r="BZ287" s="276"/>
      <c r="CA287" s="276"/>
      <c r="CB287" s="276"/>
      <c r="CC287" s="276"/>
      <c r="CD287" s="276"/>
      <c r="CH287" s="276"/>
      <c r="CJ287" s="276"/>
      <c r="CK287" s="276"/>
      <c r="CL287" s="276"/>
      <c r="CM287" s="276"/>
      <c r="CN287" s="276"/>
      <c r="CO287" s="276"/>
      <c r="CP287" s="276"/>
      <c r="CQ287" s="276"/>
      <c r="CU287" s="276"/>
    </row>
    <row r="288" spans="75:99" ht="15.75">
      <c r="BW288" s="276"/>
      <c r="BY288" s="276"/>
      <c r="BZ288" s="276"/>
      <c r="CA288" s="276"/>
      <c r="CB288" s="276"/>
      <c r="CC288" s="276"/>
      <c r="CD288" s="276"/>
      <c r="CH288" s="276"/>
      <c r="CJ288" s="276"/>
      <c r="CK288" s="276"/>
      <c r="CL288" s="276"/>
      <c r="CM288" s="276"/>
      <c r="CN288" s="276"/>
      <c r="CO288" s="276"/>
      <c r="CP288" s="276"/>
      <c r="CQ288" s="276"/>
      <c r="CU288" s="276"/>
    </row>
    <row r="289" spans="75:99" ht="15.75">
      <c r="BW289" s="276"/>
      <c r="BY289" s="276"/>
      <c r="BZ289" s="276"/>
      <c r="CA289" s="276"/>
      <c r="CB289" s="276"/>
      <c r="CC289" s="276"/>
      <c r="CD289" s="276"/>
      <c r="CH289" s="276"/>
      <c r="CJ289" s="276"/>
      <c r="CK289" s="276"/>
      <c r="CL289" s="276"/>
      <c r="CM289" s="276"/>
      <c r="CN289" s="276"/>
      <c r="CO289" s="276"/>
      <c r="CP289" s="276"/>
      <c r="CQ289" s="276"/>
      <c r="CU289" s="276"/>
    </row>
    <row r="290" spans="75:99" ht="15.75">
      <c r="BW290" s="276"/>
      <c r="BY290" s="276"/>
      <c r="BZ290" s="276"/>
      <c r="CA290" s="276"/>
      <c r="CB290" s="276"/>
      <c r="CC290" s="276"/>
      <c r="CD290" s="276"/>
      <c r="CH290" s="276"/>
      <c r="CJ290" s="276"/>
      <c r="CK290" s="276"/>
      <c r="CL290" s="276"/>
      <c r="CM290" s="276"/>
      <c r="CN290" s="276"/>
      <c r="CO290" s="276"/>
      <c r="CP290" s="276"/>
      <c r="CQ290" s="276"/>
      <c r="CU290" s="276"/>
    </row>
    <row r="291" spans="75:99" ht="15.75">
      <c r="BW291" s="276"/>
      <c r="BY291" s="276"/>
      <c r="BZ291" s="276"/>
      <c r="CA291" s="276"/>
      <c r="CB291" s="276"/>
      <c r="CC291" s="276"/>
      <c r="CD291" s="276"/>
      <c r="CH291" s="276"/>
      <c r="CJ291" s="276"/>
      <c r="CK291" s="276"/>
      <c r="CL291" s="276"/>
      <c r="CM291" s="276"/>
      <c r="CN291" s="276"/>
      <c r="CO291" s="276"/>
      <c r="CP291" s="276"/>
      <c r="CQ291" s="276"/>
      <c r="CU291" s="276"/>
    </row>
    <row r="292" spans="75:99" ht="15.75">
      <c r="BW292" s="276"/>
      <c r="BY292" s="276"/>
      <c r="BZ292" s="276"/>
      <c r="CA292" s="276"/>
      <c r="CB292" s="276"/>
      <c r="CC292" s="276"/>
      <c r="CD292" s="276"/>
      <c r="CH292" s="276"/>
      <c r="CJ292" s="276"/>
      <c r="CK292" s="276"/>
      <c r="CL292" s="276"/>
      <c r="CM292" s="276"/>
      <c r="CN292" s="276"/>
      <c r="CO292" s="276"/>
      <c r="CP292" s="276"/>
      <c r="CQ292" s="276"/>
      <c r="CU292" s="276"/>
    </row>
    <row r="293" spans="75:99" ht="15.75">
      <c r="BW293" s="276"/>
      <c r="BY293" s="276"/>
      <c r="BZ293" s="276"/>
      <c r="CA293" s="276"/>
      <c r="CB293" s="276"/>
      <c r="CC293" s="276"/>
      <c r="CD293" s="276"/>
      <c r="CH293" s="276"/>
      <c r="CJ293" s="276"/>
      <c r="CK293" s="276"/>
      <c r="CL293" s="276"/>
      <c r="CM293" s="276"/>
      <c r="CN293" s="276"/>
      <c r="CO293" s="276"/>
      <c r="CP293" s="276"/>
      <c r="CQ293" s="276"/>
      <c r="CU293" s="276"/>
    </row>
    <row r="294" spans="75:99" ht="15.75">
      <c r="BW294" s="276"/>
      <c r="BY294" s="276"/>
      <c r="BZ294" s="276"/>
      <c r="CA294" s="276"/>
      <c r="CB294" s="276"/>
      <c r="CC294" s="276"/>
      <c r="CD294" s="276"/>
      <c r="CH294" s="276"/>
      <c r="CJ294" s="276"/>
      <c r="CK294" s="276"/>
      <c r="CL294" s="276"/>
      <c r="CM294" s="276"/>
      <c r="CN294" s="276"/>
      <c r="CO294" s="276"/>
      <c r="CP294" s="276"/>
      <c r="CQ294" s="276"/>
      <c r="CU294" s="276"/>
    </row>
    <row r="295" spans="75:99" ht="15.75">
      <c r="BW295" s="276"/>
      <c r="BY295" s="276"/>
      <c r="BZ295" s="276"/>
      <c r="CA295" s="276"/>
      <c r="CB295" s="276"/>
      <c r="CC295" s="276"/>
      <c r="CD295" s="276"/>
      <c r="CH295" s="276"/>
      <c r="CJ295" s="276"/>
      <c r="CK295" s="276"/>
      <c r="CL295" s="276"/>
      <c r="CM295" s="276"/>
      <c r="CN295" s="276"/>
      <c r="CO295" s="276"/>
      <c r="CP295" s="276"/>
      <c r="CQ295" s="276"/>
      <c r="CU295" s="276"/>
    </row>
    <row r="296" spans="75:99" ht="15.75">
      <c r="BW296" s="276"/>
      <c r="BY296" s="276"/>
      <c r="BZ296" s="276"/>
      <c r="CA296" s="276"/>
      <c r="CB296" s="276"/>
      <c r="CC296" s="276"/>
      <c r="CD296" s="276"/>
      <c r="CH296" s="276"/>
      <c r="CJ296" s="276"/>
      <c r="CK296" s="276"/>
      <c r="CL296" s="276"/>
      <c r="CM296" s="276"/>
      <c r="CN296" s="276"/>
      <c r="CO296" s="276"/>
      <c r="CP296" s="276"/>
      <c r="CQ296" s="276"/>
      <c r="CU296" s="276"/>
    </row>
    <row r="297" spans="75:99" ht="15.75">
      <c r="BW297" s="276"/>
      <c r="BY297" s="276"/>
      <c r="BZ297" s="276"/>
      <c r="CA297" s="276"/>
      <c r="CB297" s="276"/>
      <c r="CC297" s="276"/>
      <c r="CD297" s="276"/>
      <c r="CH297" s="276"/>
      <c r="CJ297" s="276"/>
      <c r="CK297" s="276"/>
      <c r="CL297" s="276"/>
      <c r="CM297" s="276"/>
      <c r="CN297" s="276"/>
      <c r="CO297" s="276"/>
      <c r="CP297" s="276"/>
      <c r="CQ297" s="276"/>
      <c r="CU297" s="276"/>
    </row>
    <row r="298" spans="75:99" ht="15.75">
      <c r="BW298" s="276"/>
      <c r="BY298" s="276"/>
      <c r="BZ298" s="276"/>
      <c r="CA298" s="276"/>
      <c r="CB298" s="276"/>
      <c r="CC298" s="276"/>
      <c r="CD298" s="276"/>
      <c r="CH298" s="276"/>
      <c r="CJ298" s="276"/>
      <c r="CK298" s="276"/>
      <c r="CL298" s="276"/>
      <c r="CM298" s="276"/>
      <c r="CN298" s="276"/>
      <c r="CO298" s="276"/>
      <c r="CP298" s="276"/>
      <c r="CQ298" s="276"/>
      <c r="CU298" s="276"/>
    </row>
    <row r="299" spans="75:99" ht="15.75">
      <c r="BW299" s="276"/>
      <c r="BY299" s="276"/>
      <c r="BZ299" s="276"/>
      <c r="CA299" s="276"/>
      <c r="CB299" s="276"/>
      <c r="CC299" s="276"/>
      <c r="CD299" s="276"/>
      <c r="CH299" s="276"/>
      <c r="CJ299" s="276"/>
      <c r="CK299" s="276"/>
      <c r="CL299" s="276"/>
      <c r="CM299" s="276"/>
      <c r="CN299" s="276"/>
      <c r="CO299" s="276"/>
      <c r="CP299" s="276"/>
      <c r="CQ299" s="276"/>
      <c r="CU299" s="276"/>
    </row>
    <row r="300" spans="75:99" ht="15.75">
      <c r="BW300" s="276"/>
      <c r="BY300" s="276"/>
      <c r="BZ300" s="276"/>
      <c r="CA300" s="276"/>
      <c r="CB300" s="276"/>
      <c r="CC300" s="276"/>
      <c r="CD300" s="276"/>
      <c r="CH300" s="276"/>
      <c r="CJ300" s="276"/>
      <c r="CK300" s="276"/>
      <c r="CL300" s="276"/>
      <c r="CM300" s="276"/>
      <c r="CN300" s="276"/>
      <c r="CO300" s="276"/>
      <c r="CP300" s="276"/>
      <c r="CQ300" s="276"/>
      <c r="CU300" s="276"/>
    </row>
    <row r="301" spans="75:99" ht="15.75">
      <c r="BW301" s="276"/>
      <c r="BY301" s="276"/>
      <c r="BZ301" s="276"/>
      <c r="CA301" s="276"/>
      <c r="CB301" s="276"/>
      <c r="CC301" s="276"/>
      <c r="CD301" s="276"/>
      <c r="CH301" s="276"/>
      <c r="CJ301" s="276"/>
      <c r="CK301" s="276"/>
      <c r="CL301" s="276"/>
      <c r="CM301" s="276"/>
      <c r="CN301" s="276"/>
      <c r="CO301" s="276"/>
      <c r="CP301" s="276"/>
      <c r="CQ301" s="276"/>
      <c r="CU301" s="276"/>
    </row>
    <row r="302" spans="75:99" ht="15.75">
      <c r="BW302" s="276"/>
      <c r="BY302" s="276"/>
      <c r="BZ302" s="276"/>
      <c r="CA302" s="276"/>
      <c r="CB302" s="276"/>
      <c r="CC302" s="276"/>
      <c r="CD302" s="276"/>
      <c r="CH302" s="276"/>
      <c r="CJ302" s="276"/>
      <c r="CK302" s="276"/>
      <c r="CL302" s="276"/>
      <c r="CM302" s="276"/>
      <c r="CN302" s="276"/>
      <c r="CO302" s="276"/>
      <c r="CP302" s="276"/>
      <c r="CQ302" s="276"/>
      <c r="CU302" s="276"/>
    </row>
    <row r="303" spans="75:99" ht="15.75">
      <c r="BW303" s="276"/>
      <c r="BY303" s="276"/>
      <c r="BZ303" s="276"/>
      <c r="CA303" s="276"/>
      <c r="CB303" s="276"/>
      <c r="CC303" s="276"/>
      <c r="CD303" s="276"/>
      <c r="CH303" s="276"/>
      <c r="CJ303" s="276"/>
      <c r="CK303" s="276"/>
      <c r="CL303" s="276"/>
      <c r="CM303" s="276"/>
      <c r="CN303" s="276"/>
      <c r="CO303" s="276"/>
      <c r="CP303" s="276"/>
      <c r="CQ303" s="276"/>
      <c r="CU303" s="276"/>
    </row>
    <row r="304" spans="75:99" ht="15.75">
      <c r="BW304" s="276"/>
      <c r="BY304" s="276"/>
      <c r="BZ304" s="276"/>
      <c r="CA304" s="276"/>
      <c r="CB304" s="276"/>
      <c r="CC304" s="276"/>
      <c r="CD304" s="276"/>
      <c r="CH304" s="276"/>
      <c r="CJ304" s="276"/>
      <c r="CK304" s="276"/>
      <c r="CL304" s="276"/>
      <c r="CM304" s="276"/>
      <c r="CN304" s="276"/>
      <c r="CO304" s="276"/>
      <c r="CP304" s="276"/>
      <c r="CQ304" s="276"/>
      <c r="CU304" s="276"/>
    </row>
    <row r="305" spans="75:99" ht="15.75">
      <c r="BW305" s="276"/>
      <c r="BY305" s="276"/>
      <c r="BZ305" s="276"/>
      <c r="CA305" s="276"/>
      <c r="CB305" s="276"/>
      <c r="CC305" s="276"/>
      <c r="CD305" s="276"/>
      <c r="CH305" s="276"/>
      <c r="CJ305" s="276"/>
      <c r="CK305" s="276"/>
      <c r="CL305" s="276"/>
      <c r="CM305" s="276"/>
      <c r="CN305" s="276"/>
      <c r="CO305" s="276"/>
      <c r="CP305" s="276"/>
      <c r="CQ305" s="276"/>
      <c r="CU305" s="276"/>
    </row>
    <row r="306" spans="75:99" ht="15.75">
      <c r="BW306" s="276"/>
      <c r="BY306" s="276"/>
      <c r="BZ306" s="276"/>
      <c r="CA306" s="276"/>
      <c r="CB306" s="276"/>
      <c r="CC306" s="276"/>
      <c r="CD306" s="276"/>
      <c r="CH306" s="276"/>
      <c r="CJ306" s="276"/>
      <c r="CK306" s="276"/>
      <c r="CL306" s="276"/>
      <c r="CM306" s="276"/>
      <c r="CN306" s="276"/>
      <c r="CO306" s="276"/>
      <c r="CP306" s="276"/>
      <c r="CQ306" s="276"/>
      <c r="CU306" s="276"/>
    </row>
    <row r="307" spans="75:99" ht="15.75">
      <c r="BW307" s="276"/>
      <c r="BY307" s="276"/>
      <c r="BZ307" s="276"/>
      <c r="CA307" s="276"/>
      <c r="CB307" s="276"/>
      <c r="CC307" s="276"/>
      <c r="CD307" s="276"/>
      <c r="CH307" s="276"/>
      <c r="CJ307" s="276"/>
      <c r="CK307" s="276"/>
      <c r="CL307" s="276"/>
      <c r="CM307" s="276"/>
      <c r="CN307" s="276"/>
      <c r="CO307" s="276"/>
      <c r="CP307" s="276"/>
      <c r="CQ307" s="276"/>
      <c r="CU307" s="276"/>
    </row>
    <row r="308" spans="75:99" ht="15.75">
      <c r="BW308" s="276"/>
      <c r="BY308" s="276"/>
      <c r="BZ308" s="276"/>
      <c r="CA308" s="276"/>
      <c r="CB308" s="276"/>
      <c r="CC308" s="276"/>
      <c r="CD308" s="276"/>
      <c r="CH308" s="276"/>
      <c r="CJ308" s="276"/>
      <c r="CK308" s="276"/>
      <c r="CL308" s="276"/>
      <c r="CM308" s="276"/>
      <c r="CN308" s="276"/>
      <c r="CO308" s="276"/>
      <c r="CP308" s="276"/>
      <c r="CQ308" s="276"/>
      <c r="CU308" s="276"/>
    </row>
    <row r="309" spans="75:99" ht="15.75">
      <c r="BW309" s="276"/>
      <c r="BY309" s="276"/>
      <c r="BZ309" s="276"/>
      <c r="CA309" s="276"/>
      <c r="CB309" s="276"/>
      <c r="CC309" s="276"/>
      <c r="CD309" s="276"/>
      <c r="CH309" s="276"/>
      <c r="CJ309" s="276"/>
      <c r="CK309" s="276"/>
      <c r="CL309" s="276"/>
      <c r="CM309" s="276"/>
      <c r="CN309" s="276"/>
      <c r="CO309" s="276"/>
      <c r="CP309" s="276"/>
      <c r="CQ309" s="276"/>
      <c r="CU309" s="276"/>
    </row>
    <row r="310" spans="75:99" ht="15.75">
      <c r="BW310" s="276"/>
      <c r="BY310" s="276"/>
      <c r="BZ310" s="276"/>
      <c r="CA310" s="276"/>
      <c r="CB310" s="276"/>
      <c r="CC310" s="276"/>
      <c r="CD310" s="276"/>
      <c r="CH310" s="276"/>
      <c r="CJ310" s="276"/>
      <c r="CK310" s="276"/>
      <c r="CL310" s="276"/>
      <c r="CM310" s="276"/>
      <c r="CN310" s="276"/>
      <c r="CO310" s="276"/>
      <c r="CP310" s="276"/>
      <c r="CQ310" s="276"/>
      <c r="CU310" s="276"/>
    </row>
    <row r="311" spans="75:99" ht="15.75">
      <c r="BW311" s="276"/>
      <c r="BY311" s="276"/>
      <c r="BZ311" s="276"/>
      <c r="CA311" s="276"/>
      <c r="CB311" s="276"/>
      <c r="CC311" s="276"/>
      <c r="CD311" s="276"/>
      <c r="CH311" s="276"/>
      <c r="CJ311" s="276"/>
      <c r="CK311" s="276"/>
      <c r="CL311" s="276"/>
      <c r="CM311" s="276"/>
      <c r="CN311" s="276"/>
      <c r="CO311" s="276"/>
      <c r="CP311" s="276"/>
      <c r="CQ311" s="276"/>
      <c r="CU311" s="276"/>
    </row>
    <row r="312" spans="75:99" ht="15.75">
      <c r="BW312" s="276"/>
      <c r="BY312" s="276"/>
      <c r="BZ312" s="276"/>
      <c r="CA312" s="276"/>
      <c r="CB312" s="276"/>
      <c r="CC312" s="276"/>
      <c r="CD312" s="276"/>
      <c r="CH312" s="276"/>
      <c r="CJ312" s="276"/>
      <c r="CK312" s="276"/>
      <c r="CL312" s="276"/>
      <c r="CM312" s="276"/>
      <c r="CN312" s="276"/>
      <c r="CO312" s="276"/>
      <c r="CP312" s="276"/>
      <c r="CQ312" s="276"/>
      <c r="CU312" s="276"/>
    </row>
    <row r="313" spans="75:99" ht="15.75">
      <c r="BW313" s="276"/>
      <c r="BY313" s="276"/>
      <c r="BZ313" s="276"/>
      <c r="CA313" s="276"/>
      <c r="CB313" s="276"/>
      <c r="CC313" s="276"/>
      <c r="CD313" s="276"/>
      <c r="CH313" s="276"/>
      <c r="CJ313" s="276"/>
      <c r="CK313" s="276"/>
      <c r="CL313" s="276"/>
      <c r="CM313" s="276"/>
      <c r="CN313" s="276"/>
      <c r="CO313" s="276"/>
      <c r="CP313" s="276"/>
      <c r="CQ313" s="276"/>
      <c r="CU313" s="276"/>
    </row>
    <row r="314" spans="75:99" ht="15.75">
      <c r="BW314" s="276"/>
      <c r="BY314" s="276"/>
      <c r="BZ314" s="276"/>
      <c r="CA314" s="276"/>
      <c r="CB314" s="276"/>
      <c r="CC314" s="276"/>
      <c r="CD314" s="276"/>
      <c r="CH314" s="276"/>
      <c r="CJ314" s="276"/>
      <c r="CK314" s="276"/>
      <c r="CL314" s="276"/>
      <c r="CM314" s="276"/>
      <c r="CN314" s="276"/>
      <c r="CO314" s="276"/>
      <c r="CP314" s="276"/>
      <c r="CQ314" s="276"/>
      <c r="CU314" s="276"/>
    </row>
    <row r="315" spans="75:99" ht="15.75">
      <c r="BW315" s="276"/>
      <c r="BY315" s="276"/>
      <c r="BZ315" s="276"/>
      <c r="CA315" s="276"/>
      <c r="CB315" s="276"/>
      <c r="CC315" s="276"/>
      <c r="CD315" s="276"/>
      <c r="CH315" s="276"/>
      <c r="CJ315" s="276"/>
      <c r="CK315" s="276"/>
      <c r="CL315" s="276"/>
      <c r="CM315" s="276"/>
      <c r="CN315" s="276"/>
      <c r="CO315" s="276"/>
      <c r="CP315" s="276"/>
      <c r="CQ315" s="276"/>
      <c r="CU315" s="276"/>
    </row>
    <row r="316" spans="75:99" ht="15.75">
      <c r="BW316" s="276"/>
      <c r="BY316" s="276"/>
      <c r="BZ316" s="276"/>
      <c r="CA316" s="276"/>
      <c r="CB316" s="276"/>
      <c r="CC316" s="276"/>
      <c r="CD316" s="276"/>
      <c r="CH316" s="276"/>
      <c r="CJ316" s="276"/>
      <c r="CK316" s="276"/>
      <c r="CL316" s="276"/>
      <c r="CM316" s="276"/>
      <c r="CN316" s="276"/>
      <c r="CO316" s="276"/>
      <c r="CP316" s="276"/>
      <c r="CQ316" s="276"/>
      <c r="CU316" s="276"/>
    </row>
    <row r="317" spans="75:99" ht="15.75">
      <c r="BW317" s="276"/>
      <c r="BY317" s="276"/>
      <c r="BZ317" s="276"/>
      <c r="CA317" s="276"/>
      <c r="CB317" s="276"/>
      <c r="CC317" s="276"/>
      <c r="CD317" s="276"/>
      <c r="CH317" s="276"/>
      <c r="CJ317" s="276"/>
      <c r="CK317" s="276"/>
      <c r="CL317" s="276"/>
      <c r="CM317" s="276"/>
      <c r="CN317" s="276"/>
      <c r="CO317" s="276"/>
      <c r="CP317" s="276"/>
      <c r="CQ317" s="276"/>
      <c r="CU317" s="276"/>
    </row>
    <row r="318" spans="75:99" ht="15.75">
      <c r="BW318" s="276"/>
      <c r="BY318" s="276"/>
      <c r="BZ318" s="276"/>
      <c r="CA318" s="276"/>
      <c r="CB318" s="276"/>
      <c r="CC318" s="276"/>
      <c r="CD318" s="276"/>
      <c r="CH318" s="276"/>
      <c r="CJ318" s="276"/>
      <c r="CK318" s="276"/>
      <c r="CL318" s="276"/>
      <c r="CM318" s="276"/>
      <c r="CN318" s="276"/>
      <c r="CO318" s="276"/>
      <c r="CP318" s="276"/>
      <c r="CQ318" s="276"/>
      <c r="CU318" s="276"/>
    </row>
    <row r="319" spans="75:99" ht="15.75">
      <c r="BW319" s="276"/>
      <c r="BY319" s="276"/>
      <c r="BZ319" s="276"/>
      <c r="CA319" s="276"/>
      <c r="CB319" s="276"/>
      <c r="CC319" s="276"/>
      <c r="CD319" s="276"/>
      <c r="CH319" s="276"/>
      <c r="CJ319" s="276"/>
      <c r="CK319" s="276"/>
      <c r="CL319" s="276"/>
      <c r="CM319" s="276"/>
      <c r="CN319" s="276"/>
      <c r="CO319" s="276"/>
      <c r="CP319" s="276"/>
      <c r="CQ319" s="276"/>
      <c r="CU319" s="276"/>
    </row>
    <row r="320" spans="75:99" ht="15.75">
      <c r="BW320" s="276"/>
      <c r="BY320" s="276"/>
      <c r="BZ320" s="276"/>
      <c r="CA320" s="276"/>
      <c r="CB320" s="276"/>
      <c r="CC320" s="276"/>
      <c r="CD320" s="276"/>
      <c r="CH320" s="276"/>
      <c r="CJ320" s="276"/>
      <c r="CK320" s="276"/>
      <c r="CL320" s="276"/>
      <c r="CM320" s="276"/>
      <c r="CN320" s="276"/>
      <c r="CO320" s="276"/>
      <c r="CP320" s="276"/>
      <c r="CQ320" s="276"/>
      <c r="CU320" s="276"/>
    </row>
    <row r="321" spans="75:99" ht="15.75">
      <c r="BW321" s="276"/>
      <c r="BY321" s="276"/>
      <c r="BZ321" s="276"/>
      <c r="CA321" s="276"/>
      <c r="CB321" s="276"/>
      <c r="CC321" s="276"/>
      <c r="CD321" s="276"/>
      <c r="CH321" s="276"/>
      <c r="CJ321" s="276"/>
      <c r="CK321" s="276"/>
      <c r="CL321" s="276"/>
      <c r="CM321" s="276"/>
      <c r="CN321" s="276"/>
      <c r="CO321" s="276"/>
      <c r="CP321" s="276"/>
      <c r="CQ321" s="276"/>
      <c r="CU321" s="276"/>
    </row>
    <row r="322" spans="75:99" ht="15.75">
      <c r="BW322" s="276"/>
      <c r="BY322" s="276"/>
      <c r="BZ322" s="276"/>
      <c r="CA322" s="276"/>
      <c r="CB322" s="276"/>
      <c r="CC322" s="276"/>
      <c r="CD322" s="276"/>
      <c r="CH322" s="276"/>
      <c r="CJ322" s="276"/>
      <c r="CK322" s="276"/>
      <c r="CL322" s="276"/>
      <c r="CM322" s="276"/>
      <c r="CN322" s="276"/>
      <c r="CO322" s="276"/>
      <c r="CP322" s="276"/>
      <c r="CQ322" s="276"/>
      <c r="CU322" s="276"/>
    </row>
    <row r="323" spans="75:99" ht="15.75">
      <c r="BW323" s="276"/>
      <c r="BY323" s="276"/>
      <c r="BZ323" s="276"/>
      <c r="CA323" s="276"/>
      <c r="CB323" s="276"/>
      <c r="CC323" s="276"/>
      <c r="CD323" s="276"/>
      <c r="CH323" s="276"/>
      <c r="CJ323" s="276"/>
      <c r="CK323" s="276"/>
      <c r="CL323" s="276"/>
      <c r="CM323" s="276"/>
      <c r="CN323" s="276"/>
      <c r="CO323" s="276"/>
      <c r="CP323" s="276"/>
      <c r="CQ323" s="276"/>
      <c r="CU323" s="276"/>
    </row>
    <row r="324" spans="75:99" ht="15.75">
      <c r="BW324" s="276"/>
      <c r="BY324" s="276"/>
      <c r="BZ324" s="276"/>
      <c r="CA324" s="276"/>
      <c r="CB324" s="276"/>
      <c r="CC324" s="276"/>
      <c r="CD324" s="276"/>
      <c r="CH324" s="276"/>
      <c r="CJ324" s="276"/>
      <c r="CK324" s="276"/>
      <c r="CL324" s="276"/>
      <c r="CM324" s="276"/>
      <c r="CN324" s="276"/>
      <c r="CO324" s="276"/>
      <c r="CP324" s="276"/>
      <c r="CQ324" s="276"/>
      <c r="CU324" s="276"/>
    </row>
    <row r="325" spans="75:99" ht="15.75">
      <c r="BW325" s="276"/>
      <c r="BY325" s="276"/>
      <c r="BZ325" s="276"/>
      <c r="CA325" s="276"/>
      <c r="CB325" s="276"/>
      <c r="CC325" s="276"/>
      <c r="CD325" s="276"/>
      <c r="CH325" s="276"/>
      <c r="CJ325" s="276"/>
      <c r="CK325" s="276"/>
      <c r="CL325" s="276"/>
      <c r="CM325" s="276"/>
      <c r="CN325" s="276"/>
      <c r="CO325" s="276"/>
      <c r="CP325" s="276"/>
      <c r="CQ325" s="276"/>
      <c r="CU325" s="276"/>
    </row>
    <row r="326" spans="75:99" ht="15.75">
      <c r="BW326" s="276"/>
      <c r="BY326" s="276"/>
      <c r="BZ326" s="276"/>
      <c r="CA326" s="276"/>
      <c r="CB326" s="276"/>
      <c r="CC326" s="276"/>
      <c r="CD326" s="276"/>
      <c r="CH326" s="276"/>
      <c r="CJ326" s="276"/>
      <c r="CK326" s="276"/>
      <c r="CL326" s="276"/>
      <c r="CM326" s="276"/>
      <c r="CN326" s="276"/>
      <c r="CO326" s="276"/>
      <c r="CP326" s="276"/>
      <c r="CQ326" s="276"/>
      <c r="CU326" s="276"/>
    </row>
    <row r="327" spans="75:99" ht="15.75">
      <c r="BW327" s="276"/>
      <c r="BY327" s="276"/>
      <c r="BZ327" s="276"/>
      <c r="CA327" s="276"/>
      <c r="CB327" s="276"/>
      <c r="CC327" s="276"/>
      <c r="CD327" s="276"/>
      <c r="CH327" s="276"/>
      <c r="CJ327" s="276"/>
      <c r="CK327" s="276"/>
      <c r="CL327" s="276"/>
      <c r="CM327" s="276"/>
      <c r="CN327" s="276"/>
      <c r="CO327" s="276"/>
      <c r="CP327" s="276"/>
      <c r="CQ327" s="276"/>
      <c r="CU327" s="276"/>
    </row>
    <row r="328" spans="75:99" ht="15.75">
      <c r="BW328" s="276"/>
      <c r="BY328" s="276"/>
      <c r="BZ328" s="276"/>
      <c r="CA328" s="276"/>
      <c r="CB328" s="276"/>
      <c r="CC328" s="276"/>
      <c r="CD328" s="276"/>
      <c r="CH328" s="276"/>
      <c r="CJ328" s="276"/>
      <c r="CK328" s="276"/>
      <c r="CL328" s="276"/>
      <c r="CM328" s="276"/>
      <c r="CN328" s="276"/>
      <c r="CO328" s="276"/>
      <c r="CP328" s="276"/>
      <c r="CQ328" s="276"/>
      <c r="CU328" s="276"/>
    </row>
    <row r="329" spans="75:99" ht="15.75">
      <c r="BW329" s="276"/>
      <c r="BY329" s="276"/>
      <c r="BZ329" s="276"/>
      <c r="CA329" s="276"/>
      <c r="CB329" s="276"/>
      <c r="CC329" s="276"/>
      <c r="CD329" s="276"/>
      <c r="CH329" s="276"/>
      <c r="CJ329" s="276"/>
      <c r="CK329" s="276"/>
      <c r="CL329" s="276"/>
      <c r="CM329" s="276"/>
      <c r="CN329" s="276"/>
      <c r="CO329" s="276"/>
      <c r="CP329" s="276"/>
      <c r="CQ329" s="276"/>
      <c r="CU329" s="276"/>
    </row>
    <row r="330" spans="75:99" ht="15.75">
      <c r="BW330" s="276"/>
      <c r="BY330" s="276"/>
      <c r="BZ330" s="276"/>
      <c r="CA330" s="276"/>
      <c r="CB330" s="276"/>
      <c r="CC330" s="276"/>
      <c r="CD330" s="276"/>
      <c r="CH330" s="276"/>
      <c r="CJ330" s="276"/>
      <c r="CK330" s="276"/>
      <c r="CL330" s="276"/>
      <c r="CM330" s="276"/>
      <c r="CN330" s="276"/>
      <c r="CO330" s="276"/>
      <c r="CP330" s="276"/>
      <c r="CQ330" s="276"/>
      <c r="CU330" s="276"/>
    </row>
    <row r="331" spans="75:99" ht="15.75">
      <c r="BW331" s="276"/>
      <c r="BY331" s="276"/>
      <c r="BZ331" s="276"/>
      <c r="CA331" s="276"/>
      <c r="CB331" s="276"/>
      <c r="CC331" s="276"/>
      <c r="CD331" s="276"/>
      <c r="CH331" s="276"/>
      <c r="CJ331" s="276"/>
      <c r="CK331" s="276"/>
      <c r="CL331" s="276"/>
      <c r="CM331" s="276"/>
      <c r="CN331" s="276"/>
      <c r="CO331" s="276"/>
      <c r="CP331" s="276"/>
      <c r="CQ331" s="276"/>
      <c r="CU331" s="276"/>
    </row>
    <row r="332" spans="75:99" ht="15.75">
      <c r="BW332" s="276"/>
      <c r="BY332" s="276"/>
      <c r="BZ332" s="276"/>
      <c r="CA332" s="276"/>
      <c r="CB332" s="276"/>
      <c r="CC332" s="276"/>
      <c r="CD332" s="276"/>
      <c r="CH332" s="276"/>
      <c r="CJ332" s="276"/>
      <c r="CK332" s="276"/>
      <c r="CL332" s="276"/>
      <c r="CM332" s="276"/>
      <c r="CN332" s="276"/>
      <c r="CO332" s="276"/>
      <c r="CP332" s="276"/>
      <c r="CQ332" s="276"/>
      <c r="CU332" s="276"/>
    </row>
    <row r="333" spans="75:99" ht="15.75">
      <c r="BW333" s="276"/>
      <c r="BY333" s="276"/>
      <c r="BZ333" s="276"/>
      <c r="CA333" s="276"/>
      <c r="CB333" s="276"/>
      <c r="CC333" s="276"/>
      <c r="CD333" s="276"/>
      <c r="CH333" s="276"/>
      <c r="CJ333" s="276"/>
      <c r="CK333" s="276"/>
      <c r="CL333" s="276"/>
      <c r="CM333" s="276"/>
      <c r="CN333" s="276"/>
      <c r="CO333" s="276"/>
      <c r="CP333" s="276"/>
      <c r="CQ333" s="276"/>
      <c r="CU333" s="276"/>
    </row>
    <row r="334" spans="75:99" ht="15.75">
      <c r="BW334" s="276"/>
      <c r="BY334" s="276"/>
      <c r="BZ334" s="276"/>
      <c r="CA334" s="276"/>
      <c r="CB334" s="276"/>
      <c r="CC334" s="276"/>
      <c r="CD334" s="276"/>
      <c r="CH334" s="276"/>
      <c r="CJ334" s="276"/>
      <c r="CK334" s="276"/>
      <c r="CL334" s="276"/>
      <c r="CM334" s="276"/>
      <c r="CN334" s="276"/>
      <c r="CO334" s="276"/>
      <c r="CP334" s="276"/>
      <c r="CQ334" s="276"/>
      <c r="CU334" s="276"/>
    </row>
    <row r="335" spans="75:99" ht="15.75">
      <c r="BW335" s="276"/>
      <c r="BY335" s="276"/>
      <c r="BZ335" s="276"/>
      <c r="CA335" s="276"/>
      <c r="CB335" s="276"/>
      <c r="CC335" s="276"/>
      <c r="CD335" s="276"/>
      <c r="CH335" s="276"/>
      <c r="CJ335" s="276"/>
      <c r="CK335" s="276"/>
      <c r="CL335" s="276"/>
      <c r="CM335" s="276"/>
      <c r="CN335" s="276"/>
      <c r="CO335" s="276"/>
      <c r="CP335" s="276"/>
      <c r="CQ335" s="276"/>
      <c r="CU335" s="276"/>
    </row>
    <row r="336" spans="75:99" ht="15.75">
      <c r="BW336" s="276"/>
      <c r="BY336" s="276"/>
      <c r="BZ336" s="276"/>
      <c r="CA336" s="276"/>
      <c r="CB336" s="276"/>
      <c r="CC336" s="276"/>
      <c r="CD336" s="276"/>
      <c r="CH336" s="276"/>
      <c r="CJ336" s="276"/>
      <c r="CK336" s="276"/>
      <c r="CL336" s="276"/>
      <c r="CM336" s="276"/>
      <c r="CN336" s="276"/>
      <c r="CO336" s="276"/>
      <c r="CP336" s="276"/>
      <c r="CQ336" s="276"/>
      <c r="CU336" s="276"/>
    </row>
    <row r="337" spans="75:99" ht="15.75">
      <c r="BW337" s="276"/>
      <c r="BY337" s="276"/>
      <c r="BZ337" s="276"/>
      <c r="CA337" s="276"/>
      <c r="CB337" s="276"/>
      <c r="CC337" s="276"/>
      <c r="CD337" s="276"/>
      <c r="CH337" s="276"/>
      <c r="CJ337" s="276"/>
      <c r="CK337" s="276"/>
      <c r="CL337" s="276"/>
      <c r="CM337" s="276"/>
      <c r="CN337" s="276"/>
      <c r="CO337" s="276"/>
      <c r="CP337" s="276"/>
      <c r="CQ337" s="276"/>
      <c r="CU337" s="276"/>
    </row>
    <row r="338" spans="75:99" ht="15.75">
      <c r="BW338" s="276"/>
      <c r="BY338" s="276"/>
      <c r="BZ338" s="276"/>
      <c r="CA338" s="276"/>
      <c r="CB338" s="276"/>
      <c r="CC338" s="276"/>
      <c r="CD338" s="276"/>
      <c r="CH338" s="276"/>
      <c r="CJ338" s="276"/>
      <c r="CK338" s="276"/>
      <c r="CL338" s="276"/>
      <c r="CM338" s="276"/>
      <c r="CN338" s="276"/>
      <c r="CO338" s="276"/>
      <c r="CP338" s="276"/>
      <c r="CQ338" s="276"/>
      <c r="CU338" s="276"/>
    </row>
    <row r="339" spans="75:99" ht="15.75">
      <c r="BW339" s="276"/>
      <c r="BY339" s="276"/>
      <c r="BZ339" s="276"/>
      <c r="CA339" s="276"/>
      <c r="CB339" s="276"/>
      <c r="CC339" s="276"/>
      <c r="CD339" s="276"/>
      <c r="CH339" s="276"/>
      <c r="CJ339" s="276"/>
      <c r="CK339" s="276"/>
      <c r="CL339" s="276"/>
      <c r="CM339" s="276"/>
      <c r="CN339" s="276"/>
      <c r="CO339" s="276"/>
      <c r="CP339" s="276"/>
      <c r="CQ339" s="276"/>
      <c r="CU339" s="276"/>
    </row>
    <row r="340" spans="75:99" ht="15.75">
      <c r="BW340" s="276"/>
      <c r="BY340" s="276"/>
      <c r="BZ340" s="276"/>
      <c r="CA340" s="276"/>
      <c r="CB340" s="276"/>
      <c r="CC340" s="276"/>
      <c r="CD340" s="276"/>
      <c r="CH340" s="276"/>
      <c r="CJ340" s="276"/>
      <c r="CK340" s="276"/>
      <c r="CL340" s="276"/>
      <c r="CM340" s="276"/>
      <c r="CN340" s="276"/>
      <c r="CO340" s="276"/>
      <c r="CP340" s="276"/>
      <c r="CQ340" s="276"/>
      <c r="CU340" s="276"/>
    </row>
    <row r="341" spans="75:99" ht="15.75">
      <c r="BW341" s="276"/>
      <c r="BY341" s="276"/>
      <c r="BZ341" s="276"/>
      <c r="CA341" s="276"/>
      <c r="CB341" s="276"/>
      <c r="CC341" s="276"/>
      <c r="CD341" s="276"/>
      <c r="CH341" s="276"/>
      <c r="CJ341" s="276"/>
      <c r="CK341" s="276"/>
      <c r="CL341" s="276"/>
      <c r="CM341" s="276"/>
      <c r="CN341" s="276"/>
      <c r="CO341" s="276"/>
      <c r="CP341" s="276"/>
      <c r="CQ341" s="276"/>
      <c r="CU341" s="276"/>
    </row>
    <row r="342" spans="75:99" ht="15.75">
      <c r="BW342" s="276"/>
      <c r="BY342" s="276"/>
      <c r="BZ342" s="276"/>
      <c r="CA342" s="276"/>
      <c r="CB342" s="276"/>
      <c r="CC342" s="276"/>
      <c r="CD342" s="276"/>
      <c r="CH342" s="276"/>
      <c r="CJ342" s="276"/>
      <c r="CK342" s="276"/>
      <c r="CL342" s="276"/>
      <c r="CM342" s="276"/>
      <c r="CN342" s="276"/>
      <c r="CO342" s="276"/>
      <c r="CP342" s="276"/>
      <c r="CQ342" s="276"/>
      <c r="CU342" s="276"/>
    </row>
    <row r="343" spans="75:99" ht="15.75">
      <c r="BW343" s="276"/>
      <c r="BY343" s="276"/>
      <c r="BZ343" s="276"/>
      <c r="CA343" s="276"/>
      <c r="CB343" s="276"/>
      <c r="CC343" s="276"/>
      <c r="CD343" s="276"/>
      <c r="CH343" s="276"/>
      <c r="CJ343" s="276"/>
      <c r="CK343" s="276"/>
      <c r="CL343" s="276"/>
      <c r="CM343" s="276"/>
      <c r="CN343" s="276"/>
      <c r="CO343" s="276"/>
      <c r="CP343" s="276"/>
      <c r="CQ343" s="276"/>
      <c r="CU343" s="276"/>
    </row>
    <row r="344" spans="75:99" ht="15.75">
      <c r="BW344" s="276"/>
      <c r="BY344" s="276"/>
      <c r="BZ344" s="276"/>
      <c r="CA344" s="276"/>
      <c r="CB344" s="276"/>
      <c r="CC344" s="276"/>
      <c r="CD344" s="276"/>
      <c r="CH344" s="276"/>
      <c r="CJ344" s="276"/>
      <c r="CK344" s="276"/>
      <c r="CL344" s="276"/>
      <c r="CM344" s="276"/>
      <c r="CN344" s="276"/>
      <c r="CO344" s="276"/>
      <c r="CP344" s="276"/>
      <c r="CQ344" s="276"/>
      <c r="CU344" s="276"/>
    </row>
    <row r="345" spans="75:99" ht="15.75">
      <c r="BW345" s="276"/>
      <c r="BY345" s="276"/>
      <c r="BZ345" s="276"/>
      <c r="CA345" s="276"/>
      <c r="CB345" s="276"/>
      <c r="CC345" s="276"/>
      <c r="CD345" s="276"/>
      <c r="CH345" s="276"/>
      <c r="CJ345" s="276"/>
      <c r="CK345" s="276"/>
      <c r="CL345" s="276"/>
      <c r="CM345" s="276"/>
      <c r="CN345" s="276"/>
      <c r="CO345" s="276"/>
      <c r="CP345" s="276"/>
      <c r="CQ345" s="276"/>
      <c r="CU345" s="276"/>
    </row>
    <row r="346" spans="75:99" ht="15.75">
      <c r="BW346" s="276"/>
      <c r="BY346" s="276"/>
      <c r="BZ346" s="276"/>
      <c r="CA346" s="276"/>
      <c r="CB346" s="276"/>
      <c r="CC346" s="276"/>
      <c r="CD346" s="276"/>
      <c r="CH346" s="276"/>
      <c r="CJ346" s="276"/>
      <c r="CK346" s="276"/>
      <c r="CL346" s="276"/>
      <c r="CM346" s="276"/>
      <c r="CN346" s="276"/>
      <c r="CO346" s="276"/>
      <c r="CP346" s="276"/>
      <c r="CQ346" s="276"/>
      <c r="CU346" s="276"/>
    </row>
    <row r="347" spans="75:99" ht="15.75">
      <c r="BW347" s="276"/>
      <c r="BY347" s="276"/>
      <c r="BZ347" s="276"/>
      <c r="CA347" s="276"/>
      <c r="CB347" s="276"/>
      <c r="CC347" s="276"/>
      <c r="CD347" s="276"/>
      <c r="CH347" s="276"/>
      <c r="CJ347" s="276"/>
      <c r="CK347" s="276"/>
      <c r="CL347" s="276"/>
      <c r="CM347" s="276"/>
      <c r="CN347" s="276"/>
      <c r="CO347" s="276"/>
      <c r="CP347" s="276"/>
      <c r="CQ347" s="276"/>
      <c r="CU347" s="276"/>
    </row>
    <row r="348" spans="75:99" ht="15.75">
      <c r="BW348" s="276"/>
      <c r="BY348" s="276"/>
      <c r="BZ348" s="276"/>
      <c r="CA348" s="276"/>
      <c r="CB348" s="276"/>
      <c r="CC348" s="276"/>
      <c r="CD348" s="276"/>
      <c r="CH348" s="276"/>
      <c r="CJ348" s="276"/>
      <c r="CK348" s="276"/>
      <c r="CL348" s="276"/>
      <c r="CM348" s="276"/>
      <c r="CN348" s="276"/>
      <c r="CO348" s="276"/>
      <c r="CP348" s="276"/>
      <c r="CQ348" s="276"/>
      <c r="CU348" s="276"/>
    </row>
    <row r="349" spans="75:99" ht="15.75">
      <c r="BW349" s="276"/>
      <c r="BY349" s="276"/>
      <c r="BZ349" s="276"/>
      <c r="CA349" s="276"/>
      <c r="CB349" s="276"/>
      <c r="CC349" s="276"/>
      <c r="CD349" s="276"/>
      <c r="CH349" s="276"/>
      <c r="CJ349" s="276"/>
      <c r="CK349" s="276"/>
      <c r="CL349" s="276"/>
      <c r="CM349" s="276"/>
      <c r="CN349" s="276"/>
      <c r="CO349" s="276"/>
      <c r="CP349" s="276"/>
      <c r="CQ349" s="276"/>
      <c r="CU349" s="276"/>
    </row>
    <row r="350" spans="75:99" ht="15.75">
      <c r="BW350" s="276"/>
      <c r="BY350" s="276"/>
      <c r="BZ350" s="276"/>
      <c r="CA350" s="276"/>
      <c r="CB350" s="276"/>
      <c r="CC350" s="276"/>
      <c r="CD350" s="276"/>
      <c r="CH350" s="276"/>
      <c r="CJ350" s="276"/>
      <c r="CK350" s="276"/>
      <c r="CL350" s="276"/>
      <c r="CM350" s="276"/>
      <c r="CN350" s="276"/>
      <c r="CO350" s="276"/>
      <c r="CP350" s="276"/>
      <c r="CQ350" s="276"/>
      <c r="CU350" s="276"/>
    </row>
    <row r="351" spans="75:99" ht="15.75">
      <c r="BW351" s="276"/>
      <c r="BY351" s="276"/>
      <c r="BZ351" s="276"/>
      <c r="CA351" s="276"/>
      <c r="CB351" s="276"/>
      <c r="CC351" s="276"/>
      <c r="CD351" s="276"/>
      <c r="CH351" s="276"/>
      <c r="CJ351" s="276"/>
      <c r="CK351" s="276"/>
      <c r="CL351" s="276"/>
      <c r="CM351" s="276"/>
      <c r="CN351" s="276"/>
      <c r="CO351" s="276"/>
      <c r="CP351" s="276"/>
      <c r="CQ351" s="276"/>
      <c r="CU351" s="276"/>
    </row>
    <row r="352" spans="75:99" ht="15.75">
      <c r="BW352" s="276"/>
      <c r="BY352" s="276"/>
      <c r="BZ352" s="276"/>
      <c r="CA352" s="276"/>
      <c r="CB352" s="276"/>
      <c r="CC352" s="276"/>
      <c r="CD352" s="276"/>
      <c r="CH352" s="276"/>
      <c r="CJ352" s="276"/>
      <c r="CK352" s="276"/>
      <c r="CL352" s="276"/>
      <c r="CM352" s="276"/>
      <c r="CN352" s="276"/>
      <c r="CO352" s="276"/>
      <c r="CP352" s="276"/>
      <c r="CQ352" s="276"/>
      <c r="CU352" s="276"/>
    </row>
    <row r="353" spans="75:99" ht="15.75">
      <c r="BW353" s="276"/>
      <c r="BY353" s="276"/>
      <c r="BZ353" s="276"/>
      <c r="CA353" s="276"/>
      <c r="CB353" s="276"/>
      <c r="CC353" s="276"/>
      <c r="CD353" s="276"/>
      <c r="CH353" s="276"/>
      <c r="CJ353" s="276"/>
      <c r="CK353" s="276"/>
      <c r="CL353" s="276"/>
      <c r="CM353" s="276"/>
      <c r="CN353" s="276"/>
      <c r="CO353" s="276"/>
      <c r="CP353" s="276"/>
      <c r="CQ353" s="276"/>
      <c r="CU353" s="276"/>
    </row>
    <row r="354" spans="75:99" ht="15.75">
      <c r="BW354" s="276"/>
      <c r="BY354" s="276"/>
      <c r="BZ354" s="276"/>
      <c r="CA354" s="276"/>
      <c r="CB354" s="276"/>
      <c r="CC354" s="276"/>
      <c r="CD354" s="276"/>
      <c r="CH354" s="276"/>
      <c r="CJ354" s="276"/>
      <c r="CK354" s="276"/>
      <c r="CL354" s="276"/>
      <c r="CM354" s="276"/>
      <c r="CN354" s="276"/>
      <c r="CO354" s="276"/>
      <c r="CP354" s="276"/>
      <c r="CQ354" s="276"/>
      <c r="CU354" s="276"/>
    </row>
    <row r="355" spans="75:99" ht="15.75">
      <c r="BW355" s="276"/>
      <c r="BY355" s="276"/>
      <c r="BZ355" s="276"/>
      <c r="CA355" s="276"/>
      <c r="CB355" s="276"/>
      <c r="CC355" s="276"/>
      <c r="CD355" s="276"/>
      <c r="CH355" s="276"/>
      <c r="CJ355" s="276"/>
      <c r="CK355" s="276"/>
      <c r="CL355" s="276"/>
      <c r="CM355" s="276"/>
      <c r="CN355" s="276"/>
      <c r="CO355" s="276"/>
      <c r="CP355" s="276"/>
      <c r="CQ355" s="276"/>
      <c r="CU355" s="276"/>
    </row>
    <row r="356" spans="75:99" ht="15.75">
      <c r="BW356" s="276"/>
      <c r="BY356" s="276"/>
      <c r="BZ356" s="276"/>
      <c r="CA356" s="276"/>
      <c r="CB356" s="276"/>
      <c r="CC356" s="276"/>
      <c r="CD356" s="276"/>
      <c r="CH356" s="276"/>
      <c r="CJ356" s="276"/>
      <c r="CK356" s="276"/>
      <c r="CL356" s="276"/>
      <c r="CM356" s="276"/>
      <c r="CN356" s="276"/>
      <c r="CO356" s="276"/>
      <c r="CP356" s="276"/>
      <c r="CQ356" s="276"/>
      <c r="CU356" s="276"/>
    </row>
    <row r="357" spans="75:99" ht="15.75">
      <c r="BW357" s="276"/>
      <c r="BY357" s="276"/>
      <c r="BZ357" s="276"/>
      <c r="CA357" s="276"/>
      <c r="CB357" s="276"/>
      <c r="CC357" s="276"/>
      <c r="CD357" s="276"/>
      <c r="CH357" s="276"/>
      <c r="CJ357" s="276"/>
      <c r="CK357" s="276"/>
      <c r="CL357" s="276"/>
      <c r="CM357" s="276"/>
      <c r="CN357" s="276"/>
      <c r="CO357" s="276"/>
      <c r="CP357" s="276"/>
      <c r="CQ357" s="276"/>
      <c r="CU357" s="276"/>
    </row>
    <row r="358" spans="75:99" ht="15.75">
      <c r="BW358" s="276"/>
      <c r="BY358" s="276"/>
      <c r="BZ358" s="276"/>
      <c r="CA358" s="276"/>
      <c r="CB358" s="276"/>
      <c r="CC358" s="276"/>
      <c r="CD358" s="276"/>
      <c r="CH358" s="276"/>
      <c r="CJ358" s="276"/>
      <c r="CK358" s="276"/>
      <c r="CL358" s="276"/>
      <c r="CM358" s="276"/>
      <c r="CN358" s="276"/>
      <c r="CO358" s="276"/>
      <c r="CP358" s="276"/>
      <c r="CQ358" s="276"/>
      <c r="CU358" s="276"/>
    </row>
    <row r="359" spans="75:99" ht="15.75">
      <c r="BW359" s="276"/>
      <c r="BY359" s="276"/>
      <c r="BZ359" s="276"/>
      <c r="CA359" s="276"/>
      <c r="CB359" s="276"/>
      <c r="CC359" s="276"/>
      <c r="CD359" s="276"/>
      <c r="CH359" s="276"/>
      <c r="CJ359" s="276"/>
      <c r="CK359" s="276"/>
      <c r="CL359" s="276"/>
      <c r="CM359" s="276"/>
      <c r="CN359" s="276"/>
      <c r="CO359" s="276"/>
      <c r="CP359" s="276"/>
      <c r="CQ359" s="276"/>
      <c r="CU359" s="276"/>
    </row>
    <row r="360" spans="75:99" ht="15.75">
      <c r="BW360" s="276"/>
      <c r="BY360" s="276"/>
      <c r="BZ360" s="276"/>
      <c r="CA360" s="276"/>
      <c r="CB360" s="276"/>
      <c r="CC360" s="276"/>
      <c r="CD360" s="276"/>
      <c r="CH360" s="276"/>
      <c r="CJ360" s="276"/>
      <c r="CK360" s="276"/>
      <c r="CL360" s="276"/>
      <c r="CM360" s="276"/>
      <c r="CN360" s="276"/>
      <c r="CO360" s="276"/>
      <c r="CP360" s="276"/>
      <c r="CQ360" s="276"/>
      <c r="CU360" s="276"/>
    </row>
    <row r="361" spans="75:99" ht="15.75">
      <c r="BW361" s="276"/>
      <c r="BY361" s="276"/>
      <c r="BZ361" s="276"/>
      <c r="CA361" s="276"/>
      <c r="CB361" s="276"/>
      <c r="CC361" s="276"/>
      <c r="CD361" s="276"/>
      <c r="CH361" s="276"/>
      <c r="CJ361" s="276"/>
      <c r="CK361" s="276"/>
      <c r="CL361" s="276"/>
      <c r="CM361" s="276"/>
      <c r="CN361" s="276"/>
      <c r="CO361" s="276"/>
      <c r="CP361" s="276"/>
      <c r="CQ361" s="276"/>
      <c r="CU361" s="276"/>
    </row>
    <row r="362" spans="75:99" ht="15.75">
      <c r="BW362" s="276"/>
      <c r="BY362" s="276"/>
      <c r="BZ362" s="276"/>
      <c r="CA362" s="276"/>
      <c r="CB362" s="276"/>
      <c r="CC362" s="276"/>
      <c r="CD362" s="276"/>
      <c r="CH362" s="276"/>
      <c r="CJ362" s="276"/>
      <c r="CK362" s="276"/>
      <c r="CL362" s="276"/>
      <c r="CM362" s="276"/>
      <c r="CN362" s="276"/>
      <c r="CO362" s="276"/>
      <c r="CP362" s="276"/>
      <c r="CQ362" s="276"/>
      <c r="CU362" s="276"/>
    </row>
    <row r="363" spans="75:99" ht="15.75">
      <c r="BW363" s="276"/>
      <c r="BY363" s="276"/>
      <c r="BZ363" s="276"/>
      <c r="CA363" s="276"/>
      <c r="CB363" s="276"/>
      <c r="CC363" s="276"/>
      <c r="CD363" s="276"/>
      <c r="CH363" s="276"/>
      <c r="CJ363" s="276"/>
      <c r="CK363" s="276"/>
      <c r="CL363" s="276"/>
      <c r="CM363" s="276"/>
      <c r="CN363" s="276"/>
      <c r="CO363" s="276"/>
      <c r="CP363" s="276"/>
      <c r="CQ363" s="276"/>
      <c r="CU363" s="276"/>
    </row>
    <row r="364" spans="75:99" ht="15.75">
      <c r="BW364" s="276"/>
      <c r="BY364" s="276"/>
      <c r="BZ364" s="276"/>
      <c r="CA364" s="276"/>
      <c r="CB364" s="276"/>
      <c r="CC364" s="276"/>
      <c r="CD364" s="276"/>
      <c r="CH364" s="276"/>
      <c r="CJ364" s="276"/>
      <c r="CK364" s="276"/>
      <c r="CL364" s="276"/>
      <c r="CM364" s="276"/>
      <c r="CN364" s="276"/>
      <c r="CO364" s="276"/>
      <c r="CP364" s="276"/>
      <c r="CQ364" s="276"/>
      <c r="CU364" s="276"/>
    </row>
    <row r="365" spans="75:99" ht="15.75">
      <c r="BW365" s="276"/>
      <c r="BY365" s="276"/>
      <c r="BZ365" s="276"/>
      <c r="CA365" s="276"/>
      <c r="CB365" s="276"/>
      <c r="CC365" s="276"/>
      <c r="CD365" s="276"/>
      <c r="CH365" s="276"/>
      <c r="CJ365" s="276"/>
      <c r="CK365" s="276"/>
      <c r="CL365" s="276"/>
      <c r="CM365" s="276"/>
      <c r="CN365" s="276"/>
      <c r="CO365" s="276"/>
      <c r="CP365" s="276"/>
      <c r="CQ365" s="276"/>
      <c r="CU365" s="276"/>
    </row>
    <row r="366" spans="75:99" ht="15.75">
      <c r="BW366" s="276"/>
      <c r="BY366" s="276"/>
      <c r="BZ366" s="276"/>
      <c r="CA366" s="276"/>
      <c r="CB366" s="276"/>
      <c r="CC366" s="276"/>
      <c r="CD366" s="276"/>
      <c r="CH366" s="276"/>
      <c r="CJ366" s="276"/>
      <c r="CK366" s="276"/>
      <c r="CL366" s="276"/>
      <c r="CM366" s="276"/>
      <c r="CN366" s="276"/>
      <c r="CO366" s="276"/>
      <c r="CP366" s="276"/>
      <c r="CQ366" s="276"/>
      <c r="CU366" s="276"/>
    </row>
    <row r="367" spans="75:99" ht="15.75">
      <c r="BW367" s="276"/>
      <c r="BY367" s="276"/>
      <c r="BZ367" s="276"/>
      <c r="CA367" s="276"/>
      <c r="CB367" s="276"/>
      <c r="CC367" s="276"/>
      <c r="CD367" s="276"/>
      <c r="CH367" s="276"/>
      <c r="CJ367" s="276"/>
      <c r="CK367" s="276"/>
      <c r="CL367" s="276"/>
      <c r="CM367" s="276"/>
      <c r="CN367" s="276"/>
      <c r="CO367" s="276"/>
      <c r="CP367" s="276"/>
      <c r="CQ367" s="276"/>
      <c r="CU367" s="276"/>
    </row>
    <row r="368" spans="75:99" ht="15.75">
      <c r="BW368" s="276"/>
      <c r="BY368" s="276"/>
      <c r="BZ368" s="276"/>
      <c r="CA368" s="276"/>
      <c r="CB368" s="276"/>
      <c r="CC368" s="276"/>
      <c r="CD368" s="276"/>
      <c r="CH368" s="276"/>
      <c r="CJ368" s="276"/>
      <c r="CK368" s="276"/>
      <c r="CL368" s="276"/>
      <c r="CM368" s="276"/>
      <c r="CN368" s="276"/>
      <c r="CO368" s="276"/>
      <c r="CP368" s="276"/>
      <c r="CQ368" s="276"/>
      <c r="CU368" s="276"/>
    </row>
    <row r="369" spans="75:99" ht="15.75">
      <c r="BW369" s="276"/>
      <c r="BY369" s="276"/>
      <c r="BZ369" s="276"/>
      <c r="CA369" s="276"/>
      <c r="CB369" s="276"/>
      <c r="CC369" s="276"/>
      <c r="CD369" s="276"/>
      <c r="CH369" s="276"/>
      <c r="CJ369" s="276"/>
      <c r="CK369" s="276"/>
      <c r="CL369" s="276"/>
      <c r="CM369" s="276"/>
      <c r="CN369" s="276"/>
      <c r="CO369" s="276"/>
      <c r="CP369" s="276"/>
      <c r="CQ369" s="276"/>
      <c r="CU369" s="276"/>
    </row>
    <row r="370" spans="75:99" ht="15.75">
      <c r="BW370" s="276"/>
      <c r="BY370" s="276"/>
      <c r="BZ370" s="276"/>
      <c r="CA370" s="276"/>
      <c r="CB370" s="276"/>
      <c r="CC370" s="276"/>
      <c r="CD370" s="276"/>
      <c r="CH370" s="276"/>
      <c r="CJ370" s="276"/>
      <c r="CK370" s="276"/>
      <c r="CL370" s="276"/>
      <c r="CM370" s="276"/>
      <c r="CN370" s="276"/>
      <c r="CO370" s="276"/>
      <c r="CP370" s="276"/>
      <c r="CQ370" s="276"/>
      <c r="CU370" s="276"/>
    </row>
    <row r="371" spans="75:99" ht="15.75">
      <c r="BW371" s="276"/>
      <c r="BY371" s="276"/>
      <c r="BZ371" s="276"/>
      <c r="CA371" s="276"/>
      <c r="CB371" s="276"/>
      <c r="CC371" s="276"/>
      <c r="CD371" s="276"/>
      <c r="CH371" s="276"/>
      <c r="CJ371" s="276"/>
      <c r="CK371" s="276"/>
      <c r="CL371" s="276"/>
      <c r="CM371" s="276"/>
      <c r="CN371" s="276"/>
      <c r="CO371" s="276"/>
      <c r="CP371" s="276"/>
      <c r="CQ371" s="276"/>
      <c r="CU371" s="276"/>
    </row>
    <row r="372" spans="75:99" ht="15.75">
      <c r="BW372" s="276"/>
      <c r="BY372" s="276"/>
      <c r="BZ372" s="276"/>
      <c r="CA372" s="276"/>
      <c r="CB372" s="276"/>
      <c r="CC372" s="276"/>
      <c r="CD372" s="276"/>
      <c r="CH372" s="276"/>
      <c r="CJ372" s="276"/>
      <c r="CK372" s="276"/>
      <c r="CL372" s="276"/>
      <c r="CM372" s="276"/>
      <c r="CN372" s="276"/>
      <c r="CO372" s="276"/>
      <c r="CP372" s="276"/>
      <c r="CQ372" s="276"/>
      <c r="CU372" s="276"/>
    </row>
    <row r="373" spans="75:99" ht="15.75">
      <c r="BW373" s="276"/>
      <c r="BY373" s="276"/>
      <c r="BZ373" s="276"/>
      <c r="CA373" s="276"/>
      <c r="CB373" s="276"/>
      <c r="CC373" s="276"/>
      <c r="CD373" s="276"/>
      <c r="CH373" s="276"/>
      <c r="CJ373" s="276"/>
      <c r="CK373" s="276"/>
      <c r="CL373" s="276"/>
      <c r="CM373" s="276"/>
      <c r="CN373" s="276"/>
      <c r="CO373" s="276"/>
      <c r="CP373" s="276"/>
      <c r="CQ373" s="276"/>
      <c r="CU373" s="276"/>
    </row>
    <row r="374" spans="75:99" ht="15.75">
      <c r="BW374" s="276"/>
      <c r="BY374" s="276"/>
      <c r="BZ374" s="276"/>
      <c r="CA374" s="276"/>
      <c r="CB374" s="276"/>
      <c r="CC374" s="276"/>
      <c r="CD374" s="276"/>
      <c r="CH374" s="276"/>
      <c r="CJ374" s="276"/>
      <c r="CK374" s="276"/>
      <c r="CL374" s="276"/>
      <c r="CM374" s="276"/>
      <c r="CN374" s="276"/>
      <c r="CO374" s="276"/>
      <c r="CP374" s="276"/>
      <c r="CQ374" s="276"/>
      <c r="CU374" s="276"/>
    </row>
    <row r="375" spans="75:99" ht="15.75">
      <c r="BW375" s="276"/>
      <c r="BY375" s="276"/>
      <c r="BZ375" s="276"/>
      <c r="CA375" s="276"/>
      <c r="CB375" s="276"/>
      <c r="CC375" s="276"/>
      <c r="CD375" s="276"/>
      <c r="CH375" s="276"/>
      <c r="CJ375" s="276"/>
      <c r="CK375" s="276"/>
      <c r="CL375" s="276"/>
      <c r="CM375" s="276"/>
      <c r="CN375" s="276"/>
      <c r="CO375" s="276"/>
      <c r="CP375" s="276"/>
      <c r="CQ375" s="276"/>
      <c r="CU375" s="276"/>
    </row>
    <row r="376" spans="75:99" ht="15.75">
      <c r="BW376" s="276"/>
      <c r="BY376" s="276"/>
      <c r="BZ376" s="276"/>
      <c r="CA376" s="276"/>
      <c r="CB376" s="276"/>
      <c r="CC376" s="276"/>
      <c r="CD376" s="276"/>
      <c r="CH376" s="276"/>
      <c r="CJ376" s="276"/>
      <c r="CK376" s="276"/>
      <c r="CL376" s="276"/>
      <c r="CM376" s="276"/>
      <c r="CN376" s="276"/>
      <c r="CO376" s="276"/>
      <c r="CP376" s="276"/>
      <c r="CQ376" s="276"/>
      <c r="CU376" s="276"/>
    </row>
    <row r="377" spans="75:99" ht="15.75">
      <c r="BW377" s="276"/>
      <c r="BY377" s="276"/>
      <c r="BZ377" s="276"/>
      <c r="CA377" s="276"/>
      <c r="CB377" s="276"/>
      <c r="CC377" s="276"/>
      <c r="CD377" s="276"/>
      <c r="CH377" s="276"/>
      <c r="CJ377" s="276"/>
      <c r="CK377" s="276"/>
      <c r="CL377" s="276"/>
      <c r="CM377" s="276"/>
      <c r="CN377" s="276"/>
      <c r="CO377" s="276"/>
      <c r="CP377" s="276"/>
      <c r="CQ377" s="276"/>
      <c r="CU377" s="276"/>
    </row>
    <row r="378" spans="75:99" ht="15.75">
      <c r="BW378" s="276"/>
      <c r="BY378" s="276"/>
      <c r="BZ378" s="276"/>
      <c r="CA378" s="276"/>
      <c r="CB378" s="276"/>
      <c r="CC378" s="276"/>
      <c r="CD378" s="276"/>
      <c r="CH378" s="276"/>
      <c r="CJ378" s="276"/>
      <c r="CK378" s="276"/>
      <c r="CL378" s="276"/>
      <c r="CM378" s="276"/>
      <c r="CN378" s="276"/>
      <c r="CO378" s="276"/>
      <c r="CP378" s="276"/>
      <c r="CQ378" s="276"/>
      <c r="CU378" s="276"/>
    </row>
    <row r="379" spans="75:99" ht="15.75">
      <c r="BW379" s="276"/>
      <c r="BY379" s="276"/>
      <c r="BZ379" s="276"/>
      <c r="CA379" s="276"/>
      <c r="CB379" s="276"/>
      <c r="CC379" s="276"/>
      <c r="CD379" s="276"/>
      <c r="CH379" s="276"/>
      <c r="CJ379" s="276"/>
      <c r="CK379" s="276"/>
      <c r="CL379" s="276"/>
      <c r="CM379" s="276"/>
      <c r="CN379" s="276"/>
      <c r="CO379" s="276"/>
      <c r="CP379" s="276"/>
      <c r="CQ379" s="276"/>
      <c r="CU379" s="276"/>
    </row>
    <row r="380" spans="75:99" ht="15.75">
      <c r="BW380" s="276"/>
      <c r="BY380" s="276"/>
      <c r="BZ380" s="276"/>
      <c r="CA380" s="276"/>
      <c r="CB380" s="276"/>
      <c r="CC380" s="276"/>
      <c r="CD380" s="276"/>
      <c r="CH380" s="276"/>
      <c r="CJ380" s="276"/>
      <c r="CK380" s="276"/>
      <c r="CL380" s="276"/>
      <c r="CM380" s="276"/>
      <c r="CN380" s="276"/>
      <c r="CO380" s="276"/>
      <c r="CP380" s="276"/>
      <c r="CQ380" s="276"/>
      <c r="CU380" s="276"/>
    </row>
    <row r="381" spans="75:99" ht="15.75">
      <c r="BW381" s="276"/>
      <c r="BY381" s="276"/>
      <c r="BZ381" s="276"/>
      <c r="CA381" s="276"/>
      <c r="CB381" s="276"/>
      <c r="CC381" s="276"/>
      <c r="CD381" s="276"/>
      <c r="CH381" s="276"/>
      <c r="CJ381" s="276"/>
      <c r="CK381" s="276"/>
      <c r="CL381" s="276"/>
      <c r="CM381" s="276"/>
      <c r="CN381" s="276"/>
      <c r="CO381" s="276"/>
      <c r="CP381" s="276"/>
      <c r="CQ381" s="276"/>
      <c r="CU381" s="276"/>
    </row>
    <row r="382" spans="75:99" ht="15.75">
      <c r="BW382" s="276"/>
      <c r="BY382" s="276"/>
      <c r="BZ382" s="276"/>
      <c r="CA382" s="276"/>
      <c r="CB382" s="276"/>
      <c r="CC382" s="276"/>
      <c r="CD382" s="276"/>
      <c r="CH382" s="276"/>
      <c r="CJ382" s="276"/>
      <c r="CK382" s="276"/>
      <c r="CL382" s="276"/>
      <c r="CM382" s="276"/>
      <c r="CN382" s="276"/>
      <c r="CO382" s="276"/>
      <c r="CP382" s="276"/>
      <c r="CQ382" s="276"/>
      <c r="CU382" s="276"/>
    </row>
    <row r="383" spans="75:99" ht="15.75">
      <c r="BW383" s="276"/>
      <c r="BY383" s="276"/>
      <c r="BZ383" s="276"/>
      <c r="CA383" s="276"/>
      <c r="CB383" s="276"/>
      <c r="CC383" s="276"/>
      <c r="CD383" s="276"/>
      <c r="CH383" s="276"/>
      <c r="CJ383" s="276"/>
      <c r="CK383" s="276"/>
      <c r="CL383" s="276"/>
      <c r="CM383" s="276"/>
      <c r="CN383" s="276"/>
      <c r="CO383" s="276"/>
      <c r="CP383" s="276"/>
      <c r="CQ383" s="276"/>
      <c r="CU383" s="276"/>
    </row>
    <row r="384" spans="75:99" ht="15.75">
      <c r="BW384" s="276"/>
      <c r="BY384" s="276"/>
      <c r="BZ384" s="276"/>
      <c r="CA384" s="276"/>
      <c r="CB384" s="276"/>
      <c r="CC384" s="276"/>
      <c r="CD384" s="276"/>
      <c r="CH384" s="276"/>
      <c r="CJ384" s="276"/>
      <c r="CK384" s="276"/>
      <c r="CL384" s="276"/>
      <c r="CM384" s="276"/>
      <c r="CN384" s="276"/>
      <c r="CO384" s="276"/>
      <c r="CP384" s="276"/>
      <c r="CQ384" s="276"/>
      <c r="CU384" s="276"/>
    </row>
    <row r="385" spans="75:99" ht="15.75">
      <c r="BW385" s="276"/>
      <c r="BY385" s="276"/>
      <c r="BZ385" s="276"/>
      <c r="CA385" s="276"/>
      <c r="CB385" s="276"/>
      <c r="CC385" s="276"/>
      <c r="CD385" s="276"/>
      <c r="CH385" s="276"/>
      <c r="CJ385" s="276"/>
      <c r="CK385" s="276"/>
      <c r="CL385" s="276"/>
      <c r="CM385" s="276"/>
      <c r="CN385" s="276"/>
      <c r="CO385" s="276"/>
      <c r="CP385" s="276"/>
      <c r="CQ385" s="276"/>
      <c r="CU385" s="276"/>
    </row>
    <row r="386" spans="75:99" ht="15.75">
      <c r="BW386" s="276"/>
      <c r="BY386" s="276"/>
      <c r="BZ386" s="276"/>
      <c r="CA386" s="276"/>
      <c r="CB386" s="276"/>
      <c r="CC386" s="276"/>
      <c r="CD386" s="276"/>
      <c r="CH386" s="276"/>
      <c r="CJ386" s="276"/>
      <c r="CK386" s="276"/>
      <c r="CL386" s="276"/>
      <c r="CM386" s="276"/>
      <c r="CN386" s="276"/>
      <c r="CO386" s="276"/>
      <c r="CP386" s="276"/>
      <c r="CQ386" s="276"/>
      <c r="CU386" s="276"/>
    </row>
    <row r="387" spans="75:99" ht="15.75">
      <c r="BW387" s="276"/>
      <c r="BY387" s="276"/>
      <c r="BZ387" s="276"/>
      <c r="CA387" s="276"/>
      <c r="CB387" s="276"/>
      <c r="CC387" s="276"/>
      <c r="CD387" s="276"/>
      <c r="CH387" s="276"/>
      <c r="CJ387" s="276"/>
      <c r="CK387" s="276"/>
      <c r="CL387" s="276"/>
      <c r="CM387" s="276"/>
      <c r="CN387" s="276"/>
      <c r="CO387" s="276"/>
      <c r="CP387" s="276"/>
      <c r="CQ387" s="276"/>
      <c r="CU387" s="276"/>
    </row>
    <row r="388" spans="75:99" ht="15.75">
      <c r="BW388" s="276"/>
      <c r="BY388" s="276"/>
      <c r="BZ388" s="276"/>
      <c r="CA388" s="276"/>
      <c r="CB388" s="276"/>
      <c r="CC388" s="276"/>
      <c r="CD388" s="276"/>
      <c r="CH388" s="276"/>
      <c r="CJ388" s="276"/>
      <c r="CK388" s="276"/>
      <c r="CL388" s="276"/>
      <c r="CM388" s="276"/>
      <c r="CN388" s="276"/>
      <c r="CO388" s="276"/>
      <c r="CP388" s="276"/>
      <c r="CQ388" s="276"/>
      <c r="CU388" s="276"/>
    </row>
    <row r="389" spans="75:99" ht="15.75">
      <c r="BW389" s="276"/>
      <c r="BY389" s="276"/>
      <c r="BZ389" s="276"/>
      <c r="CA389" s="276"/>
      <c r="CB389" s="276"/>
      <c r="CC389" s="276"/>
      <c r="CD389" s="276"/>
      <c r="CH389" s="276"/>
      <c r="CJ389" s="276"/>
      <c r="CK389" s="276"/>
      <c r="CL389" s="276"/>
      <c r="CM389" s="276"/>
      <c r="CN389" s="276"/>
      <c r="CO389" s="276"/>
      <c r="CP389" s="276"/>
      <c r="CQ389" s="276"/>
      <c r="CU389" s="276"/>
    </row>
    <row r="390" spans="75:99" ht="15.75">
      <c r="BW390" s="276"/>
      <c r="BY390" s="276"/>
      <c r="BZ390" s="276"/>
      <c r="CA390" s="276"/>
      <c r="CB390" s="276"/>
      <c r="CC390" s="276"/>
      <c r="CD390" s="276"/>
      <c r="CH390" s="276"/>
      <c r="CJ390" s="276"/>
      <c r="CK390" s="276"/>
      <c r="CL390" s="276"/>
      <c r="CM390" s="276"/>
      <c r="CN390" s="276"/>
      <c r="CO390" s="276"/>
      <c r="CP390" s="276"/>
      <c r="CQ390" s="276"/>
      <c r="CU390" s="276"/>
    </row>
    <row r="391" spans="75:99" ht="15.75">
      <c r="BW391" s="276"/>
      <c r="BY391" s="276"/>
      <c r="BZ391" s="276"/>
      <c r="CA391" s="276"/>
      <c r="CB391" s="276"/>
      <c r="CC391" s="276"/>
      <c r="CD391" s="276"/>
      <c r="CH391" s="276"/>
      <c r="CJ391" s="276"/>
      <c r="CK391" s="276"/>
      <c r="CL391" s="276"/>
      <c r="CM391" s="276"/>
      <c r="CN391" s="276"/>
      <c r="CO391" s="276"/>
      <c r="CP391" s="276"/>
      <c r="CQ391" s="276"/>
      <c r="CU391" s="276"/>
    </row>
    <row r="392" spans="75:99" ht="15.75">
      <c r="BW392" s="276"/>
      <c r="BY392" s="276"/>
      <c r="BZ392" s="276"/>
      <c r="CA392" s="276"/>
      <c r="CB392" s="276"/>
      <c r="CC392" s="276"/>
      <c r="CD392" s="276"/>
      <c r="CH392" s="276"/>
      <c r="CJ392" s="276"/>
      <c r="CK392" s="276"/>
      <c r="CL392" s="276"/>
      <c r="CM392" s="276"/>
      <c r="CN392" s="276"/>
      <c r="CO392" s="276"/>
      <c r="CP392" s="276"/>
      <c r="CQ392" s="276"/>
      <c r="CU392" s="276"/>
    </row>
    <row r="393" spans="75:99" ht="15.75">
      <c r="BW393" s="276"/>
      <c r="BY393" s="276"/>
      <c r="BZ393" s="276"/>
      <c r="CA393" s="276"/>
      <c r="CB393" s="276"/>
      <c r="CC393" s="276"/>
      <c r="CD393" s="276"/>
      <c r="CH393" s="276"/>
      <c r="CJ393" s="276"/>
      <c r="CK393" s="276"/>
      <c r="CL393" s="276"/>
      <c r="CM393" s="276"/>
      <c r="CN393" s="276"/>
      <c r="CO393" s="276"/>
      <c r="CP393" s="276"/>
      <c r="CQ393" s="276"/>
      <c r="CU393" s="276"/>
    </row>
    <row r="394" spans="75:99" ht="15.75">
      <c r="BW394" s="276"/>
      <c r="BY394" s="276"/>
      <c r="BZ394" s="276"/>
      <c r="CA394" s="276"/>
      <c r="CB394" s="276"/>
      <c r="CC394" s="276"/>
      <c r="CD394" s="276"/>
      <c r="CH394" s="276"/>
      <c r="CJ394" s="276"/>
      <c r="CK394" s="276"/>
      <c r="CL394" s="276"/>
      <c r="CM394" s="276"/>
      <c r="CN394" s="276"/>
      <c r="CO394" s="276"/>
      <c r="CP394" s="276"/>
      <c r="CQ394" s="276"/>
      <c r="CU394" s="276"/>
    </row>
    <row r="395" spans="75:99" ht="15.75">
      <c r="BW395" s="276"/>
      <c r="BY395" s="276"/>
      <c r="BZ395" s="276"/>
      <c r="CA395" s="276"/>
      <c r="CB395" s="276"/>
      <c r="CC395" s="276"/>
      <c r="CD395" s="276"/>
      <c r="CH395" s="276"/>
      <c r="CJ395" s="276"/>
      <c r="CK395" s="276"/>
      <c r="CL395" s="276"/>
      <c r="CM395" s="276"/>
      <c r="CN395" s="276"/>
      <c r="CO395" s="276"/>
      <c r="CP395" s="276"/>
      <c r="CQ395" s="276"/>
      <c r="CU395" s="276"/>
    </row>
    <row r="396" spans="75:99" ht="15.75">
      <c r="BW396" s="276"/>
      <c r="BY396" s="276"/>
      <c r="BZ396" s="276"/>
      <c r="CA396" s="276"/>
      <c r="CB396" s="276"/>
      <c r="CC396" s="276"/>
      <c r="CD396" s="276"/>
      <c r="CH396" s="276"/>
      <c r="CJ396" s="276"/>
      <c r="CK396" s="276"/>
      <c r="CL396" s="276"/>
      <c r="CM396" s="276"/>
      <c r="CN396" s="276"/>
      <c r="CO396" s="276"/>
      <c r="CP396" s="276"/>
      <c r="CQ396" s="276"/>
      <c r="CU396" s="276"/>
    </row>
    <row r="397" spans="75:99" ht="15.75">
      <c r="BW397" s="276"/>
      <c r="BY397" s="276"/>
      <c r="BZ397" s="276"/>
      <c r="CA397" s="276"/>
      <c r="CB397" s="276"/>
      <c r="CC397" s="276"/>
      <c r="CD397" s="276"/>
      <c r="CH397" s="276"/>
      <c r="CJ397" s="276"/>
      <c r="CK397" s="276"/>
      <c r="CL397" s="276"/>
      <c r="CM397" s="276"/>
      <c r="CN397" s="276"/>
      <c r="CO397" s="276"/>
      <c r="CP397" s="276"/>
      <c r="CQ397" s="276"/>
      <c r="CU397" s="276"/>
    </row>
    <row r="398" spans="75:99" ht="15.75">
      <c r="BW398" s="276"/>
      <c r="BY398" s="276"/>
      <c r="BZ398" s="276"/>
      <c r="CA398" s="276"/>
      <c r="CB398" s="276"/>
      <c r="CC398" s="276"/>
      <c r="CD398" s="276"/>
      <c r="CH398" s="276"/>
      <c r="CJ398" s="276"/>
      <c r="CK398" s="276"/>
      <c r="CL398" s="276"/>
      <c r="CM398" s="276"/>
      <c r="CN398" s="276"/>
      <c r="CO398" s="276"/>
      <c r="CP398" s="276"/>
      <c r="CQ398" s="276"/>
      <c r="CU398" s="276"/>
    </row>
    <row r="399" spans="75:99" ht="15.75">
      <c r="BW399" s="276"/>
      <c r="BY399" s="276"/>
      <c r="BZ399" s="276"/>
      <c r="CA399" s="276"/>
      <c r="CB399" s="276"/>
      <c r="CC399" s="276"/>
      <c r="CD399" s="276"/>
      <c r="CH399" s="276"/>
      <c r="CJ399" s="276"/>
      <c r="CK399" s="276"/>
      <c r="CL399" s="276"/>
      <c r="CM399" s="276"/>
      <c r="CN399" s="276"/>
      <c r="CO399" s="276"/>
      <c r="CP399" s="276"/>
      <c r="CQ399" s="276"/>
      <c r="CU399" s="276"/>
    </row>
    <row r="400" spans="75:99" ht="15.75">
      <c r="BW400" s="276"/>
      <c r="BY400" s="276"/>
      <c r="BZ400" s="276"/>
      <c r="CA400" s="276"/>
      <c r="CB400" s="276"/>
      <c r="CC400" s="276"/>
      <c r="CD400" s="276"/>
      <c r="CH400" s="276"/>
      <c r="CJ400" s="276"/>
      <c r="CK400" s="276"/>
      <c r="CL400" s="276"/>
      <c r="CM400" s="276"/>
      <c r="CN400" s="276"/>
      <c r="CO400" s="276"/>
      <c r="CP400" s="276"/>
      <c r="CQ400" s="276"/>
      <c r="CU400" s="276"/>
    </row>
    <row r="401" spans="75:99" ht="15.75">
      <c r="BW401" s="276"/>
      <c r="BY401" s="276"/>
      <c r="BZ401" s="276"/>
      <c r="CA401" s="276"/>
      <c r="CB401" s="276"/>
      <c r="CC401" s="276"/>
      <c r="CD401" s="276"/>
      <c r="CH401" s="276"/>
      <c r="CJ401" s="276"/>
      <c r="CK401" s="276"/>
      <c r="CL401" s="276"/>
      <c r="CM401" s="276"/>
      <c r="CN401" s="276"/>
      <c r="CO401" s="276"/>
      <c r="CP401" s="276"/>
      <c r="CQ401" s="276"/>
      <c r="CU401" s="276"/>
    </row>
    <row r="402" spans="75:99" ht="15.75">
      <c r="BW402" s="276"/>
      <c r="BY402" s="276"/>
      <c r="BZ402" s="276"/>
      <c r="CA402" s="276"/>
      <c r="CB402" s="276"/>
      <c r="CC402" s="276"/>
      <c r="CD402" s="276"/>
      <c r="CH402" s="276"/>
      <c r="CJ402" s="276"/>
      <c r="CK402" s="276"/>
      <c r="CL402" s="276"/>
      <c r="CM402" s="276"/>
      <c r="CN402" s="276"/>
      <c r="CO402" s="276"/>
      <c r="CP402" s="276"/>
      <c r="CQ402" s="276"/>
      <c r="CU402" s="276"/>
    </row>
    <row r="403" spans="75:99" ht="15.75">
      <c r="BW403" s="276"/>
      <c r="BY403" s="276"/>
      <c r="BZ403" s="276"/>
      <c r="CA403" s="276"/>
      <c r="CB403" s="276"/>
      <c r="CC403" s="276"/>
      <c r="CD403" s="276"/>
      <c r="CH403" s="276"/>
      <c r="CJ403" s="276"/>
      <c r="CK403" s="276"/>
      <c r="CL403" s="276"/>
      <c r="CM403" s="276"/>
      <c r="CN403" s="276"/>
      <c r="CO403" s="276"/>
      <c r="CP403" s="276"/>
      <c r="CQ403" s="276"/>
      <c r="CU403" s="276"/>
    </row>
    <row r="404" spans="75:99" ht="15.75">
      <c r="BW404" s="276"/>
      <c r="BY404" s="276"/>
      <c r="BZ404" s="276"/>
      <c r="CA404" s="276"/>
      <c r="CB404" s="276"/>
      <c r="CC404" s="276"/>
      <c r="CD404" s="276"/>
      <c r="CH404" s="276"/>
      <c r="CJ404" s="276"/>
      <c r="CK404" s="276"/>
      <c r="CL404" s="276"/>
      <c r="CM404" s="276"/>
      <c r="CN404" s="276"/>
      <c r="CO404" s="276"/>
      <c r="CP404" s="276"/>
      <c r="CQ404" s="276"/>
      <c r="CU404" s="276"/>
    </row>
    <row r="405" spans="75:99" ht="15.75">
      <c r="BW405" s="276"/>
      <c r="BY405" s="276"/>
      <c r="BZ405" s="276"/>
      <c r="CA405" s="276"/>
      <c r="CB405" s="276"/>
      <c r="CC405" s="276"/>
      <c r="CD405" s="276"/>
      <c r="CH405" s="276"/>
      <c r="CJ405" s="276"/>
      <c r="CK405" s="276"/>
      <c r="CL405" s="276"/>
      <c r="CM405" s="276"/>
      <c r="CN405" s="276"/>
      <c r="CO405" s="276"/>
      <c r="CP405" s="276"/>
      <c r="CQ405" s="276"/>
      <c r="CU405" s="276"/>
    </row>
    <row r="406" spans="75:99" ht="15.75">
      <c r="BW406" s="276"/>
      <c r="BY406" s="276"/>
      <c r="BZ406" s="276"/>
      <c r="CA406" s="276"/>
      <c r="CB406" s="276"/>
      <c r="CC406" s="276"/>
      <c r="CD406" s="276"/>
      <c r="CH406" s="276"/>
      <c r="CJ406" s="276"/>
      <c r="CK406" s="276"/>
      <c r="CL406" s="276"/>
      <c r="CM406" s="276"/>
      <c r="CN406" s="276"/>
      <c r="CO406" s="276"/>
      <c r="CP406" s="276"/>
      <c r="CQ406" s="276"/>
      <c r="CU406" s="276"/>
    </row>
    <row r="407" spans="75:99" ht="15.75">
      <c r="BW407" s="276"/>
      <c r="BY407" s="276"/>
      <c r="BZ407" s="276"/>
      <c r="CA407" s="276"/>
      <c r="CB407" s="276"/>
      <c r="CC407" s="276"/>
      <c r="CD407" s="276"/>
      <c r="CH407" s="276"/>
      <c r="CJ407" s="276"/>
      <c r="CK407" s="276"/>
      <c r="CL407" s="276"/>
      <c r="CM407" s="276"/>
      <c r="CN407" s="276"/>
      <c r="CO407" s="276"/>
      <c r="CP407" s="276"/>
      <c r="CQ407" s="276"/>
      <c r="CU407" s="276"/>
    </row>
    <row r="408" spans="75:99" ht="15.75">
      <c r="BW408" s="276"/>
      <c r="BY408" s="276"/>
      <c r="BZ408" s="276"/>
      <c r="CA408" s="276"/>
      <c r="CB408" s="276"/>
      <c r="CC408" s="276"/>
      <c r="CD408" s="276"/>
      <c r="CH408" s="276"/>
      <c r="CJ408" s="276"/>
      <c r="CK408" s="276"/>
      <c r="CL408" s="276"/>
      <c r="CM408" s="276"/>
      <c r="CN408" s="276"/>
      <c r="CO408" s="276"/>
      <c r="CP408" s="276"/>
      <c r="CQ408" s="276"/>
      <c r="CU408" s="276"/>
    </row>
    <row r="409" spans="75:99" ht="15.75">
      <c r="BW409" s="276"/>
      <c r="BY409" s="276"/>
      <c r="BZ409" s="276"/>
      <c r="CA409" s="276"/>
      <c r="CB409" s="276"/>
      <c r="CC409" s="276"/>
      <c r="CD409" s="276"/>
      <c r="CH409" s="276"/>
      <c r="CJ409" s="276"/>
      <c r="CK409" s="276"/>
      <c r="CL409" s="276"/>
      <c r="CM409" s="276"/>
      <c r="CN409" s="276"/>
      <c r="CO409" s="276"/>
      <c r="CP409" s="276"/>
      <c r="CQ409" s="276"/>
      <c r="CU409" s="276"/>
    </row>
    <row r="410" spans="75:99" ht="15.75">
      <c r="BW410" s="276"/>
      <c r="BY410" s="276"/>
      <c r="BZ410" s="276"/>
      <c r="CA410" s="276"/>
      <c r="CB410" s="276"/>
      <c r="CC410" s="276"/>
      <c r="CD410" s="276"/>
      <c r="CH410" s="276"/>
      <c r="CJ410" s="276"/>
      <c r="CK410" s="276"/>
      <c r="CL410" s="276"/>
      <c r="CM410" s="276"/>
      <c r="CN410" s="276"/>
      <c r="CO410" s="276"/>
      <c r="CP410" s="276"/>
      <c r="CQ410" s="276"/>
      <c r="CU410" s="276"/>
    </row>
    <row r="411" spans="75:99" ht="15.75">
      <c r="BW411" s="276"/>
      <c r="BY411" s="276"/>
      <c r="BZ411" s="276"/>
      <c r="CA411" s="276"/>
      <c r="CB411" s="276"/>
      <c r="CC411" s="276"/>
      <c r="CD411" s="276"/>
      <c r="CH411" s="276"/>
      <c r="CJ411" s="276"/>
      <c r="CK411" s="276"/>
      <c r="CL411" s="276"/>
      <c r="CM411" s="276"/>
      <c r="CN411" s="276"/>
      <c r="CO411" s="276"/>
      <c r="CP411" s="276"/>
      <c r="CQ411" s="276"/>
      <c r="CU411" s="276"/>
    </row>
    <row r="412" spans="75:99" ht="15.75">
      <c r="BW412" s="276"/>
      <c r="BY412" s="276"/>
      <c r="BZ412" s="276"/>
      <c r="CA412" s="276"/>
      <c r="CB412" s="276"/>
      <c r="CC412" s="276"/>
      <c r="CD412" s="276"/>
      <c r="CH412" s="276"/>
      <c r="CJ412" s="276"/>
      <c r="CK412" s="276"/>
      <c r="CL412" s="276"/>
      <c r="CM412" s="276"/>
      <c r="CN412" s="276"/>
      <c r="CO412" s="276"/>
      <c r="CP412" s="276"/>
      <c r="CQ412" s="276"/>
      <c r="CU412" s="276"/>
    </row>
    <row r="413" spans="75:99" ht="15.75">
      <c r="BW413" s="276"/>
      <c r="BY413" s="276"/>
      <c r="BZ413" s="276"/>
      <c r="CA413" s="276"/>
      <c r="CB413" s="276"/>
      <c r="CC413" s="276"/>
      <c r="CD413" s="276"/>
      <c r="CH413" s="276"/>
      <c r="CJ413" s="276"/>
      <c r="CK413" s="276"/>
      <c r="CL413" s="276"/>
      <c r="CM413" s="276"/>
      <c r="CN413" s="276"/>
      <c r="CO413" s="276"/>
      <c r="CP413" s="276"/>
      <c r="CQ413" s="276"/>
      <c r="CU413" s="276"/>
    </row>
    <row r="414" spans="75:99" ht="15.75">
      <c r="BW414" s="276"/>
      <c r="BY414" s="276"/>
      <c r="BZ414" s="276"/>
      <c r="CA414" s="276"/>
      <c r="CB414" s="276"/>
      <c r="CC414" s="276"/>
      <c r="CD414" s="276"/>
      <c r="CH414" s="276"/>
      <c r="CJ414" s="276"/>
      <c r="CK414" s="276"/>
      <c r="CL414" s="276"/>
      <c r="CM414" s="276"/>
      <c r="CN414" s="276"/>
      <c r="CO414" s="276"/>
      <c r="CP414" s="276"/>
      <c r="CQ414" s="276"/>
      <c r="CU414" s="276"/>
    </row>
    <row r="415" spans="75:99" ht="15.75">
      <c r="BW415" s="276"/>
      <c r="BY415" s="276"/>
      <c r="BZ415" s="276"/>
      <c r="CA415" s="276"/>
      <c r="CB415" s="276"/>
      <c r="CC415" s="276"/>
      <c r="CD415" s="276"/>
      <c r="CH415" s="276"/>
      <c r="CJ415" s="276"/>
      <c r="CK415" s="276"/>
      <c r="CL415" s="276"/>
      <c r="CM415" s="276"/>
      <c r="CN415" s="276"/>
      <c r="CO415" s="276"/>
      <c r="CP415" s="276"/>
      <c r="CQ415" s="276"/>
      <c r="CU415" s="276"/>
    </row>
    <row r="416" spans="75:99" ht="15.75">
      <c r="BW416" s="276"/>
      <c r="BY416" s="276"/>
      <c r="BZ416" s="276"/>
      <c r="CA416" s="276"/>
      <c r="CB416" s="276"/>
      <c r="CC416" s="276"/>
      <c r="CD416" s="276"/>
      <c r="CH416" s="276"/>
      <c r="CJ416" s="276"/>
      <c r="CK416" s="276"/>
      <c r="CL416" s="276"/>
      <c r="CM416" s="276"/>
      <c r="CN416" s="276"/>
      <c r="CO416" s="276"/>
      <c r="CP416" s="276"/>
      <c r="CQ416" s="276"/>
      <c r="CU416" s="276"/>
    </row>
    <row r="417" spans="75:99" ht="15.75">
      <c r="BW417" s="276"/>
      <c r="BY417" s="276"/>
      <c r="BZ417" s="276"/>
      <c r="CA417" s="276"/>
      <c r="CB417" s="276"/>
      <c r="CC417" s="276"/>
      <c r="CD417" s="276"/>
      <c r="CH417" s="276"/>
      <c r="CJ417" s="276"/>
      <c r="CK417" s="276"/>
      <c r="CL417" s="276"/>
      <c r="CM417" s="276"/>
      <c r="CN417" s="276"/>
      <c r="CO417" s="276"/>
      <c r="CP417" s="276"/>
      <c r="CQ417" s="276"/>
      <c r="CU417" s="276"/>
    </row>
    <row r="418" spans="75:99" ht="15.75">
      <c r="BW418" s="276"/>
      <c r="BY418" s="276"/>
      <c r="BZ418" s="276"/>
      <c r="CA418" s="276"/>
      <c r="CB418" s="276"/>
      <c r="CC418" s="276"/>
      <c r="CD418" s="276"/>
      <c r="CH418" s="276"/>
      <c r="CJ418" s="276"/>
      <c r="CK418" s="276"/>
      <c r="CL418" s="276"/>
      <c r="CM418" s="276"/>
      <c r="CN418" s="276"/>
      <c r="CO418" s="276"/>
      <c r="CP418" s="276"/>
      <c r="CQ418" s="276"/>
      <c r="CU418" s="276"/>
    </row>
    <row r="419" spans="75:99" ht="15.75">
      <c r="BW419" s="276"/>
      <c r="BY419" s="276"/>
      <c r="BZ419" s="276"/>
      <c r="CA419" s="276"/>
      <c r="CB419" s="276"/>
      <c r="CC419" s="276"/>
      <c r="CD419" s="276"/>
      <c r="CH419" s="276"/>
      <c r="CJ419" s="276"/>
      <c r="CK419" s="276"/>
      <c r="CL419" s="276"/>
      <c r="CM419" s="276"/>
      <c r="CN419" s="276"/>
      <c r="CO419" s="276"/>
      <c r="CP419" s="276"/>
      <c r="CQ419" s="276"/>
      <c r="CU419" s="276"/>
    </row>
    <row r="420" spans="75:99" ht="15.75">
      <c r="BW420" s="276"/>
      <c r="BY420" s="276"/>
      <c r="BZ420" s="276"/>
      <c r="CA420" s="276"/>
      <c r="CB420" s="276"/>
      <c r="CC420" s="276"/>
      <c r="CD420" s="276"/>
      <c r="CH420" s="276"/>
      <c r="CJ420" s="276"/>
      <c r="CK420" s="276"/>
      <c r="CL420" s="276"/>
      <c r="CM420" s="276"/>
      <c r="CN420" s="276"/>
      <c r="CO420" s="276"/>
      <c r="CP420" s="276"/>
      <c r="CQ420" s="276"/>
      <c r="CU420" s="276"/>
    </row>
    <row r="421" spans="75:99" ht="15.75">
      <c r="BW421" s="276"/>
      <c r="BY421" s="276"/>
      <c r="BZ421" s="276"/>
      <c r="CA421" s="276"/>
      <c r="CB421" s="276"/>
      <c r="CC421" s="276"/>
      <c r="CD421" s="276"/>
      <c r="CH421" s="276"/>
      <c r="CJ421" s="276"/>
      <c r="CK421" s="276"/>
      <c r="CL421" s="276"/>
      <c r="CM421" s="276"/>
      <c r="CN421" s="276"/>
      <c r="CO421" s="276"/>
      <c r="CP421" s="276"/>
      <c r="CQ421" s="276"/>
      <c r="CU421" s="276"/>
    </row>
    <row r="422" spans="75:99" ht="15.75">
      <c r="BW422" s="276"/>
      <c r="BY422" s="276"/>
      <c r="BZ422" s="276"/>
      <c r="CA422" s="276"/>
      <c r="CB422" s="276"/>
      <c r="CC422" s="276"/>
      <c r="CD422" s="276"/>
      <c r="CH422" s="276"/>
      <c r="CJ422" s="276"/>
      <c r="CK422" s="276"/>
      <c r="CL422" s="276"/>
      <c r="CM422" s="276"/>
      <c r="CN422" s="276"/>
      <c r="CO422" s="276"/>
      <c r="CP422" s="276"/>
      <c r="CQ422" s="276"/>
      <c r="CU422" s="276"/>
    </row>
    <row r="423" spans="75:99" ht="15.75">
      <c r="BW423" s="276"/>
      <c r="BY423" s="276"/>
      <c r="BZ423" s="276"/>
      <c r="CA423" s="276"/>
      <c r="CB423" s="276"/>
      <c r="CC423" s="276"/>
      <c r="CD423" s="276"/>
      <c r="CH423" s="276"/>
      <c r="CJ423" s="276"/>
      <c r="CK423" s="276"/>
      <c r="CL423" s="276"/>
      <c r="CM423" s="276"/>
      <c r="CN423" s="276"/>
      <c r="CO423" s="276"/>
      <c r="CP423" s="276"/>
      <c r="CQ423" s="276"/>
      <c r="CU423" s="276"/>
    </row>
    <row r="424" spans="75:99" ht="15.75">
      <c r="BW424" s="276"/>
      <c r="BY424" s="276"/>
      <c r="BZ424" s="276"/>
      <c r="CA424" s="276"/>
      <c r="CB424" s="276"/>
      <c r="CC424" s="276"/>
      <c r="CD424" s="276"/>
      <c r="CH424" s="276"/>
      <c r="CJ424" s="276"/>
      <c r="CK424" s="276"/>
      <c r="CL424" s="276"/>
      <c r="CM424" s="276"/>
      <c r="CN424" s="276"/>
      <c r="CO424" s="276"/>
      <c r="CP424" s="276"/>
      <c r="CQ424" s="276"/>
      <c r="CU424" s="276"/>
    </row>
    <row r="425" spans="75:99" ht="15.75">
      <c r="BW425" s="276"/>
      <c r="BY425" s="276"/>
      <c r="BZ425" s="276"/>
      <c r="CA425" s="276"/>
      <c r="CB425" s="276"/>
      <c r="CC425" s="276"/>
      <c r="CD425" s="276"/>
      <c r="CH425" s="276"/>
      <c r="CJ425" s="276"/>
      <c r="CK425" s="276"/>
      <c r="CL425" s="276"/>
      <c r="CM425" s="276"/>
      <c r="CN425" s="276"/>
      <c r="CO425" s="276"/>
      <c r="CP425" s="276"/>
      <c r="CQ425" s="276"/>
      <c r="CU425" s="276"/>
    </row>
    <row r="426" spans="75:99" ht="15.75">
      <c r="BW426" s="276"/>
      <c r="BY426" s="276"/>
      <c r="BZ426" s="276"/>
      <c r="CA426" s="276"/>
      <c r="CB426" s="276"/>
      <c r="CC426" s="276"/>
      <c r="CD426" s="276"/>
      <c r="CH426" s="276"/>
      <c r="CJ426" s="276"/>
      <c r="CK426" s="276"/>
      <c r="CL426" s="276"/>
      <c r="CM426" s="276"/>
      <c r="CN426" s="276"/>
      <c r="CO426" s="276"/>
      <c r="CP426" s="276"/>
      <c r="CQ426" s="276"/>
      <c r="CU426" s="276"/>
    </row>
    <row r="427" spans="75:99" ht="15.75">
      <c r="BW427" s="276"/>
      <c r="BY427" s="276"/>
      <c r="BZ427" s="276"/>
      <c r="CA427" s="276"/>
      <c r="CB427" s="276"/>
      <c r="CC427" s="276"/>
      <c r="CD427" s="276"/>
      <c r="CH427" s="276"/>
      <c r="CJ427" s="276"/>
      <c r="CK427" s="276"/>
      <c r="CL427" s="276"/>
      <c r="CM427" s="276"/>
      <c r="CN427" s="276"/>
      <c r="CO427" s="276"/>
      <c r="CP427" s="276"/>
      <c r="CQ427" s="276"/>
      <c r="CU427" s="276"/>
    </row>
    <row r="428" spans="75:99" ht="15.75">
      <c r="BW428" s="276"/>
      <c r="BY428" s="276"/>
      <c r="BZ428" s="276"/>
      <c r="CA428" s="276"/>
      <c r="CB428" s="276"/>
      <c r="CC428" s="276"/>
      <c r="CD428" s="276"/>
      <c r="CH428" s="276"/>
      <c r="CJ428" s="276"/>
      <c r="CK428" s="276"/>
      <c r="CL428" s="276"/>
      <c r="CM428" s="276"/>
      <c r="CN428" s="276"/>
      <c r="CO428" s="276"/>
      <c r="CP428" s="276"/>
      <c r="CQ428" s="276"/>
      <c r="CU428" s="276"/>
    </row>
    <row r="429" spans="75:99" ht="15.75">
      <c r="BW429" s="276"/>
      <c r="BY429" s="276"/>
      <c r="BZ429" s="276"/>
      <c r="CA429" s="276"/>
      <c r="CB429" s="276"/>
      <c r="CC429" s="276"/>
      <c r="CD429" s="276"/>
      <c r="CH429" s="276"/>
      <c r="CJ429" s="276"/>
      <c r="CK429" s="276"/>
      <c r="CL429" s="276"/>
      <c r="CM429" s="276"/>
      <c r="CN429" s="276"/>
      <c r="CO429" s="276"/>
      <c r="CP429" s="276"/>
      <c r="CQ429" s="276"/>
      <c r="CU429" s="276"/>
    </row>
    <row r="430" spans="75:99" ht="15.75">
      <c r="BW430" s="276"/>
      <c r="BY430" s="276"/>
      <c r="BZ430" s="276"/>
      <c r="CA430" s="276"/>
      <c r="CB430" s="276"/>
      <c r="CC430" s="276"/>
      <c r="CD430" s="276"/>
      <c r="CH430" s="276"/>
      <c r="CJ430" s="276"/>
      <c r="CK430" s="276"/>
      <c r="CL430" s="276"/>
      <c r="CM430" s="276"/>
      <c r="CN430" s="276"/>
      <c r="CO430" s="276"/>
      <c r="CP430" s="276"/>
      <c r="CQ430" s="276"/>
      <c r="CU430" s="276"/>
    </row>
    <row r="431" spans="75:99" ht="15.75">
      <c r="BW431" s="276"/>
      <c r="BY431" s="276"/>
      <c r="BZ431" s="276"/>
      <c r="CA431" s="276"/>
      <c r="CB431" s="276"/>
      <c r="CC431" s="276"/>
      <c r="CD431" s="276"/>
      <c r="CH431" s="276"/>
      <c r="CJ431" s="276"/>
      <c r="CK431" s="276"/>
      <c r="CL431" s="276"/>
      <c r="CM431" s="276"/>
      <c r="CN431" s="276"/>
      <c r="CO431" s="276"/>
      <c r="CP431" s="276"/>
      <c r="CQ431" s="276"/>
      <c r="CU431" s="276"/>
    </row>
    <row r="432" spans="75:99" ht="15.75">
      <c r="BW432" s="276"/>
      <c r="BY432" s="276"/>
      <c r="BZ432" s="276"/>
      <c r="CA432" s="276"/>
      <c r="CB432" s="276"/>
      <c r="CC432" s="276"/>
      <c r="CD432" s="276"/>
      <c r="CH432" s="276"/>
      <c r="CJ432" s="276"/>
      <c r="CK432" s="276"/>
      <c r="CL432" s="276"/>
      <c r="CM432" s="276"/>
      <c r="CN432" s="276"/>
      <c r="CO432" s="276"/>
      <c r="CP432" s="276"/>
      <c r="CQ432" s="276"/>
      <c r="CU432" s="276"/>
    </row>
    <row r="433" spans="75:99" ht="15.75">
      <c r="BW433" s="276"/>
      <c r="BY433" s="276"/>
      <c r="BZ433" s="276"/>
      <c r="CA433" s="276"/>
      <c r="CB433" s="276"/>
      <c r="CC433" s="276"/>
      <c r="CD433" s="276"/>
      <c r="CH433" s="276"/>
      <c r="CJ433" s="276"/>
      <c r="CK433" s="276"/>
      <c r="CL433" s="276"/>
      <c r="CM433" s="276"/>
      <c r="CN433" s="276"/>
      <c r="CO433" s="276"/>
      <c r="CP433" s="276"/>
      <c r="CQ433" s="276"/>
      <c r="CU433" s="276"/>
    </row>
    <row r="434" spans="75:99" ht="15.75">
      <c r="BW434" s="276"/>
      <c r="BY434" s="276"/>
      <c r="BZ434" s="276"/>
      <c r="CA434" s="276"/>
      <c r="CB434" s="276"/>
      <c r="CC434" s="276"/>
      <c r="CD434" s="276"/>
      <c r="CH434" s="276"/>
      <c r="CJ434" s="276"/>
      <c r="CK434" s="276"/>
      <c r="CL434" s="276"/>
      <c r="CM434" s="276"/>
      <c r="CN434" s="276"/>
      <c r="CO434" s="276"/>
      <c r="CP434" s="276"/>
      <c r="CQ434" s="276"/>
      <c r="CU434" s="276"/>
    </row>
    <row r="435" spans="75:99" ht="15.75">
      <c r="BW435" s="276"/>
      <c r="BY435" s="276"/>
      <c r="BZ435" s="276"/>
      <c r="CA435" s="276"/>
      <c r="CB435" s="276"/>
      <c r="CC435" s="276"/>
      <c r="CD435" s="276"/>
      <c r="CH435" s="276"/>
      <c r="CJ435" s="276"/>
      <c r="CK435" s="276"/>
      <c r="CL435" s="276"/>
      <c r="CM435" s="276"/>
      <c r="CN435" s="276"/>
      <c r="CO435" s="276"/>
      <c r="CP435" s="276"/>
      <c r="CQ435" s="276"/>
      <c r="CU435" s="276"/>
    </row>
    <row r="436" spans="75:99" ht="15.75">
      <c r="BW436" s="276"/>
      <c r="BY436" s="276"/>
      <c r="BZ436" s="276"/>
      <c r="CA436" s="276"/>
      <c r="CB436" s="276"/>
      <c r="CC436" s="276"/>
      <c r="CD436" s="276"/>
      <c r="CH436" s="276"/>
      <c r="CJ436" s="276"/>
      <c r="CK436" s="276"/>
      <c r="CL436" s="276"/>
      <c r="CM436" s="276"/>
      <c r="CN436" s="276"/>
      <c r="CO436" s="276"/>
      <c r="CP436" s="276"/>
      <c r="CQ436" s="276"/>
      <c r="CU436" s="276"/>
    </row>
    <row r="437" spans="75:99" ht="15.75">
      <c r="BW437" s="276"/>
      <c r="BY437" s="276"/>
      <c r="BZ437" s="276"/>
      <c r="CA437" s="276"/>
      <c r="CB437" s="276"/>
      <c r="CC437" s="276"/>
      <c r="CD437" s="276"/>
      <c r="CH437" s="276"/>
      <c r="CJ437" s="276"/>
      <c r="CK437" s="276"/>
      <c r="CL437" s="276"/>
      <c r="CM437" s="276"/>
      <c r="CN437" s="276"/>
      <c r="CO437" s="276"/>
      <c r="CP437" s="276"/>
      <c r="CQ437" s="276"/>
      <c r="CU437" s="276"/>
    </row>
    <row r="438" spans="75:99" ht="15.75">
      <c r="BW438" s="276"/>
      <c r="BY438" s="276"/>
      <c r="BZ438" s="276"/>
      <c r="CA438" s="276"/>
      <c r="CB438" s="276"/>
      <c r="CC438" s="276"/>
      <c r="CD438" s="276"/>
      <c r="CH438" s="276"/>
      <c r="CJ438" s="276"/>
      <c r="CK438" s="276"/>
      <c r="CL438" s="276"/>
      <c r="CM438" s="276"/>
      <c r="CN438" s="276"/>
      <c r="CO438" s="276"/>
      <c r="CP438" s="276"/>
      <c r="CQ438" s="276"/>
      <c r="CU438" s="276"/>
    </row>
    <row r="439" spans="75:99" ht="15.75">
      <c r="BW439" s="276"/>
      <c r="BY439" s="276"/>
      <c r="BZ439" s="276"/>
      <c r="CA439" s="276"/>
      <c r="CB439" s="276"/>
      <c r="CC439" s="276"/>
      <c r="CD439" s="276"/>
      <c r="CH439" s="276"/>
      <c r="CJ439" s="276"/>
      <c r="CK439" s="276"/>
      <c r="CL439" s="276"/>
      <c r="CM439" s="276"/>
      <c r="CN439" s="276"/>
      <c r="CO439" s="276"/>
      <c r="CP439" s="276"/>
      <c r="CQ439" s="276"/>
      <c r="CU439" s="276"/>
    </row>
    <row r="440" spans="75:99" ht="15.75">
      <c r="BW440" s="276"/>
      <c r="BY440" s="276"/>
      <c r="BZ440" s="276"/>
      <c r="CA440" s="276"/>
      <c r="CB440" s="276"/>
      <c r="CC440" s="276"/>
      <c r="CD440" s="276"/>
      <c r="CH440" s="276"/>
      <c r="CJ440" s="276"/>
      <c r="CK440" s="276"/>
      <c r="CL440" s="276"/>
      <c r="CM440" s="276"/>
      <c r="CN440" s="276"/>
      <c r="CO440" s="276"/>
      <c r="CP440" s="276"/>
      <c r="CQ440" s="276"/>
      <c r="CU440" s="276"/>
    </row>
    <row r="441" spans="75:99" ht="15.75">
      <c r="BW441" s="276"/>
      <c r="BY441" s="276"/>
      <c r="BZ441" s="276"/>
      <c r="CA441" s="276"/>
      <c r="CB441" s="276"/>
      <c r="CC441" s="276"/>
      <c r="CD441" s="276"/>
      <c r="CH441" s="276"/>
      <c r="CJ441" s="276"/>
      <c r="CK441" s="276"/>
      <c r="CL441" s="276"/>
      <c r="CM441" s="276"/>
      <c r="CN441" s="276"/>
      <c r="CO441" s="276"/>
      <c r="CP441" s="276"/>
      <c r="CQ441" s="276"/>
      <c r="CU441" s="276"/>
    </row>
    <row r="442" spans="75:99" ht="15.75">
      <c r="BW442" s="276"/>
      <c r="BY442" s="276"/>
      <c r="BZ442" s="276"/>
      <c r="CA442" s="276"/>
      <c r="CB442" s="276"/>
      <c r="CC442" s="276"/>
      <c r="CD442" s="276"/>
      <c r="CH442" s="276"/>
      <c r="CJ442" s="276"/>
      <c r="CK442" s="276"/>
      <c r="CL442" s="276"/>
      <c r="CM442" s="276"/>
      <c r="CN442" s="276"/>
      <c r="CO442" s="276"/>
      <c r="CP442" s="276"/>
      <c r="CQ442" s="276"/>
      <c r="CU442" s="276"/>
    </row>
    <row r="443" spans="75:99" ht="15.75">
      <c r="BW443" s="276"/>
      <c r="BY443" s="276"/>
      <c r="BZ443" s="276"/>
      <c r="CA443" s="276"/>
      <c r="CB443" s="276"/>
      <c r="CC443" s="276"/>
      <c r="CD443" s="276"/>
      <c r="CH443" s="276"/>
      <c r="CJ443" s="276"/>
      <c r="CK443" s="276"/>
      <c r="CL443" s="276"/>
      <c r="CM443" s="276"/>
      <c r="CN443" s="276"/>
      <c r="CO443" s="276"/>
      <c r="CP443" s="276"/>
      <c r="CQ443" s="276"/>
      <c r="CU443" s="276"/>
    </row>
    <row r="444" spans="75:99" ht="15.75">
      <c r="BW444" s="276"/>
      <c r="BY444" s="276"/>
      <c r="BZ444" s="276"/>
      <c r="CA444" s="276"/>
      <c r="CB444" s="276"/>
      <c r="CC444" s="276"/>
      <c r="CD444" s="276"/>
      <c r="CH444" s="276"/>
      <c r="CJ444" s="276"/>
      <c r="CK444" s="276"/>
      <c r="CL444" s="276"/>
      <c r="CM444" s="276"/>
      <c r="CN444" s="276"/>
      <c r="CO444" s="276"/>
      <c r="CP444" s="276"/>
      <c r="CQ444" s="276"/>
      <c r="CU444" s="276"/>
    </row>
    <row r="445" spans="75:99" ht="15.75">
      <c r="BW445" s="276"/>
      <c r="BY445" s="276"/>
      <c r="BZ445" s="276"/>
      <c r="CA445" s="276"/>
      <c r="CB445" s="276"/>
      <c r="CC445" s="276"/>
      <c r="CD445" s="276"/>
      <c r="CH445" s="276"/>
      <c r="CJ445" s="276"/>
      <c r="CK445" s="276"/>
      <c r="CL445" s="276"/>
      <c r="CM445" s="276"/>
      <c r="CN445" s="276"/>
      <c r="CO445" s="276"/>
      <c r="CP445" s="276"/>
      <c r="CQ445" s="276"/>
      <c r="CU445" s="276"/>
    </row>
    <row r="446" spans="75:99" ht="15.75">
      <c r="BW446" s="276"/>
      <c r="BY446" s="276"/>
      <c r="BZ446" s="276"/>
      <c r="CA446" s="276"/>
      <c r="CB446" s="276"/>
      <c r="CC446" s="276"/>
      <c r="CD446" s="276"/>
      <c r="CH446" s="276"/>
      <c r="CJ446" s="276"/>
      <c r="CK446" s="276"/>
      <c r="CL446" s="276"/>
      <c r="CM446" s="276"/>
      <c r="CN446" s="276"/>
      <c r="CO446" s="276"/>
      <c r="CP446" s="276"/>
      <c r="CQ446" s="276"/>
      <c r="CU446" s="276"/>
    </row>
    <row r="447" spans="75:99" ht="15.75">
      <c r="BW447" s="276"/>
      <c r="BY447" s="276"/>
      <c r="BZ447" s="276"/>
      <c r="CA447" s="276"/>
      <c r="CB447" s="276"/>
      <c r="CC447" s="276"/>
      <c r="CD447" s="276"/>
      <c r="CH447" s="276"/>
      <c r="CJ447" s="276"/>
      <c r="CK447" s="276"/>
      <c r="CL447" s="276"/>
      <c r="CM447" s="276"/>
      <c r="CN447" s="276"/>
      <c r="CO447" s="276"/>
      <c r="CP447" s="276"/>
      <c r="CQ447" s="276"/>
      <c r="CU447" s="276"/>
    </row>
    <row r="448" spans="75:99" ht="15.75">
      <c r="BW448" s="276"/>
      <c r="BY448" s="276"/>
      <c r="BZ448" s="276"/>
      <c r="CA448" s="276"/>
      <c r="CB448" s="276"/>
      <c r="CC448" s="276"/>
      <c r="CD448" s="276"/>
      <c r="CH448" s="276"/>
      <c r="CJ448" s="276"/>
      <c r="CK448" s="276"/>
      <c r="CL448" s="276"/>
      <c r="CM448" s="276"/>
      <c r="CN448" s="276"/>
      <c r="CO448" s="276"/>
      <c r="CP448" s="276"/>
      <c r="CQ448" s="276"/>
      <c r="CU448" s="276"/>
    </row>
    <row r="449" spans="75:99" ht="15.75">
      <c r="BW449" s="276"/>
      <c r="BY449" s="276"/>
      <c r="BZ449" s="276"/>
      <c r="CA449" s="276"/>
      <c r="CB449" s="276"/>
      <c r="CC449" s="276"/>
      <c r="CD449" s="276"/>
      <c r="CH449" s="276"/>
      <c r="CJ449" s="276"/>
      <c r="CK449" s="276"/>
      <c r="CL449" s="276"/>
      <c r="CM449" s="276"/>
      <c r="CN449" s="276"/>
      <c r="CO449" s="276"/>
      <c r="CP449" s="276"/>
      <c r="CQ449" s="276"/>
      <c r="CU449" s="276"/>
    </row>
    <row r="450" spans="75:99" ht="15.75">
      <c r="BW450" s="276"/>
      <c r="BY450" s="276"/>
      <c r="BZ450" s="276"/>
      <c r="CA450" s="276"/>
      <c r="CB450" s="276"/>
      <c r="CC450" s="276"/>
      <c r="CD450" s="276"/>
      <c r="CH450" s="276"/>
      <c r="CJ450" s="276"/>
      <c r="CK450" s="276"/>
      <c r="CL450" s="276"/>
      <c r="CM450" s="276"/>
      <c r="CN450" s="276"/>
      <c r="CO450" s="276"/>
      <c r="CP450" s="276"/>
      <c r="CQ450" s="276"/>
      <c r="CU450" s="276"/>
    </row>
    <row r="451" spans="75:99" ht="15.75">
      <c r="BW451" s="276"/>
      <c r="BY451" s="276"/>
      <c r="BZ451" s="276"/>
      <c r="CA451" s="276"/>
      <c r="CB451" s="276"/>
      <c r="CC451" s="276"/>
      <c r="CD451" s="276"/>
      <c r="CH451" s="276"/>
      <c r="CJ451" s="276"/>
      <c r="CK451" s="276"/>
      <c r="CL451" s="276"/>
      <c r="CM451" s="276"/>
      <c r="CN451" s="276"/>
      <c r="CO451" s="276"/>
      <c r="CP451" s="276"/>
      <c r="CQ451" s="276"/>
      <c r="CU451" s="276"/>
    </row>
    <row r="452" spans="75:99" ht="15.75">
      <c r="BW452" s="276"/>
      <c r="BY452" s="276"/>
      <c r="BZ452" s="276"/>
      <c r="CA452" s="276"/>
      <c r="CB452" s="276"/>
      <c r="CC452" s="276"/>
      <c r="CD452" s="276"/>
      <c r="CH452" s="276"/>
      <c r="CJ452" s="276"/>
      <c r="CK452" s="276"/>
      <c r="CL452" s="276"/>
      <c r="CM452" s="276"/>
      <c r="CN452" s="276"/>
      <c r="CO452" s="276"/>
      <c r="CP452" s="276"/>
      <c r="CQ452" s="276"/>
      <c r="CU452" s="276"/>
    </row>
    <row r="453" spans="75:99" ht="15.75">
      <c r="BW453" s="276"/>
      <c r="BY453" s="276"/>
      <c r="BZ453" s="276"/>
      <c r="CA453" s="276"/>
      <c r="CB453" s="276"/>
      <c r="CC453" s="276"/>
      <c r="CD453" s="276"/>
      <c r="CH453" s="276"/>
      <c r="CJ453" s="276"/>
      <c r="CK453" s="276"/>
      <c r="CL453" s="276"/>
      <c r="CM453" s="276"/>
      <c r="CN453" s="276"/>
      <c r="CO453" s="276"/>
      <c r="CP453" s="276"/>
      <c r="CQ453" s="276"/>
      <c r="CU453" s="276"/>
    </row>
    <row r="454" spans="75:99" ht="15.75">
      <c r="BW454" s="276"/>
      <c r="BY454" s="276"/>
      <c r="BZ454" s="276"/>
      <c r="CA454" s="276"/>
      <c r="CB454" s="276"/>
      <c r="CC454" s="276"/>
      <c r="CD454" s="276"/>
      <c r="CH454" s="276"/>
      <c r="CJ454" s="276"/>
      <c r="CK454" s="276"/>
      <c r="CL454" s="276"/>
      <c r="CM454" s="276"/>
      <c r="CN454" s="276"/>
      <c r="CO454" s="276"/>
      <c r="CP454" s="276"/>
      <c r="CQ454" s="276"/>
      <c r="CU454" s="276"/>
    </row>
    <row r="455" spans="75:99" ht="15.75">
      <c r="BW455" s="276"/>
      <c r="BY455" s="276"/>
      <c r="BZ455" s="276"/>
      <c r="CA455" s="276"/>
      <c r="CB455" s="276"/>
      <c r="CC455" s="276"/>
      <c r="CD455" s="276"/>
      <c r="CH455" s="276"/>
      <c r="CJ455" s="276"/>
      <c r="CK455" s="276"/>
      <c r="CL455" s="276"/>
      <c r="CM455" s="276"/>
      <c r="CN455" s="276"/>
      <c r="CO455" s="276"/>
      <c r="CP455" s="276"/>
      <c r="CQ455" s="276"/>
      <c r="CU455" s="276"/>
    </row>
    <row r="456" spans="75:99" ht="15.75">
      <c r="BW456" s="276"/>
      <c r="BY456" s="276"/>
      <c r="BZ456" s="276"/>
      <c r="CA456" s="276"/>
      <c r="CB456" s="276"/>
      <c r="CC456" s="276"/>
      <c r="CD456" s="276"/>
      <c r="CH456" s="276"/>
      <c r="CJ456" s="276"/>
      <c r="CK456" s="276"/>
      <c r="CL456" s="276"/>
      <c r="CM456" s="276"/>
      <c r="CN456" s="276"/>
      <c r="CO456" s="276"/>
      <c r="CP456" s="276"/>
      <c r="CQ456" s="276"/>
      <c r="CU456" s="276"/>
    </row>
    <row r="457" spans="75:99" ht="15.75">
      <c r="BW457" s="276"/>
      <c r="BY457" s="276"/>
      <c r="BZ457" s="276"/>
      <c r="CA457" s="276"/>
      <c r="CB457" s="276"/>
      <c r="CC457" s="276"/>
      <c r="CD457" s="276"/>
      <c r="CH457" s="276"/>
      <c r="CJ457" s="276"/>
      <c r="CK457" s="276"/>
      <c r="CL457" s="276"/>
      <c r="CM457" s="276"/>
      <c r="CN457" s="276"/>
      <c r="CO457" s="276"/>
      <c r="CP457" s="276"/>
      <c r="CQ457" s="276"/>
      <c r="CU457" s="276"/>
    </row>
    <row r="458" spans="75:99" ht="15.75">
      <c r="BW458" s="276"/>
      <c r="BY458" s="276"/>
      <c r="BZ458" s="276"/>
      <c r="CA458" s="276"/>
      <c r="CB458" s="276"/>
      <c r="CC458" s="276"/>
      <c r="CD458" s="276"/>
      <c r="CH458" s="276"/>
      <c r="CJ458" s="276"/>
      <c r="CK458" s="276"/>
      <c r="CL458" s="276"/>
      <c r="CM458" s="276"/>
      <c r="CN458" s="276"/>
      <c r="CO458" s="276"/>
      <c r="CP458" s="276"/>
      <c r="CQ458" s="276"/>
      <c r="CU458" s="276"/>
    </row>
    <row r="459" spans="75:99" ht="15.75">
      <c r="BW459" s="276"/>
      <c r="BY459" s="276"/>
      <c r="BZ459" s="276"/>
      <c r="CA459" s="276"/>
      <c r="CB459" s="276"/>
      <c r="CC459" s="276"/>
      <c r="CD459" s="276"/>
      <c r="CH459" s="276"/>
      <c r="CJ459" s="276"/>
      <c r="CK459" s="276"/>
      <c r="CL459" s="276"/>
      <c r="CM459" s="276"/>
      <c r="CN459" s="276"/>
      <c r="CO459" s="276"/>
      <c r="CP459" s="276"/>
      <c r="CQ459" s="276"/>
      <c r="CU459" s="276"/>
    </row>
    <row r="460" spans="75:99" ht="15.75">
      <c r="BW460" s="276"/>
      <c r="BY460" s="276"/>
      <c r="BZ460" s="276"/>
      <c r="CA460" s="276"/>
      <c r="CB460" s="276"/>
      <c r="CC460" s="276"/>
      <c r="CD460" s="276"/>
      <c r="CH460" s="276"/>
      <c r="CJ460" s="276"/>
      <c r="CK460" s="276"/>
      <c r="CL460" s="276"/>
      <c r="CM460" s="276"/>
      <c r="CN460" s="276"/>
      <c r="CO460" s="276"/>
      <c r="CP460" s="276"/>
      <c r="CQ460" s="276"/>
      <c r="CU460" s="276"/>
    </row>
    <row r="461" spans="75:99" ht="15.75">
      <c r="BW461" s="276"/>
      <c r="BY461" s="276"/>
      <c r="BZ461" s="276"/>
      <c r="CA461" s="276"/>
      <c r="CB461" s="276"/>
      <c r="CC461" s="276"/>
      <c r="CD461" s="276"/>
      <c r="CH461" s="276"/>
      <c r="CJ461" s="276"/>
      <c r="CK461" s="276"/>
      <c r="CL461" s="276"/>
      <c r="CM461" s="276"/>
      <c r="CN461" s="276"/>
      <c r="CO461" s="276"/>
      <c r="CP461" s="276"/>
      <c r="CQ461" s="276"/>
      <c r="CU461" s="276"/>
    </row>
    <row r="462" spans="75:99" ht="15.75">
      <c r="BW462" s="276"/>
      <c r="BY462" s="276"/>
      <c r="BZ462" s="276"/>
      <c r="CA462" s="276"/>
      <c r="CB462" s="276"/>
      <c r="CC462" s="276"/>
      <c r="CD462" s="276"/>
      <c r="CH462" s="276"/>
      <c r="CJ462" s="276"/>
      <c r="CK462" s="276"/>
      <c r="CL462" s="276"/>
      <c r="CM462" s="276"/>
      <c r="CN462" s="276"/>
      <c r="CO462" s="276"/>
      <c r="CP462" s="276"/>
      <c r="CQ462" s="276"/>
      <c r="CU462" s="276"/>
    </row>
    <row r="463" spans="75:99" ht="15.75">
      <c r="BW463" s="276"/>
      <c r="BY463" s="276"/>
      <c r="BZ463" s="276"/>
      <c r="CA463" s="276"/>
      <c r="CB463" s="276"/>
      <c r="CC463" s="276"/>
      <c r="CD463" s="276"/>
      <c r="CH463" s="276"/>
      <c r="CJ463" s="276"/>
      <c r="CK463" s="276"/>
      <c r="CL463" s="276"/>
      <c r="CM463" s="276"/>
      <c r="CN463" s="276"/>
      <c r="CO463" s="276"/>
      <c r="CP463" s="276"/>
      <c r="CQ463" s="276"/>
      <c r="CU463" s="276"/>
    </row>
    <row r="464" spans="75:99" ht="15.75">
      <c r="BW464" s="276"/>
      <c r="BY464" s="276"/>
      <c r="BZ464" s="276"/>
      <c r="CA464" s="276"/>
      <c r="CB464" s="276"/>
      <c r="CC464" s="276"/>
      <c r="CD464" s="276"/>
      <c r="CH464" s="276"/>
      <c r="CJ464" s="276"/>
      <c r="CK464" s="276"/>
      <c r="CL464" s="276"/>
      <c r="CM464" s="276"/>
      <c r="CN464" s="276"/>
      <c r="CO464" s="276"/>
      <c r="CP464" s="276"/>
      <c r="CQ464" s="276"/>
      <c r="CU464" s="276"/>
    </row>
    <row r="465" spans="75:99" ht="15.75">
      <c r="BW465" s="276"/>
      <c r="BY465" s="276"/>
      <c r="BZ465" s="276"/>
      <c r="CA465" s="276"/>
      <c r="CB465" s="276"/>
      <c r="CC465" s="276"/>
      <c r="CD465" s="276"/>
      <c r="CH465" s="276"/>
      <c r="CJ465" s="276"/>
      <c r="CK465" s="276"/>
      <c r="CL465" s="276"/>
      <c r="CM465" s="276"/>
      <c r="CN465" s="276"/>
      <c r="CO465" s="276"/>
      <c r="CP465" s="276"/>
      <c r="CQ465" s="276"/>
      <c r="CU465" s="276"/>
    </row>
    <row r="466" spans="75:99" ht="15.75">
      <c r="BW466" s="276"/>
      <c r="BY466" s="276"/>
      <c r="BZ466" s="276"/>
      <c r="CA466" s="276"/>
      <c r="CB466" s="276"/>
      <c r="CC466" s="276"/>
      <c r="CD466" s="276"/>
      <c r="CH466" s="276"/>
      <c r="CJ466" s="276"/>
      <c r="CK466" s="276"/>
      <c r="CL466" s="276"/>
      <c r="CM466" s="276"/>
      <c r="CN466" s="276"/>
      <c r="CO466" s="276"/>
      <c r="CP466" s="276"/>
      <c r="CQ466" s="276"/>
      <c r="CU466" s="276"/>
    </row>
    <row r="467" spans="75:99" ht="15.75">
      <c r="BW467" s="276"/>
      <c r="BY467" s="276"/>
      <c r="BZ467" s="276"/>
      <c r="CA467" s="276"/>
      <c r="CB467" s="276"/>
      <c r="CC467" s="276"/>
      <c r="CD467" s="276"/>
      <c r="CH467" s="276"/>
      <c r="CJ467" s="276"/>
      <c r="CK467" s="276"/>
      <c r="CL467" s="276"/>
      <c r="CM467" s="276"/>
      <c r="CN467" s="276"/>
      <c r="CO467" s="276"/>
      <c r="CP467" s="276"/>
      <c r="CQ467" s="276"/>
      <c r="CU467" s="276"/>
    </row>
    <row r="468" spans="75:99" ht="15.75">
      <c r="BW468" s="276"/>
      <c r="BY468" s="276"/>
      <c r="BZ468" s="276"/>
      <c r="CA468" s="276"/>
      <c r="CB468" s="276"/>
      <c r="CC468" s="276"/>
      <c r="CD468" s="276"/>
      <c r="CH468" s="276"/>
      <c r="CJ468" s="276"/>
      <c r="CK468" s="276"/>
      <c r="CL468" s="276"/>
      <c r="CM468" s="276"/>
      <c r="CN468" s="276"/>
      <c r="CO468" s="276"/>
      <c r="CP468" s="276"/>
      <c r="CQ468" s="276"/>
      <c r="CU468" s="276"/>
    </row>
    <row r="469" spans="75:99" ht="15.75">
      <c r="BW469" s="276"/>
      <c r="BY469" s="276"/>
      <c r="BZ469" s="276"/>
      <c r="CA469" s="276"/>
      <c r="CB469" s="276"/>
      <c r="CC469" s="276"/>
      <c r="CD469" s="276"/>
      <c r="CH469" s="276"/>
      <c r="CJ469" s="276"/>
      <c r="CK469" s="276"/>
      <c r="CL469" s="276"/>
      <c r="CM469" s="276"/>
      <c r="CN469" s="276"/>
      <c r="CO469" s="276"/>
      <c r="CP469" s="276"/>
      <c r="CQ469" s="276"/>
      <c r="CU469" s="276"/>
    </row>
    <row r="470" spans="75:99" ht="15.75">
      <c r="BW470" s="276"/>
      <c r="BY470" s="276"/>
      <c r="BZ470" s="276"/>
      <c r="CA470" s="276"/>
      <c r="CB470" s="276"/>
      <c r="CC470" s="276"/>
      <c r="CD470" s="276"/>
      <c r="CH470" s="276"/>
      <c r="CJ470" s="276"/>
      <c r="CK470" s="276"/>
      <c r="CL470" s="276"/>
      <c r="CM470" s="276"/>
      <c r="CN470" s="276"/>
      <c r="CO470" s="276"/>
      <c r="CP470" s="276"/>
      <c r="CQ470" s="276"/>
      <c r="CU470" s="276"/>
    </row>
    <row r="471" spans="75:99" ht="15.75">
      <c r="BW471" s="276"/>
      <c r="BY471" s="276"/>
      <c r="BZ471" s="276"/>
      <c r="CA471" s="276"/>
      <c r="CB471" s="276"/>
      <c r="CC471" s="276"/>
      <c r="CD471" s="276"/>
      <c r="CH471" s="276"/>
      <c r="CJ471" s="276"/>
      <c r="CK471" s="276"/>
      <c r="CL471" s="276"/>
      <c r="CM471" s="276"/>
      <c r="CN471" s="276"/>
      <c r="CO471" s="276"/>
      <c r="CP471" s="276"/>
      <c r="CQ471" s="276"/>
      <c r="CU471" s="276"/>
    </row>
    <row r="472" spans="75:99" ht="15.75">
      <c r="BW472" s="276"/>
      <c r="BY472" s="276"/>
      <c r="BZ472" s="276"/>
      <c r="CA472" s="276"/>
      <c r="CB472" s="276"/>
      <c r="CC472" s="276"/>
      <c r="CD472" s="276"/>
      <c r="CH472" s="276"/>
      <c r="CJ472" s="276"/>
      <c r="CK472" s="276"/>
      <c r="CL472" s="276"/>
      <c r="CM472" s="276"/>
      <c r="CN472" s="276"/>
      <c r="CO472" s="276"/>
      <c r="CP472" s="276"/>
      <c r="CQ472" s="276"/>
      <c r="CU472" s="276"/>
    </row>
    <row r="473" spans="75:99" ht="15.75">
      <c r="BW473" s="276"/>
      <c r="BY473" s="276"/>
      <c r="BZ473" s="276"/>
      <c r="CA473" s="276"/>
      <c r="CB473" s="276"/>
      <c r="CC473" s="276"/>
      <c r="CD473" s="276"/>
      <c r="CH473" s="276"/>
      <c r="CJ473" s="276"/>
      <c r="CK473" s="276"/>
      <c r="CL473" s="276"/>
      <c r="CM473" s="276"/>
      <c r="CN473" s="276"/>
      <c r="CO473" s="276"/>
      <c r="CP473" s="276"/>
      <c r="CQ473" s="276"/>
      <c r="CU473" s="276"/>
    </row>
    <row r="474" spans="75:99" ht="15.75">
      <c r="BW474" s="276"/>
      <c r="BY474" s="276"/>
      <c r="BZ474" s="276"/>
      <c r="CA474" s="276"/>
      <c r="CB474" s="276"/>
      <c r="CC474" s="276"/>
      <c r="CD474" s="276"/>
      <c r="CH474" s="276"/>
      <c r="CJ474" s="276"/>
      <c r="CK474" s="276"/>
      <c r="CL474" s="276"/>
      <c r="CM474" s="276"/>
      <c r="CN474" s="276"/>
      <c r="CO474" s="276"/>
      <c r="CP474" s="276"/>
      <c r="CQ474" s="276"/>
      <c r="CU474" s="276"/>
    </row>
    <row r="475" spans="75:99" ht="15.75">
      <c r="BW475" s="276"/>
      <c r="BY475" s="276"/>
      <c r="BZ475" s="276"/>
      <c r="CA475" s="276"/>
      <c r="CB475" s="276"/>
      <c r="CC475" s="276"/>
      <c r="CD475" s="276"/>
      <c r="CH475" s="276"/>
      <c r="CJ475" s="276"/>
      <c r="CK475" s="276"/>
      <c r="CL475" s="276"/>
      <c r="CM475" s="276"/>
      <c r="CN475" s="276"/>
      <c r="CO475" s="276"/>
      <c r="CP475" s="276"/>
      <c r="CQ475" s="276"/>
      <c r="CU475" s="276"/>
    </row>
    <row r="476" spans="75:99" ht="15.75">
      <c r="BW476" s="276"/>
      <c r="BY476" s="276"/>
      <c r="BZ476" s="276"/>
      <c r="CA476" s="276"/>
      <c r="CB476" s="276"/>
      <c r="CC476" s="276"/>
      <c r="CD476" s="276"/>
      <c r="CH476" s="276"/>
      <c r="CJ476" s="276"/>
      <c r="CK476" s="276"/>
      <c r="CL476" s="276"/>
      <c r="CM476" s="276"/>
      <c r="CN476" s="276"/>
      <c r="CO476" s="276"/>
      <c r="CP476" s="276"/>
      <c r="CQ476" s="276"/>
      <c r="CU476" s="276"/>
    </row>
    <row r="477" spans="75:99" ht="15.75">
      <c r="BW477" s="276"/>
      <c r="BY477" s="276"/>
      <c r="BZ477" s="276"/>
      <c r="CA477" s="276"/>
      <c r="CB477" s="276"/>
      <c r="CC477" s="276"/>
      <c r="CD477" s="276"/>
      <c r="CH477" s="276"/>
      <c r="CJ477" s="276"/>
      <c r="CK477" s="276"/>
      <c r="CL477" s="276"/>
      <c r="CM477" s="276"/>
      <c r="CN477" s="276"/>
      <c r="CO477" s="276"/>
      <c r="CP477" s="276"/>
      <c r="CQ477" s="276"/>
      <c r="CU477" s="276"/>
    </row>
    <row r="478" spans="75:99" ht="15.75">
      <c r="BW478" s="276"/>
      <c r="BY478" s="276"/>
      <c r="BZ478" s="276"/>
      <c r="CA478" s="276"/>
      <c r="CB478" s="276"/>
      <c r="CC478" s="276"/>
      <c r="CD478" s="276"/>
      <c r="CH478" s="276"/>
      <c r="CJ478" s="276"/>
      <c r="CK478" s="276"/>
      <c r="CL478" s="276"/>
      <c r="CM478" s="276"/>
      <c r="CN478" s="276"/>
      <c r="CO478" s="276"/>
      <c r="CP478" s="276"/>
      <c r="CQ478" s="276"/>
      <c r="CU478" s="276"/>
    </row>
    <row r="479" spans="75:99" ht="15.75">
      <c r="BW479" s="276"/>
      <c r="BY479" s="276"/>
      <c r="BZ479" s="276"/>
      <c r="CA479" s="276"/>
      <c r="CB479" s="276"/>
      <c r="CC479" s="276"/>
      <c r="CD479" s="276"/>
      <c r="CH479" s="276"/>
      <c r="CJ479" s="276"/>
      <c r="CK479" s="276"/>
      <c r="CL479" s="276"/>
      <c r="CM479" s="276"/>
      <c r="CN479" s="276"/>
      <c r="CO479" s="276"/>
      <c r="CP479" s="276"/>
      <c r="CQ479" s="276"/>
      <c r="CU479" s="276"/>
    </row>
    <row r="480" spans="75:99" ht="15.75">
      <c r="BW480" s="276"/>
      <c r="BY480" s="276"/>
      <c r="BZ480" s="276"/>
      <c r="CA480" s="276"/>
      <c r="CB480" s="276"/>
      <c r="CC480" s="276"/>
      <c r="CD480" s="276"/>
      <c r="CH480" s="276"/>
      <c r="CJ480" s="276"/>
      <c r="CK480" s="276"/>
      <c r="CL480" s="276"/>
      <c r="CM480" s="276"/>
      <c r="CN480" s="276"/>
      <c r="CO480" s="276"/>
      <c r="CP480" s="276"/>
      <c r="CQ480" s="276"/>
      <c r="CU480" s="276"/>
    </row>
    <row r="481" spans="75:99" ht="15.75">
      <c r="BW481" s="276"/>
      <c r="BY481" s="276"/>
      <c r="BZ481" s="276"/>
      <c r="CA481" s="276"/>
      <c r="CB481" s="276"/>
      <c r="CC481" s="276"/>
      <c r="CD481" s="276"/>
      <c r="CH481" s="276"/>
      <c r="CJ481" s="276"/>
      <c r="CK481" s="276"/>
      <c r="CL481" s="276"/>
      <c r="CM481" s="276"/>
      <c r="CN481" s="276"/>
      <c r="CO481" s="276"/>
      <c r="CP481" s="276"/>
      <c r="CQ481" s="276"/>
      <c r="CU481" s="276"/>
    </row>
    <row r="482" spans="75:99" ht="15.75">
      <c r="BW482" s="276"/>
      <c r="BY482" s="276"/>
      <c r="BZ482" s="276"/>
      <c r="CA482" s="276"/>
      <c r="CB482" s="276"/>
      <c r="CC482" s="276"/>
      <c r="CD482" s="276"/>
      <c r="CH482" s="276"/>
      <c r="CJ482" s="276"/>
      <c r="CK482" s="276"/>
      <c r="CL482" s="276"/>
      <c r="CM482" s="276"/>
      <c r="CN482" s="276"/>
      <c r="CO482" s="276"/>
      <c r="CP482" s="276"/>
      <c r="CQ482" s="276"/>
      <c r="CU482" s="276"/>
    </row>
    <row r="483" spans="75:99" ht="15.75">
      <c r="BW483" s="276"/>
      <c r="BY483" s="276"/>
      <c r="BZ483" s="276"/>
      <c r="CA483" s="276"/>
      <c r="CB483" s="276"/>
      <c r="CC483" s="276"/>
      <c r="CD483" s="276"/>
      <c r="CH483" s="276"/>
      <c r="CJ483" s="276"/>
      <c r="CK483" s="276"/>
      <c r="CL483" s="276"/>
      <c r="CM483" s="276"/>
      <c r="CN483" s="276"/>
      <c r="CO483" s="276"/>
      <c r="CP483" s="276"/>
      <c r="CQ483" s="276"/>
      <c r="CU483" s="276"/>
    </row>
    <row r="484" spans="75:99" ht="15.75">
      <c r="BW484" s="276"/>
      <c r="BY484" s="276"/>
      <c r="BZ484" s="276"/>
      <c r="CA484" s="276"/>
      <c r="CB484" s="276"/>
      <c r="CC484" s="276"/>
      <c r="CD484" s="276"/>
      <c r="CH484" s="276"/>
      <c r="CJ484" s="276"/>
      <c r="CK484" s="276"/>
      <c r="CL484" s="276"/>
      <c r="CM484" s="276"/>
      <c r="CN484" s="276"/>
      <c r="CO484" s="276"/>
      <c r="CP484" s="276"/>
      <c r="CQ484" s="276"/>
      <c r="CU484" s="276"/>
    </row>
    <row r="485" spans="75:99" ht="15.75">
      <c r="BW485" s="276"/>
      <c r="BY485" s="276"/>
      <c r="BZ485" s="276"/>
      <c r="CA485" s="276"/>
      <c r="CB485" s="276"/>
      <c r="CC485" s="276"/>
      <c r="CD485" s="276"/>
      <c r="CH485" s="276"/>
      <c r="CJ485" s="276"/>
      <c r="CK485" s="276"/>
      <c r="CL485" s="276"/>
      <c r="CM485" s="276"/>
      <c r="CN485" s="276"/>
      <c r="CO485" s="276"/>
      <c r="CP485" s="276"/>
      <c r="CQ485" s="276"/>
      <c r="CU485" s="276"/>
    </row>
    <row r="486" spans="75:99" ht="15.75">
      <c r="BW486" s="276"/>
      <c r="BY486" s="276"/>
      <c r="BZ486" s="276"/>
      <c r="CA486" s="276"/>
      <c r="CB486" s="276"/>
      <c r="CC486" s="276"/>
      <c r="CD486" s="276"/>
      <c r="CH486" s="276"/>
      <c r="CJ486" s="276"/>
      <c r="CK486" s="276"/>
      <c r="CL486" s="276"/>
      <c r="CM486" s="276"/>
      <c r="CN486" s="276"/>
      <c r="CO486" s="276"/>
      <c r="CP486" s="276"/>
      <c r="CQ486" s="276"/>
      <c r="CU486" s="276"/>
    </row>
    <row r="487" spans="75:99" ht="15.75">
      <c r="BW487" s="276"/>
      <c r="BY487" s="276"/>
      <c r="BZ487" s="276"/>
      <c r="CA487" s="276"/>
      <c r="CB487" s="276"/>
      <c r="CC487" s="276"/>
      <c r="CD487" s="276"/>
      <c r="CH487" s="276"/>
      <c r="CJ487" s="276"/>
      <c r="CK487" s="276"/>
      <c r="CL487" s="276"/>
      <c r="CM487" s="276"/>
      <c r="CN487" s="276"/>
      <c r="CO487" s="276"/>
      <c r="CP487" s="276"/>
      <c r="CQ487" s="276"/>
      <c r="CU487" s="276"/>
    </row>
    <row r="488" spans="75:99" ht="15.75">
      <c r="BW488" s="276"/>
      <c r="BY488" s="276"/>
      <c r="BZ488" s="276"/>
      <c r="CA488" s="276"/>
      <c r="CB488" s="276"/>
      <c r="CC488" s="276"/>
      <c r="CD488" s="276"/>
      <c r="CH488" s="276"/>
      <c r="CJ488" s="276"/>
      <c r="CK488" s="276"/>
      <c r="CL488" s="276"/>
      <c r="CM488" s="276"/>
      <c r="CN488" s="276"/>
      <c r="CO488" s="276"/>
      <c r="CP488" s="276"/>
      <c r="CQ488" s="276"/>
      <c r="CU488" s="276"/>
    </row>
    <row r="489" spans="75:99" ht="15.75">
      <c r="BW489" s="276"/>
      <c r="BY489" s="276"/>
      <c r="BZ489" s="276"/>
      <c r="CA489" s="276"/>
      <c r="CB489" s="276"/>
      <c r="CC489" s="276"/>
      <c r="CD489" s="276"/>
      <c r="CH489" s="276"/>
      <c r="CJ489" s="276"/>
      <c r="CK489" s="276"/>
      <c r="CL489" s="276"/>
      <c r="CM489" s="276"/>
      <c r="CN489" s="276"/>
      <c r="CO489" s="276"/>
      <c r="CP489" s="276"/>
      <c r="CQ489" s="276"/>
      <c r="CU489" s="276"/>
    </row>
    <row r="490" spans="75:99" ht="15.75">
      <c r="BW490" s="276"/>
      <c r="BY490" s="276"/>
      <c r="BZ490" s="276"/>
      <c r="CA490" s="276"/>
      <c r="CB490" s="276"/>
      <c r="CC490" s="276"/>
      <c r="CD490" s="276"/>
      <c r="CH490" s="276"/>
      <c r="CJ490" s="276"/>
      <c r="CK490" s="276"/>
      <c r="CL490" s="276"/>
      <c r="CM490" s="276"/>
      <c r="CN490" s="276"/>
      <c r="CO490" s="276"/>
      <c r="CP490" s="276"/>
      <c r="CQ490" s="276"/>
      <c r="CU490" s="276"/>
    </row>
    <row r="491" spans="75:99" ht="15.75">
      <c r="BW491" s="276"/>
      <c r="BY491" s="276"/>
      <c r="BZ491" s="276"/>
      <c r="CA491" s="276"/>
      <c r="CB491" s="276"/>
      <c r="CC491" s="276"/>
      <c r="CD491" s="276"/>
      <c r="CH491" s="276"/>
      <c r="CJ491" s="276"/>
      <c r="CK491" s="276"/>
      <c r="CL491" s="276"/>
      <c r="CM491" s="276"/>
      <c r="CN491" s="276"/>
      <c r="CO491" s="276"/>
      <c r="CP491" s="276"/>
      <c r="CQ491" s="276"/>
      <c r="CU491" s="276"/>
    </row>
    <row r="492" spans="75:99" ht="15.75">
      <c r="BW492" s="276"/>
      <c r="BY492" s="276"/>
      <c r="BZ492" s="276"/>
      <c r="CA492" s="276"/>
      <c r="CB492" s="276"/>
      <c r="CC492" s="276"/>
      <c r="CD492" s="276"/>
      <c r="CH492" s="276"/>
      <c r="CJ492" s="276"/>
      <c r="CK492" s="276"/>
      <c r="CL492" s="276"/>
      <c r="CM492" s="276"/>
      <c r="CN492" s="276"/>
      <c r="CO492" s="276"/>
      <c r="CP492" s="276"/>
      <c r="CQ492" s="276"/>
      <c r="CU492" s="276"/>
    </row>
    <row r="493" spans="75:99" ht="15.75">
      <c r="BW493" s="276"/>
      <c r="BY493" s="276"/>
      <c r="BZ493" s="276"/>
      <c r="CA493" s="276"/>
      <c r="CB493" s="276"/>
      <c r="CC493" s="276"/>
      <c r="CD493" s="276"/>
      <c r="CH493" s="276"/>
      <c r="CJ493" s="276"/>
      <c r="CK493" s="276"/>
      <c r="CL493" s="276"/>
      <c r="CM493" s="276"/>
      <c r="CN493" s="276"/>
      <c r="CO493" s="276"/>
      <c r="CP493" s="276"/>
      <c r="CQ493" s="276"/>
      <c r="CU493" s="276"/>
    </row>
    <row r="494" spans="75:99" ht="15.75">
      <c r="BW494" s="276"/>
      <c r="BY494" s="276"/>
      <c r="BZ494" s="276"/>
      <c r="CA494" s="276"/>
      <c r="CB494" s="276"/>
      <c r="CC494" s="276"/>
      <c r="CD494" s="276"/>
      <c r="CH494" s="276"/>
      <c r="CJ494" s="276"/>
      <c r="CK494" s="276"/>
      <c r="CL494" s="276"/>
      <c r="CM494" s="276"/>
      <c r="CN494" s="276"/>
      <c r="CO494" s="276"/>
      <c r="CP494" s="276"/>
      <c r="CQ494" s="276"/>
      <c r="CU494" s="276"/>
    </row>
    <row r="495" spans="75:99" ht="15.75">
      <c r="BW495" s="276"/>
      <c r="BY495" s="276"/>
      <c r="BZ495" s="276"/>
      <c r="CA495" s="276"/>
      <c r="CB495" s="276"/>
      <c r="CC495" s="276"/>
      <c r="CD495" s="276"/>
      <c r="CH495" s="276"/>
      <c r="CJ495" s="276"/>
      <c r="CK495" s="276"/>
      <c r="CL495" s="276"/>
      <c r="CM495" s="276"/>
      <c r="CN495" s="276"/>
      <c r="CO495" s="276"/>
      <c r="CP495" s="276"/>
      <c r="CQ495" s="276"/>
      <c r="CU495" s="276"/>
    </row>
    <row r="496" spans="75:99" ht="15.75">
      <c r="BW496" s="276"/>
      <c r="BY496" s="276"/>
      <c r="BZ496" s="276"/>
      <c r="CA496" s="276"/>
      <c r="CB496" s="276"/>
      <c r="CC496" s="276"/>
      <c r="CD496" s="276"/>
      <c r="CH496" s="276"/>
      <c r="CJ496" s="276"/>
      <c r="CK496" s="276"/>
      <c r="CL496" s="276"/>
      <c r="CM496" s="276"/>
      <c r="CN496" s="276"/>
      <c r="CO496" s="276"/>
      <c r="CP496" s="276"/>
      <c r="CQ496" s="276"/>
      <c r="CU496" s="276"/>
    </row>
    <row r="497" spans="75:99" ht="15.75">
      <c r="BW497" s="276"/>
      <c r="BY497" s="276"/>
      <c r="BZ497" s="276"/>
      <c r="CA497" s="276"/>
      <c r="CB497" s="276"/>
      <c r="CC497" s="276"/>
      <c r="CD497" s="276"/>
      <c r="CH497" s="276"/>
      <c r="CJ497" s="276"/>
      <c r="CK497" s="276"/>
      <c r="CL497" s="276"/>
      <c r="CM497" s="276"/>
      <c r="CN497" s="276"/>
      <c r="CO497" s="276"/>
      <c r="CP497" s="276"/>
      <c r="CQ497" s="276"/>
      <c r="CU497" s="276"/>
    </row>
    <row r="498" spans="75:99" ht="15.75">
      <c r="BW498" s="276"/>
      <c r="BY498" s="276"/>
      <c r="BZ498" s="276"/>
      <c r="CA498" s="276"/>
      <c r="CB498" s="276"/>
      <c r="CC498" s="276"/>
      <c r="CD498" s="276"/>
      <c r="CH498" s="276"/>
      <c r="CJ498" s="276"/>
      <c r="CK498" s="276"/>
      <c r="CL498" s="276"/>
      <c r="CM498" s="276"/>
      <c r="CN498" s="276"/>
      <c r="CO498" s="276"/>
      <c r="CP498" s="276"/>
      <c r="CQ498" s="276"/>
      <c r="CU498" s="276"/>
    </row>
    <row r="499" spans="75:99" ht="15.75">
      <c r="BW499" s="276"/>
      <c r="BY499" s="276"/>
      <c r="BZ499" s="276"/>
      <c r="CA499" s="276"/>
      <c r="CB499" s="276"/>
      <c r="CC499" s="276"/>
      <c r="CD499" s="276"/>
      <c r="CH499" s="276"/>
      <c r="CJ499" s="276"/>
      <c r="CK499" s="276"/>
      <c r="CL499" s="276"/>
      <c r="CM499" s="276"/>
      <c r="CN499" s="276"/>
      <c r="CO499" s="276"/>
      <c r="CP499" s="276"/>
      <c r="CQ499" s="276"/>
      <c r="CU499" s="276"/>
    </row>
    <row r="500" spans="75:99" ht="15.75">
      <c r="BW500" s="276"/>
      <c r="BY500" s="276"/>
      <c r="BZ500" s="276"/>
      <c r="CA500" s="276"/>
      <c r="CB500" s="276"/>
      <c r="CC500" s="276"/>
      <c r="CD500" s="276"/>
      <c r="CH500" s="276"/>
      <c r="CJ500" s="276"/>
      <c r="CK500" s="276"/>
      <c r="CL500" s="276"/>
      <c r="CM500" s="276"/>
      <c r="CN500" s="276"/>
      <c r="CO500" s="276"/>
      <c r="CP500" s="276"/>
      <c r="CQ500" s="276"/>
      <c r="CU500" s="276"/>
    </row>
    <row r="501" spans="75:99" ht="15.75">
      <c r="BW501" s="276"/>
      <c r="BY501" s="276"/>
      <c r="BZ501" s="276"/>
      <c r="CA501" s="276"/>
      <c r="CB501" s="276"/>
      <c r="CC501" s="276"/>
      <c r="CD501" s="276"/>
      <c r="CH501" s="276"/>
      <c r="CJ501" s="276"/>
      <c r="CK501" s="276"/>
      <c r="CL501" s="276"/>
      <c r="CM501" s="276"/>
      <c r="CN501" s="276"/>
      <c r="CO501" s="276"/>
      <c r="CP501" s="276"/>
      <c r="CQ501" s="276"/>
      <c r="CU501" s="276"/>
    </row>
    <row r="502" spans="75:99" ht="15.75">
      <c r="BW502" s="276"/>
      <c r="BY502" s="276"/>
      <c r="BZ502" s="276"/>
      <c r="CA502" s="276"/>
      <c r="CB502" s="276"/>
      <c r="CC502" s="276"/>
      <c r="CD502" s="276"/>
      <c r="CH502" s="276"/>
      <c r="CJ502" s="276"/>
      <c r="CK502" s="276"/>
      <c r="CL502" s="276"/>
      <c r="CM502" s="276"/>
      <c r="CN502" s="276"/>
      <c r="CO502" s="276"/>
      <c r="CP502" s="276"/>
      <c r="CQ502" s="276"/>
      <c r="CU502" s="276"/>
    </row>
    <row r="503" spans="75:99" ht="15.75">
      <c r="BW503" s="276"/>
      <c r="BY503" s="276"/>
      <c r="BZ503" s="276"/>
      <c r="CA503" s="276"/>
      <c r="CB503" s="276"/>
      <c r="CC503" s="276"/>
      <c r="CD503" s="276"/>
      <c r="CH503" s="276"/>
      <c r="CJ503" s="276"/>
      <c r="CK503" s="276"/>
      <c r="CL503" s="276"/>
      <c r="CM503" s="276"/>
      <c r="CN503" s="276"/>
      <c r="CO503" s="276"/>
      <c r="CP503" s="276"/>
      <c r="CQ503" s="276"/>
      <c r="CU503" s="276"/>
    </row>
    <row r="504" spans="75:99" ht="15.75">
      <c r="BW504" s="276"/>
      <c r="BY504" s="276"/>
      <c r="BZ504" s="276"/>
      <c r="CA504" s="276"/>
      <c r="CB504" s="276"/>
      <c r="CC504" s="276"/>
      <c r="CD504" s="276"/>
      <c r="CH504" s="276"/>
      <c r="CJ504" s="276"/>
      <c r="CK504" s="276"/>
      <c r="CL504" s="276"/>
      <c r="CM504" s="276"/>
      <c r="CN504" s="276"/>
      <c r="CO504" s="276"/>
      <c r="CP504" s="276"/>
      <c r="CQ504" s="276"/>
      <c r="CU504" s="276"/>
    </row>
    <row r="505" spans="75:99" ht="15.75">
      <c r="BW505" s="276"/>
      <c r="BY505" s="276"/>
      <c r="BZ505" s="276"/>
      <c r="CA505" s="276"/>
      <c r="CB505" s="276"/>
      <c r="CC505" s="276"/>
      <c r="CD505" s="276"/>
      <c r="CH505" s="276"/>
      <c r="CJ505" s="276"/>
      <c r="CK505" s="276"/>
      <c r="CL505" s="276"/>
      <c r="CM505" s="276"/>
      <c r="CN505" s="276"/>
      <c r="CO505" s="276"/>
      <c r="CP505" s="276"/>
      <c r="CQ505" s="276"/>
      <c r="CU505" s="276"/>
    </row>
    <row r="506" spans="75:99" ht="15.75">
      <c r="BW506" s="276"/>
      <c r="BY506" s="276"/>
      <c r="BZ506" s="276"/>
      <c r="CA506" s="276"/>
      <c r="CB506" s="276"/>
      <c r="CC506" s="276"/>
      <c r="CD506" s="276"/>
      <c r="CH506" s="276"/>
      <c r="CJ506" s="276"/>
      <c r="CK506" s="276"/>
      <c r="CL506" s="276"/>
      <c r="CM506" s="276"/>
      <c r="CN506" s="276"/>
      <c r="CO506" s="276"/>
      <c r="CP506" s="276"/>
      <c r="CQ506" s="276"/>
      <c r="CU506" s="276"/>
    </row>
    <row r="507" spans="75:99" ht="15.75">
      <c r="BW507" s="276"/>
      <c r="BY507" s="276"/>
      <c r="BZ507" s="276"/>
      <c r="CA507" s="276"/>
      <c r="CB507" s="276"/>
      <c r="CC507" s="276"/>
      <c r="CD507" s="276"/>
      <c r="CH507" s="276"/>
      <c r="CJ507" s="276"/>
      <c r="CK507" s="276"/>
      <c r="CL507" s="276"/>
      <c r="CM507" s="276"/>
      <c r="CN507" s="276"/>
      <c r="CO507" s="276"/>
      <c r="CP507" s="276"/>
      <c r="CQ507" s="276"/>
      <c r="CU507" s="276"/>
    </row>
    <row r="508" spans="75:99" ht="15.75">
      <c r="BW508" s="276"/>
      <c r="BY508" s="276"/>
      <c r="BZ508" s="276"/>
      <c r="CA508" s="276"/>
      <c r="CB508" s="276"/>
      <c r="CC508" s="276"/>
      <c r="CD508" s="276"/>
      <c r="CH508" s="276"/>
      <c r="CJ508" s="276"/>
      <c r="CK508" s="276"/>
      <c r="CL508" s="276"/>
      <c r="CM508" s="276"/>
      <c r="CN508" s="276"/>
      <c r="CO508" s="276"/>
      <c r="CP508" s="276"/>
      <c r="CQ508" s="276"/>
      <c r="CU508" s="276"/>
    </row>
    <row r="509" spans="75:99" ht="15.75">
      <c r="BW509" s="276"/>
      <c r="BY509" s="276"/>
      <c r="BZ509" s="276"/>
      <c r="CA509" s="276"/>
      <c r="CB509" s="276"/>
      <c r="CC509" s="276"/>
      <c r="CD509" s="276"/>
      <c r="CH509" s="276"/>
      <c r="CJ509" s="276"/>
      <c r="CK509" s="276"/>
      <c r="CL509" s="276"/>
      <c r="CM509" s="276"/>
      <c r="CN509" s="276"/>
      <c r="CO509" s="276"/>
      <c r="CP509" s="276"/>
      <c r="CQ509" s="276"/>
      <c r="CU509" s="276"/>
    </row>
    <row r="510" spans="75:99" ht="15.75">
      <c r="BW510" s="276"/>
      <c r="BY510" s="276"/>
      <c r="BZ510" s="276"/>
      <c r="CA510" s="276"/>
      <c r="CB510" s="276"/>
      <c r="CC510" s="276"/>
      <c r="CD510" s="276"/>
      <c r="CH510" s="276"/>
      <c r="CJ510" s="276"/>
      <c r="CK510" s="276"/>
      <c r="CL510" s="276"/>
      <c r="CM510" s="276"/>
      <c r="CN510" s="276"/>
      <c r="CO510" s="276"/>
      <c r="CP510" s="276"/>
      <c r="CQ510" s="276"/>
      <c r="CU510" s="276"/>
    </row>
    <row r="511" spans="75:99" ht="15.75">
      <c r="BW511" s="276"/>
      <c r="BY511" s="276"/>
      <c r="BZ511" s="276"/>
      <c r="CA511" s="276"/>
      <c r="CB511" s="276"/>
      <c r="CC511" s="276"/>
      <c r="CD511" s="276"/>
      <c r="CH511" s="276"/>
      <c r="CJ511" s="276"/>
      <c r="CK511" s="276"/>
      <c r="CL511" s="276"/>
      <c r="CM511" s="276"/>
      <c r="CN511" s="276"/>
      <c r="CO511" s="276"/>
      <c r="CP511" s="276"/>
      <c r="CQ511" s="276"/>
      <c r="CU511" s="276"/>
    </row>
    <row r="512" spans="75:99" ht="15.75">
      <c r="BW512" s="276"/>
      <c r="BY512" s="276"/>
      <c r="BZ512" s="276"/>
      <c r="CA512" s="276"/>
      <c r="CB512" s="276"/>
      <c r="CC512" s="276"/>
      <c r="CD512" s="276"/>
      <c r="CH512" s="276"/>
      <c r="CJ512" s="276"/>
      <c r="CK512" s="276"/>
      <c r="CL512" s="276"/>
      <c r="CM512" s="276"/>
      <c r="CN512" s="276"/>
      <c r="CO512" s="276"/>
      <c r="CP512" s="276"/>
      <c r="CQ512" s="276"/>
      <c r="CU512" s="276"/>
    </row>
    <row r="513" spans="75:99" ht="15.75">
      <c r="BW513" s="276"/>
      <c r="BY513" s="276"/>
      <c r="BZ513" s="276"/>
      <c r="CA513" s="276"/>
      <c r="CB513" s="276"/>
      <c r="CC513" s="276"/>
      <c r="CD513" s="276"/>
      <c r="CH513" s="276"/>
      <c r="CJ513" s="276"/>
      <c r="CK513" s="276"/>
      <c r="CL513" s="276"/>
      <c r="CM513" s="276"/>
      <c r="CN513" s="276"/>
      <c r="CO513" s="276"/>
      <c r="CP513" s="276"/>
      <c r="CQ513" s="276"/>
      <c r="CU513" s="276"/>
    </row>
    <row r="514" spans="75:99" ht="15.75">
      <c r="BW514" s="276"/>
      <c r="BY514" s="276"/>
      <c r="BZ514" s="276"/>
      <c r="CA514" s="276"/>
      <c r="CB514" s="276"/>
      <c r="CC514" s="276"/>
      <c r="CD514" s="276"/>
      <c r="CH514" s="276"/>
      <c r="CJ514" s="276"/>
      <c r="CK514" s="276"/>
      <c r="CL514" s="276"/>
      <c r="CM514" s="276"/>
      <c r="CN514" s="276"/>
      <c r="CO514" s="276"/>
      <c r="CP514" s="276"/>
      <c r="CQ514" s="276"/>
      <c r="CU514" s="276"/>
    </row>
    <row r="515" spans="75:99" ht="15.75">
      <c r="BW515" s="276"/>
      <c r="BY515" s="276"/>
      <c r="BZ515" s="276"/>
      <c r="CA515" s="276"/>
      <c r="CB515" s="276"/>
      <c r="CC515" s="276"/>
      <c r="CD515" s="276"/>
      <c r="CH515" s="276"/>
      <c r="CJ515" s="276"/>
      <c r="CK515" s="276"/>
      <c r="CL515" s="276"/>
      <c r="CM515" s="276"/>
      <c r="CN515" s="276"/>
      <c r="CO515" s="276"/>
      <c r="CP515" s="276"/>
      <c r="CQ515" s="276"/>
      <c r="CU515" s="276"/>
    </row>
    <row r="516" spans="75:99" ht="15.75">
      <c r="BW516" s="276"/>
      <c r="BY516" s="276"/>
      <c r="BZ516" s="276"/>
      <c r="CA516" s="276"/>
      <c r="CB516" s="276"/>
      <c r="CC516" s="276"/>
      <c r="CD516" s="276"/>
      <c r="CH516" s="276"/>
      <c r="CJ516" s="276"/>
      <c r="CK516" s="276"/>
      <c r="CL516" s="276"/>
      <c r="CM516" s="276"/>
      <c r="CN516" s="276"/>
      <c r="CO516" s="276"/>
      <c r="CP516" s="276"/>
      <c r="CQ516" s="276"/>
      <c r="CU516" s="276"/>
    </row>
    <row r="517" spans="75:99" ht="15.75">
      <c r="BW517" s="276"/>
      <c r="BY517" s="276"/>
      <c r="BZ517" s="276"/>
      <c r="CA517" s="276"/>
      <c r="CB517" s="276"/>
      <c r="CC517" s="276"/>
      <c r="CD517" s="276"/>
      <c r="CH517" s="276"/>
      <c r="CJ517" s="276"/>
      <c r="CK517" s="276"/>
      <c r="CL517" s="276"/>
      <c r="CM517" s="276"/>
      <c r="CN517" s="276"/>
      <c r="CO517" s="276"/>
      <c r="CP517" s="276"/>
      <c r="CQ517" s="276"/>
      <c r="CU517" s="276"/>
    </row>
    <row r="518" spans="75:99" ht="15.75">
      <c r="BW518" s="276"/>
      <c r="BY518" s="276"/>
      <c r="BZ518" s="276"/>
      <c r="CA518" s="276"/>
      <c r="CB518" s="276"/>
      <c r="CC518" s="276"/>
      <c r="CD518" s="276"/>
      <c r="CH518" s="276"/>
      <c r="CJ518" s="276"/>
      <c r="CK518" s="276"/>
      <c r="CL518" s="276"/>
      <c r="CM518" s="276"/>
      <c r="CN518" s="276"/>
      <c r="CO518" s="276"/>
      <c r="CP518" s="276"/>
      <c r="CQ518" s="276"/>
      <c r="CU518" s="276"/>
    </row>
    <row r="519" spans="75:99" ht="15.75">
      <c r="BW519" s="276"/>
      <c r="BY519" s="276"/>
      <c r="BZ519" s="276"/>
      <c r="CA519" s="276"/>
      <c r="CB519" s="276"/>
      <c r="CC519" s="276"/>
      <c r="CD519" s="276"/>
      <c r="CH519" s="276"/>
      <c r="CJ519" s="276"/>
      <c r="CK519" s="276"/>
      <c r="CL519" s="276"/>
      <c r="CM519" s="276"/>
      <c r="CN519" s="276"/>
      <c r="CO519" s="276"/>
      <c r="CP519" s="276"/>
      <c r="CQ519" s="276"/>
      <c r="CU519" s="276"/>
    </row>
    <row r="520" spans="75:99" ht="15.75">
      <c r="BW520" s="276"/>
      <c r="BY520" s="276"/>
      <c r="BZ520" s="276"/>
      <c r="CA520" s="276"/>
      <c r="CB520" s="276"/>
      <c r="CC520" s="276"/>
      <c r="CD520" s="276"/>
      <c r="CH520" s="276"/>
      <c r="CJ520" s="276"/>
      <c r="CK520" s="276"/>
      <c r="CL520" s="276"/>
      <c r="CM520" s="276"/>
      <c r="CN520" s="276"/>
      <c r="CO520" s="276"/>
      <c r="CP520" s="276"/>
      <c r="CQ520" s="276"/>
      <c r="CU520" s="276"/>
    </row>
    <row r="521" spans="75:99" ht="15.75">
      <c r="BW521" s="276"/>
      <c r="BY521" s="276"/>
      <c r="BZ521" s="276"/>
      <c r="CA521" s="276"/>
      <c r="CB521" s="276"/>
      <c r="CC521" s="276"/>
      <c r="CD521" s="276"/>
      <c r="CH521" s="276"/>
      <c r="CJ521" s="276"/>
      <c r="CK521" s="276"/>
      <c r="CL521" s="276"/>
      <c r="CM521" s="276"/>
      <c r="CN521" s="276"/>
      <c r="CO521" s="276"/>
      <c r="CP521" s="276"/>
      <c r="CQ521" s="276"/>
      <c r="CU521" s="276"/>
    </row>
    <row r="522" spans="75:99" ht="15.75">
      <c r="BW522" s="276"/>
      <c r="BY522" s="276"/>
      <c r="BZ522" s="276"/>
      <c r="CA522" s="276"/>
      <c r="CB522" s="276"/>
      <c r="CC522" s="276"/>
      <c r="CD522" s="276"/>
      <c r="CH522" s="276"/>
      <c r="CJ522" s="276"/>
      <c r="CK522" s="276"/>
      <c r="CL522" s="276"/>
      <c r="CM522" s="276"/>
      <c r="CN522" s="276"/>
      <c r="CO522" s="276"/>
      <c r="CP522" s="276"/>
      <c r="CQ522" s="276"/>
      <c r="CU522" s="276"/>
    </row>
    <row r="523" spans="75:99" ht="15.75">
      <c r="BW523" s="276"/>
      <c r="BY523" s="276"/>
      <c r="BZ523" s="276"/>
      <c r="CA523" s="276"/>
      <c r="CB523" s="276"/>
      <c r="CC523" s="276"/>
      <c r="CD523" s="276"/>
      <c r="CH523" s="276"/>
      <c r="CJ523" s="276"/>
      <c r="CK523" s="276"/>
      <c r="CL523" s="276"/>
      <c r="CM523" s="276"/>
      <c r="CN523" s="276"/>
      <c r="CO523" s="276"/>
      <c r="CP523" s="276"/>
      <c r="CQ523" s="276"/>
      <c r="CU523" s="276"/>
    </row>
    <row r="524" spans="75:99" ht="15.75">
      <c r="BW524" s="276"/>
      <c r="BY524" s="276"/>
      <c r="BZ524" s="276"/>
      <c r="CA524" s="276"/>
      <c r="CB524" s="276"/>
      <c r="CC524" s="276"/>
      <c r="CD524" s="276"/>
      <c r="CH524" s="276"/>
      <c r="CJ524" s="276"/>
      <c r="CK524" s="276"/>
      <c r="CL524" s="276"/>
      <c r="CM524" s="276"/>
      <c r="CN524" s="276"/>
      <c r="CO524" s="276"/>
      <c r="CP524" s="276"/>
      <c r="CQ524" s="276"/>
      <c r="CU524" s="276"/>
    </row>
    <row r="525" spans="75:99" ht="15.75">
      <c r="BW525" s="276"/>
      <c r="BY525" s="276"/>
      <c r="BZ525" s="276"/>
      <c r="CA525" s="276"/>
      <c r="CB525" s="276"/>
      <c r="CC525" s="276"/>
      <c r="CD525" s="276"/>
      <c r="CH525" s="276"/>
      <c r="CJ525" s="276"/>
      <c r="CK525" s="276"/>
      <c r="CL525" s="276"/>
      <c r="CM525" s="276"/>
      <c r="CN525" s="276"/>
      <c r="CO525" s="276"/>
      <c r="CP525" s="276"/>
      <c r="CQ525" s="276"/>
      <c r="CU525" s="276"/>
    </row>
    <row r="526" spans="75:99" ht="15.75">
      <c r="BW526" s="276"/>
      <c r="BY526" s="276"/>
      <c r="BZ526" s="276"/>
      <c r="CA526" s="276"/>
      <c r="CB526" s="276"/>
      <c r="CC526" s="276"/>
      <c r="CD526" s="276"/>
      <c r="CH526" s="276"/>
      <c r="CJ526" s="276"/>
      <c r="CK526" s="276"/>
      <c r="CL526" s="276"/>
      <c r="CM526" s="276"/>
      <c r="CN526" s="276"/>
      <c r="CO526" s="276"/>
      <c r="CP526" s="276"/>
      <c r="CQ526" s="276"/>
      <c r="CU526" s="276"/>
    </row>
    <row r="527" spans="75:99" ht="15.75">
      <c r="BW527" s="276"/>
      <c r="BY527" s="276"/>
      <c r="BZ527" s="276"/>
      <c r="CA527" s="276"/>
      <c r="CB527" s="276"/>
      <c r="CC527" s="276"/>
      <c r="CD527" s="276"/>
      <c r="CH527" s="276"/>
      <c r="CJ527" s="276"/>
      <c r="CK527" s="276"/>
      <c r="CL527" s="276"/>
      <c r="CM527" s="276"/>
      <c r="CN527" s="276"/>
      <c r="CO527" s="276"/>
      <c r="CP527" s="276"/>
      <c r="CQ527" s="276"/>
      <c r="CU527" s="276"/>
    </row>
    <row r="528" spans="75:99" ht="15.75">
      <c r="BW528" s="276"/>
      <c r="BY528" s="276"/>
      <c r="BZ528" s="276"/>
      <c r="CA528" s="276"/>
      <c r="CB528" s="276"/>
      <c r="CC528" s="276"/>
      <c r="CD528" s="276"/>
      <c r="CH528" s="276"/>
      <c r="CJ528" s="276"/>
      <c r="CK528" s="276"/>
      <c r="CL528" s="276"/>
      <c r="CM528" s="276"/>
      <c r="CN528" s="276"/>
      <c r="CO528" s="276"/>
      <c r="CP528" s="276"/>
      <c r="CQ528" s="276"/>
      <c r="CU528" s="276"/>
    </row>
    <row r="529" spans="75:99" ht="15.75">
      <c r="BW529" s="276"/>
      <c r="BY529" s="276"/>
      <c r="BZ529" s="276"/>
      <c r="CA529" s="276"/>
      <c r="CB529" s="276"/>
      <c r="CC529" s="276"/>
      <c r="CD529" s="276"/>
      <c r="CH529" s="276"/>
      <c r="CJ529" s="276"/>
      <c r="CK529" s="276"/>
      <c r="CL529" s="276"/>
      <c r="CM529" s="276"/>
      <c r="CN529" s="276"/>
      <c r="CO529" s="276"/>
      <c r="CP529" s="276"/>
      <c r="CQ529" s="276"/>
      <c r="CU529" s="276"/>
    </row>
    <row r="530" spans="75:99" ht="15.75">
      <c r="BW530" s="276"/>
      <c r="BY530" s="276"/>
      <c r="BZ530" s="276"/>
      <c r="CA530" s="276"/>
      <c r="CB530" s="276"/>
      <c r="CC530" s="276"/>
      <c r="CD530" s="276"/>
      <c r="CH530" s="276"/>
      <c r="CJ530" s="276"/>
      <c r="CK530" s="276"/>
      <c r="CL530" s="276"/>
      <c r="CM530" s="276"/>
      <c r="CN530" s="276"/>
      <c r="CO530" s="276"/>
      <c r="CP530" s="276"/>
      <c r="CQ530" s="276"/>
      <c r="CU530" s="276"/>
    </row>
    <row r="531" spans="75:99" ht="15.75">
      <c r="BW531" s="276"/>
      <c r="BY531" s="276"/>
      <c r="BZ531" s="276"/>
      <c r="CA531" s="276"/>
      <c r="CB531" s="276"/>
      <c r="CC531" s="276"/>
      <c r="CD531" s="276"/>
      <c r="CH531" s="276"/>
      <c r="CJ531" s="276"/>
      <c r="CK531" s="276"/>
      <c r="CL531" s="276"/>
      <c r="CM531" s="276"/>
      <c r="CN531" s="276"/>
      <c r="CO531" s="276"/>
      <c r="CP531" s="276"/>
      <c r="CQ531" s="276"/>
      <c r="CU531" s="276"/>
    </row>
    <row r="532" spans="75:99" ht="15.75">
      <c r="BW532" s="276"/>
      <c r="BY532" s="276"/>
      <c r="BZ532" s="276"/>
      <c r="CA532" s="276"/>
      <c r="CB532" s="276"/>
      <c r="CC532" s="276"/>
      <c r="CD532" s="276"/>
      <c r="CH532" s="276"/>
      <c r="CJ532" s="276"/>
      <c r="CK532" s="276"/>
      <c r="CL532" s="276"/>
      <c r="CM532" s="276"/>
      <c r="CN532" s="276"/>
      <c r="CO532" s="276"/>
      <c r="CP532" s="276"/>
      <c r="CQ532" s="276"/>
      <c r="CU532" s="276"/>
    </row>
    <row r="533" spans="75:99" ht="15.75">
      <c r="BW533" s="276"/>
      <c r="BY533" s="276"/>
      <c r="BZ533" s="276"/>
      <c r="CA533" s="276"/>
      <c r="CB533" s="276"/>
      <c r="CC533" s="276"/>
      <c r="CD533" s="276"/>
      <c r="CH533" s="276"/>
      <c r="CJ533" s="276"/>
      <c r="CK533" s="276"/>
      <c r="CL533" s="276"/>
      <c r="CM533" s="276"/>
      <c r="CN533" s="276"/>
      <c r="CO533" s="276"/>
      <c r="CP533" s="276"/>
      <c r="CQ533" s="276"/>
      <c r="CU533" s="276"/>
    </row>
    <row r="534" spans="75:99" ht="15.75">
      <c r="BW534" s="276"/>
      <c r="BY534" s="276"/>
      <c r="BZ534" s="276"/>
      <c r="CA534" s="276"/>
      <c r="CB534" s="276"/>
      <c r="CC534" s="276"/>
      <c r="CD534" s="276"/>
      <c r="CH534" s="276"/>
      <c r="CJ534" s="276"/>
      <c r="CK534" s="276"/>
      <c r="CL534" s="276"/>
      <c r="CM534" s="276"/>
      <c r="CN534" s="276"/>
      <c r="CO534" s="276"/>
      <c r="CP534" s="276"/>
      <c r="CQ534" s="276"/>
      <c r="CU534" s="276"/>
    </row>
    <row r="535" spans="75:99" ht="15.75">
      <c r="BW535" s="276"/>
      <c r="BY535" s="276"/>
      <c r="BZ535" s="276"/>
      <c r="CA535" s="276"/>
      <c r="CB535" s="276"/>
      <c r="CC535" s="276"/>
      <c r="CD535" s="276"/>
      <c r="CH535" s="276"/>
      <c r="CJ535" s="276"/>
      <c r="CK535" s="276"/>
      <c r="CL535" s="276"/>
      <c r="CM535" s="276"/>
      <c r="CN535" s="276"/>
      <c r="CO535" s="276"/>
      <c r="CP535" s="276"/>
      <c r="CQ535" s="276"/>
      <c r="CU535" s="276"/>
    </row>
    <row r="536" spans="75:99" ht="15.75">
      <c r="BW536" s="276"/>
      <c r="BY536" s="276"/>
      <c r="BZ536" s="276"/>
      <c r="CA536" s="276"/>
      <c r="CB536" s="276"/>
      <c r="CC536" s="276"/>
      <c r="CD536" s="276"/>
      <c r="CH536" s="276"/>
      <c r="CJ536" s="276"/>
      <c r="CK536" s="276"/>
      <c r="CL536" s="276"/>
      <c r="CM536" s="276"/>
      <c r="CN536" s="276"/>
      <c r="CO536" s="276"/>
      <c r="CP536" s="276"/>
      <c r="CQ536" s="276"/>
      <c r="CU536" s="276"/>
    </row>
    <row r="537" spans="75:99" ht="15.75">
      <c r="BW537" s="276"/>
      <c r="BY537" s="276"/>
      <c r="BZ537" s="276"/>
      <c r="CA537" s="276"/>
      <c r="CB537" s="276"/>
      <c r="CC537" s="276"/>
      <c r="CD537" s="276"/>
      <c r="CH537" s="276"/>
      <c r="CJ537" s="276"/>
      <c r="CK537" s="276"/>
      <c r="CL537" s="276"/>
      <c r="CM537" s="276"/>
      <c r="CN537" s="276"/>
      <c r="CO537" s="276"/>
      <c r="CP537" s="276"/>
      <c r="CQ537" s="276"/>
      <c r="CU537" s="276"/>
    </row>
    <row r="538" spans="75:99" ht="15.75">
      <c r="BW538" s="276"/>
      <c r="BY538" s="276"/>
      <c r="BZ538" s="276"/>
      <c r="CA538" s="276"/>
      <c r="CB538" s="276"/>
      <c r="CC538" s="276"/>
      <c r="CD538" s="276"/>
      <c r="CH538" s="276"/>
      <c r="CJ538" s="276"/>
      <c r="CK538" s="276"/>
      <c r="CL538" s="276"/>
      <c r="CM538" s="276"/>
      <c r="CN538" s="276"/>
      <c r="CO538" s="276"/>
      <c r="CP538" s="276"/>
      <c r="CQ538" s="276"/>
      <c r="CU538" s="276"/>
    </row>
    <row r="539" spans="75:99" ht="15.75">
      <c r="BW539" s="276"/>
      <c r="BY539" s="276"/>
      <c r="BZ539" s="276"/>
      <c r="CA539" s="276"/>
      <c r="CB539" s="276"/>
      <c r="CC539" s="276"/>
      <c r="CD539" s="276"/>
      <c r="CH539" s="276"/>
      <c r="CJ539" s="276"/>
      <c r="CK539" s="276"/>
      <c r="CL539" s="276"/>
      <c r="CM539" s="276"/>
      <c r="CN539" s="276"/>
      <c r="CO539" s="276"/>
      <c r="CP539" s="276"/>
      <c r="CQ539" s="276"/>
      <c r="CU539" s="276"/>
    </row>
    <row r="540" spans="75:99" ht="15.75">
      <c r="BW540" s="276"/>
      <c r="BY540" s="276"/>
      <c r="BZ540" s="276"/>
      <c r="CA540" s="276"/>
      <c r="CB540" s="276"/>
      <c r="CC540" s="276"/>
      <c r="CD540" s="276"/>
      <c r="CH540" s="276"/>
      <c r="CJ540" s="276"/>
      <c r="CK540" s="276"/>
      <c r="CL540" s="276"/>
      <c r="CM540" s="276"/>
      <c r="CN540" s="276"/>
      <c r="CO540" s="276"/>
      <c r="CP540" s="276"/>
      <c r="CQ540" s="276"/>
      <c r="CU540" s="276"/>
    </row>
    <row r="541" spans="75:99" ht="15.75">
      <c r="BW541" s="276"/>
      <c r="BY541" s="276"/>
      <c r="BZ541" s="276"/>
      <c r="CA541" s="276"/>
      <c r="CB541" s="276"/>
      <c r="CC541" s="276"/>
      <c r="CD541" s="276"/>
      <c r="CH541" s="276"/>
      <c r="CJ541" s="276"/>
      <c r="CK541" s="276"/>
      <c r="CL541" s="276"/>
      <c r="CM541" s="276"/>
      <c r="CN541" s="276"/>
      <c r="CO541" s="276"/>
      <c r="CP541" s="276"/>
      <c r="CQ541" s="276"/>
      <c r="CU541" s="276"/>
    </row>
    <row r="542" spans="75:99" ht="15.75">
      <c r="BW542" s="276"/>
      <c r="BY542" s="276"/>
      <c r="BZ542" s="276"/>
      <c r="CA542" s="276"/>
      <c r="CB542" s="276"/>
      <c r="CC542" s="276"/>
      <c r="CD542" s="276"/>
      <c r="CH542" s="276"/>
      <c r="CJ542" s="276"/>
      <c r="CK542" s="276"/>
      <c r="CL542" s="276"/>
      <c r="CM542" s="276"/>
      <c r="CN542" s="276"/>
      <c r="CO542" s="276"/>
      <c r="CP542" s="276"/>
      <c r="CQ542" s="276"/>
      <c r="CU542" s="276"/>
    </row>
    <row r="543" spans="75:99" ht="15.75">
      <c r="BW543" s="276"/>
      <c r="BY543" s="276"/>
      <c r="BZ543" s="276"/>
      <c r="CA543" s="276"/>
      <c r="CB543" s="276"/>
      <c r="CC543" s="276"/>
      <c r="CD543" s="276"/>
      <c r="CH543" s="276"/>
      <c r="CJ543" s="276"/>
      <c r="CK543" s="276"/>
      <c r="CL543" s="276"/>
      <c r="CM543" s="276"/>
      <c r="CN543" s="276"/>
      <c r="CO543" s="276"/>
      <c r="CP543" s="276"/>
      <c r="CQ543" s="276"/>
      <c r="CU543" s="276"/>
    </row>
    <row r="544" spans="75:99" ht="15.75">
      <c r="BW544" s="276"/>
      <c r="BY544" s="276"/>
      <c r="BZ544" s="276"/>
      <c r="CA544" s="276"/>
      <c r="CB544" s="276"/>
      <c r="CC544" s="276"/>
      <c r="CD544" s="276"/>
      <c r="CH544" s="276"/>
      <c r="CJ544" s="276"/>
      <c r="CK544" s="276"/>
      <c r="CL544" s="276"/>
      <c r="CM544" s="276"/>
      <c r="CN544" s="276"/>
      <c r="CO544" s="276"/>
      <c r="CP544" s="276"/>
      <c r="CQ544" s="276"/>
      <c r="CU544" s="276"/>
    </row>
    <row r="545" spans="75:99" ht="15.75">
      <c r="BW545" s="276"/>
      <c r="BY545" s="276"/>
      <c r="BZ545" s="276"/>
      <c r="CA545" s="276"/>
      <c r="CB545" s="276"/>
      <c r="CC545" s="276"/>
      <c r="CD545" s="276"/>
      <c r="CH545" s="276"/>
      <c r="CJ545" s="276"/>
      <c r="CK545" s="276"/>
      <c r="CL545" s="276"/>
      <c r="CM545" s="276"/>
      <c r="CN545" s="276"/>
      <c r="CO545" s="276"/>
      <c r="CP545" s="276"/>
      <c r="CQ545" s="276"/>
      <c r="CU545" s="276"/>
    </row>
    <row r="546" spans="75:99" ht="15.75">
      <c r="BW546" s="276"/>
      <c r="BY546" s="276"/>
      <c r="BZ546" s="276"/>
      <c r="CA546" s="276"/>
      <c r="CB546" s="276"/>
      <c r="CC546" s="276"/>
      <c r="CD546" s="276"/>
      <c r="CH546" s="276"/>
      <c r="CJ546" s="276"/>
      <c r="CK546" s="276"/>
      <c r="CL546" s="276"/>
      <c r="CM546" s="276"/>
      <c r="CN546" s="276"/>
      <c r="CO546" s="276"/>
      <c r="CP546" s="276"/>
      <c r="CQ546" s="276"/>
      <c r="CU546" s="276"/>
    </row>
    <row r="547" spans="75:99" ht="15.75">
      <c r="BW547" s="276"/>
      <c r="BY547" s="276"/>
      <c r="BZ547" s="276"/>
      <c r="CA547" s="276"/>
      <c r="CB547" s="276"/>
      <c r="CC547" s="276"/>
      <c r="CD547" s="276"/>
      <c r="CH547" s="276"/>
      <c r="CJ547" s="276"/>
      <c r="CK547" s="276"/>
      <c r="CL547" s="276"/>
      <c r="CM547" s="276"/>
      <c r="CN547" s="276"/>
      <c r="CO547" s="276"/>
      <c r="CP547" s="276"/>
      <c r="CQ547" s="276"/>
      <c r="CU547" s="276"/>
    </row>
    <row r="548" spans="75:99" ht="15.75">
      <c r="BW548" s="276"/>
      <c r="BY548" s="276"/>
      <c r="BZ548" s="276"/>
      <c r="CA548" s="276"/>
      <c r="CB548" s="276"/>
      <c r="CC548" s="276"/>
      <c r="CD548" s="276"/>
      <c r="CH548" s="276"/>
      <c r="CJ548" s="276"/>
      <c r="CK548" s="276"/>
      <c r="CL548" s="276"/>
      <c r="CM548" s="276"/>
      <c r="CN548" s="276"/>
      <c r="CO548" s="276"/>
      <c r="CP548" s="276"/>
      <c r="CQ548" s="276"/>
      <c r="CU548" s="276"/>
    </row>
    <row r="549" spans="75:99" ht="15.75">
      <c r="BW549" s="276"/>
      <c r="BY549" s="276"/>
      <c r="BZ549" s="276"/>
      <c r="CA549" s="276"/>
      <c r="CB549" s="276"/>
      <c r="CC549" s="276"/>
      <c r="CD549" s="276"/>
      <c r="CH549" s="276"/>
      <c r="CJ549" s="276"/>
      <c r="CK549" s="276"/>
      <c r="CL549" s="276"/>
      <c r="CM549" s="276"/>
      <c r="CN549" s="276"/>
      <c r="CO549" s="276"/>
      <c r="CP549" s="276"/>
      <c r="CQ549" s="276"/>
      <c r="CU549" s="276"/>
    </row>
    <row r="550" spans="75:99" ht="15.75">
      <c r="BW550" s="276"/>
      <c r="BY550" s="276"/>
      <c r="BZ550" s="276"/>
      <c r="CA550" s="276"/>
      <c r="CB550" s="276"/>
      <c r="CC550" s="276"/>
      <c r="CD550" s="276"/>
      <c r="CH550" s="276"/>
      <c r="CJ550" s="276"/>
      <c r="CK550" s="276"/>
      <c r="CL550" s="276"/>
      <c r="CM550" s="276"/>
      <c r="CN550" s="276"/>
      <c r="CO550" s="276"/>
      <c r="CP550" s="276"/>
      <c r="CQ550" s="276"/>
      <c r="CU550" s="276"/>
    </row>
    <row r="551" spans="75:99" ht="15.75">
      <c r="BW551" s="276"/>
      <c r="BY551" s="276"/>
      <c r="BZ551" s="276"/>
      <c r="CA551" s="276"/>
      <c r="CB551" s="276"/>
      <c r="CC551" s="276"/>
      <c r="CD551" s="276"/>
      <c r="CH551" s="276"/>
      <c r="CJ551" s="276"/>
      <c r="CK551" s="276"/>
      <c r="CL551" s="276"/>
      <c r="CM551" s="276"/>
      <c r="CN551" s="276"/>
      <c r="CO551" s="276"/>
      <c r="CP551" s="276"/>
      <c r="CQ551" s="276"/>
      <c r="CU551" s="276"/>
    </row>
    <row r="552" spans="75:99" ht="15.75">
      <c r="BW552" s="276"/>
      <c r="BY552" s="276"/>
      <c r="BZ552" s="276"/>
      <c r="CA552" s="276"/>
      <c r="CB552" s="276"/>
      <c r="CC552" s="276"/>
      <c r="CD552" s="276"/>
      <c r="CH552" s="276"/>
      <c r="CJ552" s="276"/>
      <c r="CK552" s="276"/>
      <c r="CL552" s="276"/>
      <c r="CM552" s="276"/>
      <c r="CN552" s="276"/>
      <c r="CO552" s="276"/>
      <c r="CP552" s="276"/>
      <c r="CQ552" s="276"/>
      <c r="CU552" s="276"/>
    </row>
    <row r="553" spans="75:99" ht="15.75">
      <c r="BW553" s="276"/>
      <c r="BY553" s="276"/>
      <c r="BZ553" s="276"/>
      <c r="CA553" s="276"/>
      <c r="CB553" s="276"/>
      <c r="CC553" s="276"/>
      <c r="CD553" s="276"/>
      <c r="CH553" s="276"/>
      <c r="CJ553" s="276"/>
      <c r="CK553" s="276"/>
      <c r="CL553" s="276"/>
      <c r="CM553" s="276"/>
      <c r="CN553" s="276"/>
      <c r="CO553" s="276"/>
      <c r="CP553" s="276"/>
      <c r="CQ553" s="276"/>
      <c r="CU553" s="276"/>
    </row>
    <row r="554" spans="75:99" ht="15.75">
      <c r="BW554" s="276"/>
      <c r="BY554" s="276"/>
      <c r="BZ554" s="276"/>
      <c r="CA554" s="276"/>
      <c r="CB554" s="276"/>
      <c r="CC554" s="276"/>
      <c r="CD554" s="276"/>
      <c r="CH554" s="276"/>
      <c r="CJ554" s="276"/>
      <c r="CK554" s="276"/>
      <c r="CL554" s="276"/>
      <c r="CM554" s="276"/>
      <c r="CN554" s="276"/>
      <c r="CO554" s="276"/>
      <c r="CP554" s="276"/>
      <c r="CQ554" s="276"/>
      <c r="CU554" s="276"/>
    </row>
    <row r="555" spans="75:99" ht="15.75">
      <c r="BW555" s="276"/>
      <c r="BY555" s="276"/>
      <c r="BZ555" s="276"/>
      <c r="CA555" s="276"/>
      <c r="CB555" s="276"/>
      <c r="CC555" s="276"/>
      <c r="CD555" s="276"/>
      <c r="CH555" s="276"/>
      <c r="CJ555" s="276"/>
      <c r="CK555" s="276"/>
      <c r="CL555" s="276"/>
      <c r="CM555" s="276"/>
      <c r="CN555" s="276"/>
      <c r="CO555" s="276"/>
      <c r="CP555" s="276"/>
      <c r="CQ555" s="276"/>
      <c r="CU555" s="276"/>
    </row>
    <row r="556" spans="75:99" ht="15.75">
      <c r="BW556" s="276"/>
      <c r="BY556" s="276"/>
      <c r="BZ556" s="276"/>
      <c r="CA556" s="276"/>
      <c r="CB556" s="276"/>
      <c r="CC556" s="276"/>
      <c r="CD556" s="276"/>
      <c r="CH556" s="276"/>
      <c r="CJ556" s="276"/>
      <c r="CK556" s="276"/>
      <c r="CL556" s="276"/>
      <c r="CM556" s="276"/>
      <c r="CN556" s="276"/>
      <c r="CO556" s="276"/>
      <c r="CP556" s="276"/>
      <c r="CQ556" s="276"/>
      <c r="CU556" s="276"/>
    </row>
    <row r="557" spans="75:99" ht="15.75">
      <c r="BW557" s="276"/>
      <c r="BY557" s="276"/>
      <c r="BZ557" s="276"/>
      <c r="CA557" s="276"/>
      <c r="CB557" s="276"/>
      <c r="CC557" s="276"/>
      <c r="CD557" s="276"/>
      <c r="CH557" s="276"/>
      <c r="CJ557" s="276"/>
      <c r="CK557" s="276"/>
      <c r="CL557" s="276"/>
      <c r="CM557" s="276"/>
      <c r="CN557" s="276"/>
      <c r="CO557" s="276"/>
      <c r="CP557" s="276"/>
      <c r="CQ557" s="276"/>
      <c r="CU557" s="276"/>
    </row>
    <row r="558" spans="75:99" ht="15.75">
      <c r="BW558" s="276"/>
      <c r="BY558" s="276"/>
      <c r="BZ558" s="276"/>
      <c r="CA558" s="276"/>
      <c r="CB558" s="276"/>
      <c r="CC558" s="276"/>
      <c r="CD558" s="276"/>
      <c r="CH558" s="276"/>
      <c r="CJ558" s="276"/>
      <c r="CK558" s="276"/>
      <c r="CL558" s="276"/>
      <c r="CM558" s="276"/>
      <c r="CN558" s="276"/>
      <c r="CO558" s="276"/>
      <c r="CP558" s="276"/>
      <c r="CQ558" s="276"/>
      <c r="CU558" s="276"/>
    </row>
    <row r="559" spans="75:99" ht="15.75">
      <c r="BW559" s="276"/>
      <c r="BY559" s="276"/>
      <c r="BZ559" s="276"/>
      <c r="CA559" s="276"/>
      <c r="CB559" s="276"/>
      <c r="CC559" s="276"/>
      <c r="CD559" s="276"/>
      <c r="CH559" s="276"/>
      <c r="CJ559" s="276"/>
      <c r="CK559" s="276"/>
      <c r="CL559" s="276"/>
      <c r="CM559" s="276"/>
      <c r="CN559" s="276"/>
      <c r="CO559" s="276"/>
      <c r="CP559" s="276"/>
      <c r="CQ559" s="276"/>
      <c r="CU559" s="276"/>
    </row>
    <row r="560" spans="75:99" ht="15.75">
      <c r="BW560" s="276"/>
      <c r="BY560" s="276"/>
      <c r="BZ560" s="276"/>
      <c r="CA560" s="276"/>
      <c r="CB560" s="276"/>
      <c r="CC560" s="276"/>
      <c r="CD560" s="276"/>
      <c r="CH560" s="276"/>
      <c r="CJ560" s="276"/>
      <c r="CK560" s="276"/>
      <c r="CL560" s="276"/>
      <c r="CM560" s="276"/>
      <c r="CN560" s="276"/>
      <c r="CO560" s="276"/>
      <c r="CP560" s="276"/>
      <c r="CQ560" s="276"/>
      <c r="CU560" s="276"/>
    </row>
    <row r="561" spans="75:99" ht="15.75">
      <c r="BW561" s="276"/>
      <c r="BY561" s="276"/>
      <c r="BZ561" s="276"/>
      <c r="CA561" s="276"/>
      <c r="CB561" s="276"/>
      <c r="CC561" s="276"/>
      <c r="CD561" s="276"/>
      <c r="CH561" s="276"/>
      <c r="CJ561" s="276"/>
      <c r="CK561" s="276"/>
      <c r="CL561" s="276"/>
      <c r="CM561" s="276"/>
      <c r="CN561" s="276"/>
      <c r="CO561" s="276"/>
      <c r="CP561" s="276"/>
      <c r="CQ561" s="276"/>
      <c r="CU561" s="276"/>
    </row>
    <row r="562" spans="75:99" ht="15.75">
      <c r="BW562" s="276"/>
      <c r="BY562" s="276"/>
      <c r="BZ562" s="276"/>
      <c r="CA562" s="276"/>
      <c r="CB562" s="276"/>
      <c r="CC562" s="276"/>
      <c r="CD562" s="276"/>
      <c r="CH562" s="276"/>
      <c r="CJ562" s="276"/>
      <c r="CK562" s="276"/>
      <c r="CL562" s="276"/>
      <c r="CM562" s="276"/>
      <c r="CN562" s="276"/>
      <c r="CO562" s="276"/>
      <c r="CP562" s="276"/>
      <c r="CQ562" s="276"/>
      <c r="CU562" s="276"/>
    </row>
    <row r="563" spans="75:99" ht="15.75">
      <c r="BW563" s="276"/>
      <c r="BY563" s="276"/>
      <c r="BZ563" s="276"/>
      <c r="CA563" s="276"/>
      <c r="CB563" s="276"/>
      <c r="CC563" s="276"/>
      <c r="CD563" s="276"/>
      <c r="CH563" s="276"/>
      <c r="CJ563" s="276"/>
      <c r="CK563" s="276"/>
      <c r="CL563" s="276"/>
      <c r="CM563" s="276"/>
      <c r="CN563" s="276"/>
      <c r="CO563" s="276"/>
      <c r="CP563" s="276"/>
      <c r="CQ563" s="276"/>
      <c r="CU563" s="276"/>
    </row>
    <row r="564" spans="75:99" ht="15.75">
      <c r="BW564" s="276"/>
      <c r="BY564" s="276"/>
      <c r="BZ564" s="276"/>
      <c r="CA564" s="276"/>
      <c r="CB564" s="276"/>
      <c r="CC564" s="276"/>
      <c r="CD564" s="276"/>
      <c r="CH564" s="276"/>
      <c r="CJ564" s="276"/>
      <c r="CK564" s="276"/>
      <c r="CL564" s="276"/>
      <c r="CM564" s="276"/>
      <c r="CN564" s="276"/>
      <c r="CO564" s="276"/>
      <c r="CP564" s="276"/>
      <c r="CQ564" s="276"/>
      <c r="CU564" s="276"/>
    </row>
    <row r="565" spans="75:99" ht="15.75">
      <c r="BW565" s="276"/>
      <c r="BY565" s="276"/>
      <c r="BZ565" s="276"/>
      <c r="CA565" s="276"/>
      <c r="CB565" s="276"/>
      <c r="CC565" s="276"/>
      <c r="CD565" s="276"/>
      <c r="CH565" s="276"/>
      <c r="CJ565" s="276"/>
      <c r="CK565" s="276"/>
      <c r="CL565" s="276"/>
      <c r="CM565" s="276"/>
      <c r="CN565" s="276"/>
      <c r="CO565" s="276"/>
      <c r="CP565" s="276"/>
      <c r="CQ565" s="276"/>
      <c r="CU565" s="276"/>
    </row>
    <row r="566" spans="75:99" ht="15.75">
      <c r="BW566" s="276"/>
      <c r="BY566" s="276"/>
      <c r="BZ566" s="276"/>
      <c r="CA566" s="276"/>
      <c r="CB566" s="276"/>
      <c r="CC566" s="276"/>
      <c r="CD566" s="276"/>
      <c r="CH566" s="276"/>
      <c r="CJ566" s="276"/>
      <c r="CK566" s="276"/>
      <c r="CL566" s="276"/>
      <c r="CM566" s="276"/>
      <c r="CN566" s="276"/>
      <c r="CO566" s="276"/>
      <c r="CP566" s="276"/>
      <c r="CQ566" s="276"/>
      <c r="CU566" s="276"/>
    </row>
    <row r="567" spans="75:99" ht="15.75">
      <c r="BW567" s="276"/>
      <c r="BY567" s="276"/>
      <c r="BZ567" s="276"/>
      <c r="CA567" s="276"/>
      <c r="CB567" s="276"/>
      <c r="CC567" s="276"/>
      <c r="CD567" s="276"/>
      <c r="CH567" s="276"/>
      <c r="CJ567" s="276"/>
      <c r="CK567" s="276"/>
      <c r="CL567" s="276"/>
      <c r="CM567" s="276"/>
      <c r="CN567" s="276"/>
      <c r="CO567" s="276"/>
      <c r="CP567" s="276"/>
      <c r="CQ567" s="276"/>
      <c r="CU567" s="276"/>
    </row>
    <row r="568" spans="75:99" ht="15.75">
      <c r="BW568" s="276"/>
      <c r="BY568" s="276"/>
      <c r="BZ568" s="276"/>
      <c r="CA568" s="276"/>
      <c r="CB568" s="276"/>
      <c r="CC568" s="276"/>
      <c r="CD568" s="276"/>
      <c r="CH568" s="276"/>
      <c r="CJ568" s="276"/>
      <c r="CK568" s="276"/>
      <c r="CL568" s="276"/>
      <c r="CM568" s="276"/>
      <c r="CN568" s="276"/>
      <c r="CO568" s="276"/>
      <c r="CP568" s="276"/>
      <c r="CQ568" s="276"/>
      <c r="CU568" s="276"/>
    </row>
    <row r="569" spans="75:99" ht="15.75">
      <c r="BW569" s="276"/>
      <c r="BY569" s="276"/>
      <c r="BZ569" s="276"/>
      <c r="CA569" s="276"/>
      <c r="CB569" s="276"/>
      <c r="CC569" s="276"/>
      <c r="CD569" s="276"/>
      <c r="CH569" s="276"/>
      <c r="CJ569" s="276"/>
      <c r="CK569" s="276"/>
      <c r="CL569" s="276"/>
      <c r="CM569" s="276"/>
      <c r="CN569" s="276"/>
      <c r="CO569" s="276"/>
      <c r="CP569" s="276"/>
      <c r="CQ569" s="276"/>
      <c r="CU569" s="276"/>
    </row>
    <row r="570" spans="75:99" ht="15.75">
      <c r="BW570" s="276"/>
      <c r="BY570" s="276"/>
      <c r="BZ570" s="276"/>
      <c r="CA570" s="276"/>
      <c r="CB570" s="276"/>
      <c r="CC570" s="276"/>
      <c r="CD570" s="276"/>
      <c r="CH570" s="276"/>
      <c r="CJ570" s="276"/>
      <c r="CK570" s="276"/>
      <c r="CL570" s="276"/>
      <c r="CM570" s="276"/>
      <c r="CN570" s="276"/>
      <c r="CO570" s="276"/>
      <c r="CP570" s="276"/>
      <c r="CQ570" s="276"/>
      <c r="CU570" s="276"/>
    </row>
    <row r="571" spans="75:99" ht="15.75">
      <c r="BW571" s="276"/>
      <c r="BY571" s="276"/>
      <c r="BZ571" s="276"/>
      <c r="CA571" s="276"/>
      <c r="CB571" s="276"/>
      <c r="CC571" s="276"/>
      <c r="CD571" s="276"/>
      <c r="CH571" s="276"/>
      <c r="CJ571" s="276"/>
      <c r="CK571" s="276"/>
      <c r="CL571" s="276"/>
      <c r="CM571" s="276"/>
      <c r="CN571" s="276"/>
      <c r="CO571" s="276"/>
      <c r="CP571" s="276"/>
      <c r="CQ571" s="276"/>
      <c r="CU571" s="276"/>
    </row>
    <row r="572" spans="75:99" ht="15.75">
      <c r="BW572" s="276"/>
      <c r="BY572" s="276"/>
      <c r="BZ572" s="276"/>
      <c r="CA572" s="276"/>
      <c r="CB572" s="276"/>
      <c r="CC572" s="276"/>
      <c r="CD572" s="276"/>
      <c r="CH572" s="276"/>
      <c r="CJ572" s="276"/>
      <c r="CK572" s="276"/>
      <c r="CL572" s="276"/>
      <c r="CM572" s="276"/>
      <c r="CN572" s="276"/>
      <c r="CO572" s="276"/>
      <c r="CP572" s="276"/>
      <c r="CQ572" s="276"/>
      <c r="CU572" s="276"/>
    </row>
    <row r="573" spans="75:99" ht="15.75">
      <c r="BW573" s="276"/>
      <c r="BY573" s="276"/>
      <c r="BZ573" s="276"/>
      <c r="CA573" s="276"/>
      <c r="CB573" s="276"/>
      <c r="CC573" s="276"/>
      <c r="CD573" s="276"/>
      <c r="CH573" s="276"/>
      <c r="CJ573" s="276"/>
      <c r="CK573" s="276"/>
      <c r="CL573" s="276"/>
      <c r="CM573" s="276"/>
      <c r="CN573" s="276"/>
      <c r="CO573" s="276"/>
      <c r="CP573" s="276"/>
      <c r="CQ573" s="276"/>
      <c r="CU573" s="276"/>
    </row>
    <row r="574" spans="75:99" ht="15.75">
      <c r="BW574" s="276"/>
      <c r="BY574" s="276"/>
      <c r="BZ574" s="276"/>
      <c r="CA574" s="276"/>
      <c r="CB574" s="276"/>
      <c r="CC574" s="276"/>
      <c r="CD574" s="276"/>
      <c r="CH574" s="276"/>
      <c r="CJ574" s="276"/>
      <c r="CK574" s="276"/>
      <c r="CL574" s="276"/>
      <c r="CM574" s="276"/>
      <c r="CN574" s="276"/>
      <c r="CO574" s="276"/>
      <c r="CP574" s="276"/>
      <c r="CQ574" s="276"/>
      <c r="CU574" s="276"/>
    </row>
    <row r="575" spans="75:99" ht="15.75">
      <c r="BW575" s="276"/>
      <c r="BY575" s="276"/>
      <c r="BZ575" s="276"/>
      <c r="CA575" s="276"/>
      <c r="CB575" s="276"/>
      <c r="CC575" s="276"/>
      <c r="CD575" s="276"/>
      <c r="CH575" s="276"/>
      <c r="CJ575" s="276"/>
      <c r="CK575" s="276"/>
      <c r="CL575" s="276"/>
      <c r="CM575" s="276"/>
      <c r="CN575" s="276"/>
      <c r="CO575" s="276"/>
      <c r="CP575" s="276"/>
      <c r="CQ575" s="276"/>
      <c r="CU575" s="276"/>
    </row>
    <row r="576" spans="75:99" ht="15.75">
      <c r="BW576" s="276"/>
      <c r="BY576" s="276"/>
      <c r="BZ576" s="276"/>
      <c r="CA576" s="276"/>
      <c r="CB576" s="276"/>
      <c r="CC576" s="276"/>
      <c r="CD576" s="276"/>
      <c r="CH576" s="276"/>
      <c r="CJ576" s="276"/>
      <c r="CK576" s="276"/>
      <c r="CL576" s="276"/>
      <c r="CM576" s="276"/>
      <c r="CN576" s="276"/>
      <c r="CO576" s="276"/>
      <c r="CP576" s="276"/>
      <c r="CQ576" s="276"/>
      <c r="CU576" s="276"/>
    </row>
    <row r="577" spans="75:99" ht="15.75">
      <c r="BW577" s="276"/>
      <c r="BY577" s="276"/>
      <c r="BZ577" s="276"/>
      <c r="CA577" s="276"/>
      <c r="CB577" s="276"/>
      <c r="CC577" s="276"/>
      <c r="CD577" s="276"/>
      <c r="CH577" s="276"/>
      <c r="CJ577" s="276"/>
      <c r="CK577" s="276"/>
      <c r="CL577" s="276"/>
      <c r="CM577" s="276"/>
      <c r="CN577" s="276"/>
      <c r="CO577" s="276"/>
      <c r="CP577" s="276"/>
      <c r="CQ577" s="276"/>
      <c r="CU577" s="276"/>
    </row>
    <row r="578" spans="75:99" ht="15.75">
      <c r="BW578" s="276"/>
      <c r="BY578" s="276"/>
      <c r="BZ578" s="276"/>
      <c r="CA578" s="276"/>
      <c r="CB578" s="276"/>
      <c r="CC578" s="276"/>
      <c r="CD578" s="276"/>
      <c r="CH578" s="276"/>
      <c r="CJ578" s="276"/>
      <c r="CK578" s="276"/>
      <c r="CL578" s="276"/>
      <c r="CM578" s="276"/>
      <c r="CN578" s="276"/>
      <c r="CO578" s="276"/>
      <c r="CP578" s="276"/>
      <c r="CQ578" s="276"/>
      <c r="CU578" s="276"/>
    </row>
    <row r="579" spans="75:99" ht="15.75">
      <c r="BW579" s="276"/>
      <c r="BY579" s="276"/>
      <c r="BZ579" s="276"/>
      <c r="CA579" s="276"/>
      <c r="CB579" s="276"/>
      <c r="CC579" s="276"/>
      <c r="CD579" s="276"/>
      <c r="CH579" s="276"/>
      <c r="CJ579" s="276"/>
      <c r="CK579" s="276"/>
      <c r="CL579" s="276"/>
      <c r="CM579" s="276"/>
      <c r="CN579" s="276"/>
      <c r="CO579" s="276"/>
      <c r="CP579" s="276"/>
      <c r="CQ579" s="276"/>
      <c r="CU579" s="276"/>
    </row>
    <row r="580" spans="75:99" ht="15.75">
      <c r="BW580" s="276"/>
      <c r="BY580" s="276"/>
      <c r="BZ580" s="276"/>
      <c r="CA580" s="276"/>
      <c r="CB580" s="276"/>
      <c r="CC580" s="276"/>
      <c r="CD580" s="276"/>
      <c r="CH580" s="276"/>
      <c r="CJ580" s="276"/>
      <c r="CK580" s="276"/>
      <c r="CL580" s="276"/>
      <c r="CM580" s="276"/>
      <c r="CN580" s="276"/>
      <c r="CO580" s="276"/>
      <c r="CP580" s="276"/>
      <c r="CQ580" s="276"/>
      <c r="CU580" s="276"/>
    </row>
    <row r="581" spans="75:99" ht="15.75">
      <c r="BW581" s="276"/>
      <c r="BY581" s="276"/>
      <c r="BZ581" s="276"/>
      <c r="CA581" s="276"/>
      <c r="CB581" s="276"/>
      <c r="CC581" s="276"/>
      <c r="CD581" s="276"/>
      <c r="CH581" s="276"/>
      <c r="CJ581" s="276"/>
      <c r="CK581" s="276"/>
      <c r="CL581" s="276"/>
      <c r="CM581" s="276"/>
      <c r="CN581" s="276"/>
      <c r="CO581" s="276"/>
      <c r="CP581" s="276"/>
      <c r="CQ581" s="276"/>
      <c r="CU581" s="276"/>
    </row>
    <row r="582" spans="75:99" ht="15.75">
      <c r="BW582" s="276"/>
      <c r="BY582" s="276"/>
      <c r="BZ582" s="276"/>
      <c r="CA582" s="276"/>
      <c r="CB582" s="276"/>
      <c r="CC582" s="276"/>
      <c r="CD582" s="276"/>
      <c r="CH582" s="276"/>
      <c r="CJ582" s="276"/>
      <c r="CK582" s="276"/>
      <c r="CL582" s="276"/>
      <c r="CM582" s="276"/>
      <c r="CN582" s="276"/>
      <c r="CO582" s="276"/>
      <c r="CP582" s="276"/>
      <c r="CQ582" s="276"/>
      <c r="CU582" s="276"/>
    </row>
    <row r="583" spans="75:99" ht="15.75">
      <c r="BW583" s="276"/>
      <c r="BY583" s="276"/>
      <c r="BZ583" s="276"/>
      <c r="CA583" s="276"/>
      <c r="CB583" s="276"/>
      <c r="CC583" s="276"/>
      <c r="CD583" s="276"/>
      <c r="CH583" s="276"/>
      <c r="CJ583" s="276"/>
      <c r="CK583" s="276"/>
      <c r="CL583" s="276"/>
      <c r="CM583" s="276"/>
      <c r="CN583" s="276"/>
      <c r="CO583" s="276"/>
      <c r="CP583" s="276"/>
      <c r="CQ583" s="276"/>
      <c r="CU583" s="276"/>
    </row>
    <row r="584" spans="75:99" ht="15.75">
      <c r="BW584" s="276"/>
      <c r="BY584" s="276"/>
      <c r="BZ584" s="276"/>
      <c r="CA584" s="276"/>
      <c r="CB584" s="276"/>
      <c r="CC584" s="276"/>
      <c r="CD584" s="276"/>
      <c r="CH584" s="276"/>
      <c r="CJ584" s="276"/>
      <c r="CK584" s="276"/>
      <c r="CL584" s="276"/>
      <c r="CM584" s="276"/>
      <c r="CN584" s="276"/>
      <c r="CO584" s="276"/>
      <c r="CP584" s="276"/>
      <c r="CQ584" s="276"/>
      <c r="CU584" s="276"/>
    </row>
    <row r="585" spans="75:99" ht="15.75">
      <c r="BW585" s="276"/>
      <c r="BY585" s="276"/>
      <c r="BZ585" s="276"/>
      <c r="CA585" s="276"/>
      <c r="CB585" s="276"/>
      <c r="CC585" s="276"/>
      <c r="CD585" s="276"/>
      <c r="CH585" s="276"/>
      <c r="CJ585" s="276"/>
      <c r="CK585" s="276"/>
      <c r="CL585" s="276"/>
      <c r="CM585" s="276"/>
      <c r="CN585" s="276"/>
      <c r="CO585" s="276"/>
      <c r="CP585" s="276"/>
      <c r="CQ585" s="276"/>
      <c r="CU585" s="276"/>
    </row>
    <row r="586" spans="75:99" ht="15.75">
      <c r="BW586" s="276"/>
      <c r="BY586" s="276"/>
      <c r="BZ586" s="276"/>
      <c r="CA586" s="276"/>
      <c r="CB586" s="276"/>
      <c r="CC586" s="276"/>
      <c r="CD586" s="276"/>
      <c r="CH586" s="276"/>
      <c r="CJ586" s="276"/>
      <c r="CK586" s="276"/>
      <c r="CL586" s="276"/>
      <c r="CM586" s="276"/>
      <c r="CN586" s="276"/>
      <c r="CO586" s="276"/>
      <c r="CP586" s="276"/>
      <c r="CQ586" s="276"/>
      <c r="CU586" s="276"/>
    </row>
    <row r="587" spans="75:99" ht="15.75">
      <c r="BW587" s="276"/>
      <c r="BY587" s="276"/>
      <c r="BZ587" s="276"/>
      <c r="CA587" s="276"/>
      <c r="CB587" s="276"/>
      <c r="CC587" s="276"/>
      <c r="CD587" s="276"/>
      <c r="CH587" s="276"/>
      <c r="CJ587" s="276"/>
      <c r="CK587" s="276"/>
      <c r="CL587" s="276"/>
      <c r="CM587" s="276"/>
      <c r="CN587" s="276"/>
      <c r="CO587" s="276"/>
      <c r="CP587" s="276"/>
      <c r="CQ587" s="276"/>
      <c r="CU587" s="276"/>
    </row>
    <row r="588" spans="75:99" ht="15.75">
      <c r="BW588" s="276"/>
      <c r="BY588" s="276"/>
      <c r="BZ588" s="276"/>
      <c r="CA588" s="276"/>
      <c r="CB588" s="276"/>
      <c r="CC588" s="276"/>
      <c r="CD588" s="276"/>
      <c r="CH588" s="276"/>
      <c r="CJ588" s="276"/>
      <c r="CK588" s="276"/>
      <c r="CL588" s="276"/>
      <c r="CM588" s="276"/>
      <c r="CN588" s="276"/>
      <c r="CO588" s="276"/>
      <c r="CP588" s="276"/>
      <c r="CQ588" s="276"/>
      <c r="CU588" s="276"/>
    </row>
    <row r="589" spans="75:99" ht="15.75">
      <c r="BW589" s="276"/>
      <c r="BY589" s="276"/>
      <c r="BZ589" s="276"/>
      <c r="CA589" s="276"/>
      <c r="CB589" s="276"/>
      <c r="CC589" s="276"/>
      <c r="CD589" s="276"/>
      <c r="CH589" s="276"/>
      <c r="CJ589" s="276"/>
      <c r="CK589" s="276"/>
      <c r="CL589" s="276"/>
      <c r="CM589" s="276"/>
      <c r="CN589" s="276"/>
      <c r="CO589" s="276"/>
      <c r="CP589" s="276"/>
      <c r="CQ589" s="276"/>
      <c r="CU589" s="276"/>
    </row>
    <row r="590" spans="75:99" ht="15.75">
      <c r="BW590" s="276"/>
      <c r="BY590" s="276"/>
      <c r="BZ590" s="276"/>
      <c r="CA590" s="276"/>
      <c r="CB590" s="276"/>
      <c r="CC590" s="276"/>
      <c r="CD590" s="276"/>
      <c r="CH590" s="276"/>
      <c r="CJ590" s="276"/>
      <c r="CK590" s="276"/>
      <c r="CL590" s="276"/>
      <c r="CM590" s="276"/>
      <c r="CN590" s="276"/>
      <c r="CO590" s="276"/>
      <c r="CP590" s="276"/>
      <c r="CQ590" s="276"/>
      <c r="CU590" s="276"/>
    </row>
    <row r="591" spans="75:99" ht="15.75">
      <c r="BW591" s="276"/>
      <c r="BY591" s="276"/>
      <c r="BZ591" s="276"/>
      <c r="CA591" s="276"/>
      <c r="CB591" s="276"/>
      <c r="CC591" s="276"/>
      <c r="CD591" s="276"/>
      <c r="CH591" s="276"/>
      <c r="CJ591" s="276"/>
      <c r="CK591" s="276"/>
      <c r="CL591" s="276"/>
      <c r="CM591" s="276"/>
      <c r="CN591" s="276"/>
      <c r="CO591" s="276"/>
      <c r="CP591" s="276"/>
      <c r="CQ591" s="276"/>
      <c r="CU591" s="276"/>
    </row>
    <row r="592" spans="75:99" ht="15.75">
      <c r="BW592" s="276"/>
      <c r="BY592" s="276"/>
      <c r="BZ592" s="276"/>
      <c r="CA592" s="276"/>
      <c r="CB592" s="276"/>
      <c r="CC592" s="276"/>
      <c r="CD592" s="276"/>
      <c r="CH592" s="276"/>
      <c r="CJ592" s="276"/>
      <c r="CK592" s="276"/>
      <c r="CL592" s="276"/>
      <c r="CM592" s="276"/>
      <c r="CN592" s="276"/>
      <c r="CO592" s="276"/>
      <c r="CP592" s="276"/>
      <c r="CQ592" s="276"/>
      <c r="CU592" s="276"/>
    </row>
    <row r="593" spans="75:99" ht="15.75">
      <c r="BW593" s="276"/>
      <c r="BY593" s="276"/>
      <c r="BZ593" s="276"/>
      <c r="CA593" s="276"/>
      <c r="CB593" s="276"/>
      <c r="CC593" s="276"/>
      <c r="CD593" s="276"/>
      <c r="CH593" s="276"/>
      <c r="CJ593" s="276"/>
      <c r="CK593" s="276"/>
      <c r="CL593" s="276"/>
      <c r="CM593" s="276"/>
      <c r="CN593" s="276"/>
      <c r="CO593" s="276"/>
      <c r="CP593" s="276"/>
      <c r="CQ593" s="276"/>
      <c r="CU593" s="276"/>
    </row>
    <row r="594" spans="75:99" ht="15.75">
      <c r="BW594" s="276"/>
      <c r="BY594" s="276"/>
      <c r="BZ594" s="276"/>
      <c r="CA594" s="276"/>
      <c r="CB594" s="276"/>
      <c r="CC594" s="276"/>
      <c r="CD594" s="276"/>
      <c r="CH594" s="276"/>
      <c r="CJ594" s="276"/>
      <c r="CK594" s="276"/>
      <c r="CL594" s="276"/>
      <c r="CM594" s="276"/>
      <c r="CN594" s="276"/>
      <c r="CO594" s="276"/>
      <c r="CP594" s="276"/>
      <c r="CQ594" s="276"/>
      <c r="CU594" s="276"/>
    </row>
    <row r="595" spans="75:99" ht="15.75">
      <c r="BW595" s="276"/>
      <c r="BY595" s="276"/>
      <c r="BZ595" s="276"/>
      <c r="CA595" s="276"/>
      <c r="CB595" s="276"/>
      <c r="CC595" s="276"/>
      <c r="CD595" s="276"/>
      <c r="CH595" s="276"/>
      <c r="CJ595" s="276"/>
      <c r="CK595" s="276"/>
      <c r="CL595" s="276"/>
      <c r="CM595" s="276"/>
      <c r="CN595" s="276"/>
      <c r="CO595" s="276"/>
      <c r="CP595" s="276"/>
      <c r="CQ595" s="276"/>
      <c r="CU595" s="276"/>
    </row>
    <row r="596" spans="75:99" ht="15.75">
      <c r="BW596" s="276"/>
      <c r="BY596" s="276"/>
      <c r="BZ596" s="276"/>
      <c r="CA596" s="276"/>
      <c r="CB596" s="276"/>
      <c r="CC596" s="276"/>
      <c r="CD596" s="276"/>
      <c r="CH596" s="276"/>
      <c r="CJ596" s="276"/>
      <c r="CK596" s="276"/>
      <c r="CL596" s="276"/>
      <c r="CM596" s="276"/>
      <c r="CN596" s="276"/>
      <c r="CO596" s="276"/>
      <c r="CP596" s="276"/>
      <c r="CQ596" s="276"/>
      <c r="CU596" s="276"/>
    </row>
    <row r="597" spans="75:99" ht="15.75">
      <c r="BW597" s="276"/>
      <c r="BY597" s="276"/>
      <c r="BZ597" s="276"/>
      <c r="CA597" s="276"/>
      <c r="CB597" s="276"/>
      <c r="CC597" s="276"/>
      <c r="CD597" s="276"/>
      <c r="CH597" s="276"/>
      <c r="CJ597" s="276"/>
      <c r="CK597" s="276"/>
      <c r="CL597" s="276"/>
      <c r="CM597" s="276"/>
      <c r="CN597" s="276"/>
      <c r="CO597" s="276"/>
      <c r="CP597" s="276"/>
      <c r="CQ597" s="276"/>
      <c r="CU597" s="276"/>
    </row>
    <row r="598" spans="75:99" ht="15.75">
      <c r="BW598" s="276"/>
      <c r="BY598" s="276"/>
      <c r="BZ598" s="276"/>
      <c r="CA598" s="276"/>
      <c r="CB598" s="276"/>
      <c r="CC598" s="276"/>
      <c r="CD598" s="276"/>
      <c r="CH598" s="276"/>
      <c r="CJ598" s="276"/>
      <c r="CK598" s="276"/>
      <c r="CL598" s="276"/>
      <c r="CM598" s="276"/>
      <c r="CN598" s="276"/>
      <c r="CO598" s="276"/>
      <c r="CP598" s="276"/>
      <c r="CQ598" s="276"/>
      <c r="CU598" s="276"/>
    </row>
    <row r="599" spans="75:99" ht="15.75">
      <c r="BW599" s="276"/>
      <c r="BY599" s="276"/>
      <c r="BZ599" s="276"/>
      <c r="CA599" s="276"/>
      <c r="CB599" s="276"/>
      <c r="CC599" s="276"/>
      <c r="CD599" s="276"/>
      <c r="CH599" s="276"/>
      <c r="CJ599" s="276"/>
      <c r="CK599" s="276"/>
      <c r="CL599" s="276"/>
      <c r="CM599" s="276"/>
      <c r="CN599" s="276"/>
      <c r="CO599" s="276"/>
      <c r="CP599" s="276"/>
      <c r="CQ599" s="276"/>
      <c r="CU599" s="276"/>
    </row>
    <row r="600" spans="75:99" ht="15.75">
      <c r="BW600" s="276"/>
      <c r="BY600" s="276"/>
      <c r="BZ600" s="276"/>
      <c r="CA600" s="276"/>
      <c r="CB600" s="276"/>
      <c r="CC600" s="276"/>
      <c r="CD600" s="276"/>
      <c r="CH600" s="276"/>
      <c r="CJ600" s="276"/>
      <c r="CK600" s="276"/>
      <c r="CL600" s="276"/>
      <c r="CM600" s="276"/>
      <c r="CN600" s="276"/>
      <c r="CO600" s="276"/>
      <c r="CP600" s="276"/>
      <c r="CQ600" s="276"/>
      <c r="CU600" s="276"/>
    </row>
    <row r="601" spans="75:99" ht="15.75">
      <c r="BW601" s="276"/>
      <c r="BY601" s="276"/>
      <c r="BZ601" s="276"/>
      <c r="CA601" s="276"/>
      <c r="CB601" s="276"/>
      <c r="CC601" s="276"/>
      <c r="CD601" s="276"/>
      <c r="CH601" s="276"/>
      <c r="CJ601" s="276"/>
      <c r="CK601" s="276"/>
      <c r="CL601" s="276"/>
      <c r="CM601" s="276"/>
      <c r="CN601" s="276"/>
      <c r="CO601" s="276"/>
      <c r="CP601" s="276"/>
      <c r="CQ601" s="276"/>
      <c r="CU601" s="276"/>
    </row>
    <row r="602" spans="75:99" ht="15.75">
      <c r="BW602" s="276"/>
      <c r="BY602" s="276"/>
      <c r="BZ602" s="276"/>
      <c r="CA602" s="276"/>
      <c r="CB602" s="276"/>
      <c r="CC602" s="276"/>
      <c r="CD602" s="276"/>
      <c r="CH602" s="276"/>
      <c r="CJ602" s="276"/>
      <c r="CK602" s="276"/>
      <c r="CL602" s="276"/>
      <c r="CM602" s="276"/>
      <c r="CN602" s="276"/>
      <c r="CO602" s="276"/>
      <c r="CP602" s="276"/>
      <c r="CQ602" s="276"/>
      <c r="CU602" s="276"/>
    </row>
    <row r="603" spans="75:99" ht="15.75">
      <c r="BW603" s="276"/>
      <c r="BY603" s="276"/>
      <c r="BZ603" s="276"/>
      <c r="CA603" s="276"/>
      <c r="CB603" s="276"/>
      <c r="CC603" s="276"/>
      <c r="CD603" s="276"/>
      <c r="CH603" s="276"/>
      <c r="CJ603" s="276"/>
      <c r="CK603" s="276"/>
      <c r="CL603" s="276"/>
      <c r="CM603" s="276"/>
      <c r="CN603" s="276"/>
      <c r="CO603" s="276"/>
      <c r="CP603" s="276"/>
      <c r="CQ603" s="276"/>
      <c r="CU603" s="276"/>
    </row>
    <row r="604" spans="75:99" ht="15.75">
      <c r="BW604" s="276"/>
      <c r="BY604" s="276"/>
      <c r="BZ604" s="276"/>
      <c r="CA604" s="276"/>
      <c r="CB604" s="276"/>
      <c r="CC604" s="276"/>
      <c r="CD604" s="276"/>
      <c r="CH604" s="276"/>
      <c r="CJ604" s="276"/>
      <c r="CK604" s="276"/>
      <c r="CL604" s="276"/>
      <c r="CM604" s="276"/>
      <c r="CN604" s="276"/>
      <c r="CO604" s="276"/>
      <c r="CP604" s="276"/>
      <c r="CQ604" s="276"/>
      <c r="CU604" s="276"/>
    </row>
    <row r="605" spans="75:99" ht="15.75">
      <c r="BW605" s="276"/>
      <c r="BY605" s="276"/>
      <c r="BZ605" s="276"/>
      <c r="CA605" s="276"/>
      <c r="CB605" s="276"/>
      <c r="CC605" s="276"/>
      <c r="CD605" s="276"/>
      <c r="CH605" s="276"/>
      <c r="CJ605" s="276"/>
      <c r="CK605" s="276"/>
      <c r="CL605" s="276"/>
      <c r="CM605" s="276"/>
      <c r="CN605" s="276"/>
      <c r="CO605" s="276"/>
      <c r="CP605" s="276"/>
      <c r="CQ605" s="276"/>
      <c r="CU605" s="276"/>
    </row>
    <row r="606" spans="75:99" ht="15.75">
      <c r="BW606" s="276"/>
      <c r="BY606" s="276"/>
      <c r="BZ606" s="276"/>
      <c r="CA606" s="276"/>
      <c r="CB606" s="276"/>
      <c r="CC606" s="276"/>
      <c r="CD606" s="276"/>
      <c r="CH606" s="276"/>
      <c r="CJ606" s="276"/>
      <c r="CK606" s="276"/>
      <c r="CL606" s="276"/>
      <c r="CM606" s="276"/>
      <c r="CN606" s="276"/>
      <c r="CO606" s="276"/>
      <c r="CP606" s="276"/>
      <c r="CQ606" s="276"/>
      <c r="CU606" s="276"/>
    </row>
    <row r="607" spans="75:99" ht="15.75">
      <c r="BW607" s="276"/>
      <c r="BY607" s="276"/>
      <c r="BZ607" s="276"/>
      <c r="CA607" s="276"/>
      <c r="CB607" s="276"/>
      <c r="CC607" s="276"/>
      <c r="CD607" s="276"/>
      <c r="CH607" s="276"/>
      <c r="CJ607" s="276"/>
      <c r="CK607" s="276"/>
      <c r="CL607" s="276"/>
      <c r="CM607" s="276"/>
      <c r="CN607" s="276"/>
      <c r="CO607" s="276"/>
      <c r="CP607" s="276"/>
      <c r="CQ607" s="276"/>
      <c r="CU607" s="276"/>
    </row>
    <row r="608" spans="75:99" ht="15.75">
      <c r="BW608" s="276"/>
      <c r="BY608" s="276"/>
      <c r="BZ608" s="276"/>
      <c r="CA608" s="276"/>
      <c r="CB608" s="276"/>
      <c r="CC608" s="276"/>
      <c r="CD608" s="276"/>
      <c r="CH608" s="276"/>
      <c r="CJ608" s="276"/>
      <c r="CK608" s="276"/>
      <c r="CL608" s="276"/>
      <c r="CM608" s="276"/>
      <c r="CN608" s="276"/>
      <c r="CO608" s="276"/>
      <c r="CP608" s="276"/>
      <c r="CQ608" s="276"/>
      <c r="CU608" s="276"/>
    </row>
    <row r="609" spans="75:99" ht="15.75">
      <c r="BW609" s="276"/>
      <c r="BY609" s="276"/>
      <c r="BZ609" s="276"/>
      <c r="CA609" s="276"/>
      <c r="CB609" s="276"/>
      <c r="CC609" s="276"/>
      <c r="CD609" s="276"/>
      <c r="CH609" s="276"/>
      <c r="CJ609" s="276"/>
      <c r="CK609" s="276"/>
      <c r="CL609" s="276"/>
      <c r="CM609" s="276"/>
      <c r="CN609" s="276"/>
      <c r="CO609" s="276"/>
      <c r="CP609" s="276"/>
      <c r="CQ609" s="276"/>
      <c r="CU609" s="276"/>
    </row>
    <row r="610" spans="75:99" ht="15.75">
      <c r="BW610" s="276"/>
      <c r="BY610" s="276"/>
      <c r="BZ610" s="276"/>
      <c r="CA610" s="276"/>
      <c r="CB610" s="276"/>
      <c r="CC610" s="276"/>
      <c r="CD610" s="276"/>
      <c r="CH610" s="276"/>
      <c r="CJ610" s="276"/>
      <c r="CK610" s="276"/>
      <c r="CL610" s="276"/>
      <c r="CM610" s="276"/>
      <c r="CN610" s="276"/>
      <c r="CO610" s="276"/>
      <c r="CP610" s="276"/>
      <c r="CQ610" s="276"/>
      <c r="CU610" s="276"/>
    </row>
    <row r="611" spans="75:99" ht="15.75">
      <c r="BW611" s="276"/>
      <c r="BY611" s="276"/>
      <c r="BZ611" s="276"/>
      <c r="CA611" s="276"/>
      <c r="CB611" s="276"/>
      <c r="CC611" s="276"/>
      <c r="CD611" s="276"/>
      <c r="CH611" s="276"/>
      <c r="CJ611" s="276"/>
      <c r="CK611" s="276"/>
      <c r="CL611" s="276"/>
      <c r="CM611" s="276"/>
      <c r="CN611" s="276"/>
      <c r="CO611" s="276"/>
      <c r="CP611" s="276"/>
      <c r="CQ611" s="276"/>
      <c r="CU611" s="276"/>
    </row>
    <row r="612" spans="75:99" ht="15.75">
      <c r="BW612" s="276"/>
      <c r="BY612" s="276"/>
      <c r="BZ612" s="276"/>
      <c r="CA612" s="276"/>
      <c r="CB612" s="276"/>
      <c r="CC612" s="276"/>
      <c r="CD612" s="276"/>
      <c r="CH612" s="276"/>
      <c r="CJ612" s="276"/>
      <c r="CK612" s="276"/>
      <c r="CL612" s="276"/>
      <c r="CM612" s="276"/>
      <c r="CN612" s="276"/>
      <c r="CO612" s="276"/>
      <c r="CP612" s="276"/>
      <c r="CQ612" s="276"/>
      <c r="CU612" s="276"/>
    </row>
    <row r="613" spans="75:99" ht="15.75">
      <c r="BW613" s="276"/>
      <c r="BY613" s="276"/>
      <c r="BZ613" s="276"/>
      <c r="CA613" s="276"/>
      <c r="CB613" s="276"/>
      <c r="CC613" s="276"/>
      <c r="CD613" s="276"/>
      <c r="CH613" s="276"/>
      <c r="CJ613" s="276"/>
      <c r="CK613" s="276"/>
      <c r="CL613" s="276"/>
      <c r="CM613" s="276"/>
      <c r="CN613" s="276"/>
      <c r="CO613" s="276"/>
      <c r="CP613" s="276"/>
      <c r="CQ613" s="276"/>
      <c r="CU613" s="276"/>
    </row>
    <row r="614" spans="75:99" ht="15.75">
      <c r="BW614" s="276"/>
      <c r="BY614" s="276"/>
      <c r="BZ614" s="276"/>
      <c r="CA614" s="276"/>
      <c r="CB614" s="276"/>
      <c r="CC614" s="276"/>
      <c r="CD614" s="276"/>
      <c r="CH614" s="276"/>
      <c r="CJ614" s="276"/>
      <c r="CK614" s="276"/>
      <c r="CL614" s="276"/>
      <c r="CM614" s="276"/>
      <c r="CN614" s="276"/>
      <c r="CO614" s="276"/>
      <c r="CP614" s="276"/>
      <c r="CQ614" s="276"/>
      <c r="CU614" s="276"/>
    </row>
    <row r="615" spans="75:99" ht="15.75">
      <c r="BW615" s="276"/>
      <c r="BY615" s="276"/>
      <c r="BZ615" s="276"/>
      <c r="CA615" s="276"/>
      <c r="CB615" s="276"/>
      <c r="CC615" s="276"/>
      <c r="CD615" s="276"/>
      <c r="CH615" s="276"/>
      <c r="CJ615" s="276"/>
      <c r="CK615" s="276"/>
      <c r="CL615" s="276"/>
      <c r="CM615" s="276"/>
      <c r="CN615" s="276"/>
      <c r="CO615" s="276"/>
      <c r="CP615" s="276"/>
      <c r="CQ615" s="276"/>
      <c r="CU615" s="276"/>
    </row>
    <row r="616" spans="75:99" ht="15.75">
      <c r="BW616" s="276"/>
      <c r="BY616" s="276"/>
      <c r="BZ616" s="276"/>
      <c r="CA616" s="276"/>
      <c r="CB616" s="276"/>
      <c r="CC616" s="276"/>
      <c r="CD616" s="276"/>
      <c r="CH616" s="276"/>
      <c r="CJ616" s="276"/>
      <c r="CK616" s="276"/>
      <c r="CL616" s="276"/>
      <c r="CM616" s="276"/>
      <c r="CN616" s="276"/>
      <c r="CO616" s="276"/>
      <c r="CP616" s="276"/>
      <c r="CQ616" s="276"/>
      <c r="CU616" s="276"/>
    </row>
    <row r="617" spans="75:99" ht="15.75">
      <c r="BW617" s="276"/>
      <c r="BY617" s="276"/>
      <c r="BZ617" s="276"/>
      <c r="CA617" s="276"/>
      <c r="CB617" s="276"/>
      <c r="CC617" s="276"/>
      <c r="CD617" s="276"/>
      <c r="CH617" s="276"/>
      <c r="CJ617" s="276"/>
      <c r="CK617" s="276"/>
      <c r="CL617" s="276"/>
      <c r="CM617" s="276"/>
      <c r="CN617" s="276"/>
      <c r="CO617" s="276"/>
      <c r="CP617" s="276"/>
      <c r="CQ617" s="276"/>
      <c r="CU617" s="276"/>
    </row>
    <row r="618" spans="75:99" ht="15.75">
      <c r="BW618" s="276"/>
      <c r="BY618" s="276"/>
      <c r="BZ618" s="276"/>
      <c r="CA618" s="276"/>
      <c r="CB618" s="276"/>
      <c r="CC618" s="276"/>
      <c r="CD618" s="276"/>
      <c r="CH618" s="276"/>
      <c r="CJ618" s="276"/>
      <c r="CK618" s="276"/>
      <c r="CL618" s="276"/>
      <c r="CM618" s="276"/>
      <c r="CN618" s="276"/>
      <c r="CO618" s="276"/>
      <c r="CP618" s="276"/>
      <c r="CQ618" s="276"/>
      <c r="CU618" s="276"/>
    </row>
    <row r="619" spans="75:99" ht="15.75">
      <c r="BW619" s="276"/>
      <c r="BY619" s="276"/>
      <c r="BZ619" s="276"/>
      <c r="CA619" s="276"/>
      <c r="CB619" s="276"/>
      <c r="CC619" s="276"/>
      <c r="CD619" s="276"/>
      <c r="CH619" s="276"/>
      <c r="CJ619" s="276"/>
      <c r="CK619" s="276"/>
      <c r="CL619" s="276"/>
      <c r="CM619" s="276"/>
      <c r="CN619" s="276"/>
      <c r="CO619" s="276"/>
      <c r="CP619" s="276"/>
      <c r="CQ619" s="276"/>
      <c r="CU619" s="276"/>
    </row>
    <row r="620" spans="75:99" ht="15.75">
      <c r="BW620" s="276"/>
      <c r="BY620" s="276"/>
      <c r="BZ620" s="276"/>
      <c r="CA620" s="276"/>
      <c r="CB620" s="276"/>
      <c r="CC620" s="276"/>
      <c r="CD620" s="276"/>
      <c r="CH620" s="276"/>
      <c r="CJ620" s="276"/>
      <c r="CK620" s="276"/>
      <c r="CL620" s="276"/>
      <c r="CM620" s="276"/>
      <c r="CN620" s="276"/>
      <c r="CO620" s="276"/>
      <c r="CP620" s="276"/>
      <c r="CQ620" s="276"/>
      <c r="CU620" s="276"/>
    </row>
    <row r="621" spans="75:99" ht="15.75">
      <c r="BW621" s="276"/>
      <c r="BY621" s="276"/>
      <c r="BZ621" s="276"/>
      <c r="CA621" s="276"/>
      <c r="CB621" s="276"/>
      <c r="CC621" s="276"/>
      <c r="CD621" s="276"/>
      <c r="CH621" s="276"/>
      <c r="CJ621" s="276"/>
      <c r="CK621" s="276"/>
      <c r="CL621" s="276"/>
      <c r="CM621" s="276"/>
      <c r="CN621" s="276"/>
      <c r="CO621" s="276"/>
      <c r="CP621" s="276"/>
      <c r="CQ621" s="276"/>
      <c r="CU621" s="276"/>
    </row>
    <row r="622" spans="75:99" ht="15.75">
      <c r="BW622" s="276"/>
      <c r="BY622" s="276"/>
      <c r="BZ622" s="276"/>
      <c r="CA622" s="276"/>
      <c r="CB622" s="276"/>
      <c r="CC622" s="276"/>
      <c r="CD622" s="276"/>
      <c r="CH622" s="276"/>
      <c r="CJ622" s="276"/>
      <c r="CK622" s="276"/>
      <c r="CL622" s="276"/>
      <c r="CM622" s="276"/>
      <c r="CN622" s="276"/>
      <c r="CO622" s="276"/>
      <c r="CP622" s="276"/>
      <c r="CQ622" s="276"/>
      <c r="CU622" s="276"/>
    </row>
    <row r="623" spans="75:99" ht="15.75">
      <c r="BW623" s="276"/>
      <c r="BY623" s="276"/>
      <c r="BZ623" s="276"/>
      <c r="CA623" s="276"/>
      <c r="CB623" s="276"/>
      <c r="CC623" s="276"/>
      <c r="CD623" s="276"/>
      <c r="CH623" s="276"/>
      <c r="CJ623" s="276"/>
      <c r="CK623" s="276"/>
      <c r="CL623" s="276"/>
      <c r="CM623" s="276"/>
      <c r="CN623" s="276"/>
      <c r="CO623" s="276"/>
      <c r="CP623" s="276"/>
      <c r="CQ623" s="276"/>
      <c r="CU623" s="276"/>
    </row>
    <row r="624" spans="75:99" ht="15.75">
      <c r="BW624" s="276"/>
      <c r="BY624" s="276"/>
      <c r="BZ624" s="276"/>
      <c r="CA624" s="276"/>
      <c r="CB624" s="276"/>
      <c r="CC624" s="276"/>
      <c r="CD624" s="276"/>
      <c r="CH624" s="276"/>
      <c r="CJ624" s="276"/>
      <c r="CK624" s="276"/>
      <c r="CL624" s="276"/>
      <c r="CM624" s="276"/>
      <c r="CN624" s="276"/>
      <c r="CO624" s="276"/>
      <c r="CP624" s="276"/>
      <c r="CQ624" s="276"/>
      <c r="CU624" s="276"/>
    </row>
    <row r="625" spans="75:99" ht="15.75">
      <c r="BW625" s="276"/>
      <c r="BY625" s="276"/>
      <c r="BZ625" s="276"/>
      <c r="CA625" s="276"/>
      <c r="CB625" s="276"/>
      <c r="CC625" s="276"/>
      <c r="CD625" s="276"/>
      <c r="CH625" s="276"/>
      <c r="CJ625" s="276"/>
      <c r="CK625" s="276"/>
      <c r="CL625" s="276"/>
      <c r="CM625" s="276"/>
      <c r="CN625" s="276"/>
      <c r="CO625" s="276"/>
      <c r="CP625" s="276"/>
      <c r="CQ625" s="276"/>
      <c r="CU625" s="276"/>
    </row>
    <row r="626" spans="75:99" ht="15.75">
      <c r="BW626" s="276"/>
      <c r="BY626" s="276"/>
      <c r="BZ626" s="276"/>
      <c r="CA626" s="276"/>
      <c r="CB626" s="276"/>
      <c r="CC626" s="276"/>
      <c r="CD626" s="276"/>
      <c r="CH626" s="276"/>
      <c r="CJ626" s="276"/>
      <c r="CK626" s="276"/>
      <c r="CL626" s="276"/>
      <c r="CM626" s="276"/>
      <c r="CN626" s="276"/>
      <c r="CO626" s="276"/>
      <c r="CP626" s="276"/>
      <c r="CQ626" s="276"/>
      <c r="CU626" s="276"/>
    </row>
    <row r="627" spans="75:99" ht="15.75">
      <c r="BW627" s="276"/>
      <c r="BY627" s="276"/>
      <c r="BZ627" s="276"/>
      <c r="CA627" s="276"/>
      <c r="CB627" s="276"/>
      <c r="CC627" s="276"/>
      <c r="CD627" s="276"/>
      <c r="CH627" s="276"/>
      <c r="CJ627" s="276"/>
      <c r="CK627" s="276"/>
      <c r="CL627" s="276"/>
      <c r="CM627" s="276"/>
      <c r="CN627" s="276"/>
      <c r="CO627" s="276"/>
      <c r="CP627" s="276"/>
      <c r="CQ627" s="276"/>
      <c r="CU627" s="276"/>
    </row>
    <row r="628" spans="75:99" ht="15.75">
      <c r="BW628" s="276"/>
      <c r="BY628" s="276"/>
      <c r="BZ628" s="276"/>
      <c r="CA628" s="276"/>
      <c r="CB628" s="276"/>
      <c r="CC628" s="276"/>
      <c r="CD628" s="276"/>
      <c r="CH628" s="276"/>
      <c r="CJ628" s="276"/>
      <c r="CK628" s="276"/>
      <c r="CL628" s="276"/>
      <c r="CM628" s="276"/>
      <c r="CN628" s="276"/>
      <c r="CO628" s="276"/>
      <c r="CP628" s="276"/>
      <c r="CQ628" s="276"/>
      <c r="CU628" s="276"/>
    </row>
    <row r="629" spans="75:99" ht="15.75">
      <c r="BW629" s="276"/>
      <c r="BY629" s="276"/>
      <c r="BZ629" s="276"/>
      <c r="CA629" s="276"/>
      <c r="CB629" s="276"/>
      <c r="CC629" s="276"/>
      <c r="CD629" s="276"/>
      <c r="CH629" s="276"/>
      <c r="CJ629" s="276"/>
      <c r="CK629" s="276"/>
      <c r="CL629" s="276"/>
      <c r="CM629" s="276"/>
      <c r="CN629" s="276"/>
      <c r="CO629" s="276"/>
      <c r="CP629" s="276"/>
      <c r="CQ629" s="276"/>
      <c r="CU629" s="276"/>
    </row>
    <row r="630" spans="75:99" ht="15.75">
      <c r="BW630" s="276"/>
      <c r="BY630" s="276"/>
      <c r="BZ630" s="276"/>
      <c r="CA630" s="276"/>
      <c r="CB630" s="276"/>
      <c r="CC630" s="276"/>
      <c r="CD630" s="276"/>
      <c r="CH630" s="276"/>
      <c r="CJ630" s="276"/>
      <c r="CK630" s="276"/>
      <c r="CL630" s="276"/>
      <c r="CM630" s="276"/>
      <c r="CN630" s="276"/>
      <c r="CO630" s="276"/>
      <c r="CP630" s="276"/>
      <c r="CQ630" s="276"/>
      <c r="CU630" s="276"/>
    </row>
    <row r="631" spans="75:99" ht="15.75">
      <c r="BW631" s="276"/>
      <c r="BY631" s="276"/>
      <c r="BZ631" s="276"/>
      <c r="CA631" s="276"/>
      <c r="CB631" s="276"/>
      <c r="CC631" s="276"/>
      <c r="CD631" s="276"/>
      <c r="CH631" s="276"/>
      <c r="CJ631" s="276"/>
      <c r="CK631" s="276"/>
      <c r="CL631" s="276"/>
      <c r="CM631" s="276"/>
      <c r="CN631" s="276"/>
      <c r="CO631" s="276"/>
      <c r="CP631" s="276"/>
      <c r="CQ631" s="276"/>
      <c r="CU631" s="276"/>
    </row>
    <row r="632" spans="75:99" ht="15.75">
      <c r="BW632" s="276"/>
      <c r="BY632" s="276"/>
      <c r="BZ632" s="276"/>
      <c r="CA632" s="276"/>
      <c r="CB632" s="276"/>
      <c r="CC632" s="276"/>
      <c r="CD632" s="276"/>
      <c r="CH632" s="276"/>
      <c r="CJ632" s="276"/>
      <c r="CK632" s="276"/>
      <c r="CL632" s="276"/>
      <c r="CM632" s="276"/>
      <c r="CN632" s="276"/>
      <c r="CO632" s="276"/>
      <c r="CP632" s="276"/>
      <c r="CQ632" s="276"/>
      <c r="CU632" s="276"/>
    </row>
    <row r="633" spans="75:99" ht="15.75">
      <c r="BW633" s="276"/>
      <c r="BY633" s="276"/>
      <c r="BZ633" s="276"/>
      <c r="CA633" s="276"/>
      <c r="CB633" s="276"/>
      <c r="CC633" s="276"/>
      <c r="CD633" s="276"/>
      <c r="CH633" s="276"/>
      <c r="CJ633" s="276"/>
      <c r="CK633" s="276"/>
      <c r="CL633" s="276"/>
      <c r="CM633" s="276"/>
      <c r="CN633" s="276"/>
      <c r="CO633" s="276"/>
      <c r="CP633" s="276"/>
      <c r="CQ633" s="276"/>
      <c r="CU633" s="276"/>
    </row>
    <row r="634" spans="75:99" ht="15.75">
      <c r="BW634" s="276"/>
      <c r="BY634" s="276"/>
      <c r="BZ634" s="276"/>
      <c r="CA634" s="276"/>
      <c r="CB634" s="276"/>
      <c r="CC634" s="276"/>
      <c r="CD634" s="276"/>
      <c r="CH634" s="276"/>
      <c r="CJ634" s="276"/>
      <c r="CK634" s="276"/>
      <c r="CL634" s="276"/>
      <c r="CM634" s="276"/>
      <c r="CN634" s="276"/>
      <c r="CO634" s="276"/>
      <c r="CP634" s="276"/>
      <c r="CQ634" s="276"/>
      <c r="CU634" s="276"/>
    </row>
    <row r="635" spans="75:99" ht="15.75">
      <c r="BW635" s="276"/>
      <c r="BY635" s="276"/>
      <c r="BZ635" s="276"/>
      <c r="CA635" s="276"/>
      <c r="CB635" s="276"/>
      <c r="CC635" s="276"/>
      <c r="CD635" s="276"/>
      <c r="CH635" s="276"/>
      <c r="CJ635" s="276"/>
      <c r="CK635" s="276"/>
      <c r="CL635" s="276"/>
      <c r="CM635" s="276"/>
      <c r="CN635" s="276"/>
      <c r="CO635" s="276"/>
      <c r="CP635" s="276"/>
      <c r="CQ635" s="276"/>
      <c r="CU635" s="276"/>
    </row>
    <row r="636" spans="75:99" ht="15.75">
      <c r="BW636" s="276"/>
      <c r="BY636" s="276"/>
      <c r="BZ636" s="276"/>
      <c r="CA636" s="276"/>
      <c r="CB636" s="276"/>
      <c r="CC636" s="276"/>
      <c r="CD636" s="276"/>
      <c r="CH636" s="276"/>
      <c r="CJ636" s="276"/>
      <c r="CK636" s="276"/>
      <c r="CL636" s="276"/>
      <c r="CM636" s="276"/>
      <c r="CN636" s="276"/>
      <c r="CO636" s="276"/>
      <c r="CP636" s="276"/>
      <c r="CQ636" s="276"/>
      <c r="CU636" s="276"/>
    </row>
    <row r="637" spans="75:99" ht="15.75">
      <c r="BW637" s="276"/>
      <c r="BY637" s="276"/>
      <c r="BZ637" s="276"/>
      <c r="CA637" s="276"/>
      <c r="CB637" s="276"/>
      <c r="CC637" s="276"/>
      <c r="CD637" s="276"/>
      <c r="CH637" s="276"/>
      <c r="CJ637" s="276"/>
      <c r="CK637" s="276"/>
      <c r="CL637" s="276"/>
      <c r="CM637" s="276"/>
      <c r="CN637" s="276"/>
      <c r="CO637" s="276"/>
      <c r="CP637" s="276"/>
      <c r="CQ637" s="276"/>
      <c r="CU637" s="276"/>
    </row>
    <row r="638" spans="75:99" ht="15.75">
      <c r="BW638" s="276"/>
      <c r="BY638" s="276"/>
      <c r="BZ638" s="276"/>
      <c r="CA638" s="276"/>
      <c r="CB638" s="276"/>
      <c r="CC638" s="276"/>
      <c r="CD638" s="276"/>
      <c r="CH638" s="276"/>
      <c r="CJ638" s="276"/>
      <c r="CK638" s="276"/>
      <c r="CL638" s="276"/>
      <c r="CM638" s="276"/>
      <c r="CN638" s="276"/>
      <c r="CO638" s="276"/>
      <c r="CP638" s="276"/>
      <c r="CQ638" s="276"/>
      <c r="CU638" s="276"/>
    </row>
    <row r="639" spans="75:99" ht="15.75">
      <c r="BW639" s="276"/>
      <c r="BY639" s="276"/>
      <c r="BZ639" s="276"/>
      <c r="CA639" s="276"/>
      <c r="CB639" s="276"/>
      <c r="CC639" s="276"/>
      <c r="CD639" s="276"/>
      <c r="CH639" s="276"/>
      <c r="CJ639" s="276"/>
      <c r="CK639" s="276"/>
      <c r="CL639" s="276"/>
      <c r="CM639" s="276"/>
      <c r="CN639" s="276"/>
      <c r="CO639" s="276"/>
      <c r="CP639" s="276"/>
      <c r="CQ639" s="276"/>
      <c r="CU639" s="276"/>
    </row>
    <row r="640" spans="75:99" ht="15.75">
      <c r="BW640" s="276"/>
      <c r="BY640" s="276"/>
      <c r="BZ640" s="276"/>
      <c r="CA640" s="276"/>
      <c r="CB640" s="276"/>
      <c r="CC640" s="276"/>
      <c r="CD640" s="276"/>
      <c r="CH640" s="276"/>
      <c r="CJ640" s="276"/>
      <c r="CK640" s="276"/>
      <c r="CL640" s="276"/>
      <c r="CM640" s="276"/>
      <c r="CN640" s="276"/>
      <c r="CO640" s="276"/>
      <c r="CP640" s="276"/>
      <c r="CQ640" s="276"/>
      <c r="CU640" s="276"/>
    </row>
    <row r="641" spans="75:99" ht="15.75">
      <c r="BW641" s="276"/>
      <c r="BY641" s="276"/>
      <c r="BZ641" s="276"/>
      <c r="CA641" s="276"/>
      <c r="CB641" s="276"/>
      <c r="CC641" s="276"/>
      <c r="CD641" s="276"/>
      <c r="CH641" s="276"/>
      <c r="CJ641" s="276"/>
      <c r="CK641" s="276"/>
      <c r="CL641" s="276"/>
      <c r="CM641" s="276"/>
      <c r="CN641" s="276"/>
      <c r="CO641" s="276"/>
      <c r="CP641" s="276"/>
      <c r="CQ641" s="276"/>
      <c r="CU641" s="276"/>
    </row>
    <row r="642" spans="75:99" ht="15.75">
      <c r="BW642" s="276"/>
      <c r="BY642" s="276"/>
      <c r="BZ642" s="276"/>
      <c r="CA642" s="276"/>
      <c r="CB642" s="276"/>
      <c r="CC642" s="276"/>
      <c r="CD642" s="276"/>
      <c r="CH642" s="276"/>
      <c r="CJ642" s="276"/>
      <c r="CK642" s="276"/>
      <c r="CL642" s="276"/>
      <c r="CM642" s="276"/>
      <c r="CN642" s="276"/>
      <c r="CO642" s="276"/>
      <c r="CP642" s="276"/>
      <c r="CQ642" s="276"/>
      <c r="CU642" s="276"/>
    </row>
    <row r="643" spans="75:99" ht="15.75">
      <c r="BW643" s="276"/>
      <c r="BY643" s="276"/>
      <c r="BZ643" s="276"/>
      <c r="CA643" s="276"/>
      <c r="CB643" s="276"/>
      <c r="CC643" s="276"/>
      <c r="CD643" s="276"/>
      <c r="CH643" s="276"/>
      <c r="CJ643" s="276"/>
      <c r="CK643" s="276"/>
      <c r="CL643" s="276"/>
      <c r="CM643" s="276"/>
      <c r="CN643" s="276"/>
      <c r="CO643" s="276"/>
      <c r="CP643" s="276"/>
      <c r="CQ643" s="276"/>
      <c r="CU643" s="276"/>
    </row>
    <row r="644" spans="75:99" ht="15.75">
      <c r="BW644" s="276"/>
      <c r="BY644" s="276"/>
      <c r="BZ644" s="276"/>
      <c r="CA644" s="276"/>
      <c r="CB644" s="276"/>
      <c r="CC644" s="276"/>
      <c r="CD644" s="276"/>
      <c r="CH644" s="276"/>
      <c r="CJ644" s="276"/>
      <c r="CK644" s="276"/>
      <c r="CL644" s="276"/>
      <c r="CM644" s="276"/>
      <c r="CN644" s="276"/>
      <c r="CO644" s="276"/>
      <c r="CP644" s="276"/>
      <c r="CQ644" s="276"/>
      <c r="CU644" s="276"/>
    </row>
    <row r="645" spans="75:99" ht="15.75">
      <c r="BW645" s="276"/>
      <c r="BY645" s="276"/>
      <c r="BZ645" s="276"/>
      <c r="CA645" s="276"/>
      <c r="CB645" s="276"/>
      <c r="CC645" s="276"/>
      <c r="CD645" s="276"/>
      <c r="CH645" s="276"/>
      <c r="CJ645" s="276"/>
      <c r="CK645" s="276"/>
      <c r="CL645" s="276"/>
      <c r="CM645" s="276"/>
      <c r="CN645" s="276"/>
      <c r="CO645" s="276"/>
      <c r="CP645" s="276"/>
      <c r="CQ645" s="276"/>
      <c r="CU645" s="276"/>
    </row>
    <row r="646" spans="75:99" ht="15.75">
      <c r="BW646" s="276"/>
      <c r="BY646" s="276"/>
      <c r="BZ646" s="276"/>
      <c r="CA646" s="276"/>
      <c r="CB646" s="276"/>
      <c r="CC646" s="276"/>
      <c r="CD646" s="276"/>
      <c r="CH646" s="276"/>
      <c r="CJ646" s="276"/>
      <c r="CK646" s="276"/>
      <c r="CL646" s="276"/>
      <c r="CM646" s="276"/>
      <c r="CN646" s="276"/>
      <c r="CO646" s="276"/>
      <c r="CP646" s="276"/>
      <c r="CQ646" s="276"/>
      <c r="CU646" s="276"/>
    </row>
    <row r="647" spans="75:99" ht="15.75">
      <c r="BW647" s="276"/>
      <c r="BY647" s="276"/>
      <c r="BZ647" s="276"/>
      <c r="CA647" s="276"/>
      <c r="CB647" s="276"/>
      <c r="CC647" s="276"/>
      <c r="CD647" s="276"/>
      <c r="CH647" s="276"/>
      <c r="CJ647" s="276"/>
      <c r="CK647" s="276"/>
      <c r="CL647" s="276"/>
      <c r="CM647" s="276"/>
      <c r="CN647" s="276"/>
      <c r="CO647" s="276"/>
      <c r="CP647" s="276"/>
      <c r="CQ647" s="276"/>
      <c r="CU647" s="276"/>
    </row>
    <row r="648" spans="75:99" ht="15.75">
      <c r="BW648" s="276"/>
      <c r="BY648" s="276"/>
      <c r="BZ648" s="276"/>
      <c r="CA648" s="276"/>
      <c r="CB648" s="276"/>
      <c r="CC648" s="276"/>
      <c r="CD648" s="276"/>
      <c r="CH648" s="276"/>
      <c r="CJ648" s="276"/>
      <c r="CK648" s="276"/>
      <c r="CL648" s="276"/>
      <c r="CM648" s="276"/>
      <c r="CN648" s="276"/>
      <c r="CO648" s="276"/>
      <c r="CP648" s="276"/>
      <c r="CQ648" s="276"/>
      <c r="CU648" s="276"/>
    </row>
    <row r="649" spans="75:99" ht="15.75">
      <c r="BW649" s="276"/>
      <c r="BY649" s="276"/>
      <c r="BZ649" s="276"/>
      <c r="CA649" s="276"/>
      <c r="CB649" s="276"/>
      <c r="CC649" s="276"/>
      <c r="CD649" s="276"/>
      <c r="CH649" s="276"/>
      <c r="CJ649" s="276"/>
      <c r="CK649" s="276"/>
      <c r="CL649" s="276"/>
      <c r="CM649" s="276"/>
      <c r="CN649" s="276"/>
      <c r="CO649" s="276"/>
      <c r="CP649" s="276"/>
      <c r="CQ649" s="276"/>
      <c r="CU649" s="276"/>
    </row>
    <row r="650" spans="75:99" ht="15.75">
      <c r="BW650" s="276"/>
      <c r="BY650" s="276"/>
      <c r="BZ650" s="276"/>
      <c r="CA650" s="276"/>
      <c r="CB650" s="276"/>
      <c r="CC650" s="276"/>
      <c r="CD650" s="276"/>
      <c r="CH650" s="276"/>
      <c r="CJ650" s="276"/>
      <c r="CK650" s="276"/>
      <c r="CL650" s="276"/>
      <c r="CM650" s="276"/>
      <c r="CN650" s="276"/>
      <c r="CO650" s="276"/>
      <c r="CP650" s="276"/>
      <c r="CQ650" s="276"/>
      <c r="CU650" s="276"/>
    </row>
    <row r="651" spans="75:99" ht="15.75">
      <c r="BW651" s="276"/>
      <c r="BY651" s="276"/>
      <c r="BZ651" s="276"/>
      <c r="CA651" s="276"/>
      <c r="CB651" s="276"/>
      <c r="CC651" s="276"/>
      <c r="CD651" s="276"/>
      <c r="CH651" s="276"/>
      <c r="CJ651" s="276"/>
      <c r="CK651" s="276"/>
      <c r="CL651" s="276"/>
      <c r="CM651" s="276"/>
      <c r="CN651" s="276"/>
      <c r="CO651" s="276"/>
      <c r="CP651" s="276"/>
      <c r="CQ651" s="276"/>
      <c r="CU651" s="276"/>
    </row>
    <row r="652" spans="75:99" ht="15.75">
      <c r="BW652" s="276"/>
      <c r="BY652" s="276"/>
      <c r="BZ652" s="276"/>
      <c r="CA652" s="276"/>
      <c r="CB652" s="276"/>
      <c r="CC652" s="276"/>
      <c r="CD652" s="276"/>
      <c r="CH652" s="276"/>
      <c r="CJ652" s="276"/>
      <c r="CK652" s="276"/>
      <c r="CL652" s="276"/>
      <c r="CM652" s="276"/>
      <c r="CN652" s="276"/>
      <c r="CO652" s="276"/>
      <c r="CP652" s="276"/>
      <c r="CQ652" s="276"/>
      <c r="CU652" s="276"/>
    </row>
    <row r="653" spans="75:99" ht="15.75">
      <c r="BW653" s="276"/>
      <c r="BY653" s="276"/>
      <c r="BZ653" s="276"/>
      <c r="CA653" s="276"/>
      <c r="CB653" s="276"/>
      <c r="CC653" s="276"/>
      <c r="CD653" s="276"/>
      <c r="CH653" s="276"/>
      <c r="CJ653" s="276"/>
      <c r="CK653" s="276"/>
      <c r="CL653" s="276"/>
      <c r="CM653" s="276"/>
      <c r="CN653" s="276"/>
      <c r="CO653" s="276"/>
      <c r="CP653" s="276"/>
      <c r="CQ653" s="276"/>
      <c r="CU653" s="276"/>
    </row>
    <row r="654" spans="75:99" ht="15.75">
      <c r="BW654" s="276"/>
      <c r="BY654" s="276"/>
      <c r="BZ654" s="276"/>
      <c r="CA654" s="276"/>
      <c r="CB654" s="276"/>
      <c r="CC654" s="276"/>
      <c r="CD654" s="276"/>
      <c r="CH654" s="276"/>
      <c r="CJ654" s="276"/>
      <c r="CK654" s="276"/>
      <c r="CL654" s="276"/>
      <c r="CM654" s="276"/>
      <c r="CN654" s="276"/>
      <c r="CO654" s="276"/>
      <c r="CP654" s="276"/>
      <c r="CQ654" s="276"/>
      <c r="CU654" s="276"/>
    </row>
    <row r="655" spans="75:99" ht="15.75">
      <c r="BW655" s="276"/>
      <c r="BY655" s="276"/>
      <c r="BZ655" s="276"/>
      <c r="CA655" s="276"/>
      <c r="CB655" s="276"/>
      <c r="CC655" s="276"/>
      <c r="CD655" s="276"/>
      <c r="CH655" s="276"/>
      <c r="CJ655" s="276"/>
      <c r="CK655" s="276"/>
      <c r="CL655" s="276"/>
      <c r="CM655" s="276"/>
      <c r="CN655" s="276"/>
      <c r="CO655" s="276"/>
      <c r="CP655" s="276"/>
      <c r="CQ655" s="276"/>
      <c r="CU655" s="276"/>
    </row>
    <row r="656" spans="75:99" ht="15.75">
      <c r="BW656" s="276"/>
      <c r="BY656" s="276"/>
      <c r="BZ656" s="276"/>
      <c r="CA656" s="276"/>
      <c r="CB656" s="276"/>
      <c r="CC656" s="276"/>
      <c r="CD656" s="276"/>
      <c r="CH656" s="276"/>
      <c r="CJ656" s="276"/>
      <c r="CK656" s="276"/>
      <c r="CL656" s="276"/>
      <c r="CM656" s="276"/>
      <c r="CN656" s="276"/>
      <c r="CO656" s="276"/>
      <c r="CP656" s="276"/>
      <c r="CQ656" s="276"/>
      <c r="CU656" s="276"/>
    </row>
    <row r="657" spans="75:99" ht="15.75">
      <c r="BW657" s="276"/>
      <c r="BY657" s="276"/>
      <c r="BZ657" s="276"/>
      <c r="CA657" s="276"/>
      <c r="CB657" s="276"/>
      <c r="CC657" s="276"/>
      <c r="CD657" s="276"/>
      <c r="CH657" s="276"/>
      <c r="CJ657" s="276"/>
      <c r="CK657" s="276"/>
      <c r="CL657" s="276"/>
      <c r="CM657" s="276"/>
      <c r="CN657" s="276"/>
      <c r="CO657" s="276"/>
      <c r="CP657" s="276"/>
      <c r="CQ657" s="276"/>
      <c r="CU657" s="276"/>
    </row>
    <row r="658" spans="75:99" ht="15.75">
      <c r="BW658" s="276"/>
      <c r="BY658" s="276"/>
      <c r="BZ658" s="276"/>
      <c r="CA658" s="276"/>
      <c r="CB658" s="276"/>
      <c r="CC658" s="276"/>
      <c r="CD658" s="276"/>
      <c r="CH658" s="276"/>
      <c r="CJ658" s="276"/>
      <c r="CK658" s="276"/>
      <c r="CL658" s="276"/>
      <c r="CM658" s="276"/>
      <c r="CN658" s="276"/>
      <c r="CO658" s="276"/>
      <c r="CP658" s="276"/>
      <c r="CQ658" s="276"/>
      <c r="CU658" s="276"/>
    </row>
    <row r="659" spans="75:99" ht="15.75">
      <c r="BW659" s="276"/>
      <c r="BY659" s="276"/>
      <c r="BZ659" s="276"/>
      <c r="CA659" s="276"/>
      <c r="CB659" s="276"/>
      <c r="CC659" s="276"/>
      <c r="CD659" s="276"/>
      <c r="CH659" s="276"/>
      <c r="CJ659" s="276"/>
      <c r="CK659" s="276"/>
      <c r="CL659" s="276"/>
      <c r="CM659" s="276"/>
      <c r="CN659" s="276"/>
      <c r="CO659" s="276"/>
      <c r="CP659" s="276"/>
      <c r="CQ659" s="276"/>
      <c r="CU659" s="276"/>
    </row>
    <row r="660" spans="75:99" ht="15.75">
      <c r="BW660" s="276"/>
      <c r="BY660" s="276"/>
      <c r="BZ660" s="276"/>
      <c r="CA660" s="276"/>
      <c r="CB660" s="276"/>
      <c r="CC660" s="276"/>
      <c r="CD660" s="276"/>
      <c r="CH660" s="276"/>
      <c r="CJ660" s="276"/>
      <c r="CK660" s="276"/>
      <c r="CL660" s="276"/>
      <c r="CM660" s="276"/>
      <c r="CN660" s="276"/>
      <c r="CO660" s="276"/>
      <c r="CP660" s="276"/>
      <c r="CQ660" s="276"/>
      <c r="CU660" s="276"/>
    </row>
    <row r="661" spans="75:99" ht="15.75">
      <c r="BW661" s="276"/>
      <c r="BY661" s="276"/>
      <c r="BZ661" s="276"/>
      <c r="CA661" s="276"/>
      <c r="CB661" s="276"/>
      <c r="CC661" s="276"/>
      <c r="CD661" s="276"/>
      <c r="CH661" s="276"/>
      <c r="CJ661" s="276"/>
      <c r="CK661" s="276"/>
      <c r="CL661" s="276"/>
      <c r="CM661" s="276"/>
      <c r="CN661" s="276"/>
      <c r="CO661" s="276"/>
      <c r="CP661" s="276"/>
      <c r="CQ661" s="276"/>
      <c r="CU661" s="276"/>
    </row>
    <row r="662" spans="75:99" ht="15.75">
      <c r="BW662" s="276"/>
      <c r="BY662" s="276"/>
      <c r="BZ662" s="276"/>
      <c r="CA662" s="276"/>
      <c r="CB662" s="276"/>
      <c r="CC662" s="276"/>
      <c r="CD662" s="276"/>
      <c r="CH662" s="276"/>
      <c r="CJ662" s="276"/>
      <c r="CK662" s="276"/>
      <c r="CL662" s="276"/>
      <c r="CM662" s="276"/>
      <c r="CN662" s="276"/>
      <c r="CO662" s="276"/>
      <c r="CP662" s="276"/>
      <c r="CQ662" s="276"/>
      <c r="CU662" s="276"/>
    </row>
    <row r="663" spans="75:99" ht="15.75">
      <c r="BW663" s="276"/>
      <c r="BY663" s="276"/>
      <c r="BZ663" s="276"/>
      <c r="CA663" s="276"/>
      <c r="CB663" s="276"/>
      <c r="CC663" s="276"/>
      <c r="CD663" s="276"/>
      <c r="CH663" s="276"/>
      <c r="CJ663" s="276"/>
      <c r="CK663" s="276"/>
      <c r="CL663" s="276"/>
      <c r="CM663" s="276"/>
      <c r="CN663" s="276"/>
      <c r="CO663" s="276"/>
      <c r="CP663" s="276"/>
      <c r="CQ663" s="276"/>
      <c r="CU663" s="276"/>
    </row>
    <row r="664" spans="75:99" ht="15.75">
      <c r="BW664" s="276"/>
      <c r="BY664" s="276"/>
      <c r="BZ664" s="276"/>
      <c r="CA664" s="276"/>
      <c r="CB664" s="276"/>
      <c r="CC664" s="276"/>
      <c r="CD664" s="276"/>
      <c r="CH664" s="276"/>
      <c r="CJ664" s="276"/>
      <c r="CK664" s="276"/>
      <c r="CL664" s="276"/>
      <c r="CM664" s="276"/>
      <c r="CN664" s="276"/>
      <c r="CO664" s="276"/>
      <c r="CP664" s="276"/>
      <c r="CQ664" s="276"/>
      <c r="CU664" s="276"/>
    </row>
    <row r="665" spans="75:99" ht="15.75">
      <c r="BW665" s="276"/>
      <c r="BY665" s="276"/>
      <c r="BZ665" s="276"/>
      <c r="CA665" s="276"/>
      <c r="CB665" s="276"/>
      <c r="CC665" s="276"/>
      <c r="CD665" s="276"/>
      <c r="CH665" s="276"/>
      <c r="CJ665" s="276"/>
      <c r="CK665" s="276"/>
      <c r="CL665" s="276"/>
      <c r="CM665" s="276"/>
      <c r="CN665" s="276"/>
      <c r="CO665" s="276"/>
      <c r="CP665" s="276"/>
      <c r="CQ665" s="276"/>
      <c r="CU665" s="276"/>
    </row>
    <row r="666" spans="75:99" ht="15.75">
      <c r="BW666" s="276"/>
      <c r="BY666" s="276"/>
      <c r="BZ666" s="276"/>
      <c r="CA666" s="276"/>
      <c r="CB666" s="276"/>
      <c r="CC666" s="276"/>
      <c r="CD666" s="276"/>
      <c r="CH666" s="276"/>
      <c r="CJ666" s="276"/>
      <c r="CK666" s="276"/>
      <c r="CL666" s="276"/>
      <c r="CM666" s="276"/>
      <c r="CN666" s="276"/>
      <c r="CO666" s="276"/>
      <c r="CP666" s="276"/>
      <c r="CQ666" s="276"/>
      <c r="CU666" s="276"/>
    </row>
    <row r="667" spans="75:99" ht="15.75">
      <c r="BW667" s="276"/>
      <c r="BY667" s="276"/>
      <c r="BZ667" s="276"/>
      <c r="CA667" s="276"/>
      <c r="CB667" s="276"/>
      <c r="CC667" s="276"/>
      <c r="CD667" s="276"/>
      <c r="CH667" s="276"/>
      <c r="CJ667" s="276"/>
      <c r="CK667" s="276"/>
      <c r="CL667" s="276"/>
      <c r="CM667" s="276"/>
      <c r="CN667" s="276"/>
      <c r="CO667" s="276"/>
      <c r="CP667" s="276"/>
      <c r="CQ667" s="276"/>
      <c r="CU667" s="276"/>
    </row>
    <row r="668" spans="75:99" ht="15.75">
      <c r="BW668" s="276"/>
      <c r="BY668" s="276"/>
      <c r="BZ668" s="276"/>
      <c r="CA668" s="276"/>
      <c r="CB668" s="276"/>
      <c r="CC668" s="276"/>
      <c r="CD668" s="276"/>
      <c r="CH668" s="276"/>
      <c r="CJ668" s="276"/>
      <c r="CK668" s="276"/>
      <c r="CL668" s="276"/>
      <c r="CM668" s="276"/>
      <c r="CN668" s="276"/>
      <c r="CO668" s="276"/>
      <c r="CP668" s="276"/>
      <c r="CQ668" s="276"/>
      <c r="CU668" s="276"/>
    </row>
    <row r="669" spans="75:99" ht="15.75">
      <c r="BW669" s="276"/>
      <c r="BY669" s="276"/>
      <c r="BZ669" s="276"/>
      <c r="CA669" s="276"/>
      <c r="CB669" s="276"/>
      <c r="CC669" s="276"/>
      <c r="CD669" s="276"/>
      <c r="CH669" s="276"/>
      <c r="CJ669" s="276"/>
      <c r="CK669" s="276"/>
      <c r="CL669" s="276"/>
      <c r="CM669" s="276"/>
      <c r="CN669" s="276"/>
      <c r="CO669" s="276"/>
      <c r="CP669" s="276"/>
      <c r="CQ669" s="276"/>
      <c r="CU669" s="276"/>
    </row>
    <row r="670" spans="75:99" ht="15.75">
      <c r="BW670" s="276"/>
      <c r="BY670" s="276"/>
      <c r="BZ670" s="276"/>
      <c r="CA670" s="276"/>
      <c r="CB670" s="276"/>
      <c r="CC670" s="276"/>
      <c r="CD670" s="276"/>
      <c r="CH670" s="276"/>
      <c r="CJ670" s="276"/>
      <c r="CK670" s="276"/>
      <c r="CL670" s="276"/>
      <c r="CM670" s="276"/>
      <c r="CN670" s="276"/>
      <c r="CO670" s="276"/>
      <c r="CP670" s="276"/>
      <c r="CQ670" s="276"/>
      <c r="CU670" s="276"/>
    </row>
    <row r="671" spans="75:99" ht="15.75">
      <c r="BW671" s="276"/>
      <c r="BY671" s="276"/>
      <c r="BZ671" s="276"/>
      <c r="CA671" s="276"/>
      <c r="CB671" s="276"/>
      <c r="CC671" s="276"/>
      <c r="CD671" s="276"/>
      <c r="CH671" s="276"/>
      <c r="CJ671" s="276"/>
      <c r="CK671" s="276"/>
      <c r="CL671" s="276"/>
      <c r="CM671" s="276"/>
      <c r="CN671" s="276"/>
      <c r="CO671" s="276"/>
      <c r="CP671" s="276"/>
      <c r="CQ671" s="276"/>
      <c r="CU671" s="276"/>
    </row>
    <row r="672" spans="75:99" ht="15.75">
      <c r="BW672" s="276"/>
      <c r="BY672" s="276"/>
      <c r="BZ672" s="276"/>
      <c r="CA672" s="276"/>
      <c r="CB672" s="276"/>
      <c r="CC672" s="276"/>
      <c r="CD672" s="276"/>
      <c r="CH672" s="276"/>
      <c r="CJ672" s="276"/>
      <c r="CK672" s="276"/>
      <c r="CL672" s="276"/>
      <c r="CM672" s="276"/>
      <c r="CN672" s="276"/>
      <c r="CO672" s="276"/>
      <c r="CP672" s="276"/>
      <c r="CQ672" s="276"/>
      <c r="CU672" s="276"/>
    </row>
    <row r="673" spans="75:99" ht="15.75">
      <c r="BW673" s="276"/>
      <c r="BY673" s="276"/>
      <c r="BZ673" s="276"/>
      <c r="CA673" s="276"/>
      <c r="CB673" s="276"/>
      <c r="CC673" s="276"/>
      <c r="CD673" s="276"/>
      <c r="CH673" s="276"/>
      <c r="CJ673" s="276"/>
      <c r="CK673" s="276"/>
      <c r="CL673" s="276"/>
      <c r="CM673" s="276"/>
      <c r="CN673" s="276"/>
      <c r="CO673" s="276"/>
      <c r="CP673" s="276"/>
      <c r="CQ673" s="276"/>
      <c r="CU673" s="276"/>
    </row>
    <row r="674" spans="75:99" ht="15.75">
      <c r="BW674" s="276"/>
      <c r="BY674" s="276"/>
      <c r="BZ674" s="276"/>
      <c r="CA674" s="276"/>
      <c r="CB674" s="276"/>
      <c r="CC674" s="276"/>
      <c r="CD674" s="276"/>
      <c r="CH674" s="276"/>
      <c r="CJ674" s="276"/>
      <c r="CK674" s="276"/>
      <c r="CL674" s="276"/>
      <c r="CM674" s="276"/>
      <c r="CN674" s="276"/>
      <c r="CO674" s="276"/>
      <c r="CP674" s="276"/>
      <c r="CQ674" s="276"/>
      <c r="CU674" s="276"/>
    </row>
    <row r="675" spans="75:99" ht="15.75">
      <c r="BW675" s="276"/>
      <c r="BY675" s="276"/>
      <c r="BZ675" s="276"/>
      <c r="CA675" s="276"/>
      <c r="CB675" s="276"/>
      <c r="CC675" s="276"/>
      <c r="CD675" s="276"/>
      <c r="CH675" s="276"/>
      <c r="CJ675" s="276"/>
      <c r="CK675" s="276"/>
      <c r="CL675" s="276"/>
      <c r="CM675" s="276"/>
      <c r="CN675" s="276"/>
      <c r="CO675" s="276"/>
      <c r="CP675" s="276"/>
      <c r="CQ675" s="276"/>
      <c r="CU675" s="276"/>
    </row>
    <row r="676" spans="75:99" ht="15.75">
      <c r="BW676" s="276"/>
      <c r="BY676" s="276"/>
      <c r="BZ676" s="276"/>
      <c r="CA676" s="276"/>
      <c r="CB676" s="276"/>
      <c r="CC676" s="276"/>
      <c r="CD676" s="276"/>
      <c r="CH676" s="276"/>
      <c r="CJ676" s="276"/>
      <c r="CK676" s="276"/>
      <c r="CL676" s="276"/>
      <c r="CM676" s="276"/>
      <c r="CN676" s="276"/>
      <c r="CO676" s="276"/>
      <c r="CP676" s="276"/>
      <c r="CQ676" s="276"/>
      <c r="CU676" s="276"/>
    </row>
    <row r="677" spans="75:99" ht="15.75">
      <c r="BW677" s="276"/>
      <c r="BY677" s="276"/>
      <c r="BZ677" s="276"/>
      <c r="CA677" s="276"/>
      <c r="CB677" s="276"/>
      <c r="CC677" s="276"/>
      <c r="CD677" s="276"/>
      <c r="CH677" s="276"/>
      <c r="CJ677" s="276"/>
      <c r="CK677" s="276"/>
      <c r="CL677" s="276"/>
      <c r="CM677" s="276"/>
      <c r="CN677" s="276"/>
      <c r="CO677" s="276"/>
      <c r="CP677" s="276"/>
      <c r="CQ677" s="276"/>
      <c r="CU677" s="276"/>
    </row>
    <row r="678" spans="75:99" ht="15.75">
      <c r="BW678" s="276"/>
      <c r="BY678" s="276"/>
      <c r="BZ678" s="276"/>
      <c r="CA678" s="276"/>
      <c r="CB678" s="276"/>
      <c r="CC678" s="276"/>
      <c r="CD678" s="276"/>
      <c r="CH678" s="276"/>
      <c r="CJ678" s="276"/>
      <c r="CK678" s="276"/>
      <c r="CL678" s="276"/>
      <c r="CM678" s="276"/>
      <c r="CN678" s="276"/>
      <c r="CO678" s="276"/>
      <c r="CP678" s="276"/>
      <c r="CQ678" s="276"/>
      <c r="CU678" s="276"/>
    </row>
    <row r="679" spans="75:99" ht="15.75">
      <c r="BW679" s="276"/>
      <c r="BY679" s="276"/>
      <c r="BZ679" s="276"/>
      <c r="CA679" s="276"/>
      <c r="CB679" s="276"/>
      <c r="CC679" s="276"/>
      <c r="CD679" s="276"/>
      <c r="CH679" s="276"/>
      <c r="CJ679" s="276"/>
      <c r="CK679" s="276"/>
      <c r="CL679" s="276"/>
      <c r="CM679" s="276"/>
      <c r="CN679" s="276"/>
      <c r="CO679" s="276"/>
      <c r="CP679" s="276"/>
      <c r="CQ679" s="276"/>
      <c r="CU679" s="276"/>
    </row>
    <row r="680" spans="75:99" ht="15.75">
      <c r="BW680" s="276"/>
      <c r="BY680" s="276"/>
      <c r="BZ680" s="276"/>
      <c r="CA680" s="276"/>
      <c r="CB680" s="276"/>
      <c r="CC680" s="276"/>
      <c r="CD680" s="276"/>
      <c r="CH680" s="276"/>
      <c r="CJ680" s="276"/>
      <c r="CK680" s="276"/>
      <c r="CL680" s="276"/>
      <c r="CM680" s="276"/>
      <c r="CN680" s="276"/>
      <c r="CO680" s="276"/>
      <c r="CP680" s="276"/>
      <c r="CQ680" s="276"/>
      <c r="CU680" s="276"/>
    </row>
    <row r="681" spans="75:99" ht="15.75">
      <c r="BW681" s="276"/>
      <c r="BY681" s="276"/>
      <c r="BZ681" s="276"/>
      <c r="CA681" s="276"/>
      <c r="CB681" s="276"/>
      <c r="CC681" s="276"/>
      <c r="CD681" s="276"/>
      <c r="CH681" s="276"/>
      <c r="CJ681" s="276"/>
      <c r="CK681" s="276"/>
      <c r="CL681" s="276"/>
      <c r="CM681" s="276"/>
      <c r="CN681" s="276"/>
      <c r="CO681" s="276"/>
      <c r="CP681" s="276"/>
      <c r="CQ681" s="276"/>
      <c r="CU681" s="276"/>
    </row>
    <row r="682" spans="75:99" ht="15.75">
      <c r="BW682" s="276"/>
      <c r="BY682" s="276"/>
      <c r="BZ682" s="276"/>
      <c r="CA682" s="276"/>
      <c r="CB682" s="276"/>
      <c r="CC682" s="276"/>
      <c r="CD682" s="276"/>
      <c r="CH682" s="276"/>
      <c r="CJ682" s="276"/>
      <c r="CK682" s="276"/>
      <c r="CL682" s="276"/>
      <c r="CM682" s="276"/>
      <c r="CN682" s="276"/>
      <c r="CO682" s="276"/>
      <c r="CP682" s="276"/>
      <c r="CQ682" s="276"/>
      <c r="CU682" s="276"/>
    </row>
    <row r="683" spans="75:99" ht="15.75">
      <c r="BW683" s="276"/>
      <c r="BY683" s="276"/>
      <c r="BZ683" s="276"/>
      <c r="CA683" s="276"/>
      <c r="CB683" s="276"/>
      <c r="CC683" s="276"/>
      <c r="CD683" s="276"/>
      <c r="CH683" s="276"/>
      <c r="CJ683" s="276"/>
      <c r="CK683" s="276"/>
      <c r="CL683" s="276"/>
      <c r="CM683" s="276"/>
      <c r="CN683" s="276"/>
      <c r="CO683" s="276"/>
      <c r="CP683" s="276"/>
      <c r="CQ683" s="276"/>
      <c r="CU683" s="276"/>
    </row>
    <row r="684" spans="75:99" ht="15.75">
      <c r="BW684" s="276"/>
      <c r="BY684" s="276"/>
      <c r="BZ684" s="276"/>
      <c r="CA684" s="276"/>
      <c r="CB684" s="276"/>
      <c r="CC684" s="276"/>
      <c r="CD684" s="276"/>
      <c r="CH684" s="276"/>
      <c r="CJ684" s="276"/>
      <c r="CK684" s="276"/>
      <c r="CL684" s="276"/>
      <c r="CM684" s="276"/>
      <c r="CN684" s="276"/>
      <c r="CO684" s="276"/>
      <c r="CP684" s="276"/>
      <c r="CQ684" s="276"/>
      <c r="CU684" s="276"/>
    </row>
    <row r="685" spans="75:99" ht="15.75">
      <c r="BW685" s="276"/>
      <c r="BY685" s="276"/>
      <c r="BZ685" s="276"/>
      <c r="CA685" s="276"/>
      <c r="CB685" s="276"/>
      <c r="CC685" s="276"/>
      <c r="CD685" s="276"/>
      <c r="CH685" s="276"/>
      <c r="CJ685" s="276"/>
      <c r="CK685" s="276"/>
      <c r="CL685" s="276"/>
      <c r="CM685" s="276"/>
      <c r="CN685" s="276"/>
      <c r="CO685" s="276"/>
      <c r="CP685" s="276"/>
      <c r="CQ685" s="276"/>
      <c r="CU685" s="276"/>
    </row>
    <row r="686" spans="75:99" ht="15.75">
      <c r="BW686" s="276"/>
      <c r="BY686" s="276"/>
      <c r="BZ686" s="276"/>
      <c r="CA686" s="276"/>
      <c r="CB686" s="276"/>
      <c r="CC686" s="276"/>
      <c r="CD686" s="276"/>
      <c r="CH686" s="276"/>
      <c r="CJ686" s="276"/>
      <c r="CK686" s="276"/>
      <c r="CL686" s="276"/>
      <c r="CM686" s="276"/>
      <c r="CN686" s="276"/>
      <c r="CO686" s="276"/>
      <c r="CP686" s="276"/>
      <c r="CQ686" s="276"/>
      <c r="CU686" s="276"/>
    </row>
    <row r="687" spans="75:99" ht="15.75">
      <c r="BW687" s="276"/>
      <c r="BY687" s="276"/>
      <c r="BZ687" s="276"/>
      <c r="CA687" s="276"/>
      <c r="CB687" s="276"/>
      <c r="CC687" s="276"/>
      <c r="CD687" s="276"/>
      <c r="CH687" s="276"/>
      <c r="CJ687" s="276"/>
      <c r="CK687" s="276"/>
      <c r="CL687" s="276"/>
      <c r="CM687" s="276"/>
      <c r="CN687" s="276"/>
      <c r="CO687" s="276"/>
      <c r="CP687" s="276"/>
      <c r="CQ687" s="276"/>
      <c r="CU687" s="276"/>
    </row>
    <row r="688" spans="75:99" ht="15.75">
      <c r="BW688" s="276"/>
      <c r="BY688" s="276"/>
      <c r="BZ688" s="276"/>
      <c r="CA688" s="276"/>
      <c r="CB688" s="276"/>
      <c r="CC688" s="276"/>
      <c r="CD688" s="276"/>
      <c r="CH688" s="276"/>
      <c r="CJ688" s="276"/>
      <c r="CK688" s="276"/>
      <c r="CL688" s="276"/>
      <c r="CM688" s="276"/>
      <c r="CN688" s="276"/>
      <c r="CO688" s="276"/>
      <c r="CP688" s="276"/>
      <c r="CQ688" s="276"/>
      <c r="CU688" s="276"/>
    </row>
    <row r="689" spans="75:99" ht="15.75">
      <c r="BW689" s="276"/>
      <c r="BY689" s="276"/>
      <c r="BZ689" s="276"/>
      <c r="CA689" s="276"/>
      <c r="CB689" s="276"/>
      <c r="CC689" s="276"/>
      <c r="CD689" s="276"/>
      <c r="CH689" s="276"/>
      <c r="CJ689" s="276"/>
      <c r="CK689" s="276"/>
      <c r="CL689" s="276"/>
      <c r="CM689" s="276"/>
      <c r="CN689" s="276"/>
      <c r="CO689" s="276"/>
      <c r="CP689" s="276"/>
      <c r="CQ689" s="276"/>
      <c r="CU689" s="276"/>
    </row>
    <row r="690" spans="75:99" ht="15.75">
      <c r="BW690" s="276"/>
      <c r="BY690" s="276"/>
      <c r="BZ690" s="276"/>
      <c r="CA690" s="276"/>
      <c r="CB690" s="276"/>
      <c r="CC690" s="276"/>
      <c r="CD690" s="276"/>
      <c r="CH690" s="276"/>
      <c r="CJ690" s="276"/>
      <c r="CK690" s="276"/>
      <c r="CL690" s="276"/>
      <c r="CM690" s="276"/>
      <c r="CN690" s="276"/>
      <c r="CO690" s="276"/>
      <c r="CP690" s="276"/>
      <c r="CQ690" s="276"/>
      <c r="CU690" s="276"/>
    </row>
    <row r="691" spans="75:99" ht="15.75">
      <c r="BW691" s="276"/>
      <c r="BY691" s="276"/>
      <c r="BZ691" s="276"/>
      <c r="CA691" s="276"/>
      <c r="CB691" s="276"/>
      <c r="CC691" s="276"/>
      <c r="CD691" s="276"/>
      <c r="CH691" s="276"/>
      <c r="CJ691" s="276"/>
      <c r="CK691" s="276"/>
      <c r="CL691" s="276"/>
      <c r="CM691" s="276"/>
      <c r="CN691" s="276"/>
      <c r="CO691" s="276"/>
      <c r="CP691" s="276"/>
      <c r="CQ691" s="276"/>
      <c r="CU691" s="276"/>
    </row>
    <row r="692" spans="75:99" ht="15.75">
      <c r="BW692" s="276"/>
      <c r="BY692" s="276"/>
      <c r="BZ692" s="276"/>
      <c r="CA692" s="276"/>
      <c r="CB692" s="276"/>
      <c r="CC692" s="276"/>
      <c r="CD692" s="276"/>
      <c r="CH692" s="276"/>
      <c r="CJ692" s="276"/>
      <c r="CK692" s="276"/>
      <c r="CL692" s="276"/>
      <c r="CM692" s="276"/>
      <c r="CN692" s="276"/>
      <c r="CO692" s="276"/>
      <c r="CP692" s="276"/>
      <c r="CQ692" s="276"/>
      <c r="CU692" s="276"/>
    </row>
    <row r="693" spans="75:99" ht="15.75">
      <c r="BW693" s="276"/>
      <c r="BY693" s="276"/>
      <c r="BZ693" s="276"/>
      <c r="CA693" s="276"/>
      <c r="CB693" s="276"/>
      <c r="CC693" s="276"/>
      <c r="CD693" s="276"/>
      <c r="CH693" s="276"/>
      <c r="CJ693" s="276"/>
      <c r="CK693" s="276"/>
      <c r="CL693" s="276"/>
      <c r="CM693" s="276"/>
      <c r="CN693" s="276"/>
      <c r="CO693" s="276"/>
      <c r="CP693" s="276"/>
      <c r="CQ693" s="276"/>
      <c r="CU693" s="276"/>
    </row>
    <row r="694" spans="75:99" ht="15.75">
      <c r="BW694" s="276"/>
      <c r="BY694" s="276"/>
      <c r="BZ694" s="276"/>
      <c r="CA694" s="276"/>
      <c r="CB694" s="276"/>
      <c r="CC694" s="276"/>
      <c r="CD694" s="276"/>
      <c r="CH694" s="276"/>
      <c r="CJ694" s="276"/>
      <c r="CK694" s="276"/>
      <c r="CL694" s="276"/>
      <c r="CM694" s="276"/>
      <c r="CN694" s="276"/>
      <c r="CO694" s="276"/>
      <c r="CP694" s="276"/>
      <c r="CQ694" s="276"/>
      <c r="CU694" s="276"/>
    </row>
    <row r="695" spans="75:99" ht="15.75">
      <c r="BW695" s="276"/>
      <c r="BY695" s="276"/>
      <c r="BZ695" s="276"/>
      <c r="CA695" s="276"/>
      <c r="CB695" s="276"/>
      <c r="CC695" s="276"/>
      <c r="CD695" s="276"/>
      <c r="CH695" s="276"/>
      <c r="CJ695" s="276"/>
      <c r="CK695" s="276"/>
      <c r="CL695" s="276"/>
      <c r="CM695" s="276"/>
      <c r="CN695" s="276"/>
      <c r="CO695" s="276"/>
      <c r="CP695" s="276"/>
      <c r="CQ695" s="276"/>
      <c r="CU695" s="276"/>
    </row>
    <row r="696" spans="75:99" ht="15.75">
      <c r="BW696" s="276"/>
      <c r="BY696" s="276"/>
      <c r="BZ696" s="276"/>
      <c r="CA696" s="276"/>
      <c r="CB696" s="276"/>
      <c r="CC696" s="276"/>
      <c r="CD696" s="276"/>
      <c r="CH696" s="276"/>
      <c r="CJ696" s="276"/>
      <c r="CK696" s="276"/>
      <c r="CL696" s="276"/>
      <c r="CM696" s="276"/>
      <c r="CN696" s="276"/>
      <c r="CO696" s="276"/>
      <c r="CP696" s="276"/>
      <c r="CQ696" s="276"/>
      <c r="CU696" s="276"/>
    </row>
    <row r="697" spans="75:99" ht="15.75">
      <c r="BW697" s="276"/>
      <c r="BY697" s="276"/>
      <c r="BZ697" s="276"/>
      <c r="CA697" s="276"/>
      <c r="CB697" s="276"/>
      <c r="CC697" s="276"/>
      <c r="CD697" s="276"/>
      <c r="CH697" s="276"/>
      <c r="CJ697" s="276"/>
      <c r="CK697" s="276"/>
      <c r="CL697" s="276"/>
      <c r="CM697" s="276"/>
      <c r="CN697" s="276"/>
      <c r="CO697" s="276"/>
      <c r="CP697" s="276"/>
      <c r="CQ697" s="276"/>
      <c r="CU697" s="276"/>
    </row>
    <row r="698" spans="75:99" ht="15.75">
      <c r="BW698" s="276"/>
      <c r="BY698" s="276"/>
      <c r="BZ698" s="276"/>
      <c r="CA698" s="276"/>
      <c r="CB698" s="276"/>
      <c r="CC698" s="276"/>
      <c r="CD698" s="276"/>
      <c r="CH698" s="276"/>
      <c r="CJ698" s="276"/>
      <c r="CK698" s="276"/>
      <c r="CL698" s="276"/>
      <c r="CM698" s="276"/>
      <c r="CN698" s="276"/>
      <c r="CO698" s="276"/>
      <c r="CP698" s="276"/>
      <c r="CQ698" s="276"/>
      <c r="CU698" s="276"/>
    </row>
    <row r="699" spans="75:99" ht="15.75">
      <c r="BW699" s="276"/>
      <c r="BY699" s="276"/>
      <c r="BZ699" s="276"/>
      <c r="CA699" s="276"/>
      <c r="CB699" s="276"/>
      <c r="CC699" s="276"/>
      <c r="CD699" s="276"/>
      <c r="CH699" s="276"/>
      <c r="CJ699" s="276"/>
      <c r="CK699" s="276"/>
      <c r="CL699" s="276"/>
      <c r="CM699" s="276"/>
      <c r="CN699" s="276"/>
      <c r="CO699" s="276"/>
      <c r="CP699" s="276"/>
      <c r="CQ699" s="276"/>
      <c r="CU699" s="276"/>
    </row>
    <row r="700" spans="75:99" ht="15.75">
      <c r="BW700" s="276"/>
      <c r="BY700" s="276"/>
      <c r="BZ700" s="276"/>
      <c r="CA700" s="276"/>
      <c r="CB700" s="276"/>
      <c r="CC700" s="276"/>
      <c r="CD700" s="276"/>
      <c r="CH700" s="276"/>
      <c r="CJ700" s="276"/>
      <c r="CK700" s="276"/>
      <c r="CL700" s="276"/>
      <c r="CM700" s="276"/>
      <c r="CN700" s="276"/>
      <c r="CO700" s="276"/>
      <c r="CP700" s="276"/>
      <c r="CQ700" s="276"/>
      <c r="CU700" s="276"/>
    </row>
    <row r="701" spans="75:99" ht="15.75">
      <c r="BW701" s="276"/>
      <c r="BY701" s="276"/>
      <c r="BZ701" s="276"/>
      <c r="CA701" s="276"/>
      <c r="CB701" s="276"/>
      <c r="CC701" s="276"/>
      <c r="CD701" s="276"/>
      <c r="CH701" s="276"/>
      <c r="CJ701" s="276"/>
      <c r="CK701" s="276"/>
      <c r="CL701" s="276"/>
      <c r="CM701" s="276"/>
      <c r="CN701" s="276"/>
      <c r="CO701" s="276"/>
      <c r="CP701" s="276"/>
      <c r="CQ701" s="276"/>
      <c r="CU701" s="276"/>
    </row>
    <row r="702" spans="75:99" ht="15.75">
      <c r="BW702" s="276"/>
      <c r="BY702" s="276"/>
      <c r="BZ702" s="276"/>
      <c r="CA702" s="276"/>
      <c r="CB702" s="276"/>
      <c r="CC702" s="276"/>
      <c r="CD702" s="276"/>
      <c r="CH702" s="276"/>
      <c r="CJ702" s="276"/>
      <c r="CK702" s="276"/>
      <c r="CL702" s="276"/>
      <c r="CM702" s="276"/>
      <c r="CN702" s="276"/>
      <c r="CO702" s="276"/>
      <c r="CP702" s="276"/>
      <c r="CQ702" s="276"/>
      <c r="CU702" s="276"/>
    </row>
    <row r="703" spans="75:99" ht="15.75">
      <c r="BW703" s="276"/>
      <c r="BY703" s="276"/>
      <c r="BZ703" s="276"/>
      <c r="CA703" s="276"/>
      <c r="CB703" s="276"/>
      <c r="CC703" s="276"/>
      <c r="CD703" s="276"/>
      <c r="CH703" s="276"/>
      <c r="CJ703" s="276"/>
      <c r="CK703" s="276"/>
      <c r="CL703" s="276"/>
      <c r="CM703" s="276"/>
      <c r="CN703" s="276"/>
      <c r="CO703" s="276"/>
      <c r="CP703" s="276"/>
      <c r="CQ703" s="276"/>
      <c r="CU703" s="276"/>
    </row>
    <row r="704" spans="75:99" ht="15.75">
      <c r="BW704" s="276"/>
      <c r="BY704" s="276"/>
      <c r="BZ704" s="276"/>
      <c r="CA704" s="276"/>
      <c r="CB704" s="276"/>
      <c r="CC704" s="276"/>
      <c r="CD704" s="276"/>
      <c r="CH704" s="276"/>
      <c r="CJ704" s="276"/>
      <c r="CK704" s="276"/>
      <c r="CL704" s="276"/>
      <c r="CM704" s="276"/>
      <c r="CN704" s="276"/>
      <c r="CO704" s="276"/>
      <c r="CP704" s="276"/>
      <c r="CQ704" s="276"/>
      <c r="CU704" s="276"/>
    </row>
    <row r="705" spans="75:99" ht="15.75">
      <c r="BW705" s="276"/>
      <c r="BY705" s="276"/>
      <c r="BZ705" s="276"/>
      <c r="CA705" s="276"/>
      <c r="CB705" s="276"/>
      <c r="CC705" s="276"/>
      <c r="CD705" s="276"/>
      <c r="CH705" s="276"/>
      <c r="CJ705" s="276"/>
      <c r="CK705" s="276"/>
      <c r="CL705" s="276"/>
      <c r="CM705" s="276"/>
      <c r="CN705" s="276"/>
      <c r="CO705" s="276"/>
      <c r="CP705" s="276"/>
      <c r="CQ705" s="276"/>
      <c r="CU705" s="276"/>
    </row>
    <row r="706" spans="75:99" ht="15.75">
      <c r="BW706" s="276"/>
      <c r="BY706" s="276"/>
      <c r="BZ706" s="276"/>
      <c r="CA706" s="276"/>
      <c r="CB706" s="276"/>
      <c r="CC706" s="276"/>
      <c r="CD706" s="276"/>
      <c r="CH706" s="276"/>
      <c r="CJ706" s="276"/>
      <c r="CK706" s="276"/>
      <c r="CL706" s="276"/>
      <c r="CM706" s="276"/>
      <c r="CN706" s="276"/>
      <c r="CO706" s="276"/>
      <c r="CP706" s="276"/>
      <c r="CQ706" s="276"/>
      <c r="CU706" s="276"/>
    </row>
    <row r="707" spans="75:99" ht="15.75">
      <c r="BW707" s="276"/>
      <c r="BY707" s="276"/>
      <c r="BZ707" s="276"/>
      <c r="CA707" s="276"/>
      <c r="CB707" s="276"/>
      <c r="CC707" s="276"/>
      <c r="CD707" s="276"/>
      <c r="CH707" s="276"/>
      <c r="CJ707" s="276"/>
      <c r="CK707" s="276"/>
      <c r="CL707" s="276"/>
      <c r="CM707" s="276"/>
      <c r="CN707" s="276"/>
      <c r="CO707" s="276"/>
      <c r="CP707" s="276"/>
      <c r="CQ707" s="276"/>
      <c r="CU707" s="276"/>
    </row>
    <row r="708" spans="75:99" ht="15.75">
      <c r="BW708" s="276"/>
      <c r="BY708" s="276"/>
      <c r="BZ708" s="276"/>
      <c r="CA708" s="276"/>
      <c r="CB708" s="276"/>
      <c r="CC708" s="276"/>
      <c r="CD708" s="276"/>
      <c r="CH708" s="276"/>
      <c r="CJ708" s="276"/>
      <c r="CK708" s="276"/>
      <c r="CL708" s="276"/>
      <c r="CM708" s="276"/>
      <c r="CN708" s="276"/>
      <c r="CO708" s="276"/>
      <c r="CP708" s="276"/>
      <c r="CQ708" s="276"/>
      <c r="CU708" s="276"/>
    </row>
    <row r="709" spans="75:99" ht="15.75">
      <c r="BW709" s="276"/>
      <c r="BY709" s="276"/>
      <c r="BZ709" s="276"/>
      <c r="CA709" s="276"/>
      <c r="CB709" s="276"/>
      <c r="CC709" s="276"/>
      <c r="CD709" s="276"/>
      <c r="CH709" s="276"/>
      <c r="CJ709" s="276"/>
      <c r="CK709" s="276"/>
      <c r="CL709" s="276"/>
      <c r="CM709" s="276"/>
      <c r="CN709" s="276"/>
      <c r="CO709" s="276"/>
      <c r="CP709" s="276"/>
      <c r="CQ709" s="276"/>
      <c r="CU709" s="276"/>
    </row>
    <row r="710" spans="75:99" ht="15.75">
      <c r="BW710" s="276"/>
      <c r="BY710" s="276"/>
      <c r="BZ710" s="276"/>
      <c r="CA710" s="276"/>
      <c r="CB710" s="276"/>
      <c r="CC710" s="276"/>
      <c r="CD710" s="276"/>
      <c r="CH710" s="276"/>
      <c r="CJ710" s="276"/>
      <c r="CK710" s="276"/>
      <c r="CL710" s="276"/>
      <c r="CM710" s="276"/>
      <c r="CN710" s="276"/>
      <c r="CO710" s="276"/>
      <c r="CP710" s="276"/>
      <c r="CQ710" s="276"/>
      <c r="CU710" s="276"/>
    </row>
    <row r="711" spans="75:99" ht="15.75">
      <c r="BW711" s="276"/>
      <c r="BY711" s="276"/>
      <c r="BZ711" s="276"/>
      <c r="CA711" s="276"/>
      <c r="CB711" s="276"/>
      <c r="CC711" s="276"/>
      <c r="CD711" s="276"/>
      <c r="CH711" s="276"/>
      <c r="CJ711" s="276"/>
      <c r="CK711" s="276"/>
      <c r="CL711" s="276"/>
      <c r="CM711" s="276"/>
      <c r="CN711" s="276"/>
      <c r="CO711" s="276"/>
      <c r="CP711" s="276"/>
      <c r="CQ711" s="276"/>
      <c r="CU711" s="276"/>
    </row>
    <row r="712" spans="75:99" ht="15.75">
      <c r="BW712" s="276"/>
      <c r="BY712" s="276"/>
      <c r="BZ712" s="276"/>
      <c r="CA712" s="276"/>
      <c r="CB712" s="276"/>
      <c r="CC712" s="276"/>
      <c r="CD712" s="276"/>
      <c r="CH712" s="276"/>
      <c r="CJ712" s="276"/>
      <c r="CK712" s="276"/>
      <c r="CL712" s="276"/>
      <c r="CM712" s="276"/>
      <c r="CN712" s="276"/>
      <c r="CO712" s="276"/>
      <c r="CP712" s="276"/>
      <c r="CQ712" s="276"/>
      <c r="CU712" s="276"/>
    </row>
    <row r="713" spans="75:99" ht="15.75">
      <c r="BW713" s="276"/>
      <c r="BY713" s="276"/>
      <c r="BZ713" s="276"/>
      <c r="CA713" s="276"/>
      <c r="CB713" s="276"/>
      <c r="CC713" s="276"/>
      <c r="CD713" s="276"/>
      <c r="CH713" s="276"/>
      <c r="CJ713" s="276"/>
      <c r="CK713" s="276"/>
      <c r="CL713" s="276"/>
      <c r="CM713" s="276"/>
      <c r="CN713" s="276"/>
      <c r="CO713" s="276"/>
      <c r="CP713" s="276"/>
      <c r="CQ713" s="276"/>
      <c r="CU713" s="276"/>
    </row>
    <row r="714" spans="75:99" ht="15.75">
      <c r="BW714" s="276"/>
      <c r="BY714" s="276"/>
      <c r="BZ714" s="276"/>
      <c r="CA714" s="276"/>
      <c r="CB714" s="276"/>
      <c r="CC714" s="276"/>
      <c r="CD714" s="276"/>
      <c r="CH714" s="276"/>
      <c r="CJ714" s="276"/>
      <c r="CK714" s="276"/>
      <c r="CL714" s="276"/>
      <c r="CM714" s="276"/>
      <c r="CN714" s="276"/>
      <c r="CO714" s="276"/>
      <c r="CP714" s="276"/>
      <c r="CQ714" s="276"/>
      <c r="CU714" s="276"/>
    </row>
    <row r="715" spans="75:99" ht="15.75">
      <c r="BW715" s="276"/>
      <c r="BY715" s="276"/>
      <c r="BZ715" s="276"/>
      <c r="CA715" s="276"/>
      <c r="CB715" s="276"/>
      <c r="CC715" s="276"/>
      <c r="CD715" s="276"/>
      <c r="CH715" s="276"/>
      <c r="CJ715" s="276"/>
      <c r="CK715" s="276"/>
      <c r="CL715" s="276"/>
      <c r="CM715" s="276"/>
      <c r="CN715" s="276"/>
      <c r="CO715" s="276"/>
      <c r="CP715" s="276"/>
      <c r="CQ715" s="276"/>
      <c r="CU715" s="276"/>
    </row>
    <row r="716" spans="75:99" ht="15.75">
      <c r="BW716" s="276"/>
      <c r="BY716" s="276"/>
      <c r="BZ716" s="276"/>
      <c r="CA716" s="276"/>
      <c r="CB716" s="276"/>
      <c r="CC716" s="276"/>
      <c r="CD716" s="276"/>
      <c r="CH716" s="276"/>
      <c r="CJ716" s="276"/>
      <c r="CK716" s="276"/>
      <c r="CL716" s="276"/>
      <c r="CM716" s="276"/>
      <c r="CN716" s="276"/>
      <c r="CO716" s="276"/>
      <c r="CP716" s="276"/>
      <c r="CQ716" s="276"/>
      <c r="CU716" s="276"/>
    </row>
    <row r="717" spans="75:99" ht="15.75">
      <c r="BW717" s="276"/>
      <c r="BY717" s="276"/>
      <c r="BZ717" s="276"/>
      <c r="CA717" s="276"/>
      <c r="CB717" s="276"/>
      <c r="CC717" s="276"/>
      <c r="CD717" s="276"/>
      <c r="CH717" s="276"/>
      <c r="CJ717" s="276"/>
      <c r="CK717" s="276"/>
      <c r="CL717" s="276"/>
      <c r="CM717" s="276"/>
      <c r="CN717" s="276"/>
      <c r="CO717" s="276"/>
      <c r="CP717" s="276"/>
      <c r="CQ717" s="276"/>
      <c r="CU717" s="276"/>
    </row>
    <row r="718" spans="75:99" ht="15.75">
      <c r="BW718" s="276"/>
      <c r="BY718" s="276"/>
      <c r="BZ718" s="276"/>
      <c r="CA718" s="276"/>
      <c r="CB718" s="276"/>
      <c r="CC718" s="276"/>
      <c r="CD718" s="276"/>
      <c r="CH718" s="276"/>
      <c r="CJ718" s="276"/>
      <c r="CK718" s="276"/>
      <c r="CL718" s="276"/>
      <c r="CM718" s="276"/>
      <c r="CN718" s="276"/>
      <c r="CO718" s="276"/>
      <c r="CP718" s="276"/>
      <c r="CQ718" s="276"/>
      <c r="CU718" s="276"/>
    </row>
    <row r="719" spans="75:99" ht="15.75">
      <c r="BW719" s="276"/>
      <c r="BY719" s="276"/>
      <c r="BZ719" s="276"/>
      <c r="CA719" s="276"/>
      <c r="CB719" s="276"/>
      <c r="CC719" s="276"/>
      <c r="CD719" s="276"/>
      <c r="CH719" s="276"/>
      <c r="CJ719" s="276"/>
      <c r="CK719" s="276"/>
      <c r="CL719" s="276"/>
      <c r="CM719" s="276"/>
      <c r="CN719" s="276"/>
      <c r="CO719" s="276"/>
      <c r="CP719" s="276"/>
      <c r="CQ719" s="276"/>
      <c r="CU719" s="276"/>
    </row>
    <row r="720" spans="75:99" ht="15.75">
      <c r="BW720" s="276"/>
      <c r="BY720" s="276"/>
      <c r="BZ720" s="276"/>
      <c r="CA720" s="276"/>
      <c r="CB720" s="276"/>
      <c r="CC720" s="276"/>
      <c r="CD720" s="276"/>
      <c r="CH720" s="276"/>
      <c r="CJ720" s="276"/>
      <c r="CK720" s="276"/>
      <c r="CL720" s="276"/>
      <c r="CM720" s="276"/>
      <c r="CN720" s="276"/>
      <c r="CO720" s="276"/>
      <c r="CP720" s="276"/>
      <c r="CQ720" s="276"/>
      <c r="CU720" s="276"/>
    </row>
    <row r="721" spans="75:99" ht="15.75">
      <c r="BW721" s="276"/>
      <c r="BY721" s="276"/>
      <c r="BZ721" s="276"/>
      <c r="CA721" s="276"/>
      <c r="CB721" s="276"/>
      <c r="CC721" s="276"/>
      <c r="CD721" s="276"/>
      <c r="CH721" s="276"/>
      <c r="CJ721" s="276"/>
      <c r="CK721" s="276"/>
      <c r="CL721" s="276"/>
      <c r="CM721" s="276"/>
      <c r="CN721" s="276"/>
      <c r="CO721" s="276"/>
      <c r="CP721" s="276"/>
      <c r="CQ721" s="276"/>
      <c r="CU721" s="276"/>
    </row>
    <row r="722" spans="75:99" ht="15.75">
      <c r="BW722" s="276"/>
      <c r="BY722" s="276"/>
      <c r="BZ722" s="276"/>
      <c r="CA722" s="276"/>
      <c r="CB722" s="276"/>
      <c r="CC722" s="276"/>
      <c r="CD722" s="276"/>
      <c r="CH722" s="276"/>
      <c r="CJ722" s="276"/>
      <c r="CK722" s="276"/>
      <c r="CL722" s="276"/>
      <c r="CM722" s="276"/>
      <c r="CN722" s="276"/>
      <c r="CO722" s="276"/>
      <c r="CP722" s="276"/>
      <c r="CQ722" s="276"/>
      <c r="CU722" s="276"/>
    </row>
    <row r="723" spans="75:99" ht="15.75">
      <c r="BW723" s="276"/>
      <c r="BY723" s="276"/>
      <c r="BZ723" s="276"/>
      <c r="CA723" s="276"/>
      <c r="CB723" s="276"/>
      <c r="CC723" s="276"/>
      <c r="CD723" s="276"/>
      <c r="CH723" s="276"/>
      <c r="CJ723" s="276"/>
      <c r="CK723" s="276"/>
      <c r="CL723" s="276"/>
      <c r="CM723" s="276"/>
      <c r="CN723" s="276"/>
      <c r="CO723" s="276"/>
      <c r="CP723" s="276"/>
      <c r="CQ723" s="276"/>
      <c r="CU723" s="276"/>
    </row>
    <row r="724" spans="75:99" ht="15.75">
      <c r="BW724" s="276"/>
      <c r="BY724" s="276"/>
      <c r="BZ724" s="276"/>
      <c r="CA724" s="276"/>
      <c r="CB724" s="276"/>
      <c r="CC724" s="276"/>
      <c r="CD724" s="276"/>
      <c r="CH724" s="276"/>
      <c r="CJ724" s="276"/>
      <c r="CK724" s="276"/>
      <c r="CL724" s="276"/>
      <c r="CM724" s="276"/>
      <c r="CN724" s="276"/>
      <c r="CO724" s="276"/>
      <c r="CP724" s="276"/>
      <c r="CQ724" s="276"/>
      <c r="CU724" s="276"/>
    </row>
    <row r="725" spans="75:99" ht="15.75">
      <c r="BW725" s="276"/>
      <c r="BY725" s="276"/>
      <c r="BZ725" s="276"/>
      <c r="CA725" s="276"/>
      <c r="CB725" s="276"/>
      <c r="CC725" s="276"/>
      <c r="CD725" s="276"/>
      <c r="CH725" s="276"/>
      <c r="CJ725" s="276"/>
      <c r="CK725" s="276"/>
      <c r="CL725" s="276"/>
      <c r="CM725" s="276"/>
      <c r="CN725" s="276"/>
      <c r="CO725" s="276"/>
      <c r="CP725" s="276"/>
      <c r="CQ725" s="276"/>
      <c r="CU725" s="276"/>
    </row>
    <row r="726" spans="75:99" ht="15.75">
      <c r="BW726" s="276"/>
      <c r="BY726" s="276"/>
      <c r="BZ726" s="276"/>
      <c r="CA726" s="276"/>
      <c r="CB726" s="276"/>
      <c r="CC726" s="276"/>
      <c r="CD726" s="276"/>
      <c r="CH726" s="276"/>
      <c r="CJ726" s="276"/>
      <c r="CK726" s="276"/>
      <c r="CL726" s="276"/>
      <c r="CM726" s="276"/>
      <c r="CN726" s="276"/>
      <c r="CO726" s="276"/>
      <c r="CP726" s="276"/>
      <c r="CQ726" s="276"/>
      <c r="CU726" s="276"/>
    </row>
    <row r="727" spans="75:99" ht="15.75">
      <c r="BW727" s="276"/>
      <c r="BY727" s="276"/>
      <c r="BZ727" s="276"/>
      <c r="CA727" s="276"/>
      <c r="CB727" s="276"/>
      <c r="CC727" s="276"/>
      <c r="CD727" s="276"/>
      <c r="CH727" s="276"/>
      <c r="CJ727" s="276"/>
      <c r="CK727" s="276"/>
      <c r="CL727" s="276"/>
      <c r="CM727" s="276"/>
      <c r="CN727" s="276"/>
      <c r="CO727" s="276"/>
      <c r="CP727" s="276"/>
      <c r="CQ727" s="276"/>
      <c r="CU727" s="276"/>
    </row>
    <row r="728" spans="75:99" ht="15.75">
      <c r="BW728" s="276"/>
      <c r="BY728" s="276"/>
      <c r="BZ728" s="276"/>
      <c r="CA728" s="276"/>
      <c r="CB728" s="276"/>
      <c r="CC728" s="276"/>
      <c r="CD728" s="276"/>
      <c r="CH728" s="276"/>
      <c r="CJ728" s="276"/>
      <c r="CK728" s="276"/>
      <c r="CL728" s="276"/>
      <c r="CM728" s="276"/>
      <c r="CN728" s="276"/>
      <c r="CO728" s="276"/>
      <c r="CP728" s="276"/>
      <c r="CQ728" s="276"/>
      <c r="CU728" s="276"/>
    </row>
    <row r="729" spans="75:99" ht="15.75">
      <c r="BW729" s="276"/>
      <c r="BY729" s="276"/>
      <c r="BZ729" s="276"/>
      <c r="CA729" s="276"/>
      <c r="CB729" s="276"/>
      <c r="CC729" s="276"/>
      <c r="CD729" s="276"/>
      <c r="CH729" s="276"/>
      <c r="CJ729" s="276"/>
      <c r="CK729" s="276"/>
      <c r="CL729" s="276"/>
      <c r="CM729" s="276"/>
      <c r="CN729" s="276"/>
      <c r="CO729" s="276"/>
      <c r="CP729" s="276"/>
      <c r="CQ729" s="276"/>
      <c r="CU729" s="276"/>
    </row>
    <row r="730" spans="75:99" ht="15.75">
      <c r="BW730" s="276"/>
      <c r="BY730" s="276"/>
      <c r="BZ730" s="276"/>
      <c r="CA730" s="276"/>
      <c r="CB730" s="276"/>
      <c r="CC730" s="276"/>
      <c r="CD730" s="276"/>
      <c r="CH730" s="276"/>
      <c r="CJ730" s="276"/>
      <c r="CK730" s="276"/>
      <c r="CL730" s="276"/>
      <c r="CM730" s="276"/>
      <c r="CN730" s="276"/>
      <c r="CO730" s="276"/>
      <c r="CP730" s="276"/>
      <c r="CQ730" s="276"/>
      <c r="CU730" s="276"/>
    </row>
    <row r="731" spans="75:99" ht="15.75">
      <c r="BW731" s="276"/>
      <c r="BY731" s="276"/>
      <c r="BZ731" s="276"/>
      <c r="CA731" s="276"/>
      <c r="CB731" s="276"/>
      <c r="CC731" s="276"/>
      <c r="CD731" s="276"/>
      <c r="CH731" s="276"/>
      <c r="CJ731" s="276"/>
      <c r="CK731" s="276"/>
      <c r="CL731" s="276"/>
      <c r="CM731" s="276"/>
      <c r="CN731" s="276"/>
      <c r="CO731" s="276"/>
      <c r="CP731" s="276"/>
      <c r="CQ731" s="276"/>
      <c r="CU731" s="276"/>
    </row>
    <row r="732" spans="75:99" ht="15.75">
      <c r="BW732" s="276"/>
      <c r="BY732" s="276"/>
      <c r="BZ732" s="276"/>
      <c r="CA732" s="276"/>
      <c r="CB732" s="276"/>
      <c r="CC732" s="276"/>
      <c r="CD732" s="276"/>
      <c r="CH732" s="276"/>
      <c r="CJ732" s="276"/>
      <c r="CK732" s="276"/>
      <c r="CL732" s="276"/>
      <c r="CM732" s="276"/>
      <c r="CN732" s="276"/>
      <c r="CO732" s="276"/>
      <c r="CP732" s="276"/>
      <c r="CQ732" s="276"/>
      <c r="CU732" s="276"/>
    </row>
    <row r="733" spans="75:99" ht="15.75">
      <c r="BW733" s="276"/>
      <c r="BY733" s="276"/>
      <c r="BZ733" s="276"/>
      <c r="CA733" s="276"/>
      <c r="CB733" s="276"/>
      <c r="CC733" s="276"/>
      <c r="CD733" s="276"/>
      <c r="CH733" s="276"/>
      <c r="CJ733" s="276"/>
      <c r="CK733" s="276"/>
      <c r="CL733" s="276"/>
      <c r="CM733" s="276"/>
      <c r="CN733" s="276"/>
      <c r="CO733" s="276"/>
      <c r="CP733" s="276"/>
      <c r="CQ733" s="276"/>
      <c r="CU733" s="276"/>
    </row>
    <row r="734" spans="75:99" ht="15.75">
      <c r="BW734" s="276"/>
      <c r="BY734" s="276"/>
      <c r="BZ734" s="276"/>
      <c r="CA734" s="276"/>
      <c r="CB734" s="276"/>
      <c r="CC734" s="276"/>
      <c r="CD734" s="276"/>
      <c r="CH734" s="276"/>
      <c r="CJ734" s="276"/>
      <c r="CK734" s="276"/>
      <c r="CL734" s="276"/>
      <c r="CM734" s="276"/>
      <c r="CN734" s="276"/>
      <c r="CO734" s="276"/>
      <c r="CP734" s="276"/>
      <c r="CQ734" s="276"/>
      <c r="CU734" s="276"/>
    </row>
    <row r="735" spans="75:99" ht="15.75">
      <c r="BW735" s="276"/>
      <c r="BY735" s="276"/>
      <c r="BZ735" s="276"/>
      <c r="CA735" s="276"/>
      <c r="CB735" s="276"/>
      <c r="CC735" s="276"/>
      <c r="CD735" s="276"/>
      <c r="CH735" s="276"/>
      <c r="CJ735" s="276"/>
      <c r="CK735" s="276"/>
      <c r="CL735" s="276"/>
      <c r="CM735" s="276"/>
      <c r="CN735" s="276"/>
      <c r="CO735" s="276"/>
      <c r="CP735" s="276"/>
      <c r="CQ735" s="276"/>
      <c r="CU735" s="276"/>
    </row>
    <row r="736" spans="75:99" ht="15.75">
      <c r="BW736" s="276"/>
      <c r="BY736" s="276"/>
      <c r="BZ736" s="276"/>
      <c r="CA736" s="276"/>
      <c r="CB736" s="276"/>
      <c r="CC736" s="276"/>
      <c r="CD736" s="276"/>
      <c r="CH736" s="276"/>
      <c r="CJ736" s="276"/>
      <c r="CK736" s="276"/>
      <c r="CL736" s="276"/>
      <c r="CM736" s="276"/>
      <c r="CN736" s="276"/>
      <c r="CO736" s="276"/>
      <c r="CP736" s="276"/>
      <c r="CQ736" s="276"/>
      <c r="CU736" s="276"/>
    </row>
    <row r="737" spans="75:99" ht="15.75">
      <c r="BW737" s="276"/>
      <c r="BY737" s="276"/>
      <c r="BZ737" s="276"/>
      <c r="CA737" s="276"/>
      <c r="CB737" s="276"/>
      <c r="CC737" s="276"/>
      <c r="CD737" s="276"/>
      <c r="CH737" s="276"/>
      <c r="CJ737" s="276"/>
      <c r="CK737" s="276"/>
      <c r="CL737" s="276"/>
      <c r="CM737" s="276"/>
      <c r="CN737" s="276"/>
      <c r="CO737" s="276"/>
      <c r="CP737" s="276"/>
      <c r="CQ737" s="276"/>
      <c r="CU737" s="276"/>
    </row>
    <row r="738" spans="75:99" ht="15.75">
      <c r="BW738" s="276"/>
      <c r="BY738" s="276"/>
      <c r="BZ738" s="276"/>
      <c r="CA738" s="276"/>
      <c r="CB738" s="276"/>
      <c r="CC738" s="276"/>
      <c r="CD738" s="276"/>
      <c r="CH738" s="276"/>
      <c r="CJ738" s="276"/>
      <c r="CK738" s="276"/>
      <c r="CL738" s="276"/>
      <c r="CM738" s="276"/>
      <c r="CN738" s="276"/>
      <c r="CO738" s="276"/>
      <c r="CP738" s="276"/>
      <c r="CQ738" s="276"/>
      <c r="CU738" s="276"/>
    </row>
    <row r="739" spans="75:99" ht="15.75">
      <c r="BW739" s="276"/>
      <c r="BY739" s="276"/>
      <c r="BZ739" s="276"/>
      <c r="CA739" s="276"/>
      <c r="CB739" s="276"/>
      <c r="CC739" s="276"/>
      <c r="CD739" s="276"/>
      <c r="CH739" s="276"/>
      <c r="CJ739" s="276"/>
      <c r="CK739" s="276"/>
      <c r="CL739" s="276"/>
      <c r="CM739" s="276"/>
      <c r="CN739" s="276"/>
      <c r="CO739" s="276"/>
      <c r="CP739" s="276"/>
      <c r="CQ739" s="276"/>
      <c r="CU739" s="276"/>
    </row>
    <row r="740" spans="75:99" ht="15.75">
      <c r="BW740" s="276"/>
      <c r="BY740" s="276"/>
      <c r="BZ740" s="276"/>
      <c r="CA740" s="276"/>
      <c r="CB740" s="276"/>
      <c r="CC740" s="276"/>
      <c r="CD740" s="276"/>
      <c r="CH740" s="276"/>
      <c r="CJ740" s="276"/>
      <c r="CK740" s="276"/>
      <c r="CL740" s="276"/>
      <c r="CM740" s="276"/>
      <c r="CN740" s="276"/>
      <c r="CO740" s="276"/>
      <c r="CP740" s="276"/>
      <c r="CQ740" s="276"/>
      <c r="CU740" s="276"/>
    </row>
    <row r="741" spans="75:99" ht="15.75">
      <c r="BW741" s="276"/>
      <c r="BY741" s="276"/>
      <c r="BZ741" s="276"/>
      <c r="CA741" s="276"/>
      <c r="CB741" s="276"/>
      <c r="CC741" s="276"/>
      <c r="CD741" s="276"/>
      <c r="CH741" s="276"/>
      <c r="CJ741" s="276"/>
      <c r="CK741" s="276"/>
      <c r="CL741" s="276"/>
      <c r="CM741" s="276"/>
      <c r="CN741" s="276"/>
      <c r="CO741" s="276"/>
      <c r="CP741" s="276"/>
      <c r="CQ741" s="276"/>
      <c r="CU741" s="276"/>
    </row>
    <row r="742" spans="75:99" ht="15.75">
      <c r="BW742" s="276"/>
      <c r="BY742" s="276"/>
      <c r="BZ742" s="276"/>
      <c r="CA742" s="276"/>
      <c r="CB742" s="276"/>
      <c r="CC742" s="276"/>
      <c r="CD742" s="276"/>
      <c r="CH742" s="276"/>
      <c r="CJ742" s="276"/>
      <c r="CK742" s="276"/>
      <c r="CL742" s="276"/>
      <c r="CM742" s="276"/>
      <c r="CN742" s="276"/>
      <c r="CO742" s="276"/>
      <c r="CP742" s="276"/>
      <c r="CQ742" s="276"/>
      <c r="CU742" s="276"/>
    </row>
    <row r="743" spans="75:99" ht="15.75">
      <c r="BW743" s="276"/>
      <c r="BY743" s="276"/>
      <c r="BZ743" s="276"/>
      <c r="CA743" s="276"/>
      <c r="CB743" s="276"/>
      <c r="CC743" s="276"/>
      <c r="CD743" s="276"/>
      <c r="CH743" s="276"/>
      <c r="CJ743" s="276"/>
      <c r="CK743" s="276"/>
      <c r="CL743" s="276"/>
      <c r="CM743" s="276"/>
      <c r="CN743" s="276"/>
      <c r="CO743" s="276"/>
      <c r="CP743" s="276"/>
      <c r="CQ743" s="276"/>
      <c r="CU743" s="276"/>
    </row>
    <row r="744" spans="75:99" ht="15.75">
      <c r="BW744" s="276"/>
      <c r="BY744" s="276"/>
      <c r="BZ744" s="276"/>
      <c r="CA744" s="276"/>
      <c r="CB744" s="276"/>
      <c r="CC744" s="276"/>
      <c r="CD744" s="276"/>
      <c r="CH744" s="276"/>
      <c r="CJ744" s="276"/>
      <c r="CK744" s="276"/>
      <c r="CL744" s="276"/>
      <c r="CM744" s="276"/>
      <c r="CN744" s="276"/>
      <c r="CO744" s="276"/>
      <c r="CP744" s="276"/>
      <c r="CQ744" s="276"/>
      <c r="CU744" s="276"/>
    </row>
    <row r="745" spans="75:99" ht="15.75">
      <c r="BW745" s="276"/>
      <c r="BY745" s="276"/>
      <c r="BZ745" s="276"/>
      <c r="CA745" s="276"/>
      <c r="CB745" s="276"/>
      <c r="CC745" s="276"/>
      <c r="CD745" s="276"/>
      <c r="CH745" s="276"/>
      <c r="CJ745" s="276"/>
      <c r="CK745" s="276"/>
      <c r="CL745" s="276"/>
      <c r="CM745" s="276"/>
      <c r="CN745" s="276"/>
      <c r="CO745" s="276"/>
      <c r="CP745" s="276"/>
      <c r="CQ745" s="276"/>
      <c r="CU745" s="276"/>
    </row>
    <row r="746" spans="75:99" ht="15.75">
      <c r="BW746" s="276"/>
      <c r="BY746" s="276"/>
      <c r="BZ746" s="276"/>
      <c r="CA746" s="276"/>
      <c r="CB746" s="276"/>
      <c r="CC746" s="276"/>
      <c r="CD746" s="276"/>
      <c r="CH746" s="276"/>
      <c r="CJ746" s="276"/>
      <c r="CK746" s="276"/>
      <c r="CL746" s="276"/>
      <c r="CM746" s="276"/>
      <c r="CN746" s="276"/>
      <c r="CO746" s="276"/>
      <c r="CP746" s="276"/>
      <c r="CQ746" s="276"/>
      <c r="CU746" s="276"/>
    </row>
    <row r="747" spans="75:99" ht="15.75">
      <c r="BW747" s="276"/>
      <c r="BY747" s="276"/>
      <c r="BZ747" s="276"/>
      <c r="CA747" s="276"/>
      <c r="CB747" s="276"/>
      <c r="CC747" s="276"/>
      <c r="CD747" s="276"/>
      <c r="CH747" s="276"/>
      <c r="CJ747" s="276"/>
      <c r="CK747" s="276"/>
      <c r="CL747" s="276"/>
      <c r="CM747" s="276"/>
      <c r="CN747" s="276"/>
      <c r="CO747" s="276"/>
      <c r="CP747" s="276"/>
      <c r="CQ747" s="276"/>
      <c r="CU747" s="276"/>
    </row>
    <row r="748" spans="75:99" ht="15.75">
      <c r="BW748" s="276"/>
      <c r="BY748" s="276"/>
      <c r="BZ748" s="276"/>
      <c r="CA748" s="276"/>
      <c r="CB748" s="276"/>
      <c r="CC748" s="276"/>
      <c r="CD748" s="276"/>
      <c r="CH748" s="276"/>
      <c r="CJ748" s="276"/>
      <c r="CK748" s="276"/>
      <c r="CL748" s="276"/>
      <c r="CM748" s="276"/>
      <c r="CN748" s="276"/>
      <c r="CO748" s="276"/>
      <c r="CP748" s="276"/>
      <c r="CQ748" s="276"/>
      <c r="CU748" s="276"/>
    </row>
    <row r="749" spans="75:99" ht="15.75">
      <c r="BW749" s="276"/>
      <c r="BY749" s="276"/>
      <c r="BZ749" s="276"/>
      <c r="CA749" s="276"/>
      <c r="CB749" s="276"/>
      <c r="CC749" s="276"/>
      <c r="CD749" s="276"/>
      <c r="CH749" s="276"/>
      <c r="CJ749" s="276"/>
      <c r="CK749" s="276"/>
      <c r="CL749" s="276"/>
      <c r="CM749" s="276"/>
      <c r="CN749" s="276"/>
      <c r="CO749" s="276"/>
      <c r="CP749" s="276"/>
      <c r="CQ749" s="276"/>
      <c r="CU749" s="276"/>
    </row>
    <row r="750" spans="75:99" ht="15.75">
      <c r="BW750" s="276"/>
      <c r="BY750" s="276"/>
      <c r="BZ750" s="276"/>
      <c r="CA750" s="276"/>
      <c r="CB750" s="276"/>
      <c r="CC750" s="276"/>
      <c r="CD750" s="276"/>
      <c r="CH750" s="276"/>
      <c r="CJ750" s="276"/>
      <c r="CK750" s="276"/>
      <c r="CL750" s="276"/>
      <c r="CM750" s="276"/>
      <c r="CN750" s="276"/>
      <c r="CO750" s="276"/>
      <c r="CP750" s="276"/>
      <c r="CQ750" s="276"/>
      <c r="CU750" s="276"/>
    </row>
    <row r="751" spans="75:99" ht="15.75">
      <c r="BW751" s="276"/>
      <c r="BY751" s="276"/>
      <c r="BZ751" s="276"/>
      <c r="CA751" s="276"/>
      <c r="CB751" s="276"/>
      <c r="CC751" s="276"/>
      <c r="CD751" s="276"/>
      <c r="CH751" s="276"/>
      <c r="CJ751" s="276"/>
      <c r="CK751" s="276"/>
      <c r="CL751" s="276"/>
      <c r="CM751" s="276"/>
      <c r="CN751" s="276"/>
      <c r="CO751" s="276"/>
      <c r="CP751" s="276"/>
      <c r="CQ751" s="276"/>
      <c r="CU751" s="276"/>
    </row>
    <row r="752" spans="75:99" ht="15.75">
      <c r="BW752" s="276"/>
      <c r="BY752" s="276"/>
      <c r="BZ752" s="276"/>
      <c r="CA752" s="276"/>
      <c r="CB752" s="276"/>
      <c r="CC752" s="276"/>
      <c r="CD752" s="276"/>
      <c r="CH752" s="276"/>
      <c r="CJ752" s="276"/>
      <c r="CK752" s="276"/>
      <c r="CL752" s="276"/>
      <c r="CM752" s="276"/>
      <c r="CN752" s="276"/>
      <c r="CO752" s="276"/>
      <c r="CP752" s="276"/>
      <c r="CQ752" s="276"/>
      <c r="CU752" s="276"/>
    </row>
    <row r="753" spans="75:99" ht="15.75">
      <c r="BW753" s="276"/>
      <c r="BY753" s="276"/>
      <c r="BZ753" s="276"/>
      <c r="CA753" s="276"/>
      <c r="CB753" s="276"/>
      <c r="CC753" s="276"/>
      <c r="CD753" s="276"/>
      <c r="CH753" s="276"/>
      <c r="CJ753" s="276"/>
      <c r="CK753" s="276"/>
      <c r="CL753" s="276"/>
      <c r="CM753" s="276"/>
      <c r="CN753" s="276"/>
      <c r="CO753" s="276"/>
      <c r="CP753" s="276"/>
      <c r="CQ753" s="276"/>
      <c r="CU753" s="276"/>
    </row>
    <row r="754" spans="75:99" ht="15.75">
      <c r="BW754" s="276"/>
      <c r="BY754" s="276"/>
      <c r="BZ754" s="276"/>
      <c r="CA754" s="276"/>
      <c r="CB754" s="276"/>
      <c r="CC754" s="276"/>
      <c r="CD754" s="276"/>
      <c r="CH754" s="276"/>
      <c r="CJ754" s="276"/>
      <c r="CK754" s="276"/>
      <c r="CL754" s="276"/>
      <c r="CM754" s="276"/>
      <c r="CN754" s="276"/>
      <c r="CO754" s="276"/>
      <c r="CP754" s="276"/>
      <c r="CQ754" s="276"/>
      <c r="CU754" s="276"/>
    </row>
    <row r="755" spans="75:99" ht="15.75">
      <c r="BW755" s="276"/>
      <c r="BY755" s="276"/>
      <c r="BZ755" s="276"/>
      <c r="CA755" s="276"/>
      <c r="CB755" s="276"/>
      <c r="CC755" s="276"/>
      <c r="CD755" s="276"/>
      <c r="CH755" s="276"/>
      <c r="CJ755" s="276"/>
      <c r="CK755" s="276"/>
      <c r="CL755" s="276"/>
      <c r="CM755" s="276"/>
      <c r="CN755" s="276"/>
      <c r="CO755" s="276"/>
      <c r="CP755" s="276"/>
      <c r="CQ755" s="276"/>
      <c r="CU755" s="276"/>
    </row>
    <row r="756" spans="75:99" ht="15.75">
      <c r="BW756" s="276"/>
      <c r="BY756" s="276"/>
      <c r="BZ756" s="276"/>
      <c r="CA756" s="276"/>
      <c r="CB756" s="276"/>
      <c r="CC756" s="276"/>
      <c r="CD756" s="276"/>
      <c r="CH756" s="276"/>
      <c r="CJ756" s="276"/>
      <c r="CK756" s="276"/>
      <c r="CL756" s="276"/>
      <c r="CM756" s="276"/>
      <c r="CN756" s="276"/>
      <c r="CO756" s="276"/>
      <c r="CP756" s="276"/>
      <c r="CQ756" s="276"/>
      <c r="CU756" s="276"/>
    </row>
    <row r="757" spans="75:99" ht="15.75">
      <c r="BW757" s="276"/>
      <c r="BY757" s="276"/>
      <c r="BZ757" s="276"/>
      <c r="CA757" s="276"/>
      <c r="CB757" s="276"/>
      <c r="CC757" s="276"/>
      <c r="CD757" s="276"/>
      <c r="CH757" s="276"/>
      <c r="CJ757" s="276"/>
      <c r="CK757" s="276"/>
      <c r="CL757" s="276"/>
      <c r="CM757" s="276"/>
      <c r="CN757" s="276"/>
      <c r="CO757" s="276"/>
      <c r="CP757" s="276"/>
      <c r="CQ757" s="276"/>
      <c r="CU757" s="276"/>
    </row>
    <row r="758" spans="75:99" ht="15.75">
      <c r="BW758" s="276"/>
      <c r="BY758" s="276"/>
      <c r="BZ758" s="276"/>
      <c r="CA758" s="276"/>
      <c r="CB758" s="276"/>
      <c r="CC758" s="276"/>
      <c r="CD758" s="276"/>
      <c r="CH758" s="276"/>
      <c r="CJ758" s="276"/>
      <c r="CK758" s="276"/>
      <c r="CL758" s="276"/>
      <c r="CM758" s="276"/>
      <c r="CN758" s="276"/>
      <c r="CO758" s="276"/>
      <c r="CP758" s="276"/>
      <c r="CQ758" s="276"/>
      <c r="CU758" s="276"/>
    </row>
    <row r="759" spans="75:99" ht="15.75">
      <c r="BW759" s="276"/>
      <c r="BY759" s="276"/>
      <c r="BZ759" s="276"/>
      <c r="CA759" s="276"/>
      <c r="CB759" s="276"/>
      <c r="CC759" s="276"/>
      <c r="CD759" s="276"/>
      <c r="CH759" s="276"/>
      <c r="CJ759" s="276"/>
      <c r="CK759" s="276"/>
      <c r="CL759" s="276"/>
      <c r="CM759" s="276"/>
      <c r="CN759" s="276"/>
      <c r="CO759" s="276"/>
      <c r="CP759" s="276"/>
      <c r="CQ759" s="276"/>
      <c r="CU759" s="276"/>
    </row>
    <row r="760" spans="75:99" ht="15.75">
      <c r="BW760" s="276"/>
      <c r="BY760" s="276"/>
      <c r="BZ760" s="276"/>
      <c r="CA760" s="276"/>
      <c r="CB760" s="276"/>
      <c r="CC760" s="276"/>
      <c r="CD760" s="276"/>
      <c r="CH760" s="276"/>
      <c r="CJ760" s="276"/>
      <c r="CK760" s="276"/>
      <c r="CL760" s="276"/>
      <c r="CM760" s="276"/>
      <c r="CN760" s="276"/>
      <c r="CO760" s="276"/>
      <c r="CP760" s="276"/>
      <c r="CQ760" s="276"/>
      <c r="CU760" s="276"/>
    </row>
    <row r="761" spans="75:99" ht="15.75">
      <c r="BW761" s="276"/>
      <c r="BY761" s="276"/>
      <c r="BZ761" s="276"/>
      <c r="CA761" s="276"/>
      <c r="CB761" s="276"/>
      <c r="CC761" s="276"/>
      <c r="CD761" s="276"/>
      <c r="CH761" s="276"/>
      <c r="CJ761" s="276"/>
      <c r="CK761" s="276"/>
      <c r="CL761" s="276"/>
      <c r="CM761" s="276"/>
      <c r="CN761" s="276"/>
      <c r="CO761" s="276"/>
      <c r="CP761" s="276"/>
      <c r="CQ761" s="276"/>
      <c r="CU761" s="276"/>
    </row>
    <row r="762" spans="75:99" ht="15.75">
      <c r="BW762" s="276"/>
      <c r="BY762" s="276"/>
      <c r="BZ762" s="276"/>
      <c r="CA762" s="276"/>
      <c r="CB762" s="276"/>
      <c r="CC762" s="276"/>
      <c r="CD762" s="276"/>
      <c r="CH762" s="276"/>
      <c r="CJ762" s="276"/>
      <c r="CK762" s="276"/>
      <c r="CL762" s="276"/>
      <c r="CM762" s="276"/>
      <c r="CN762" s="276"/>
      <c r="CO762" s="276"/>
      <c r="CP762" s="276"/>
      <c r="CQ762" s="276"/>
      <c r="CU762" s="276"/>
    </row>
    <row r="763" spans="75:99" ht="15.75">
      <c r="BW763" s="276"/>
      <c r="BY763" s="276"/>
      <c r="BZ763" s="276"/>
      <c r="CA763" s="276"/>
      <c r="CB763" s="276"/>
      <c r="CC763" s="276"/>
      <c r="CD763" s="276"/>
      <c r="CH763" s="276"/>
      <c r="CJ763" s="276"/>
      <c r="CK763" s="276"/>
      <c r="CL763" s="276"/>
      <c r="CM763" s="276"/>
      <c r="CN763" s="276"/>
      <c r="CO763" s="276"/>
      <c r="CP763" s="276"/>
      <c r="CQ763" s="276"/>
      <c r="CU763" s="276"/>
    </row>
    <row r="764" spans="75:99" ht="15.75">
      <c r="BW764" s="276"/>
      <c r="BY764" s="276"/>
      <c r="BZ764" s="276"/>
      <c r="CA764" s="276"/>
      <c r="CB764" s="276"/>
      <c r="CC764" s="276"/>
      <c r="CD764" s="276"/>
      <c r="CH764" s="276"/>
      <c r="CJ764" s="276"/>
      <c r="CK764" s="276"/>
      <c r="CL764" s="276"/>
      <c r="CM764" s="276"/>
      <c r="CN764" s="276"/>
      <c r="CO764" s="276"/>
      <c r="CP764" s="276"/>
      <c r="CQ764" s="276"/>
      <c r="CU764" s="276"/>
    </row>
    <row r="765" spans="75:99" ht="15.75">
      <c r="BW765" s="276"/>
      <c r="BY765" s="276"/>
      <c r="BZ765" s="276"/>
      <c r="CA765" s="276"/>
      <c r="CB765" s="276"/>
      <c r="CC765" s="276"/>
      <c r="CD765" s="276"/>
      <c r="CH765" s="276"/>
      <c r="CJ765" s="276"/>
      <c r="CK765" s="276"/>
      <c r="CL765" s="276"/>
      <c r="CM765" s="276"/>
      <c r="CN765" s="276"/>
      <c r="CO765" s="276"/>
      <c r="CP765" s="276"/>
      <c r="CQ765" s="276"/>
      <c r="CU765" s="276"/>
    </row>
    <row r="766" spans="75:99" ht="15.75">
      <c r="BW766" s="276"/>
      <c r="BY766" s="276"/>
      <c r="BZ766" s="276"/>
      <c r="CA766" s="276"/>
      <c r="CB766" s="276"/>
      <c r="CC766" s="276"/>
      <c r="CD766" s="276"/>
      <c r="CH766" s="276"/>
      <c r="CJ766" s="276"/>
      <c r="CK766" s="276"/>
      <c r="CL766" s="276"/>
      <c r="CM766" s="276"/>
      <c r="CN766" s="276"/>
      <c r="CO766" s="276"/>
      <c r="CP766" s="276"/>
      <c r="CQ766" s="276"/>
      <c r="CU766" s="276"/>
    </row>
    <row r="767" spans="75:99" ht="15.75">
      <c r="BW767" s="276"/>
      <c r="BY767" s="276"/>
      <c r="BZ767" s="276"/>
      <c r="CA767" s="276"/>
      <c r="CB767" s="276"/>
      <c r="CC767" s="276"/>
      <c r="CD767" s="276"/>
      <c r="CH767" s="276"/>
      <c r="CJ767" s="276"/>
      <c r="CK767" s="276"/>
      <c r="CL767" s="276"/>
      <c r="CM767" s="276"/>
      <c r="CN767" s="276"/>
      <c r="CO767" s="276"/>
      <c r="CP767" s="276"/>
      <c r="CQ767" s="276"/>
      <c r="CU767" s="276"/>
    </row>
    <row r="768" spans="75:99" ht="15.75">
      <c r="BW768" s="276"/>
      <c r="BY768" s="276"/>
      <c r="BZ768" s="276"/>
      <c r="CA768" s="276"/>
      <c r="CB768" s="276"/>
      <c r="CC768" s="276"/>
      <c r="CD768" s="276"/>
      <c r="CH768" s="276"/>
      <c r="CJ768" s="276"/>
      <c r="CK768" s="276"/>
      <c r="CL768" s="276"/>
      <c r="CM768" s="276"/>
      <c r="CN768" s="276"/>
      <c r="CO768" s="276"/>
      <c r="CP768" s="276"/>
      <c r="CQ768" s="276"/>
      <c r="CU768" s="276"/>
    </row>
    <row r="769" spans="75:99" ht="15.75">
      <c r="BW769" s="276"/>
      <c r="BY769" s="276"/>
      <c r="BZ769" s="276"/>
      <c r="CA769" s="276"/>
      <c r="CB769" s="276"/>
      <c r="CC769" s="276"/>
      <c r="CD769" s="276"/>
      <c r="CH769" s="276"/>
      <c r="CJ769" s="276"/>
      <c r="CK769" s="276"/>
      <c r="CL769" s="276"/>
      <c r="CM769" s="276"/>
      <c r="CN769" s="276"/>
      <c r="CO769" s="276"/>
      <c r="CP769" s="276"/>
      <c r="CQ769" s="276"/>
      <c r="CU769" s="276"/>
    </row>
    <row r="770" spans="75:99" ht="15.75">
      <c r="BW770" s="276"/>
      <c r="BY770" s="276"/>
      <c r="BZ770" s="276"/>
      <c r="CA770" s="276"/>
      <c r="CB770" s="276"/>
      <c r="CC770" s="276"/>
      <c r="CD770" s="276"/>
      <c r="CH770" s="276"/>
      <c r="CJ770" s="276"/>
      <c r="CK770" s="276"/>
      <c r="CL770" s="276"/>
      <c r="CM770" s="276"/>
      <c r="CN770" s="276"/>
      <c r="CO770" s="276"/>
      <c r="CP770" s="276"/>
      <c r="CQ770" s="276"/>
      <c r="CU770" s="276"/>
    </row>
    <row r="771" spans="75:99" ht="15.75">
      <c r="BW771" s="276"/>
      <c r="BY771" s="276"/>
      <c r="BZ771" s="276"/>
      <c r="CA771" s="276"/>
      <c r="CB771" s="276"/>
      <c r="CC771" s="276"/>
      <c r="CD771" s="276"/>
      <c r="CH771" s="276"/>
      <c r="CJ771" s="276"/>
      <c r="CK771" s="276"/>
      <c r="CL771" s="276"/>
      <c r="CM771" s="276"/>
      <c r="CN771" s="276"/>
      <c r="CO771" s="276"/>
      <c r="CP771" s="276"/>
      <c r="CQ771" s="276"/>
      <c r="CU771" s="276"/>
    </row>
    <row r="772" spans="75:99" ht="15.75">
      <c r="BW772" s="276"/>
      <c r="BY772" s="276"/>
      <c r="BZ772" s="276"/>
      <c r="CA772" s="276"/>
      <c r="CB772" s="276"/>
      <c r="CC772" s="276"/>
      <c r="CD772" s="276"/>
      <c r="CH772" s="276"/>
      <c r="CJ772" s="276"/>
      <c r="CK772" s="276"/>
      <c r="CL772" s="276"/>
      <c r="CM772" s="276"/>
      <c r="CN772" s="276"/>
      <c r="CO772" s="276"/>
      <c r="CP772" s="276"/>
      <c r="CQ772" s="276"/>
      <c r="CU772" s="276"/>
    </row>
    <row r="773" spans="75:99" ht="15.75">
      <c r="BW773" s="276"/>
      <c r="BY773" s="276"/>
      <c r="BZ773" s="276"/>
      <c r="CA773" s="276"/>
      <c r="CB773" s="276"/>
      <c r="CC773" s="276"/>
      <c r="CD773" s="276"/>
      <c r="CH773" s="276"/>
      <c r="CJ773" s="276"/>
      <c r="CK773" s="276"/>
      <c r="CL773" s="276"/>
      <c r="CM773" s="276"/>
      <c r="CN773" s="276"/>
      <c r="CO773" s="276"/>
      <c r="CP773" s="276"/>
      <c r="CQ773" s="276"/>
      <c r="CU773" s="276"/>
    </row>
    <row r="774" spans="75:99" ht="15.75">
      <c r="BW774" s="276"/>
      <c r="BY774" s="276"/>
      <c r="BZ774" s="276"/>
      <c r="CA774" s="276"/>
      <c r="CB774" s="276"/>
      <c r="CC774" s="276"/>
      <c r="CD774" s="276"/>
      <c r="CH774" s="276"/>
      <c r="CJ774" s="276"/>
      <c r="CK774" s="276"/>
      <c r="CL774" s="276"/>
      <c r="CM774" s="276"/>
      <c r="CN774" s="276"/>
      <c r="CO774" s="276"/>
      <c r="CP774" s="276"/>
      <c r="CQ774" s="276"/>
      <c r="CU774" s="276"/>
    </row>
    <row r="775" spans="75:99" ht="15.75">
      <c r="BW775" s="276"/>
      <c r="BY775" s="276"/>
      <c r="BZ775" s="276"/>
      <c r="CA775" s="276"/>
      <c r="CB775" s="276"/>
      <c r="CC775" s="276"/>
      <c r="CD775" s="276"/>
      <c r="CH775" s="276"/>
      <c r="CJ775" s="276"/>
      <c r="CK775" s="276"/>
      <c r="CL775" s="276"/>
      <c r="CM775" s="276"/>
      <c r="CN775" s="276"/>
      <c r="CO775" s="276"/>
      <c r="CP775" s="276"/>
      <c r="CQ775" s="276"/>
      <c r="CU775" s="276"/>
    </row>
    <row r="776" spans="75:99" ht="15.75">
      <c r="BW776" s="276"/>
      <c r="BY776" s="276"/>
      <c r="BZ776" s="276"/>
      <c r="CA776" s="276"/>
      <c r="CB776" s="276"/>
      <c r="CC776" s="276"/>
      <c r="CD776" s="276"/>
      <c r="CH776" s="276"/>
      <c r="CJ776" s="276"/>
      <c r="CK776" s="276"/>
      <c r="CL776" s="276"/>
      <c r="CM776" s="276"/>
      <c r="CN776" s="276"/>
      <c r="CO776" s="276"/>
      <c r="CP776" s="276"/>
      <c r="CQ776" s="276"/>
      <c r="CU776" s="276"/>
    </row>
    <row r="777" spans="75:99" ht="15.75">
      <c r="BW777" s="276"/>
      <c r="BY777" s="276"/>
      <c r="BZ777" s="276"/>
      <c r="CA777" s="276"/>
      <c r="CB777" s="276"/>
      <c r="CC777" s="276"/>
      <c r="CD777" s="276"/>
      <c r="CH777" s="276"/>
      <c r="CJ777" s="276"/>
      <c r="CK777" s="276"/>
      <c r="CL777" s="276"/>
      <c r="CM777" s="276"/>
      <c r="CN777" s="276"/>
      <c r="CO777" s="276"/>
      <c r="CP777" s="276"/>
      <c r="CQ777" s="276"/>
      <c r="CU777" s="276"/>
    </row>
    <row r="778" spans="75:99" ht="15.75">
      <c r="BW778" s="276"/>
      <c r="BY778" s="276"/>
      <c r="BZ778" s="276"/>
      <c r="CA778" s="276"/>
      <c r="CB778" s="276"/>
      <c r="CC778" s="276"/>
      <c r="CD778" s="276"/>
      <c r="CH778" s="276"/>
      <c r="CJ778" s="276"/>
      <c r="CK778" s="276"/>
      <c r="CL778" s="276"/>
      <c r="CM778" s="276"/>
      <c r="CN778" s="276"/>
      <c r="CO778" s="276"/>
      <c r="CP778" s="276"/>
      <c r="CQ778" s="276"/>
      <c r="CU778" s="276"/>
    </row>
    <row r="779" spans="75:99" ht="15.75">
      <c r="BW779" s="276"/>
      <c r="BY779" s="276"/>
      <c r="BZ779" s="276"/>
      <c r="CA779" s="276"/>
      <c r="CB779" s="276"/>
      <c r="CC779" s="276"/>
      <c r="CD779" s="276"/>
      <c r="CH779" s="276"/>
      <c r="CJ779" s="276"/>
      <c r="CK779" s="276"/>
      <c r="CL779" s="276"/>
      <c r="CM779" s="276"/>
      <c r="CN779" s="276"/>
      <c r="CO779" s="276"/>
      <c r="CP779" s="276"/>
      <c r="CQ779" s="276"/>
      <c r="CU779" s="276"/>
    </row>
    <row r="780" spans="75:99" ht="15.75">
      <c r="BW780" s="276"/>
      <c r="BY780" s="276"/>
      <c r="BZ780" s="276"/>
      <c r="CA780" s="276"/>
      <c r="CB780" s="276"/>
      <c r="CC780" s="276"/>
      <c r="CD780" s="276"/>
      <c r="CH780" s="276"/>
      <c r="CJ780" s="276"/>
      <c r="CK780" s="276"/>
      <c r="CL780" s="276"/>
      <c r="CM780" s="276"/>
      <c r="CN780" s="276"/>
      <c r="CO780" s="276"/>
      <c r="CP780" s="276"/>
      <c r="CQ780" s="276"/>
      <c r="CU780" s="276"/>
    </row>
    <row r="781" spans="75:99" ht="15.75">
      <c r="BW781" s="276"/>
      <c r="BY781" s="276"/>
      <c r="BZ781" s="276"/>
      <c r="CA781" s="276"/>
      <c r="CB781" s="276"/>
      <c r="CC781" s="276"/>
      <c r="CD781" s="276"/>
      <c r="CH781" s="276"/>
      <c r="CJ781" s="276"/>
      <c r="CK781" s="276"/>
      <c r="CL781" s="276"/>
      <c r="CM781" s="276"/>
      <c r="CN781" s="276"/>
      <c r="CO781" s="276"/>
      <c r="CP781" s="276"/>
      <c r="CQ781" s="276"/>
      <c r="CU781" s="276"/>
    </row>
    <row r="782" spans="75:99" ht="15.75">
      <c r="BW782" s="276"/>
      <c r="BY782" s="276"/>
      <c r="BZ782" s="276"/>
      <c r="CA782" s="276"/>
      <c r="CB782" s="276"/>
      <c r="CC782" s="276"/>
      <c r="CD782" s="276"/>
      <c r="CH782" s="276"/>
      <c r="CJ782" s="276"/>
      <c r="CK782" s="276"/>
      <c r="CL782" s="276"/>
      <c r="CM782" s="276"/>
      <c r="CN782" s="276"/>
      <c r="CO782" s="276"/>
      <c r="CP782" s="276"/>
      <c r="CQ782" s="276"/>
      <c r="CU782" s="276"/>
    </row>
    <row r="783" spans="75:99" ht="15.75">
      <c r="BW783" s="276"/>
      <c r="BY783" s="276"/>
      <c r="BZ783" s="276"/>
      <c r="CA783" s="276"/>
      <c r="CB783" s="276"/>
      <c r="CC783" s="276"/>
      <c r="CD783" s="276"/>
      <c r="CH783" s="276"/>
      <c r="CJ783" s="276"/>
      <c r="CK783" s="276"/>
      <c r="CL783" s="276"/>
      <c r="CM783" s="276"/>
      <c r="CN783" s="276"/>
      <c r="CO783" s="276"/>
      <c r="CP783" s="276"/>
      <c r="CQ783" s="276"/>
      <c r="CU783" s="276"/>
    </row>
    <row r="784" spans="75:99" ht="15.75">
      <c r="BW784" s="276"/>
      <c r="BY784" s="276"/>
      <c r="BZ784" s="276"/>
      <c r="CA784" s="276"/>
      <c r="CB784" s="276"/>
      <c r="CC784" s="276"/>
      <c r="CD784" s="276"/>
      <c r="CH784" s="276"/>
      <c r="CJ784" s="276"/>
      <c r="CK784" s="276"/>
      <c r="CL784" s="276"/>
      <c r="CM784" s="276"/>
      <c r="CN784" s="276"/>
      <c r="CO784" s="276"/>
      <c r="CP784" s="276"/>
      <c r="CQ784" s="276"/>
      <c r="CU784" s="276"/>
    </row>
    <row r="785" spans="75:99" ht="15.75">
      <c r="BW785" s="276"/>
      <c r="BY785" s="276"/>
      <c r="BZ785" s="276"/>
      <c r="CA785" s="276"/>
      <c r="CB785" s="276"/>
      <c r="CC785" s="276"/>
      <c r="CD785" s="276"/>
      <c r="CH785" s="276"/>
      <c r="CJ785" s="276"/>
      <c r="CK785" s="276"/>
      <c r="CL785" s="276"/>
      <c r="CM785" s="276"/>
      <c r="CN785" s="276"/>
      <c r="CO785" s="276"/>
      <c r="CP785" s="276"/>
      <c r="CQ785" s="276"/>
      <c r="CU785" s="276"/>
    </row>
    <row r="786" spans="75:99" ht="15.75">
      <c r="BW786" s="276"/>
      <c r="BY786" s="276"/>
      <c r="BZ786" s="276"/>
      <c r="CA786" s="276"/>
      <c r="CB786" s="276"/>
      <c r="CC786" s="276"/>
      <c r="CD786" s="276"/>
      <c r="CH786" s="276"/>
      <c r="CJ786" s="276"/>
      <c r="CK786" s="276"/>
      <c r="CL786" s="276"/>
      <c r="CM786" s="276"/>
      <c r="CN786" s="276"/>
      <c r="CO786" s="276"/>
      <c r="CP786" s="276"/>
      <c r="CQ786" s="276"/>
      <c r="CU786" s="276"/>
    </row>
    <row r="787" spans="75:99" ht="15.75">
      <c r="BW787" s="276"/>
      <c r="BY787" s="276"/>
      <c r="BZ787" s="276"/>
      <c r="CA787" s="276"/>
      <c r="CB787" s="276"/>
      <c r="CC787" s="276"/>
      <c r="CD787" s="276"/>
      <c r="CH787" s="276"/>
      <c r="CJ787" s="276"/>
      <c r="CK787" s="276"/>
      <c r="CL787" s="276"/>
      <c r="CM787" s="276"/>
      <c r="CN787" s="276"/>
      <c r="CO787" s="276"/>
      <c r="CP787" s="276"/>
      <c r="CQ787" s="276"/>
      <c r="CU787" s="276"/>
    </row>
    <row r="788" spans="75:99" ht="15.75">
      <c r="BW788" s="276"/>
      <c r="BY788" s="276"/>
      <c r="BZ788" s="276"/>
      <c r="CA788" s="276"/>
      <c r="CB788" s="276"/>
      <c r="CC788" s="276"/>
      <c r="CD788" s="276"/>
      <c r="CH788" s="276"/>
      <c r="CJ788" s="276"/>
      <c r="CK788" s="276"/>
      <c r="CL788" s="276"/>
      <c r="CM788" s="276"/>
      <c r="CN788" s="276"/>
      <c r="CO788" s="276"/>
      <c r="CP788" s="276"/>
      <c r="CQ788" s="276"/>
      <c r="CU788" s="276"/>
    </row>
    <row r="789" spans="75:99" ht="15.75">
      <c r="BW789" s="276"/>
      <c r="BY789" s="276"/>
      <c r="BZ789" s="276"/>
      <c r="CA789" s="276"/>
      <c r="CB789" s="276"/>
      <c r="CC789" s="276"/>
      <c r="CD789" s="276"/>
      <c r="CH789" s="276"/>
      <c r="CJ789" s="276"/>
      <c r="CK789" s="276"/>
      <c r="CL789" s="276"/>
      <c r="CM789" s="276"/>
      <c r="CN789" s="276"/>
      <c r="CO789" s="276"/>
      <c r="CP789" s="276"/>
      <c r="CQ789" s="276"/>
      <c r="CU789" s="276"/>
    </row>
    <row r="790" spans="75:99" ht="15.75">
      <c r="BW790" s="276"/>
      <c r="BY790" s="276"/>
      <c r="BZ790" s="276"/>
      <c r="CA790" s="276"/>
      <c r="CB790" s="276"/>
      <c r="CC790" s="276"/>
      <c r="CD790" s="276"/>
      <c r="CH790" s="276"/>
      <c r="CJ790" s="276"/>
      <c r="CK790" s="276"/>
      <c r="CL790" s="276"/>
      <c r="CM790" s="276"/>
      <c r="CN790" s="276"/>
      <c r="CO790" s="276"/>
      <c r="CP790" s="276"/>
      <c r="CQ790" s="276"/>
      <c r="CU790" s="276"/>
    </row>
    <row r="791" spans="75:99" ht="15.75">
      <c r="BW791" s="276"/>
      <c r="BY791" s="276"/>
      <c r="BZ791" s="276"/>
      <c r="CA791" s="276"/>
      <c r="CB791" s="276"/>
      <c r="CC791" s="276"/>
      <c r="CD791" s="276"/>
      <c r="CH791" s="276"/>
      <c r="CJ791" s="276"/>
      <c r="CK791" s="276"/>
      <c r="CL791" s="276"/>
      <c r="CM791" s="276"/>
      <c r="CN791" s="276"/>
      <c r="CO791" s="276"/>
      <c r="CP791" s="276"/>
      <c r="CQ791" s="276"/>
      <c r="CU791" s="276"/>
    </row>
    <row r="792" spans="75:99" ht="15.75">
      <c r="BW792" s="276"/>
      <c r="BY792" s="276"/>
      <c r="BZ792" s="276"/>
      <c r="CA792" s="276"/>
      <c r="CB792" s="276"/>
      <c r="CC792" s="276"/>
      <c r="CD792" s="276"/>
      <c r="CH792" s="276"/>
      <c r="CJ792" s="276"/>
      <c r="CK792" s="276"/>
      <c r="CL792" s="276"/>
      <c r="CM792" s="276"/>
      <c r="CN792" s="276"/>
      <c r="CO792" s="276"/>
      <c r="CP792" s="276"/>
      <c r="CQ792" s="276"/>
      <c r="CU792" s="276"/>
    </row>
    <row r="793" spans="75:99" ht="15.75">
      <c r="BW793" s="276"/>
      <c r="BY793" s="276"/>
      <c r="BZ793" s="276"/>
      <c r="CA793" s="276"/>
      <c r="CB793" s="276"/>
      <c r="CC793" s="276"/>
      <c r="CD793" s="276"/>
      <c r="CH793" s="276"/>
      <c r="CJ793" s="276"/>
      <c r="CK793" s="276"/>
      <c r="CL793" s="276"/>
      <c r="CM793" s="276"/>
      <c r="CN793" s="276"/>
      <c r="CO793" s="276"/>
      <c r="CP793" s="276"/>
      <c r="CQ793" s="276"/>
      <c r="CU793" s="276"/>
    </row>
    <row r="794" spans="75:99" ht="15.75">
      <c r="BW794" s="276"/>
      <c r="BY794" s="276"/>
      <c r="BZ794" s="276"/>
      <c r="CA794" s="276"/>
      <c r="CB794" s="276"/>
      <c r="CC794" s="276"/>
      <c r="CD794" s="276"/>
      <c r="CH794" s="276"/>
      <c r="CJ794" s="276"/>
      <c r="CK794" s="276"/>
      <c r="CL794" s="276"/>
      <c r="CM794" s="276"/>
      <c r="CN794" s="276"/>
      <c r="CO794" s="276"/>
      <c r="CP794" s="276"/>
      <c r="CQ794" s="276"/>
      <c r="CU794" s="276"/>
    </row>
    <row r="795" spans="75:99" ht="15.75">
      <c r="BW795" s="276"/>
      <c r="BY795" s="276"/>
      <c r="BZ795" s="276"/>
      <c r="CA795" s="276"/>
      <c r="CB795" s="276"/>
      <c r="CC795" s="276"/>
      <c r="CD795" s="276"/>
      <c r="CH795" s="276"/>
      <c r="CJ795" s="276"/>
      <c r="CK795" s="276"/>
      <c r="CL795" s="276"/>
      <c r="CM795" s="276"/>
      <c r="CN795" s="276"/>
      <c r="CO795" s="276"/>
      <c r="CP795" s="276"/>
      <c r="CQ795" s="276"/>
      <c r="CU795" s="276"/>
    </row>
    <row r="796" spans="75:99" ht="15.75">
      <c r="BW796" s="276"/>
      <c r="BY796" s="276"/>
      <c r="BZ796" s="276"/>
      <c r="CA796" s="276"/>
      <c r="CB796" s="276"/>
      <c r="CC796" s="276"/>
      <c r="CD796" s="276"/>
      <c r="CH796" s="276"/>
      <c r="CJ796" s="276"/>
      <c r="CK796" s="276"/>
      <c r="CL796" s="276"/>
      <c r="CM796" s="276"/>
      <c r="CN796" s="276"/>
      <c r="CO796" s="276"/>
      <c r="CP796" s="276"/>
      <c r="CQ796" s="276"/>
      <c r="CU796" s="276"/>
    </row>
    <row r="797" spans="75:99" ht="15.75">
      <c r="BW797" s="276"/>
      <c r="BY797" s="276"/>
      <c r="BZ797" s="276"/>
      <c r="CA797" s="276"/>
      <c r="CB797" s="276"/>
      <c r="CC797" s="276"/>
      <c r="CD797" s="276"/>
      <c r="CH797" s="276"/>
      <c r="CJ797" s="276"/>
      <c r="CK797" s="276"/>
      <c r="CL797" s="276"/>
      <c r="CM797" s="276"/>
      <c r="CN797" s="276"/>
      <c r="CO797" s="276"/>
      <c r="CP797" s="276"/>
      <c r="CQ797" s="276"/>
      <c r="CU797" s="276"/>
    </row>
    <row r="798" spans="75:99" ht="15.75">
      <c r="BW798" s="276"/>
      <c r="BY798" s="276"/>
      <c r="BZ798" s="276"/>
      <c r="CA798" s="276"/>
      <c r="CB798" s="276"/>
      <c r="CC798" s="276"/>
      <c r="CD798" s="276"/>
      <c r="CH798" s="276"/>
      <c r="CJ798" s="276"/>
      <c r="CK798" s="276"/>
      <c r="CL798" s="276"/>
      <c r="CM798" s="276"/>
      <c r="CN798" s="276"/>
      <c r="CO798" s="276"/>
      <c r="CP798" s="276"/>
      <c r="CQ798" s="276"/>
      <c r="CU798" s="276"/>
    </row>
    <row r="799" spans="75:99" ht="15.75">
      <c r="BW799" s="276"/>
      <c r="BY799" s="276"/>
      <c r="BZ799" s="276"/>
      <c r="CA799" s="276"/>
      <c r="CB799" s="276"/>
      <c r="CC799" s="276"/>
      <c r="CD799" s="276"/>
      <c r="CH799" s="276"/>
      <c r="CJ799" s="276"/>
      <c r="CK799" s="276"/>
      <c r="CL799" s="276"/>
      <c r="CM799" s="276"/>
      <c r="CN799" s="276"/>
      <c r="CO799" s="276"/>
      <c r="CP799" s="276"/>
      <c r="CQ799" s="276"/>
      <c r="CU799" s="276"/>
    </row>
    <row r="800" spans="75:99" ht="15.75">
      <c r="BW800" s="276"/>
      <c r="BY800" s="276"/>
      <c r="BZ800" s="276"/>
      <c r="CA800" s="276"/>
      <c r="CB800" s="276"/>
      <c r="CC800" s="276"/>
      <c r="CD800" s="276"/>
      <c r="CH800" s="276"/>
      <c r="CJ800" s="276"/>
      <c r="CK800" s="276"/>
      <c r="CL800" s="276"/>
      <c r="CM800" s="276"/>
      <c r="CN800" s="276"/>
      <c r="CO800" s="276"/>
      <c r="CP800" s="276"/>
      <c r="CQ800" s="276"/>
      <c r="CU800" s="276"/>
    </row>
    <row r="801" spans="75:99" ht="15.75">
      <c r="BW801" s="276"/>
      <c r="BY801" s="276"/>
      <c r="BZ801" s="276"/>
      <c r="CA801" s="276"/>
      <c r="CB801" s="276"/>
      <c r="CC801" s="276"/>
      <c r="CD801" s="276"/>
      <c r="CH801" s="276"/>
      <c r="CJ801" s="276"/>
      <c r="CK801" s="276"/>
      <c r="CL801" s="276"/>
      <c r="CM801" s="276"/>
      <c r="CN801" s="276"/>
      <c r="CO801" s="276"/>
      <c r="CP801" s="276"/>
      <c r="CQ801" s="276"/>
      <c r="CU801" s="276"/>
    </row>
    <row r="802" spans="75:99" ht="15.75">
      <c r="BW802" s="276"/>
      <c r="BY802" s="276"/>
      <c r="BZ802" s="276"/>
      <c r="CA802" s="276"/>
      <c r="CB802" s="276"/>
      <c r="CC802" s="276"/>
      <c r="CD802" s="276"/>
      <c r="CH802" s="276"/>
      <c r="CJ802" s="276"/>
      <c r="CK802" s="276"/>
      <c r="CL802" s="276"/>
      <c r="CM802" s="276"/>
      <c r="CN802" s="276"/>
      <c r="CO802" s="276"/>
      <c r="CP802" s="276"/>
      <c r="CQ802" s="276"/>
      <c r="CU802" s="276"/>
    </row>
    <row r="803" spans="75:99" ht="15.75">
      <c r="BW803" s="276"/>
      <c r="BY803" s="276"/>
      <c r="BZ803" s="276"/>
      <c r="CA803" s="276"/>
      <c r="CB803" s="276"/>
      <c r="CC803" s="276"/>
      <c r="CD803" s="276"/>
      <c r="CH803" s="276"/>
      <c r="CJ803" s="276"/>
      <c r="CK803" s="276"/>
      <c r="CL803" s="276"/>
      <c r="CM803" s="276"/>
      <c r="CN803" s="276"/>
      <c r="CO803" s="276"/>
      <c r="CP803" s="276"/>
      <c r="CQ803" s="276"/>
      <c r="CU803" s="276"/>
    </row>
    <row r="804" spans="75:99" ht="15.75">
      <c r="BW804" s="276"/>
      <c r="BY804" s="276"/>
      <c r="BZ804" s="276"/>
      <c r="CA804" s="276"/>
      <c r="CB804" s="276"/>
      <c r="CC804" s="276"/>
      <c r="CD804" s="276"/>
      <c r="CH804" s="276"/>
      <c r="CJ804" s="276"/>
      <c r="CK804" s="276"/>
      <c r="CL804" s="276"/>
      <c r="CM804" s="276"/>
      <c r="CN804" s="276"/>
      <c r="CO804" s="276"/>
      <c r="CP804" s="276"/>
      <c r="CQ804" s="276"/>
      <c r="CU804" s="276"/>
    </row>
    <row r="805" spans="75:99" ht="15.75">
      <c r="BW805" s="276"/>
      <c r="BY805" s="276"/>
      <c r="BZ805" s="276"/>
      <c r="CA805" s="276"/>
      <c r="CB805" s="276"/>
      <c r="CC805" s="276"/>
      <c r="CD805" s="276"/>
      <c r="CH805" s="276"/>
      <c r="CJ805" s="276"/>
      <c r="CK805" s="276"/>
      <c r="CL805" s="276"/>
      <c r="CM805" s="276"/>
      <c r="CN805" s="276"/>
      <c r="CO805" s="276"/>
      <c r="CP805" s="276"/>
      <c r="CQ805" s="276"/>
      <c r="CU805" s="276"/>
    </row>
    <row r="806" spans="75:99" ht="15.75">
      <c r="BW806" s="276"/>
      <c r="BY806" s="276"/>
      <c r="BZ806" s="276"/>
      <c r="CA806" s="276"/>
      <c r="CB806" s="276"/>
      <c r="CC806" s="276"/>
      <c r="CD806" s="276"/>
      <c r="CH806" s="276"/>
      <c r="CJ806" s="276"/>
      <c r="CK806" s="276"/>
      <c r="CL806" s="276"/>
      <c r="CM806" s="276"/>
      <c r="CN806" s="276"/>
      <c r="CO806" s="276"/>
      <c r="CP806" s="276"/>
      <c r="CQ806" s="276"/>
      <c r="CU806" s="276"/>
    </row>
    <row r="807" spans="75:99" ht="15.75">
      <c r="BW807" s="276"/>
      <c r="BY807" s="276"/>
      <c r="BZ807" s="276"/>
      <c r="CA807" s="276"/>
      <c r="CB807" s="276"/>
      <c r="CC807" s="276"/>
      <c r="CD807" s="276"/>
      <c r="CH807" s="276"/>
      <c r="CJ807" s="276"/>
      <c r="CK807" s="276"/>
      <c r="CL807" s="276"/>
      <c r="CM807" s="276"/>
      <c r="CN807" s="276"/>
      <c r="CO807" s="276"/>
      <c r="CP807" s="276"/>
      <c r="CQ807" s="276"/>
      <c r="CU807" s="276"/>
    </row>
    <row r="808" spans="75:99" ht="15.75">
      <c r="BW808" s="276"/>
      <c r="BY808" s="276"/>
      <c r="BZ808" s="276"/>
      <c r="CA808" s="276"/>
      <c r="CB808" s="276"/>
      <c r="CC808" s="276"/>
      <c r="CD808" s="276"/>
      <c r="CH808" s="276"/>
      <c r="CJ808" s="276"/>
      <c r="CK808" s="276"/>
      <c r="CL808" s="276"/>
      <c r="CM808" s="276"/>
      <c r="CN808" s="276"/>
      <c r="CO808" s="276"/>
      <c r="CP808" s="276"/>
      <c r="CQ808" s="276"/>
      <c r="CU808" s="276"/>
    </row>
    <row r="809" spans="75:99" ht="15.75">
      <c r="BW809" s="276"/>
      <c r="BY809" s="276"/>
      <c r="BZ809" s="276"/>
      <c r="CA809" s="276"/>
      <c r="CB809" s="276"/>
      <c r="CC809" s="276"/>
      <c r="CD809" s="276"/>
      <c r="CH809" s="276"/>
      <c r="CJ809" s="276"/>
      <c r="CK809" s="276"/>
      <c r="CL809" s="276"/>
      <c r="CM809" s="276"/>
      <c r="CN809" s="276"/>
      <c r="CO809" s="276"/>
      <c r="CP809" s="276"/>
      <c r="CQ809" s="276"/>
      <c r="CU809" s="276"/>
    </row>
    <row r="810" spans="75:99" ht="15.75">
      <c r="BW810" s="276"/>
      <c r="BY810" s="276"/>
      <c r="BZ810" s="276"/>
      <c r="CA810" s="276"/>
      <c r="CB810" s="276"/>
      <c r="CC810" s="276"/>
      <c r="CD810" s="276"/>
      <c r="CH810" s="276"/>
      <c r="CJ810" s="276"/>
      <c r="CK810" s="276"/>
      <c r="CL810" s="276"/>
      <c r="CM810" s="276"/>
      <c r="CN810" s="276"/>
      <c r="CO810" s="276"/>
      <c r="CP810" s="276"/>
      <c r="CQ810" s="276"/>
      <c r="CU810" s="276"/>
    </row>
    <row r="811" spans="75:99" ht="15.75">
      <c r="BW811" s="276"/>
      <c r="BY811" s="276"/>
      <c r="BZ811" s="276"/>
      <c r="CA811" s="276"/>
      <c r="CB811" s="276"/>
      <c r="CC811" s="276"/>
      <c r="CD811" s="276"/>
      <c r="CH811" s="276"/>
      <c r="CJ811" s="276"/>
      <c r="CK811" s="276"/>
      <c r="CL811" s="276"/>
      <c r="CM811" s="276"/>
      <c r="CN811" s="276"/>
      <c r="CO811" s="276"/>
      <c r="CP811" s="276"/>
      <c r="CQ811" s="276"/>
      <c r="CU811" s="276"/>
    </row>
    <row r="812" spans="75:99" ht="15.75">
      <c r="BW812" s="276"/>
      <c r="BY812" s="276"/>
      <c r="BZ812" s="276"/>
      <c r="CA812" s="276"/>
      <c r="CB812" s="276"/>
      <c r="CC812" s="276"/>
      <c r="CD812" s="276"/>
      <c r="CH812" s="276"/>
      <c r="CJ812" s="276"/>
      <c r="CK812" s="276"/>
      <c r="CL812" s="276"/>
      <c r="CM812" s="276"/>
      <c r="CN812" s="276"/>
      <c r="CO812" s="276"/>
      <c r="CP812" s="276"/>
      <c r="CQ812" s="276"/>
      <c r="CU812" s="276"/>
    </row>
    <row r="813" spans="75:99" ht="15.75">
      <c r="BW813" s="276"/>
      <c r="BY813" s="276"/>
      <c r="BZ813" s="276"/>
      <c r="CA813" s="276"/>
      <c r="CB813" s="276"/>
      <c r="CC813" s="276"/>
      <c r="CD813" s="276"/>
      <c r="CH813" s="276"/>
      <c r="CJ813" s="276"/>
      <c r="CK813" s="276"/>
      <c r="CL813" s="276"/>
      <c r="CM813" s="276"/>
      <c r="CN813" s="276"/>
      <c r="CO813" s="276"/>
      <c r="CP813" s="276"/>
      <c r="CQ813" s="276"/>
      <c r="CU813" s="276"/>
    </row>
    <row r="814" spans="75:99" ht="15.75">
      <c r="BW814" s="276"/>
      <c r="BY814" s="276"/>
      <c r="BZ814" s="276"/>
      <c r="CA814" s="276"/>
      <c r="CB814" s="276"/>
      <c r="CC814" s="276"/>
      <c r="CD814" s="276"/>
      <c r="CH814" s="276"/>
      <c r="CJ814" s="276"/>
      <c r="CK814" s="276"/>
      <c r="CL814" s="276"/>
      <c r="CM814" s="276"/>
      <c r="CN814" s="276"/>
      <c r="CO814" s="276"/>
      <c r="CP814" s="276"/>
      <c r="CQ814" s="276"/>
      <c r="CU814" s="276"/>
    </row>
    <row r="815" spans="75:99" ht="15.75">
      <c r="BW815" s="276"/>
      <c r="BY815" s="276"/>
      <c r="BZ815" s="276"/>
      <c r="CA815" s="276"/>
      <c r="CB815" s="276"/>
      <c r="CC815" s="276"/>
      <c r="CD815" s="276"/>
      <c r="CH815" s="276"/>
      <c r="CJ815" s="276"/>
      <c r="CK815" s="276"/>
      <c r="CL815" s="276"/>
      <c r="CM815" s="276"/>
      <c r="CN815" s="276"/>
      <c r="CO815" s="276"/>
      <c r="CP815" s="276"/>
      <c r="CQ815" s="276"/>
      <c r="CU815" s="276"/>
    </row>
    <row r="816" spans="75:99" ht="15.75">
      <c r="BW816" s="276"/>
      <c r="BY816" s="276"/>
      <c r="BZ816" s="276"/>
      <c r="CA816" s="276"/>
      <c r="CB816" s="276"/>
      <c r="CC816" s="276"/>
      <c r="CD816" s="276"/>
      <c r="CH816" s="276"/>
      <c r="CJ816" s="276"/>
      <c r="CK816" s="276"/>
      <c r="CL816" s="276"/>
      <c r="CM816" s="276"/>
      <c r="CN816" s="276"/>
      <c r="CO816" s="276"/>
      <c r="CP816" s="276"/>
      <c r="CQ816" s="276"/>
      <c r="CU816" s="276"/>
    </row>
    <row r="817" spans="75:99" ht="15.75">
      <c r="BW817" s="276"/>
      <c r="BY817" s="276"/>
      <c r="BZ817" s="276"/>
      <c r="CA817" s="276"/>
      <c r="CB817" s="276"/>
      <c r="CC817" s="276"/>
      <c r="CD817" s="276"/>
      <c r="CH817" s="276"/>
      <c r="CJ817" s="276"/>
      <c r="CK817" s="276"/>
      <c r="CL817" s="276"/>
      <c r="CM817" s="276"/>
      <c r="CN817" s="276"/>
      <c r="CO817" s="276"/>
      <c r="CP817" s="276"/>
      <c r="CQ817" s="276"/>
      <c r="CU817" s="276"/>
    </row>
    <row r="818" spans="75:99" ht="15.75">
      <c r="BW818" s="276"/>
      <c r="BY818" s="276"/>
      <c r="BZ818" s="276"/>
      <c r="CA818" s="276"/>
      <c r="CB818" s="276"/>
      <c r="CC818" s="276"/>
      <c r="CD818" s="276"/>
      <c r="CH818" s="276"/>
      <c r="CJ818" s="276"/>
      <c r="CK818" s="276"/>
      <c r="CL818" s="276"/>
      <c r="CM818" s="276"/>
      <c r="CN818" s="276"/>
      <c r="CO818" s="276"/>
      <c r="CP818" s="276"/>
      <c r="CQ818" s="276"/>
      <c r="CU818" s="276"/>
    </row>
    <row r="819" spans="75:99" ht="15.75">
      <c r="BW819" s="276"/>
      <c r="BY819" s="276"/>
      <c r="BZ819" s="276"/>
      <c r="CA819" s="276"/>
      <c r="CB819" s="276"/>
      <c r="CC819" s="276"/>
      <c r="CD819" s="276"/>
      <c r="CH819" s="276"/>
      <c r="CJ819" s="276"/>
      <c r="CK819" s="276"/>
      <c r="CL819" s="276"/>
      <c r="CM819" s="276"/>
      <c r="CN819" s="276"/>
      <c r="CO819" s="276"/>
      <c r="CP819" s="276"/>
      <c r="CQ819" s="276"/>
      <c r="CU819" s="276"/>
    </row>
    <row r="820" spans="75:99" ht="15.75">
      <c r="BW820" s="276"/>
      <c r="BY820" s="276"/>
      <c r="BZ820" s="276"/>
      <c r="CA820" s="276"/>
      <c r="CB820" s="276"/>
      <c r="CC820" s="276"/>
      <c r="CD820" s="276"/>
      <c r="CH820" s="276"/>
      <c r="CJ820" s="276"/>
      <c r="CK820" s="276"/>
      <c r="CL820" s="276"/>
      <c r="CM820" s="276"/>
      <c r="CN820" s="276"/>
      <c r="CO820" s="276"/>
      <c r="CP820" s="276"/>
      <c r="CQ820" s="276"/>
      <c r="CU820" s="276"/>
    </row>
    <row r="821" spans="75:99" ht="15.75">
      <c r="BW821" s="276"/>
      <c r="BY821" s="276"/>
      <c r="BZ821" s="276"/>
      <c r="CA821" s="276"/>
      <c r="CB821" s="276"/>
      <c r="CC821" s="276"/>
      <c r="CD821" s="276"/>
      <c r="CH821" s="276"/>
      <c r="CJ821" s="276"/>
      <c r="CK821" s="276"/>
      <c r="CL821" s="276"/>
      <c r="CM821" s="276"/>
      <c r="CN821" s="276"/>
      <c r="CO821" s="276"/>
      <c r="CP821" s="276"/>
      <c r="CQ821" s="276"/>
      <c r="CU821" s="276"/>
    </row>
    <row r="822" spans="75:99" ht="15.75">
      <c r="BW822" s="276"/>
      <c r="BY822" s="276"/>
      <c r="BZ822" s="276"/>
      <c r="CA822" s="276"/>
      <c r="CB822" s="276"/>
      <c r="CC822" s="276"/>
      <c r="CD822" s="276"/>
      <c r="CH822" s="276"/>
      <c r="CJ822" s="276"/>
      <c r="CK822" s="276"/>
      <c r="CL822" s="276"/>
      <c r="CM822" s="276"/>
      <c r="CN822" s="276"/>
      <c r="CO822" s="276"/>
      <c r="CP822" s="276"/>
      <c r="CQ822" s="276"/>
      <c r="CU822" s="276"/>
    </row>
    <row r="823" spans="75:99" ht="15.75">
      <c r="BW823" s="276"/>
      <c r="BY823" s="276"/>
      <c r="BZ823" s="276"/>
      <c r="CA823" s="276"/>
      <c r="CB823" s="276"/>
      <c r="CC823" s="276"/>
      <c r="CD823" s="276"/>
      <c r="CH823" s="276"/>
      <c r="CJ823" s="276"/>
      <c r="CK823" s="276"/>
      <c r="CL823" s="276"/>
      <c r="CM823" s="276"/>
      <c r="CN823" s="276"/>
      <c r="CO823" s="276"/>
      <c r="CP823" s="276"/>
      <c r="CQ823" s="276"/>
      <c r="CU823" s="276"/>
    </row>
    <row r="824" spans="75:99" ht="15.75">
      <c r="BW824" s="276"/>
      <c r="BY824" s="276"/>
      <c r="BZ824" s="276"/>
      <c r="CA824" s="276"/>
      <c r="CB824" s="276"/>
      <c r="CC824" s="276"/>
      <c r="CD824" s="276"/>
      <c r="CH824" s="276"/>
      <c r="CJ824" s="276"/>
      <c r="CK824" s="276"/>
      <c r="CL824" s="276"/>
      <c r="CM824" s="276"/>
      <c r="CN824" s="276"/>
      <c r="CO824" s="276"/>
      <c r="CP824" s="276"/>
      <c r="CQ824" s="276"/>
      <c r="CU824" s="276"/>
    </row>
    <row r="825" spans="75:99" ht="15.75">
      <c r="BW825" s="276"/>
      <c r="BY825" s="276"/>
      <c r="BZ825" s="276"/>
      <c r="CA825" s="276"/>
      <c r="CB825" s="276"/>
      <c r="CC825" s="276"/>
      <c r="CD825" s="276"/>
      <c r="CH825" s="276"/>
      <c r="CJ825" s="276"/>
      <c r="CK825" s="276"/>
      <c r="CL825" s="276"/>
      <c r="CM825" s="276"/>
      <c r="CN825" s="276"/>
      <c r="CO825" s="276"/>
      <c r="CP825" s="276"/>
      <c r="CQ825" s="276"/>
      <c r="CU825" s="276"/>
    </row>
    <row r="826" spans="75:99" ht="15.75">
      <c r="BW826" s="276"/>
      <c r="BY826" s="276"/>
      <c r="BZ826" s="276"/>
      <c r="CA826" s="276"/>
      <c r="CB826" s="276"/>
      <c r="CC826" s="276"/>
      <c r="CD826" s="276"/>
      <c r="CH826" s="276"/>
      <c r="CJ826" s="276"/>
      <c r="CK826" s="276"/>
      <c r="CL826" s="276"/>
      <c r="CM826" s="276"/>
      <c r="CN826" s="276"/>
      <c r="CO826" s="276"/>
      <c r="CP826" s="276"/>
      <c r="CQ826" s="276"/>
      <c r="CU826" s="276"/>
    </row>
    <row r="827" spans="75:99" ht="15.75">
      <c r="BW827" s="276"/>
      <c r="BY827" s="276"/>
      <c r="BZ827" s="276"/>
      <c r="CA827" s="276"/>
      <c r="CB827" s="276"/>
      <c r="CC827" s="276"/>
      <c r="CD827" s="276"/>
      <c r="CH827" s="276"/>
      <c r="CJ827" s="276"/>
      <c r="CK827" s="276"/>
      <c r="CL827" s="276"/>
      <c r="CM827" s="276"/>
      <c r="CN827" s="276"/>
      <c r="CO827" s="276"/>
      <c r="CP827" s="276"/>
      <c r="CQ827" s="276"/>
      <c r="CU827" s="276"/>
    </row>
    <row r="828" spans="75:99" ht="15.75">
      <c r="BW828" s="276"/>
      <c r="BY828" s="276"/>
      <c r="BZ828" s="276"/>
      <c r="CA828" s="276"/>
      <c r="CB828" s="276"/>
      <c r="CC828" s="276"/>
      <c r="CD828" s="276"/>
      <c r="CH828" s="276"/>
      <c r="CJ828" s="276"/>
      <c r="CK828" s="276"/>
      <c r="CL828" s="276"/>
      <c r="CM828" s="276"/>
      <c r="CN828" s="276"/>
      <c r="CO828" s="276"/>
      <c r="CP828" s="276"/>
      <c r="CQ828" s="276"/>
      <c r="CU828" s="276"/>
    </row>
    <row r="829" spans="75:99" ht="15.75">
      <c r="BW829" s="276"/>
      <c r="BY829" s="276"/>
      <c r="BZ829" s="276"/>
      <c r="CA829" s="276"/>
      <c r="CB829" s="276"/>
      <c r="CC829" s="276"/>
      <c r="CD829" s="276"/>
      <c r="CH829" s="276"/>
      <c r="CJ829" s="276"/>
      <c r="CK829" s="276"/>
      <c r="CL829" s="276"/>
      <c r="CM829" s="276"/>
      <c r="CN829" s="276"/>
      <c r="CO829" s="276"/>
      <c r="CP829" s="276"/>
      <c r="CQ829" s="276"/>
      <c r="CU829" s="276"/>
    </row>
    <row r="830" spans="75:99" ht="15.75">
      <c r="BW830" s="276"/>
      <c r="BY830" s="276"/>
      <c r="BZ830" s="276"/>
      <c r="CA830" s="276"/>
      <c r="CB830" s="276"/>
      <c r="CC830" s="276"/>
      <c r="CD830" s="276"/>
      <c r="CH830" s="276"/>
      <c r="CJ830" s="276"/>
      <c r="CK830" s="276"/>
      <c r="CL830" s="276"/>
      <c r="CM830" s="276"/>
      <c r="CN830" s="276"/>
      <c r="CO830" s="276"/>
      <c r="CP830" s="276"/>
      <c r="CQ830" s="276"/>
      <c r="CU830" s="276"/>
    </row>
    <row r="831" spans="75:99" ht="15.75">
      <c r="BW831" s="276"/>
      <c r="BY831" s="276"/>
      <c r="BZ831" s="276"/>
      <c r="CA831" s="276"/>
      <c r="CB831" s="276"/>
      <c r="CC831" s="276"/>
      <c r="CD831" s="276"/>
      <c r="CH831" s="276"/>
      <c r="CJ831" s="276"/>
      <c r="CK831" s="276"/>
      <c r="CL831" s="276"/>
      <c r="CM831" s="276"/>
      <c r="CN831" s="276"/>
      <c r="CO831" s="276"/>
      <c r="CP831" s="276"/>
      <c r="CQ831" s="276"/>
      <c r="CU831" s="276"/>
    </row>
    <row r="832" spans="75:99" ht="15.75">
      <c r="BW832" s="276"/>
      <c r="BY832" s="276"/>
      <c r="BZ832" s="276"/>
      <c r="CA832" s="276"/>
      <c r="CB832" s="276"/>
      <c r="CC832" s="276"/>
      <c r="CD832" s="276"/>
      <c r="CH832" s="276"/>
      <c r="CJ832" s="276"/>
      <c r="CK832" s="276"/>
      <c r="CL832" s="276"/>
      <c r="CM832" s="276"/>
      <c r="CN832" s="276"/>
      <c r="CO832" s="276"/>
      <c r="CP832" s="276"/>
      <c r="CQ832" s="276"/>
      <c r="CU832" s="276"/>
    </row>
    <row r="833" spans="75:99" ht="15.75">
      <c r="BW833" s="276"/>
      <c r="BY833" s="276"/>
      <c r="BZ833" s="276"/>
      <c r="CA833" s="276"/>
      <c r="CB833" s="276"/>
      <c r="CC833" s="276"/>
      <c r="CD833" s="276"/>
      <c r="CH833" s="276"/>
      <c r="CJ833" s="276"/>
      <c r="CK833" s="276"/>
      <c r="CL833" s="276"/>
      <c r="CM833" s="276"/>
      <c r="CN833" s="276"/>
      <c r="CO833" s="276"/>
      <c r="CP833" s="276"/>
      <c r="CQ833" s="276"/>
      <c r="CU833" s="276"/>
    </row>
    <row r="834" spans="75:99" ht="15.75">
      <c r="BW834" s="276"/>
      <c r="BY834" s="276"/>
      <c r="BZ834" s="276"/>
      <c r="CA834" s="276"/>
      <c r="CB834" s="276"/>
      <c r="CC834" s="276"/>
      <c r="CD834" s="276"/>
      <c r="CH834" s="276"/>
      <c r="CJ834" s="276"/>
      <c r="CK834" s="276"/>
      <c r="CL834" s="276"/>
      <c r="CM834" s="276"/>
      <c r="CN834" s="276"/>
      <c r="CO834" s="276"/>
      <c r="CP834" s="276"/>
      <c r="CQ834" s="276"/>
      <c r="CU834" s="276"/>
    </row>
    <row r="835" spans="75:99" ht="15.75">
      <c r="BW835" s="276"/>
      <c r="BY835" s="276"/>
      <c r="BZ835" s="276"/>
      <c r="CA835" s="276"/>
      <c r="CB835" s="276"/>
      <c r="CC835" s="276"/>
      <c r="CD835" s="276"/>
      <c r="CH835" s="276"/>
      <c r="CJ835" s="276"/>
      <c r="CK835" s="276"/>
      <c r="CL835" s="276"/>
      <c r="CM835" s="276"/>
      <c r="CN835" s="276"/>
      <c r="CO835" s="276"/>
      <c r="CP835" s="276"/>
      <c r="CQ835" s="276"/>
      <c r="CU835" s="276"/>
    </row>
    <row r="836" spans="75:99" ht="15.75">
      <c r="BW836" s="276"/>
      <c r="BY836" s="276"/>
      <c r="BZ836" s="276"/>
      <c r="CA836" s="276"/>
      <c r="CB836" s="276"/>
      <c r="CC836" s="276"/>
      <c r="CD836" s="276"/>
      <c r="CH836" s="276"/>
      <c r="CJ836" s="276"/>
      <c r="CK836" s="276"/>
      <c r="CL836" s="276"/>
      <c r="CM836" s="276"/>
      <c r="CN836" s="276"/>
      <c r="CO836" s="276"/>
      <c r="CP836" s="276"/>
      <c r="CQ836" s="276"/>
      <c r="CU836" s="276"/>
    </row>
    <row r="837" spans="75:99" ht="15.75">
      <c r="BW837" s="276"/>
      <c r="BY837" s="276"/>
      <c r="BZ837" s="276"/>
      <c r="CA837" s="276"/>
      <c r="CB837" s="276"/>
      <c r="CC837" s="276"/>
      <c r="CD837" s="276"/>
      <c r="CH837" s="276"/>
      <c r="CJ837" s="276"/>
      <c r="CK837" s="276"/>
      <c r="CL837" s="276"/>
      <c r="CM837" s="276"/>
      <c r="CN837" s="276"/>
      <c r="CO837" s="276"/>
      <c r="CP837" s="276"/>
      <c r="CQ837" s="276"/>
      <c r="CU837" s="276"/>
    </row>
    <row r="838" spans="75:99" ht="15.75">
      <c r="BW838" s="276"/>
      <c r="BY838" s="276"/>
      <c r="BZ838" s="276"/>
      <c r="CA838" s="276"/>
      <c r="CB838" s="276"/>
      <c r="CC838" s="276"/>
      <c r="CD838" s="276"/>
      <c r="CH838" s="276"/>
      <c r="CJ838" s="276"/>
      <c r="CK838" s="276"/>
      <c r="CL838" s="276"/>
      <c r="CM838" s="276"/>
      <c r="CN838" s="276"/>
      <c r="CO838" s="276"/>
      <c r="CP838" s="276"/>
      <c r="CQ838" s="276"/>
      <c r="CU838" s="276"/>
    </row>
    <row r="839" spans="75:99" ht="15.75">
      <c r="BW839" s="276"/>
      <c r="BY839" s="276"/>
      <c r="BZ839" s="276"/>
      <c r="CA839" s="276"/>
      <c r="CB839" s="276"/>
      <c r="CC839" s="276"/>
      <c r="CD839" s="276"/>
      <c r="CH839" s="276"/>
      <c r="CJ839" s="276"/>
      <c r="CK839" s="276"/>
      <c r="CL839" s="276"/>
      <c r="CM839" s="276"/>
      <c r="CN839" s="276"/>
      <c r="CO839" s="276"/>
      <c r="CP839" s="276"/>
      <c r="CQ839" s="276"/>
      <c r="CU839" s="276"/>
    </row>
    <row r="840" spans="75:99" ht="15.75">
      <c r="BW840" s="276"/>
      <c r="BY840" s="276"/>
      <c r="BZ840" s="276"/>
      <c r="CA840" s="276"/>
      <c r="CB840" s="276"/>
      <c r="CC840" s="276"/>
      <c r="CD840" s="276"/>
      <c r="CH840" s="276"/>
      <c r="CJ840" s="276"/>
      <c r="CK840" s="276"/>
      <c r="CL840" s="276"/>
      <c r="CM840" s="276"/>
      <c r="CN840" s="276"/>
      <c r="CO840" s="276"/>
      <c r="CP840" s="276"/>
      <c r="CQ840" s="276"/>
      <c r="CU840" s="276"/>
    </row>
    <row r="841" spans="75:99" ht="15.75">
      <c r="BW841" s="276"/>
      <c r="BY841" s="276"/>
      <c r="BZ841" s="276"/>
      <c r="CA841" s="276"/>
      <c r="CB841" s="276"/>
      <c r="CC841" s="276"/>
      <c r="CD841" s="276"/>
      <c r="CH841" s="276"/>
      <c r="CJ841" s="276"/>
      <c r="CK841" s="276"/>
      <c r="CL841" s="276"/>
      <c r="CM841" s="276"/>
      <c r="CN841" s="276"/>
      <c r="CO841" s="276"/>
      <c r="CP841" s="276"/>
      <c r="CQ841" s="276"/>
      <c r="CU841" s="276"/>
    </row>
    <row r="842" spans="75:99" ht="15.75">
      <c r="BW842" s="276"/>
      <c r="BY842" s="276"/>
      <c r="BZ842" s="276"/>
      <c r="CA842" s="276"/>
      <c r="CB842" s="276"/>
      <c r="CC842" s="276"/>
      <c r="CD842" s="276"/>
      <c r="CH842" s="276"/>
      <c r="CJ842" s="276"/>
      <c r="CK842" s="276"/>
      <c r="CL842" s="276"/>
      <c r="CM842" s="276"/>
      <c r="CN842" s="276"/>
      <c r="CO842" s="276"/>
      <c r="CP842" s="276"/>
      <c r="CQ842" s="276"/>
      <c r="CU842" s="276"/>
    </row>
    <row r="843" spans="75:99" ht="15.75">
      <c r="BW843" s="276"/>
      <c r="BY843" s="276"/>
      <c r="BZ843" s="276"/>
      <c r="CA843" s="276"/>
      <c r="CB843" s="276"/>
      <c r="CC843" s="276"/>
      <c r="CD843" s="276"/>
      <c r="CH843" s="276"/>
      <c r="CJ843" s="276"/>
      <c r="CK843" s="276"/>
      <c r="CL843" s="276"/>
      <c r="CM843" s="276"/>
      <c r="CN843" s="276"/>
      <c r="CO843" s="276"/>
      <c r="CP843" s="276"/>
      <c r="CQ843" s="276"/>
      <c r="CU843" s="276"/>
    </row>
    <row r="844" spans="75:99" ht="15.75">
      <c r="BW844" s="276"/>
      <c r="BY844" s="276"/>
      <c r="BZ844" s="276"/>
      <c r="CA844" s="276"/>
      <c r="CB844" s="276"/>
      <c r="CC844" s="276"/>
      <c r="CD844" s="276"/>
      <c r="CH844" s="276"/>
      <c r="CJ844" s="276"/>
      <c r="CK844" s="276"/>
      <c r="CL844" s="276"/>
      <c r="CM844" s="276"/>
      <c r="CN844" s="276"/>
      <c r="CO844" s="276"/>
      <c r="CP844" s="276"/>
      <c r="CQ844" s="276"/>
      <c r="CU844" s="276"/>
    </row>
    <row r="845" spans="75:99" ht="15.75">
      <c r="BW845" s="276"/>
      <c r="BY845" s="276"/>
      <c r="BZ845" s="276"/>
      <c r="CA845" s="276"/>
      <c r="CB845" s="276"/>
      <c r="CC845" s="276"/>
      <c r="CD845" s="276"/>
      <c r="CH845" s="276"/>
      <c r="CJ845" s="276"/>
      <c r="CK845" s="276"/>
      <c r="CL845" s="276"/>
      <c r="CM845" s="276"/>
      <c r="CN845" s="276"/>
      <c r="CO845" s="276"/>
      <c r="CP845" s="276"/>
      <c r="CQ845" s="276"/>
      <c r="CU845" s="276"/>
    </row>
    <row r="846" spans="75:99" ht="15.75">
      <c r="BW846" s="276"/>
      <c r="BY846" s="276"/>
      <c r="BZ846" s="276"/>
      <c r="CA846" s="276"/>
      <c r="CB846" s="276"/>
      <c r="CC846" s="276"/>
      <c r="CD846" s="276"/>
      <c r="CH846" s="276"/>
      <c r="CJ846" s="276"/>
      <c r="CK846" s="276"/>
      <c r="CL846" s="276"/>
      <c r="CM846" s="276"/>
      <c r="CN846" s="276"/>
      <c r="CO846" s="276"/>
      <c r="CP846" s="276"/>
      <c r="CQ846" s="276"/>
      <c r="CU846" s="276"/>
    </row>
    <row r="847" spans="75:99" ht="15.75">
      <c r="BW847" s="276"/>
      <c r="BY847" s="276"/>
      <c r="BZ847" s="276"/>
      <c r="CA847" s="276"/>
      <c r="CB847" s="276"/>
      <c r="CC847" s="276"/>
      <c r="CD847" s="276"/>
      <c r="CH847" s="276"/>
      <c r="CJ847" s="276"/>
      <c r="CK847" s="276"/>
      <c r="CL847" s="276"/>
      <c r="CM847" s="276"/>
      <c r="CN847" s="276"/>
      <c r="CO847" s="276"/>
      <c r="CP847" s="276"/>
      <c r="CQ847" s="276"/>
      <c r="CU847" s="276"/>
    </row>
    <row r="848" spans="75:99" ht="15.75">
      <c r="BW848" s="276"/>
      <c r="BY848" s="276"/>
      <c r="BZ848" s="276"/>
      <c r="CA848" s="276"/>
      <c r="CB848" s="276"/>
      <c r="CC848" s="276"/>
      <c r="CD848" s="276"/>
      <c r="CH848" s="276"/>
      <c r="CJ848" s="276"/>
      <c r="CK848" s="276"/>
      <c r="CL848" s="276"/>
      <c r="CM848" s="276"/>
      <c r="CN848" s="276"/>
      <c r="CO848" s="276"/>
      <c r="CP848" s="276"/>
      <c r="CQ848" s="276"/>
      <c r="CU848" s="276"/>
    </row>
    <row r="849" spans="75:99" ht="15.75">
      <c r="BW849" s="276"/>
      <c r="BY849" s="276"/>
      <c r="BZ849" s="276"/>
      <c r="CA849" s="276"/>
      <c r="CB849" s="276"/>
      <c r="CC849" s="276"/>
      <c r="CD849" s="276"/>
      <c r="CH849" s="276"/>
      <c r="CJ849" s="276"/>
      <c r="CK849" s="276"/>
      <c r="CL849" s="276"/>
      <c r="CM849" s="276"/>
      <c r="CN849" s="276"/>
      <c r="CO849" s="276"/>
      <c r="CP849" s="276"/>
      <c r="CQ849" s="276"/>
      <c r="CU849" s="276"/>
    </row>
    <row r="850" spans="75:99" ht="15.75">
      <c r="BW850" s="276"/>
      <c r="BY850" s="276"/>
      <c r="BZ850" s="276"/>
      <c r="CA850" s="276"/>
      <c r="CB850" s="276"/>
      <c r="CC850" s="276"/>
      <c r="CD850" s="276"/>
      <c r="CH850" s="276"/>
      <c r="CJ850" s="276"/>
      <c r="CK850" s="276"/>
      <c r="CL850" s="276"/>
      <c r="CM850" s="276"/>
      <c r="CN850" s="276"/>
      <c r="CO850" s="276"/>
      <c r="CP850" s="276"/>
      <c r="CQ850" s="276"/>
      <c r="CU850" s="276"/>
    </row>
    <row r="851" spans="75:99" ht="15.75">
      <c r="BW851" s="276"/>
      <c r="BY851" s="276"/>
      <c r="BZ851" s="276"/>
      <c r="CA851" s="276"/>
      <c r="CB851" s="276"/>
      <c r="CC851" s="276"/>
      <c r="CD851" s="276"/>
      <c r="CH851" s="276"/>
      <c r="CJ851" s="276"/>
      <c r="CK851" s="276"/>
      <c r="CL851" s="276"/>
      <c r="CM851" s="276"/>
      <c r="CN851" s="276"/>
      <c r="CO851" s="276"/>
      <c r="CP851" s="276"/>
      <c r="CQ851" s="276"/>
      <c r="CU851" s="276"/>
    </row>
    <row r="852" spans="75:99" ht="15.75">
      <c r="BW852" s="276"/>
      <c r="BY852" s="276"/>
      <c r="BZ852" s="276"/>
      <c r="CA852" s="276"/>
      <c r="CB852" s="276"/>
      <c r="CC852" s="276"/>
      <c r="CD852" s="276"/>
      <c r="CH852" s="276"/>
      <c r="CJ852" s="276"/>
      <c r="CK852" s="276"/>
      <c r="CL852" s="276"/>
      <c r="CM852" s="276"/>
      <c r="CN852" s="276"/>
      <c r="CO852" s="276"/>
      <c r="CP852" s="276"/>
      <c r="CQ852" s="276"/>
      <c r="CU852" s="276"/>
    </row>
    <row r="853" spans="75:99" ht="15.75">
      <c r="BW853" s="276"/>
      <c r="BY853" s="276"/>
      <c r="BZ853" s="276"/>
      <c r="CA853" s="276"/>
      <c r="CB853" s="276"/>
      <c r="CC853" s="276"/>
      <c r="CD853" s="276"/>
      <c r="CH853" s="276"/>
      <c r="CJ853" s="276"/>
      <c r="CK853" s="276"/>
      <c r="CL853" s="276"/>
      <c r="CM853" s="276"/>
      <c r="CN853" s="276"/>
      <c r="CO853" s="276"/>
      <c r="CP853" s="276"/>
      <c r="CQ853" s="276"/>
      <c r="CU853" s="276"/>
    </row>
    <row r="854" spans="75:99" ht="15.75">
      <c r="BW854" s="276"/>
      <c r="BY854" s="276"/>
      <c r="BZ854" s="276"/>
      <c r="CA854" s="276"/>
      <c r="CB854" s="276"/>
      <c r="CC854" s="276"/>
      <c r="CD854" s="276"/>
      <c r="CH854" s="276"/>
      <c r="CJ854" s="276"/>
      <c r="CK854" s="276"/>
      <c r="CL854" s="276"/>
      <c r="CM854" s="276"/>
      <c r="CN854" s="276"/>
      <c r="CO854" s="276"/>
      <c r="CP854" s="276"/>
      <c r="CQ854" s="276"/>
      <c r="CU854" s="276"/>
    </row>
    <row r="855" spans="75:99" ht="15.75">
      <c r="BW855" s="276"/>
      <c r="BY855" s="276"/>
      <c r="BZ855" s="276"/>
      <c r="CA855" s="276"/>
      <c r="CB855" s="276"/>
      <c r="CC855" s="276"/>
      <c r="CD855" s="276"/>
      <c r="CH855" s="276"/>
      <c r="CJ855" s="276"/>
      <c r="CK855" s="276"/>
      <c r="CL855" s="276"/>
      <c r="CM855" s="276"/>
      <c r="CN855" s="276"/>
      <c r="CO855" s="276"/>
      <c r="CP855" s="276"/>
      <c r="CQ855" s="276"/>
      <c r="CU855" s="276"/>
    </row>
    <row r="856" spans="75:99" ht="15.75">
      <c r="BW856" s="276"/>
      <c r="BY856" s="276"/>
      <c r="BZ856" s="276"/>
      <c r="CA856" s="276"/>
      <c r="CB856" s="276"/>
      <c r="CC856" s="276"/>
      <c r="CD856" s="276"/>
      <c r="CH856" s="276"/>
      <c r="CJ856" s="276"/>
      <c r="CK856" s="276"/>
      <c r="CL856" s="276"/>
      <c r="CM856" s="276"/>
      <c r="CN856" s="276"/>
      <c r="CO856" s="276"/>
      <c r="CP856" s="276"/>
      <c r="CQ856" s="276"/>
      <c r="CU856" s="276"/>
    </row>
    <row r="857" spans="75:99" ht="15.75">
      <c r="BW857" s="276"/>
      <c r="BY857" s="276"/>
      <c r="BZ857" s="276"/>
      <c r="CA857" s="276"/>
      <c r="CB857" s="276"/>
      <c r="CC857" s="276"/>
      <c r="CD857" s="276"/>
      <c r="CH857" s="276"/>
      <c r="CJ857" s="276"/>
      <c r="CK857" s="276"/>
      <c r="CL857" s="276"/>
      <c r="CM857" s="276"/>
      <c r="CN857" s="276"/>
      <c r="CO857" s="276"/>
      <c r="CP857" s="276"/>
      <c r="CQ857" s="276"/>
      <c r="CU857" s="276"/>
    </row>
    <row r="858" spans="75:99" ht="15.75">
      <c r="BW858" s="276"/>
      <c r="BY858" s="276"/>
      <c r="BZ858" s="276"/>
      <c r="CA858" s="276"/>
      <c r="CB858" s="276"/>
      <c r="CC858" s="276"/>
      <c r="CD858" s="276"/>
      <c r="CH858" s="276"/>
      <c r="CJ858" s="276"/>
      <c r="CK858" s="276"/>
      <c r="CL858" s="276"/>
      <c r="CM858" s="276"/>
      <c r="CN858" s="276"/>
      <c r="CO858" s="276"/>
      <c r="CP858" s="276"/>
      <c r="CQ858" s="276"/>
      <c r="CU858" s="276"/>
    </row>
    <row r="859" spans="75:99" ht="15.75">
      <c r="BW859" s="276"/>
      <c r="BY859" s="276"/>
      <c r="BZ859" s="276"/>
      <c r="CA859" s="276"/>
      <c r="CB859" s="276"/>
      <c r="CC859" s="276"/>
      <c r="CD859" s="276"/>
      <c r="CH859" s="276"/>
      <c r="CJ859" s="276"/>
      <c r="CK859" s="276"/>
      <c r="CL859" s="276"/>
      <c r="CM859" s="276"/>
      <c r="CN859" s="276"/>
      <c r="CO859" s="276"/>
      <c r="CP859" s="276"/>
      <c r="CQ859" s="276"/>
      <c r="CU859" s="276"/>
    </row>
    <row r="860" spans="75:99" ht="15.75">
      <c r="BW860" s="276"/>
      <c r="BY860" s="276"/>
      <c r="BZ860" s="276"/>
      <c r="CA860" s="276"/>
      <c r="CB860" s="276"/>
      <c r="CC860" s="276"/>
      <c r="CD860" s="276"/>
      <c r="CH860" s="276"/>
      <c r="CJ860" s="276"/>
      <c r="CK860" s="276"/>
      <c r="CL860" s="276"/>
      <c r="CM860" s="276"/>
      <c r="CN860" s="276"/>
      <c r="CO860" s="276"/>
      <c r="CP860" s="276"/>
      <c r="CQ860" s="276"/>
      <c r="CU860" s="276"/>
    </row>
    <row r="861" spans="75:99" ht="15.75">
      <c r="BW861" s="276"/>
      <c r="BY861" s="276"/>
      <c r="BZ861" s="276"/>
      <c r="CA861" s="276"/>
      <c r="CB861" s="276"/>
      <c r="CC861" s="276"/>
      <c r="CD861" s="276"/>
      <c r="CH861" s="276"/>
      <c r="CJ861" s="276"/>
      <c r="CK861" s="276"/>
      <c r="CL861" s="276"/>
      <c r="CM861" s="276"/>
      <c r="CN861" s="276"/>
      <c r="CO861" s="276"/>
      <c r="CP861" s="276"/>
      <c r="CQ861" s="276"/>
      <c r="CU861" s="276"/>
    </row>
    <row r="862" spans="75:99" ht="15.75">
      <c r="BW862" s="276"/>
      <c r="BY862" s="276"/>
      <c r="BZ862" s="276"/>
      <c r="CA862" s="276"/>
      <c r="CB862" s="276"/>
      <c r="CC862" s="276"/>
      <c r="CD862" s="276"/>
      <c r="CH862" s="276"/>
      <c r="CJ862" s="276"/>
      <c r="CK862" s="276"/>
      <c r="CL862" s="276"/>
      <c r="CM862" s="276"/>
      <c r="CN862" s="276"/>
      <c r="CO862" s="276"/>
      <c r="CP862" s="276"/>
      <c r="CQ862" s="276"/>
      <c r="CU862" s="276"/>
    </row>
    <row r="863" spans="75:99" ht="15.75">
      <c r="BW863" s="276"/>
      <c r="BY863" s="276"/>
      <c r="BZ863" s="276"/>
      <c r="CA863" s="276"/>
      <c r="CB863" s="276"/>
      <c r="CC863" s="276"/>
      <c r="CD863" s="276"/>
      <c r="CH863" s="276"/>
      <c r="CJ863" s="276"/>
      <c r="CK863" s="276"/>
      <c r="CL863" s="276"/>
      <c r="CM863" s="276"/>
      <c r="CN863" s="276"/>
      <c r="CO863" s="276"/>
      <c r="CP863" s="276"/>
      <c r="CQ863" s="276"/>
      <c r="CU863" s="276"/>
    </row>
    <row r="864" spans="75:99" ht="15.75">
      <c r="BW864" s="276"/>
      <c r="BY864" s="276"/>
      <c r="BZ864" s="276"/>
      <c r="CA864" s="276"/>
      <c r="CB864" s="276"/>
      <c r="CC864" s="276"/>
      <c r="CD864" s="276"/>
      <c r="CH864" s="276"/>
      <c r="CJ864" s="276"/>
      <c r="CK864" s="276"/>
      <c r="CL864" s="276"/>
      <c r="CM864" s="276"/>
      <c r="CN864" s="276"/>
      <c r="CO864" s="276"/>
      <c r="CP864" s="276"/>
      <c r="CQ864" s="276"/>
      <c r="CU864" s="276"/>
    </row>
    <row r="865" spans="75:99" ht="15.75">
      <c r="BW865" s="276"/>
      <c r="BY865" s="276"/>
      <c r="BZ865" s="276"/>
      <c r="CA865" s="276"/>
      <c r="CB865" s="276"/>
      <c r="CC865" s="276"/>
      <c r="CD865" s="276"/>
      <c r="CH865" s="276"/>
      <c r="CJ865" s="276"/>
      <c r="CK865" s="276"/>
      <c r="CL865" s="276"/>
      <c r="CM865" s="276"/>
      <c r="CN865" s="276"/>
      <c r="CO865" s="276"/>
      <c r="CP865" s="276"/>
      <c r="CQ865" s="276"/>
      <c r="CU865" s="276"/>
    </row>
    <row r="866" spans="75:99" ht="15.75">
      <c r="BW866" s="276"/>
      <c r="BY866" s="276"/>
      <c r="BZ866" s="276"/>
      <c r="CA866" s="276"/>
      <c r="CB866" s="276"/>
      <c r="CC866" s="276"/>
      <c r="CD866" s="276"/>
      <c r="CH866" s="276"/>
      <c r="CJ866" s="276"/>
      <c r="CK866" s="276"/>
      <c r="CL866" s="276"/>
      <c r="CM866" s="276"/>
      <c r="CN866" s="276"/>
      <c r="CO866" s="276"/>
      <c r="CP866" s="276"/>
      <c r="CQ866" s="276"/>
      <c r="CU866" s="276"/>
    </row>
    <row r="867" spans="75:99" ht="15.75">
      <c r="BW867" s="276"/>
      <c r="BY867" s="276"/>
      <c r="BZ867" s="276"/>
      <c r="CA867" s="276"/>
      <c r="CB867" s="276"/>
      <c r="CC867" s="276"/>
      <c r="CD867" s="276"/>
      <c r="CH867" s="276"/>
      <c r="CJ867" s="276"/>
      <c r="CK867" s="276"/>
      <c r="CL867" s="276"/>
      <c r="CM867" s="276"/>
      <c r="CN867" s="276"/>
      <c r="CO867" s="276"/>
      <c r="CP867" s="276"/>
      <c r="CQ867" s="276"/>
      <c r="CU867" s="276"/>
    </row>
    <row r="868" spans="75:99" ht="15.75">
      <c r="BW868" s="276"/>
      <c r="BY868" s="276"/>
      <c r="BZ868" s="276"/>
      <c r="CA868" s="276"/>
      <c r="CB868" s="276"/>
      <c r="CC868" s="276"/>
      <c r="CD868" s="276"/>
      <c r="CH868" s="276"/>
      <c r="CJ868" s="276"/>
      <c r="CK868" s="276"/>
      <c r="CL868" s="276"/>
      <c r="CM868" s="276"/>
      <c r="CN868" s="276"/>
      <c r="CO868" s="276"/>
      <c r="CP868" s="276"/>
      <c r="CQ868" s="276"/>
      <c r="CU868" s="276"/>
    </row>
    <row r="869" spans="75:99" ht="15.75">
      <c r="BW869" s="276"/>
      <c r="BY869" s="276"/>
      <c r="BZ869" s="276"/>
      <c r="CA869" s="276"/>
      <c r="CB869" s="276"/>
      <c r="CC869" s="276"/>
      <c r="CD869" s="276"/>
      <c r="CH869" s="276"/>
      <c r="CJ869" s="276"/>
      <c r="CK869" s="276"/>
      <c r="CL869" s="276"/>
      <c r="CM869" s="276"/>
      <c r="CN869" s="276"/>
      <c r="CO869" s="276"/>
      <c r="CP869" s="276"/>
      <c r="CQ869" s="276"/>
      <c r="CU869" s="276"/>
    </row>
    <row r="870" spans="75:99" ht="15.75">
      <c r="BW870" s="276"/>
      <c r="BY870" s="276"/>
      <c r="BZ870" s="276"/>
      <c r="CA870" s="276"/>
      <c r="CB870" s="276"/>
      <c r="CC870" s="276"/>
      <c r="CD870" s="276"/>
      <c r="CH870" s="276"/>
      <c r="CJ870" s="276"/>
      <c r="CK870" s="276"/>
      <c r="CL870" s="276"/>
      <c r="CM870" s="276"/>
      <c r="CN870" s="276"/>
      <c r="CO870" s="276"/>
      <c r="CP870" s="276"/>
      <c r="CQ870" s="276"/>
      <c r="CU870" s="276"/>
    </row>
    <row r="871" spans="75:99" ht="15.75">
      <c r="BW871" s="276"/>
      <c r="BY871" s="276"/>
      <c r="BZ871" s="276"/>
      <c r="CA871" s="276"/>
      <c r="CB871" s="276"/>
      <c r="CC871" s="276"/>
      <c r="CD871" s="276"/>
      <c r="CH871" s="276"/>
      <c r="CJ871" s="276"/>
      <c r="CK871" s="276"/>
      <c r="CL871" s="276"/>
      <c r="CM871" s="276"/>
      <c r="CN871" s="276"/>
      <c r="CO871" s="276"/>
      <c r="CP871" s="276"/>
      <c r="CQ871" s="276"/>
      <c r="CU871" s="276"/>
    </row>
    <row r="872" spans="75:99" ht="15.75">
      <c r="BW872" s="276"/>
      <c r="BY872" s="276"/>
      <c r="BZ872" s="276"/>
      <c r="CA872" s="276"/>
      <c r="CB872" s="276"/>
      <c r="CC872" s="276"/>
      <c r="CD872" s="276"/>
      <c r="CH872" s="276"/>
      <c r="CJ872" s="276"/>
      <c r="CK872" s="276"/>
      <c r="CL872" s="276"/>
      <c r="CM872" s="276"/>
      <c r="CN872" s="276"/>
      <c r="CO872" s="276"/>
      <c r="CP872" s="276"/>
      <c r="CQ872" s="276"/>
      <c r="CU872" s="276"/>
    </row>
    <row r="873" spans="75:99" ht="15.75">
      <c r="BW873" s="276"/>
      <c r="BY873" s="276"/>
      <c r="BZ873" s="276"/>
      <c r="CA873" s="276"/>
      <c r="CB873" s="276"/>
      <c r="CC873" s="276"/>
      <c r="CD873" s="276"/>
      <c r="CH873" s="276"/>
      <c r="CJ873" s="276"/>
      <c r="CK873" s="276"/>
      <c r="CL873" s="276"/>
      <c r="CM873" s="276"/>
      <c r="CN873" s="276"/>
      <c r="CO873" s="276"/>
      <c r="CP873" s="276"/>
      <c r="CQ873" s="276"/>
      <c r="CU873" s="276"/>
    </row>
    <row r="874" spans="75:99" ht="15.75">
      <c r="BW874" s="276"/>
      <c r="BY874" s="276"/>
      <c r="BZ874" s="276"/>
      <c r="CA874" s="276"/>
      <c r="CB874" s="276"/>
      <c r="CC874" s="276"/>
      <c r="CD874" s="276"/>
      <c r="CH874" s="276"/>
      <c r="CJ874" s="276"/>
      <c r="CK874" s="276"/>
      <c r="CL874" s="276"/>
      <c r="CM874" s="276"/>
      <c r="CN874" s="276"/>
      <c r="CO874" s="276"/>
      <c r="CP874" s="276"/>
      <c r="CQ874" s="276"/>
      <c r="CU874" s="276"/>
    </row>
    <row r="875" spans="75:99" ht="15.75">
      <c r="BW875" s="276"/>
      <c r="BY875" s="276"/>
      <c r="BZ875" s="276"/>
      <c r="CA875" s="276"/>
      <c r="CB875" s="276"/>
      <c r="CC875" s="276"/>
      <c r="CD875" s="276"/>
      <c r="CH875" s="276"/>
      <c r="CJ875" s="276"/>
      <c r="CK875" s="276"/>
      <c r="CL875" s="276"/>
      <c r="CM875" s="276"/>
      <c r="CN875" s="276"/>
      <c r="CO875" s="276"/>
      <c r="CP875" s="276"/>
      <c r="CQ875" s="276"/>
      <c r="CU875" s="276"/>
    </row>
    <row r="876" spans="75:99" ht="15.75">
      <c r="BW876" s="276"/>
      <c r="BY876" s="276"/>
      <c r="BZ876" s="276"/>
      <c r="CA876" s="276"/>
      <c r="CB876" s="276"/>
      <c r="CC876" s="276"/>
      <c r="CD876" s="276"/>
      <c r="CH876" s="276"/>
      <c r="CJ876" s="276"/>
      <c r="CK876" s="276"/>
      <c r="CL876" s="276"/>
      <c r="CM876" s="276"/>
      <c r="CN876" s="276"/>
      <c r="CO876" s="276"/>
      <c r="CP876" s="276"/>
      <c r="CQ876" s="276"/>
      <c r="CU876" s="276"/>
    </row>
    <row r="877" spans="75:99" ht="15.75">
      <c r="BW877" s="276"/>
      <c r="BY877" s="276"/>
      <c r="BZ877" s="276"/>
      <c r="CA877" s="276"/>
      <c r="CB877" s="276"/>
      <c r="CC877" s="276"/>
      <c r="CD877" s="276"/>
      <c r="CH877" s="276"/>
      <c r="CJ877" s="276"/>
      <c r="CK877" s="276"/>
      <c r="CL877" s="276"/>
      <c r="CM877" s="276"/>
      <c r="CN877" s="276"/>
      <c r="CO877" s="276"/>
      <c r="CP877" s="276"/>
      <c r="CQ877" s="276"/>
      <c r="CU877" s="276"/>
    </row>
    <row r="878" spans="75:99" ht="15.75">
      <c r="BW878" s="276"/>
      <c r="BY878" s="276"/>
      <c r="BZ878" s="276"/>
      <c r="CA878" s="276"/>
      <c r="CB878" s="276"/>
      <c r="CC878" s="276"/>
      <c r="CD878" s="276"/>
      <c r="CH878" s="276"/>
      <c r="CJ878" s="276"/>
      <c r="CK878" s="276"/>
      <c r="CL878" s="276"/>
      <c r="CM878" s="276"/>
      <c r="CN878" s="276"/>
      <c r="CO878" s="276"/>
      <c r="CP878" s="276"/>
      <c r="CQ878" s="276"/>
      <c r="CU878" s="276"/>
    </row>
    <row r="879" spans="75:99" ht="15.75">
      <c r="BW879" s="276"/>
      <c r="BY879" s="276"/>
      <c r="BZ879" s="276"/>
      <c r="CA879" s="276"/>
      <c r="CB879" s="276"/>
      <c r="CC879" s="276"/>
      <c r="CD879" s="276"/>
      <c r="CH879" s="276"/>
      <c r="CJ879" s="276"/>
      <c r="CK879" s="276"/>
      <c r="CL879" s="276"/>
      <c r="CM879" s="276"/>
      <c r="CN879" s="276"/>
      <c r="CO879" s="276"/>
      <c r="CP879" s="276"/>
      <c r="CQ879" s="276"/>
      <c r="CU879" s="276"/>
    </row>
    <row r="880" spans="75:99" ht="15.75">
      <c r="BW880" s="276"/>
      <c r="BY880" s="276"/>
      <c r="BZ880" s="276"/>
      <c r="CA880" s="276"/>
      <c r="CB880" s="276"/>
      <c r="CC880" s="276"/>
      <c r="CD880" s="276"/>
      <c r="CH880" s="276"/>
      <c r="CJ880" s="276"/>
      <c r="CK880" s="276"/>
      <c r="CL880" s="276"/>
      <c r="CM880" s="276"/>
      <c r="CN880" s="276"/>
      <c r="CO880" s="276"/>
      <c r="CP880" s="276"/>
      <c r="CQ880" s="276"/>
      <c r="CU880" s="276"/>
    </row>
    <row r="881" spans="75:99" ht="15.75">
      <c r="BW881" s="276"/>
      <c r="BY881" s="276"/>
      <c r="BZ881" s="276"/>
      <c r="CA881" s="276"/>
      <c r="CB881" s="276"/>
      <c r="CC881" s="276"/>
      <c r="CD881" s="276"/>
      <c r="CH881" s="276"/>
      <c r="CJ881" s="276"/>
      <c r="CK881" s="276"/>
      <c r="CL881" s="276"/>
      <c r="CM881" s="276"/>
      <c r="CN881" s="276"/>
      <c r="CO881" s="276"/>
      <c r="CP881" s="276"/>
      <c r="CQ881" s="276"/>
      <c r="CU881" s="276"/>
    </row>
    <row r="882" spans="75:99" ht="15.75">
      <c r="BW882" s="276"/>
      <c r="BY882" s="276"/>
      <c r="BZ882" s="276"/>
      <c r="CA882" s="276"/>
      <c r="CB882" s="276"/>
      <c r="CC882" s="276"/>
      <c r="CD882" s="276"/>
      <c r="CH882" s="276"/>
      <c r="CJ882" s="276"/>
      <c r="CK882" s="276"/>
      <c r="CL882" s="276"/>
      <c r="CM882" s="276"/>
      <c r="CN882" s="276"/>
      <c r="CO882" s="276"/>
      <c r="CP882" s="276"/>
      <c r="CQ882" s="276"/>
      <c r="CU882" s="276"/>
    </row>
    <row r="883" spans="75:99" ht="15.75">
      <c r="BW883" s="276"/>
      <c r="BY883" s="276"/>
      <c r="BZ883" s="276"/>
      <c r="CA883" s="276"/>
      <c r="CB883" s="276"/>
      <c r="CC883" s="276"/>
      <c r="CD883" s="276"/>
      <c r="CH883" s="276"/>
      <c r="CJ883" s="276"/>
      <c r="CK883" s="276"/>
      <c r="CL883" s="276"/>
      <c r="CM883" s="276"/>
      <c r="CN883" s="276"/>
      <c r="CO883" s="276"/>
      <c r="CP883" s="276"/>
      <c r="CQ883" s="276"/>
      <c r="CU883" s="276"/>
    </row>
    <row r="884" spans="75:99" ht="15.75">
      <c r="BW884" s="276"/>
      <c r="BY884" s="276"/>
      <c r="BZ884" s="276"/>
      <c r="CA884" s="276"/>
      <c r="CB884" s="276"/>
      <c r="CC884" s="276"/>
      <c r="CD884" s="276"/>
      <c r="CH884" s="276"/>
      <c r="CJ884" s="276"/>
      <c r="CK884" s="276"/>
      <c r="CL884" s="276"/>
      <c r="CM884" s="276"/>
      <c r="CN884" s="276"/>
      <c r="CO884" s="276"/>
      <c r="CP884" s="276"/>
      <c r="CQ884" s="276"/>
      <c r="CU884" s="276"/>
    </row>
    <row r="885" spans="75:99" ht="15.75">
      <c r="BW885" s="276"/>
      <c r="BY885" s="276"/>
      <c r="BZ885" s="276"/>
      <c r="CA885" s="276"/>
      <c r="CB885" s="276"/>
      <c r="CC885" s="276"/>
      <c r="CD885" s="276"/>
      <c r="CH885" s="276"/>
      <c r="CJ885" s="276"/>
      <c r="CK885" s="276"/>
      <c r="CL885" s="276"/>
      <c r="CM885" s="276"/>
      <c r="CN885" s="276"/>
      <c r="CO885" s="276"/>
      <c r="CP885" s="276"/>
      <c r="CQ885" s="276"/>
      <c r="CU885" s="276"/>
    </row>
    <row r="886" spans="75:99" ht="15.75">
      <c r="BW886" s="276"/>
      <c r="BY886" s="276"/>
      <c r="BZ886" s="276"/>
      <c r="CA886" s="276"/>
      <c r="CB886" s="276"/>
      <c r="CC886" s="276"/>
      <c r="CD886" s="276"/>
      <c r="CH886" s="276"/>
      <c r="CJ886" s="276"/>
      <c r="CK886" s="276"/>
      <c r="CL886" s="276"/>
      <c r="CM886" s="276"/>
      <c r="CN886" s="276"/>
      <c r="CO886" s="276"/>
      <c r="CP886" s="276"/>
      <c r="CQ886" s="276"/>
      <c r="CU886" s="276"/>
    </row>
    <row r="887" spans="75:99" ht="15.75">
      <c r="BW887" s="276"/>
      <c r="BY887" s="276"/>
      <c r="BZ887" s="276"/>
      <c r="CA887" s="276"/>
      <c r="CB887" s="276"/>
      <c r="CC887" s="276"/>
      <c r="CD887" s="276"/>
      <c r="CH887" s="276"/>
      <c r="CJ887" s="276"/>
      <c r="CK887" s="276"/>
      <c r="CL887" s="276"/>
      <c r="CM887" s="276"/>
      <c r="CN887" s="276"/>
      <c r="CO887" s="276"/>
      <c r="CP887" s="276"/>
      <c r="CQ887" s="276"/>
      <c r="CU887" s="276"/>
    </row>
    <row r="888" spans="75:99" ht="15.75">
      <c r="BW888" s="276"/>
      <c r="BY888" s="276"/>
      <c r="BZ888" s="276"/>
      <c r="CA888" s="276"/>
      <c r="CB888" s="276"/>
      <c r="CC888" s="276"/>
      <c r="CD888" s="276"/>
      <c r="CH888" s="276"/>
      <c r="CJ888" s="276"/>
      <c r="CK888" s="276"/>
      <c r="CL888" s="276"/>
      <c r="CM888" s="276"/>
      <c r="CN888" s="276"/>
      <c r="CO888" s="276"/>
      <c r="CP888" s="276"/>
      <c r="CQ888" s="276"/>
      <c r="CU888" s="276"/>
    </row>
    <row r="889" spans="75:99" ht="15.75">
      <c r="BW889" s="276"/>
      <c r="BY889" s="276"/>
      <c r="BZ889" s="276"/>
      <c r="CA889" s="276"/>
      <c r="CB889" s="276"/>
      <c r="CC889" s="276"/>
      <c r="CD889" s="276"/>
      <c r="CH889" s="276"/>
      <c r="CJ889" s="276"/>
      <c r="CK889" s="276"/>
      <c r="CL889" s="276"/>
      <c r="CM889" s="276"/>
      <c r="CN889" s="276"/>
      <c r="CO889" s="276"/>
      <c r="CP889" s="276"/>
      <c r="CQ889" s="276"/>
      <c r="CU889" s="276"/>
    </row>
    <row r="890" spans="75:99" ht="15.75">
      <c r="BW890" s="276"/>
      <c r="BY890" s="276"/>
      <c r="BZ890" s="276"/>
      <c r="CA890" s="276"/>
      <c r="CB890" s="276"/>
      <c r="CC890" s="276"/>
      <c r="CD890" s="276"/>
      <c r="CH890" s="276"/>
      <c r="CJ890" s="276"/>
      <c r="CK890" s="276"/>
      <c r="CL890" s="276"/>
      <c r="CM890" s="276"/>
      <c r="CN890" s="276"/>
      <c r="CO890" s="276"/>
      <c r="CP890" s="276"/>
      <c r="CQ890" s="276"/>
      <c r="CU890" s="276"/>
    </row>
    <row r="891" spans="75:99" ht="15.75">
      <c r="BW891" s="276"/>
      <c r="BY891" s="276"/>
      <c r="BZ891" s="276"/>
      <c r="CA891" s="276"/>
      <c r="CB891" s="276"/>
      <c r="CC891" s="276"/>
      <c r="CD891" s="276"/>
      <c r="CH891" s="276"/>
      <c r="CJ891" s="276"/>
      <c r="CK891" s="276"/>
      <c r="CL891" s="276"/>
      <c r="CM891" s="276"/>
      <c r="CN891" s="276"/>
      <c r="CO891" s="276"/>
      <c r="CP891" s="276"/>
      <c r="CQ891" s="276"/>
      <c r="CU891" s="276"/>
    </row>
    <row r="892" spans="75:99" ht="15.75">
      <c r="BW892" s="276"/>
      <c r="BY892" s="276"/>
      <c r="BZ892" s="276"/>
      <c r="CA892" s="276"/>
      <c r="CB892" s="276"/>
      <c r="CC892" s="276"/>
      <c r="CD892" s="276"/>
      <c r="CH892" s="276"/>
      <c r="CJ892" s="276"/>
      <c r="CK892" s="276"/>
      <c r="CL892" s="276"/>
      <c r="CM892" s="276"/>
      <c r="CN892" s="276"/>
      <c r="CO892" s="276"/>
      <c r="CP892" s="276"/>
      <c r="CQ892" s="276"/>
      <c r="CU892" s="276"/>
    </row>
    <row r="893" spans="75:99" ht="15.75">
      <c r="BW893" s="276"/>
      <c r="BY893" s="276"/>
      <c r="BZ893" s="276"/>
      <c r="CA893" s="276"/>
      <c r="CB893" s="276"/>
      <c r="CC893" s="276"/>
      <c r="CD893" s="276"/>
      <c r="CH893" s="276"/>
      <c r="CJ893" s="276"/>
      <c r="CK893" s="276"/>
      <c r="CL893" s="276"/>
      <c r="CM893" s="276"/>
      <c r="CN893" s="276"/>
      <c r="CO893" s="276"/>
      <c r="CP893" s="276"/>
      <c r="CQ893" s="276"/>
      <c r="CU893" s="276"/>
    </row>
    <row r="894" spans="75:99" ht="15.75">
      <c r="BW894" s="276"/>
      <c r="BY894" s="276"/>
      <c r="BZ894" s="276"/>
      <c r="CA894" s="276"/>
      <c r="CB894" s="276"/>
      <c r="CC894" s="276"/>
      <c r="CD894" s="276"/>
      <c r="CH894" s="276"/>
      <c r="CJ894" s="276"/>
      <c r="CK894" s="276"/>
      <c r="CL894" s="276"/>
      <c r="CM894" s="276"/>
      <c r="CN894" s="276"/>
      <c r="CO894" s="276"/>
      <c r="CP894" s="276"/>
      <c r="CQ894" s="276"/>
      <c r="CU894" s="276"/>
    </row>
    <row r="895" spans="75:99" ht="15.75">
      <c r="BW895" s="276"/>
      <c r="BY895" s="276"/>
      <c r="BZ895" s="276"/>
      <c r="CA895" s="276"/>
      <c r="CB895" s="276"/>
      <c r="CC895" s="276"/>
      <c r="CD895" s="276"/>
      <c r="CH895" s="276"/>
      <c r="CJ895" s="276"/>
      <c r="CK895" s="276"/>
      <c r="CL895" s="276"/>
      <c r="CM895" s="276"/>
      <c r="CN895" s="276"/>
      <c r="CO895" s="276"/>
      <c r="CP895" s="276"/>
      <c r="CQ895" s="276"/>
      <c r="CU895" s="276"/>
    </row>
    <row r="896" spans="75:99" ht="15.75">
      <c r="BW896" s="276"/>
      <c r="BY896" s="276"/>
      <c r="BZ896" s="276"/>
      <c r="CA896" s="276"/>
      <c r="CB896" s="276"/>
      <c r="CC896" s="276"/>
      <c r="CD896" s="276"/>
      <c r="CH896" s="276"/>
      <c r="CJ896" s="276"/>
      <c r="CK896" s="276"/>
      <c r="CL896" s="276"/>
      <c r="CM896" s="276"/>
      <c r="CN896" s="276"/>
      <c r="CO896" s="276"/>
      <c r="CP896" s="276"/>
      <c r="CQ896" s="276"/>
      <c r="CU896" s="276"/>
    </row>
    <row r="897" spans="75:99" ht="15.75">
      <c r="BW897" s="276"/>
      <c r="BY897" s="276"/>
      <c r="BZ897" s="276"/>
      <c r="CA897" s="276"/>
      <c r="CB897" s="276"/>
      <c r="CC897" s="276"/>
      <c r="CD897" s="276"/>
      <c r="CH897" s="276"/>
      <c r="CJ897" s="276"/>
      <c r="CK897" s="276"/>
      <c r="CL897" s="276"/>
      <c r="CM897" s="276"/>
      <c r="CN897" s="276"/>
      <c r="CO897" s="276"/>
      <c r="CP897" s="276"/>
      <c r="CQ897" s="276"/>
      <c r="CU897" s="276"/>
    </row>
    <row r="898" spans="75:99" ht="15.75">
      <c r="BW898" s="276"/>
      <c r="BY898" s="276"/>
      <c r="BZ898" s="276"/>
      <c r="CA898" s="276"/>
      <c r="CB898" s="276"/>
      <c r="CC898" s="276"/>
      <c r="CD898" s="276"/>
      <c r="CH898" s="276"/>
      <c r="CJ898" s="276"/>
      <c r="CK898" s="276"/>
      <c r="CL898" s="276"/>
      <c r="CM898" s="276"/>
      <c r="CN898" s="276"/>
      <c r="CO898" s="276"/>
      <c r="CP898" s="276"/>
      <c r="CQ898" s="276"/>
      <c r="CU898" s="276"/>
    </row>
    <row r="899" spans="75:99" ht="15.75">
      <c r="BW899" s="276"/>
      <c r="BY899" s="276"/>
      <c r="BZ899" s="276"/>
      <c r="CA899" s="276"/>
      <c r="CB899" s="276"/>
      <c r="CC899" s="276"/>
      <c r="CD899" s="276"/>
      <c r="CH899" s="276"/>
      <c r="CJ899" s="276"/>
      <c r="CK899" s="276"/>
      <c r="CL899" s="276"/>
      <c r="CM899" s="276"/>
      <c r="CN899" s="276"/>
      <c r="CO899" s="276"/>
      <c r="CP899" s="276"/>
      <c r="CQ899" s="276"/>
      <c r="CU899" s="276"/>
    </row>
    <row r="900" spans="75:99" ht="15.75">
      <c r="BW900" s="276"/>
      <c r="BY900" s="276"/>
      <c r="BZ900" s="276"/>
      <c r="CA900" s="276"/>
      <c r="CB900" s="276"/>
      <c r="CC900" s="276"/>
      <c r="CD900" s="276"/>
      <c r="CH900" s="276"/>
      <c r="CJ900" s="276"/>
      <c r="CK900" s="276"/>
      <c r="CL900" s="276"/>
      <c r="CM900" s="276"/>
      <c r="CN900" s="276"/>
      <c r="CO900" s="276"/>
      <c r="CP900" s="276"/>
      <c r="CQ900" s="276"/>
      <c r="CU900" s="276"/>
    </row>
    <row r="901" spans="75:99" ht="15.75">
      <c r="BW901" s="276"/>
      <c r="BY901" s="276"/>
      <c r="BZ901" s="276"/>
      <c r="CA901" s="276"/>
      <c r="CB901" s="276"/>
      <c r="CC901" s="276"/>
      <c r="CD901" s="276"/>
      <c r="CH901" s="276"/>
      <c r="CJ901" s="276"/>
      <c r="CK901" s="276"/>
      <c r="CL901" s="276"/>
      <c r="CM901" s="276"/>
      <c r="CN901" s="276"/>
      <c r="CO901" s="276"/>
      <c r="CP901" s="276"/>
      <c r="CQ901" s="276"/>
      <c r="CU901" s="276"/>
    </row>
    <row r="902" spans="75:99" ht="15.75">
      <c r="BW902" s="276"/>
      <c r="BY902" s="276"/>
      <c r="BZ902" s="276"/>
      <c r="CA902" s="276"/>
      <c r="CB902" s="276"/>
      <c r="CC902" s="276"/>
      <c r="CD902" s="276"/>
      <c r="CH902" s="276"/>
      <c r="CJ902" s="276"/>
      <c r="CK902" s="276"/>
      <c r="CL902" s="276"/>
      <c r="CM902" s="276"/>
      <c r="CN902" s="276"/>
      <c r="CO902" s="276"/>
      <c r="CP902" s="276"/>
      <c r="CQ902" s="276"/>
      <c r="CU902" s="276"/>
    </row>
    <row r="903" spans="75:99" ht="15.75">
      <c r="BW903" s="276"/>
      <c r="BY903" s="276"/>
      <c r="BZ903" s="276"/>
      <c r="CA903" s="276"/>
      <c r="CB903" s="276"/>
      <c r="CC903" s="276"/>
      <c r="CD903" s="276"/>
      <c r="CH903" s="276"/>
      <c r="CJ903" s="276"/>
      <c r="CK903" s="276"/>
      <c r="CL903" s="276"/>
      <c r="CM903" s="276"/>
      <c r="CN903" s="276"/>
      <c r="CO903" s="276"/>
      <c r="CP903" s="276"/>
      <c r="CQ903" s="276"/>
      <c r="CU903" s="276"/>
    </row>
    <row r="904" spans="75:99" ht="15.75">
      <c r="BW904" s="276"/>
      <c r="BY904" s="276"/>
      <c r="BZ904" s="276"/>
      <c r="CA904" s="276"/>
      <c r="CB904" s="276"/>
      <c r="CC904" s="276"/>
      <c r="CD904" s="276"/>
      <c r="CH904" s="276"/>
      <c r="CJ904" s="276"/>
      <c r="CK904" s="276"/>
      <c r="CL904" s="276"/>
      <c r="CM904" s="276"/>
      <c r="CN904" s="276"/>
      <c r="CO904" s="276"/>
      <c r="CP904" s="276"/>
      <c r="CQ904" s="276"/>
      <c r="CU904" s="276"/>
    </row>
    <row r="905" spans="75:99" ht="15.75">
      <c r="BW905" s="276"/>
      <c r="BY905" s="276"/>
      <c r="BZ905" s="276"/>
      <c r="CA905" s="276"/>
      <c r="CB905" s="276"/>
      <c r="CC905" s="276"/>
      <c r="CD905" s="276"/>
      <c r="CH905" s="276"/>
      <c r="CJ905" s="276"/>
      <c r="CK905" s="276"/>
      <c r="CL905" s="276"/>
      <c r="CM905" s="276"/>
      <c r="CN905" s="276"/>
      <c r="CO905" s="276"/>
      <c r="CP905" s="276"/>
      <c r="CQ905" s="276"/>
      <c r="CU905" s="276"/>
    </row>
    <row r="906" spans="75:99" ht="15.75">
      <c r="BW906" s="276"/>
      <c r="BY906" s="276"/>
      <c r="BZ906" s="276"/>
      <c r="CA906" s="276"/>
      <c r="CB906" s="276"/>
      <c r="CC906" s="276"/>
      <c r="CD906" s="276"/>
      <c r="CH906" s="276"/>
      <c r="CJ906" s="276"/>
      <c r="CK906" s="276"/>
      <c r="CL906" s="276"/>
      <c r="CM906" s="276"/>
      <c r="CN906" s="276"/>
      <c r="CO906" s="276"/>
      <c r="CP906" s="276"/>
      <c r="CQ906" s="276"/>
      <c r="CU906" s="276"/>
    </row>
    <row r="907" spans="75:99" ht="15.75">
      <c r="BW907" s="276"/>
      <c r="BY907" s="276"/>
      <c r="BZ907" s="276"/>
      <c r="CA907" s="276"/>
      <c r="CB907" s="276"/>
      <c r="CC907" s="276"/>
      <c r="CD907" s="276"/>
      <c r="CH907" s="276"/>
      <c r="CJ907" s="276"/>
      <c r="CK907" s="276"/>
      <c r="CL907" s="276"/>
      <c r="CM907" s="276"/>
      <c r="CN907" s="276"/>
      <c r="CO907" s="276"/>
      <c r="CP907" s="276"/>
      <c r="CQ907" s="276"/>
      <c r="CU907" s="276"/>
    </row>
    <row r="908" spans="75:99" ht="15.75">
      <c r="BW908" s="276"/>
      <c r="BY908" s="276"/>
      <c r="BZ908" s="276"/>
      <c r="CA908" s="276"/>
      <c r="CB908" s="276"/>
      <c r="CC908" s="276"/>
      <c r="CD908" s="276"/>
      <c r="CH908" s="276"/>
      <c r="CJ908" s="276"/>
      <c r="CK908" s="276"/>
      <c r="CL908" s="276"/>
      <c r="CM908" s="276"/>
      <c r="CN908" s="276"/>
      <c r="CO908" s="276"/>
      <c r="CP908" s="276"/>
      <c r="CQ908" s="276"/>
      <c r="CU908" s="276"/>
    </row>
    <row r="909" spans="75:99" ht="15.75">
      <c r="BW909" s="276"/>
      <c r="BY909" s="276"/>
      <c r="BZ909" s="276"/>
      <c r="CA909" s="276"/>
      <c r="CB909" s="276"/>
      <c r="CC909" s="276"/>
      <c r="CD909" s="276"/>
      <c r="CH909" s="276"/>
      <c r="CJ909" s="276"/>
      <c r="CK909" s="276"/>
      <c r="CL909" s="276"/>
      <c r="CM909" s="276"/>
      <c r="CN909" s="276"/>
      <c r="CO909" s="276"/>
      <c r="CP909" s="276"/>
      <c r="CQ909" s="276"/>
      <c r="CU909" s="276"/>
    </row>
    <row r="910" spans="75:99" ht="15.75">
      <c r="BW910" s="276"/>
      <c r="BY910" s="276"/>
      <c r="BZ910" s="276"/>
      <c r="CA910" s="276"/>
      <c r="CB910" s="276"/>
      <c r="CC910" s="276"/>
      <c r="CD910" s="276"/>
      <c r="CH910" s="276"/>
      <c r="CJ910" s="276"/>
      <c r="CK910" s="276"/>
      <c r="CL910" s="276"/>
      <c r="CM910" s="276"/>
      <c r="CN910" s="276"/>
      <c r="CO910" s="276"/>
      <c r="CP910" s="276"/>
      <c r="CQ910" s="276"/>
      <c r="CU910" s="276"/>
    </row>
    <row r="911" spans="75:99" ht="15.75">
      <c r="BW911" s="276"/>
      <c r="BY911" s="276"/>
      <c r="BZ911" s="276"/>
      <c r="CA911" s="276"/>
      <c r="CB911" s="276"/>
      <c r="CC911" s="276"/>
      <c r="CD911" s="276"/>
      <c r="CH911" s="276"/>
      <c r="CJ911" s="276"/>
      <c r="CK911" s="276"/>
      <c r="CL911" s="276"/>
      <c r="CM911" s="276"/>
      <c r="CN911" s="276"/>
      <c r="CO911" s="276"/>
      <c r="CP911" s="276"/>
      <c r="CQ911" s="276"/>
      <c r="CU911" s="276"/>
    </row>
    <row r="912" spans="75:99" ht="15.75">
      <c r="BW912" s="276"/>
      <c r="BY912" s="276"/>
      <c r="BZ912" s="276"/>
      <c r="CA912" s="276"/>
      <c r="CB912" s="276"/>
      <c r="CC912" s="276"/>
      <c r="CD912" s="276"/>
      <c r="CH912" s="276"/>
      <c r="CJ912" s="276"/>
      <c r="CK912" s="276"/>
      <c r="CL912" s="276"/>
      <c r="CM912" s="276"/>
      <c r="CN912" s="276"/>
      <c r="CO912" s="276"/>
      <c r="CP912" s="276"/>
      <c r="CQ912" s="276"/>
      <c r="CU912" s="276"/>
    </row>
    <row r="913" spans="75:99" ht="15.75">
      <c r="BW913" s="276"/>
      <c r="BY913" s="276"/>
      <c r="BZ913" s="276"/>
      <c r="CA913" s="276"/>
      <c r="CB913" s="276"/>
      <c r="CC913" s="276"/>
      <c r="CD913" s="276"/>
      <c r="CH913" s="276"/>
      <c r="CJ913" s="276"/>
      <c r="CK913" s="276"/>
      <c r="CL913" s="276"/>
      <c r="CM913" s="276"/>
      <c r="CN913" s="276"/>
      <c r="CO913" s="276"/>
      <c r="CP913" s="276"/>
      <c r="CQ913" s="276"/>
      <c r="CU913" s="276"/>
    </row>
    <row r="914" spans="75:99" ht="15.75">
      <c r="BW914" s="276"/>
      <c r="BY914" s="276"/>
      <c r="BZ914" s="276"/>
      <c r="CA914" s="276"/>
      <c r="CB914" s="276"/>
      <c r="CC914" s="276"/>
      <c r="CD914" s="276"/>
      <c r="CH914" s="276"/>
      <c r="CJ914" s="276"/>
      <c r="CK914" s="276"/>
      <c r="CL914" s="276"/>
      <c r="CM914" s="276"/>
      <c r="CN914" s="276"/>
      <c r="CO914" s="276"/>
      <c r="CP914" s="276"/>
      <c r="CQ914" s="276"/>
      <c r="CU914" s="276"/>
    </row>
    <row r="915" spans="75:99" ht="15.75">
      <c r="BW915" s="276"/>
      <c r="BY915" s="276"/>
      <c r="BZ915" s="276"/>
      <c r="CA915" s="276"/>
      <c r="CB915" s="276"/>
      <c r="CC915" s="276"/>
      <c r="CD915" s="276"/>
      <c r="CH915" s="276"/>
      <c r="CJ915" s="276"/>
      <c r="CK915" s="276"/>
      <c r="CL915" s="276"/>
      <c r="CM915" s="276"/>
      <c r="CN915" s="276"/>
      <c r="CO915" s="276"/>
      <c r="CP915" s="276"/>
      <c r="CQ915" s="276"/>
      <c r="CU915" s="276"/>
    </row>
    <row r="916" spans="75:99" ht="15.75">
      <c r="BW916" s="276"/>
      <c r="BY916" s="276"/>
      <c r="BZ916" s="276"/>
      <c r="CA916" s="276"/>
      <c r="CB916" s="276"/>
      <c r="CC916" s="276"/>
      <c r="CD916" s="276"/>
      <c r="CH916" s="276"/>
      <c r="CJ916" s="276"/>
      <c r="CK916" s="276"/>
      <c r="CL916" s="276"/>
      <c r="CM916" s="276"/>
      <c r="CN916" s="276"/>
      <c r="CO916" s="276"/>
      <c r="CP916" s="276"/>
      <c r="CQ916" s="276"/>
      <c r="CU916" s="276"/>
    </row>
    <row r="917" spans="75:99" ht="15.75">
      <c r="BW917" s="276"/>
      <c r="BY917" s="276"/>
      <c r="BZ917" s="276"/>
      <c r="CA917" s="276"/>
      <c r="CB917" s="276"/>
      <c r="CC917" s="276"/>
      <c r="CD917" s="276"/>
      <c r="CH917" s="276"/>
      <c r="CJ917" s="276"/>
      <c r="CK917" s="276"/>
      <c r="CL917" s="276"/>
      <c r="CM917" s="276"/>
      <c r="CN917" s="276"/>
      <c r="CO917" s="276"/>
      <c r="CP917" s="276"/>
      <c r="CQ917" s="276"/>
      <c r="CU917" s="276"/>
    </row>
    <row r="918" spans="75:99" ht="15.75">
      <c r="BW918" s="276"/>
      <c r="BY918" s="276"/>
      <c r="BZ918" s="276"/>
      <c r="CA918" s="276"/>
      <c r="CB918" s="276"/>
      <c r="CC918" s="276"/>
      <c r="CD918" s="276"/>
      <c r="CH918" s="276"/>
      <c r="CJ918" s="276"/>
      <c r="CK918" s="276"/>
      <c r="CL918" s="276"/>
      <c r="CM918" s="276"/>
      <c r="CN918" s="276"/>
      <c r="CO918" s="276"/>
      <c r="CP918" s="276"/>
      <c r="CQ918" s="276"/>
      <c r="CU918" s="276"/>
    </row>
    <row r="919" spans="75:99" ht="15.75">
      <c r="BW919" s="276"/>
      <c r="BY919" s="276"/>
      <c r="BZ919" s="276"/>
      <c r="CA919" s="276"/>
      <c r="CB919" s="276"/>
      <c r="CC919" s="276"/>
      <c r="CD919" s="276"/>
      <c r="CH919" s="276"/>
      <c r="CJ919" s="276"/>
      <c r="CK919" s="276"/>
      <c r="CL919" s="276"/>
      <c r="CM919" s="276"/>
      <c r="CN919" s="276"/>
      <c r="CO919" s="276"/>
      <c r="CP919" s="276"/>
      <c r="CQ919" s="276"/>
      <c r="CU919" s="276"/>
    </row>
    <row r="920" spans="75:99" ht="15.75">
      <c r="BW920" s="276"/>
      <c r="BY920" s="276"/>
      <c r="BZ920" s="276"/>
      <c r="CA920" s="276"/>
      <c r="CB920" s="276"/>
      <c r="CC920" s="276"/>
      <c r="CD920" s="276"/>
      <c r="CH920" s="276"/>
      <c r="CJ920" s="276"/>
      <c r="CK920" s="276"/>
      <c r="CL920" s="276"/>
      <c r="CM920" s="276"/>
      <c r="CN920" s="276"/>
      <c r="CO920" s="276"/>
      <c r="CP920" s="276"/>
      <c r="CQ920" s="276"/>
      <c r="CU920" s="276"/>
    </row>
    <row r="921" spans="75:99" ht="15.75">
      <c r="BW921" s="276"/>
      <c r="BY921" s="276"/>
      <c r="BZ921" s="276"/>
      <c r="CA921" s="276"/>
      <c r="CB921" s="276"/>
      <c r="CC921" s="276"/>
      <c r="CD921" s="276"/>
      <c r="CH921" s="276"/>
      <c r="CJ921" s="276"/>
      <c r="CK921" s="276"/>
      <c r="CL921" s="276"/>
      <c r="CM921" s="276"/>
      <c r="CN921" s="276"/>
      <c r="CO921" s="276"/>
      <c r="CP921" s="276"/>
      <c r="CQ921" s="276"/>
      <c r="CU921" s="276"/>
    </row>
    <row r="922" spans="75:99" ht="15.75">
      <c r="BW922" s="276"/>
      <c r="BY922" s="276"/>
      <c r="BZ922" s="276"/>
      <c r="CA922" s="276"/>
      <c r="CB922" s="276"/>
      <c r="CC922" s="276"/>
      <c r="CD922" s="276"/>
      <c r="CH922" s="276"/>
      <c r="CJ922" s="276"/>
      <c r="CK922" s="276"/>
      <c r="CL922" s="276"/>
      <c r="CM922" s="276"/>
      <c r="CN922" s="276"/>
      <c r="CO922" s="276"/>
      <c r="CP922" s="276"/>
      <c r="CQ922" s="276"/>
      <c r="CU922" s="276"/>
    </row>
    <row r="923" spans="75:99" ht="15.75">
      <c r="BW923" s="276"/>
      <c r="BY923" s="276"/>
      <c r="BZ923" s="276"/>
      <c r="CA923" s="276"/>
      <c r="CB923" s="276"/>
      <c r="CC923" s="276"/>
      <c r="CD923" s="276"/>
      <c r="CH923" s="276"/>
      <c r="CJ923" s="276"/>
      <c r="CK923" s="276"/>
      <c r="CL923" s="276"/>
      <c r="CM923" s="276"/>
      <c r="CN923" s="276"/>
      <c r="CO923" s="276"/>
      <c r="CP923" s="276"/>
      <c r="CQ923" s="276"/>
      <c r="CU923" s="276"/>
    </row>
    <row r="924" spans="75:99" ht="15.75">
      <c r="BW924" s="276"/>
      <c r="BY924" s="276"/>
      <c r="BZ924" s="276"/>
      <c r="CA924" s="276"/>
      <c r="CB924" s="276"/>
      <c r="CC924" s="276"/>
      <c r="CD924" s="276"/>
      <c r="CH924" s="276"/>
      <c r="CJ924" s="276"/>
      <c r="CK924" s="276"/>
      <c r="CL924" s="276"/>
      <c r="CM924" s="276"/>
      <c r="CN924" s="276"/>
      <c r="CO924" s="276"/>
      <c r="CP924" s="276"/>
      <c r="CQ924" s="276"/>
      <c r="CU924" s="276"/>
    </row>
    <row r="925" spans="75:99" ht="15.75">
      <c r="BW925" s="276"/>
      <c r="BY925" s="276"/>
      <c r="BZ925" s="276"/>
      <c r="CA925" s="276"/>
      <c r="CB925" s="276"/>
      <c r="CC925" s="276"/>
      <c r="CD925" s="276"/>
      <c r="CH925" s="276"/>
      <c r="CJ925" s="276"/>
      <c r="CK925" s="276"/>
      <c r="CL925" s="276"/>
      <c r="CM925" s="276"/>
      <c r="CN925" s="276"/>
      <c r="CO925" s="276"/>
      <c r="CP925" s="276"/>
      <c r="CQ925" s="276"/>
      <c r="CU925" s="276"/>
    </row>
    <row r="926" spans="75:99" ht="15.75">
      <c r="BW926" s="276"/>
      <c r="BY926" s="276"/>
      <c r="BZ926" s="276"/>
      <c r="CA926" s="276"/>
      <c r="CB926" s="276"/>
      <c r="CC926" s="276"/>
      <c r="CD926" s="276"/>
      <c r="CH926" s="276"/>
      <c r="CJ926" s="276"/>
      <c r="CK926" s="276"/>
      <c r="CL926" s="276"/>
      <c r="CM926" s="276"/>
      <c r="CN926" s="276"/>
      <c r="CO926" s="276"/>
      <c r="CP926" s="276"/>
      <c r="CQ926" s="276"/>
      <c r="CU926" s="276"/>
    </row>
    <row r="927" spans="75:99" ht="15.75">
      <c r="BW927" s="276"/>
      <c r="BY927" s="276"/>
      <c r="BZ927" s="276"/>
      <c r="CA927" s="276"/>
      <c r="CB927" s="276"/>
      <c r="CC927" s="276"/>
      <c r="CD927" s="276"/>
      <c r="CH927" s="276"/>
      <c r="CJ927" s="276"/>
      <c r="CK927" s="276"/>
      <c r="CL927" s="276"/>
      <c r="CM927" s="276"/>
      <c r="CN927" s="276"/>
      <c r="CO927" s="276"/>
      <c r="CP927" s="276"/>
      <c r="CQ927" s="276"/>
      <c r="CU927" s="276"/>
    </row>
    <row r="928" spans="75:99" ht="15.75">
      <c r="BW928" s="276"/>
      <c r="BY928" s="276"/>
      <c r="BZ928" s="276"/>
      <c r="CA928" s="276"/>
      <c r="CB928" s="276"/>
      <c r="CC928" s="276"/>
      <c r="CD928" s="276"/>
      <c r="CH928" s="276"/>
      <c r="CJ928" s="276"/>
      <c r="CK928" s="276"/>
      <c r="CL928" s="276"/>
      <c r="CM928" s="276"/>
      <c r="CN928" s="276"/>
      <c r="CO928" s="276"/>
      <c r="CP928" s="276"/>
      <c r="CQ928" s="276"/>
      <c r="CU928" s="276"/>
    </row>
    <row r="929" spans="75:99" ht="15.75">
      <c r="BW929" s="276"/>
      <c r="BY929" s="276"/>
      <c r="BZ929" s="276"/>
      <c r="CA929" s="276"/>
      <c r="CB929" s="276"/>
      <c r="CC929" s="276"/>
      <c r="CD929" s="276"/>
      <c r="CH929" s="276"/>
      <c r="CJ929" s="276"/>
      <c r="CK929" s="276"/>
      <c r="CL929" s="276"/>
      <c r="CM929" s="276"/>
      <c r="CN929" s="276"/>
      <c r="CO929" s="276"/>
      <c r="CP929" s="276"/>
      <c r="CQ929" s="276"/>
      <c r="CU929" s="276"/>
    </row>
    <row r="930" spans="75:99" ht="15.75">
      <c r="BW930" s="276"/>
      <c r="BY930" s="276"/>
      <c r="BZ930" s="276"/>
      <c r="CA930" s="276"/>
      <c r="CB930" s="276"/>
      <c r="CC930" s="276"/>
      <c r="CD930" s="276"/>
      <c r="CH930" s="276"/>
      <c r="CJ930" s="276"/>
      <c r="CK930" s="276"/>
      <c r="CL930" s="276"/>
      <c r="CM930" s="276"/>
      <c r="CN930" s="276"/>
      <c r="CO930" s="276"/>
      <c r="CP930" s="276"/>
      <c r="CQ930" s="276"/>
      <c r="CU930" s="276"/>
    </row>
    <row r="931" spans="75:99" ht="15.75">
      <c r="BW931" s="276"/>
      <c r="BY931" s="276"/>
      <c r="BZ931" s="276"/>
      <c r="CA931" s="276"/>
      <c r="CB931" s="276"/>
      <c r="CC931" s="276"/>
      <c r="CD931" s="276"/>
      <c r="CH931" s="276"/>
      <c r="CJ931" s="276"/>
      <c r="CK931" s="276"/>
      <c r="CL931" s="276"/>
      <c r="CM931" s="276"/>
      <c r="CN931" s="276"/>
      <c r="CO931" s="276"/>
      <c r="CP931" s="276"/>
      <c r="CQ931" s="276"/>
      <c r="CU931" s="276"/>
    </row>
    <row r="932" spans="75:99" ht="15.75">
      <c r="BW932" s="276"/>
      <c r="BY932" s="276"/>
      <c r="BZ932" s="276"/>
      <c r="CA932" s="276"/>
      <c r="CB932" s="276"/>
      <c r="CC932" s="276"/>
      <c r="CD932" s="276"/>
      <c r="CH932" s="276"/>
      <c r="CJ932" s="276"/>
      <c r="CK932" s="276"/>
      <c r="CL932" s="276"/>
      <c r="CM932" s="276"/>
      <c r="CN932" s="276"/>
      <c r="CO932" s="276"/>
      <c r="CP932" s="276"/>
      <c r="CQ932" s="276"/>
      <c r="CU932" s="276"/>
    </row>
    <row r="933" spans="75:99" ht="15.75">
      <c r="BW933" s="276"/>
      <c r="BY933" s="276"/>
      <c r="BZ933" s="276"/>
      <c r="CA933" s="276"/>
      <c r="CB933" s="276"/>
      <c r="CC933" s="276"/>
      <c r="CD933" s="276"/>
      <c r="CH933" s="276"/>
      <c r="CJ933" s="276"/>
      <c r="CK933" s="276"/>
      <c r="CL933" s="276"/>
      <c r="CM933" s="276"/>
      <c r="CN933" s="276"/>
      <c r="CO933" s="276"/>
      <c r="CP933" s="276"/>
      <c r="CQ933" s="276"/>
      <c r="CU933" s="276"/>
    </row>
    <row r="934" spans="75:99" ht="15.75">
      <c r="BW934" s="276"/>
      <c r="BY934" s="276"/>
      <c r="BZ934" s="276"/>
      <c r="CA934" s="276"/>
      <c r="CB934" s="276"/>
      <c r="CC934" s="276"/>
      <c r="CD934" s="276"/>
      <c r="CH934" s="276"/>
      <c r="CJ934" s="276"/>
      <c r="CK934" s="276"/>
      <c r="CL934" s="276"/>
      <c r="CM934" s="276"/>
      <c r="CN934" s="276"/>
      <c r="CO934" s="276"/>
      <c r="CP934" s="276"/>
      <c r="CQ934" s="276"/>
      <c r="CU934" s="276"/>
    </row>
    <row r="935" spans="75:99" ht="15.75">
      <c r="BW935" s="276"/>
      <c r="BY935" s="276"/>
      <c r="BZ935" s="276"/>
      <c r="CA935" s="276"/>
      <c r="CB935" s="276"/>
      <c r="CC935" s="276"/>
      <c r="CD935" s="276"/>
      <c r="CH935" s="276"/>
      <c r="CJ935" s="276"/>
      <c r="CK935" s="276"/>
      <c r="CL935" s="276"/>
      <c r="CM935" s="276"/>
      <c r="CN935" s="276"/>
      <c r="CO935" s="276"/>
      <c r="CP935" s="276"/>
      <c r="CQ935" s="276"/>
      <c r="CU935" s="276"/>
    </row>
    <row r="936" spans="75:99" ht="15.75">
      <c r="BW936" s="276"/>
      <c r="BY936" s="276"/>
      <c r="BZ936" s="276"/>
      <c r="CA936" s="276"/>
      <c r="CB936" s="276"/>
      <c r="CC936" s="276"/>
      <c r="CD936" s="276"/>
      <c r="CH936" s="276"/>
      <c r="CJ936" s="276"/>
      <c r="CK936" s="276"/>
      <c r="CL936" s="276"/>
      <c r="CM936" s="276"/>
      <c r="CN936" s="276"/>
      <c r="CO936" s="276"/>
      <c r="CP936" s="276"/>
      <c r="CQ936" s="276"/>
      <c r="CU936" s="276"/>
    </row>
    <row r="937" spans="75:99" ht="15.75">
      <c r="BW937" s="276"/>
      <c r="BY937" s="276"/>
      <c r="BZ937" s="276"/>
      <c r="CA937" s="276"/>
      <c r="CB937" s="276"/>
      <c r="CC937" s="276"/>
      <c r="CD937" s="276"/>
      <c r="CH937" s="276"/>
      <c r="CJ937" s="276"/>
      <c r="CK937" s="276"/>
      <c r="CL937" s="276"/>
      <c r="CM937" s="276"/>
      <c r="CN937" s="276"/>
      <c r="CO937" s="276"/>
      <c r="CP937" s="276"/>
      <c r="CQ937" s="276"/>
      <c r="CU937" s="276"/>
    </row>
    <row r="938" spans="75:99" ht="15.75">
      <c r="BW938" s="276"/>
      <c r="BY938" s="276"/>
      <c r="BZ938" s="276"/>
      <c r="CA938" s="276"/>
      <c r="CB938" s="276"/>
      <c r="CC938" s="276"/>
      <c r="CD938" s="276"/>
      <c r="CH938" s="276"/>
      <c r="CJ938" s="276"/>
      <c r="CK938" s="276"/>
      <c r="CL938" s="276"/>
      <c r="CM938" s="276"/>
      <c r="CN938" s="276"/>
      <c r="CO938" s="276"/>
      <c r="CP938" s="276"/>
      <c r="CQ938" s="276"/>
      <c r="CU938" s="276"/>
    </row>
    <row r="939" spans="75:99" ht="15.75">
      <c r="BW939" s="276"/>
      <c r="BY939" s="276"/>
      <c r="BZ939" s="276"/>
      <c r="CA939" s="276"/>
      <c r="CB939" s="276"/>
      <c r="CC939" s="276"/>
      <c r="CD939" s="276"/>
      <c r="CH939" s="276"/>
      <c r="CJ939" s="276"/>
      <c r="CK939" s="276"/>
      <c r="CL939" s="276"/>
      <c r="CM939" s="276"/>
      <c r="CN939" s="276"/>
      <c r="CO939" s="276"/>
      <c r="CP939" s="276"/>
      <c r="CQ939" s="276"/>
      <c r="CU939" s="276"/>
    </row>
    <row r="940" spans="75:99" ht="15.75">
      <c r="BW940" s="276"/>
      <c r="BY940" s="276"/>
      <c r="BZ940" s="276"/>
      <c r="CA940" s="276"/>
      <c r="CB940" s="276"/>
      <c r="CC940" s="276"/>
      <c r="CD940" s="276"/>
      <c r="CH940" s="276"/>
      <c r="CJ940" s="276"/>
      <c r="CK940" s="276"/>
      <c r="CL940" s="276"/>
      <c r="CM940" s="276"/>
      <c r="CN940" s="276"/>
      <c r="CO940" s="276"/>
      <c r="CP940" s="276"/>
      <c r="CQ940" s="276"/>
      <c r="CU940" s="276"/>
    </row>
    <row r="941" spans="75:99" ht="15.75">
      <c r="BW941" s="276"/>
      <c r="BY941" s="276"/>
      <c r="BZ941" s="276"/>
      <c r="CA941" s="276"/>
      <c r="CB941" s="276"/>
      <c r="CC941" s="276"/>
      <c r="CD941" s="276"/>
      <c r="CH941" s="276"/>
      <c r="CJ941" s="276"/>
      <c r="CK941" s="276"/>
      <c r="CL941" s="276"/>
      <c r="CM941" s="276"/>
      <c r="CN941" s="276"/>
      <c r="CO941" s="276"/>
      <c r="CP941" s="276"/>
      <c r="CQ941" s="276"/>
      <c r="CU941" s="276"/>
    </row>
    <row r="942" spans="75:99" ht="15.75">
      <c r="BW942" s="276"/>
      <c r="BY942" s="276"/>
      <c r="BZ942" s="276"/>
      <c r="CA942" s="276"/>
      <c r="CB942" s="276"/>
      <c r="CC942" s="276"/>
      <c r="CD942" s="276"/>
      <c r="CH942" s="276"/>
      <c r="CJ942" s="276"/>
      <c r="CK942" s="276"/>
      <c r="CL942" s="276"/>
      <c r="CM942" s="276"/>
      <c r="CN942" s="276"/>
      <c r="CO942" s="276"/>
      <c r="CP942" s="276"/>
      <c r="CQ942" s="276"/>
      <c r="CU942" s="276"/>
    </row>
    <row r="943" spans="75:99" ht="15.75">
      <c r="BW943" s="276"/>
      <c r="BY943" s="276"/>
      <c r="BZ943" s="276"/>
      <c r="CA943" s="276"/>
      <c r="CB943" s="276"/>
      <c r="CC943" s="276"/>
      <c r="CD943" s="276"/>
      <c r="CH943" s="276"/>
      <c r="CJ943" s="276"/>
      <c r="CK943" s="276"/>
      <c r="CL943" s="276"/>
      <c r="CM943" s="276"/>
      <c r="CN943" s="276"/>
      <c r="CO943" s="276"/>
      <c r="CP943" s="276"/>
      <c r="CQ943" s="276"/>
      <c r="CU943" s="276"/>
    </row>
    <row r="944" spans="75:99" ht="15.75">
      <c r="BW944" s="276"/>
      <c r="BY944" s="276"/>
      <c r="BZ944" s="276"/>
      <c r="CA944" s="276"/>
      <c r="CB944" s="276"/>
      <c r="CC944" s="276"/>
      <c r="CD944" s="276"/>
      <c r="CH944" s="276"/>
      <c r="CJ944" s="276"/>
      <c r="CK944" s="276"/>
      <c r="CL944" s="276"/>
      <c r="CM944" s="276"/>
      <c r="CN944" s="276"/>
      <c r="CO944" s="276"/>
      <c r="CP944" s="276"/>
      <c r="CQ944" s="276"/>
      <c r="CU944" s="276"/>
    </row>
    <row r="945" spans="75:99" ht="15.75">
      <c r="BW945" s="276"/>
      <c r="BY945" s="276"/>
      <c r="BZ945" s="276"/>
      <c r="CA945" s="276"/>
      <c r="CB945" s="276"/>
      <c r="CC945" s="276"/>
      <c r="CD945" s="276"/>
      <c r="CH945" s="276"/>
      <c r="CJ945" s="276"/>
      <c r="CK945" s="276"/>
      <c r="CL945" s="276"/>
      <c r="CM945" s="276"/>
      <c r="CN945" s="276"/>
      <c r="CO945" s="276"/>
      <c r="CP945" s="276"/>
      <c r="CQ945" s="276"/>
      <c r="CU945" s="276"/>
    </row>
    <row r="946" spans="75:99" ht="15.75">
      <c r="BW946" s="276"/>
      <c r="BY946" s="276"/>
      <c r="BZ946" s="276"/>
      <c r="CA946" s="276"/>
      <c r="CB946" s="276"/>
      <c r="CC946" s="276"/>
      <c r="CD946" s="276"/>
      <c r="CH946" s="276"/>
      <c r="CJ946" s="276"/>
      <c r="CK946" s="276"/>
      <c r="CL946" s="276"/>
      <c r="CM946" s="276"/>
      <c r="CN946" s="276"/>
      <c r="CO946" s="276"/>
      <c r="CP946" s="276"/>
      <c r="CQ946" s="276"/>
      <c r="CU946" s="276"/>
    </row>
    <row r="947" spans="75:99" ht="15.75">
      <c r="BW947" s="276"/>
      <c r="BY947" s="276"/>
      <c r="BZ947" s="276"/>
      <c r="CA947" s="276"/>
      <c r="CB947" s="276"/>
      <c r="CC947" s="276"/>
      <c r="CD947" s="276"/>
      <c r="CH947" s="276"/>
      <c r="CJ947" s="276"/>
      <c r="CK947" s="276"/>
      <c r="CL947" s="276"/>
      <c r="CM947" s="276"/>
      <c r="CN947" s="276"/>
      <c r="CO947" s="276"/>
      <c r="CP947" s="276"/>
      <c r="CQ947" s="276"/>
      <c r="CU947" s="276"/>
    </row>
    <row r="948" spans="75:99" ht="15.75">
      <c r="BW948" s="276"/>
      <c r="BY948" s="276"/>
      <c r="BZ948" s="276"/>
      <c r="CA948" s="276"/>
      <c r="CB948" s="276"/>
      <c r="CC948" s="276"/>
      <c r="CD948" s="276"/>
      <c r="CH948" s="276"/>
      <c r="CJ948" s="276"/>
      <c r="CK948" s="276"/>
      <c r="CL948" s="276"/>
      <c r="CM948" s="276"/>
      <c r="CN948" s="276"/>
      <c r="CO948" s="276"/>
      <c r="CP948" s="276"/>
      <c r="CQ948" s="276"/>
      <c r="CU948" s="276"/>
    </row>
    <row r="949" spans="75:99" ht="15.75">
      <c r="BW949" s="276"/>
      <c r="BY949" s="276"/>
      <c r="BZ949" s="276"/>
      <c r="CA949" s="276"/>
      <c r="CB949" s="276"/>
      <c r="CC949" s="276"/>
      <c r="CD949" s="276"/>
      <c r="CH949" s="276"/>
      <c r="CJ949" s="276"/>
      <c r="CK949" s="276"/>
      <c r="CL949" s="276"/>
      <c r="CM949" s="276"/>
      <c r="CN949" s="276"/>
      <c r="CO949" s="276"/>
      <c r="CP949" s="276"/>
      <c r="CQ949" s="276"/>
      <c r="CU949" s="276"/>
    </row>
    <row r="950" spans="75:99" ht="15.75">
      <c r="BW950" s="276"/>
      <c r="BY950" s="276"/>
      <c r="BZ950" s="276"/>
      <c r="CA950" s="276"/>
      <c r="CB950" s="276"/>
      <c r="CC950" s="276"/>
      <c r="CD950" s="276"/>
      <c r="CH950" s="276"/>
      <c r="CJ950" s="276"/>
      <c r="CK950" s="276"/>
      <c r="CL950" s="276"/>
      <c r="CM950" s="276"/>
      <c r="CN950" s="276"/>
      <c r="CO950" s="276"/>
      <c r="CP950" s="276"/>
      <c r="CQ950" s="276"/>
      <c r="CU950" s="276"/>
    </row>
    <row r="951" spans="75:99" ht="15.75">
      <c r="BW951" s="276"/>
      <c r="BY951" s="276"/>
      <c r="BZ951" s="276"/>
      <c r="CA951" s="276"/>
      <c r="CB951" s="276"/>
      <c r="CC951" s="276"/>
      <c r="CD951" s="276"/>
      <c r="CH951" s="276"/>
      <c r="CJ951" s="276"/>
      <c r="CK951" s="276"/>
      <c r="CL951" s="276"/>
      <c r="CM951" s="276"/>
      <c r="CN951" s="276"/>
      <c r="CO951" s="276"/>
      <c r="CP951" s="276"/>
      <c r="CQ951" s="276"/>
      <c r="CU951" s="276"/>
    </row>
    <row r="952" spans="75:99" ht="15.75">
      <c r="BW952" s="276"/>
      <c r="BY952" s="276"/>
      <c r="BZ952" s="276"/>
      <c r="CA952" s="276"/>
      <c r="CB952" s="276"/>
      <c r="CC952" s="276"/>
      <c r="CD952" s="276"/>
      <c r="CH952" s="276"/>
      <c r="CJ952" s="276"/>
      <c r="CK952" s="276"/>
      <c r="CL952" s="276"/>
      <c r="CM952" s="276"/>
      <c r="CN952" s="276"/>
      <c r="CO952" s="276"/>
      <c r="CP952" s="276"/>
      <c r="CQ952" s="276"/>
      <c r="CU952" s="276"/>
    </row>
    <row r="953" spans="75:99" ht="15.75">
      <c r="BW953" s="276"/>
      <c r="BY953" s="276"/>
      <c r="BZ953" s="276"/>
      <c r="CA953" s="276"/>
      <c r="CB953" s="276"/>
      <c r="CC953" s="276"/>
      <c r="CD953" s="276"/>
      <c r="CH953" s="276"/>
      <c r="CJ953" s="276"/>
      <c r="CK953" s="276"/>
      <c r="CL953" s="276"/>
      <c r="CM953" s="276"/>
      <c r="CN953" s="276"/>
      <c r="CO953" s="276"/>
      <c r="CP953" s="276"/>
      <c r="CQ953" s="276"/>
      <c r="CU953" s="276"/>
    </row>
    <row r="954" spans="75:99" ht="15.75">
      <c r="BW954" s="276"/>
      <c r="BY954" s="276"/>
      <c r="BZ954" s="276"/>
      <c r="CA954" s="276"/>
      <c r="CB954" s="276"/>
      <c r="CC954" s="276"/>
      <c r="CD954" s="276"/>
      <c r="CH954" s="276"/>
      <c r="CJ954" s="276"/>
      <c r="CK954" s="276"/>
      <c r="CL954" s="276"/>
      <c r="CM954" s="276"/>
      <c r="CN954" s="276"/>
      <c r="CO954" s="276"/>
      <c r="CP954" s="276"/>
      <c r="CQ954" s="276"/>
      <c r="CU954" s="276"/>
    </row>
    <row r="955" spans="75:99" ht="15.75">
      <c r="BW955" s="276"/>
      <c r="BY955" s="276"/>
      <c r="BZ955" s="276"/>
      <c r="CA955" s="276"/>
      <c r="CB955" s="276"/>
      <c r="CC955" s="276"/>
      <c r="CD955" s="276"/>
      <c r="CH955" s="276"/>
      <c r="CJ955" s="276"/>
      <c r="CK955" s="276"/>
      <c r="CL955" s="276"/>
      <c r="CM955" s="276"/>
      <c r="CN955" s="276"/>
      <c r="CO955" s="276"/>
      <c r="CP955" s="276"/>
      <c r="CQ955" s="276"/>
      <c r="CU955" s="276"/>
    </row>
    <row r="956" spans="75:99" ht="15.75">
      <c r="BW956" s="276"/>
      <c r="BY956" s="276"/>
      <c r="BZ956" s="276"/>
      <c r="CA956" s="276"/>
      <c r="CB956" s="276"/>
      <c r="CC956" s="276"/>
      <c r="CD956" s="276"/>
      <c r="CH956" s="276"/>
      <c r="CJ956" s="276"/>
      <c r="CK956" s="276"/>
      <c r="CL956" s="276"/>
      <c r="CM956" s="276"/>
      <c r="CN956" s="276"/>
      <c r="CO956" s="276"/>
      <c r="CP956" s="276"/>
      <c r="CQ956" s="276"/>
      <c r="CU956" s="276"/>
    </row>
    <row r="957" spans="75:99" ht="15.75">
      <c r="BW957" s="276"/>
      <c r="BY957" s="276"/>
      <c r="BZ957" s="276"/>
      <c r="CA957" s="276"/>
      <c r="CB957" s="276"/>
      <c r="CC957" s="276"/>
      <c r="CD957" s="276"/>
      <c r="CH957" s="276"/>
      <c r="CJ957" s="276"/>
      <c r="CK957" s="276"/>
      <c r="CL957" s="276"/>
      <c r="CM957" s="276"/>
      <c r="CN957" s="276"/>
      <c r="CO957" s="276"/>
      <c r="CP957" s="276"/>
      <c r="CQ957" s="276"/>
      <c r="CU957" s="276"/>
    </row>
    <row r="958" spans="75:99" ht="15.75">
      <c r="BW958" s="276"/>
      <c r="BY958" s="276"/>
      <c r="BZ958" s="276"/>
      <c r="CA958" s="276"/>
      <c r="CB958" s="276"/>
      <c r="CC958" s="276"/>
      <c r="CD958" s="276"/>
      <c r="CH958" s="276"/>
      <c r="CJ958" s="276"/>
      <c r="CK958" s="276"/>
      <c r="CL958" s="276"/>
      <c r="CM958" s="276"/>
      <c r="CN958" s="276"/>
      <c r="CO958" s="276"/>
      <c r="CP958" s="276"/>
      <c r="CQ958" s="276"/>
      <c r="CU958" s="276"/>
    </row>
    <row r="959" spans="75:99" ht="15.75">
      <c r="BW959" s="276"/>
      <c r="BY959" s="276"/>
      <c r="BZ959" s="276"/>
      <c r="CA959" s="276"/>
      <c r="CB959" s="276"/>
      <c r="CC959" s="276"/>
      <c r="CD959" s="276"/>
      <c r="CH959" s="276"/>
      <c r="CJ959" s="276"/>
      <c r="CK959" s="276"/>
      <c r="CL959" s="276"/>
      <c r="CM959" s="276"/>
      <c r="CN959" s="276"/>
      <c r="CO959" s="276"/>
      <c r="CP959" s="276"/>
      <c r="CQ959" s="276"/>
      <c r="CU959" s="276"/>
    </row>
    <row r="960" spans="75:99" ht="15.75">
      <c r="BW960" s="276"/>
      <c r="BY960" s="276"/>
      <c r="BZ960" s="276"/>
      <c r="CA960" s="276"/>
      <c r="CB960" s="276"/>
      <c r="CC960" s="276"/>
      <c r="CD960" s="276"/>
      <c r="CH960" s="276"/>
      <c r="CJ960" s="276"/>
      <c r="CK960" s="276"/>
      <c r="CL960" s="276"/>
      <c r="CM960" s="276"/>
      <c r="CN960" s="276"/>
      <c r="CO960" s="276"/>
      <c r="CP960" s="276"/>
      <c r="CQ960" s="276"/>
      <c r="CU960" s="276"/>
    </row>
    <row r="961" spans="75:99" ht="15.75">
      <c r="BW961" s="276"/>
      <c r="BY961" s="276"/>
      <c r="BZ961" s="276"/>
      <c r="CA961" s="276"/>
      <c r="CB961" s="276"/>
      <c r="CC961" s="276"/>
      <c r="CD961" s="276"/>
      <c r="CH961" s="276"/>
      <c r="CJ961" s="276"/>
      <c r="CK961" s="276"/>
      <c r="CL961" s="276"/>
      <c r="CM961" s="276"/>
      <c r="CN961" s="276"/>
      <c r="CO961" s="276"/>
      <c r="CP961" s="276"/>
      <c r="CQ961" s="276"/>
      <c r="CU961" s="276"/>
    </row>
    <row r="962" spans="75:99" ht="15.75">
      <c r="BW962" s="276"/>
      <c r="BY962" s="276"/>
      <c r="BZ962" s="276"/>
      <c r="CA962" s="276"/>
      <c r="CB962" s="276"/>
      <c r="CC962" s="276"/>
      <c r="CD962" s="276"/>
      <c r="CH962" s="276"/>
      <c r="CJ962" s="276"/>
      <c r="CK962" s="276"/>
      <c r="CL962" s="276"/>
      <c r="CM962" s="276"/>
      <c r="CN962" s="276"/>
      <c r="CO962" s="276"/>
      <c r="CP962" s="276"/>
      <c r="CQ962" s="276"/>
      <c r="CU962" s="276"/>
    </row>
    <row r="963" spans="75:99" ht="15.75">
      <c r="BW963" s="276"/>
      <c r="BY963" s="276"/>
      <c r="BZ963" s="276"/>
      <c r="CA963" s="276"/>
      <c r="CB963" s="276"/>
      <c r="CC963" s="276"/>
      <c r="CD963" s="276"/>
      <c r="CH963" s="276"/>
      <c r="CJ963" s="276"/>
      <c r="CK963" s="276"/>
      <c r="CL963" s="276"/>
      <c r="CM963" s="276"/>
      <c r="CN963" s="276"/>
      <c r="CO963" s="276"/>
      <c r="CP963" s="276"/>
      <c r="CQ963" s="276"/>
      <c r="CU963" s="276"/>
    </row>
    <row r="964" spans="75:99" ht="15.75">
      <c r="BW964" s="276"/>
      <c r="BY964" s="276"/>
      <c r="BZ964" s="276"/>
      <c r="CA964" s="276"/>
      <c r="CB964" s="276"/>
      <c r="CC964" s="276"/>
      <c r="CD964" s="276"/>
      <c r="CH964" s="276"/>
      <c r="CJ964" s="276"/>
      <c r="CK964" s="276"/>
      <c r="CL964" s="276"/>
      <c r="CM964" s="276"/>
      <c r="CN964" s="276"/>
      <c r="CO964" s="276"/>
      <c r="CP964" s="276"/>
      <c r="CQ964" s="276"/>
      <c r="CU964" s="276"/>
    </row>
    <row r="965" spans="75:99" ht="15.75">
      <c r="BW965" s="276"/>
      <c r="BY965" s="276"/>
      <c r="BZ965" s="276"/>
      <c r="CA965" s="276"/>
      <c r="CB965" s="276"/>
      <c r="CC965" s="276"/>
      <c r="CD965" s="276"/>
      <c r="CH965" s="276"/>
      <c r="CJ965" s="276"/>
      <c r="CK965" s="276"/>
      <c r="CL965" s="276"/>
      <c r="CM965" s="276"/>
      <c r="CN965" s="276"/>
      <c r="CO965" s="276"/>
      <c r="CP965" s="276"/>
      <c r="CQ965" s="276"/>
      <c r="CU965" s="276"/>
    </row>
    <row r="966" spans="75:99" ht="15.75">
      <c r="BW966" s="276"/>
      <c r="BY966" s="276"/>
      <c r="BZ966" s="276"/>
      <c r="CA966" s="276"/>
      <c r="CB966" s="276"/>
      <c r="CC966" s="276"/>
      <c r="CD966" s="276"/>
      <c r="CH966" s="276"/>
      <c r="CJ966" s="276"/>
      <c r="CK966" s="276"/>
      <c r="CL966" s="276"/>
      <c r="CM966" s="276"/>
      <c r="CN966" s="276"/>
      <c r="CO966" s="276"/>
      <c r="CP966" s="276"/>
      <c r="CQ966" s="276"/>
      <c r="CU966" s="276"/>
    </row>
    <row r="967" spans="75:99" ht="15.75">
      <c r="BW967" s="276"/>
      <c r="BY967" s="276"/>
      <c r="BZ967" s="276"/>
      <c r="CA967" s="276"/>
      <c r="CB967" s="276"/>
      <c r="CC967" s="276"/>
      <c r="CD967" s="276"/>
      <c r="CH967" s="276"/>
      <c r="CJ967" s="276"/>
      <c r="CK967" s="276"/>
      <c r="CL967" s="276"/>
      <c r="CM967" s="276"/>
      <c r="CN967" s="276"/>
      <c r="CO967" s="276"/>
      <c r="CP967" s="276"/>
      <c r="CQ967" s="276"/>
      <c r="CU967" s="276"/>
    </row>
    <row r="968" spans="75:99" ht="15.75">
      <c r="BW968" s="276"/>
      <c r="BY968" s="276"/>
      <c r="BZ968" s="276"/>
      <c r="CA968" s="276"/>
      <c r="CB968" s="276"/>
      <c r="CC968" s="276"/>
      <c r="CD968" s="276"/>
      <c r="CH968" s="276"/>
      <c r="CJ968" s="276"/>
      <c r="CK968" s="276"/>
      <c r="CL968" s="276"/>
      <c r="CM968" s="276"/>
      <c r="CN968" s="276"/>
      <c r="CO968" s="276"/>
      <c r="CP968" s="276"/>
      <c r="CQ968" s="276"/>
      <c r="CU968" s="276"/>
    </row>
    <row r="969" spans="75:99" ht="15.75">
      <c r="BW969" s="276"/>
      <c r="BY969" s="276"/>
      <c r="BZ969" s="276"/>
      <c r="CA969" s="276"/>
      <c r="CB969" s="276"/>
      <c r="CC969" s="276"/>
      <c r="CD969" s="276"/>
      <c r="CH969" s="276"/>
      <c r="CJ969" s="276"/>
      <c r="CK969" s="276"/>
      <c r="CL969" s="276"/>
      <c r="CM969" s="276"/>
      <c r="CN969" s="276"/>
      <c r="CO969" s="276"/>
      <c r="CP969" s="276"/>
      <c r="CQ969" s="276"/>
      <c r="CU969" s="276"/>
    </row>
    <row r="970" spans="75:99" ht="15.75">
      <c r="BW970" s="276"/>
      <c r="BY970" s="276"/>
      <c r="BZ970" s="276"/>
      <c r="CA970" s="276"/>
      <c r="CB970" s="276"/>
      <c r="CC970" s="276"/>
      <c r="CD970" s="276"/>
      <c r="CH970" s="276"/>
      <c r="CJ970" s="276"/>
      <c r="CK970" s="276"/>
      <c r="CL970" s="276"/>
      <c r="CM970" s="276"/>
      <c r="CN970" s="276"/>
      <c r="CO970" s="276"/>
      <c r="CP970" s="276"/>
      <c r="CQ970" s="276"/>
      <c r="CU970" s="276"/>
    </row>
    <row r="971" spans="75:99" ht="15.75">
      <c r="BW971" s="276"/>
      <c r="BY971" s="276"/>
      <c r="BZ971" s="276"/>
      <c r="CA971" s="276"/>
      <c r="CB971" s="276"/>
      <c r="CC971" s="276"/>
      <c r="CD971" s="276"/>
      <c r="CH971" s="276"/>
      <c r="CJ971" s="276"/>
      <c r="CK971" s="276"/>
      <c r="CL971" s="276"/>
      <c r="CM971" s="276"/>
      <c r="CN971" s="276"/>
      <c r="CO971" s="276"/>
      <c r="CP971" s="276"/>
      <c r="CQ971" s="276"/>
      <c r="CU971" s="276"/>
    </row>
    <row r="972" spans="75:99" ht="15.75">
      <c r="BW972" s="276"/>
      <c r="BY972" s="276"/>
      <c r="BZ972" s="276"/>
      <c r="CA972" s="276"/>
      <c r="CB972" s="276"/>
      <c r="CC972" s="276"/>
      <c r="CD972" s="276"/>
      <c r="CH972" s="276"/>
      <c r="CJ972" s="276"/>
      <c r="CK972" s="276"/>
      <c r="CL972" s="276"/>
      <c r="CM972" s="276"/>
      <c r="CN972" s="276"/>
      <c r="CO972" s="276"/>
      <c r="CP972" s="276"/>
      <c r="CQ972" s="276"/>
      <c r="CU972" s="276"/>
    </row>
    <row r="973" spans="75:99" ht="15.75">
      <c r="BW973" s="276"/>
      <c r="BY973" s="276"/>
      <c r="BZ973" s="276"/>
      <c r="CA973" s="276"/>
      <c r="CB973" s="276"/>
      <c r="CC973" s="276"/>
      <c r="CD973" s="276"/>
      <c r="CH973" s="276"/>
      <c r="CJ973" s="276"/>
      <c r="CK973" s="276"/>
      <c r="CL973" s="276"/>
      <c r="CM973" s="276"/>
      <c r="CN973" s="276"/>
      <c r="CO973" s="276"/>
      <c r="CP973" s="276"/>
      <c r="CQ973" s="276"/>
      <c r="CU973" s="276"/>
    </row>
    <row r="974" spans="75:99" ht="15.75">
      <c r="BW974" s="276"/>
      <c r="BY974" s="276"/>
      <c r="BZ974" s="276"/>
      <c r="CA974" s="276"/>
      <c r="CB974" s="276"/>
      <c r="CC974" s="276"/>
      <c r="CD974" s="276"/>
      <c r="CH974" s="276"/>
      <c r="CJ974" s="276"/>
      <c r="CK974" s="276"/>
      <c r="CL974" s="276"/>
      <c r="CM974" s="276"/>
      <c r="CN974" s="276"/>
      <c r="CO974" s="276"/>
      <c r="CP974" s="276"/>
      <c r="CQ974" s="276"/>
      <c r="CU974" s="276"/>
    </row>
    <row r="975" spans="75:99" ht="15.75">
      <c r="BW975" s="276"/>
      <c r="BY975" s="276"/>
      <c r="BZ975" s="276"/>
      <c r="CA975" s="276"/>
      <c r="CB975" s="276"/>
      <c r="CC975" s="276"/>
      <c r="CD975" s="276"/>
      <c r="CH975" s="276"/>
      <c r="CJ975" s="276"/>
      <c r="CK975" s="276"/>
      <c r="CL975" s="276"/>
      <c r="CM975" s="276"/>
      <c r="CN975" s="276"/>
      <c r="CO975" s="276"/>
      <c r="CP975" s="276"/>
      <c r="CQ975" s="276"/>
      <c r="CU975" s="276"/>
    </row>
    <row r="976" spans="75:99" ht="15.75">
      <c r="BW976" s="276"/>
      <c r="BY976" s="276"/>
      <c r="BZ976" s="276"/>
      <c r="CA976" s="276"/>
      <c r="CB976" s="276"/>
      <c r="CC976" s="276"/>
      <c r="CD976" s="276"/>
      <c r="CH976" s="276"/>
      <c r="CJ976" s="276"/>
      <c r="CK976" s="276"/>
      <c r="CL976" s="276"/>
      <c r="CM976" s="276"/>
      <c r="CN976" s="276"/>
      <c r="CO976" s="276"/>
      <c r="CP976" s="276"/>
      <c r="CQ976" s="276"/>
      <c r="CU976" s="276"/>
    </row>
    <row r="977" spans="75:99" ht="15.75">
      <c r="BW977" s="276"/>
      <c r="BY977" s="276"/>
      <c r="BZ977" s="276"/>
      <c r="CA977" s="276"/>
      <c r="CB977" s="276"/>
      <c r="CC977" s="276"/>
      <c r="CD977" s="276"/>
      <c r="CH977" s="276"/>
      <c r="CJ977" s="276"/>
      <c r="CK977" s="276"/>
      <c r="CL977" s="276"/>
      <c r="CM977" s="276"/>
      <c r="CN977" s="276"/>
      <c r="CO977" s="276"/>
      <c r="CP977" s="276"/>
      <c r="CQ977" s="276"/>
      <c r="CU977" s="276"/>
    </row>
    <row r="978" spans="75:99" ht="15.75">
      <c r="BW978" s="276"/>
      <c r="BY978" s="276"/>
      <c r="BZ978" s="276"/>
      <c r="CA978" s="276"/>
      <c r="CB978" s="276"/>
      <c r="CC978" s="276"/>
      <c r="CD978" s="276"/>
      <c r="CH978" s="276"/>
      <c r="CJ978" s="276"/>
      <c r="CK978" s="276"/>
      <c r="CL978" s="276"/>
      <c r="CM978" s="276"/>
      <c r="CN978" s="276"/>
      <c r="CO978" s="276"/>
      <c r="CP978" s="276"/>
      <c r="CQ978" s="276"/>
      <c r="CU978" s="276"/>
    </row>
    <row r="979" spans="75:99" ht="15.75">
      <c r="BW979" s="276"/>
      <c r="BY979" s="276"/>
      <c r="BZ979" s="276"/>
      <c r="CA979" s="276"/>
      <c r="CB979" s="276"/>
      <c r="CC979" s="276"/>
      <c r="CD979" s="276"/>
      <c r="CH979" s="276"/>
      <c r="CJ979" s="276"/>
      <c r="CK979" s="276"/>
      <c r="CL979" s="276"/>
      <c r="CM979" s="276"/>
      <c r="CN979" s="276"/>
      <c r="CO979" s="276"/>
      <c r="CP979" s="276"/>
      <c r="CQ979" s="276"/>
      <c r="CU979" s="276"/>
    </row>
    <row r="980" spans="75:99" ht="15.75">
      <c r="BW980" s="276"/>
      <c r="BY980" s="276"/>
      <c r="BZ980" s="276"/>
      <c r="CA980" s="276"/>
      <c r="CB980" s="276"/>
      <c r="CC980" s="276"/>
      <c r="CD980" s="276"/>
      <c r="CH980" s="276"/>
      <c r="CJ980" s="276"/>
      <c r="CK980" s="276"/>
      <c r="CL980" s="276"/>
      <c r="CM980" s="276"/>
      <c r="CN980" s="276"/>
      <c r="CO980" s="276"/>
      <c r="CP980" s="276"/>
      <c r="CQ980" s="276"/>
      <c r="CU980" s="276"/>
    </row>
    <row r="981" spans="75:99" ht="15.75">
      <c r="BW981" s="276"/>
      <c r="BY981" s="276"/>
      <c r="BZ981" s="276"/>
      <c r="CA981" s="276"/>
      <c r="CB981" s="276"/>
      <c r="CC981" s="276"/>
      <c r="CD981" s="276"/>
      <c r="CH981" s="276"/>
      <c r="CJ981" s="276"/>
      <c r="CK981" s="276"/>
      <c r="CL981" s="276"/>
      <c r="CM981" s="276"/>
      <c r="CN981" s="276"/>
      <c r="CO981" s="276"/>
      <c r="CP981" s="276"/>
      <c r="CQ981" s="276"/>
      <c r="CU981" s="276"/>
    </row>
    <row r="982" spans="75:99" ht="15.75">
      <c r="BW982" s="276"/>
      <c r="BY982" s="276"/>
      <c r="BZ982" s="276"/>
      <c r="CA982" s="276"/>
      <c r="CB982" s="276"/>
      <c r="CC982" s="276"/>
      <c r="CD982" s="276"/>
      <c r="CH982" s="276"/>
      <c r="CJ982" s="276"/>
      <c r="CK982" s="276"/>
      <c r="CL982" s="276"/>
      <c r="CM982" s="276"/>
      <c r="CN982" s="276"/>
      <c r="CO982" s="276"/>
      <c r="CP982" s="276"/>
      <c r="CQ982" s="276"/>
      <c r="CU982" s="276"/>
    </row>
    <row r="983" spans="75:99" ht="15.75">
      <c r="BW983" s="276"/>
      <c r="BY983" s="276"/>
      <c r="BZ983" s="276"/>
      <c r="CA983" s="276"/>
      <c r="CB983" s="276"/>
      <c r="CC983" s="276"/>
      <c r="CD983" s="276"/>
      <c r="CH983" s="276"/>
      <c r="CJ983" s="276"/>
      <c r="CK983" s="276"/>
      <c r="CL983" s="276"/>
      <c r="CM983" s="276"/>
      <c r="CN983" s="276"/>
      <c r="CO983" s="276"/>
      <c r="CP983" s="276"/>
      <c r="CQ983" s="276"/>
      <c r="CU983" s="276"/>
    </row>
    <row r="984" spans="75:99" ht="15.75">
      <c r="BW984" s="276"/>
      <c r="BY984" s="276"/>
      <c r="BZ984" s="276"/>
      <c r="CA984" s="276"/>
      <c r="CB984" s="276"/>
      <c r="CC984" s="276"/>
      <c r="CD984" s="276"/>
      <c r="CH984" s="276"/>
      <c r="CJ984" s="276"/>
      <c r="CK984" s="276"/>
      <c r="CL984" s="276"/>
      <c r="CM984" s="276"/>
      <c r="CN984" s="276"/>
      <c r="CO984" s="276"/>
      <c r="CP984" s="276"/>
      <c r="CQ984" s="276"/>
      <c r="CU984" s="276"/>
    </row>
    <row r="985" spans="75:99" ht="15.75">
      <c r="BW985" s="276"/>
      <c r="BY985" s="276"/>
      <c r="BZ985" s="276"/>
      <c r="CA985" s="276"/>
      <c r="CB985" s="276"/>
      <c r="CC985" s="276"/>
      <c r="CD985" s="276"/>
      <c r="CH985" s="276"/>
      <c r="CJ985" s="276"/>
      <c r="CK985" s="276"/>
      <c r="CL985" s="276"/>
      <c r="CM985" s="276"/>
      <c r="CN985" s="276"/>
      <c r="CO985" s="276"/>
      <c r="CP985" s="276"/>
      <c r="CQ985" s="276"/>
      <c r="CU985" s="276"/>
    </row>
    <row r="986" spans="75:99" ht="15.75">
      <c r="BW986" s="276"/>
      <c r="BY986" s="276"/>
      <c r="BZ986" s="276"/>
      <c r="CA986" s="276"/>
      <c r="CB986" s="276"/>
      <c r="CC986" s="276"/>
      <c r="CD986" s="276"/>
      <c r="CH986" s="276"/>
      <c r="CJ986" s="276"/>
      <c r="CK986" s="276"/>
      <c r="CL986" s="276"/>
      <c r="CM986" s="276"/>
      <c r="CN986" s="276"/>
      <c r="CO986" s="276"/>
      <c r="CP986" s="276"/>
      <c r="CQ986" s="276"/>
      <c r="CU986" s="276"/>
    </row>
    <row r="987" spans="75:99" ht="15.75">
      <c r="BW987" s="276"/>
      <c r="BY987" s="276"/>
      <c r="BZ987" s="276"/>
      <c r="CA987" s="276"/>
      <c r="CB987" s="276"/>
      <c r="CC987" s="276"/>
      <c r="CD987" s="276"/>
      <c r="CH987" s="276"/>
      <c r="CJ987" s="276"/>
      <c r="CK987" s="276"/>
      <c r="CL987" s="276"/>
      <c r="CM987" s="276"/>
      <c r="CN987" s="276"/>
      <c r="CO987" s="276"/>
      <c r="CP987" s="276"/>
      <c r="CQ987" s="276"/>
      <c r="CU987" s="276"/>
    </row>
    <row r="988" spans="75:99" ht="15.75">
      <c r="BW988" s="276"/>
      <c r="BY988" s="276"/>
      <c r="BZ988" s="276"/>
      <c r="CA988" s="276"/>
      <c r="CB988" s="276"/>
      <c r="CC988" s="276"/>
      <c r="CD988" s="276"/>
      <c r="CH988" s="276"/>
      <c r="CJ988" s="276"/>
      <c r="CK988" s="276"/>
      <c r="CL988" s="276"/>
      <c r="CM988" s="276"/>
      <c r="CN988" s="276"/>
      <c r="CO988" s="276"/>
      <c r="CP988" s="276"/>
      <c r="CQ988" s="276"/>
      <c r="CU988" s="276"/>
    </row>
    <row r="989" spans="75:99" ht="15.75">
      <c r="BW989" s="276"/>
      <c r="BY989" s="276"/>
      <c r="BZ989" s="276"/>
      <c r="CA989" s="276"/>
      <c r="CB989" s="276"/>
      <c r="CC989" s="276"/>
      <c r="CD989" s="276"/>
      <c r="CH989" s="276"/>
      <c r="CJ989" s="276"/>
      <c r="CK989" s="276"/>
      <c r="CL989" s="276"/>
      <c r="CM989" s="276"/>
      <c r="CN989" s="276"/>
      <c r="CO989" s="276"/>
      <c r="CP989" s="276"/>
      <c r="CQ989" s="276"/>
      <c r="CU989" s="276"/>
    </row>
    <row r="990" spans="75:99" ht="15.75">
      <c r="BW990" s="276"/>
      <c r="BY990" s="276"/>
      <c r="BZ990" s="276"/>
      <c r="CA990" s="276"/>
      <c r="CB990" s="276"/>
      <c r="CC990" s="276"/>
      <c r="CD990" s="276"/>
      <c r="CH990" s="276"/>
      <c r="CJ990" s="276"/>
      <c r="CK990" s="276"/>
      <c r="CL990" s="276"/>
      <c r="CM990" s="276"/>
      <c r="CN990" s="276"/>
      <c r="CO990" s="276"/>
      <c r="CP990" s="276"/>
      <c r="CQ990" s="276"/>
      <c r="CU990" s="276"/>
    </row>
    <row r="991" spans="75:99" ht="15.75">
      <c r="BW991" s="276"/>
      <c r="BY991" s="276"/>
      <c r="BZ991" s="276"/>
      <c r="CA991" s="276"/>
      <c r="CB991" s="276"/>
      <c r="CC991" s="276"/>
      <c r="CD991" s="276"/>
      <c r="CH991" s="276"/>
      <c r="CJ991" s="276"/>
      <c r="CK991" s="276"/>
      <c r="CL991" s="276"/>
      <c r="CM991" s="276"/>
      <c r="CN991" s="276"/>
      <c r="CO991" s="276"/>
      <c r="CP991" s="276"/>
      <c r="CQ991" s="276"/>
      <c r="CU991" s="276"/>
    </row>
    <row r="992" spans="75:99" ht="15.75">
      <c r="BW992" s="276"/>
      <c r="BY992" s="276"/>
      <c r="BZ992" s="276"/>
      <c r="CA992" s="276"/>
      <c r="CB992" s="276"/>
      <c r="CC992" s="276"/>
      <c r="CD992" s="276"/>
      <c r="CH992" s="276"/>
      <c r="CJ992" s="276"/>
      <c r="CK992" s="276"/>
      <c r="CL992" s="276"/>
      <c r="CM992" s="276"/>
      <c r="CN992" s="276"/>
      <c r="CO992" s="276"/>
      <c r="CP992" s="276"/>
      <c r="CQ992" s="276"/>
      <c r="CU992" s="276"/>
    </row>
    <row r="993" spans="75:99" ht="15.75">
      <c r="BW993" s="276"/>
      <c r="BY993" s="276"/>
      <c r="BZ993" s="276"/>
      <c r="CA993" s="276"/>
      <c r="CB993" s="276"/>
      <c r="CC993" s="276"/>
      <c r="CD993" s="276"/>
      <c r="CH993" s="276"/>
      <c r="CJ993" s="276"/>
      <c r="CK993" s="276"/>
      <c r="CL993" s="276"/>
      <c r="CM993" s="276"/>
      <c r="CN993" s="276"/>
      <c r="CO993" s="276"/>
      <c r="CP993" s="276"/>
      <c r="CQ993" s="276"/>
      <c r="CU993" s="276"/>
    </row>
    <row r="994" spans="75:99" ht="15.75">
      <c r="BW994" s="276"/>
      <c r="BY994" s="276"/>
      <c r="BZ994" s="276"/>
      <c r="CA994" s="276"/>
      <c r="CB994" s="276"/>
      <c r="CC994" s="276"/>
      <c r="CD994" s="276"/>
      <c r="CH994" s="276"/>
      <c r="CJ994" s="276"/>
      <c r="CK994" s="276"/>
      <c r="CL994" s="276"/>
      <c r="CM994" s="276"/>
      <c r="CN994" s="276"/>
      <c r="CO994" s="276"/>
      <c r="CP994" s="276"/>
      <c r="CQ994" s="276"/>
      <c r="CU994" s="276"/>
    </row>
    <row r="995" spans="75:99" ht="15.75">
      <c r="BW995" s="276"/>
      <c r="BY995" s="276"/>
      <c r="BZ995" s="276"/>
      <c r="CA995" s="276"/>
      <c r="CB995" s="276"/>
      <c r="CC995" s="276"/>
      <c r="CD995" s="276"/>
      <c r="CH995" s="276"/>
      <c r="CJ995" s="276"/>
      <c r="CK995" s="276"/>
      <c r="CL995" s="276"/>
      <c r="CM995" s="276"/>
      <c r="CN995" s="276"/>
      <c r="CO995" s="276"/>
      <c r="CP995" s="276"/>
      <c r="CQ995" s="276"/>
      <c r="CU995" s="276"/>
    </row>
    <row r="996" spans="75:99" ht="15.75">
      <c r="BW996" s="276"/>
      <c r="BY996" s="276"/>
      <c r="BZ996" s="276"/>
      <c r="CA996" s="276"/>
      <c r="CB996" s="276"/>
      <c r="CC996" s="276"/>
      <c r="CD996" s="276"/>
      <c r="CH996" s="276"/>
      <c r="CJ996" s="276"/>
      <c r="CK996" s="276"/>
      <c r="CL996" s="276"/>
      <c r="CM996" s="276"/>
      <c r="CN996" s="276"/>
      <c r="CO996" s="276"/>
      <c r="CP996" s="276"/>
      <c r="CQ996" s="276"/>
      <c r="CU996" s="276"/>
    </row>
    <row r="997" spans="75:99" ht="15.75">
      <c r="BW997" s="276"/>
      <c r="BY997" s="276"/>
      <c r="BZ997" s="276"/>
      <c r="CA997" s="276"/>
      <c r="CB997" s="276"/>
      <c r="CC997" s="276"/>
      <c r="CD997" s="276"/>
      <c r="CH997" s="276"/>
      <c r="CJ997" s="276"/>
      <c r="CK997" s="276"/>
      <c r="CL997" s="276"/>
      <c r="CM997" s="276"/>
      <c r="CN997" s="276"/>
      <c r="CO997" s="276"/>
      <c r="CP997" s="276"/>
      <c r="CQ997" s="276"/>
      <c r="CU997" s="276"/>
    </row>
    <row r="998" spans="75:99" ht="15.75">
      <c r="BW998" s="276"/>
      <c r="BY998" s="276"/>
      <c r="BZ998" s="276"/>
      <c r="CA998" s="276"/>
      <c r="CB998" s="276"/>
      <c r="CC998" s="276"/>
      <c r="CD998" s="276"/>
      <c r="CH998" s="276"/>
      <c r="CJ998" s="276"/>
      <c r="CK998" s="276"/>
      <c r="CL998" s="276"/>
      <c r="CM998" s="276"/>
      <c r="CN998" s="276"/>
      <c r="CO998" s="276"/>
      <c r="CP998" s="276"/>
      <c r="CQ998" s="276"/>
      <c r="CU998" s="276"/>
    </row>
    <row r="999" spans="75:99" ht="15.75">
      <c r="BW999" s="276"/>
      <c r="BY999" s="276"/>
      <c r="BZ999" s="276"/>
      <c r="CA999" s="276"/>
      <c r="CB999" s="276"/>
      <c r="CC999" s="276"/>
      <c r="CD999" s="276"/>
      <c r="CH999" s="276"/>
      <c r="CJ999" s="276"/>
      <c r="CK999" s="276"/>
      <c r="CL999" s="276"/>
      <c r="CM999" s="276"/>
      <c r="CN999" s="276"/>
      <c r="CO999" s="276"/>
      <c r="CP999" s="276"/>
      <c r="CQ999" s="276"/>
      <c r="CU999" s="276"/>
    </row>
    <row r="1000" spans="75:99" ht="15.75">
      <c r="BW1000" s="276"/>
      <c r="BY1000" s="276"/>
      <c r="BZ1000" s="276"/>
      <c r="CA1000" s="276"/>
      <c r="CB1000" s="276"/>
      <c r="CC1000" s="276"/>
      <c r="CD1000" s="276"/>
      <c r="CH1000" s="276"/>
      <c r="CJ1000" s="276"/>
      <c r="CK1000" s="276"/>
      <c r="CL1000" s="276"/>
      <c r="CM1000" s="276"/>
      <c r="CN1000" s="276"/>
      <c r="CO1000" s="276"/>
      <c r="CP1000" s="276"/>
      <c r="CQ1000" s="276"/>
      <c r="CU1000" s="276"/>
    </row>
    <row r="1001" spans="75:99" ht="15.75">
      <c r="BW1001" s="276"/>
      <c r="BY1001" s="276"/>
      <c r="BZ1001" s="276"/>
      <c r="CA1001" s="276"/>
      <c r="CB1001" s="276"/>
      <c r="CC1001" s="276"/>
      <c r="CD1001" s="276"/>
      <c r="CH1001" s="276"/>
      <c r="CJ1001" s="276"/>
      <c r="CK1001" s="276"/>
      <c r="CL1001" s="276"/>
      <c r="CM1001" s="276"/>
      <c r="CN1001" s="276"/>
      <c r="CO1001" s="276"/>
      <c r="CP1001" s="276"/>
      <c r="CQ1001" s="276"/>
      <c r="CU1001" s="276"/>
    </row>
    <row r="1002" spans="75:99" ht="15.75">
      <c r="BW1002" s="276"/>
      <c r="BY1002" s="276"/>
      <c r="BZ1002" s="276"/>
      <c r="CA1002" s="276"/>
      <c r="CB1002" s="276"/>
      <c r="CC1002" s="276"/>
      <c r="CD1002" s="276"/>
      <c r="CH1002" s="276"/>
      <c r="CJ1002" s="276"/>
      <c r="CK1002" s="276"/>
      <c r="CL1002" s="276"/>
      <c r="CM1002" s="276"/>
      <c r="CN1002" s="276"/>
      <c r="CO1002" s="276"/>
      <c r="CP1002" s="276"/>
      <c r="CQ1002" s="276"/>
      <c r="CU1002" s="276"/>
    </row>
    <row r="1003" spans="75:99" ht="15.75">
      <c r="BW1003" s="276"/>
      <c r="BY1003" s="276"/>
      <c r="BZ1003" s="276"/>
      <c r="CA1003" s="276"/>
      <c r="CB1003" s="276"/>
      <c r="CC1003" s="276"/>
      <c r="CD1003" s="276"/>
      <c r="CH1003" s="276"/>
      <c r="CJ1003" s="276"/>
      <c r="CK1003" s="276"/>
      <c r="CL1003" s="276"/>
      <c r="CM1003" s="276"/>
      <c r="CN1003" s="276"/>
      <c r="CO1003" s="276"/>
      <c r="CP1003" s="276"/>
      <c r="CQ1003" s="276"/>
      <c r="CU1003" s="276"/>
    </row>
    <row r="1004" spans="75:99" ht="15.75">
      <c r="BW1004" s="276"/>
      <c r="BY1004" s="276"/>
      <c r="BZ1004" s="276"/>
      <c r="CA1004" s="276"/>
      <c r="CB1004" s="276"/>
      <c r="CC1004" s="276"/>
      <c r="CD1004" s="276"/>
      <c r="CH1004" s="276"/>
      <c r="CJ1004" s="276"/>
      <c r="CK1004" s="276"/>
      <c r="CL1004" s="276"/>
      <c r="CM1004" s="276"/>
      <c r="CN1004" s="276"/>
      <c r="CO1004" s="276"/>
      <c r="CP1004" s="276"/>
      <c r="CQ1004" s="276"/>
      <c r="CU1004" s="276"/>
    </row>
    <row r="1005" spans="75:99" ht="15.75">
      <c r="BW1005" s="276"/>
      <c r="BY1005" s="276"/>
      <c r="BZ1005" s="276"/>
      <c r="CA1005" s="276"/>
      <c r="CB1005" s="276"/>
      <c r="CC1005" s="276"/>
      <c r="CD1005" s="276"/>
      <c r="CH1005" s="276"/>
      <c r="CJ1005" s="276"/>
      <c r="CK1005" s="276"/>
      <c r="CL1005" s="276"/>
      <c r="CM1005" s="276"/>
      <c r="CN1005" s="276"/>
      <c r="CO1005" s="276"/>
      <c r="CP1005" s="276"/>
      <c r="CQ1005" s="276"/>
      <c r="CU1005" s="276"/>
    </row>
    <row r="1006" spans="75:99" ht="15.75">
      <c r="BW1006" s="276"/>
      <c r="BY1006" s="276"/>
      <c r="BZ1006" s="276"/>
      <c r="CA1006" s="276"/>
      <c r="CB1006" s="276"/>
      <c r="CC1006" s="276"/>
      <c r="CD1006" s="276"/>
      <c r="CH1006" s="276"/>
      <c r="CJ1006" s="276"/>
      <c r="CK1006" s="276"/>
      <c r="CL1006" s="276"/>
      <c r="CM1006" s="276"/>
      <c r="CN1006" s="276"/>
      <c r="CO1006" s="276"/>
      <c r="CP1006" s="276"/>
      <c r="CQ1006" s="276"/>
      <c r="CU1006" s="276"/>
    </row>
    <row r="1007" spans="75:99" ht="15.75">
      <c r="BW1007" s="276"/>
      <c r="BY1007" s="276"/>
      <c r="BZ1007" s="276"/>
      <c r="CA1007" s="276"/>
      <c r="CB1007" s="276"/>
      <c r="CC1007" s="276"/>
      <c r="CD1007" s="276"/>
      <c r="CH1007" s="276"/>
      <c r="CJ1007" s="276"/>
      <c r="CK1007" s="276"/>
      <c r="CL1007" s="276"/>
      <c r="CM1007" s="276"/>
      <c r="CN1007" s="276"/>
      <c r="CO1007" s="276"/>
      <c r="CP1007" s="276"/>
      <c r="CQ1007" s="276"/>
      <c r="CU1007" s="276"/>
    </row>
    <row r="1008" spans="75:99" ht="15.75">
      <c r="BW1008" s="276"/>
      <c r="BY1008" s="276"/>
      <c r="BZ1008" s="276"/>
      <c r="CA1008" s="276"/>
      <c r="CB1008" s="276"/>
      <c r="CC1008" s="276"/>
      <c r="CD1008" s="276"/>
      <c r="CH1008" s="276"/>
      <c r="CJ1008" s="276"/>
      <c r="CK1008" s="276"/>
      <c r="CL1008" s="276"/>
      <c r="CM1008" s="276"/>
      <c r="CN1008" s="276"/>
      <c r="CO1008" s="276"/>
      <c r="CP1008" s="276"/>
      <c r="CQ1008" s="276"/>
      <c r="CU1008" s="276"/>
    </row>
    <row r="1009" spans="75:99" ht="15.75">
      <c r="BW1009" s="276"/>
      <c r="BY1009" s="276"/>
      <c r="BZ1009" s="276"/>
      <c r="CA1009" s="276"/>
      <c r="CB1009" s="276"/>
      <c r="CC1009" s="276"/>
      <c r="CD1009" s="276"/>
      <c r="CH1009" s="276"/>
      <c r="CJ1009" s="276"/>
      <c r="CK1009" s="276"/>
      <c r="CL1009" s="276"/>
      <c r="CM1009" s="276"/>
      <c r="CN1009" s="276"/>
      <c r="CO1009" s="276"/>
      <c r="CP1009" s="276"/>
      <c r="CQ1009" s="276"/>
      <c r="CU1009" s="276"/>
    </row>
    <row r="1010" spans="75:99" ht="15.75">
      <c r="BW1010" s="276"/>
      <c r="BY1010" s="276"/>
      <c r="BZ1010" s="276"/>
      <c r="CA1010" s="276"/>
      <c r="CB1010" s="276"/>
      <c r="CC1010" s="276"/>
      <c r="CD1010" s="276"/>
      <c r="CH1010" s="276"/>
      <c r="CJ1010" s="276"/>
      <c r="CK1010" s="276"/>
      <c r="CL1010" s="276"/>
      <c r="CM1010" s="276"/>
      <c r="CN1010" s="276"/>
      <c r="CO1010" s="276"/>
      <c r="CP1010" s="276"/>
      <c r="CQ1010" s="276"/>
      <c r="CU1010" s="276"/>
    </row>
    <row r="1011" spans="75:99" ht="15.75">
      <c r="BW1011" s="276"/>
      <c r="BY1011" s="276"/>
      <c r="BZ1011" s="276"/>
      <c r="CA1011" s="276"/>
      <c r="CB1011" s="276"/>
      <c r="CC1011" s="276"/>
      <c r="CD1011" s="276"/>
      <c r="CH1011" s="276"/>
      <c r="CJ1011" s="276"/>
      <c r="CK1011" s="276"/>
      <c r="CL1011" s="276"/>
      <c r="CM1011" s="276"/>
      <c r="CN1011" s="276"/>
      <c r="CO1011" s="276"/>
      <c r="CP1011" s="276"/>
      <c r="CQ1011" s="276"/>
      <c r="CU1011" s="276"/>
    </row>
    <row r="1012" spans="75:99" ht="15.75">
      <c r="BW1012" s="276"/>
      <c r="BY1012" s="276"/>
      <c r="BZ1012" s="276"/>
      <c r="CA1012" s="276"/>
      <c r="CB1012" s="276"/>
      <c r="CC1012" s="276"/>
      <c r="CD1012" s="276"/>
      <c r="CH1012" s="276"/>
      <c r="CJ1012" s="276"/>
      <c r="CK1012" s="276"/>
      <c r="CL1012" s="276"/>
      <c r="CM1012" s="276"/>
      <c r="CN1012" s="276"/>
      <c r="CO1012" s="276"/>
      <c r="CP1012" s="276"/>
      <c r="CQ1012" s="276"/>
      <c r="CU1012" s="276"/>
    </row>
    <row r="1013" spans="75:99" ht="15.75">
      <c r="BW1013" s="276"/>
      <c r="BY1013" s="276"/>
      <c r="BZ1013" s="276"/>
      <c r="CA1013" s="276"/>
      <c r="CB1013" s="276"/>
      <c r="CC1013" s="276"/>
      <c r="CD1013" s="276"/>
      <c r="CH1013" s="276"/>
      <c r="CJ1013" s="276"/>
      <c r="CK1013" s="276"/>
      <c r="CL1013" s="276"/>
      <c r="CM1013" s="276"/>
      <c r="CN1013" s="276"/>
      <c r="CO1013" s="276"/>
      <c r="CP1013" s="276"/>
      <c r="CQ1013" s="276"/>
      <c r="CU1013" s="276"/>
    </row>
    <row r="1014" spans="75:99" ht="15.75">
      <c r="BW1014" s="276"/>
      <c r="BY1014" s="276"/>
      <c r="BZ1014" s="276"/>
      <c r="CA1014" s="276"/>
      <c r="CB1014" s="276"/>
      <c r="CC1014" s="276"/>
      <c r="CD1014" s="276"/>
      <c r="CH1014" s="276"/>
      <c r="CJ1014" s="276"/>
      <c r="CK1014" s="276"/>
      <c r="CL1014" s="276"/>
      <c r="CM1014" s="276"/>
      <c r="CN1014" s="276"/>
      <c r="CO1014" s="276"/>
      <c r="CP1014" s="276"/>
      <c r="CQ1014" s="276"/>
      <c r="CU1014" s="276"/>
    </row>
    <row r="1015" spans="75:99" ht="15.75">
      <c r="BW1015" s="276"/>
      <c r="BY1015" s="276"/>
      <c r="BZ1015" s="276"/>
      <c r="CA1015" s="276"/>
      <c r="CB1015" s="276"/>
      <c r="CC1015" s="276"/>
      <c r="CD1015" s="276"/>
      <c r="CH1015" s="276"/>
      <c r="CJ1015" s="276"/>
      <c r="CK1015" s="276"/>
      <c r="CL1015" s="276"/>
      <c r="CM1015" s="276"/>
      <c r="CN1015" s="276"/>
      <c r="CO1015" s="276"/>
      <c r="CP1015" s="276"/>
      <c r="CQ1015" s="276"/>
      <c r="CU1015" s="276"/>
    </row>
    <row r="1016" spans="75:99" ht="15.75">
      <c r="BW1016" s="276"/>
      <c r="BY1016" s="276"/>
      <c r="BZ1016" s="276"/>
      <c r="CA1016" s="276"/>
      <c r="CB1016" s="276"/>
      <c r="CC1016" s="276"/>
      <c r="CD1016" s="276"/>
      <c r="CH1016" s="276"/>
      <c r="CJ1016" s="276"/>
      <c r="CK1016" s="276"/>
      <c r="CL1016" s="276"/>
      <c r="CM1016" s="276"/>
      <c r="CN1016" s="276"/>
      <c r="CO1016" s="276"/>
      <c r="CP1016" s="276"/>
      <c r="CQ1016" s="276"/>
      <c r="CU1016" s="276"/>
    </row>
    <row r="1017" spans="75:99" ht="15.75">
      <c r="BW1017" s="276"/>
      <c r="BY1017" s="276"/>
      <c r="BZ1017" s="276"/>
      <c r="CA1017" s="276"/>
      <c r="CB1017" s="276"/>
      <c r="CC1017" s="276"/>
      <c r="CD1017" s="276"/>
      <c r="CH1017" s="276"/>
      <c r="CJ1017" s="276"/>
      <c r="CK1017" s="276"/>
      <c r="CL1017" s="276"/>
      <c r="CM1017" s="276"/>
      <c r="CN1017" s="276"/>
      <c r="CO1017" s="276"/>
      <c r="CP1017" s="276"/>
      <c r="CQ1017" s="276"/>
      <c r="CU1017" s="276"/>
    </row>
    <row r="1018" spans="75:99" ht="15.75">
      <c r="BW1018" s="276"/>
      <c r="BY1018" s="276"/>
      <c r="BZ1018" s="276"/>
      <c r="CA1018" s="276"/>
      <c r="CB1018" s="276"/>
      <c r="CC1018" s="276"/>
      <c r="CD1018" s="276"/>
      <c r="CH1018" s="276"/>
      <c r="CJ1018" s="276"/>
      <c r="CK1018" s="276"/>
      <c r="CL1018" s="276"/>
      <c r="CM1018" s="276"/>
      <c r="CN1018" s="276"/>
      <c r="CO1018" s="276"/>
      <c r="CP1018" s="276"/>
      <c r="CQ1018" s="276"/>
      <c r="CU1018" s="276"/>
    </row>
    <row r="1019" spans="75:99" ht="15.75">
      <c r="BW1019" s="276"/>
      <c r="BY1019" s="276"/>
      <c r="BZ1019" s="276"/>
      <c r="CA1019" s="276"/>
      <c r="CB1019" s="276"/>
      <c r="CC1019" s="276"/>
      <c r="CD1019" s="276"/>
      <c r="CH1019" s="276"/>
      <c r="CJ1019" s="276"/>
      <c r="CK1019" s="276"/>
      <c r="CL1019" s="276"/>
      <c r="CM1019" s="276"/>
      <c r="CN1019" s="276"/>
      <c r="CO1019" s="276"/>
      <c r="CP1019" s="276"/>
      <c r="CQ1019" s="276"/>
      <c r="CU1019" s="276"/>
    </row>
    <row r="1020" spans="75:99" ht="15.75">
      <c r="BW1020" s="276"/>
      <c r="BY1020" s="276"/>
      <c r="BZ1020" s="276"/>
      <c r="CA1020" s="276"/>
      <c r="CB1020" s="276"/>
      <c r="CC1020" s="276"/>
      <c r="CD1020" s="276"/>
      <c r="CH1020" s="276"/>
      <c r="CJ1020" s="276"/>
      <c r="CK1020" s="276"/>
      <c r="CL1020" s="276"/>
      <c r="CM1020" s="276"/>
      <c r="CN1020" s="276"/>
      <c r="CO1020" s="276"/>
      <c r="CP1020" s="276"/>
      <c r="CQ1020" s="276"/>
      <c r="CU1020" s="276"/>
    </row>
    <row r="1021" spans="75:99" ht="15.75">
      <c r="BW1021" s="276"/>
      <c r="BY1021" s="276"/>
      <c r="BZ1021" s="276"/>
      <c r="CA1021" s="276"/>
      <c r="CB1021" s="276"/>
      <c r="CC1021" s="276"/>
      <c r="CD1021" s="276"/>
      <c r="CH1021" s="276"/>
      <c r="CJ1021" s="276"/>
      <c r="CK1021" s="276"/>
      <c r="CL1021" s="276"/>
      <c r="CM1021" s="276"/>
      <c r="CN1021" s="276"/>
      <c r="CO1021" s="276"/>
      <c r="CP1021" s="276"/>
      <c r="CQ1021" s="276"/>
      <c r="CU1021" s="276"/>
    </row>
    <row r="1022" spans="75:99" ht="15.75">
      <c r="BW1022" s="276"/>
      <c r="BY1022" s="276"/>
      <c r="BZ1022" s="276"/>
      <c r="CA1022" s="276"/>
      <c r="CB1022" s="276"/>
      <c r="CC1022" s="276"/>
      <c r="CD1022" s="276"/>
      <c r="CH1022" s="276"/>
      <c r="CJ1022" s="276"/>
      <c r="CK1022" s="276"/>
      <c r="CL1022" s="276"/>
      <c r="CM1022" s="276"/>
      <c r="CN1022" s="276"/>
      <c r="CO1022" s="276"/>
      <c r="CP1022" s="276"/>
      <c r="CQ1022" s="276"/>
      <c r="CU1022" s="276"/>
    </row>
    <row r="1023" spans="75:99" ht="15.75">
      <c r="BW1023" s="276"/>
      <c r="BY1023" s="276"/>
      <c r="BZ1023" s="276"/>
      <c r="CA1023" s="276"/>
      <c r="CB1023" s="276"/>
      <c r="CC1023" s="276"/>
      <c r="CD1023" s="276"/>
      <c r="CH1023" s="276"/>
      <c r="CJ1023" s="276"/>
      <c r="CK1023" s="276"/>
      <c r="CL1023" s="276"/>
      <c r="CM1023" s="276"/>
      <c r="CN1023" s="276"/>
      <c r="CO1023" s="276"/>
      <c r="CP1023" s="276"/>
      <c r="CQ1023" s="276"/>
      <c r="CU1023" s="276"/>
    </row>
    <row r="1024" spans="75:99" ht="15.75">
      <c r="BW1024" s="276"/>
      <c r="BY1024" s="276"/>
      <c r="BZ1024" s="276"/>
      <c r="CA1024" s="276"/>
      <c r="CB1024" s="276"/>
      <c r="CC1024" s="276"/>
      <c r="CD1024" s="276"/>
      <c r="CH1024" s="276"/>
      <c r="CJ1024" s="276"/>
      <c r="CK1024" s="276"/>
      <c r="CL1024" s="276"/>
      <c r="CM1024" s="276"/>
      <c r="CN1024" s="276"/>
      <c r="CO1024" s="276"/>
      <c r="CP1024" s="276"/>
      <c r="CQ1024" s="276"/>
      <c r="CU1024" s="276"/>
    </row>
    <row r="1025" spans="75:99" ht="15.75">
      <c r="BW1025" s="276"/>
      <c r="BY1025" s="276"/>
      <c r="BZ1025" s="276"/>
      <c r="CA1025" s="276"/>
      <c r="CB1025" s="276"/>
      <c r="CC1025" s="276"/>
      <c r="CD1025" s="276"/>
      <c r="CH1025" s="276"/>
      <c r="CJ1025" s="276"/>
      <c r="CK1025" s="276"/>
      <c r="CL1025" s="276"/>
      <c r="CM1025" s="276"/>
      <c r="CN1025" s="276"/>
      <c r="CO1025" s="276"/>
      <c r="CP1025" s="276"/>
      <c r="CQ1025" s="276"/>
      <c r="CU1025" s="276"/>
    </row>
    <row r="1026" spans="75:99" ht="15.75">
      <c r="BW1026" s="276"/>
      <c r="BY1026" s="276"/>
      <c r="BZ1026" s="276"/>
      <c r="CA1026" s="276"/>
      <c r="CB1026" s="276"/>
      <c r="CC1026" s="276"/>
      <c r="CD1026" s="276"/>
      <c r="CH1026" s="276"/>
      <c r="CJ1026" s="276"/>
      <c r="CK1026" s="276"/>
      <c r="CL1026" s="276"/>
      <c r="CM1026" s="276"/>
      <c r="CN1026" s="276"/>
      <c r="CO1026" s="276"/>
      <c r="CP1026" s="276"/>
      <c r="CQ1026" s="276"/>
      <c r="CU1026" s="276"/>
    </row>
    <row r="1027" spans="75:99" ht="15.75">
      <c r="BW1027" s="276"/>
      <c r="BY1027" s="276"/>
      <c r="BZ1027" s="276"/>
      <c r="CA1027" s="276"/>
      <c r="CB1027" s="276"/>
      <c r="CC1027" s="276"/>
      <c r="CD1027" s="276"/>
      <c r="CH1027" s="276"/>
      <c r="CJ1027" s="276"/>
      <c r="CK1027" s="276"/>
      <c r="CL1027" s="276"/>
      <c r="CM1027" s="276"/>
      <c r="CN1027" s="276"/>
      <c r="CO1027" s="276"/>
      <c r="CP1027" s="276"/>
      <c r="CQ1027" s="276"/>
      <c r="CU1027" s="276"/>
    </row>
    <row r="1028" spans="75:99" ht="15.75">
      <c r="BW1028" s="276"/>
      <c r="BY1028" s="276"/>
      <c r="BZ1028" s="276"/>
      <c r="CA1028" s="276"/>
      <c r="CB1028" s="276"/>
      <c r="CC1028" s="276"/>
      <c r="CD1028" s="276"/>
      <c r="CH1028" s="276"/>
      <c r="CJ1028" s="276"/>
      <c r="CK1028" s="276"/>
      <c r="CL1028" s="276"/>
      <c r="CM1028" s="276"/>
      <c r="CN1028" s="276"/>
      <c r="CO1028" s="276"/>
      <c r="CP1028" s="276"/>
      <c r="CQ1028" s="276"/>
      <c r="CU1028" s="276"/>
    </row>
    <row r="1029" spans="75:99" ht="15.75">
      <c r="BW1029" s="276"/>
      <c r="BY1029" s="276"/>
      <c r="BZ1029" s="276"/>
      <c r="CA1029" s="276"/>
      <c r="CB1029" s="276"/>
      <c r="CC1029" s="276"/>
      <c r="CD1029" s="276"/>
      <c r="CH1029" s="276"/>
      <c r="CJ1029" s="276"/>
      <c r="CK1029" s="276"/>
      <c r="CL1029" s="276"/>
      <c r="CM1029" s="276"/>
      <c r="CN1029" s="276"/>
      <c r="CO1029" s="276"/>
      <c r="CP1029" s="276"/>
      <c r="CQ1029" s="276"/>
      <c r="CU1029" s="276"/>
    </row>
    <row r="1030" spans="75:99" ht="15.75">
      <c r="BW1030" s="276"/>
      <c r="BY1030" s="276"/>
      <c r="BZ1030" s="276"/>
      <c r="CA1030" s="276"/>
      <c r="CB1030" s="276"/>
      <c r="CC1030" s="276"/>
      <c r="CD1030" s="276"/>
      <c r="CH1030" s="276"/>
      <c r="CJ1030" s="276"/>
      <c r="CK1030" s="276"/>
      <c r="CL1030" s="276"/>
      <c r="CM1030" s="276"/>
      <c r="CN1030" s="276"/>
      <c r="CO1030" s="276"/>
      <c r="CP1030" s="276"/>
      <c r="CQ1030" s="276"/>
      <c r="CU1030" s="276"/>
    </row>
    <row r="1031" spans="75:99" ht="15.75">
      <c r="BW1031" s="276"/>
      <c r="BY1031" s="276"/>
      <c r="BZ1031" s="276"/>
      <c r="CA1031" s="276"/>
      <c r="CB1031" s="276"/>
      <c r="CC1031" s="276"/>
      <c r="CD1031" s="276"/>
      <c r="CH1031" s="276"/>
      <c r="CJ1031" s="276"/>
      <c r="CK1031" s="276"/>
      <c r="CL1031" s="276"/>
      <c r="CM1031" s="276"/>
      <c r="CN1031" s="276"/>
      <c r="CO1031" s="276"/>
      <c r="CP1031" s="276"/>
      <c r="CQ1031" s="276"/>
      <c r="CU1031" s="276"/>
    </row>
    <row r="1032" spans="75:99" ht="15.75">
      <c r="BW1032" s="276"/>
      <c r="BY1032" s="276"/>
      <c r="BZ1032" s="276"/>
      <c r="CA1032" s="276"/>
      <c r="CB1032" s="276"/>
      <c r="CC1032" s="276"/>
      <c r="CD1032" s="276"/>
      <c r="CH1032" s="276"/>
      <c r="CJ1032" s="276"/>
      <c r="CK1032" s="276"/>
      <c r="CL1032" s="276"/>
      <c r="CM1032" s="276"/>
      <c r="CN1032" s="276"/>
      <c r="CO1032" s="276"/>
      <c r="CP1032" s="276"/>
      <c r="CQ1032" s="276"/>
      <c r="CU1032" s="276"/>
    </row>
    <row r="1033" spans="75:99" ht="15.75">
      <c r="BW1033" s="276"/>
      <c r="BY1033" s="276"/>
      <c r="BZ1033" s="276"/>
      <c r="CA1033" s="276"/>
      <c r="CB1033" s="276"/>
      <c r="CC1033" s="276"/>
      <c r="CD1033" s="276"/>
      <c r="CH1033" s="276"/>
      <c r="CJ1033" s="276"/>
      <c r="CK1033" s="276"/>
      <c r="CL1033" s="276"/>
      <c r="CM1033" s="276"/>
      <c r="CN1033" s="276"/>
      <c r="CO1033" s="276"/>
      <c r="CP1033" s="276"/>
      <c r="CQ1033" s="276"/>
      <c r="CU1033" s="276"/>
    </row>
    <row r="1034" spans="75:99" ht="15.75">
      <c r="BW1034" s="276"/>
      <c r="BY1034" s="276"/>
      <c r="BZ1034" s="276"/>
      <c r="CA1034" s="276"/>
      <c r="CB1034" s="276"/>
      <c r="CC1034" s="276"/>
      <c r="CD1034" s="276"/>
      <c r="CH1034" s="276"/>
      <c r="CJ1034" s="276"/>
      <c r="CK1034" s="276"/>
      <c r="CL1034" s="276"/>
      <c r="CM1034" s="276"/>
      <c r="CN1034" s="276"/>
      <c r="CO1034" s="276"/>
      <c r="CP1034" s="276"/>
      <c r="CQ1034" s="276"/>
      <c r="CU1034" s="276"/>
    </row>
    <row r="1035" spans="75:99" ht="15.75">
      <c r="BW1035" s="276"/>
      <c r="BY1035" s="276"/>
      <c r="BZ1035" s="276"/>
      <c r="CA1035" s="276"/>
      <c r="CB1035" s="276"/>
      <c r="CC1035" s="276"/>
      <c r="CD1035" s="276"/>
      <c r="CH1035" s="276"/>
      <c r="CJ1035" s="276"/>
      <c r="CK1035" s="276"/>
      <c r="CL1035" s="276"/>
      <c r="CM1035" s="276"/>
      <c r="CN1035" s="276"/>
      <c r="CO1035" s="276"/>
      <c r="CP1035" s="276"/>
      <c r="CQ1035" s="276"/>
      <c r="CU1035" s="276"/>
    </row>
    <row r="1036" spans="75:99" ht="15.75">
      <c r="BW1036" s="276"/>
      <c r="BY1036" s="276"/>
      <c r="BZ1036" s="276"/>
      <c r="CA1036" s="276"/>
      <c r="CB1036" s="276"/>
      <c r="CC1036" s="276"/>
      <c r="CD1036" s="276"/>
      <c r="CH1036" s="276"/>
      <c r="CJ1036" s="276"/>
      <c r="CK1036" s="276"/>
      <c r="CL1036" s="276"/>
      <c r="CM1036" s="276"/>
      <c r="CN1036" s="276"/>
      <c r="CO1036" s="276"/>
      <c r="CP1036" s="276"/>
      <c r="CQ1036" s="276"/>
      <c r="CU1036" s="276"/>
    </row>
    <row r="1037" spans="75:99" ht="15.75">
      <c r="BW1037" s="276"/>
      <c r="BY1037" s="276"/>
      <c r="BZ1037" s="276"/>
      <c r="CA1037" s="276"/>
      <c r="CB1037" s="276"/>
      <c r="CC1037" s="276"/>
      <c r="CD1037" s="276"/>
      <c r="CH1037" s="276"/>
      <c r="CJ1037" s="276"/>
      <c r="CK1037" s="276"/>
      <c r="CL1037" s="276"/>
      <c r="CM1037" s="276"/>
      <c r="CN1037" s="276"/>
      <c r="CO1037" s="276"/>
      <c r="CP1037" s="276"/>
      <c r="CQ1037" s="276"/>
      <c r="CU1037" s="276"/>
    </row>
    <row r="1038" spans="75:99" ht="15.75">
      <c r="BW1038" s="276"/>
      <c r="BY1038" s="276"/>
      <c r="BZ1038" s="276"/>
      <c r="CA1038" s="276"/>
      <c r="CB1038" s="276"/>
      <c r="CC1038" s="276"/>
      <c r="CD1038" s="276"/>
      <c r="CH1038" s="276"/>
      <c r="CJ1038" s="276"/>
      <c r="CK1038" s="276"/>
      <c r="CL1038" s="276"/>
      <c r="CM1038" s="276"/>
      <c r="CN1038" s="276"/>
      <c r="CO1038" s="276"/>
      <c r="CP1038" s="276"/>
      <c r="CQ1038" s="276"/>
      <c r="CU1038" s="276"/>
    </row>
    <row r="1039" spans="75:99" ht="15.75">
      <c r="BW1039" s="276"/>
      <c r="BY1039" s="276"/>
      <c r="BZ1039" s="276"/>
      <c r="CA1039" s="276"/>
      <c r="CB1039" s="276"/>
      <c r="CC1039" s="276"/>
      <c r="CD1039" s="276"/>
      <c r="CH1039" s="276"/>
      <c r="CJ1039" s="276"/>
      <c r="CK1039" s="276"/>
      <c r="CL1039" s="276"/>
      <c r="CM1039" s="276"/>
      <c r="CN1039" s="276"/>
      <c r="CO1039" s="276"/>
      <c r="CP1039" s="276"/>
      <c r="CQ1039" s="276"/>
      <c r="CU1039" s="276"/>
    </row>
    <row r="1040" spans="75:99" ht="15.75">
      <c r="BW1040" s="276"/>
      <c r="BY1040" s="276"/>
      <c r="BZ1040" s="276"/>
      <c r="CA1040" s="276"/>
      <c r="CB1040" s="276"/>
      <c r="CC1040" s="276"/>
      <c r="CD1040" s="276"/>
      <c r="CH1040" s="276"/>
      <c r="CJ1040" s="276"/>
      <c r="CK1040" s="276"/>
      <c r="CL1040" s="276"/>
      <c r="CM1040" s="276"/>
      <c r="CN1040" s="276"/>
      <c r="CO1040" s="276"/>
      <c r="CP1040" s="276"/>
      <c r="CQ1040" s="276"/>
      <c r="CU1040" s="276"/>
    </row>
    <row r="1041" spans="75:99" ht="15.75">
      <c r="BW1041" s="276"/>
      <c r="BY1041" s="276"/>
      <c r="BZ1041" s="276"/>
      <c r="CA1041" s="276"/>
      <c r="CB1041" s="276"/>
      <c r="CC1041" s="276"/>
      <c r="CD1041" s="276"/>
      <c r="CH1041" s="276"/>
      <c r="CJ1041" s="276"/>
      <c r="CK1041" s="276"/>
      <c r="CL1041" s="276"/>
      <c r="CM1041" s="276"/>
      <c r="CN1041" s="276"/>
      <c r="CO1041" s="276"/>
      <c r="CP1041" s="276"/>
      <c r="CQ1041" s="276"/>
      <c r="CU1041" s="276"/>
    </row>
    <row r="1042" spans="75:99" ht="15.75">
      <c r="BW1042" s="276"/>
      <c r="BY1042" s="276"/>
      <c r="BZ1042" s="276"/>
      <c r="CA1042" s="276"/>
      <c r="CB1042" s="276"/>
      <c r="CC1042" s="276"/>
      <c r="CD1042" s="276"/>
      <c r="CH1042" s="276"/>
      <c r="CJ1042" s="276"/>
      <c r="CK1042" s="276"/>
      <c r="CL1042" s="276"/>
      <c r="CM1042" s="276"/>
      <c r="CN1042" s="276"/>
      <c r="CO1042" s="276"/>
      <c r="CP1042" s="276"/>
      <c r="CQ1042" s="276"/>
      <c r="CU1042" s="276"/>
    </row>
    <row r="1043" spans="75:99" ht="15.75">
      <c r="BW1043" s="276"/>
      <c r="BY1043" s="276"/>
      <c r="BZ1043" s="276"/>
      <c r="CA1043" s="276"/>
      <c r="CB1043" s="276"/>
      <c r="CC1043" s="276"/>
      <c r="CD1043" s="276"/>
      <c r="CH1043" s="276"/>
      <c r="CJ1043" s="276"/>
      <c r="CK1043" s="276"/>
      <c r="CL1043" s="276"/>
      <c r="CM1043" s="276"/>
      <c r="CN1043" s="276"/>
      <c r="CO1043" s="276"/>
      <c r="CP1043" s="276"/>
      <c r="CQ1043" s="276"/>
      <c r="CU1043" s="276"/>
    </row>
    <row r="1044" spans="75:99" ht="15.75">
      <c r="BW1044" s="276"/>
      <c r="BY1044" s="276"/>
      <c r="BZ1044" s="276"/>
      <c r="CA1044" s="276"/>
      <c r="CB1044" s="276"/>
      <c r="CC1044" s="276"/>
      <c r="CD1044" s="276"/>
      <c r="CH1044" s="276"/>
      <c r="CJ1044" s="276"/>
      <c r="CK1044" s="276"/>
      <c r="CL1044" s="276"/>
      <c r="CM1044" s="276"/>
      <c r="CN1044" s="276"/>
      <c r="CO1044" s="276"/>
      <c r="CP1044" s="276"/>
      <c r="CQ1044" s="276"/>
      <c r="CU1044" s="276"/>
    </row>
    <row r="1045" spans="75:99" ht="15.75">
      <c r="BW1045" s="276"/>
      <c r="BY1045" s="276"/>
      <c r="BZ1045" s="276"/>
      <c r="CA1045" s="276"/>
      <c r="CB1045" s="276"/>
      <c r="CC1045" s="276"/>
      <c r="CD1045" s="276"/>
      <c r="CH1045" s="276"/>
      <c r="CJ1045" s="276"/>
      <c r="CK1045" s="276"/>
      <c r="CL1045" s="276"/>
      <c r="CM1045" s="276"/>
      <c r="CN1045" s="276"/>
      <c r="CO1045" s="276"/>
      <c r="CP1045" s="276"/>
      <c r="CQ1045" s="276"/>
      <c r="CU1045" s="276"/>
    </row>
    <row r="1046" spans="75:99" ht="15.75">
      <c r="BW1046" s="276"/>
      <c r="BY1046" s="276"/>
      <c r="BZ1046" s="276"/>
      <c r="CA1046" s="276"/>
      <c r="CB1046" s="276"/>
      <c r="CC1046" s="276"/>
      <c r="CD1046" s="276"/>
      <c r="CH1046" s="276"/>
      <c r="CJ1046" s="276"/>
      <c r="CK1046" s="276"/>
      <c r="CL1046" s="276"/>
      <c r="CM1046" s="276"/>
      <c r="CN1046" s="276"/>
      <c r="CO1046" s="276"/>
      <c r="CP1046" s="276"/>
      <c r="CQ1046" s="276"/>
      <c r="CU1046" s="276"/>
    </row>
    <row r="1047" spans="75:99" ht="15.75">
      <c r="BW1047" s="276"/>
      <c r="BY1047" s="276"/>
      <c r="BZ1047" s="276"/>
      <c r="CA1047" s="276"/>
      <c r="CB1047" s="276"/>
      <c r="CC1047" s="276"/>
      <c r="CD1047" s="276"/>
      <c r="CH1047" s="276"/>
      <c r="CJ1047" s="276"/>
      <c r="CK1047" s="276"/>
      <c r="CL1047" s="276"/>
      <c r="CM1047" s="276"/>
      <c r="CN1047" s="276"/>
      <c r="CO1047" s="276"/>
      <c r="CP1047" s="276"/>
      <c r="CQ1047" s="276"/>
      <c r="CU1047" s="276"/>
    </row>
    <row r="1048" spans="75:99" ht="15.75">
      <c r="BW1048" s="276"/>
      <c r="BY1048" s="276"/>
      <c r="BZ1048" s="276"/>
      <c r="CA1048" s="276"/>
      <c r="CB1048" s="276"/>
      <c r="CC1048" s="276"/>
      <c r="CD1048" s="276"/>
      <c r="CH1048" s="276"/>
      <c r="CJ1048" s="276"/>
      <c r="CK1048" s="276"/>
      <c r="CL1048" s="276"/>
      <c r="CM1048" s="276"/>
      <c r="CN1048" s="276"/>
      <c r="CO1048" s="276"/>
      <c r="CP1048" s="276"/>
      <c r="CQ1048" s="276"/>
      <c r="CU1048" s="276"/>
    </row>
    <row r="1049" spans="75:99" ht="15.75">
      <c r="BW1049" s="276"/>
      <c r="BY1049" s="276"/>
      <c r="BZ1049" s="276"/>
      <c r="CA1049" s="276"/>
      <c r="CB1049" s="276"/>
      <c r="CC1049" s="276"/>
      <c r="CD1049" s="276"/>
      <c r="CH1049" s="276"/>
      <c r="CJ1049" s="276"/>
      <c r="CK1049" s="276"/>
      <c r="CL1049" s="276"/>
      <c r="CM1049" s="276"/>
      <c r="CN1049" s="276"/>
      <c r="CO1049" s="276"/>
      <c r="CP1049" s="276"/>
      <c r="CQ1049" s="276"/>
      <c r="CU1049" s="276"/>
    </row>
    <row r="1050" spans="75:99" ht="15.75">
      <c r="BW1050" s="276"/>
      <c r="BY1050" s="276"/>
      <c r="BZ1050" s="276"/>
      <c r="CA1050" s="276"/>
      <c r="CB1050" s="276"/>
      <c r="CC1050" s="276"/>
      <c r="CD1050" s="276"/>
      <c r="CH1050" s="276"/>
      <c r="CJ1050" s="276"/>
      <c r="CK1050" s="276"/>
      <c r="CL1050" s="276"/>
      <c r="CM1050" s="276"/>
      <c r="CN1050" s="276"/>
      <c r="CO1050" s="276"/>
      <c r="CP1050" s="276"/>
      <c r="CQ1050" s="276"/>
      <c r="CU1050" s="276"/>
    </row>
    <row r="1051" spans="75:99" ht="15.75">
      <c r="BW1051" s="276"/>
      <c r="BY1051" s="276"/>
      <c r="BZ1051" s="276"/>
      <c r="CA1051" s="276"/>
      <c r="CB1051" s="276"/>
      <c r="CC1051" s="276"/>
      <c r="CD1051" s="276"/>
      <c r="CH1051" s="276"/>
      <c r="CJ1051" s="276"/>
      <c r="CK1051" s="276"/>
      <c r="CL1051" s="276"/>
      <c r="CM1051" s="276"/>
      <c r="CN1051" s="276"/>
      <c r="CO1051" s="276"/>
      <c r="CP1051" s="276"/>
      <c r="CQ1051" s="276"/>
      <c r="CU1051" s="276"/>
    </row>
    <row r="1052" spans="75:99" ht="15.75">
      <c r="BW1052" s="276"/>
      <c r="BY1052" s="276"/>
      <c r="BZ1052" s="276"/>
      <c r="CA1052" s="276"/>
      <c r="CB1052" s="276"/>
      <c r="CC1052" s="276"/>
      <c r="CD1052" s="276"/>
      <c r="CH1052" s="276"/>
      <c r="CJ1052" s="276"/>
      <c r="CK1052" s="276"/>
      <c r="CL1052" s="276"/>
      <c r="CM1052" s="276"/>
      <c r="CN1052" s="276"/>
      <c r="CO1052" s="276"/>
      <c r="CP1052" s="276"/>
      <c r="CQ1052" s="276"/>
      <c r="CU1052" s="276"/>
    </row>
    <row r="1053" spans="75:99" ht="15.75">
      <c r="BW1053" s="276"/>
      <c r="BY1053" s="276"/>
      <c r="BZ1053" s="276"/>
      <c r="CA1053" s="276"/>
      <c r="CB1053" s="276"/>
      <c r="CC1053" s="276"/>
      <c r="CD1053" s="276"/>
      <c r="CH1053" s="276"/>
      <c r="CJ1053" s="276"/>
      <c r="CK1053" s="276"/>
      <c r="CL1053" s="276"/>
      <c r="CM1053" s="276"/>
      <c r="CN1053" s="276"/>
      <c r="CO1053" s="276"/>
      <c r="CP1053" s="276"/>
      <c r="CQ1053" s="276"/>
      <c r="CU1053" s="276"/>
    </row>
    <row r="1054" spans="75:99" ht="15.75">
      <c r="BW1054" s="276"/>
      <c r="BY1054" s="276"/>
      <c r="BZ1054" s="276"/>
      <c r="CA1054" s="276"/>
      <c r="CB1054" s="276"/>
      <c r="CC1054" s="276"/>
      <c r="CD1054" s="276"/>
      <c r="CH1054" s="276"/>
      <c r="CJ1054" s="276"/>
      <c r="CK1054" s="276"/>
      <c r="CL1054" s="276"/>
      <c r="CM1054" s="276"/>
      <c r="CN1054" s="276"/>
      <c r="CO1054" s="276"/>
      <c r="CP1054" s="276"/>
      <c r="CQ1054" s="276"/>
      <c r="CU1054" s="276"/>
    </row>
    <row r="1055" spans="75:99" ht="15.75">
      <c r="BW1055" s="276"/>
      <c r="BY1055" s="276"/>
      <c r="BZ1055" s="276"/>
      <c r="CA1055" s="276"/>
      <c r="CB1055" s="276"/>
      <c r="CC1055" s="276"/>
      <c r="CD1055" s="276"/>
      <c r="CH1055" s="276"/>
      <c r="CJ1055" s="276"/>
      <c r="CK1055" s="276"/>
      <c r="CL1055" s="276"/>
      <c r="CM1055" s="276"/>
      <c r="CN1055" s="276"/>
      <c r="CO1055" s="276"/>
      <c r="CP1055" s="276"/>
      <c r="CQ1055" s="276"/>
      <c r="CU1055" s="276"/>
    </row>
    <row r="1056" spans="75:99" ht="15.75">
      <c r="BW1056" s="276"/>
      <c r="BY1056" s="276"/>
      <c r="BZ1056" s="276"/>
      <c r="CA1056" s="276"/>
      <c r="CB1056" s="276"/>
      <c r="CC1056" s="276"/>
      <c r="CD1056" s="276"/>
      <c r="CH1056" s="276"/>
      <c r="CJ1056" s="276"/>
      <c r="CK1056" s="276"/>
      <c r="CL1056" s="276"/>
      <c r="CM1056" s="276"/>
      <c r="CN1056" s="276"/>
      <c r="CO1056" s="276"/>
      <c r="CP1056" s="276"/>
      <c r="CQ1056" s="276"/>
      <c r="CU1056" s="276"/>
    </row>
    <row r="1057" spans="75:99" ht="15.75">
      <c r="BW1057" s="276"/>
      <c r="BY1057" s="276"/>
      <c r="BZ1057" s="276"/>
      <c r="CA1057" s="276"/>
      <c r="CB1057" s="276"/>
      <c r="CC1057" s="276"/>
      <c r="CD1057" s="276"/>
      <c r="CH1057" s="276"/>
      <c r="CJ1057" s="276"/>
      <c r="CK1057" s="276"/>
      <c r="CL1057" s="276"/>
      <c r="CM1057" s="276"/>
      <c r="CN1057" s="276"/>
      <c r="CO1057" s="276"/>
      <c r="CP1057" s="276"/>
      <c r="CQ1057" s="276"/>
      <c r="CU1057" s="276"/>
    </row>
    <row r="1058" spans="75:99" ht="15.75">
      <c r="BW1058" s="276"/>
      <c r="BY1058" s="276"/>
      <c r="BZ1058" s="276"/>
      <c r="CA1058" s="276"/>
      <c r="CB1058" s="276"/>
      <c r="CC1058" s="276"/>
      <c r="CD1058" s="276"/>
      <c r="CH1058" s="276"/>
      <c r="CJ1058" s="276"/>
      <c r="CK1058" s="276"/>
      <c r="CL1058" s="276"/>
      <c r="CM1058" s="276"/>
      <c r="CN1058" s="276"/>
      <c r="CO1058" s="276"/>
      <c r="CP1058" s="276"/>
      <c r="CQ1058" s="276"/>
      <c r="CU1058" s="276"/>
    </row>
    <row r="1059" spans="75:99" ht="15.75">
      <c r="BW1059" s="276"/>
      <c r="BY1059" s="276"/>
      <c r="BZ1059" s="276"/>
      <c r="CA1059" s="276"/>
      <c r="CB1059" s="276"/>
      <c r="CC1059" s="276"/>
      <c r="CD1059" s="276"/>
      <c r="CH1059" s="276"/>
      <c r="CJ1059" s="276"/>
      <c r="CK1059" s="276"/>
      <c r="CL1059" s="276"/>
      <c r="CM1059" s="276"/>
      <c r="CN1059" s="276"/>
      <c r="CO1059" s="276"/>
      <c r="CP1059" s="276"/>
      <c r="CQ1059" s="276"/>
      <c r="CU1059" s="276"/>
    </row>
    <row r="1060" spans="75:99" ht="15.75">
      <c r="BW1060" s="276"/>
      <c r="BY1060" s="276"/>
      <c r="BZ1060" s="276"/>
      <c r="CA1060" s="276"/>
      <c r="CB1060" s="276"/>
      <c r="CC1060" s="276"/>
      <c r="CD1060" s="276"/>
      <c r="CH1060" s="276"/>
      <c r="CJ1060" s="276"/>
      <c r="CK1060" s="276"/>
      <c r="CL1060" s="276"/>
      <c r="CM1060" s="276"/>
      <c r="CN1060" s="276"/>
      <c r="CO1060" s="276"/>
      <c r="CP1060" s="276"/>
      <c r="CQ1060" s="276"/>
      <c r="CU1060" s="276"/>
    </row>
    <row r="1061" spans="75:99" ht="15.75">
      <c r="BW1061" s="276"/>
      <c r="BY1061" s="276"/>
      <c r="BZ1061" s="276"/>
      <c r="CA1061" s="276"/>
      <c r="CB1061" s="276"/>
      <c r="CC1061" s="276"/>
      <c r="CD1061" s="276"/>
      <c r="CH1061" s="276"/>
      <c r="CJ1061" s="276"/>
      <c r="CK1061" s="276"/>
      <c r="CL1061" s="276"/>
      <c r="CM1061" s="276"/>
      <c r="CN1061" s="276"/>
      <c r="CO1061" s="276"/>
      <c r="CP1061" s="276"/>
      <c r="CQ1061" s="276"/>
      <c r="CU1061" s="276"/>
    </row>
    <row r="1062" spans="75:99" ht="15.75">
      <c r="BW1062" s="276"/>
      <c r="BY1062" s="276"/>
      <c r="BZ1062" s="276"/>
      <c r="CA1062" s="276"/>
      <c r="CB1062" s="276"/>
      <c r="CC1062" s="276"/>
      <c r="CD1062" s="276"/>
      <c r="CH1062" s="276"/>
      <c r="CJ1062" s="276"/>
      <c r="CK1062" s="276"/>
      <c r="CL1062" s="276"/>
      <c r="CM1062" s="276"/>
      <c r="CN1062" s="276"/>
      <c r="CO1062" s="276"/>
      <c r="CP1062" s="276"/>
      <c r="CQ1062" s="276"/>
      <c r="CU1062" s="276"/>
    </row>
    <row r="1063" spans="75:99" ht="15.75">
      <c r="BW1063" s="276"/>
      <c r="BY1063" s="276"/>
      <c r="BZ1063" s="276"/>
      <c r="CA1063" s="276"/>
      <c r="CB1063" s="276"/>
      <c r="CC1063" s="276"/>
      <c r="CD1063" s="276"/>
      <c r="CH1063" s="276"/>
      <c r="CJ1063" s="276"/>
      <c r="CK1063" s="276"/>
      <c r="CL1063" s="276"/>
      <c r="CM1063" s="276"/>
      <c r="CN1063" s="276"/>
      <c r="CO1063" s="276"/>
      <c r="CP1063" s="276"/>
      <c r="CQ1063" s="276"/>
      <c r="CU1063" s="276"/>
    </row>
    <row r="1064" spans="75:99" ht="15.75">
      <c r="BW1064" s="276"/>
      <c r="BY1064" s="276"/>
      <c r="BZ1064" s="276"/>
      <c r="CA1064" s="276"/>
      <c r="CB1064" s="276"/>
      <c r="CC1064" s="276"/>
      <c r="CD1064" s="276"/>
      <c r="CH1064" s="276"/>
      <c r="CJ1064" s="276"/>
      <c r="CK1064" s="276"/>
      <c r="CL1064" s="276"/>
      <c r="CM1064" s="276"/>
      <c r="CN1064" s="276"/>
      <c r="CO1064" s="276"/>
      <c r="CP1064" s="276"/>
      <c r="CQ1064" s="276"/>
      <c r="CU1064" s="276"/>
    </row>
    <row r="1065" spans="75:99" ht="15.75">
      <c r="BW1065" s="276"/>
      <c r="BY1065" s="276"/>
      <c r="BZ1065" s="276"/>
      <c r="CA1065" s="276"/>
      <c r="CB1065" s="276"/>
      <c r="CC1065" s="276"/>
      <c r="CD1065" s="276"/>
      <c r="CH1065" s="276"/>
      <c r="CJ1065" s="276"/>
      <c r="CK1065" s="276"/>
      <c r="CL1065" s="276"/>
      <c r="CM1065" s="276"/>
      <c r="CN1065" s="276"/>
      <c r="CO1065" s="276"/>
      <c r="CP1065" s="276"/>
      <c r="CQ1065" s="276"/>
      <c r="CU1065" s="276"/>
    </row>
    <row r="1066" spans="75:99" ht="15.75">
      <c r="BW1066" s="276"/>
      <c r="BY1066" s="276"/>
      <c r="BZ1066" s="276"/>
      <c r="CA1066" s="276"/>
      <c r="CB1066" s="276"/>
      <c r="CC1066" s="276"/>
      <c r="CD1066" s="276"/>
      <c r="CH1066" s="276"/>
      <c r="CJ1066" s="276"/>
      <c r="CK1066" s="276"/>
      <c r="CL1066" s="276"/>
      <c r="CM1066" s="276"/>
      <c r="CN1066" s="276"/>
      <c r="CO1066" s="276"/>
      <c r="CP1066" s="276"/>
      <c r="CQ1066" s="276"/>
      <c r="CU1066" s="276"/>
    </row>
    <row r="1067" spans="75:99" ht="15.75">
      <c r="BW1067" s="276"/>
      <c r="BY1067" s="276"/>
      <c r="BZ1067" s="276"/>
      <c r="CA1067" s="276"/>
      <c r="CB1067" s="276"/>
      <c r="CC1067" s="276"/>
      <c r="CD1067" s="276"/>
      <c r="CH1067" s="276"/>
      <c r="CJ1067" s="276"/>
      <c r="CK1067" s="276"/>
      <c r="CL1067" s="276"/>
      <c r="CM1067" s="276"/>
      <c r="CN1067" s="276"/>
      <c r="CO1067" s="276"/>
      <c r="CP1067" s="276"/>
      <c r="CQ1067" s="276"/>
      <c r="CU1067" s="276"/>
    </row>
    <row r="1068" spans="75:99" ht="15.75">
      <c r="BW1068" s="276"/>
      <c r="BY1068" s="276"/>
      <c r="BZ1068" s="276"/>
      <c r="CA1068" s="276"/>
      <c r="CB1068" s="276"/>
      <c r="CC1068" s="276"/>
      <c r="CD1068" s="276"/>
      <c r="CH1068" s="276"/>
      <c r="CJ1068" s="276"/>
      <c r="CK1068" s="276"/>
      <c r="CL1068" s="276"/>
      <c r="CM1068" s="276"/>
      <c r="CN1068" s="276"/>
      <c r="CO1068" s="276"/>
      <c r="CP1068" s="276"/>
      <c r="CQ1068" s="276"/>
      <c r="CU1068" s="276"/>
    </row>
    <row r="1069" spans="75:99" ht="15.75">
      <c r="BW1069" s="276"/>
      <c r="BY1069" s="276"/>
      <c r="BZ1069" s="276"/>
      <c r="CA1069" s="276"/>
      <c r="CB1069" s="276"/>
      <c r="CC1069" s="276"/>
      <c r="CD1069" s="276"/>
      <c r="CH1069" s="276"/>
      <c r="CJ1069" s="276"/>
      <c r="CK1069" s="276"/>
      <c r="CL1069" s="276"/>
      <c r="CM1069" s="276"/>
      <c r="CN1069" s="276"/>
      <c r="CO1069" s="276"/>
      <c r="CP1069" s="276"/>
      <c r="CQ1069" s="276"/>
      <c r="CU1069" s="276"/>
    </row>
    <row r="1070" spans="75:99" ht="15.75">
      <c r="BW1070" s="276"/>
      <c r="BY1070" s="276"/>
      <c r="BZ1070" s="276"/>
      <c r="CA1070" s="276"/>
      <c r="CB1070" s="276"/>
      <c r="CC1070" s="276"/>
      <c r="CD1070" s="276"/>
      <c r="CH1070" s="276"/>
      <c r="CJ1070" s="276"/>
      <c r="CK1070" s="276"/>
      <c r="CL1070" s="276"/>
      <c r="CM1070" s="276"/>
      <c r="CN1070" s="276"/>
      <c r="CO1070" s="276"/>
      <c r="CP1070" s="276"/>
      <c r="CQ1070" s="276"/>
      <c r="CU1070" s="276"/>
    </row>
    <row r="1071" spans="75:99" ht="15.75">
      <c r="BW1071" s="276"/>
      <c r="BY1071" s="276"/>
      <c r="BZ1071" s="276"/>
      <c r="CA1071" s="276"/>
      <c r="CB1071" s="276"/>
      <c r="CC1071" s="276"/>
      <c r="CD1071" s="276"/>
      <c r="CH1071" s="276"/>
      <c r="CJ1071" s="276"/>
      <c r="CK1071" s="276"/>
      <c r="CL1071" s="276"/>
      <c r="CM1071" s="276"/>
      <c r="CN1071" s="276"/>
      <c r="CO1071" s="276"/>
      <c r="CP1071" s="276"/>
      <c r="CQ1071" s="276"/>
      <c r="CU1071" s="276"/>
    </row>
    <row r="1072" spans="75:99" ht="15.75">
      <c r="BW1072" s="276"/>
      <c r="BY1072" s="276"/>
      <c r="BZ1072" s="276"/>
      <c r="CA1072" s="276"/>
      <c r="CB1072" s="276"/>
      <c r="CC1072" s="276"/>
      <c r="CD1072" s="276"/>
      <c r="CH1072" s="276"/>
      <c r="CJ1072" s="276"/>
      <c r="CK1072" s="276"/>
      <c r="CL1072" s="276"/>
      <c r="CM1072" s="276"/>
      <c r="CN1072" s="276"/>
      <c r="CO1072" s="276"/>
      <c r="CP1072" s="276"/>
      <c r="CQ1072" s="276"/>
      <c r="CU1072" s="276"/>
    </row>
    <row r="1073" spans="75:99" ht="15.75">
      <c r="BW1073" s="276"/>
      <c r="BY1073" s="276"/>
      <c r="BZ1073" s="276"/>
      <c r="CA1073" s="276"/>
      <c r="CB1073" s="276"/>
      <c r="CC1073" s="276"/>
      <c r="CD1073" s="276"/>
      <c r="CH1073" s="276"/>
      <c r="CJ1073" s="276"/>
      <c r="CK1073" s="276"/>
      <c r="CL1073" s="276"/>
      <c r="CM1073" s="276"/>
      <c r="CN1073" s="276"/>
      <c r="CO1073" s="276"/>
      <c r="CP1073" s="276"/>
      <c r="CQ1073" s="276"/>
      <c r="CU1073" s="276"/>
    </row>
    <row r="1074" spans="75:99" ht="15.75">
      <c r="BW1074" s="276"/>
      <c r="BY1074" s="276"/>
      <c r="BZ1074" s="276"/>
      <c r="CA1074" s="276"/>
      <c r="CB1074" s="276"/>
      <c r="CC1074" s="276"/>
      <c r="CD1074" s="276"/>
      <c r="CH1074" s="276"/>
      <c r="CJ1074" s="276"/>
      <c r="CK1074" s="276"/>
      <c r="CL1074" s="276"/>
      <c r="CM1074" s="276"/>
      <c r="CN1074" s="276"/>
      <c r="CO1074" s="276"/>
      <c r="CP1074" s="276"/>
      <c r="CQ1074" s="276"/>
      <c r="CU1074" s="276"/>
    </row>
    <row r="1075" spans="75:99" ht="15.75">
      <c r="BW1075" s="276"/>
      <c r="BY1075" s="276"/>
      <c r="BZ1075" s="276"/>
      <c r="CA1075" s="276"/>
      <c r="CB1075" s="276"/>
      <c r="CC1075" s="276"/>
      <c r="CD1075" s="276"/>
      <c r="CH1075" s="276"/>
      <c r="CJ1075" s="276"/>
      <c r="CK1075" s="276"/>
      <c r="CL1075" s="276"/>
      <c r="CM1075" s="276"/>
      <c r="CN1075" s="276"/>
      <c r="CO1075" s="276"/>
      <c r="CP1075" s="276"/>
      <c r="CQ1075" s="276"/>
      <c r="CU1075" s="276"/>
    </row>
    <row r="1076" spans="75:99" ht="15.75">
      <c r="BW1076" s="276"/>
      <c r="BY1076" s="276"/>
      <c r="BZ1076" s="276"/>
      <c r="CA1076" s="276"/>
      <c r="CB1076" s="276"/>
      <c r="CC1076" s="276"/>
      <c r="CD1076" s="276"/>
      <c r="CH1076" s="276"/>
      <c r="CJ1076" s="276"/>
      <c r="CK1076" s="276"/>
      <c r="CL1076" s="276"/>
      <c r="CM1076" s="276"/>
      <c r="CN1076" s="276"/>
      <c r="CO1076" s="276"/>
      <c r="CP1076" s="276"/>
      <c r="CQ1076" s="276"/>
      <c r="CU1076" s="276"/>
    </row>
    <row r="1077" spans="75:99" ht="15.75">
      <c r="BW1077" s="276"/>
      <c r="BY1077" s="276"/>
      <c r="BZ1077" s="276"/>
      <c r="CA1077" s="276"/>
      <c r="CB1077" s="276"/>
      <c r="CC1077" s="276"/>
      <c r="CD1077" s="276"/>
      <c r="CH1077" s="276"/>
      <c r="CJ1077" s="276"/>
      <c r="CK1077" s="276"/>
      <c r="CL1077" s="276"/>
      <c r="CM1077" s="276"/>
      <c r="CN1077" s="276"/>
      <c r="CO1077" s="276"/>
      <c r="CP1077" s="276"/>
      <c r="CQ1077" s="276"/>
      <c r="CU1077" s="276"/>
    </row>
    <row r="1078" spans="75:99" ht="15.75">
      <c r="BW1078" s="276"/>
      <c r="BY1078" s="276"/>
      <c r="BZ1078" s="276"/>
      <c r="CA1078" s="276"/>
      <c r="CB1078" s="276"/>
      <c r="CC1078" s="276"/>
      <c r="CD1078" s="276"/>
      <c r="CH1078" s="276"/>
      <c r="CJ1078" s="276"/>
      <c r="CK1078" s="276"/>
      <c r="CL1078" s="276"/>
      <c r="CM1078" s="276"/>
      <c r="CN1078" s="276"/>
      <c r="CO1078" s="276"/>
      <c r="CP1078" s="276"/>
      <c r="CQ1078" s="276"/>
      <c r="CU1078" s="276"/>
    </row>
    <row r="1079" spans="75:99" ht="15.75">
      <c r="BW1079" s="276"/>
      <c r="BY1079" s="276"/>
      <c r="BZ1079" s="276"/>
      <c r="CA1079" s="276"/>
      <c r="CB1079" s="276"/>
      <c r="CC1079" s="276"/>
      <c r="CD1079" s="276"/>
      <c r="CH1079" s="276"/>
      <c r="CJ1079" s="276"/>
      <c r="CK1079" s="276"/>
      <c r="CL1079" s="276"/>
      <c r="CM1079" s="276"/>
      <c r="CN1079" s="276"/>
      <c r="CO1079" s="276"/>
      <c r="CP1079" s="276"/>
      <c r="CQ1079" s="276"/>
      <c r="CU1079" s="276"/>
    </row>
    <row r="1080" spans="75:99" ht="15.75">
      <c r="BW1080" s="276"/>
      <c r="BY1080" s="276"/>
      <c r="BZ1080" s="276"/>
      <c r="CA1080" s="276"/>
      <c r="CB1080" s="276"/>
      <c r="CC1080" s="276"/>
      <c r="CD1080" s="276"/>
      <c r="CH1080" s="276"/>
      <c r="CJ1080" s="276"/>
      <c r="CK1080" s="276"/>
      <c r="CL1080" s="276"/>
      <c r="CM1080" s="276"/>
      <c r="CN1080" s="276"/>
      <c r="CO1080" s="276"/>
      <c r="CP1080" s="276"/>
      <c r="CQ1080" s="276"/>
      <c r="CU1080" s="276"/>
    </row>
    <row r="1081" spans="75:99" ht="15.75">
      <c r="BW1081" s="276"/>
      <c r="BY1081" s="276"/>
      <c r="BZ1081" s="276"/>
      <c r="CA1081" s="276"/>
      <c r="CB1081" s="276"/>
      <c r="CC1081" s="276"/>
      <c r="CD1081" s="276"/>
      <c r="CH1081" s="276"/>
      <c r="CJ1081" s="276"/>
      <c r="CK1081" s="276"/>
      <c r="CL1081" s="276"/>
      <c r="CM1081" s="276"/>
      <c r="CN1081" s="276"/>
      <c r="CO1081" s="276"/>
      <c r="CP1081" s="276"/>
      <c r="CQ1081" s="276"/>
      <c r="CU1081" s="276"/>
    </row>
    <row r="1082" spans="75:99" ht="15.75">
      <c r="BW1082" s="276"/>
      <c r="BY1082" s="276"/>
      <c r="BZ1082" s="276"/>
      <c r="CA1082" s="276"/>
      <c r="CB1082" s="276"/>
      <c r="CC1082" s="276"/>
      <c r="CD1082" s="276"/>
      <c r="CH1082" s="276"/>
      <c r="CJ1082" s="276"/>
      <c r="CK1082" s="276"/>
      <c r="CL1082" s="276"/>
      <c r="CM1082" s="276"/>
      <c r="CN1082" s="276"/>
      <c r="CO1082" s="276"/>
      <c r="CP1082" s="276"/>
      <c r="CQ1082" s="276"/>
      <c r="CU1082" s="276"/>
    </row>
    <row r="1083" spans="75:99" ht="15.75">
      <c r="BW1083" s="276"/>
      <c r="BY1083" s="276"/>
      <c r="BZ1083" s="276"/>
      <c r="CA1083" s="276"/>
      <c r="CB1083" s="276"/>
      <c r="CC1083" s="276"/>
      <c r="CD1083" s="276"/>
      <c r="CH1083" s="276"/>
      <c r="CJ1083" s="276"/>
      <c r="CK1083" s="276"/>
      <c r="CL1083" s="276"/>
      <c r="CM1083" s="276"/>
      <c r="CN1083" s="276"/>
      <c r="CO1083" s="276"/>
      <c r="CP1083" s="276"/>
      <c r="CQ1083" s="276"/>
      <c r="CU1083" s="276"/>
    </row>
    <row r="1084" spans="75:99" ht="15.75">
      <c r="BW1084" s="276"/>
      <c r="BY1084" s="276"/>
      <c r="BZ1084" s="276"/>
      <c r="CA1084" s="276"/>
      <c r="CB1084" s="276"/>
      <c r="CC1084" s="276"/>
      <c r="CD1084" s="276"/>
      <c r="CH1084" s="276"/>
      <c r="CJ1084" s="276"/>
      <c r="CK1084" s="276"/>
      <c r="CL1084" s="276"/>
      <c r="CM1084" s="276"/>
      <c r="CN1084" s="276"/>
      <c r="CO1084" s="276"/>
      <c r="CP1084" s="276"/>
      <c r="CQ1084" s="276"/>
      <c r="CU1084" s="276"/>
    </row>
    <row r="1085" spans="75:99" ht="15.75">
      <c r="BW1085" s="276"/>
      <c r="BY1085" s="276"/>
      <c r="BZ1085" s="276"/>
      <c r="CA1085" s="276"/>
      <c r="CB1085" s="276"/>
      <c r="CC1085" s="276"/>
      <c r="CD1085" s="276"/>
      <c r="CH1085" s="276"/>
      <c r="CJ1085" s="276"/>
      <c r="CK1085" s="276"/>
      <c r="CL1085" s="276"/>
      <c r="CM1085" s="276"/>
      <c r="CN1085" s="276"/>
      <c r="CO1085" s="276"/>
      <c r="CP1085" s="276"/>
      <c r="CQ1085" s="276"/>
      <c r="CU1085" s="276"/>
    </row>
    <row r="1086" spans="75:99" ht="15.75">
      <c r="BW1086" s="276"/>
      <c r="BY1086" s="276"/>
      <c r="BZ1086" s="276"/>
      <c r="CA1086" s="276"/>
      <c r="CB1086" s="276"/>
      <c r="CC1086" s="276"/>
      <c r="CD1086" s="276"/>
      <c r="CH1086" s="276"/>
      <c r="CJ1086" s="276"/>
      <c r="CK1086" s="276"/>
      <c r="CL1086" s="276"/>
      <c r="CM1086" s="276"/>
      <c r="CN1086" s="276"/>
      <c r="CO1086" s="276"/>
      <c r="CP1086" s="276"/>
      <c r="CQ1086" s="276"/>
      <c r="CU1086" s="276"/>
    </row>
    <row r="1087" spans="75:99" ht="15.75">
      <c r="BW1087" s="276"/>
      <c r="BY1087" s="276"/>
      <c r="BZ1087" s="276"/>
      <c r="CA1087" s="276"/>
      <c r="CB1087" s="276"/>
      <c r="CC1087" s="276"/>
      <c r="CD1087" s="276"/>
      <c r="CH1087" s="276"/>
      <c r="CJ1087" s="276"/>
      <c r="CK1087" s="276"/>
      <c r="CL1087" s="276"/>
      <c r="CM1087" s="276"/>
      <c r="CN1087" s="276"/>
      <c r="CO1087" s="276"/>
      <c r="CP1087" s="276"/>
      <c r="CQ1087" s="276"/>
      <c r="CU1087" s="276"/>
    </row>
    <row r="1088" spans="75:99" ht="15.75">
      <c r="BW1088" s="276"/>
      <c r="BY1088" s="276"/>
      <c r="BZ1088" s="276"/>
      <c r="CA1088" s="276"/>
      <c r="CB1088" s="276"/>
      <c r="CC1088" s="276"/>
      <c r="CD1088" s="276"/>
      <c r="CH1088" s="276"/>
      <c r="CJ1088" s="276"/>
      <c r="CK1088" s="276"/>
      <c r="CL1088" s="276"/>
      <c r="CM1088" s="276"/>
      <c r="CN1088" s="276"/>
      <c r="CO1088" s="276"/>
      <c r="CP1088" s="276"/>
      <c r="CQ1088" s="276"/>
      <c r="CU1088" s="276"/>
    </row>
    <row r="1089" spans="75:99" ht="15.75">
      <c r="BW1089" s="276"/>
      <c r="BY1089" s="276"/>
      <c r="BZ1089" s="276"/>
      <c r="CA1089" s="276"/>
      <c r="CB1089" s="276"/>
      <c r="CC1089" s="276"/>
      <c r="CD1089" s="276"/>
      <c r="CH1089" s="276"/>
      <c r="CJ1089" s="276"/>
      <c r="CK1089" s="276"/>
      <c r="CL1089" s="276"/>
      <c r="CM1089" s="276"/>
      <c r="CN1089" s="276"/>
      <c r="CO1089" s="276"/>
      <c r="CP1089" s="276"/>
      <c r="CQ1089" s="276"/>
      <c r="CU1089" s="276"/>
    </row>
    <row r="1090" spans="75:99" ht="15.75">
      <c r="BW1090" s="276"/>
      <c r="BY1090" s="276"/>
      <c r="BZ1090" s="276"/>
      <c r="CA1090" s="276"/>
      <c r="CB1090" s="276"/>
      <c r="CC1090" s="276"/>
      <c r="CD1090" s="276"/>
      <c r="CH1090" s="276"/>
      <c r="CJ1090" s="276"/>
      <c r="CK1090" s="276"/>
      <c r="CL1090" s="276"/>
      <c r="CM1090" s="276"/>
      <c r="CN1090" s="276"/>
      <c r="CO1090" s="276"/>
      <c r="CP1090" s="276"/>
      <c r="CQ1090" s="276"/>
      <c r="CU1090" s="276"/>
    </row>
    <row r="1091" spans="75:99" ht="15.75">
      <c r="BW1091" s="276"/>
      <c r="BY1091" s="276"/>
      <c r="BZ1091" s="276"/>
      <c r="CA1091" s="276"/>
      <c r="CB1091" s="276"/>
      <c r="CC1091" s="276"/>
      <c r="CD1091" s="276"/>
      <c r="CH1091" s="276"/>
      <c r="CJ1091" s="276"/>
      <c r="CK1091" s="276"/>
      <c r="CL1091" s="276"/>
      <c r="CM1091" s="276"/>
      <c r="CN1091" s="276"/>
      <c r="CO1091" s="276"/>
      <c r="CP1091" s="276"/>
      <c r="CQ1091" s="276"/>
      <c r="CU1091" s="276"/>
    </row>
    <row r="1092" spans="75:99" ht="15.75">
      <c r="BW1092" s="276"/>
      <c r="BY1092" s="276"/>
      <c r="BZ1092" s="276"/>
      <c r="CA1092" s="276"/>
      <c r="CB1092" s="276"/>
      <c r="CC1092" s="276"/>
      <c r="CD1092" s="276"/>
      <c r="CH1092" s="276"/>
      <c r="CJ1092" s="276"/>
      <c r="CK1092" s="276"/>
      <c r="CL1092" s="276"/>
      <c r="CM1092" s="276"/>
      <c r="CN1092" s="276"/>
      <c r="CO1092" s="276"/>
      <c r="CP1092" s="276"/>
      <c r="CQ1092" s="276"/>
      <c r="CU1092" s="276"/>
    </row>
    <row r="1093" spans="75:99" ht="15.75">
      <c r="BW1093" s="276"/>
      <c r="BY1093" s="276"/>
      <c r="BZ1093" s="276"/>
      <c r="CA1093" s="276"/>
      <c r="CB1093" s="276"/>
      <c r="CC1093" s="276"/>
      <c r="CD1093" s="276"/>
      <c r="CH1093" s="276"/>
      <c r="CJ1093" s="276"/>
      <c r="CK1093" s="276"/>
      <c r="CL1093" s="276"/>
      <c r="CM1093" s="276"/>
      <c r="CN1093" s="276"/>
      <c r="CO1093" s="276"/>
      <c r="CP1093" s="276"/>
      <c r="CQ1093" s="276"/>
      <c r="CU1093" s="276"/>
    </row>
    <row r="1094" spans="75:99" ht="15.75">
      <c r="BW1094" s="276"/>
      <c r="BY1094" s="276"/>
      <c r="BZ1094" s="276"/>
      <c r="CA1094" s="276"/>
      <c r="CB1094" s="276"/>
      <c r="CC1094" s="276"/>
      <c r="CD1094" s="276"/>
      <c r="CH1094" s="276"/>
      <c r="CJ1094" s="276"/>
      <c r="CK1094" s="276"/>
      <c r="CL1094" s="276"/>
      <c r="CM1094" s="276"/>
      <c r="CN1094" s="276"/>
      <c r="CO1094" s="276"/>
      <c r="CP1094" s="276"/>
      <c r="CQ1094" s="276"/>
      <c r="CU1094" s="276"/>
    </row>
    <row r="1095" spans="75:99" ht="15.75">
      <c r="BW1095" s="276"/>
      <c r="BY1095" s="276"/>
      <c r="BZ1095" s="276"/>
      <c r="CA1095" s="276"/>
      <c r="CB1095" s="276"/>
      <c r="CC1095" s="276"/>
      <c r="CD1095" s="276"/>
      <c r="CH1095" s="276"/>
      <c r="CJ1095" s="276"/>
      <c r="CK1095" s="276"/>
      <c r="CL1095" s="276"/>
      <c r="CM1095" s="276"/>
      <c r="CN1095" s="276"/>
      <c r="CO1095" s="276"/>
      <c r="CP1095" s="276"/>
      <c r="CQ1095" s="276"/>
      <c r="CU1095" s="276"/>
    </row>
    <row r="1096" spans="75:99" ht="15.75">
      <c r="BW1096" s="276"/>
      <c r="BY1096" s="276"/>
      <c r="BZ1096" s="276"/>
      <c r="CA1096" s="276"/>
      <c r="CB1096" s="276"/>
      <c r="CC1096" s="276"/>
      <c r="CD1096" s="276"/>
      <c r="CH1096" s="276"/>
      <c r="CJ1096" s="276"/>
      <c r="CK1096" s="276"/>
      <c r="CL1096" s="276"/>
      <c r="CM1096" s="276"/>
      <c r="CN1096" s="276"/>
      <c r="CO1096" s="276"/>
      <c r="CP1096" s="276"/>
      <c r="CQ1096" s="276"/>
      <c r="CU1096" s="276"/>
    </row>
    <row r="1097" spans="75:99" ht="15.75">
      <c r="BW1097" s="276"/>
      <c r="BY1097" s="276"/>
      <c r="BZ1097" s="276"/>
      <c r="CA1097" s="276"/>
      <c r="CB1097" s="276"/>
      <c r="CC1097" s="276"/>
      <c r="CD1097" s="276"/>
      <c r="CH1097" s="276"/>
      <c r="CJ1097" s="276"/>
      <c r="CK1097" s="276"/>
      <c r="CL1097" s="276"/>
      <c r="CM1097" s="276"/>
      <c r="CN1097" s="276"/>
      <c r="CO1097" s="276"/>
      <c r="CP1097" s="276"/>
      <c r="CQ1097" s="276"/>
      <c r="CU1097" s="276"/>
    </row>
    <row r="1098" spans="75:99" ht="15.75">
      <c r="BW1098" s="276"/>
      <c r="BY1098" s="276"/>
      <c r="BZ1098" s="276"/>
      <c r="CA1098" s="276"/>
      <c r="CB1098" s="276"/>
      <c r="CC1098" s="276"/>
      <c r="CD1098" s="276"/>
      <c r="CH1098" s="276"/>
      <c r="CJ1098" s="276"/>
      <c r="CK1098" s="276"/>
      <c r="CL1098" s="276"/>
      <c r="CM1098" s="276"/>
      <c r="CN1098" s="276"/>
      <c r="CO1098" s="276"/>
      <c r="CP1098" s="276"/>
      <c r="CQ1098" s="276"/>
      <c r="CU1098" s="276"/>
    </row>
    <row r="1099" spans="75:99" ht="15.75">
      <c r="BW1099" s="276"/>
      <c r="BY1099" s="276"/>
      <c r="BZ1099" s="276"/>
      <c r="CA1099" s="276"/>
      <c r="CB1099" s="276"/>
      <c r="CC1099" s="276"/>
      <c r="CD1099" s="276"/>
      <c r="CH1099" s="276"/>
      <c r="CJ1099" s="276"/>
      <c r="CK1099" s="276"/>
      <c r="CL1099" s="276"/>
      <c r="CM1099" s="276"/>
      <c r="CN1099" s="276"/>
      <c r="CO1099" s="276"/>
      <c r="CP1099" s="276"/>
      <c r="CQ1099" s="276"/>
      <c r="CU1099" s="276"/>
    </row>
    <row r="1100" spans="75:99" ht="15.75">
      <c r="BW1100" s="276"/>
      <c r="BY1100" s="276"/>
      <c r="BZ1100" s="276"/>
      <c r="CA1100" s="276"/>
      <c r="CB1100" s="276"/>
      <c r="CC1100" s="276"/>
      <c r="CD1100" s="276"/>
      <c r="CH1100" s="276"/>
      <c r="CJ1100" s="276"/>
      <c r="CK1100" s="276"/>
      <c r="CL1100" s="276"/>
      <c r="CM1100" s="276"/>
      <c r="CN1100" s="276"/>
      <c r="CO1100" s="276"/>
      <c r="CP1100" s="276"/>
      <c r="CQ1100" s="276"/>
      <c r="CU1100" s="276"/>
    </row>
    <row r="1101" spans="75:99" ht="15.75">
      <c r="BW1101" s="276"/>
      <c r="BY1101" s="276"/>
      <c r="BZ1101" s="276"/>
      <c r="CA1101" s="276"/>
      <c r="CB1101" s="276"/>
      <c r="CC1101" s="276"/>
      <c r="CD1101" s="276"/>
      <c r="CH1101" s="276"/>
      <c r="CJ1101" s="276"/>
      <c r="CK1101" s="276"/>
      <c r="CL1101" s="276"/>
      <c r="CM1101" s="276"/>
      <c r="CN1101" s="276"/>
      <c r="CO1101" s="276"/>
      <c r="CP1101" s="276"/>
      <c r="CQ1101" s="276"/>
      <c r="CU1101" s="276"/>
    </row>
    <row r="1102" spans="75:99" ht="15.75">
      <c r="BW1102" s="276"/>
      <c r="BY1102" s="276"/>
      <c r="BZ1102" s="276"/>
      <c r="CA1102" s="276"/>
      <c r="CB1102" s="276"/>
      <c r="CC1102" s="276"/>
      <c r="CD1102" s="276"/>
      <c r="CH1102" s="276"/>
      <c r="CJ1102" s="276"/>
      <c r="CK1102" s="276"/>
      <c r="CL1102" s="276"/>
      <c r="CM1102" s="276"/>
      <c r="CN1102" s="276"/>
      <c r="CO1102" s="276"/>
      <c r="CP1102" s="276"/>
      <c r="CQ1102" s="276"/>
      <c r="CU1102" s="276"/>
    </row>
    <row r="1103" spans="75:99" ht="15.75">
      <c r="BW1103" s="276"/>
      <c r="BY1103" s="276"/>
      <c r="BZ1103" s="276"/>
      <c r="CA1103" s="276"/>
      <c r="CB1103" s="276"/>
      <c r="CC1103" s="276"/>
      <c r="CD1103" s="276"/>
      <c r="CH1103" s="276"/>
      <c r="CJ1103" s="276"/>
      <c r="CK1103" s="276"/>
      <c r="CL1103" s="276"/>
      <c r="CM1103" s="276"/>
      <c r="CN1103" s="276"/>
      <c r="CO1103" s="276"/>
      <c r="CP1103" s="276"/>
      <c r="CQ1103" s="276"/>
      <c r="CU1103" s="276"/>
    </row>
    <row r="1104" spans="75:99" ht="15.75">
      <c r="BW1104" s="276"/>
      <c r="BY1104" s="276"/>
      <c r="BZ1104" s="276"/>
      <c r="CA1104" s="276"/>
      <c r="CB1104" s="276"/>
      <c r="CC1104" s="276"/>
      <c r="CD1104" s="276"/>
      <c r="CH1104" s="276"/>
      <c r="CJ1104" s="276"/>
      <c r="CK1104" s="276"/>
      <c r="CL1104" s="276"/>
      <c r="CM1104" s="276"/>
      <c r="CN1104" s="276"/>
      <c r="CO1104" s="276"/>
      <c r="CP1104" s="276"/>
      <c r="CQ1104" s="276"/>
      <c r="CU1104" s="276"/>
    </row>
    <row r="1105" spans="75:99" ht="15.75">
      <c r="BW1105" s="276"/>
      <c r="BY1105" s="276"/>
      <c r="BZ1105" s="276"/>
      <c r="CA1105" s="276"/>
      <c r="CB1105" s="276"/>
      <c r="CC1105" s="276"/>
      <c r="CD1105" s="276"/>
      <c r="CH1105" s="276"/>
      <c r="CJ1105" s="276"/>
      <c r="CK1105" s="276"/>
      <c r="CL1105" s="276"/>
      <c r="CM1105" s="276"/>
      <c r="CN1105" s="276"/>
      <c r="CO1105" s="276"/>
      <c r="CP1105" s="276"/>
      <c r="CQ1105" s="276"/>
      <c r="CU1105" s="276"/>
    </row>
    <row r="1106" spans="75:99" ht="15.75">
      <c r="BW1106" s="276"/>
      <c r="BY1106" s="276"/>
      <c r="BZ1106" s="276"/>
      <c r="CA1106" s="276"/>
      <c r="CB1106" s="276"/>
      <c r="CC1106" s="276"/>
      <c r="CD1106" s="276"/>
      <c r="CH1106" s="276"/>
      <c r="CJ1106" s="276"/>
      <c r="CK1106" s="276"/>
      <c r="CL1106" s="276"/>
      <c r="CM1106" s="276"/>
      <c r="CN1106" s="276"/>
      <c r="CO1106" s="276"/>
      <c r="CP1106" s="276"/>
      <c r="CQ1106" s="276"/>
      <c r="CU1106" s="276"/>
    </row>
    <row r="1107" spans="75:99" ht="15.75">
      <c r="BW1107" s="276"/>
      <c r="BY1107" s="276"/>
      <c r="BZ1107" s="276"/>
      <c r="CA1107" s="276"/>
      <c r="CB1107" s="276"/>
      <c r="CC1107" s="276"/>
      <c r="CD1107" s="276"/>
      <c r="CH1107" s="276"/>
      <c r="CJ1107" s="276"/>
      <c r="CK1107" s="276"/>
      <c r="CL1107" s="276"/>
      <c r="CM1107" s="276"/>
      <c r="CN1107" s="276"/>
      <c r="CO1107" s="276"/>
      <c r="CP1107" s="276"/>
      <c r="CQ1107" s="276"/>
      <c r="CU1107" s="276"/>
    </row>
    <row r="1108" spans="75:99" ht="15.75">
      <c r="BW1108" s="276"/>
      <c r="BY1108" s="276"/>
      <c r="BZ1108" s="276"/>
      <c r="CA1108" s="276"/>
      <c r="CB1108" s="276"/>
      <c r="CC1108" s="276"/>
      <c r="CD1108" s="276"/>
      <c r="CH1108" s="276"/>
      <c r="CJ1108" s="276"/>
      <c r="CK1108" s="276"/>
      <c r="CL1108" s="276"/>
      <c r="CM1108" s="276"/>
      <c r="CN1108" s="276"/>
      <c r="CO1108" s="276"/>
      <c r="CP1108" s="276"/>
      <c r="CQ1108" s="276"/>
      <c r="CU1108" s="276"/>
    </row>
    <row r="1109" spans="75:99" ht="15.75">
      <c r="BW1109" s="276"/>
      <c r="BY1109" s="276"/>
      <c r="BZ1109" s="276"/>
      <c r="CA1109" s="276"/>
      <c r="CB1109" s="276"/>
      <c r="CC1109" s="276"/>
      <c r="CD1109" s="276"/>
      <c r="CH1109" s="276"/>
      <c r="CJ1109" s="276"/>
      <c r="CK1109" s="276"/>
      <c r="CL1109" s="276"/>
      <c r="CM1109" s="276"/>
      <c r="CN1109" s="276"/>
      <c r="CO1109" s="276"/>
      <c r="CP1109" s="276"/>
      <c r="CQ1109" s="276"/>
      <c r="CU1109" s="276"/>
    </row>
    <row r="1110" spans="75:99" ht="15.75">
      <c r="BW1110" s="276"/>
      <c r="BY1110" s="276"/>
      <c r="BZ1110" s="276"/>
      <c r="CA1110" s="276"/>
      <c r="CB1110" s="276"/>
      <c r="CC1110" s="276"/>
      <c r="CD1110" s="276"/>
      <c r="CH1110" s="276"/>
      <c r="CJ1110" s="276"/>
      <c r="CK1110" s="276"/>
      <c r="CL1110" s="276"/>
      <c r="CM1110" s="276"/>
      <c r="CN1110" s="276"/>
      <c r="CO1110" s="276"/>
      <c r="CP1110" s="276"/>
      <c r="CQ1110" s="276"/>
      <c r="CU1110" s="276"/>
    </row>
    <row r="1111" spans="75:99" ht="15.75">
      <c r="BW1111" s="276"/>
      <c r="BY1111" s="276"/>
      <c r="BZ1111" s="276"/>
      <c r="CA1111" s="276"/>
      <c r="CB1111" s="276"/>
      <c r="CC1111" s="276"/>
      <c r="CD1111" s="276"/>
      <c r="CH1111" s="276"/>
      <c r="CJ1111" s="276"/>
      <c r="CK1111" s="276"/>
      <c r="CL1111" s="276"/>
      <c r="CM1111" s="276"/>
      <c r="CN1111" s="276"/>
      <c r="CO1111" s="276"/>
      <c r="CP1111" s="276"/>
      <c r="CQ1111" s="276"/>
      <c r="CU1111" s="276"/>
    </row>
    <row r="1112" spans="75:99" ht="15.75">
      <c r="BW1112" s="276"/>
      <c r="BY1112" s="276"/>
      <c r="BZ1112" s="276"/>
      <c r="CA1112" s="276"/>
      <c r="CB1112" s="276"/>
      <c r="CC1112" s="276"/>
      <c r="CD1112" s="276"/>
      <c r="CH1112" s="276"/>
      <c r="CJ1112" s="276"/>
      <c r="CK1112" s="276"/>
      <c r="CL1112" s="276"/>
      <c r="CM1112" s="276"/>
      <c r="CN1112" s="276"/>
      <c r="CO1112" s="276"/>
      <c r="CP1112" s="276"/>
      <c r="CQ1112" s="276"/>
      <c r="CU1112" s="276"/>
    </row>
    <row r="1113" spans="75:99" ht="15.75">
      <c r="BW1113" s="276"/>
      <c r="BY1113" s="276"/>
      <c r="BZ1113" s="276"/>
      <c r="CA1113" s="276"/>
      <c r="CB1113" s="276"/>
      <c r="CC1113" s="276"/>
      <c r="CD1113" s="276"/>
      <c r="CH1113" s="276"/>
      <c r="CJ1113" s="276"/>
      <c r="CK1113" s="276"/>
      <c r="CL1113" s="276"/>
      <c r="CM1113" s="276"/>
      <c r="CN1113" s="276"/>
      <c r="CO1113" s="276"/>
      <c r="CP1113" s="276"/>
      <c r="CQ1113" s="276"/>
      <c r="CU1113" s="276"/>
    </row>
    <row r="1114" spans="75:99" ht="15.75">
      <c r="BW1114" s="276"/>
      <c r="BY1114" s="276"/>
      <c r="BZ1114" s="276"/>
      <c r="CA1114" s="276"/>
      <c r="CB1114" s="276"/>
      <c r="CC1114" s="276"/>
      <c r="CD1114" s="276"/>
      <c r="CH1114" s="276"/>
      <c r="CJ1114" s="276"/>
      <c r="CK1114" s="276"/>
      <c r="CL1114" s="276"/>
      <c r="CM1114" s="276"/>
      <c r="CN1114" s="276"/>
      <c r="CO1114" s="276"/>
      <c r="CP1114" s="276"/>
      <c r="CQ1114" s="276"/>
      <c r="CU1114" s="276"/>
    </row>
    <row r="1115" spans="75:99" ht="15.75">
      <c r="BW1115" s="276"/>
      <c r="BY1115" s="276"/>
      <c r="BZ1115" s="276"/>
      <c r="CA1115" s="276"/>
      <c r="CB1115" s="276"/>
      <c r="CC1115" s="276"/>
      <c r="CD1115" s="276"/>
      <c r="CH1115" s="276"/>
      <c r="CJ1115" s="276"/>
      <c r="CK1115" s="276"/>
      <c r="CL1115" s="276"/>
      <c r="CM1115" s="276"/>
      <c r="CN1115" s="276"/>
      <c r="CO1115" s="276"/>
      <c r="CP1115" s="276"/>
      <c r="CQ1115" s="276"/>
      <c r="CU1115" s="276"/>
    </row>
    <row r="1116" spans="75:99" ht="15.75">
      <c r="BW1116" s="276"/>
      <c r="BY1116" s="276"/>
      <c r="BZ1116" s="276"/>
      <c r="CA1116" s="276"/>
      <c r="CB1116" s="276"/>
      <c r="CC1116" s="276"/>
      <c r="CD1116" s="276"/>
      <c r="CH1116" s="276"/>
      <c r="CJ1116" s="276"/>
      <c r="CK1116" s="276"/>
      <c r="CL1116" s="276"/>
      <c r="CM1116" s="276"/>
      <c r="CN1116" s="276"/>
      <c r="CO1116" s="276"/>
      <c r="CP1116" s="276"/>
      <c r="CQ1116" s="276"/>
      <c r="CU1116" s="276"/>
    </row>
    <row r="1117" spans="75:99" ht="15.75">
      <c r="BW1117" s="276"/>
      <c r="BY1117" s="276"/>
      <c r="BZ1117" s="276"/>
      <c r="CA1117" s="276"/>
      <c r="CB1117" s="276"/>
      <c r="CC1117" s="276"/>
      <c r="CD1117" s="276"/>
      <c r="CH1117" s="276"/>
      <c r="CJ1117" s="276"/>
      <c r="CK1117" s="276"/>
      <c r="CL1117" s="276"/>
      <c r="CM1117" s="276"/>
      <c r="CN1117" s="276"/>
      <c r="CO1117" s="276"/>
      <c r="CP1117" s="276"/>
      <c r="CQ1117" s="276"/>
      <c r="CU1117" s="276"/>
    </row>
    <row r="1118" spans="75:99" ht="15.75">
      <c r="BW1118" s="276"/>
      <c r="BY1118" s="276"/>
      <c r="BZ1118" s="276"/>
      <c r="CA1118" s="276"/>
      <c r="CB1118" s="276"/>
      <c r="CC1118" s="276"/>
      <c r="CD1118" s="276"/>
      <c r="CH1118" s="276"/>
      <c r="CJ1118" s="276"/>
      <c r="CK1118" s="276"/>
      <c r="CL1118" s="276"/>
      <c r="CM1118" s="276"/>
      <c r="CN1118" s="276"/>
      <c r="CO1118" s="276"/>
      <c r="CP1118" s="276"/>
      <c r="CQ1118" s="276"/>
      <c r="CU1118" s="276"/>
    </row>
    <row r="1119" spans="75:99" ht="15.75">
      <c r="BW1119" s="276"/>
      <c r="BY1119" s="276"/>
      <c r="BZ1119" s="276"/>
      <c r="CA1119" s="276"/>
      <c r="CB1119" s="276"/>
      <c r="CC1119" s="276"/>
      <c r="CD1119" s="276"/>
      <c r="CH1119" s="276"/>
      <c r="CJ1119" s="276"/>
      <c r="CK1119" s="276"/>
      <c r="CL1119" s="276"/>
      <c r="CM1119" s="276"/>
      <c r="CN1119" s="276"/>
      <c r="CO1119" s="276"/>
      <c r="CP1119" s="276"/>
      <c r="CQ1119" s="276"/>
      <c r="CU1119" s="276"/>
    </row>
    <row r="1120" spans="75:99" ht="15.75">
      <c r="BW1120" s="276"/>
      <c r="BY1120" s="276"/>
      <c r="BZ1120" s="276"/>
      <c r="CA1120" s="276"/>
      <c r="CB1120" s="276"/>
      <c r="CC1120" s="276"/>
      <c r="CD1120" s="276"/>
      <c r="CH1120" s="276"/>
      <c r="CJ1120" s="276"/>
      <c r="CK1120" s="276"/>
      <c r="CL1120" s="276"/>
      <c r="CM1120" s="276"/>
      <c r="CN1120" s="276"/>
      <c r="CO1120" s="276"/>
      <c r="CP1120" s="276"/>
      <c r="CQ1120" s="276"/>
      <c r="CU1120" s="276"/>
    </row>
    <row r="1121" spans="75:99" ht="15.75">
      <c r="BW1121" s="276"/>
      <c r="BY1121" s="276"/>
      <c r="BZ1121" s="276"/>
      <c r="CA1121" s="276"/>
      <c r="CB1121" s="276"/>
      <c r="CC1121" s="276"/>
      <c r="CD1121" s="276"/>
      <c r="CH1121" s="276"/>
      <c r="CJ1121" s="276"/>
      <c r="CK1121" s="276"/>
      <c r="CL1121" s="276"/>
      <c r="CM1121" s="276"/>
      <c r="CN1121" s="276"/>
      <c r="CO1121" s="276"/>
      <c r="CP1121" s="276"/>
      <c r="CQ1121" s="276"/>
      <c r="CU1121" s="276"/>
    </row>
    <row r="1122" spans="75:99" ht="15.75">
      <c r="BW1122" s="276"/>
      <c r="BY1122" s="276"/>
      <c r="BZ1122" s="276"/>
      <c r="CA1122" s="276"/>
      <c r="CB1122" s="276"/>
      <c r="CC1122" s="276"/>
      <c r="CD1122" s="276"/>
      <c r="CH1122" s="276"/>
      <c r="CJ1122" s="276"/>
      <c r="CK1122" s="276"/>
      <c r="CL1122" s="276"/>
      <c r="CM1122" s="276"/>
      <c r="CN1122" s="276"/>
      <c r="CO1122" s="276"/>
      <c r="CP1122" s="276"/>
      <c r="CQ1122" s="276"/>
      <c r="CU1122" s="276"/>
    </row>
    <row r="1123" spans="75:99" ht="15.75">
      <c r="BW1123" s="276"/>
      <c r="BY1123" s="276"/>
      <c r="BZ1123" s="276"/>
      <c r="CA1123" s="276"/>
      <c r="CB1123" s="276"/>
      <c r="CC1123" s="276"/>
      <c r="CD1123" s="276"/>
      <c r="CH1123" s="276"/>
      <c r="CJ1123" s="276"/>
      <c r="CK1123" s="276"/>
      <c r="CL1123" s="276"/>
      <c r="CM1123" s="276"/>
      <c r="CN1123" s="276"/>
      <c r="CO1123" s="276"/>
      <c r="CP1123" s="276"/>
      <c r="CQ1123" s="276"/>
      <c r="CU1123" s="276"/>
    </row>
    <row r="1124" spans="75:99" ht="15.75">
      <c r="BW1124" s="276"/>
      <c r="BY1124" s="276"/>
      <c r="BZ1124" s="276"/>
      <c r="CA1124" s="276"/>
      <c r="CB1124" s="276"/>
      <c r="CC1124" s="276"/>
      <c r="CD1124" s="276"/>
      <c r="CH1124" s="276"/>
      <c r="CJ1124" s="276"/>
      <c r="CK1124" s="276"/>
      <c r="CL1124" s="276"/>
      <c r="CM1124" s="276"/>
      <c r="CN1124" s="276"/>
      <c r="CO1124" s="276"/>
      <c r="CP1124" s="276"/>
      <c r="CQ1124" s="276"/>
      <c r="CU1124" s="276"/>
    </row>
    <row r="1125" spans="75:99" ht="15.75">
      <c r="BW1125" s="276"/>
      <c r="BY1125" s="276"/>
      <c r="BZ1125" s="276"/>
      <c r="CA1125" s="276"/>
      <c r="CB1125" s="276"/>
      <c r="CC1125" s="276"/>
      <c r="CD1125" s="276"/>
      <c r="CH1125" s="276"/>
      <c r="CJ1125" s="276"/>
      <c r="CK1125" s="276"/>
      <c r="CL1125" s="276"/>
      <c r="CM1125" s="276"/>
      <c r="CN1125" s="276"/>
      <c r="CO1125" s="276"/>
      <c r="CP1125" s="276"/>
      <c r="CQ1125" s="276"/>
      <c r="CU1125" s="276"/>
    </row>
    <row r="1126" spans="75:99" ht="15.75">
      <c r="BW1126" s="276"/>
      <c r="BY1126" s="276"/>
      <c r="BZ1126" s="276"/>
      <c r="CA1126" s="276"/>
      <c r="CB1126" s="276"/>
      <c r="CC1126" s="276"/>
      <c r="CD1126" s="276"/>
      <c r="CH1126" s="276"/>
      <c r="CJ1126" s="276"/>
      <c r="CK1126" s="276"/>
      <c r="CL1126" s="276"/>
      <c r="CM1126" s="276"/>
      <c r="CN1126" s="276"/>
      <c r="CO1126" s="276"/>
      <c r="CP1126" s="276"/>
      <c r="CQ1126" s="276"/>
      <c r="CU1126" s="276"/>
    </row>
    <row r="1127" spans="75:99" ht="15.75">
      <c r="BW1127" s="276"/>
      <c r="BY1127" s="276"/>
      <c r="BZ1127" s="276"/>
      <c r="CA1127" s="276"/>
      <c r="CB1127" s="276"/>
      <c r="CC1127" s="276"/>
      <c r="CD1127" s="276"/>
      <c r="CH1127" s="276"/>
      <c r="CJ1127" s="276"/>
      <c r="CK1127" s="276"/>
      <c r="CL1127" s="276"/>
      <c r="CM1127" s="276"/>
      <c r="CN1127" s="276"/>
      <c r="CO1127" s="276"/>
      <c r="CP1127" s="276"/>
      <c r="CQ1127" s="276"/>
      <c r="CU1127" s="276"/>
    </row>
    <row r="1128" spans="75:99" ht="15.75">
      <c r="BW1128" s="276"/>
      <c r="BY1128" s="276"/>
      <c r="BZ1128" s="276"/>
      <c r="CA1128" s="276"/>
      <c r="CB1128" s="276"/>
      <c r="CC1128" s="276"/>
      <c r="CD1128" s="276"/>
      <c r="CH1128" s="276"/>
      <c r="CJ1128" s="276"/>
      <c r="CK1128" s="276"/>
      <c r="CL1128" s="276"/>
      <c r="CM1128" s="276"/>
      <c r="CN1128" s="276"/>
      <c r="CO1128" s="276"/>
      <c r="CP1128" s="276"/>
      <c r="CQ1128" s="276"/>
      <c r="CU1128" s="276"/>
    </row>
    <row r="1129" spans="75:99" ht="15.75">
      <c r="BW1129" s="276"/>
      <c r="BY1129" s="276"/>
      <c r="BZ1129" s="276"/>
      <c r="CA1129" s="276"/>
      <c r="CB1129" s="276"/>
      <c r="CC1129" s="276"/>
      <c r="CD1129" s="276"/>
      <c r="CH1129" s="276"/>
      <c r="CJ1129" s="276"/>
      <c r="CK1129" s="276"/>
      <c r="CL1129" s="276"/>
      <c r="CM1129" s="276"/>
      <c r="CN1129" s="276"/>
      <c r="CO1129" s="276"/>
      <c r="CP1129" s="276"/>
      <c r="CQ1129" s="276"/>
      <c r="CU1129" s="276"/>
    </row>
    <row r="1130" spans="75:99" ht="15.75">
      <c r="BW1130" s="276"/>
      <c r="BY1130" s="276"/>
      <c r="BZ1130" s="276"/>
      <c r="CA1130" s="276"/>
      <c r="CB1130" s="276"/>
      <c r="CC1130" s="276"/>
      <c r="CD1130" s="276"/>
      <c r="CH1130" s="276"/>
      <c r="CJ1130" s="276"/>
      <c r="CK1130" s="276"/>
      <c r="CL1130" s="276"/>
      <c r="CM1130" s="276"/>
      <c r="CN1130" s="276"/>
      <c r="CO1130" s="276"/>
      <c r="CP1130" s="276"/>
      <c r="CQ1130" s="276"/>
      <c r="CU1130" s="276"/>
    </row>
    <row r="1131" spans="75:99" ht="15.75">
      <c r="BW1131" s="276"/>
      <c r="BY1131" s="276"/>
      <c r="BZ1131" s="276"/>
      <c r="CA1131" s="276"/>
      <c r="CB1131" s="276"/>
      <c r="CC1131" s="276"/>
      <c r="CD1131" s="276"/>
      <c r="CH1131" s="276"/>
      <c r="CJ1131" s="276"/>
      <c r="CK1131" s="276"/>
      <c r="CL1131" s="276"/>
      <c r="CM1131" s="276"/>
      <c r="CN1131" s="276"/>
      <c r="CO1131" s="276"/>
      <c r="CP1131" s="276"/>
      <c r="CQ1131" s="276"/>
      <c r="CU1131" s="276"/>
    </row>
    <row r="1132" spans="75:99" ht="15.75">
      <c r="BW1132" s="276"/>
      <c r="BY1132" s="276"/>
      <c r="BZ1132" s="276"/>
      <c r="CA1132" s="276"/>
      <c r="CB1132" s="276"/>
      <c r="CC1132" s="276"/>
      <c r="CD1132" s="276"/>
      <c r="CH1132" s="276"/>
      <c r="CJ1132" s="276"/>
      <c r="CK1132" s="276"/>
      <c r="CL1132" s="276"/>
      <c r="CM1132" s="276"/>
      <c r="CN1132" s="276"/>
      <c r="CO1132" s="276"/>
      <c r="CP1132" s="276"/>
      <c r="CQ1132" s="276"/>
      <c r="CU1132" s="276"/>
    </row>
    <row r="1133" spans="75:99" ht="15.75">
      <c r="BW1133" s="276"/>
      <c r="BY1133" s="276"/>
      <c r="BZ1133" s="276"/>
      <c r="CA1133" s="276"/>
      <c r="CB1133" s="276"/>
      <c r="CC1133" s="276"/>
      <c r="CD1133" s="276"/>
      <c r="CH1133" s="276"/>
      <c r="CJ1133" s="276"/>
      <c r="CK1133" s="276"/>
      <c r="CL1133" s="276"/>
      <c r="CM1133" s="276"/>
      <c r="CN1133" s="276"/>
      <c r="CO1133" s="276"/>
      <c r="CP1133" s="276"/>
      <c r="CQ1133" s="276"/>
      <c r="CU1133" s="276"/>
    </row>
    <row r="1134" spans="75:99" ht="15.75">
      <c r="BW1134" s="276"/>
      <c r="BY1134" s="276"/>
      <c r="BZ1134" s="276"/>
      <c r="CA1134" s="276"/>
      <c r="CB1134" s="276"/>
      <c r="CC1134" s="276"/>
      <c r="CD1134" s="276"/>
      <c r="CH1134" s="276"/>
      <c r="CJ1134" s="276"/>
      <c r="CK1134" s="276"/>
      <c r="CL1134" s="276"/>
      <c r="CM1134" s="276"/>
      <c r="CN1134" s="276"/>
      <c r="CO1134" s="276"/>
      <c r="CP1134" s="276"/>
      <c r="CQ1134" s="276"/>
      <c r="CU1134" s="276"/>
    </row>
    <row r="1135" spans="75:99" ht="15.75">
      <c r="BW1135" s="276"/>
      <c r="BY1135" s="276"/>
      <c r="BZ1135" s="276"/>
      <c r="CA1135" s="276"/>
      <c r="CB1135" s="276"/>
      <c r="CC1135" s="276"/>
      <c r="CD1135" s="276"/>
      <c r="CH1135" s="276"/>
      <c r="CJ1135" s="276"/>
      <c r="CK1135" s="276"/>
      <c r="CL1135" s="276"/>
      <c r="CM1135" s="276"/>
      <c r="CN1135" s="276"/>
      <c r="CO1135" s="276"/>
      <c r="CP1135" s="276"/>
      <c r="CQ1135" s="276"/>
      <c r="CU1135" s="276"/>
    </row>
    <row r="1136" spans="75:99" ht="15.75">
      <c r="BW1136" s="276"/>
      <c r="BY1136" s="276"/>
      <c r="BZ1136" s="276"/>
      <c r="CA1136" s="276"/>
      <c r="CB1136" s="276"/>
      <c r="CC1136" s="276"/>
      <c r="CD1136" s="276"/>
      <c r="CH1136" s="276"/>
      <c r="CJ1136" s="276"/>
      <c r="CK1136" s="276"/>
      <c r="CL1136" s="276"/>
      <c r="CM1136" s="276"/>
      <c r="CN1136" s="276"/>
      <c r="CO1136" s="276"/>
      <c r="CP1136" s="276"/>
      <c r="CQ1136" s="276"/>
      <c r="CU1136" s="276"/>
    </row>
    <row r="1137" spans="75:99" ht="15.75">
      <c r="BW1137" s="276"/>
      <c r="BY1137" s="276"/>
      <c r="BZ1137" s="276"/>
      <c r="CA1137" s="276"/>
      <c r="CB1137" s="276"/>
      <c r="CC1137" s="276"/>
      <c r="CD1137" s="276"/>
      <c r="CH1137" s="276"/>
      <c r="CJ1137" s="276"/>
      <c r="CK1137" s="276"/>
      <c r="CL1137" s="276"/>
      <c r="CM1137" s="276"/>
      <c r="CN1137" s="276"/>
      <c r="CO1137" s="276"/>
      <c r="CP1137" s="276"/>
      <c r="CQ1137" s="276"/>
      <c r="CU1137" s="276"/>
    </row>
    <row r="1138" spans="75:99" ht="15.75">
      <c r="BW1138" s="276"/>
      <c r="BY1138" s="276"/>
      <c r="BZ1138" s="276"/>
      <c r="CA1138" s="276"/>
      <c r="CB1138" s="276"/>
      <c r="CC1138" s="276"/>
      <c r="CD1138" s="276"/>
      <c r="CH1138" s="276"/>
      <c r="CJ1138" s="276"/>
      <c r="CK1138" s="276"/>
      <c r="CL1138" s="276"/>
      <c r="CM1138" s="276"/>
      <c r="CN1138" s="276"/>
      <c r="CO1138" s="276"/>
      <c r="CP1138" s="276"/>
      <c r="CQ1138" s="276"/>
      <c r="CU1138" s="276"/>
    </row>
    <row r="1139" spans="75:99" ht="15.75">
      <c r="BW1139" s="276"/>
      <c r="BY1139" s="276"/>
      <c r="BZ1139" s="276"/>
      <c r="CA1139" s="276"/>
      <c r="CB1139" s="276"/>
      <c r="CC1139" s="276"/>
      <c r="CD1139" s="276"/>
      <c r="CH1139" s="276"/>
      <c r="CJ1139" s="276"/>
      <c r="CK1139" s="276"/>
      <c r="CL1139" s="276"/>
      <c r="CM1139" s="276"/>
      <c r="CN1139" s="276"/>
      <c r="CO1139" s="276"/>
      <c r="CP1139" s="276"/>
      <c r="CQ1139" s="276"/>
      <c r="CU1139" s="276"/>
    </row>
    <row r="1140" spans="75:99" ht="15.75">
      <c r="BW1140" s="276"/>
      <c r="BY1140" s="276"/>
      <c r="BZ1140" s="276"/>
      <c r="CA1140" s="276"/>
      <c r="CB1140" s="276"/>
      <c r="CC1140" s="276"/>
      <c r="CD1140" s="276"/>
      <c r="CH1140" s="276"/>
      <c r="CJ1140" s="276"/>
      <c r="CK1140" s="276"/>
      <c r="CL1140" s="276"/>
      <c r="CM1140" s="276"/>
      <c r="CN1140" s="276"/>
      <c r="CO1140" s="276"/>
      <c r="CP1140" s="276"/>
      <c r="CQ1140" s="276"/>
      <c r="CU1140" s="276"/>
    </row>
    <row r="1141" spans="75:99" ht="15.75">
      <c r="BW1141" s="276"/>
      <c r="BY1141" s="276"/>
      <c r="BZ1141" s="276"/>
      <c r="CA1141" s="276"/>
      <c r="CB1141" s="276"/>
      <c r="CC1141" s="276"/>
      <c r="CD1141" s="276"/>
      <c r="CH1141" s="276"/>
      <c r="CJ1141" s="276"/>
      <c r="CK1141" s="276"/>
      <c r="CL1141" s="276"/>
      <c r="CM1141" s="276"/>
      <c r="CN1141" s="276"/>
      <c r="CO1141" s="276"/>
      <c r="CP1141" s="276"/>
      <c r="CQ1141" s="276"/>
      <c r="CU1141" s="276"/>
    </row>
    <row r="1142" spans="75:99" ht="15.75">
      <c r="BW1142" s="276"/>
      <c r="BY1142" s="276"/>
      <c r="BZ1142" s="276"/>
      <c r="CA1142" s="276"/>
      <c r="CB1142" s="276"/>
      <c r="CC1142" s="276"/>
      <c r="CD1142" s="276"/>
      <c r="CH1142" s="276"/>
      <c r="CJ1142" s="276"/>
      <c r="CK1142" s="276"/>
      <c r="CL1142" s="276"/>
      <c r="CM1142" s="276"/>
      <c r="CN1142" s="276"/>
      <c r="CO1142" s="276"/>
      <c r="CP1142" s="276"/>
      <c r="CQ1142" s="276"/>
      <c r="CU1142" s="276"/>
    </row>
    <row r="1143" spans="75:99" ht="15.75">
      <c r="BW1143" s="276"/>
      <c r="BY1143" s="276"/>
      <c r="BZ1143" s="276"/>
      <c r="CA1143" s="276"/>
      <c r="CB1143" s="276"/>
      <c r="CC1143" s="276"/>
      <c r="CD1143" s="276"/>
      <c r="CH1143" s="276"/>
      <c r="CJ1143" s="276"/>
      <c r="CK1143" s="276"/>
      <c r="CL1143" s="276"/>
      <c r="CM1143" s="276"/>
      <c r="CN1143" s="276"/>
      <c r="CO1143" s="276"/>
      <c r="CP1143" s="276"/>
      <c r="CQ1143" s="276"/>
      <c r="CU1143" s="276"/>
    </row>
    <row r="1144" spans="75:99" ht="15.75">
      <c r="BW1144" s="276"/>
      <c r="BY1144" s="276"/>
      <c r="BZ1144" s="276"/>
      <c r="CA1144" s="276"/>
      <c r="CB1144" s="276"/>
      <c r="CC1144" s="276"/>
      <c r="CD1144" s="276"/>
      <c r="CH1144" s="276"/>
      <c r="CJ1144" s="276"/>
      <c r="CK1144" s="276"/>
      <c r="CL1144" s="276"/>
      <c r="CM1144" s="276"/>
      <c r="CN1144" s="276"/>
      <c r="CO1144" s="276"/>
      <c r="CP1144" s="276"/>
      <c r="CQ1144" s="276"/>
      <c r="CU1144" s="276"/>
    </row>
    <row r="1145" spans="75:99" ht="15.75">
      <c r="BW1145" s="276"/>
      <c r="BY1145" s="276"/>
      <c r="BZ1145" s="276"/>
      <c r="CA1145" s="276"/>
      <c r="CB1145" s="276"/>
      <c r="CC1145" s="276"/>
      <c r="CD1145" s="276"/>
      <c r="CH1145" s="276"/>
      <c r="CJ1145" s="276"/>
      <c r="CK1145" s="276"/>
      <c r="CL1145" s="276"/>
      <c r="CM1145" s="276"/>
      <c r="CN1145" s="276"/>
      <c r="CO1145" s="276"/>
      <c r="CP1145" s="276"/>
      <c r="CQ1145" s="276"/>
      <c r="CU1145" s="276"/>
    </row>
    <row r="1146" spans="75:99" ht="15.75">
      <c r="BW1146" s="276"/>
      <c r="BY1146" s="276"/>
      <c r="BZ1146" s="276"/>
      <c r="CA1146" s="276"/>
      <c r="CB1146" s="276"/>
      <c r="CC1146" s="276"/>
      <c r="CD1146" s="276"/>
      <c r="CH1146" s="276"/>
      <c r="CJ1146" s="276"/>
      <c r="CK1146" s="276"/>
      <c r="CL1146" s="276"/>
      <c r="CM1146" s="276"/>
      <c r="CN1146" s="276"/>
      <c r="CO1146" s="276"/>
      <c r="CP1146" s="276"/>
      <c r="CQ1146" s="276"/>
      <c r="CU1146" s="276"/>
    </row>
    <row r="1147" spans="75:99" ht="15.75">
      <c r="BW1147" s="276"/>
      <c r="BY1147" s="276"/>
      <c r="BZ1147" s="276"/>
      <c r="CA1147" s="276"/>
      <c r="CB1147" s="276"/>
      <c r="CC1147" s="276"/>
      <c r="CD1147" s="276"/>
      <c r="CH1147" s="276"/>
      <c r="CJ1147" s="276"/>
      <c r="CK1147" s="276"/>
      <c r="CL1147" s="276"/>
      <c r="CM1147" s="276"/>
      <c r="CN1147" s="276"/>
      <c r="CO1147" s="276"/>
      <c r="CP1147" s="276"/>
      <c r="CQ1147" s="276"/>
      <c r="CU1147" s="276"/>
    </row>
    <row r="1148" spans="75:99" ht="15.75">
      <c r="BW1148" s="276"/>
      <c r="BY1148" s="276"/>
      <c r="BZ1148" s="276"/>
      <c r="CA1148" s="276"/>
      <c r="CB1148" s="276"/>
      <c r="CC1148" s="276"/>
      <c r="CD1148" s="276"/>
      <c r="CH1148" s="276"/>
      <c r="CJ1148" s="276"/>
      <c r="CK1148" s="276"/>
      <c r="CL1148" s="276"/>
      <c r="CM1148" s="276"/>
      <c r="CN1148" s="276"/>
      <c r="CO1148" s="276"/>
      <c r="CP1148" s="276"/>
      <c r="CQ1148" s="276"/>
      <c r="CU1148" s="276"/>
    </row>
    <row r="1149" spans="75:99" ht="15.75">
      <c r="BW1149" s="276"/>
      <c r="BY1149" s="276"/>
      <c r="BZ1149" s="276"/>
      <c r="CA1149" s="276"/>
      <c r="CB1149" s="276"/>
      <c r="CC1149" s="276"/>
      <c r="CD1149" s="276"/>
      <c r="CH1149" s="276"/>
      <c r="CJ1149" s="276"/>
      <c r="CK1149" s="276"/>
      <c r="CL1149" s="276"/>
      <c r="CM1149" s="276"/>
      <c r="CN1149" s="276"/>
      <c r="CO1149" s="276"/>
      <c r="CP1149" s="276"/>
      <c r="CQ1149" s="276"/>
      <c r="CU1149" s="276"/>
    </row>
    <row r="1150" spans="75:99" ht="15.75">
      <c r="BW1150" s="276"/>
      <c r="BY1150" s="276"/>
      <c r="BZ1150" s="276"/>
      <c r="CA1150" s="276"/>
      <c r="CB1150" s="276"/>
      <c r="CC1150" s="276"/>
      <c r="CD1150" s="276"/>
      <c r="CH1150" s="276"/>
      <c r="CJ1150" s="276"/>
      <c r="CK1150" s="276"/>
      <c r="CL1150" s="276"/>
      <c r="CM1150" s="276"/>
      <c r="CN1150" s="276"/>
      <c r="CO1150" s="276"/>
      <c r="CP1150" s="276"/>
      <c r="CQ1150" s="276"/>
      <c r="CU1150" s="276"/>
    </row>
    <row r="1151" spans="75:99" ht="15.75">
      <c r="BW1151" s="276"/>
      <c r="BY1151" s="276"/>
      <c r="BZ1151" s="276"/>
      <c r="CA1151" s="276"/>
      <c r="CB1151" s="276"/>
      <c r="CC1151" s="276"/>
      <c r="CD1151" s="276"/>
      <c r="CH1151" s="276"/>
      <c r="CJ1151" s="276"/>
      <c r="CK1151" s="276"/>
      <c r="CL1151" s="276"/>
      <c r="CM1151" s="276"/>
      <c r="CN1151" s="276"/>
      <c r="CO1151" s="276"/>
      <c r="CP1151" s="276"/>
      <c r="CQ1151" s="276"/>
      <c r="CU1151" s="276"/>
    </row>
    <row r="1152" spans="75:99" ht="15.75">
      <c r="BW1152" s="276"/>
      <c r="BY1152" s="276"/>
      <c r="BZ1152" s="276"/>
      <c r="CA1152" s="276"/>
      <c r="CB1152" s="276"/>
      <c r="CC1152" s="276"/>
      <c r="CD1152" s="276"/>
      <c r="CH1152" s="276"/>
      <c r="CJ1152" s="276"/>
      <c r="CK1152" s="276"/>
      <c r="CL1152" s="276"/>
      <c r="CM1152" s="276"/>
      <c r="CN1152" s="276"/>
      <c r="CO1152" s="276"/>
      <c r="CP1152" s="276"/>
      <c r="CQ1152" s="276"/>
      <c r="CU1152" s="276"/>
    </row>
    <row r="1153" spans="75:99" ht="15.75">
      <c r="BW1153" s="276"/>
      <c r="BY1153" s="276"/>
      <c r="BZ1153" s="276"/>
      <c r="CA1153" s="276"/>
      <c r="CB1153" s="276"/>
      <c r="CC1153" s="276"/>
      <c r="CD1153" s="276"/>
      <c r="CH1153" s="276"/>
      <c r="CJ1153" s="276"/>
      <c r="CK1153" s="276"/>
      <c r="CL1153" s="276"/>
      <c r="CM1153" s="276"/>
      <c r="CN1153" s="276"/>
      <c r="CO1153" s="276"/>
      <c r="CP1153" s="276"/>
      <c r="CQ1153" s="276"/>
      <c r="CU1153" s="276"/>
    </row>
    <row r="1154" spans="75:99" ht="15.75">
      <c r="BW1154" s="276"/>
      <c r="BY1154" s="276"/>
      <c r="BZ1154" s="276"/>
      <c r="CA1154" s="276"/>
      <c r="CB1154" s="276"/>
      <c r="CC1154" s="276"/>
      <c r="CD1154" s="276"/>
      <c r="CH1154" s="276"/>
      <c r="CJ1154" s="276"/>
      <c r="CK1154" s="276"/>
      <c r="CL1154" s="276"/>
      <c r="CM1154" s="276"/>
      <c r="CN1154" s="276"/>
      <c r="CO1154" s="276"/>
      <c r="CP1154" s="276"/>
      <c r="CQ1154" s="276"/>
      <c r="CU1154" s="276"/>
    </row>
    <row r="1155" spans="75:99" ht="15.75">
      <c r="BW1155" s="276"/>
      <c r="BY1155" s="276"/>
      <c r="BZ1155" s="276"/>
      <c r="CA1155" s="276"/>
      <c r="CB1155" s="276"/>
      <c r="CC1155" s="276"/>
      <c r="CD1155" s="276"/>
      <c r="CH1155" s="276"/>
      <c r="CJ1155" s="276"/>
      <c r="CK1155" s="276"/>
      <c r="CL1155" s="276"/>
      <c r="CM1155" s="276"/>
      <c r="CN1155" s="276"/>
      <c r="CO1155" s="276"/>
      <c r="CP1155" s="276"/>
      <c r="CQ1155" s="276"/>
      <c r="CU1155" s="276"/>
    </row>
    <row r="1156" spans="75:99" ht="15.75">
      <c r="BW1156" s="276"/>
      <c r="BY1156" s="276"/>
      <c r="BZ1156" s="276"/>
      <c r="CA1156" s="276"/>
      <c r="CB1156" s="276"/>
      <c r="CC1156" s="276"/>
      <c r="CD1156" s="276"/>
      <c r="CH1156" s="276"/>
      <c r="CJ1156" s="276"/>
      <c r="CK1156" s="276"/>
      <c r="CL1156" s="276"/>
      <c r="CM1156" s="276"/>
      <c r="CN1156" s="276"/>
      <c r="CO1156" s="276"/>
      <c r="CP1156" s="276"/>
      <c r="CQ1156" s="276"/>
      <c r="CU1156" s="276"/>
    </row>
    <row r="1157" spans="75:99" ht="15.75">
      <c r="BW1157" s="276"/>
      <c r="BY1157" s="276"/>
      <c r="BZ1157" s="276"/>
      <c r="CA1157" s="276"/>
      <c r="CB1157" s="276"/>
      <c r="CC1157" s="276"/>
      <c r="CD1157" s="276"/>
      <c r="CH1157" s="276"/>
      <c r="CJ1157" s="276"/>
      <c r="CK1157" s="276"/>
      <c r="CL1157" s="276"/>
      <c r="CM1157" s="276"/>
      <c r="CN1157" s="276"/>
      <c r="CO1157" s="276"/>
      <c r="CP1157" s="276"/>
      <c r="CQ1157" s="276"/>
      <c r="CU1157" s="276"/>
    </row>
    <row r="1158" spans="75:99" ht="15.75">
      <c r="BW1158" s="276"/>
      <c r="BY1158" s="276"/>
      <c r="BZ1158" s="276"/>
      <c r="CA1158" s="276"/>
      <c r="CB1158" s="276"/>
      <c r="CC1158" s="276"/>
      <c r="CD1158" s="276"/>
      <c r="CH1158" s="276"/>
      <c r="CJ1158" s="276"/>
      <c r="CK1158" s="276"/>
      <c r="CL1158" s="276"/>
      <c r="CM1158" s="276"/>
      <c r="CN1158" s="276"/>
      <c r="CO1158" s="276"/>
      <c r="CP1158" s="276"/>
      <c r="CQ1158" s="276"/>
      <c r="CU1158" s="276"/>
    </row>
    <row r="1159" spans="75:99" ht="15.75">
      <c r="BW1159" s="276"/>
      <c r="BY1159" s="276"/>
      <c r="BZ1159" s="276"/>
      <c r="CA1159" s="276"/>
      <c r="CB1159" s="276"/>
      <c r="CC1159" s="276"/>
      <c r="CD1159" s="276"/>
      <c r="CH1159" s="276"/>
      <c r="CJ1159" s="276"/>
      <c r="CK1159" s="276"/>
      <c r="CL1159" s="276"/>
      <c r="CM1159" s="276"/>
      <c r="CN1159" s="276"/>
      <c r="CO1159" s="276"/>
      <c r="CP1159" s="276"/>
      <c r="CQ1159" s="276"/>
      <c r="CU1159" s="276"/>
    </row>
    <row r="1160" spans="75:99" ht="15.75">
      <c r="BW1160" s="276"/>
      <c r="BY1160" s="276"/>
      <c r="BZ1160" s="276"/>
      <c r="CA1160" s="276"/>
      <c r="CB1160" s="276"/>
      <c r="CC1160" s="276"/>
      <c r="CD1160" s="276"/>
      <c r="CH1160" s="276"/>
      <c r="CJ1160" s="276"/>
      <c r="CK1160" s="276"/>
      <c r="CL1160" s="276"/>
      <c r="CM1160" s="276"/>
      <c r="CN1160" s="276"/>
      <c r="CO1160" s="276"/>
      <c r="CP1160" s="276"/>
      <c r="CQ1160" s="276"/>
      <c r="CU1160" s="276"/>
    </row>
    <row r="1161" spans="75:99" ht="15.75">
      <c r="BW1161" s="276"/>
      <c r="BY1161" s="276"/>
      <c r="BZ1161" s="276"/>
      <c r="CA1161" s="276"/>
      <c r="CB1161" s="276"/>
      <c r="CC1161" s="276"/>
      <c r="CD1161" s="276"/>
      <c r="CH1161" s="276"/>
      <c r="CJ1161" s="276"/>
      <c r="CK1161" s="276"/>
      <c r="CL1161" s="276"/>
      <c r="CM1161" s="276"/>
      <c r="CN1161" s="276"/>
      <c r="CO1161" s="276"/>
      <c r="CP1161" s="276"/>
      <c r="CQ1161" s="276"/>
      <c r="CU1161" s="276"/>
    </row>
    <row r="1162" spans="75:99" ht="15.75">
      <c r="BW1162" s="276"/>
      <c r="BY1162" s="276"/>
      <c r="BZ1162" s="276"/>
      <c r="CA1162" s="276"/>
      <c r="CB1162" s="276"/>
      <c r="CC1162" s="276"/>
      <c r="CD1162" s="276"/>
      <c r="CH1162" s="276"/>
      <c r="CJ1162" s="276"/>
      <c r="CK1162" s="276"/>
      <c r="CL1162" s="276"/>
      <c r="CM1162" s="276"/>
      <c r="CN1162" s="276"/>
      <c r="CO1162" s="276"/>
      <c r="CP1162" s="276"/>
      <c r="CQ1162" s="276"/>
      <c r="CU1162" s="276"/>
    </row>
    <row r="1163" spans="75:99" ht="15.75">
      <c r="BW1163" s="276"/>
      <c r="BY1163" s="276"/>
      <c r="BZ1163" s="276"/>
      <c r="CA1163" s="276"/>
      <c r="CB1163" s="276"/>
      <c r="CC1163" s="276"/>
      <c r="CD1163" s="276"/>
      <c r="CH1163" s="276"/>
      <c r="CJ1163" s="276"/>
      <c r="CK1163" s="276"/>
      <c r="CL1163" s="276"/>
      <c r="CM1163" s="276"/>
      <c r="CN1163" s="276"/>
      <c r="CO1163" s="276"/>
      <c r="CP1163" s="276"/>
      <c r="CQ1163" s="276"/>
      <c r="CU1163" s="276"/>
    </row>
    <row r="1164" spans="75:99" ht="15.75">
      <c r="BW1164" s="276"/>
      <c r="BY1164" s="276"/>
      <c r="BZ1164" s="276"/>
      <c r="CA1164" s="276"/>
      <c r="CB1164" s="276"/>
      <c r="CC1164" s="276"/>
      <c r="CD1164" s="276"/>
      <c r="CH1164" s="276"/>
      <c r="CJ1164" s="276"/>
      <c r="CK1164" s="276"/>
      <c r="CL1164" s="276"/>
      <c r="CM1164" s="276"/>
      <c r="CN1164" s="276"/>
      <c r="CO1164" s="276"/>
      <c r="CP1164" s="276"/>
      <c r="CQ1164" s="276"/>
      <c r="CU1164" s="276"/>
    </row>
    <row r="1165" spans="75:99" ht="15.75">
      <c r="BW1165" s="276"/>
      <c r="BY1165" s="276"/>
      <c r="BZ1165" s="276"/>
      <c r="CA1165" s="276"/>
      <c r="CB1165" s="276"/>
      <c r="CC1165" s="276"/>
      <c r="CD1165" s="276"/>
      <c r="CH1165" s="276"/>
      <c r="CJ1165" s="276"/>
      <c r="CK1165" s="276"/>
      <c r="CL1165" s="276"/>
      <c r="CM1165" s="276"/>
      <c r="CN1165" s="276"/>
      <c r="CO1165" s="276"/>
      <c r="CP1165" s="276"/>
      <c r="CQ1165" s="276"/>
      <c r="CU1165" s="276"/>
    </row>
    <row r="1166" spans="75:99" ht="15.75">
      <c r="BW1166" s="276"/>
      <c r="BY1166" s="276"/>
      <c r="BZ1166" s="276"/>
      <c r="CA1166" s="276"/>
      <c r="CB1166" s="276"/>
      <c r="CC1166" s="276"/>
      <c r="CD1166" s="276"/>
      <c r="CH1166" s="276"/>
      <c r="CJ1166" s="276"/>
      <c r="CK1166" s="276"/>
      <c r="CL1166" s="276"/>
      <c r="CM1166" s="276"/>
      <c r="CN1166" s="276"/>
      <c r="CO1166" s="276"/>
      <c r="CP1166" s="276"/>
      <c r="CQ1166" s="276"/>
      <c r="CU1166" s="276"/>
    </row>
    <row r="1167" spans="75:99" ht="15.75">
      <c r="BW1167" s="276"/>
      <c r="BY1167" s="276"/>
      <c r="BZ1167" s="276"/>
      <c r="CA1167" s="276"/>
      <c r="CB1167" s="276"/>
      <c r="CC1167" s="276"/>
      <c r="CD1167" s="276"/>
      <c r="CH1167" s="276"/>
      <c r="CJ1167" s="276"/>
      <c r="CK1167" s="276"/>
      <c r="CL1167" s="276"/>
      <c r="CM1167" s="276"/>
      <c r="CN1167" s="276"/>
      <c r="CO1167" s="276"/>
      <c r="CP1167" s="276"/>
      <c r="CQ1167" s="276"/>
      <c r="CU1167" s="276"/>
    </row>
    <row r="1168" spans="75:99" ht="15.75">
      <c r="BW1168" s="276"/>
      <c r="BY1168" s="276"/>
      <c r="BZ1168" s="276"/>
      <c r="CA1168" s="276"/>
      <c r="CB1168" s="276"/>
      <c r="CC1168" s="276"/>
      <c r="CD1168" s="276"/>
      <c r="CH1168" s="276"/>
      <c r="CJ1168" s="276"/>
      <c r="CK1168" s="276"/>
      <c r="CL1168" s="276"/>
      <c r="CM1168" s="276"/>
      <c r="CN1168" s="276"/>
      <c r="CO1168" s="276"/>
      <c r="CP1168" s="276"/>
      <c r="CQ1168" s="276"/>
      <c r="CU1168" s="276"/>
    </row>
    <row r="1169" spans="75:99" ht="15.75">
      <c r="BW1169" s="276"/>
      <c r="BY1169" s="276"/>
      <c r="BZ1169" s="276"/>
      <c r="CA1169" s="276"/>
      <c r="CB1169" s="276"/>
      <c r="CC1169" s="276"/>
      <c r="CD1169" s="276"/>
      <c r="CH1169" s="276"/>
      <c r="CJ1169" s="276"/>
      <c r="CK1169" s="276"/>
      <c r="CL1169" s="276"/>
      <c r="CM1169" s="276"/>
      <c r="CN1169" s="276"/>
      <c r="CO1169" s="276"/>
      <c r="CP1169" s="276"/>
      <c r="CQ1169" s="276"/>
      <c r="CU1169" s="276"/>
    </row>
    <row r="1170" spans="75:99" ht="15.75">
      <c r="BW1170" s="276"/>
      <c r="BY1170" s="276"/>
      <c r="BZ1170" s="276"/>
      <c r="CA1170" s="276"/>
      <c r="CB1170" s="276"/>
      <c r="CC1170" s="276"/>
      <c r="CD1170" s="276"/>
      <c r="CH1170" s="276"/>
      <c r="CJ1170" s="276"/>
      <c r="CK1170" s="276"/>
      <c r="CL1170" s="276"/>
      <c r="CM1170" s="276"/>
      <c r="CN1170" s="276"/>
      <c r="CO1170" s="276"/>
      <c r="CP1170" s="276"/>
      <c r="CQ1170" s="276"/>
      <c r="CU1170" s="276"/>
    </row>
    <row r="1171" spans="75:99" ht="15.75">
      <c r="BW1171" s="276"/>
      <c r="BY1171" s="276"/>
      <c r="BZ1171" s="276"/>
      <c r="CA1171" s="276"/>
      <c r="CB1171" s="276"/>
      <c r="CC1171" s="276"/>
      <c r="CD1171" s="276"/>
      <c r="CH1171" s="276"/>
      <c r="CJ1171" s="276"/>
      <c r="CK1171" s="276"/>
      <c r="CL1171" s="276"/>
      <c r="CM1171" s="276"/>
      <c r="CN1171" s="276"/>
      <c r="CO1171" s="276"/>
      <c r="CP1171" s="276"/>
      <c r="CQ1171" s="276"/>
      <c r="CU1171" s="276"/>
    </row>
    <row r="1172" spans="75:99" ht="15.75">
      <c r="BW1172" s="276"/>
      <c r="BY1172" s="276"/>
      <c r="BZ1172" s="276"/>
      <c r="CA1172" s="276"/>
      <c r="CB1172" s="276"/>
      <c r="CC1172" s="276"/>
      <c r="CD1172" s="276"/>
      <c r="CH1172" s="276"/>
      <c r="CJ1172" s="276"/>
      <c r="CK1172" s="276"/>
      <c r="CL1172" s="276"/>
      <c r="CM1172" s="276"/>
      <c r="CN1172" s="276"/>
      <c r="CO1172" s="276"/>
      <c r="CP1172" s="276"/>
      <c r="CQ1172" s="276"/>
      <c r="CU1172" s="276"/>
    </row>
    <row r="1173" spans="75:99" ht="15.75">
      <c r="BW1173" s="276"/>
      <c r="BY1173" s="276"/>
      <c r="BZ1173" s="276"/>
      <c r="CA1173" s="276"/>
      <c r="CB1173" s="276"/>
      <c r="CC1173" s="276"/>
      <c r="CD1173" s="276"/>
      <c r="CH1173" s="276"/>
      <c r="CJ1173" s="276"/>
      <c r="CK1173" s="276"/>
      <c r="CL1173" s="276"/>
      <c r="CM1173" s="276"/>
      <c r="CN1173" s="276"/>
      <c r="CO1173" s="276"/>
      <c r="CP1173" s="276"/>
      <c r="CQ1173" s="276"/>
      <c r="CU1173" s="276"/>
    </row>
    <row r="1174" spans="75:99" ht="15.75">
      <c r="BW1174" s="276"/>
      <c r="BY1174" s="276"/>
      <c r="BZ1174" s="276"/>
      <c r="CA1174" s="276"/>
      <c r="CB1174" s="276"/>
      <c r="CC1174" s="276"/>
      <c r="CD1174" s="276"/>
      <c r="CH1174" s="276"/>
      <c r="CJ1174" s="276"/>
      <c r="CK1174" s="276"/>
      <c r="CL1174" s="276"/>
      <c r="CM1174" s="276"/>
      <c r="CN1174" s="276"/>
      <c r="CO1174" s="276"/>
      <c r="CP1174" s="276"/>
      <c r="CQ1174" s="276"/>
      <c r="CU1174" s="276"/>
    </row>
    <row r="1175" spans="75:99" ht="15.75">
      <c r="BW1175" s="276"/>
      <c r="BY1175" s="276"/>
      <c r="BZ1175" s="276"/>
      <c r="CA1175" s="276"/>
      <c r="CB1175" s="276"/>
      <c r="CC1175" s="276"/>
      <c r="CD1175" s="276"/>
      <c r="CH1175" s="276"/>
      <c r="CJ1175" s="276"/>
      <c r="CK1175" s="276"/>
      <c r="CL1175" s="276"/>
      <c r="CM1175" s="276"/>
      <c r="CN1175" s="276"/>
      <c r="CO1175" s="276"/>
      <c r="CP1175" s="276"/>
      <c r="CQ1175" s="276"/>
      <c r="CU1175" s="276"/>
    </row>
    <row r="1176" spans="75:99" ht="15.75">
      <c r="BW1176" s="276"/>
      <c r="BY1176" s="276"/>
      <c r="BZ1176" s="276"/>
      <c r="CA1176" s="276"/>
      <c r="CB1176" s="276"/>
      <c r="CC1176" s="276"/>
      <c r="CD1176" s="276"/>
      <c r="CH1176" s="276"/>
      <c r="CJ1176" s="276"/>
      <c r="CK1176" s="276"/>
      <c r="CL1176" s="276"/>
      <c r="CM1176" s="276"/>
      <c r="CN1176" s="276"/>
      <c r="CO1176" s="276"/>
      <c r="CP1176" s="276"/>
      <c r="CQ1176" s="276"/>
      <c r="CU1176" s="276"/>
    </row>
    <row r="1177" spans="75:99" ht="15.75">
      <c r="BW1177" s="276"/>
      <c r="BY1177" s="276"/>
      <c r="BZ1177" s="276"/>
      <c r="CA1177" s="276"/>
      <c r="CB1177" s="276"/>
      <c r="CC1177" s="276"/>
      <c r="CD1177" s="276"/>
      <c r="CH1177" s="276"/>
      <c r="CJ1177" s="276"/>
      <c r="CK1177" s="276"/>
      <c r="CL1177" s="276"/>
      <c r="CM1177" s="276"/>
      <c r="CN1177" s="276"/>
      <c r="CO1177" s="276"/>
      <c r="CP1177" s="276"/>
      <c r="CQ1177" s="276"/>
      <c r="CU1177" s="276"/>
    </row>
    <row r="1178" spans="75:99" ht="15.75">
      <c r="BW1178" s="276"/>
      <c r="BY1178" s="276"/>
      <c r="BZ1178" s="276"/>
      <c r="CA1178" s="276"/>
      <c r="CB1178" s="276"/>
      <c r="CC1178" s="276"/>
      <c r="CD1178" s="276"/>
      <c r="CH1178" s="276"/>
      <c r="CJ1178" s="276"/>
      <c r="CK1178" s="276"/>
      <c r="CL1178" s="276"/>
      <c r="CM1178" s="276"/>
      <c r="CN1178" s="276"/>
      <c r="CO1178" s="276"/>
      <c r="CP1178" s="276"/>
      <c r="CQ1178" s="276"/>
      <c r="CU1178" s="276"/>
    </row>
    <row r="1179" spans="75:99" ht="15.75">
      <c r="BW1179" s="276"/>
      <c r="BY1179" s="276"/>
      <c r="BZ1179" s="276"/>
      <c r="CA1179" s="276"/>
      <c r="CB1179" s="276"/>
      <c r="CC1179" s="276"/>
      <c r="CD1179" s="276"/>
      <c r="CH1179" s="276"/>
      <c r="CJ1179" s="276"/>
      <c r="CK1179" s="276"/>
      <c r="CL1179" s="276"/>
      <c r="CM1179" s="276"/>
      <c r="CN1179" s="276"/>
      <c r="CO1179" s="276"/>
      <c r="CP1179" s="276"/>
      <c r="CQ1179" s="276"/>
      <c r="CU1179" s="276"/>
    </row>
    <row r="1180" spans="75:99" ht="15.75">
      <c r="BW1180" s="276"/>
      <c r="BY1180" s="276"/>
      <c r="BZ1180" s="276"/>
      <c r="CA1180" s="276"/>
      <c r="CB1180" s="276"/>
      <c r="CC1180" s="276"/>
      <c r="CD1180" s="276"/>
      <c r="CH1180" s="276"/>
      <c r="CJ1180" s="276"/>
      <c r="CK1180" s="276"/>
      <c r="CL1180" s="276"/>
      <c r="CM1180" s="276"/>
      <c r="CN1180" s="276"/>
      <c r="CO1180" s="276"/>
      <c r="CP1180" s="276"/>
      <c r="CQ1180" s="276"/>
      <c r="CU1180" s="276"/>
    </row>
    <row r="1181" spans="75:99" ht="15.75">
      <c r="BW1181" s="276"/>
      <c r="BY1181" s="276"/>
      <c r="BZ1181" s="276"/>
      <c r="CA1181" s="276"/>
      <c r="CB1181" s="276"/>
      <c r="CC1181" s="276"/>
      <c r="CD1181" s="276"/>
      <c r="CH1181" s="276"/>
      <c r="CJ1181" s="276"/>
      <c r="CK1181" s="276"/>
      <c r="CL1181" s="276"/>
      <c r="CM1181" s="276"/>
      <c r="CN1181" s="276"/>
      <c r="CO1181" s="276"/>
      <c r="CP1181" s="276"/>
      <c r="CQ1181" s="276"/>
      <c r="CU1181" s="276"/>
    </row>
    <row r="1182" spans="75:99" ht="15.75">
      <c r="BW1182" s="276"/>
      <c r="BY1182" s="276"/>
      <c r="BZ1182" s="276"/>
      <c r="CA1182" s="276"/>
      <c r="CB1182" s="276"/>
      <c r="CC1182" s="276"/>
      <c r="CD1182" s="276"/>
      <c r="CH1182" s="276"/>
      <c r="CJ1182" s="276"/>
      <c r="CK1182" s="276"/>
      <c r="CL1182" s="276"/>
      <c r="CM1182" s="276"/>
      <c r="CN1182" s="276"/>
      <c r="CO1182" s="276"/>
      <c r="CP1182" s="276"/>
      <c r="CQ1182" s="276"/>
      <c r="CU1182" s="276"/>
    </row>
    <row r="1183" spans="75:99" ht="15.75">
      <c r="BW1183" s="276"/>
      <c r="BY1183" s="276"/>
      <c r="BZ1183" s="276"/>
      <c r="CA1183" s="276"/>
      <c r="CB1183" s="276"/>
      <c r="CC1183" s="276"/>
      <c r="CD1183" s="276"/>
      <c r="CH1183" s="276"/>
      <c r="CJ1183" s="276"/>
      <c r="CK1183" s="276"/>
      <c r="CL1183" s="276"/>
      <c r="CM1183" s="276"/>
      <c r="CN1183" s="276"/>
      <c r="CO1183" s="276"/>
      <c r="CP1183" s="276"/>
      <c r="CQ1183" s="276"/>
      <c r="CU1183" s="276"/>
    </row>
    <row r="1184" spans="75:99" ht="15.75">
      <c r="BW1184" s="276"/>
      <c r="BY1184" s="276"/>
      <c r="BZ1184" s="276"/>
      <c r="CA1184" s="276"/>
      <c r="CB1184" s="276"/>
      <c r="CC1184" s="276"/>
      <c r="CD1184" s="276"/>
      <c r="CH1184" s="276"/>
      <c r="CJ1184" s="276"/>
      <c r="CK1184" s="276"/>
      <c r="CL1184" s="276"/>
      <c r="CM1184" s="276"/>
      <c r="CN1184" s="276"/>
      <c r="CO1184" s="276"/>
      <c r="CP1184" s="276"/>
      <c r="CQ1184" s="276"/>
      <c r="CU1184" s="276"/>
    </row>
    <row r="1185" spans="75:99" ht="15.75">
      <c r="BW1185" s="276"/>
      <c r="BY1185" s="276"/>
      <c r="BZ1185" s="276"/>
      <c r="CA1185" s="276"/>
      <c r="CB1185" s="276"/>
      <c r="CC1185" s="276"/>
      <c r="CD1185" s="276"/>
      <c r="CH1185" s="276"/>
      <c r="CJ1185" s="276"/>
      <c r="CK1185" s="276"/>
      <c r="CL1185" s="276"/>
      <c r="CM1185" s="276"/>
      <c r="CN1185" s="276"/>
      <c r="CO1185" s="276"/>
      <c r="CP1185" s="276"/>
      <c r="CQ1185" s="276"/>
      <c r="CU1185" s="276"/>
    </row>
    <row r="1186" spans="75:99" ht="15.75">
      <c r="BW1186" s="276"/>
      <c r="BY1186" s="276"/>
      <c r="BZ1186" s="276"/>
      <c r="CA1186" s="276"/>
      <c r="CB1186" s="276"/>
      <c r="CC1186" s="276"/>
      <c r="CD1186" s="276"/>
      <c r="CH1186" s="276"/>
      <c r="CJ1186" s="276"/>
      <c r="CK1186" s="276"/>
      <c r="CL1186" s="276"/>
      <c r="CM1186" s="276"/>
      <c r="CN1186" s="276"/>
      <c r="CO1186" s="276"/>
      <c r="CP1186" s="276"/>
      <c r="CQ1186" s="276"/>
      <c r="CU1186" s="276"/>
    </row>
    <row r="1187" spans="75:99" ht="15.75">
      <c r="BW1187" s="276"/>
      <c r="BY1187" s="276"/>
      <c r="BZ1187" s="276"/>
      <c r="CA1187" s="276"/>
      <c r="CB1187" s="276"/>
      <c r="CC1187" s="276"/>
      <c r="CD1187" s="276"/>
      <c r="CH1187" s="276"/>
      <c r="CJ1187" s="276"/>
      <c r="CK1187" s="276"/>
      <c r="CL1187" s="276"/>
      <c r="CM1187" s="276"/>
      <c r="CN1187" s="276"/>
      <c r="CO1187" s="276"/>
      <c r="CP1187" s="276"/>
      <c r="CQ1187" s="276"/>
      <c r="CU1187" s="276"/>
    </row>
    <row r="1188" spans="75:99" ht="15.75">
      <c r="BW1188" s="276"/>
      <c r="BY1188" s="276"/>
      <c r="BZ1188" s="276"/>
      <c r="CA1188" s="276"/>
      <c r="CB1188" s="276"/>
      <c r="CC1188" s="276"/>
      <c r="CD1188" s="276"/>
      <c r="CH1188" s="276"/>
      <c r="CJ1188" s="276"/>
      <c r="CK1188" s="276"/>
      <c r="CL1188" s="276"/>
      <c r="CM1188" s="276"/>
      <c r="CN1188" s="276"/>
      <c r="CO1188" s="276"/>
      <c r="CP1188" s="276"/>
      <c r="CQ1188" s="276"/>
      <c r="CU1188" s="276"/>
    </row>
    <row r="1189" spans="75:99" ht="15.75">
      <c r="BW1189" s="276"/>
      <c r="BY1189" s="276"/>
      <c r="BZ1189" s="276"/>
      <c r="CA1189" s="276"/>
      <c r="CB1189" s="276"/>
      <c r="CC1189" s="276"/>
      <c r="CD1189" s="276"/>
      <c r="CH1189" s="276"/>
      <c r="CJ1189" s="276"/>
      <c r="CK1189" s="276"/>
      <c r="CL1189" s="276"/>
      <c r="CM1189" s="276"/>
      <c r="CN1189" s="276"/>
      <c r="CO1189" s="276"/>
      <c r="CP1189" s="276"/>
      <c r="CQ1189" s="276"/>
      <c r="CU1189" s="276"/>
    </row>
    <row r="1190" spans="75:99" ht="15.75">
      <c r="BW1190" s="276"/>
      <c r="BY1190" s="276"/>
      <c r="BZ1190" s="276"/>
      <c r="CA1190" s="276"/>
      <c r="CB1190" s="276"/>
      <c r="CC1190" s="276"/>
      <c r="CD1190" s="276"/>
      <c r="CH1190" s="276"/>
      <c r="CJ1190" s="276"/>
      <c r="CK1190" s="276"/>
      <c r="CL1190" s="276"/>
      <c r="CM1190" s="276"/>
      <c r="CN1190" s="276"/>
      <c r="CO1190" s="276"/>
      <c r="CP1190" s="276"/>
      <c r="CQ1190" s="276"/>
      <c r="CU1190" s="276"/>
    </row>
    <row r="1191" spans="75:99" ht="15.75">
      <c r="BW1191" s="276"/>
      <c r="BY1191" s="276"/>
      <c r="BZ1191" s="276"/>
      <c r="CA1191" s="276"/>
      <c r="CB1191" s="276"/>
      <c r="CC1191" s="276"/>
      <c r="CD1191" s="276"/>
      <c r="CH1191" s="276"/>
      <c r="CJ1191" s="276"/>
      <c r="CK1191" s="276"/>
      <c r="CL1191" s="276"/>
      <c r="CM1191" s="276"/>
      <c r="CN1191" s="276"/>
      <c r="CO1191" s="276"/>
      <c r="CP1191" s="276"/>
      <c r="CQ1191" s="276"/>
      <c r="CU1191" s="276"/>
    </row>
    <row r="1192" spans="75:99" ht="15.75">
      <c r="BW1192" s="276"/>
      <c r="BY1192" s="276"/>
      <c r="BZ1192" s="276"/>
      <c r="CA1192" s="276"/>
      <c r="CB1192" s="276"/>
      <c r="CC1192" s="276"/>
      <c r="CD1192" s="276"/>
      <c r="CH1192" s="276"/>
      <c r="CJ1192" s="276"/>
      <c r="CK1192" s="276"/>
      <c r="CL1192" s="276"/>
      <c r="CM1192" s="276"/>
      <c r="CN1192" s="276"/>
      <c r="CO1192" s="276"/>
      <c r="CP1192" s="276"/>
      <c r="CQ1192" s="276"/>
      <c r="CU1192" s="276"/>
    </row>
    <row r="1193" spans="75:99" ht="15.75">
      <c r="BW1193" s="276"/>
      <c r="BY1193" s="276"/>
      <c r="BZ1193" s="276"/>
      <c r="CA1193" s="276"/>
      <c r="CB1193" s="276"/>
      <c r="CC1193" s="276"/>
      <c r="CD1193" s="276"/>
      <c r="CH1193" s="276"/>
      <c r="CJ1193" s="276"/>
      <c r="CK1193" s="276"/>
      <c r="CL1193" s="276"/>
      <c r="CM1193" s="276"/>
      <c r="CN1193" s="276"/>
      <c r="CO1193" s="276"/>
      <c r="CP1193" s="276"/>
      <c r="CQ1193" s="276"/>
      <c r="CU1193" s="276"/>
    </row>
    <row r="1194" spans="75:99" ht="15.75">
      <c r="BW1194" s="276"/>
      <c r="BY1194" s="276"/>
      <c r="BZ1194" s="276"/>
      <c r="CA1194" s="276"/>
      <c r="CB1194" s="276"/>
      <c r="CC1194" s="276"/>
      <c r="CD1194" s="276"/>
      <c r="CH1194" s="276"/>
      <c r="CJ1194" s="276"/>
      <c r="CK1194" s="276"/>
      <c r="CL1194" s="276"/>
      <c r="CM1194" s="276"/>
      <c r="CN1194" s="276"/>
      <c r="CO1194" s="276"/>
      <c r="CP1194" s="276"/>
      <c r="CQ1194" s="276"/>
      <c r="CU1194" s="276"/>
    </row>
    <row r="1195" spans="75:99" ht="15.75">
      <c r="BW1195" s="276"/>
      <c r="BY1195" s="276"/>
      <c r="BZ1195" s="276"/>
      <c r="CA1195" s="276"/>
      <c r="CB1195" s="276"/>
      <c r="CC1195" s="276"/>
      <c r="CD1195" s="276"/>
      <c r="CH1195" s="276"/>
      <c r="CJ1195" s="276"/>
      <c r="CK1195" s="276"/>
      <c r="CL1195" s="276"/>
      <c r="CM1195" s="276"/>
      <c r="CN1195" s="276"/>
      <c r="CO1195" s="276"/>
      <c r="CP1195" s="276"/>
      <c r="CQ1195" s="276"/>
      <c r="CU1195" s="276"/>
    </row>
    <row r="1196" spans="75:99" ht="15.75">
      <c r="BW1196" s="276"/>
      <c r="BY1196" s="276"/>
      <c r="BZ1196" s="276"/>
      <c r="CA1196" s="276"/>
      <c r="CB1196" s="276"/>
      <c r="CC1196" s="276"/>
      <c r="CD1196" s="276"/>
      <c r="CH1196" s="276"/>
      <c r="CJ1196" s="276"/>
      <c r="CK1196" s="276"/>
      <c r="CL1196" s="276"/>
      <c r="CM1196" s="276"/>
      <c r="CN1196" s="276"/>
      <c r="CO1196" s="276"/>
      <c r="CP1196" s="276"/>
      <c r="CQ1196" s="276"/>
      <c r="CU1196" s="276"/>
    </row>
    <row r="1197" spans="75:99" ht="15.75">
      <c r="BW1197" s="276"/>
      <c r="BY1197" s="276"/>
      <c r="BZ1197" s="276"/>
      <c r="CA1197" s="276"/>
      <c r="CB1197" s="276"/>
      <c r="CC1197" s="276"/>
      <c r="CD1197" s="276"/>
      <c r="CH1197" s="276"/>
      <c r="CJ1197" s="276"/>
      <c r="CK1197" s="276"/>
      <c r="CL1197" s="276"/>
      <c r="CM1197" s="276"/>
      <c r="CN1197" s="276"/>
      <c r="CO1197" s="276"/>
      <c r="CP1197" s="276"/>
      <c r="CQ1197" s="276"/>
      <c r="CU1197" s="276"/>
    </row>
    <row r="1198" spans="75:99" ht="15.75">
      <c r="BW1198" s="276"/>
      <c r="BY1198" s="276"/>
      <c r="BZ1198" s="276"/>
      <c r="CA1198" s="276"/>
      <c r="CB1198" s="276"/>
      <c r="CC1198" s="276"/>
      <c r="CD1198" s="276"/>
      <c r="CH1198" s="276"/>
      <c r="CJ1198" s="276"/>
      <c r="CK1198" s="276"/>
      <c r="CL1198" s="276"/>
      <c r="CM1198" s="276"/>
      <c r="CN1198" s="276"/>
      <c r="CO1198" s="276"/>
      <c r="CP1198" s="276"/>
      <c r="CQ1198" s="276"/>
      <c r="CU1198" s="276"/>
    </row>
    <row r="1199" spans="75:99" ht="15.75">
      <c r="BW1199" s="276"/>
      <c r="BY1199" s="276"/>
      <c r="BZ1199" s="276"/>
      <c r="CA1199" s="276"/>
      <c r="CB1199" s="276"/>
      <c r="CC1199" s="276"/>
      <c r="CD1199" s="276"/>
      <c r="CH1199" s="276"/>
      <c r="CJ1199" s="276"/>
      <c r="CK1199" s="276"/>
      <c r="CL1199" s="276"/>
      <c r="CM1199" s="276"/>
      <c r="CN1199" s="276"/>
      <c r="CO1199" s="276"/>
      <c r="CP1199" s="276"/>
      <c r="CQ1199" s="276"/>
      <c r="CU1199" s="276"/>
    </row>
    <row r="1200" spans="75:99" ht="15.75">
      <c r="BW1200" s="276"/>
      <c r="BY1200" s="276"/>
      <c r="BZ1200" s="276"/>
      <c r="CA1200" s="276"/>
      <c r="CB1200" s="276"/>
      <c r="CC1200" s="276"/>
      <c r="CD1200" s="276"/>
      <c r="CH1200" s="276"/>
      <c r="CJ1200" s="276"/>
      <c r="CK1200" s="276"/>
      <c r="CL1200" s="276"/>
      <c r="CM1200" s="276"/>
      <c r="CN1200" s="276"/>
      <c r="CO1200" s="276"/>
      <c r="CP1200" s="276"/>
      <c r="CQ1200" s="276"/>
      <c r="CU1200" s="276"/>
    </row>
    <row r="1201" spans="75:99" ht="15.75">
      <c r="BW1201" s="276"/>
      <c r="BY1201" s="276"/>
      <c r="BZ1201" s="276"/>
      <c r="CA1201" s="276"/>
      <c r="CB1201" s="276"/>
      <c r="CC1201" s="276"/>
      <c r="CD1201" s="276"/>
      <c r="CH1201" s="276"/>
      <c r="CJ1201" s="276"/>
      <c r="CK1201" s="276"/>
      <c r="CL1201" s="276"/>
      <c r="CM1201" s="276"/>
      <c r="CN1201" s="276"/>
      <c r="CO1201" s="276"/>
      <c r="CP1201" s="276"/>
      <c r="CQ1201" s="276"/>
      <c r="CU1201" s="276"/>
    </row>
    <row r="1202" spans="75:99" ht="15.75">
      <c r="BW1202" s="276"/>
      <c r="BY1202" s="276"/>
      <c r="BZ1202" s="276"/>
      <c r="CA1202" s="276"/>
      <c r="CB1202" s="276"/>
      <c r="CC1202" s="276"/>
      <c r="CD1202" s="276"/>
      <c r="CH1202" s="276"/>
      <c r="CJ1202" s="276"/>
      <c r="CK1202" s="276"/>
      <c r="CL1202" s="276"/>
      <c r="CM1202" s="276"/>
      <c r="CN1202" s="276"/>
      <c r="CO1202" s="276"/>
      <c r="CP1202" s="276"/>
      <c r="CQ1202" s="276"/>
      <c r="CU1202" s="276"/>
    </row>
    <row r="1203" spans="75:99" ht="15.75">
      <c r="BW1203" s="276"/>
      <c r="BY1203" s="276"/>
      <c r="BZ1203" s="276"/>
      <c r="CA1203" s="276"/>
      <c r="CB1203" s="276"/>
      <c r="CC1203" s="276"/>
      <c r="CD1203" s="276"/>
      <c r="CH1203" s="276"/>
      <c r="CJ1203" s="276"/>
      <c r="CK1203" s="276"/>
      <c r="CL1203" s="276"/>
      <c r="CM1203" s="276"/>
      <c r="CN1203" s="276"/>
      <c r="CO1203" s="276"/>
      <c r="CP1203" s="276"/>
      <c r="CQ1203" s="276"/>
      <c r="CU1203" s="276"/>
    </row>
    <row r="1204" spans="75:99" ht="15.75">
      <c r="BW1204" s="276"/>
      <c r="BY1204" s="276"/>
      <c r="BZ1204" s="276"/>
      <c r="CA1204" s="276"/>
      <c r="CB1204" s="276"/>
      <c r="CC1204" s="276"/>
      <c r="CD1204" s="276"/>
      <c r="CH1204" s="276"/>
      <c r="CJ1204" s="276"/>
      <c r="CK1204" s="276"/>
      <c r="CL1204" s="276"/>
      <c r="CM1204" s="276"/>
      <c r="CN1204" s="276"/>
      <c r="CO1204" s="276"/>
      <c r="CP1204" s="276"/>
      <c r="CQ1204" s="276"/>
      <c r="CU1204" s="276"/>
    </row>
    <row r="1205" spans="75:99" ht="15.75">
      <c r="BW1205" s="276"/>
      <c r="BY1205" s="276"/>
      <c r="BZ1205" s="276"/>
      <c r="CA1205" s="276"/>
      <c r="CB1205" s="276"/>
      <c r="CC1205" s="276"/>
      <c r="CD1205" s="276"/>
      <c r="CH1205" s="276"/>
      <c r="CJ1205" s="276"/>
      <c r="CK1205" s="276"/>
      <c r="CL1205" s="276"/>
      <c r="CM1205" s="276"/>
      <c r="CN1205" s="276"/>
      <c r="CO1205" s="276"/>
      <c r="CP1205" s="276"/>
      <c r="CQ1205" s="276"/>
      <c r="CU1205" s="276"/>
    </row>
    <row r="1206" spans="75:99" ht="15.75">
      <c r="BW1206" s="276"/>
      <c r="BY1206" s="276"/>
      <c r="BZ1206" s="276"/>
      <c r="CA1206" s="276"/>
      <c r="CB1206" s="276"/>
      <c r="CC1206" s="276"/>
      <c r="CD1206" s="276"/>
      <c r="CH1206" s="276"/>
      <c r="CJ1206" s="276"/>
      <c r="CK1206" s="276"/>
      <c r="CL1206" s="276"/>
      <c r="CM1206" s="276"/>
      <c r="CN1206" s="276"/>
      <c r="CO1206" s="276"/>
      <c r="CP1206" s="276"/>
      <c r="CQ1206" s="276"/>
      <c r="CU1206" s="276"/>
    </row>
    <row r="1207" spans="75:99" ht="15.75">
      <c r="BW1207" s="276"/>
      <c r="BY1207" s="276"/>
      <c r="BZ1207" s="276"/>
      <c r="CA1207" s="276"/>
      <c r="CB1207" s="276"/>
      <c r="CC1207" s="276"/>
      <c r="CD1207" s="276"/>
      <c r="CH1207" s="276"/>
      <c r="CJ1207" s="276"/>
      <c r="CK1207" s="276"/>
      <c r="CL1207" s="276"/>
      <c r="CM1207" s="276"/>
      <c r="CN1207" s="276"/>
      <c r="CO1207" s="276"/>
      <c r="CP1207" s="276"/>
      <c r="CQ1207" s="276"/>
      <c r="CU1207" s="276"/>
    </row>
    <row r="1208" spans="75:99" ht="15.75">
      <c r="BW1208" s="276"/>
      <c r="BY1208" s="276"/>
      <c r="BZ1208" s="276"/>
      <c r="CA1208" s="276"/>
      <c r="CB1208" s="276"/>
      <c r="CC1208" s="276"/>
      <c r="CD1208" s="276"/>
      <c r="CH1208" s="276"/>
      <c r="CJ1208" s="276"/>
      <c r="CK1208" s="276"/>
      <c r="CL1208" s="276"/>
      <c r="CM1208" s="276"/>
      <c r="CN1208" s="276"/>
      <c r="CO1208" s="276"/>
      <c r="CP1208" s="276"/>
      <c r="CQ1208" s="276"/>
      <c r="CU1208" s="276"/>
    </row>
    <row r="1209" spans="75:99" ht="15.75">
      <c r="BW1209" s="276"/>
      <c r="BY1209" s="276"/>
      <c r="BZ1209" s="276"/>
      <c r="CA1209" s="276"/>
      <c r="CB1209" s="276"/>
      <c r="CC1209" s="276"/>
      <c r="CD1209" s="276"/>
      <c r="CH1209" s="276"/>
      <c r="CJ1209" s="276"/>
      <c r="CK1209" s="276"/>
      <c r="CL1209" s="276"/>
      <c r="CM1209" s="276"/>
      <c r="CN1209" s="276"/>
      <c r="CO1209" s="276"/>
      <c r="CP1209" s="276"/>
      <c r="CQ1209" s="276"/>
      <c r="CU1209" s="276"/>
    </row>
    <row r="1210" spans="75:99" ht="15.75">
      <c r="BW1210" s="276"/>
      <c r="BY1210" s="276"/>
      <c r="BZ1210" s="276"/>
      <c r="CA1210" s="276"/>
      <c r="CB1210" s="276"/>
      <c r="CC1210" s="276"/>
      <c r="CD1210" s="276"/>
      <c r="CH1210" s="276"/>
      <c r="CJ1210" s="276"/>
      <c r="CK1210" s="276"/>
      <c r="CL1210" s="276"/>
      <c r="CM1210" s="276"/>
      <c r="CN1210" s="276"/>
      <c r="CO1210" s="276"/>
      <c r="CP1210" s="276"/>
      <c r="CQ1210" s="276"/>
      <c r="CU1210" s="276"/>
    </row>
    <row r="1211" spans="75:99" ht="15.75">
      <c r="BW1211" s="276"/>
      <c r="BY1211" s="276"/>
      <c r="BZ1211" s="276"/>
      <c r="CA1211" s="276"/>
      <c r="CB1211" s="276"/>
      <c r="CC1211" s="276"/>
      <c r="CD1211" s="276"/>
      <c r="CH1211" s="276"/>
      <c r="CJ1211" s="276"/>
      <c r="CK1211" s="276"/>
      <c r="CL1211" s="276"/>
      <c r="CM1211" s="276"/>
      <c r="CN1211" s="276"/>
      <c r="CO1211" s="276"/>
      <c r="CP1211" s="276"/>
      <c r="CQ1211" s="276"/>
      <c r="CU1211" s="276"/>
    </row>
    <row r="1212" spans="75:99" ht="15.75">
      <c r="BW1212" s="276"/>
      <c r="BY1212" s="276"/>
      <c r="BZ1212" s="276"/>
      <c r="CA1212" s="276"/>
      <c r="CB1212" s="276"/>
      <c r="CC1212" s="276"/>
      <c r="CD1212" s="276"/>
      <c r="CH1212" s="276"/>
      <c r="CJ1212" s="276"/>
      <c r="CK1212" s="276"/>
      <c r="CL1212" s="276"/>
      <c r="CM1212" s="276"/>
      <c r="CN1212" s="276"/>
      <c r="CO1212" s="276"/>
      <c r="CP1212" s="276"/>
      <c r="CQ1212" s="276"/>
      <c r="CU1212" s="276"/>
    </row>
    <row r="1213" spans="75:99" ht="15.75">
      <c r="BW1213" s="276"/>
      <c r="BY1213" s="276"/>
      <c r="BZ1213" s="276"/>
      <c r="CA1213" s="276"/>
      <c r="CB1213" s="276"/>
      <c r="CC1213" s="276"/>
      <c r="CD1213" s="276"/>
      <c r="CH1213" s="276"/>
      <c r="CJ1213" s="276"/>
      <c r="CK1213" s="276"/>
      <c r="CL1213" s="276"/>
      <c r="CM1213" s="276"/>
      <c r="CN1213" s="276"/>
      <c r="CO1213" s="276"/>
      <c r="CP1213" s="276"/>
      <c r="CQ1213" s="276"/>
      <c r="CU1213" s="276"/>
    </row>
    <row r="1214" spans="75:99" ht="15.75">
      <c r="BW1214" s="276"/>
      <c r="BY1214" s="276"/>
      <c r="BZ1214" s="276"/>
      <c r="CA1214" s="276"/>
      <c r="CB1214" s="276"/>
      <c r="CC1214" s="276"/>
      <c r="CD1214" s="276"/>
      <c r="CH1214" s="276"/>
      <c r="CJ1214" s="276"/>
      <c r="CK1214" s="276"/>
      <c r="CL1214" s="276"/>
      <c r="CM1214" s="276"/>
      <c r="CN1214" s="276"/>
      <c r="CO1214" s="276"/>
      <c r="CP1214" s="276"/>
      <c r="CQ1214" s="276"/>
      <c r="CU1214" s="276"/>
    </row>
    <row r="1215" spans="75:99" ht="15.75">
      <c r="BW1215" s="276"/>
      <c r="BY1215" s="276"/>
      <c r="BZ1215" s="276"/>
      <c r="CA1215" s="276"/>
      <c r="CB1215" s="276"/>
      <c r="CC1215" s="276"/>
      <c r="CD1215" s="276"/>
      <c r="CH1215" s="276"/>
      <c r="CJ1215" s="276"/>
      <c r="CK1215" s="276"/>
      <c r="CL1215" s="276"/>
      <c r="CM1215" s="276"/>
      <c r="CN1215" s="276"/>
      <c r="CO1215" s="276"/>
      <c r="CP1215" s="276"/>
      <c r="CQ1215" s="276"/>
      <c r="CU1215" s="276"/>
    </row>
    <row r="1216" spans="75:99" ht="15.75">
      <c r="BW1216" s="276"/>
      <c r="BY1216" s="276"/>
      <c r="BZ1216" s="276"/>
      <c r="CA1216" s="276"/>
      <c r="CB1216" s="276"/>
      <c r="CC1216" s="276"/>
      <c r="CD1216" s="276"/>
      <c r="CH1216" s="276"/>
      <c r="CJ1216" s="276"/>
      <c r="CK1216" s="276"/>
      <c r="CL1216" s="276"/>
      <c r="CM1216" s="276"/>
      <c r="CN1216" s="276"/>
      <c r="CO1216" s="276"/>
      <c r="CP1216" s="276"/>
      <c r="CQ1216" s="276"/>
      <c r="CU1216" s="276"/>
    </row>
    <row r="1217" spans="75:99" ht="15.75">
      <c r="BW1217" s="276"/>
      <c r="BY1217" s="276"/>
      <c r="BZ1217" s="276"/>
      <c r="CA1217" s="276"/>
      <c r="CB1217" s="276"/>
      <c r="CC1217" s="276"/>
      <c r="CD1217" s="276"/>
      <c r="CH1217" s="276"/>
      <c r="CJ1217" s="276"/>
      <c r="CK1217" s="276"/>
      <c r="CL1217" s="276"/>
      <c r="CM1217" s="276"/>
      <c r="CN1217" s="276"/>
      <c r="CO1217" s="276"/>
      <c r="CP1217" s="276"/>
      <c r="CQ1217" s="276"/>
      <c r="CU1217" s="276"/>
    </row>
    <row r="1218" spans="75:99" ht="15.75">
      <c r="BW1218" s="276"/>
      <c r="BY1218" s="276"/>
      <c r="BZ1218" s="276"/>
      <c r="CA1218" s="276"/>
      <c r="CB1218" s="276"/>
      <c r="CC1218" s="276"/>
      <c r="CD1218" s="276"/>
      <c r="CH1218" s="276"/>
      <c r="CJ1218" s="276"/>
      <c r="CK1218" s="276"/>
      <c r="CL1218" s="276"/>
      <c r="CM1218" s="276"/>
      <c r="CN1218" s="276"/>
      <c r="CO1218" s="276"/>
      <c r="CP1218" s="276"/>
      <c r="CQ1218" s="276"/>
      <c r="CU1218" s="276"/>
    </row>
    <row r="1219" spans="75:99" ht="15.75">
      <c r="BW1219" s="276"/>
      <c r="BY1219" s="276"/>
      <c r="BZ1219" s="276"/>
      <c r="CA1219" s="276"/>
      <c r="CB1219" s="276"/>
      <c r="CC1219" s="276"/>
      <c r="CD1219" s="276"/>
      <c r="CH1219" s="276"/>
      <c r="CJ1219" s="276"/>
      <c r="CK1219" s="276"/>
      <c r="CL1219" s="276"/>
      <c r="CM1219" s="276"/>
      <c r="CN1219" s="276"/>
      <c r="CO1219" s="276"/>
      <c r="CP1219" s="276"/>
      <c r="CQ1219" s="276"/>
      <c r="CU1219" s="276"/>
    </row>
    <row r="1220" spans="75:99" ht="15.75">
      <c r="BW1220" s="276"/>
      <c r="BY1220" s="276"/>
      <c r="BZ1220" s="276"/>
      <c r="CA1220" s="276"/>
      <c r="CB1220" s="276"/>
      <c r="CC1220" s="276"/>
      <c r="CD1220" s="276"/>
      <c r="CH1220" s="276"/>
      <c r="CJ1220" s="276"/>
      <c r="CK1220" s="276"/>
      <c r="CL1220" s="276"/>
      <c r="CM1220" s="276"/>
      <c r="CN1220" s="276"/>
      <c r="CO1220" s="276"/>
      <c r="CP1220" s="276"/>
      <c r="CQ1220" s="276"/>
      <c r="CU1220" s="276"/>
    </row>
    <row r="1221" spans="75:99" ht="15.75">
      <c r="BW1221" s="276"/>
      <c r="BY1221" s="276"/>
      <c r="BZ1221" s="276"/>
      <c r="CA1221" s="276"/>
      <c r="CB1221" s="276"/>
      <c r="CC1221" s="276"/>
      <c r="CD1221" s="276"/>
      <c r="CH1221" s="276"/>
      <c r="CJ1221" s="276"/>
      <c r="CK1221" s="276"/>
      <c r="CL1221" s="276"/>
      <c r="CM1221" s="276"/>
      <c r="CN1221" s="276"/>
      <c r="CO1221" s="276"/>
      <c r="CP1221" s="276"/>
      <c r="CQ1221" s="276"/>
      <c r="CU1221" s="276"/>
    </row>
    <row r="1222" spans="75:99" ht="15.75">
      <c r="BW1222" s="276"/>
      <c r="BY1222" s="276"/>
      <c r="BZ1222" s="276"/>
      <c r="CA1222" s="276"/>
      <c r="CB1222" s="276"/>
      <c r="CC1222" s="276"/>
      <c r="CD1222" s="276"/>
      <c r="CH1222" s="276"/>
      <c r="CJ1222" s="276"/>
      <c r="CK1222" s="276"/>
      <c r="CL1222" s="276"/>
      <c r="CM1222" s="276"/>
      <c r="CN1222" s="276"/>
      <c r="CO1222" s="276"/>
      <c r="CP1222" s="276"/>
      <c r="CQ1222" s="276"/>
      <c r="CU1222" s="276"/>
    </row>
    <row r="1223" spans="75:99" ht="15.75">
      <c r="BW1223" s="276"/>
      <c r="BY1223" s="276"/>
      <c r="BZ1223" s="276"/>
      <c r="CA1223" s="276"/>
      <c r="CB1223" s="276"/>
      <c r="CC1223" s="276"/>
      <c r="CD1223" s="276"/>
      <c r="CH1223" s="276"/>
      <c r="CJ1223" s="276"/>
      <c r="CK1223" s="276"/>
      <c r="CL1223" s="276"/>
      <c r="CM1223" s="276"/>
      <c r="CN1223" s="276"/>
      <c r="CO1223" s="276"/>
      <c r="CP1223" s="276"/>
      <c r="CQ1223" s="276"/>
      <c r="CU1223" s="276"/>
    </row>
    <row r="1224" spans="75:99" ht="15.75">
      <c r="BW1224" s="276"/>
      <c r="BY1224" s="276"/>
      <c r="BZ1224" s="276"/>
      <c r="CA1224" s="276"/>
      <c r="CB1224" s="276"/>
      <c r="CC1224" s="276"/>
      <c r="CD1224" s="276"/>
      <c r="CH1224" s="276"/>
      <c r="CJ1224" s="276"/>
      <c r="CK1224" s="276"/>
      <c r="CL1224" s="276"/>
      <c r="CM1224" s="276"/>
      <c r="CN1224" s="276"/>
      <c r="CO1224" s="276"/>
      <c r="CP1224" s="276"/>
      <c r="CQ1224" s="276"/>
      <c r="CU1224" s="276"/>
    </row>
    <row r="1225" spans="75:99" ht="15.75">
      <c r="BW1225" s="276"/>
      <c r="BY1225" s="276"/>
      <c r="BZ1225" s="276"/>
      <c r="CA1225" s="276"/>
      <c r="CB1225" s="276"/>
      <c r="CC1225" s="276"/>
      <c r="CD1225" s="276"/>
      <c r="CH1225" s="276"/>
      <c r="CJ1225" s="276"/>
      <c r="CK1225" s="276"/>
      <c r="CL1225" s="276"/>
      <c r="CM1225" s="276"/>
      <c r="CN1225" s="276"/>
      <c r="CO1225" s="276"/>
      <c r="CP1225" s="276"/>
      <c r="CQ1225" s="276"/>
      <c r="CU1225" s="276"/>
    </row>
    <row r="1226" spans="75:99" ht="15.75">
      <c r="BW1226" s="276"/>
      <c r="BY1226" s="276"/>
      <c r="BZ1226" s="276"/>
      <c r="CA1226" s="276"/>
      <c r="CB1226" s="276"/>
      <c r="CC1226" s="276"/>
      <c r="CD1226" s="276"/>
      <c r="CH1226" s="276"/>
      <c r="CJ1226" s="276"/>
      <c r="CK1226" s="276"/>
      <c r="CL1226" s="276"/>
      <c r="CM1226" s="276"/>
      <c r="CN1226" s="276"/>
      <c r="CO1226" s="276"/>
      <c r="CP1226" s="276"/>
      <c r="CQ1226" s="276"/>
      <c r="CU1226" s="276"/>
    </row>
    <row r="1227" spans="75:99" ht="15.75">
      <c r="BW1227" s="276"/>
      <c r="BY1227" s="276"/>
      <c r="BZ1227" s="276"/>
      <c r="CA1227" s="276"/>
      <c r="CB1227" s="276"/>
      <c r="CC1227" s="276"/>
      <c r="CD1227" s="276"/>
      <c r="CH1227" s="276"/>
      <c r="CJ1227" s="276"/>
      <c r="CK1227" s="276"/>
      <c r="CL1227" s="276"/>
      <c r="CM1227" s="276"/>
      <c r="CN1227" s="276"/>
      <c r="CO1227" s="276"/>
      <c r="CP1227" s="276"/>
      <c r="CQ1227" s="276"/>
      <c r="CU1227" s="276"/>
    </row>
    <row r="1228" spans="75:99" ht="15.75">
      <c r="BW1228" s="276"/>
      <c r="BY1228" s="276"/>
      <c r="BZ1228" s="276"/>
      <c r="CA1228" s="276"/>
      <c r="CB1228" s="276"/>
      <c r="CC1228" s="276"/>
      <c r="CD1228" s="276"/>
      <c r="CH1228" s="276"/>
      <c r="CJ1228" s="276"/>
      <c r="CK1228" s="276"/>
      <c r="CL1228" s="276"/>
      <c r="CM1228" s="276"/>
      <c r="CN1228" s="276"/>
      <c r="CO1228" s="276"/>
      <c r="CP1228" s="276"/>
      <c r="CQ1228" s="276"/>
      <c r="CU1228" s="276"/>
    </row>
    <row r="1229" spans="75:99" ht="15.75">
      <c r="BW1229" s="276"/>
      <c r="BY1229" s="276"/>
      <c r="BZ1229" s="276"/>
      <c r="CA1229" s="276"/>
      <c r="CB1229" s="276"/>
      <c r="CC1229" s="276"/>
      <c r="CD1229" s="276"/>
      <c r="CH1229" s="276"/>
      <c r="CJ1229" s="276"/>
      <c r="CK1229" s="276"/>
      <c r="CL1229" s="276"/>
      <c r="CM1229" s="276"/>
      <c r="CN1229" s="276"/>
      <c r="CO1229" s="276"/>
      <c r="CP1229" s="276"/>
      <c r="CQ1229" s="276"/>
      <c r="CU1229" s="276"/>
    </row>
    <row r="1230" spans="75:99" ht="15.75">
      <c r="BW1230" s="276"/>
      <c r="BY1230" s="276"/>
      <c r="BZ1230" s="276"/>
      <c r="CA1230" s="276"/>
      <c r="CB1230" s="276"/>
      <c r="CC1230" s="276"/>
      <c r="CD1230" s="276"/>
      <c r="CH1230" s="276"/>
      <c r="CJ1230" s="276"/>
      <c r="CK1230" s="276"/>
      <c r="CL1230" s="276"/>
      <c r="CM1230" s="276"/>
      <c r="CN1230" s="276"/>
      <c r="CO1230" s="276"/>
      <c r="CP1230" s="276"/>
      <c r="CQ1230" s="276"/>
      <c r="CU1230" s="276"/>
    </row>
    <row r="1231" spans="75:99" ht="15.75">
      <c r="BW1231" s="276"/>
      <c r="BY1231" s="276"/>
      <c r="BZ1231" s="276"/>
      <c r="CA1231" s="276"/>
      <c r="CB1231" s="276"/>
      <c r="CC1231" s="276"/>
      <c r="CD1231" s="276"/>
      <c r="CH1231" s="276"/>
      <c r="CJ1231" s="276"/>
      <c r="CK1231" s="276"/>
      <c r="CL1231" s="276"/>
      <c r="CM1231" s="276"/>
      <c r="CN1231" s="276"/>
      <c r="CO1231" s="276"/>
      <c r="CP1231" s="276"/>
      <c r="CQ1231" s="276"/>
      <c r="CU1231" s="276"/>
    </row>
    <row r="1232" spans="75:99" ht="15.75">
      <c r="BW1232" s="276"/>
      <c r="BY1232" s="276"/>
      <c r="BZ1232" s="276"/>
      <c r="CA1232" s="276"/>
      <c r="CB1232" s="276"/>
      <c r="CC1232" s="276"/>
      <c r="CD1232" s="276"/>
      <c r="CH1232" s="276"/>
      <c r="CJ1232" s="276"/>
      <c r="CK1232" s="276"/>
      <c r="CL1232" s="276"/>
      <c r="CM1232" s="276"/>
      <c r="CN1232" s="276"/>
      <c r="CO1232" s="276"/>
      <c r="CP1232" s="276"/>
      <c r="CQ1232" s="276"/>
      <c r="CU1232" s="276"/>
    </row>
    <row r="1233" spans="75:99" ht="15.75">
      <c r="BW1233" s="276"/>
      <c r="BY1233" s="276"/>
      <c r="BZ1233" s="276"/>
      <c r="CA1233" s="276"/>
      <c r="CB1233" s="276"/>
      <c r="CC1233" s="276"/>
      <c r="CD1233" s="276"/>
      <c r="CH1233" s="276"/>
      <c r="CJ1233" s="276"/>
      <c r="CK1233" s="276"/>
      <c r="CL1233" s="276"/>
      <c r="CM1233" s="276"/>
      <c r="CN1233" s="276"/>
      <c r="CO1233" s="276"/>
      <c r="CP1233" s="276"/>
      <c r="CQ1233" s="276"/>
      <c r="CU1233" s="276"/>
    </row>
    <row r="1234" spans="75:99" ht="15.75">
      <c r="BW1234" s="276"/>
      <c r="BY1234" s="276"/>
      <c r="BZ1234" s="276"/>
      <c r="CA1234" s="276"/>
      <c r="CB1234" s="276"/>
      <c r="CC1234" s="276"/>
      <c r="CD1234" s="276"/>
      <c r="CH1234" s="276"/>
      <c r="CJ1234" s="276"/>
      <c r="CK1234" s="276"/>
      <c r="CL1234" s="276"/>
      <c r="CM1234" s="276"/>
      <c r="CN1234" s="276"/>
      <c r="CO1234" s="276"/>
      <c r="CP1234" s="276"/>
      <c r="CQ1234" s="276"/>
      <c r="CU1234" s="276"/>
    </row>
    <row r="1235" spans="75:99" ht="15.75">
      <c r="BW1235" s="276"/>
      <c r="BY1235" s="276"/>
      <c r="BZ1235" s="276"/>
      <c r="CA1235" s="276"/>
      <c r="CB1235" s="276"/>
      <c r="CC1235" s="276"/>
      <c r="CD1235" s="276"/>
      <c r="CH1235" s="276"/>
      <c r="CJ1235" s="276"/>
      <c r="CK1235" s="276"/>
      <c r="CL1235" s="276"/>
      <c r="CM1235" s="276"/>
      <c r="CN1235" s="276"/>
      <c r="CO1235" s="276"/>
      <c r="CP1235" s="276"/>
      <c r="CQ1235" s="276"/>
      <c r="CU1235" s="276"/>
    </row>
    <row r="1236" spans="75:99" ht="15.75">
      <c r="BW1236" s="276"/>
      <c r="BY1236" s="276"/>
      <c r="BZ1236" s="276"/>
      <c r="CA1236" s="276"/>
      <c r="CB1236" s="276"/>
      <c r="CC1236" s="276"/>
      <c r="CD1236" s="276"/>
      <c r="CH1236" s="276"/>
      <c r="CJ1236" s="276"/>
      <c r="CK1236" s="276"/>
      <c r="CL1236" s="276"/>
      <c r="CM1236" s="276"/>
      <c r="CN1236" s="276"/>
      <c r="CO1236" s="276"/>
      <c r="CP1236" s="276"/>
      <c r="CQ1236" s="276"/>
      <c r="CU1236" s="276"/>
    </row>
    <row r="1237" spans="75:99" ht="15.75">
      <c r="BW1237" s="276"/>
      <c r="BY1237" s="276"/>
      <c r="BZ1237" s="276"/>
      <c r="CA1237" s="276"/>
      <c r="CB1237" s="276"/>
      <c r="CC1237" s="276"/>
      <c r="CD1237" s="276"/>
      <c r="CH1237" s="276"/>
      <c r="CJ1237" s="276"/>
      <c r="CK1237" s="276"/>
      <c r="CL1237" s="276"/>
      <c r="CM1237" s="276"/>
      <c r="CN1237" s="276"/>
      <c r="CO1237" s="276"/>
      <c r="CP1237" s="276"/>
      <c r="CQ1237" s="276"/>
      <c r="CU1237" s="276"/>
    </row>
    <row r="1238" spans="75:99" ht="15.75">
      <c r="BW1238" s="276"/>
      <c r="BY1238" s="276"/>
      <c r="BZ1238" s="276"/>
      <c r="CA1238" s="276"/>
      <c r="CB1238" s="276"/>
      <c r="CC1238" s="276"/>
      <c r="CD1238" s="276"/>
      <c r="CH1238" s="276"/>
      <c r="CJ1238" s="276"/>
      <c r="CK1238" s="276"/>
      <c r="CL1238" s="276"/>
      <c r="CM1238" s="276"/>
      <c r="CN1238" s="276"/>
      <c r="CO1238" s="276"/>
      <c r="CP1238" s="276"/>
      <c r="CQ1238" s="276"/>
      <c r="CU1238" s="276"/>
    </row>
    <row r="1239" spans="75:99" ht="15.75">
      <c r="BW1239" s="276"/>
      <c r="BY1239" s="276"/>
      <c r="BZ1239" s="276"/>
      <c r="CA1239" s="276"/>
      <c r="CB1239" s="276"/>
      <c r="CC1239" s="276"/>
      <c r="CD1239" s="276"/>
      <c r="CH1239" s="276"/>
      <c r="CJ1239" s="276"/>
      <c r="CK1239" s="276"/>
      <c r="CL1239" s="276"/>
      <c r="CM1239" s="276"/>
      <c r="CN1239" s="276"/>
      <c r="CO1239" s="276"/>
      <c r="CP1239" s="276"/>
      <c r="CQ1239" s="276"/>
      <c r="CU1239" s="276"/>
    </row>
    <row r="1240" spans="75:99" ht="15.75">
      <c r="BW1240" s="276"/>
      <c r="BY1240" s="276"/>
      <c r="BZ1240" s="276"/>
      <c r="CA1240" s="276"/>
      <c r="CB1240" s="276"/>
      <c r="CC1240" s="276"/>
      <c r="CD1240" s="276"/>
      <c r="CH1240" s="276"/>
      <c r="CJ1240" s="276"/>
      <c r="CK1240" s="276"/>
      <c r="CL1240" s="276"/>
      <c r="CM1240" s="276"/>
      <c r="CN1240" s="276"/>
      <c r="CO1240" s="276"/>
      <c r="CP1240" s="276"/>
      <c r="CQ1240" s="276"/>
      <c r="CU1240" s="276"/>
    </row>
    <row r="1241" spans="75:99" ht="15.75">
      <c r="BW1241" s="276"/>
      <c r="BY1241" s="276"/>
      <c r="BZ1241" s="276"/>
      <c r="CA1241" s="276"/>
      <c r="CB1241" s="276"/>
      <c r="CC1241" s="276"/>
      <c r="CD1241" s="276"/>
      <c r="CH1241" s="276"/>
      <c r="CJ1241" s="276"/>
      <c r="CK1241" s="276"/>
      <c r="CL1241" s="276"/>
      <c r="CM1241" s="276"/>
      <c r="CN1241" s="276"/>
      <c r="CO1241" s="276"/>
      <c r="CP1241" s="276"/>
      <c r="CQ1241" s="276"/>
      <c r="CU1241" s="276"/>
    </row>
    <row r="1242" spans="75:99" ht="15.75">
      <c r="BW1242" s="276"/>
      <c r="BY1242" s="276"/>
      <c r="BZ1242" s="276"/>
      <c r="CA1242" s="276"/>
      <c r="CB1242" s="276"/>
      <c r="CC1242" s="276"/>
      <c r="CD1242" s="276"/>
      <c r="CH1242" s="276"/>
      <c r="CJ1242" s="276"/>
      <c r="CK1242" s="276"/>
      <c r="CL1242" s="276"/>
      <c r="CM1242" s="276"/>
      <c r="CN1242" s="276"/>
      <c r="CO1242" s="276"/>
      <c r="CP1242" s="276"/>
      <c r="CQ1242" s="276"/>
      <c r="CU1242" s="276"/>
    </row>
    <row r="1243" spans="75:99" ht="15.75">
      <c r="BW1243" s="276"/>
      <c r="BY1243" s="276"/>
      <c r="BZ1243" s="276"/>
      <c r="CA1243" s="276"/>
      <c r="CB1243" s="276"/>
      <c r="CC1243" s="276"/>
      <c r="CD1243" s="276"/>
      <c r="CH1243" s="276"/>
      <c r="CJ1243" s="276"/>
      <c r="CK1243" s="276"/>
      <c r="CL1243" s="276"/>
      <c r="CM1243" s="276"/>
      <c r="CN1243" s="276"/>
      <c r="CO1243" s="276"/>
      <c r="CP1243" s="276"/>
      <c r="CQ1243" s="276"/>
      <c r="CU1243" s="276"/>
    </row>
    <row r="1244" spans="75:99" ht="15.75">
      <c r="BW1244" s="276"/>
      <c r="BY1244" s="276"/>
      <c r="BZ1244" s="276"/>
      <c r="CA1244" s="276"/>
      <c r="CB1244" s="276"/>
      <c r="CC1244" s="276"/>
      <c r="CD1244" s="276"/>
      <c r="CH1244" s="276"/>
      <c r="CJ1244" s="276"/>
      <c r="CK1244" s="276"/>
      <c r="CL1244" s="276"/>
      <c r="CM1244" s="276"/>
      <c r="CN1244" s="276"/>
      <c r="CO1244" s="276"/>
      <c r="CP1244" s="276"/>
      <c r="CQ1244" s="276"/>
      <c r="CU1244" s="276"/>
    </row>
    <row r="1245" spans="75:99" ht="15.75">
      <c r="BW1245" s="276"/>
      <c r="BY1245" s="276"/>
      <c r="BZ1245" s="276"/>
      <c r="CA1245" s="276"/>
      <c r="CB1245" s="276"/>
      <c r="CC1245" s="276"/>
      <c r="CD1245" s="276"/>
      <c r="CH1245" s="276"/>
      <c r="CJ1245" s="276"/>
      <c r="CK1245" s="276"/>
      <c r="CL1245" s="276"/>
      <c r="CM1245" s="276"/>
      <c r="CN1245" s="276"/>
      <c r="CO1245" s="276"/>
      <c r="CP1245" s="276"/>
      <c r="CQ1245" s="276"/>
      <c r="CU1245" s="276"/>
    </row>
    <row r="1246" spans="75:99" ht="15.75">
      <c r="BW1246" s="276"/>
      <c r="BY1246" s="276"/>
      <c r="BZ1246" s="276"/>
      <c r="CA1246" s="276"/>
      <c r="CB1246" s="276"/>
      <c r="CC1246" s="276"/>
      <c r="CD1246" s="276"/>
      <c r="CH1246" s="276"/>
      <c r="CJ1246" s="276"/>
      <c r="CK1246" s="276"/>
      <c r="CL1246" s="276"/>
      <c r="CM1246" s="276"/>
      <c r="CN1246" s="276"/>
      <c r="CO1246" s="276"/>
      <c r="CP1246" s="276"/>
      <c r="CQ1246" s="276"/>
      <c r="CU1246" s="276"/>
    </row>
    <row r="1247" spans="75:99" ht="15.75">
      <c r="BW1247" s="276"/>
      <c r="BY1247" s="276"/>
      <c r="BZ1247" s="276"/>
      <c r="CA1247" s="276"/>
      <c r="CB1247" s="276"/>
      <c r="CC1247" s="276"/>
      <c r="CD1247" s="276"/>
      <c r="CH1247" s="276"/>
      <c r="CJ1247" s="276"/>
      <c r="CK1247" s="276"/>
      <c r="CL1247" s="276"/>
      <c r="CM1247" s="276"/>
      <c r="CN1247" s="276"/>
      <c r="CO1247" s="276"/>
      <c r="CP1247" s="276"/>
      <c r="CQ1247" s="276"/>
      <c r="CU1247" s="276"/>
    </row>
    <row r="1248" spans="75:99" ht="15.75">
      <c r="BW1248" s="276"/>
      <c r="BY1248" s="276"/>
      <c r="BZ1248" s="276"/>
      <c r="CA1248" s="276"/>
      <c r="CB1248" s="276"/>
      <c r="CC1248" s="276"/>
      <c r="CD1248" s="276"/>
      <c r="CH1248" s="276"/>
      <c r="CJ1248" s="276"/>
      <c r="CK1248" s="276"/>
      <c r="CL1248" s="276"/>
      <c r="CM1248" s="276"/>
      <c r="CN1248" s="276"/>
      <c r="CO1248" s="276"/>
      <c r="CP1248" s="276"/>
      <c r="CQ1248" s="276"/>
      <c r="CU1248" s="276"/>
    </row>
    <row r="1249" spans="75:99" ht="15.75">
      <c r="BW1249" s="276"/>
      <c r="BY1249" s="276"/>
      <c r="BZ1249" s="276"/>
      <c r="CA1249" s="276"/>
      <c r="CB1249" s="276"/>
      <c r="CC1249" s="276"/>
      <c r="CD1249" s="276"/>
      <c r="CH1249" s="276"/>
      <c r="CJ1249" s="276"/>
      <c r="CK1249" s="276"/>
      <c r="CL1249" s="276"/>
      <c r="CM1249" s="276"/>
      <c r="CN1249" s="276"/>
      <c r="CO1249" s="276"/>
      <c r="CP1249" s="276"/>
      <c r="CQ1249" s="276"/>
      <c r="CU1249" s="276"/>
    </row>
    <row r="1250" spans="75:99" ht="15.75">
      <c r="BW1250" s="276"/>
      <c r="BY1250" s="276"/>
      <c r="BZ1250" s="276"/>
      <c r="CA1250" s="276"/>
      <c r="CB1250" s="276"/>
      <c r="CC1250" s="276"/>
      <c r="CD1250" s="276"/>
      <c r="CH1250" s="276"/>
      <c r="CJ1250" s="276"/>
      <c r="CK1250" s="276"/>
      <c r="CL1250" s="276"/>
      <c r="CM1250" s="276"/>
      <c r="CN1250" s="276"/>
      <c r="CO1250" s="276"/>
      <c r="CP1250" s="276"/>
      <c r="CQ1250" s="276"/>
      <c r="CU1250" s="276"/>
    </row>
    <row r="1251" spans="75:99" ht="15.75">
      <c r="BW1251" s="276"/>
      <c r="BY1251" s="276"/>
      <c r="BZ1251" s="276"/>
      <c r="CA1251" s="276"/>
      <c r="CB1251" s="276"/>
      <c r="CC1251" s="276"/>
      <c r="CD1251" s="276"/>
      <c r="CH1251" s="276"/>
      <c r="CJ1251" s="276"/>
      <c r="CK1251" s="276"/>
      <c r="CL1251" s="276"/>
      <c r="CM1251" s="276"/>
      <c r="CN1251" s="276"/>
      <c r="CO1251" s="276"/>
      <c r="CP1251" s="276"/>
      <c r="CQ1251" s="276"/>
      <c r="CU1251" s="276"/>
    </row>
    <row r="1252" spans="75:99" ht="15.75">
      <c r="BW1252" s="276"/>
      <c r="BY1252" s="276"/>
      <c r="BZ1252" s="276"/>
      <c r="CA1252" s="276"/>
      <c r="CB1252" s="276"/>
      <c r="CC1252" s="276"/>
      <c r="CD1252" s="276"/>
      <c r="CH1252" s="276"/>
      <c r="CJ1252" s="276"/>
      <c r="CK1252" s="276"/>
      <c r="CL1252" s="276"/>
      <c r="CM1252" s="276"/>
      <c r="CN1252" s="276"/>
      <c r="CO1252" s="276"/>
      <c r="CP1252" s="276"/>
      <c r="CQ1252" s="276"/>
      <c r="CU1252" s="276"/>
    </row>
    <row r="1253" spans="75:99" ht="15.75">
      <c r="BW1253" s="276"/>
      <c r="BY1253" s="276"/>
      <c r="BZ1253" s="276"/>
      <c r="CA1253" s="276"/>
      <c r="CB1253" s="276"/>
      <c r="CC1253" s="276"/>
      <c r="CD1253" s="276"/>
      <c r="CH1253" s="276"/>
      <c r="CJ1253" s="276"/>
      <c r="CK1253" s="276"/>
      <c r="CL1253" s="276"/>
      <c r="CM1253" s="276"/>
      <c r="CN1253" s="276"/>
      <c r="CO1253" s="276"/>
      <c r="CP1253" s="276"/>
      <c r="CQ1253" s="276"/>
      <c r="CU1253" s="276"/>
    </row>
    <row r="1254" spans="75:99" ht="15.75">
      <c r="BW1254" s="276"/>
      <c r="BY1254" s="276"/>
      <c r="BZ1254" s="276"/>
      <c r="CA1254" s="276"/>
      <c r="CB1254" s="276"/>
      <c r="CC1254" s="276"/>
      <c r="CD1254" s="276"/>
      <c r="CH1254" s="276"/>
      <c r="CJ1254" s="276"/>
      <c r="CK1254" s="276"/>
      <c r="CL1254" s="276"/>
      <c r="CM1254" s="276"/>
      <c r="CN1254" s="276"/>
      <c r="CO1254" s="276"/>
      <c r="CP1254" s="276"/>
      <c r="CQ1254" s="276"/>
      <c r="CU1254" s="276"/>
    </row>
    <row r="1255" spans="75:99" ht="15.75">
      <c r="BW1255" s="276"/>
      <c r="BY1255" s="276"/>
      <c r="BZ1255" s="276"/>
      <c r="CA1255" s="276"/>
      <c r="CB1255" s="276"/>
      <c r="CC1255" s="276"/>
      <c r="CD1255" s="276"/>
      <c r="CH1255" s="276"/>
      <c r="CJ1255" s="276"/>
      <c r="CK1255" s="276"/>
      <c r="CL1255" s="276"/>
      <c r="CM1255" s="276"/>
      <c r="CN1255" s="276"/>
      <c r="CO1255" s="276"/>
      <c r="CP1255" s="276"/>
      <c r="CQ1255" s="276"/>
      <c r="CU1255" s="276"/>
    </row>
    <row r="1256" spans="75:99" ht="15.75">
      <c r="BW1256" s="276"/>
      <c r="BY1256" s="276"/>
      <c r="BZ1256" s="276"/>
      <c r="CA1256" s="276"/>
      <c r="CB1256" s="276"/>
      <c r="CC1256" s="276"/>
      <c r="CD1256" s="276"/>
      <c r="CH1256" s="276"/>
      <c r="CJ1256" s="276"/>
      <c r="CK1256" s="276"/>
      <c r="CL1256" s="276"/>
      <c r="CM1256" s="276"/>
      <c r="CN1256" s="276"/>
      <c r="CO1256" s="276"/>
      <c r="CP1256" s="276"/>
      <c r="CQ1256" s="276"/>
      <c r="CU1256" s="276"/>
    </row>
    <row r="1257" spans="75:99" ht="15.75">
      <c r="BW1257" s="276"/>
      <c r="BY1257" s="276"/>
      <c r="BZ1257" s="276"/>
      <c r="CA1257" s="276"/>
      <c r="CB1257" s="276"/>
      <c r="CC1257" s="276"/>
      <c r="CD1257" s="276"/>
      <c r="CH1257" s="276"/>
      <c r="CJ1257" s="276"/>
      <c r="CK1257" s="276"/>
      <c r="CL1257" s="276"/>
      <c r="CM1257" s="276"/>
      <c r="CN1257" s="276"/>
      <c r="CO1257" s="276"/>
      <c r="CP1257" s="276"/>
      <c r="CQ1257" s="276"/>
      <c r="CU1257" s="276"/>
    </row>
    <row r="1258" spans="75:99" ht="15.75">
      <c r="BW1258" s="276"/>
      <c r="BY1258" s="276"/>
      <c r="BZ1258" s="276"/>
      <c r="CA1258" s="276"/>
      <c r="CB1258" s="276"/>
      <c r="CC1258" s="276"/>
      <c r="CD1258" s="276"/>
      <c r="CH1258" s="276"/>
      <c r="CJ1258" s="276"/>
      <c r="CK1258" s="276"/>
      <c r="CL1258" s="276"/>
      <c r="CM1258" s="276"/>
      <c r="CN1258" s="276"/>
      <c r="CO1258" s="276"/>
      <c r="CP1258" s="276"/>
      <c r="CQ1258" s="276"/>
      <c r="CU1258" s="276"/>
    </row>
    <row r="1259" spans="75:99" ht="15.75">
      <c r="BW1259" s="276"/>
      <c r="BY1259" s="276"/>
      <c r="BZ1259" s="276"/>
      <c r="CA1259" s="276"/>
      <c r="CB1259" s="276"/>
      <c r="CC1259" s="276"/>
      <c r="CD1259" s="276"/>
      <c r="CH1259" s="276"/>
      <c r="CJ1259" s="276"/>
      <c r="CK1259" s="276"/>
      <c r="CL1259" s="276"/>
      <c r="CM1259" s="276"/>
      <c r="CN1259" s="276"/>
      <c r="CO1259" s="276"/>
      <c r="CP1259" s="276"/>
      <c r="CQ1259" s="276"/>
      <c r="CU1259" s="276"/>
    </row>
    <row r="1260" spans="75:99" ht="15.75">
      <c r="BW1260" s="276"/>
      <c r="BY1260" s="276"/>
      <c r="BZ1260" s="276"/>
      <c r="CA1260" s="276"/>
      <c r="CB1260" s="276"/>
      <c r="CC1260" s="276"/>
      <c r="CD1260" s="276"/>
      <c r="CH1260" s="276"/>
      <c r="CJ1260" s="276"/>
      <c r="CK1260" s="276"/>
      <c r="CL1260" s="276"/>
      <c r="CM1260" s="276"/>
      <c r="CN1260" s="276"/>
      <c r="CO1260" s="276"/>
      <c r="CP1260" s="276"/>
      <c r="CQ1260" s="276"/>
      <c r="CU1260" s="276"/>
    </row>
    <row r="1261" spans="75:99" ht="15.75">
      <c r="BW1261" s="276"/>
      <c r="BY1261" s="276"/>
      <c r="BZ1261" s="276"/>
      <c r="CA1261" s="276"/>
      <c r="CB1261" s="276"/>
      <c r="CC1261" s="276"/>
      <c r="CD1261" s="276"/>
      <c r="CH1261" s="276"/>
      <c r="CJ1261" s="276"/>
      <c r="CK1261" s="276"/>
      <c r="CL1261" s="276"/>
      <c r="CM1261" s="276"/>
      <c r="CN1261" s="276"/>
      <c r="CO1261" s="276"/>
      <c r="CP1261" s="276"/>
      <c r="CQ1261" s="276"/>
      <c r="CU1261" s="276"/>
    </row>
    <row r="1262" spans="75:99" ht="15.75">
      <c r="BW1262" s="276"/>
      <c r="BY1262" s="276"/>
      <c r="BZ1262" s="276"/>
      <c r="CA1262" s="276"/>
      <c r="CB1262" s="276"/>
      <c r="CC1262" s="276"/>
      <c r="CD1262" s="276"/>
      <c r="CH1262" s="276"/>
      <c r="CJ1262" s="276"/>
      <c r="CK1262" s="276"/>
      <c r="CL1262" s="276"/>
      <c r="CM1262" s="276"/>
      <c r="CN1262" s="276"/>
      <c r="CO1262" s="276"/>
      <c r="CP1262" s="276"/>
      <c r="CQ1262" s="276"/>
      <c r="CU1262" s="276"/>
    </row>
    <row r="1263" spans="75:99" ht="15.75">
      <c r="BW1263" s="276"/>
      <c r="BY1263" s="276"/>
      <c r="BZ1263" s="276"/>
      <c r="CA1263" s="276"/>
      <c r="CB1263" s="276"/>
      <c r="CC1263" s="276"/>
      <c r="CD1263" s="276"/>
      <c r="CH1263" s="276"/>
      <c r="CJ1263" s="276"/>
      <c r="CK1263" s="276"/>
      <c r="CL1263" s="276"/>
      <c r="CM1263" s="276"/>
      <c r="CN1263" s="276"/>
      <c r="CO1263" s="276"/>
      <c r="CP1263" s="276"/>
      <c r="CQ1263" s="276"/>
      <c r="CU1263" s="276"/>
    </row>
    <row r="1264" spans="75:99" ht="15.75">
      <c r="BW1264" s="276"/>
      <c r="BY1264" s="276"/>
      <c r="BZ1264" s="276"/>
      <c r="CA1264" s="276"/>
      <c r="CB1264" s="276"/>
      <c r="CC1264" s="276"/>
      <c r="CD1264" s="276"/>
      <c r="CH1264" s="276"/>
      <c r="CJ1264" s="276"/>
      <c r="CK1264" s="276"/>
      <c r="CL1264" s="276"/>
      <c r="CM1264" s="276"/>
      <c r="CN1264" s="276"/>
      <c r="CO1264" s="276"/>
      <c r="CP1264" s="276"/>
      <c r="CQ1264" s="276"/>
      <c r="CU1264" s="276"/>
    </row>
    <row r="1265" spans="75:99" ht="15.75">
      <c r="BW1265" s="276"/>
      <c r="BY1265" s="276"/>
      <c r="BZ1265" s="276"/>
      <c r="CA1265" s="276"/>
      <c r="CB1265" s="276"/>
      <c r="CC1265" s="276"/>
      <c r="CD1265" s="276"/>
      <c r="CH1265" s="276"/>
      <c r="CJ1265" s="276"/>
      <c r="CK1265" s="276"/>
      <c r="CL1265" s="276"/>
      <c r="CM1265" s="276"/>
      <c r="CN1265" s="276"/>
      <c r="CO1265" s="276"/>
      <c r="CP1265" s="276"/>
      <c r="CQ1265" s="276"/>
      <c r="CU1265" s="276"/>
    </row>
    <row r="1266" spans="75:99" ht="15.75">
      <c r="BW1266" s="276"/>
      <c r="BY1266" s="276"/>
      <c r="BZ1266" s="276"/>
      <c r="CA1266" s="276"/>
      <c r="CB1266" s="276"/>
      <c r="CC1266" s="276"/>
      <c r="CD1266" s="276"/>
      <c r="CH1266" s="276"/>
      <c r="CJ1266" s="276"/>
      <c r="CK1266" s="276"/>
      <c r="CL1266" s="276"/>
      <c r="CM1266" s="276"/>
      <c r="CN1266" s="276"/>
      <c r="CO1266" s="276"/>
      <c r="CP1266" s="276"/>
      <c r="CQ1266" s="276"/>
      <c r="CU1266" s="276"/>
    </row>
    <row r="1267" spans="75:99" ht="15.75">
      <c r="BW1267" s="276"/>
      <c r="BY1267" s="276"/>
      <c r="BZ1267" s="276"/>
      <c r="CA1267" s="276"/>
      <c r="CB1267" s="276"/>
      <c r="CC1267" s="276"/>
      <c r="CD1267" s="276"/>
      <c r="CH1267" s="276"/>
      <c r="CJ1267" s="276"/>
      <c r="CK1267" s="276"/>
      <c r="CL1267" s="276"/>
      <c r="CM1267" s="276"/>
      <c r="CN1267" s="276"/>
      <c r="CO1267" s="276"/>
      <c r="CP1267" s="276"/>
      <c r="CQ1267" s="276"/>
      <c r="CU1267" s="276"/>
    </row>
    <row r="1268" spans="75:99" ht="15.75">
      <c r="BW1268" s="276"/>
      <c r="BY1268" s="276"/>
      <c r="BZ1268" s="276"/>
      <c r="CA1268" s="276"/>
      <c r="CB1268" s="276"/>
      <c r="CC1268" s="276"/>
      <c r="CD1268" s="276"/>
      <c r="CH1268" s="276"/>
      <c r="CJ1268" s="276"/>
      <c r="CK1268" s="276"/>
      <c r="CL1268" s="276"/>
      <c r="CM1268" s="276"/>
      <c r="CN1268" s="276"/>
      <c r="CO1268" s="276"/>
      <c r="CP1268" s="276"/>
      <c r="CQ1268" s="276"/>
      <c r="CU1268" s="276"/>
    </row>
    <row r="1269" spans="75:99" ht="15.75">
      <c r="BW1269" s="276"/>
      <c r="BY1269" s="276"/>
      <c r="BZ1269" s="276"/>
      <c r="CA1269" s="276"/>
      <c r="CB1269" s="276"/>
      <c r="CC1269" s="276"/>
      <c r="CD1269" s="276"/>
      <c r="CH1269" s="276"/>
      <c r="CJ1269" s="276"/>
      <c r="CK1269" s="276"/>
      <c r="CL1269" s="276"/>
      <c r="CM1269" s="276"/>
      <c r="CN1269" s="276"/>
      <c r="CO1269" s="276"/>
      <c r="CP1269" s="276"/>
      <c r="CQ1269" s="276"/>
      <c r="CU1269" s="276"/>
    </row>
    <row r="1270" spans="75:99" ht="15.75">
      <c r="BW1270" s="276"/>
      <c r="BY1270" s="276"/>
      <c r="BZ1270" s="276"/>
      <c r="CA1270" s="276"/>
      <c r="CB1270" s="276"/>
      <c r="CC1270" s="276"/>
      <c r="CD1270" s="276"/>
      <c r="CH1270" s="276"/>
      <c r="CJ1270" s="276"/>
      <c r="CK1270" s="276"/>
      <c r="CL1270" s="276"/>
      <c r="CM1270" s="276"/>
      <c r="CN1270" s="276"/>
      <c r="CO1270" s="276"/>
      <c r="CP1270" s="276"/>
      <c r="CQ1270" s="276"/>
      <c r="CU1270" s="276"/>
    </row>
    <row r="1271" spans="75:99" ht="15.75">
      <c r="BW1271" s="276"/>
      <c r="BY1271" s="276"/>
      <c r="BZ1271" s="276"/>
      <c r="CA1271" s="276"/>
      <c r="CB1271" s="276"/>
      <c r="CC1271" s="276"/>
      <c r="CD1271" s="276"/>
      <c r="CH1271" s="276"/>
      <c r="CJ1271" s="276"/>
      <c r="CK1271" s="276"/>
      <c r="CL1271" s="276"/>
      <c r="CM1271" s="276"/>
      <c r="CN1271" s="276"/>
      <c r="CO1271" s="276"/>
      <c r="CP1271" s="276"/>
      <c r="CQ1271" s="276"/>
      <c r="CU1271" s="276"/>
    </row>
    <row r="1272" spans="75:99" ht="15.75">
      <c r="BW1272" s="276"/>
      <c r="BY1272" s="276"/>
      <c r="BZ1272" s="276"/>
      <c r="CA1272" s="276"/>
      <c r="CB1272" s="276"/>
      <c r="CC1272" s="276"/>
      <c r="CD1272" s="276"/>
      <c r="CH1272" s="276"/>
      <c r="CJ1272" s="276"/>
      <c r="CK1272" s="276"/>
      <c r="CL1272" s="276"/>
      <c r="CM1272" s="276"/>
      <c r="CN1272" s="276"/>
      <c r="CO1272" s="276"/>
      <c r="CP1272" s="276"/>
      <c r="CQ1272" s="276"/>
      <c r="CU1272" s="276"/>
    </row>
    <row r="1273" spans="75:99" ht="15.75">
      <c r="BW1273" s="276"/>
      <c r="BY1273" s="276"/>
      <c r="BZ1273" s="276"/>
      <c r="CA1273" s="276"/>
      <c r="CB1273" s="276"/>
      <c r="CC1273" s="276"/>
      <c r="CD1273" s="276"/>
      <c r="CH1273" s="276"/>
      <c r="CJ1273" s="276"/>
      <c r="CK1273" s="276"/>
      <c r="CL1273" s="276"/>
      <c r="CM1273" s="276"/>
      <c r="CN1273" s="276"/>
      <c r="CO1273" s="276"/>
      <c r="CP1273" s="276"/>
      <c r="CQ1273" s="276"/>
      <c r="CU1273" s="276"/>
    </row>
    <row r="1274" spans="75:99" ht="15.75">
      <c r="BW1274" s="276"/>
      <c r="BY1274" s="276"/>
      <c r="BZ1274" s="276"/>
      <c r="CA1274" s="276"/>
      <c r="CB1274" s="276"/>
      <c r="CC1274" s="276"/>
      <c r="CD1274" s="276"/>
      <c r="CH1274" s="276"/>
      <c r="CJ1274" s="276"/>
      <c r="CK1274" s="276"/>
      <c r="CL1274" s="276"/>
      <c r="CM1274" s="276"/>
      <c r="CN1274" s="276"/>
      <c r="CO1274" s="276"/>
      <c r="CP1274" s="276"/>
      <c r="CQ1274" s="276"/>
      <c r="CU1274" s="276"/>
    </row>
    <row r="1275" spans="75:99" ht="15.75">
      <c r="BW1275" s="276"/>
      <c r="BY1275" s="276"/>
      <c r="BZ1275" s="276"/>
      <c r="CA1275" s="276"/>
      <c r="CB1275" s="276"/>
      <c r="CC1275" s="276"/>
      <c r="CD1275" s="276"/>
      <c r="CH1275" s="276"/>
      <c r="CJ1275" s="276"/>
      <c r="CK1275" s="276"/>
      <c r="CL1275" s="276"/>
      <c r="CM1275" s="276"/>
      <c r="CN1275" s="276"/>
      <c r="CO1275" s="276"/>
      <c r="CP1275" s="276"/>
      <c r="CQ1275" s="276"/>
      <c r="CU1275" s="276"/>
    </row>
    <row r="1276" spans="75:99" ht="15.75">
      <c r="BW1276" s="276"/>
      <c r="BY1276" s="276"/>
      <c r="BZ1276" s="276"/>
      <c r="CA1276" s="276"/>
      <c r="CB1276" s="276"/>
      <c r="CC1276" s="276"/>
      <c r="CD1276" s="276"/>
      <c r="CH1276" s="276"/>
      <c r="CJ1276" s="276"/>
      <c r="CK1276" s="276"/>
      <c r="CL1276" s="276"/>
      <c r="CM1276" s="276"/>
      <c r="CN1276" s="276"/>
      <c r="CO1276" s="276"/>
      <c r="CP1276" s="276"/>
      <c r="CQ1276" s="276"/>
      <c r="CU1276" s="276"/>
    </row>
    <row r="1277" spans="75:99" ht="15.75">
      <c r="BW1277" s="276"/>
      <c r="BY1277" s="276"/>
      <c r="BZ1277" s="276"/>
      <c r="CA1277" s="276"/>
      <c r="CB1277" s="276"/>
      <c r="CC1277" s="276"/>
      <c r="CD1277" s="276"/>
      <c r="CH1277" s="276"/>
      <c r="CJ1277" s="276"/>
      <c r="CK1277" s="276"/>
      <c r="CL1277" s="276"/>
      <c r="CM1277" s="276"/>
      <c r="CN1277" s="276"/>
      <c r="CO1277" s="276"/>
      <c r="CP1277" s="276"/>
      <c r="CQ1277" s="276"/>
      <c r="CU1277" s="276"/>
    </row>
    <row r="1278" spans="75:99" ht="15.75">
      <c r="BW1278" s="276"/>
      <c r="BY1278" s="276"/>
      <c r="BZ1278" s="276"/>
      <c r="CA1278" s="276"/>
      <c r="CB1278" s="276"/>
      <c r="CC1278" s="276"/>
      <c r="CD1278" s="276"/>
      <c r="CH1278" s="276"/>
      <c r="CJ1278" s="276"/>
      <c r="CK1278" s="276"/>
      <c r="CL1278" s="276"/>
      <c r="CM1278" s="276"/>
      <c r="CN1278" s="276"/>
      <c r="CO1278" s="276"/>
      <c r="CP1278" s="276"/>
      <c r="CQ1278" s="276"/>
      <c r="CU1278" s="276"/>
    </row>
    <row r="1279" spans="75:99" ht="15.75">
      <c r="BW1279" s="276"/>
      <c r="BY1279" s="276"/>
      <c r="BZ1279" s="276"/>
      <c r="CA1279" s="276"/>
      <c r="CB1279" s="276"/>
      <c r="CC1279" s="276"/>
      <c r="CD1279" s="276"/>
      <c r="CH1279" s="276"/>
      <c r="CJ1279" s="276"/>
      <c r="CK1279" s="276"/>
      <c r="CL1279" s="276"/>
      <c r="CM1279" s="276"/>
      <c r="CN1279" s="276"/>
      <c r="CO1279" s="276"/>
      <c r="CP1279" s="276"/>
      <c r="CQ1279" s="276"/>
      <c r="CU1279" s="276"/>
    </row>
    <row r="1280" spans="75:99" ht="15.75">
      <c r="BW1280" s="276"/>
      <c r="BY1280" s="276"/>
      <c r="BZ1280" s="276"/>
      <c r="CA1280" s="276"/>
      <c r="CB1280" s="276"/>
      <c r="CC1280" s="276"/>
      <c r="CD1280" s="276"/>
      <c r="CH1280" s="276"/>
      <c r="CJ1280" s="276"/>
      <c r="CK1280" s="276"/>
      <c r="CL1280" s="276"/>
      <c r="CM1280" s="276"/>
      <c r="CN1280" s="276"/>
      <c r="CO1280" s="276"/>
      <c r="CP1280" s="276"/>
      <c r="CQ1280" s="276"/>
      <c r="CU1280" s="276"/>
    </row>
    <row r="1281" spans="75:99" ht="15.75">
      <c r="BW1281" s="276"/>
      <c r="BY1281" s="276"/>
      <c r="BZ1281" s="276"/>
      <c r="CA1281" s="276"/>
      <c r="CB1281" s="276"/>
      <c r="CC1281" s="276"/>
      <c r="CD1281" s="276"/>
      <c r="CH1281" s="276"/>
      <c r="CJ1281" s="276"/>
      <c r="CK1281" s="276"/>
      <c r="CL1281" s="276"/>
      <c r="CM1281" s="276"/>
      <c r="CN1281" s="276"/>
      <c r="CO1281" s="276"/>
      <c r="CP1281" s="276"/>
      <c r="CQ1281" s="276"/>
      <c r="CU1281" s="276"/>
    </row>
    <row r="1282" spans="75:99" ht="15.75">
      <c r="BW1282" s="276"/>
      <c r="BY1282" s="276"/>
      <c r="BZ1282" s="276"/>
      <c r="CA1282" s="276"/>
      <c r="CB1282" s="276"/>
      <c r="CC1282" s="276"/>
      <c r="CD1282" s="276"/>
      <c r="CH1282" s="276"/>
      <c r="CJ1282" s="276"/>
      <c r="CK1282" s="276"/>
      <c r="CL1282" s="276"/>
      <c r="CM1282" s="276"/>
      <c r="CN1282" s="276"/>
      <c r="CO1282" s="276"/>
      <c r="CP1282" s="276"/>
      <c r="CQ1282" s="276"/>
      <c r="CU1282" s="276"/>
    </row>
    <row r="1283" spans="75:99" ht="15.75">
      <c r="BW1283" s="276"/>
      <c r="BY1283" s="276"/>
      <c r="BZ1283" s="276"/>
      <c r="CA1283" s="276"/>
      <c r="CB1283" s="276"/>
      <c r="CC1283" s="276"/>
      <c r="CD1283" s="276"/>
      <c r="CH1283" s="276"/>
      <c r="CJ1283" s="276"/>
      <c r="CK1283" s="276"/>
      <c r="CL1283" s="276"/>
      <c r="CM1283" s="276"/>
      <c r="CN1283" s="276"/>
      <c r="CO1283" s="276"/>
      <c r="CP1283" s="276"/>
      <c r="CQ1283" s="276"/>
      <c r="CU1283" s="276"/>
    </row>
    <row r="1284" spans="75:99" ht="15.75">
      <c r="BW1284" s="276"/>
      <c r="BY1284" s="276"/>
      <c r="BZ1284" s="276"/>
      <c r="CA1284" s="276"/>
      <c r="CB1284" s="276"/>
      <c r="CC1284" s="276"/>
      <c r="CD1284" s="276"/>
      <c r="CH1284" s="276"/>
      <c r="CJ1284" s="276"/>
      <c r="CK1284" s="276"/>
      <c r="CL1284" s="276"/>
      <c r="CM1284" s="276"/>
      <c r="CN1284" s="276"/>
      <c r="CO1284" s="276"/>
      <c r="CP1284" s="276"/>
      <c r="CQ1284" s="276"/>
      <c r="CU1284" s="276"/>
    </row>
    <row r="1285" spans="75:99" ht="15.75">
      <c r="BW1285" s="276"/>
      <c r="BY1285" s="276"/>
      <c r="BZ1285" s="276"/>
      <c r="CA1285" s="276"/>
      <c r="CB1285" s="276"/>
      <c r="CC1285" s="276"/>
      <c r="CD1285" s="276"/>
      <c r="CH1285" s="276"/>
      <c r="CJ1285" s="276"/>
      <c r="CK1285" s="276"/>
      <c r="CL1285" s="276"/>
      <c r="CM1285" s="276"/>
      <c r="CN1285" s="276"/>
      <c r="CO1285" s="276"/>
      <c r="CP1285" s="276"/>
      <c r="CQ1285" s="276"/>
      <c r="CU1285" s="276"/>
    </row>
    <row r="1286" spans="75:99" ht="15.75">
      <c r="BW1286" s="276"/>
      <c r="BY1286" s="276"/>
      <c r="BZ1286" s="276"/>
      <c r="CA1286" s="276"/>
      <c r="CB1286" s="276"/>
      <c r="CC1286" s="276"/>
      <c r="CD1286" s="276"/>
      <c r="CH1286" s="276"/>
      <c r="CJ1286" s="276"/>
      <c r="CK1286" s="276"/>
      <c r="CL1286" s="276"/>
      <c r="CM1286" s="276"/>
      <c r="CN1286" s="276"/>
      <c r="CO1286" s="276"/>
      <c r="CP1286" s="276"/>
      <c r="CQ1286" s="276"/>
      <c r="CU1286" s="276"/>
    </row>
    <row r="1287" spans="75:99" ht="15.75">
      <c r="BW1287" s="276"/>
      <c r="BY1287" s="276"/>
      <c r="BZ1287" s="276"/>
      <c r="CA1287" s="276"/>
      <c r="CB1287" s="276"/>
      <c r="CC1287" s="276"/>
      <c r="CD1287" s="276"/>
      <c r="CH1287" s="276"/>
      <c r="CJ1287" s="276"/>
      <c r="CK1287" s="276"/>
      <c r="CL1287" s="276"/>
      <c r="CM1287" s="276"/>
      <c r="CN1287" s="276"/>
      <c r="CO1287" s="276"/>
      <c r="CP1287" s="276"/>
      <c r="CQ1287" s="276"/>
      <c r="CU1287" s="276"/>
    </row>
    <row r="1288" spans="75:99" ht="15.75">
      <c r="BW1288" s="276"/>
      <c r="BY1288" s="276"/>
      <c r="BZ1288" s="276"/>
      <c r="CA1288" s="276"/>
      <c r="CB1288" s="276"/>
      <c r="CC1288" s="276"/>
      <c r="CD1288" s="276"/>
      <c r="CH1288" s="276"/>
      <c r="CJ1288" s="276"/>
      <c r="CK1288" s="276"/>
      <c r="CL1288" s="276"/>
      <c r="CM1288" s="276"/>
      <c r="CN1288" s="276"/>
      <c r="CO1288" s="276"/>
      <c r="CP1288" s="276"/>
      <c r="CQ1288" s="276"/>
      <c r="CU1288" s="276"/>
    </row>
    <row r="1289" spans="75:99" ht="15.75">
      <c r="BW1289" s="276"/>
      <c r="BY1289" s="276"/>
      <c r="BZ1289" s="276"/>
      <c r="CA1289" s="276"/>
      <c r="CB1289" s="276"/>
      <c r="CC1289" s="276"/>
      <c r="CD1289" s="276"/>
      <c r="CH1289" s="276"/>
      <c r="CJ1289" s="276"/>
      <c r="CK1289" s="276"/>
      <c r="CL1289" s="276"/>
      <c r="CM1289" s="276"/>
      <c r="CN1289" s="276"/>
      <c r="CO1289" s="276"/>
      <c r="CP1289" s="276"/>
      <c r="CQ1289" s="276"/>
      <c r="CU1289" s="276"/>
    </row>
    <row r="1290" spans="75:99" ht="15.75">
      <c r="BW1290" s="276"/>
      <c r="BY1290" s="276"/>
      <c r="BZ1290" s="276"/>
      <c r="CA1290" s="276"/>
      <c r="CB1290" s="276"/>
      <c r="CC1290" s="276"/>
      <c r="CD1290" s="276"/>
      <c r="CH1290" s="276"/>
      <c r="CJ1290" s="276"/>
      <c r="CK1290" s="276"/>
      <c r="CL1290" s="276"/>
      <c r="CM1290" s="276"/>
      <c r="CN1290" s="276"/>
      <c r="CO1290" s="276"/>
      <c r="CP1290" s="276"/>
      <c r="CQ1290" s="276"/>
      <c r="CU1290" s="276"/>
    </row>
    <row r="1291" spans="75:99" ht="15.75">
      <c r="BW1291" s="276"/>
      <c r="BY1291" s="276"/>
      <c r="BZ1291" s="276"/>
      <c r="CA1291" s="276"/>
      <c r="CB1291" s="276"/>
      <c r="CC1291" s="276"/>
      <c r="CD1291" s="276"/>
      <c r="CH1291" s="276"/>
      <c r="CJ1291" s="276"/>
      <c r="CK1291" s="276"/>
      <c r="CL1291" s="276"/>
      <c r="CM1291" s="276"/>
      <c r="CN1291" s="276"/>
      <c r="CO1291" s="276"/>
      <c r="CP1291" s="276"/>
      <c r="CQ1291" s="276"/>
      <c r="CU1291" s="276"/>
    </row>
    <row r="1292" spans="75:99" ht="15.75">
      <c r="BW1292" s="276"/>
      <c r="BY1292" s="276"/>
      <c r="BZ1292" s="276"/>
      <c r="CA1292" s="276"/>
      <c r="CB1292" s="276"/>
      <c r="CC1292" s="276"/>
      <c r="CD1292" s="276"/>
      <c r="CH1292" s="276"/>
      <c r="CJ1292" s="276"/>
      <c r="CK1292" s="276"/>
      <c r="CL1292" s="276"/>
      <c r="CM1292" s="276"/>
      <c r="CN1292" s="276"/>
      <c r="CO1292" s="276"/>
      <c r="CP1292" s="276"/>
      <c r="CQ1292" s="276"/>
      <c r="CU1292" s="276"/>
    </row>
    <row r="1293" spans="75:99" ht="15.75">
      <c r="BW1293" s="276"/>
      <c r="BY1293" s="276"/>
      <c r="BZ1293" s="276"/>
      <c r="CA1293" s="276"/>
      <c r="CB1293" s="276"/>
      <c r="CC1293" s="276"/>
      <c r="CD1293" s="276"/>
      <c r="CH1293" s="276"/>
      <c r="CJ1293" s="276"/>
      <c r="CK1293" s="276"/>
      <c r="CL1293" s="276"/>
      <c r="CM1293" s="276"/>
      <c r="CN1293" s="276"/>
      <c r="CO1293" s="276"/>
      <c r="CP1293" s="276"/>
      <c r="CQ1293" s="276"/>
      <c r="CU1293" s="276"/>
    </row>
    <row r="1294" spans="75:99" ht="15.75">
      <c r="BW1294" s="276"/>
      <c r="BY1294" s="276"/>
      <c r="BZ1294" s="276"/>
      <c r="CA1294" s="276"/>
      <c r="CB1294" s="276"/>
      <c r="CC1294" s="276"/>
      <c r="CD1294" s="276"/>
      <c r="CH1294" s="276"/>
      <c r="CJ1294" s="276"/>
      <c r="CK1294" s="276"/>
      <c r="CL1294" s="276"/>
      <c r="CM1294" s="276"/>
      <c r="CN1294" s="276"/>
      <c r="CO1294" s="276"/>
      <c r="CP1294" s="276"/>
      <c r="CQ1294" s="276"/>
      <c r="CU1294" s="276"/>
    </row>
    <row r="1295" spans="75:99" ht="15.75">
      <c r="BW1295" s="276"/>
      <c r="BY1295" s="276"/>
      <c r="BZ1295" s="276"/>
      <c r="CA1295" s="276"/>
      <c r="CB1295" s="276"/>
      <c r="CC1295" s="276"/>
      <c r="CD1295" s="276"/>
      <c r="CH1295" s="276"/>
      <c r="CJ1295" s="276"/>
      <c r="CK1295" s="276"/>
      <c r="CL1295" s="276"/>
      <c r="CM1295" s="276"/>
      <c r="CN1295" s="276"/>
      <c r="CO1295" s="276"/>
      <c r="CP1295" s="276"/>
      <c r="CQ1295" s="276"/>
      <c r="CU1295" s="276"/>
    </row>
    <row r="1296" spans="75:99" ht="15.75">
      <c r="BW1296" s="276"/>
      <c r="BY1296" s="276"/>
      <c r="BZ1296" s="276"/>
      <c r="CA1296" s="276"/>
      <c r="CB1296" s="276"/>
      <c r="CC1296" s="276"/>
      <c r="CD1296" s="276"/>
      <c r="CH1296" s="276"/>
      <c r="CJ1296" s="276"/>
      <c r="CK1296" s="276"/>
      <c r="CL1296" s="276"/>
      <c r="CM1296" s="276"/>
      <c r="CN1296" s="276"/>
      <c r="CO1296" s="276"/>
      <c r="CP1296" s="276"/>
      <c r="CQ1296" s="276"/>
      <c r="CU1296" s="276"/>
    </row>
    <row r="1297" spans="75:99" ht="15.75">
      <c r="BW1297" s="276"/>
      <c r="BY1297" s="276"/>
      <c r="BZ1297" s="276"/>
      <c r="CA1297" s="276"/>
      <c r="CB1297" s="276"/>
      <c r="CC1297" s="276"/>
      <c r="CD1297" s="276"/>
      <c r="CH1297" s="276"/>
      <c r="CJ1297" s="276"/>
      <c r="CK1297" s="276"/>
      <c r="CL1297" s="276"/>
      <c r="CM1297" s="276"/>
      <c r="CN1297" s="276"/>
      <c r="CO1297" s="276"/>
      <c r="CP1297" s="276"/>
      <c r="CQ1297" s="276"/>
      <c r="CU1297" s="276"/>
    </row>
    <row r="1298" spans="75:99" ht="15.75">
      <c r="BW1298" s="276"/>
      <c r="BY1298" s="276"/>
      <c r="BZ1298" s="276"/>
      <c r="CA1298" s="276"/>
      <c r="CB1298" s="276"/>
      <c r="CC1298" s="276"/>
      <c r="CD1298" s="276"/>
      <c r="CH1298" s="276"/>
      <c r="CJ1298" s="276"/>
      <c r="CK1298" s="276"/>
      <c r="CL1298" s="276"/>
      <c r="CM1298" s="276"/>
      <c r="CN1298" s="276"/>
      <c r="CO1298" s="276"/>
      <c r="CP1298" s="276"/>
      <c r="CQ1298" s="276"/>
      <c r="CU1298" s="276"/>
    </row>
    <row r="1299" spans="75:99" ht="15.75">
      <c r="BW1299" s="276"/>
      <c r="BY1299" s="276"/>
      <c r="BZ1299" s="276"/>
      <c r="CA1299" s="276"/>
      <c r="CB1299" s="276"/>
      <c r="CC1299" s="276"/>
      <c r="CD1299" s="276"/>
      <c r="CH1299" s="276"/>
      <c r="CJ1299" s="276"/>
      <c r="CK1299" s="276"/>
      <c r="CL1299" s="276"/>
      <c r="CM1299" s="276"/>
      <c r="CN1299" s="276"/>
      <c r="CO1299" s="276"/>
      <c r="CP1299" s="276"/>
      <c r="CQ1299" s="276"/>
      <c r="CU1299" s="276"/>
    </row>
    <row r="1300" spans="75:99" ht="15.75">
      <c r="BW1300" s="276"/>
      <c r="BY1300" s="276"/>
      <c r="BZ1300" s="276"/>
      <c r="CA1300" s="276"/>
      <c r="CB1300" s="276"/>
      <c r="CC1300" s="276"/>
      <c r="CD1300" s="276"/>
      <c r="CH1300" s="276"/>
      <c r="CJ1300" s="276"/>
      <c r="CK1300" s="276"/>
      <c r="CL1300" s="276"/>
      <c r="CM1300" s="276"/>
      <c r="CN1300" s="276"/>
      <c r="CO1300" s="276"/>
      <c r="CP1300" s="276"/>
      <c r="CQ1300" s="276"/>
      <c r="CU1300" s="276"/>
    </row>
    <row r="1301" spans="75:99" ht="15.75">
      <c r="BW1301" s="276"/>
      <c r="BY1301" s="276"/>
      <c r="BZ1301" s="276"/>
      <c r="CA1301" s="276"/>
      <c r="CB1301" s="276"/>
      <c r="CC1301" s="276"/>
      <c r="CD1301" s="276"/>
      <c r="CH1301" s="276"/>
      <c r="CJ1301" s="276"/>
      <c r="CK1301" s="276"/>
      <c r="CL1301" s="276"/>
      <c r="CM1301" s="276"/>
      <c r="CN1301" s="276"/>
      <c r="CO1301" s="276"/>
      <c r="CP1301" s="276"/>
      <c r="CQ1301" s="276"/>
      <c r="CU1301" s="276"/>
    </row>
    <row r="1302" spans="75:99" ht="15.75">
      <c r="BW1302" s="276"/>
      <c r="BY1302" s="276"/>
      <c r="BZ1302" s="276"/>
      <c r="CA1302" s="276"/>
      <c r="CB1302" s="276"/>
      <c r="CC1302" s="276"/>
      <c r="CD1302" s="276"/>
      <c r="CH1302" s="276"/>
      <c r="CJ1302" s="276"/>
      <c r="CK1302" s="276"/>
      <c r="CL1302" s="276"/>
      <c r="CM1302" s="276"/>
      <c r="CN1302" s="276"/>
      <c r="CO1302" s="276"/>
      <c r="CP1302" s="276"/>
      <c r="CQ1302" s="276"/>
      <c r="CU1302" s="276"/>
    </row>
    <row r="1303" spans="75:99" ht="15.75">
      <c r="BW1303" s="276"/>
      <c r="BY1303" s="276"/>
      <c r="BZ1303" s="276"/>
      <c r="CA1303" s="276"/>
      <c r="CB1303" s="276"/>
      <c r="CC1303" s="276"/>
      <c r="CD1303" s="276"/>
      <c r="CH1303" s="276"/>
      <c r="CJ1303" s="276"/>
      <c r="CK1303" s="276"/>
      <c r="CL1303" s="276"/>
      <c r="CM1303" s="276"/>
      <c r="CN1303" s="276"/>
      <c r="CO1303" s="276"/>
      <c r="CP1303" s="276"/>
      <c r="CQ1303" s="276"/>
      <c r="CU1303" s="276"/>
    </row>
    <row r="1304" spans="75:99" ht="15.75">
      <c r="BW1304" s="276"/>
      <c r="BY1304" s="276"/>
      <c r="BZ1304" s="276"/>
      <c r="CA1304" s="276"/>
      <c r="CB1304" s="276"/>
      <c r="CC1304" s="276"/>
      <c r="CD1304" s="276"/>
      <c r="CH1304" s="276"/>
      <c r="CJ1304" s="276"/>
      <c r="CK1304" s="276"/>
      <c r="CL1304" s="276"/>
      <c r="CM1304" s="276"/>
      <c r="CN1304" s="276"/>
      <c r="CO1304" s="276"/>
      <c r="CP1304" s="276"/>
      <c r="CQ1304" s="276"/>
      <c r="CU1304" s="276"/>
    </row>
    <row r="1305" spans="75:99" ht="15.75">
      <c r="BW1305" s="276"/>
      <c r="BY1305" s="276"/>
      <c r="BZ1305" s="276"/>
      <c r="CA1305" s="276"/>
      <c r="CB1305" s="276"/>
      <c r="CC1305" s="276"/>
      <c r="CD1305" s="276"/>
      <c r="CH1305" s="276"/>
      <c r="CJ1305" s="276"/>
      <c r="CK1305" s="276"/>
      <c r="CL1305" s="276"/>
      <c r="CM1305" s="276"/>
      <c r="CN1305" s="276"/>
      <c r="CO1305" s="276"/>
      <c r="CP1305" s="276"/>
      <c r="CQ1305" s="276"/>
      <c r="CU1305" s="276"/>
    </row>
    <row r="1306" spans="75:99" ht="15.75">
      <c r="BW1306" s="276"/>
      <c r="BY1306" s="276"/>
      <c r="BZ1306" s="276"/>
      <c r="CA1306" s="276"/>
      <c r="CB1306" s="276"/>
      <c r="CC1306" s="276"/>
      <c r="CD1306" s="276"/>
      <c r="CH1306" s="276"/>
      <c r="CJ1306" s="276"/>
      <c r="CK1306" s="276"/>
      <c r="CL1306" s="276"/>
      <c r="CM1306" s="276"/>
      <c r="CN1306" s="276"/>
      <c r="CO1306" s="276"/>
      <c r="CP1306" s="276"/>
      <c r="CQ1306" s="276"/>
      <c r="CU1306" s="276"/>
    </row>
    <row r="1307" spans="75:99" ht="15.75">
      <c r="BW1307" s="276"/>
      <c r="BY1307" s="276"/>
      <c r="BZ1307" s="276"/>
      <c r="CA1307" s="276"/>
      <c r="CB1307" s="276"/>
      <c r="CC1307" s="276"/>
      <c r="CD1307" s="276"/>
      <c r="CH1307" s="276"/>
      <c r="CJ1307" s="276"/>
      <c r="CK1307" s="276"/>
      <c r="CL1307" s="276"/>
      <c r="CM1307" s="276"/>
      <c r="CN1307" s="276"/>
      <c r="CO1307" s="276"/>
      <c r="CP1307" s="276"/>
      <c r="CQ1307" s="276"/>
      <c r="CU1307" s="276"/>
    </row>
    <row r="1308" spans="75:99" ht="15.75">
      <c r="BW1308" s="276"/>
      <c r="BY1308" s="276"/>
      <c r="BZ1308" s="276"/>
      <c r="CA1308" s="276"/>
      <c r="CB1308" s="276"/>
      <c r="CC1308" s="276"/>
      <c r="CD1308" s="276"/>
      <c r="CH1308" s="276"/>
      <c r="CJ1308" s="276"/>
      <c r="CK1308" s="276"/>
      <c r="CL1308" s="276"/>
      <c r="CM1308" s="276"/>
      <c r="CN1308" s="276"/>
      <c r="CO1308" s="276"/>
      <c r="CP1308" s="276"/>
      <c r="CQ1308" s="276"/>
      <c r="CU1308" s="276"/>
    </row>
    <row r="1309" spans="75:99" ht="15.75">
      <c r="BW1309" s="276"/>
      <c r="BY1309" s="276"/>
      <c r="BZ1309" s="276"/>
      <c r="CA1309" s="276"/>
      <c r="CB1309" s="276"/>
      <c r="CC1309" s="276"/>
      <c r="CD1309" s="276"/>
      <c r="CH1309" s="276"/>
      <c r="CJ1309" s="276"/>
      <c r="CK1309" s="276"/>
      <c r="CL1309" s="276"/>
      <c r="CM1309" s="276"/>
      <c r="CN1309" s="276"/>
      <c r="CO1309" s="276"/>
      <c r="CP1309" s="276"/>
      <c r="CQ1309" s="276"/>
      <c r="CU1309" s="276"/>
    </row>
    <row r="1310" spans="75:99" ht="15.75">
      <c r="BW1310" s="276"/>
      <c r="BY1310" s="276"/>
      <c r="BZ1310" s="276"/>
      <c r="CA1310" s="276"/>
      <c r="CB1310" s="276"/>
      <c r="CC1310" s="276"/>
      <c r="CD1310" s="276"/>
      <c r="CH1310" s="276"/>
      <c r="CJ1310" s="276"/>
      <c r="CK1310" s="276"/>
      <c r="CL1310" s="276"/>
      <c r="CM1310" s="276"/>
      <c r="CN1310" s="276"/>
      <c r="CO1310" s="276"/>
      <c r="CP1310" s="276"/>
      <c r="CQ1310" s="276"/>
      <c r="CU1310" s="276"/>
    </row>
    <row r="1311" spans="75:99" ht="15.75">
      <c r="BW1311" s="276"/>
      <c r="BY1311" s="276"/>
      <c r="BZ1311" s="276"/>
      <c r="CA1311" s="276"/>
      <c r="CB1311" s="276"/>
      <c r="CC1311" s="276"/>
      <c r="CD1311" s="276"/>
      <c r="CH1311" s="276"/>
      <c r="CJ1311" s="276"/>
      <c r="CK1311" s="276"/>
      <c r="CL1311" s="276"/>
      <c r="CM1311" s="276"/>
      <c r="CN1311" s="276"/>
      <c r="CO1311" s="276"/>
      <c r="CP1311" s="276"/>
      <c r="CQ1311" s="276"/>
      <c r="CU1311" s="276"/>
    </row>
    <row r="1312" spans="75:99" ht="15.75">
      <c r="BW1312" s="276"/>
      <c r="BY1312" s="276"/>
      <c r="BZ1312" s="276"/>
      <c r="CA1312" s="276"/>
      <c r="CB1312" s="276"/>
      <c r="CC1312" s="276"/>
      <c r="CD1312" s="276"/>
      <c r="CH1312" s="276"/>
      <c r="CJ1312" s="276"/>
      <c r="CK1312" s="276"/>
      <c r="CL1312" s="276"/>
      <c r="CM1312" s="276"/>
      <c r="CN1312" s="276"/>
      <c r="CO1312" s="276"/>
      <c r="CP1312" s="276"/>
      <c r="CQ1312" s="276"/>
      <c r="CU1312" s="276"/>
    </row>
    <row r="1313" spans="75:99" ht="15.75">
      <c r="BW1313" s="276"/>
      <c r="BY1313" s="276"/>
      <c r="BZ1313" s="276"/>
      <c r="CA1313" s="276"/>
      <c r="CB1313" s="276"/>
      <c r="CC1313" s="276"/>
      <c r="CD1313" s="276"/>
      <c r="CH1313" s="276"/>
      <c r="CJ1313" s="276"/>
      <c r="CK1313" s="276"/>
      <c r="CL1313" s="276"/>
      <c r="CM1313" s="276"/>
      <c r="CN1313" s="276"/>
      <c r="CO1313" s="276"/>
      <c r="CP1313" s="276"/>
      <c r="CQ1313" s="276"/>
      <c r="CU1313" s="276"/>
    </row>
    <row r="1314" spans="75:99" ht="15.75">
      <c r="BW1314" s="276"/>
      <c r="BY1314" s="276"/>
      <c r="BZ1314" s="276"/>
      <c r="CA1314" s="276"/>
      <c r="CB1314" s="276"/>
      <c r="CC1314" s="276"/>
      <c r="CD1314" s="276"/>
      <c r="CH1314" s="276"/>
      <c r="CJ1314" s="276"/>
      <c r="CK1314" s="276"/>
      <c r="CL1314" s="276"/>
      <c r="CM1314" s="276"/>
      <c r="CN1314" s="276"/>
      <c r="CO1314" s="276"/>
      <c r="CP1314" s="276"/>
      <c r="CQ1314" s="276"/>
      <c r="CU1314" s="276"/>
    </row>
    <row r="1315" spans="75:99" ht="15.75">
      <c r="BW1315" s="276"/>
      <c r="BY1315" s="276"/>
      <c r="BZ1315" s="276"/>
      <c r="CA1315" s="276"/>
      <c r="CB1315" s="276"/>
      <c r="CC1315" s="276"/>
      <c r="CD1315" s="276"/>
      <c r="CH1315" s="276"/>
      <c r="CJ1315" s="276"/>
      <c r="CK1315" s="276"/>
      <c r="CL1315" s="276"/>
      <c r="CM1315" s="276"/>
      <c r="CN1315" s="276"/>
      <c r="CO1315" s="276"/>
      <c r="CP1315" s="276"/>
      <c r="CQ1315" s="276"/>
      <c r="CU1315" s="276"/>
    </row>
    <row r="1316" spans="75:99" ht="15.75">
      <c r="BW1316" s="276"/>
      <c r="BY1316" s="276"/>
      <c r="BZ1316" s="276"/>
      <c r="CA1316" s="276"/>
      <c r="CB1316" s="276"/>
      <c r="CC1316" s="276"/>
      <c r="CD1316" s="276"/>
      <c r="CH1316" s="276"/>
      <c r="CJ1316" s="276"/>
      <c r="CK1316" s="276"/>
      <c r="CL1316" s="276"/>
      <c r="CM1316" s="276"/>
      <c r="CN1316" s="276"/>
      <c r="CO1316" s="276"/>
      <c r="CP1316" s="276"/>
      <c r="CQ1316" s="276"/>
      <c r="CU1316" s="276"/>
    </row>
    <row r="1317" spans="75:99" ht="15.75">
      <c r="BW1317" s="276"/>
      <c r="BY1317" s="276"/>
      <c r="BZ1317" s="276"/>
      <c r="CA1317" s="276"/>
      <c r="CB1317" s="276"/>
      <c r="CC1317" s="276"/>
      <c r="CD1317" s="276"/>
      <c r="CH1317" s="276"/>
      <c r="CJ1317" s="276"/>
      <c r="CK1317" s="276"/>
      <c r="CL1317" s="276"/>
      <c r="CM1317" s="276"/>
      <c r="CN1317" s="276"/>
      <c r="CO1317" s="276"/>
      <c r="CP1317" s="276"/>
      <c r="CQ1317" s="276"/>
      <c r="CU1317" s="276"/>
    </row>
    <row r="1318" spans="75:99" ht="15.75">
      <c r="BW1318" s="276"/>
      <c r="BY1318" s="276"/>
      <c r="BZ1318" s="276"/>
      <c r="CA1318" s="276"/>
      <c r="CB1318" s="276"/>
      <c r="CC1318" s="276"/>
      <c r="CD1318" s="276"/>
      <c r="CH1318" s="276"/>
      <c r="CJ1318" s="276"/>
      <c r="CK1318" s="276"/>
      <c r="CL1318" s="276"/>
      <c r="CM1318" s="276"/>
      <c r="CN1318" s="276"/>
      <c r="CO1318" s="276"/>
      <c r="CP1318" s="276"/>
      <c r="CQ1318" s="276"/>
      <c r="CU1318" s="276"/>
    </row>
    <row r="1319" spans="75:99" ht="15.75">
      <c r="BW1319" s="276"/>
      <c r="BY1319" s="276"/>
      <c r="BZ1319" s="276"/>
      <c r="CA1319" s="276"/>
      <c r="CB1319" s="276"/>
      <c r="CC1319" s="276"/>
      <c r="CD1319" s="276"/>
      <c r="CH1319" s="276"/>
      <c r="CJ1319" s="276"/>
      <c r="CK1319" s="276"/>
      <c r="CL1319" s="276"/>
      <c r="CM1319" s="276"/>
      <c r="CN1319" s="276"/>
      <c r="CO1319" s="276"/>
      <c r="CP1319" s="276"/>
      <c r="CQ1319" s="276"/>
      <c r="CU1319" s="276"/>
    </row>
    <row r="1320" spans="75:99" ht="15.75">
      <c r="BW1320" s="276"/>
      <c r="BY1320" s="276"/>
      <c r="BZ1320" s="276"/>
      <c r="CA1320" s="276"/>
      <c r="CB1320" s="276"/>
      <c r="CC1320" s="276"/>
      <c r="CD1320" s="276"/>
      <c r="CH1320" s="276"/>
      <c r="CJ1320" s="276"/>
      <c r="CK1320" s="276"/>
      <c r="CL1320" s="276"/>
      <c r="CM1320" s="276"/>
      <c r="CN1320" s="276"/>
      <c r="CO1320" s="276"/>
      <c r="CP1320" s="276"/>
      <c r="CQ1320" s="276"/>
      <c r="CU1320" s="276"/>
    </row>
    <row r="1321" spans="75:99" ht="15.75">
      <c r="BW1321" s="276"/>
      <c r="BY1321" s="276"/>
      <c r="BZ1321" s="276"/>
      <c r="CA1321" s="276"/>
      <c r="CB1321" s="276"/>
      <c r="CC1321" s="276"/>
      <c r="CD1321" s="276"/>
      <c r="CH1321" s="276"/>
      <c r="CJ1321" s="276"/>
      <c r="CK1321" s="276"/>
      <c r="CL1321" s="276"/>
      <c r="CM1321" s="276"/>
      <c r="CN1321" s="276"/>
      <c r="CO1321" s="276"/>
      <c r="CP1321" s="276"/>
      <c r="CQ1321" s="276"/>
      <c r="CU1321" s="276"/>
    </row>
    <row r="1322" spans="75:99" ht="15.75">
      <c r="BW1322" s="276"/>
      <c r="BY1322" s="276"/>
      <c r="BZ1322" s="276"/>
      <c r="CA1322" s="276"/>
      <c r="CB1322" s="276"/>
      <c r="CC1322" s="276"/>
      <c r="CD1322" s="276"/>
      <c r="CH1322" s="276"/>
      <c r="CJ1322" s="276"/>
      <c r="CK1322" s="276"/>
      <c r="CL1322" s="276"/>
      <c r="CM1322" s="276"/>
      <c r="CN1322" s="276"/>
      <c r="CO1322" s="276"/>
      <c r="CP1322" s="276"/>
      <c r="CQ1322" s="276"/>
      <c r="CU1322" s="276"/>
    </row>
    <row r="1323" spans="75:99" ht="15.75">
      <c r="BW1323" s="276"/>
      <c r="BY1323" s="276"/>
      <c r="BZ1323" s="276"/>
      <c r="CA1323" s="276"/>
      <c r="CB1323" s="276"/>
      <c r="CC1323" s="276"/>
      <c r="CD1323" s="276"/>
      <c r="CH1323" s="276"/>
      <c r="CJ1323" s="276"/>
      <c r="CK1323" s="276"/>
      <c r="CL1323" s="276"/>
      <c r="CM1323" s="276"/>
      <c r="CN1323" s="276"/>
      <c r="CO1323" s="276"/>
      <c r="CP1323" s="276"/>
      <c r="CQ1323" s="276"/>
      <c r="CU1323" s="276"/>
    </row>
    <row r="1324" spans="75:99" ht="15.75">
      <c r="BW1324" s="276"/>
      <c r="BY1324" s="276"/>
      <c r="BZ1324" s="276"/>
      <c r="CA1324" s="276"/>
      <c r="CB1324" s="276"/>
      <c r="CC1324" s="276"/>
      <c r="CD1324" s="276"/>
      <c r="CH1324" s="276"/>
      <c r="CJ1324" s="276"/>
      <c r="CK1324" s="276"/>
      <c r="CL1324" s="276"/>
      <c r="CM1324" s="276"/>
      <c r="CN1324" s="276"/>
      <c r="CO1324" s="276"/>
      <c r="CP1324" s="276"/>
      <c r="CQ1324" s="276"/>
      <c r="CU1324" s="276"/>
    </row>
    <row r="1325" spans="75:99" ht="15.75">
      <c r="BW1325" s="276"/>
      <c r="BY1325" s="276"/>
      <c r="BZ1325" s="276"/>
      <c r="CA1325" s="276"/>
      <c r="CB1325" s="276"/>
      <c r="CC1325" s="276"/>
      <c r="CD1325" s="276"/>
      <c r="CH1325" s="276"/>
      <c r="CJ1325" s="276"/>
      <c r="CK1325" s="276"/>
      <c r="CL1325" s="276"/>
      <c r="CM1325" s="276"/>
      <c r="CN1325" s="276"/>
      <c r="CO1325" s="276"/>
      <c r="CP1325" s="276"/>
      <c r="CQ1325" s="276"/>
      <c r="CU1325" s="276"/>
    </row>
    <row r="1326" spans="75:99" ht="15.75">
      <c r="BW1326" s="276"/>
      <c r="BY1326" s="276"/>
      <c r="BZ1326" s="276"/>
      <c r="CA1326" s="276"/>
      <c r="CB1326" s="276"/>
      <c r="CC1326" s="276"/>
      <c r="CD1326" s="276"/>
      <c r="CH1326" s="276"/>
      <c r="CJ1326" s="276"/>
      <c r="CK1326" s="276"/>
      <c r="CL1326" s="276"/>
      <c r="CM1326" s="276"/>
      <c r="CN1326" s="276"/>
      <c r="CO1326" s="276"/>
      <c r="CP1326" s="276"/>
      <c r="CQ1326" s="276"/>
      <c r="CU1326" s="276"/>
    </row>
    <row r="1327" spans="75:99" ht="15.75">
      <c r="BW1327" s="276"/>
      <c r="BY1327" s="276"/>
      <c r="BZ1327" s="276"/>
      <c r="CA1327" s="276"/>
      <c r="CB1327" s="276"/>
      <c r="CC1327" s="276"/>
      <c r="CD1327" s="276"/>
      <c r="CH1327" s="276"/>
      <c r="CJ1327" s="276"/>
      <c r="CK1327" s="276"/>
      <c r="CL1327" s="276"/>
      <c r="CM1327" s="276"/>
      <c r="CN1327" s="276"/>
      <c r="CO1327" s="276"/>
      <c r="CP1327" s="276"/>
      <c r="CQ1327" s="276"/>
      <c r="CU1327" s="276"/>
    </row>
    <row r="1328" spans="75:99" ht="15.75">
      <c r="BW1328" s="276"/>
      <c r="BY1328" s="276"/>
      <c r="BZ1328" s="276"/>
      <c r="CA1328" s="276"/>
      <c r="CB1328" s="276"/>
      <c r="CC1328" s="276"/>
      <c r="CD1328" s="276"/>
      <c r="CH1328" s="276"/>
      <c r="CJ1328" s="276"/>
      <c r="CK1328" s="276"/>
      <c r="CL1328" s="276"/>
      <c r="CM1328" s="276"/>
      <c r="CN1328" s="276"/>
      <c r="CO1328" s="276"/>
      <c r="CP1328" s="276"/>
      <c r="CQ1328" s="276"/>
      <c r="CU1328" s="276"/>
    </row>
    <row r="1329" spans="75:99" ht="15.75">
      <c r="BW1329" s="276"/>
      <c r="BY1329" s="276"/>
      <c r="BZ1329" s="276"/>
      <c r="CA1329" s="276"/>
      <c r="CB1329" s="276"/>
      <c r="CC1329" s="276"/>
      <c r="CD1329" s="276"/>
      <c r="CH1329" s="276"/>
      <c r="CJ1329" s="276"/>
      <c r="CK1329" s="276"/>
      <c r="CL1329" s="276"/>
      <c r="CM1329" s="276"/>
      <c r="CN1329" s="276"/>
      <c r="CO1329" s="276"/>
      <c r="CP1329" s="276"/>
      <c r="CQ1329" s="276"/>
      <c r="CU1329" s="276"/>
    </row>
    <row r="1330" spans="75:99" ht="15.75">
      <c r="BW1330" s="276"/>
      <c r="BY1330" s="276"/>
      <c r="BZ1330" s="276"/>
      <c r="CA1330" s="276"/>
      <c r="CB1330" s="276"/>
      <c r="CC1330" s="276"/>
      <c r="CD1330" s="276"/>
      <c r="CH1330" s="276"/>
      <c r="CJ1330" s="276"/>
      <c r="CK1330" s="276"/>
      <c r="CL1330" s="276"/>
      <c r="CM1330" s="276"/>
      <c r="CN1330" s="276"/>
      <c r="CO1330" s="276"/>
      <c r="CP1330" s="276"/>
      <c r="CQ1330" s="276"/>
      <c r="CU1330" s="276"/>
    </row>
    <row r="1331" spans="75:99" ht="15.75">
      <c r="BW1331" s="276"/>
      <c r="BY1331" s="276"/>
      <c r="BZ1331" s="276"/>
      <c r="CA1331" s="276"/>
      <c r="CB1331" s="276"/>
      <c r="CC1331" s="276"/>
      <c r="CD1331" s="276"/>
      <c r="CH1331" s="276"/>
      <c r="CJ1331" s="276"/>
      <c r="CK1331" s="276"/>
      <c r="CL1331" s="276"/>
      <c r="CM1331" s="276"/>
      <c r="CN1331" s="276"/>
      <c r="CO1331" s="276"/>
      <c r="CP1331" s="276"/>
      <c r="CQ1331" s="276"/>
      <c r="CU1331" s="276"/>
    </row>
    <row r="1332" spans="75:99" ht="15.75">
      <c r="BW1332" s="276"/>
      <c r="BY1332" s="276"/>
      <c r="BZ1332" s="276"/>
      <c r="CA1332" s="276"/>
      <c r="CB1332" s="276"/>
      <c r="CC1332" s="276"/>
      <c r="CD1332" s="276"/>
      <c r="CH1332" s="276"/>
      <c r="CJ1332" s="276"/>
      <c r="CK1332" s="276"/>
      <c r="CL1332" s="276"/>
      <c r="CM1332" s="276"/>
      <c r="CN1332" s="276"/>
      <c r="CO1332" s="276"/>
      <c r="CP1332" s="276"/>
      <c r="CQ1332" s="276"/>
      <c r="CU1332" s="276"/>
    </row>
    <row r="1333" spans="75:99" ht="15.75">
      <c r="BW1333" s="276"/>
      <c r="BY1333" s="276"/>
      <c r="BZ1333" s="276"/>
      <c r="CA1333" s="276"/>
      <c r="CB1333" s="276"/>
      <c r="CC1333" s="276"/>
      <c r="CD1333" s="276"/>
      <c r="CH1333" s="276"/>
      <c r="CJ1333" s="276"/>
      <c r="CK1333" s="276"/>
      <c r="CL1333" s="276"/>
      <c r="CM1333" s="276"/>
      <c r="CN1333" s="276"/>
      <c r="CO1333" s="276"/>
      <c r="CP1333" s="276"/>
      <c r="CQ1333" s="276"/>
      <c r="CU1333" s="276"/>
    </row>
    <row r="1334" spans="75:99" ht="15.75">
      <c r="BW1334" s="276"/>
      <c r="BY1334" s="276"/>
      <c r="BZ1334" s="276"/>
      <c r="CA1334" s="276"/>
      <c r="CB1334" s="276"/>
      <c r="CC1334" s="276"/>
      <c r="CD1334" s="276"/>
      <c r="CH1334" s="276"/>
      <c r="CJ1334" s="276"/>
      <c r="CK1334" s="276"/>
      <c r="CL1334" s="276"/>
      <c r="CM1334" s="276"/>
      <c r="CN1334" s="276"/>
      <c r="CO1334" s="276"/>
      <c r="CP1334" s="276"/>
      <c r="CQ1334" s="276"/>
      <c r="CU1334" s="276"/>
    </row>
    <row r="1335" spans="75:99" ht="15.75">
      <c r="BW1335" s="276"/>
      <c r="BY1335" s="276"/>
      <c r="BZ1335" s="276"/>
      <c r="CA1335" s="276"/>
      <c r="CB1335" s="276"/>
      <c r="CC1335" s="276"/>
      <c r="CD1335" s="276"/>
      <c r="CH1335" s="276"/>
      <c r="CJ1335" s="276"/>
      <c r="CK1335" s="276"/>
      <c r="CL1335" s="276"/>
      <c r="CM1335" s="276"/>
      <c r="CN1335" s="276"/>
      <c r="CO1335" s="276"/>
      <c r="CP1335" s="276"/>
      <c r="CQ1335" s="276"/>
      <c r="CU1335" s="276"/>
    </row>
    <row r="1336" spans="75:99" ht="15.75">
      <c r="BW1336" s="276"/>
      <c r="BY1336" s="276"/>
      <c r="BZ1336" s="276"/>
      <c r="CA1336" s="276"/>
      <c r="CB1336" s="276"/>
      <c r="CC1336" s="276"/>
      <c r="CD1336" s="276"/>
      <c r="CH1336" s="276"/>
      <c r="CJ1336" s="276"/>
      <c r="CK1336" s="276"/>
      <c r="CL1336" s="276"/>
      <c r="CM1336" s="276"/>
      <c r="CN1336" s="276"/>
      <c r="CO1336" s="276"/>
      <c r="CP1336" s="276"/>
      <c r="CQ1336" s="276"/>
      <c r="CU1336" s="276"/>
    </row>
    <row r="1337" spans="75:99" ht="15.75">
      <c r="BW1337" s="276"/>
      <c r="BY1337" s="276"/>
      <c r="BZ1337" s="276"/>
      <c r="CA1337" s="276"/>
      <c r="CB1337" s="276"/>
      <c r="CC1337" s="276"/>
      <c r="CD1337" s="276"/>
      <c r="CH1337" s="276"/>
      <c r="CJ1337" s="276"/>
      <c r="CK1337" s="276"/>
      <c r="CL1337" s="276"/>
      <c r="CM1337" s="276"/>
      <c r="CN1337" s="276"/>
      <c r="CO1337" s="276"/>
      <c r="CP1337" s="276"/>
      <c r="CQ1337" s="276"/>
      <c r="CU1337" s="276"/>
    </row>
    <row r="1338" spans="75:99" ht="15.75">
      <c r="BW1338" s="276"/>
      <c r="BY1338" s="276"/>
      <c r="BZ1338" s="276"/>
      <c r="CA1338" s="276"/>
      <c r="CB1338" s="276"/>
      <c r="CC1338" s="276"/>
      <c r="CD1338" s="276"/>
      <c r="CH1338" s="276"/>
      <c r="CJ1338" s="276"/>
      <c r="CK1338" s="276"/>
      <c r="CL1338" s="276"/>
      <c r="CM1338" s="276"/>
      <c r="CN1338" s="276"/>
      <c r="CO1338" s="276"/>
      <c r="CP1338" s="276"/>
      <c r="CQ1338" s="276"/>
      <c r="CU1338" s="276"/>
    </row>
    <row r="1339" spans="75:99" ht="15.75">
      <c r="BW1339" s="276"/>
      <c r="BY1339" s="276"/>
      <c r="BZ1339" s="276"/>
      <c r="CA1339" s="276"/>
      <c r="CB1339" s="276"/>
      <c r="CC1339" s="276"/>
      <c r="CD1339" s="276"/>
      <c r="CH1339" s="276"/>
      <c r="CJ1339" s="276"/>
      <c r="CK1339" s="276"/>
      <c r="CL1339" s="276"/>
      <c r="CM1339" s="276"/>
      <c r="CN1339" s="276"/>
      <c r="CO1339" s="276"/>
      <c r="CP1339" s="276"/>
      <c r="CQ1339" s="276"/>
      <c r="CU1339" s="276"/>
    </row>
    <row r="1340" spans="75:99" ht="15.75">
      <c r="BW1340" s="276"/>
      <c r="BY1340" s="276"/>
      <c r="BZ1340" s="276"/>
      <c r="CA1340" s="276"/>
      <c r="CB1340" s="276"/>
      <c r="CC1340" s="276"/>
      <c r="CD1340" s="276"/>
      <c r="CH1340" s="276"/>
      <c r="CJ1340" s="276"/>
      <c r="CK1340" s="276"/>
      <c r="CL1340" s="276"/>
      <c r="CM1340" s="276"/>
      <c r="CN1340" s="276"/>
      <c r="CO1340" s="276"/>
      <c r="CP1340" s="276"/>
      <c r="CQ1340" s="276"/>
      <c r="CU1340" s="276"/>
    </row>
    <row r="1341" spans="75:99" ht="15.75">
      <c r="BW1341" s="276"/>
      <c r="BY1341" s="276"/>
      <c r="BZ1341" s="276"/>
      <c r="CA1341" s="276"/>
      <c r="CB1341" s="276"/>
      <c r="CC1341" s="276"/>
      <c r="CD1341" s="276"/>
      <c r="CH1341" s="276"/>
      <c r="CJ1341" s="276"/>
      <c r="CK1341" s="276"/>
      <c r="CL1341" s="276"/>
      <c r="CM1341" s="276"/>
      <c r="CN1341" s="276"/>
      <c r="CO1341" s="276"/>
      <c r="CP1341" s="276"/>
      <c r="CQ1341" s="276"/>
      <c r="CU1341" s="276"/>
    </row>
    <row r="1342" spans="75:99" ht="15.75">
      <c r="BW1342" s="276"/>
      <c r="BY1342" s="276"/>
      <c r="BZ1342" s="276"/>
      <c r="CA1342" s="276"/>
      <c r="CB1342" s="276"/>
      <c r="CC1342" s="276"/>
      <c r="CD1342" s="276"/>
      <c r="CH1342" s="276"/>
      <c r="CJ1342" s="276"/>
      <c r="CK1342" s="276"/>
      <c r="CL1342" s="276"/>
      <c r="CM1342" s="276"/>
      <c r="CN1342" s="276"/>
      <c r="CO1342" s="276"/>
      <c r="CP1342" s="276"/>
      <c r="CQ1342" s="276"/>
      <c r="CU1342" s="276"/>
    </row>
    <row r="1343" spans="75:99" ht="15.75">
      <c r="BW1343" s="276"/>
      <c r="BY1343" s="276"/>
      <c r="BZ1343" s="276"/>
      <c r="CA1343" s="276"/>
      <c r="CB1343" s="276"/>
      <c r="CC1343" s="276"/>
      <c r="CD1343" s="276"/>
      <c r="CH1343" s="276"/>
      <c r="CJ1343" s="276"/>
      <c r="CK1343" s="276"/>
      <c r="CL1343" s="276"/>
      <c r="CM1343" s="276"/>
      <c r="CN1343" s="276"/>
      <c r="CO1343" s="276"/>
      <c r="CP1343" s="276"/>
      <c r="CQ1343" s="276"/>
      <c r="CU1343" s="276"/>
    </row>
    <row r="1344" spans="75:99" ht="15.75">
      <c r="BW1344" s="276"/>
      <c r="BY1344" s="276"/>
      <c r="BZ1344" s="276"/>
      <c r="CA1344" s="276"/>
      <c r="CB1344" s="276"/>
      <c r="CC1344" s="276"/>
      <c r="CD1344" s="276"/>
      <c r="CH1344" s="276"/>
      <c r="CJ1344" s="276"/>
      <c r="CK1344" s="276"/>
      <c r="CL1344" s="276"/>
      <c r="CM1344" s="276"/>
      <c r="CN1344" s="276"/>
      <c r="CO1344" s="276"/>
      <c r="CP1344" s="276"/>
      <c r="CQ1344" s="276"/>
      <c r="CU1344" s="276"/>
    </row>
    <row r="1345" spans="75:99" ht="15.75">
      <c r="BW1345" s="276"/>
      <c r="BY1345" s="276"/>
      <c r="BZ1345" s="276"/>
      <c r="CA1345" s="276"/>
      <c r="CB1345" s="276"/>
      <c r="CC1345" s="276"/>
      <c r="CD1345" s="276"/>
      <c r="CH1345" s="276"/>
      <c r="CJ1345" s="276"/>
      <c r="CK1345" s="276"/>
      <c r="CL1345" s="276"/>
      <c r="CM1345" s="276"/>
      <c r="CN1345" s="276"/>
      <c r="CO1345" s="276"/>
      <c r="CP1345" s="276"/>
      <c r="CQ1345" s="276"/>
      <c r="CU1345" s="276"/>
    </row>
    <row r="1346" spans="75:99" ht="15.75">
      <c r="BW1346" s="276"/>
      <c r="BY1346" s="276"/>
      <c r="BZ1346" s="276"/>
      <c r="CA1346" s="276"/>
      <c r="CB1346" s="276"/>
      <c r="CC1346" s="276"/>
      <c r="CD1346" s="276"/>
      <c r="CH1346" s="276"/>
      <c r="CJ1346" s="276"/>
      <c r="CK1346" s="276"/>
      <c r="CL1346" s="276"/>
      <c r="CM1346" s="276"/>
      <c r="CN1346" s="276"/>
      <c r="CO1346" s="276"/>
      <c r="CP1346" s="276"/>
      <c r="CQ1346" s="276"/>
      <c r="CU1346" s="276"/>
    </row>
    <row r="1347" spans="75:99" ht="15.75">
      <c r="BW1347" s="276"/>
      <c r="BY1347" s="276"/>
      <c r="BZ1347" s="276"/>
      <c r="CA1347" s="276"/>
      <c r="CB1347" s="276"/>
      <c r="CC1347" s="276"/>
      <c r="CD1347" s="276"/>
      <c r="CH1347" s="276"/>
      <c r="CJ1347" s="276"/>
      <c r="CK1347" s="276"/>
      <c r="CL1347" s="276"/>
      <c r="CM1347" s="276"/>
      <c r="CN1347" s="276"/>
      <c r="CO1347" s="276"/>
      <c r="CP1347" s="276"/>
      <c r="CQ1347" s="276"/>
      <c r="CU1347" s="276"/>
    </row>
    <row r="1348" spans="75:99" ht="15.75">
      <c r="BW1348" s="276"/>
      <c r="BY1348" s="276"/>
      <c r="BZ1348" s="276"/>
      <c r="CA1348" s="276"/>
      <c r="CB1348" s="276"/>
      <c r="CC1348" s="276"/>
      <c r="CD1348" s="276"/>
      <c r="CH1348" s="276"/>
      <c r="CJ1348" s="276"/>
      <c r="CK1348" s="276"/>
      <c r="CL1348" s="276"/>
      <c r="CM1348" s="276"/>
      <c r="CN1348" s="276"/>
      <c r="CO1348" s="276"/>
      <c r="CP1348" s="276"/>
      <c r="CQ1348" s="276"/>
      <c r="CU1348" s="276"/>
    </row>
    <row r="1349" spans="75:99" ht="15.75">
      <c r="BW1349" s="276"/>
      <c r="BY1349" s="276"/>
      <c r="BZ1349" s="276"/>
      <c r="CA1349" s="276"/>
      <c r="CB1349" s="276"/>
      <c r="CC1349" s="276"/>
      <c r="CD1349" s="276"/>
      <c r="CH1349" s="276"/>
      <c r="CJ1349" s="276"/>
      <c r="CK1349" s="276"/>
      <c r="CL1349" s="276"/>
      <c r="CM1349" s="276"/>
      <c r="CN1349" s="276"/>
      <c r="CO1349" s="276"/>
      <c r="CP1349" s="276"/>
      <c r="CQ1349" s="276"/>
      <c r="CU1349" s="276"/>
    </row>
    <row r="1350" spans="75:99" ht="15.75">
      <c r="BW1350" s="276"/>
      <c r="BY1350" s="276"/>
      <c r="BZ1350" s="276"/>
      <c r="CA1350" s="276"/>
      <c r="CB1350" s="276"/>
      <c r="CC1350" s="276"/>
      <c r="CD1350" s="276"/>
      <c r="CH1350" s="276"/>
      <c r="CJ1350" s="276"/>
      <c r="CK1350" s="276"/>
      <c r="CL1350" s="276"/>
      <c r="CM1350" s="276"/>
      <c r="CN1350" s="276"/>
      <c r="CO1350" s="276"/>
      <c r="CP1350" s="276"/>
      <c r="CQ1350" s="276"/>
      <c r="CU1350" s="276"/>
    </row>
    <row r="1351" spans="75:99" ht="15.75">
      <c r="BW1351" s="276"/>
      <c r="BY1351" s="276"/>
      <c r="BZ1351" s="276"/>
      <c r="CA1351" s="276"/>
      <c r="CB1351" s="276"/>
      <c r="CC1351" s="276"/>
      <c r="CD1351" s="276"/>
      <c r="CH1351" s="276"/>
      <c r="CJ1351" s="276"/>
      <c r="CK1351" s="276"/>
      <c r="CL1351" s="276"/>
      <c r="CM1351" s="276"/>
      <c r="CN1351" s="276"/>
      <c r="CO1351" s="276"/>
      <c r="CP1351" s="276"/>
      <c r="CQ1351" s="276"/>
      <c r="CU1351" s="276"/>
    </row>
    <row r="1352" spans="75:99" ht="15.75">
      <c r="BW1352" s="276"/>
      <c r="BY1352" s="276"/>
      <c r="BZ1352" s="276"/>
      <c r="CA1352" s="276"/>
      <c r="CB1352" s="276"/>
      <c r="CC1352" s="276"/>
      <c r="CD1352" s="276"/>
      <c r="CH1352" s="276"/>
      <c r="CJ1352" s="276"/>
      <c r="CK1352" s="276"/>
      <c r="CL1352" s="276"/>
      <c r="CM1352" s="276"/>
      <c r="CN1352" s="276"/>
      <c r="CO1352" s="276"/>
      <c r="CP1352" s="276"/>
      <c r="CQ1352" s="276"/>
      <c r="CU1352" s="276"/>
    </row>
    <row r="1353" spans="75:99" ht="15.75">
      <c r="BW1353" s="276"/>
      <c r="BY1353" s="276"/>
      <c r="BZ1353" s="276"/>
      <c r="CA1353" s="276"/>
      <c r="CB1353" s="276"/>
      <c r="CC1353" s="276"/>
      <c r="CD1353" s="276"/>
      <c r="CH1353" s="276"/>
      <c r="CJ1353" s="276"/>
      <c r="CK1353" s="276"/>
      <c r="CL1353" s="276"/>
      <c r="CM1353" s="276"/>
      <c r="CN1353" s="276"/>
      <c r="CO1353" s="276"/>
      <c r="CP1353" s="276"/>
      <c r="CQ1353" s="276"/>
      <c r="CU1353" s="276"/>
    </row>
    <row r="1354" spans="75:99" ht="15.75">
      <c r="BW1354" s="276"/>
      <c r="BY1354" s="276"/>
      <c r="BZ1354" s="276"/>
      <c r="CA1354" s="276"/>
      <c r="CB1354" s="276"/>
      <c r="CC1354" s="276"/>
      <c r="CD1354" s="276"/>
      <c r="CH1354" s="276"/>
      <c r="CJ1354" s="276"/>
      <c r="CK1354" s="276"/>
      <c r="CL1354" s="276"/>
      <c r="CM1354" s="276"/>
      <c r="CN1354" s="276"/>
      <c r="CO1354" s="276"/>
      <c r="CP1354" s="276"/>
      <c r="CQ1354" s="276"/>
      <c r="CU1354" s="276"/>
    </row>
    <row r="1355" spans="75:99" ht="15.75">
      <c r="BW1355" s="276"/>
      <c r="BY1355" s="276"/>
      <c r="BZ1355" s="276"/>
      <c r="CA1355" s="276"/>
      <c r="CB1355" s="276"/>
      <c r="CC1355" s="276"/>
      <c r="CD1355" s="276"/>
      <c r="CH1355" s="276"/>
      <c r="CJ1355" s="276"/>
      <c r="CK1355" s="276"/>
      <c r="CL1355" s="276"/>
      <c r="CM1355" s="276"/>
      <c r="CN1355" s="276"/>
      <c r="CO1355" s="276"/>
      <c r="CP1355" s="276"/>
      <c r="CQ1355" s="276"/>
      <c r="CU1355" s="276"/>
    </row>
    <row r="1356" spans="75:99" ht="15.75">
      <c r="BW1356" s="276"/>
      <c r="BY1356" s="276"/>
      <c r="BZ1356" s="276"/>
      <c r="CA1356" s="276"/>
      <c r="CB1356" s="276"/>
      <c r="CC1356" s="276"/>
      <c r="CD1356" s="276"/>
      <c r="CH1356" s="276"/>
      <c r="CJ1356" s="276"/>
      <c r="CK1356" s="276"/>
      <c r="CL1356" s="276"/>
      <c r="CM1356" s="276"/>
      <c r="CN1356" s="276"/>
      <c r="CO1356" s="276"/>
      <c r="CP1356" s="276"/>
      <c r="CQ1356" s="276"/>
      <c r="CU1356" s="276"/>
    </row>
    <row r="1357" spans="75:99" ht="15.75">
      <c r="BW1357" s="276"/>
      <c r="BY1357" s="276"/>
      <c r="BZ1357" s="276"/>
      <c r="CA1357" s="276"/>
      <c r="CB1357" s="276"/>
      <c r="CC1357" s="276"/>
      <c r="CD1357" s="276"/>
      <c r="CH1357" s="276"/>
      <c r="CJ1357" s="276"/>
      <c r="CK1357" s="276"/>
      <c r="CL1357" s="276"/>
      <c r="CM1357" s="276"/>
      <c r="CN1357" s="276"/>
      <c r="CO1357" s="276"/>
      <c r="CP1357" s="276"/>
      <c r="CQ1357" s="276"/>
      <c r="CU1357" s="276"/>
    </row>
    <row r="1358" spans="75:99" ht="15.75">
      <c r="BW1358" s="276"/>
      <c r="BY1358" s="276"/>
      <c r="BZ1358" s="276"/>
      <c r="CA1358" s="276"/>
      <c r="CB1358" s="276"/>
      <c r="CC1358" s="276"/>
      <c r="CD1358" s="276"/>
      <c r="CH1358" s="276"/>
      <c r="CJ1358" s="276"/>
      <c r="CK1358" s="276"/>
      <c r="CL1358" s="276"/>
      <c r="CM1358" s="276"/>
      <c r="CN1358" s="276"/>
      <c r="CO1358" s="276"/>
      <c r="CP1358" s="276"/>
      <c r="CQ1358" s="276"/>
      <c r="CU1358" s="276"/>
    </row>
    <row r="1359" spans="75:99" ht="15.75">
      <c r="BW1359" s="276"/>
      <c r="BY1359" s="276"/>
      <c r="BZ1359" s="276"/>
      <c r="CA1359" s="276"/>
      <c r="CB1359" s="276"/>
      <c r="CC1359" s="276"/>
      <c r="CD1359" s="276"/>
      <c r="CH1359" s="276"/>
      <c r="CJ1359" s="276"/>
      <c r="CK1359" s="276"/>
      <c r="CL1359" s="276"/>
      <c r="CM1359" s="276"/>
      <c r="CN1359" s="276"/>
      <c r="CO1359" s="276"/>
      <c r="CP1359" s="276"/>
      <c r="CQ1359" s="276"/>
      <c r="CU1359" s="276"/>
    </row>
    <row r="1360" spans="75:99" ht="15.75">
      <c r="BW1360" s="276"/>
      <c r="BY1360" s="276"/>
      <c r="BZ1360" s="276"/>
      <c r="CA1360" s="276"/>
      <c r="CB1360" s="276"/>
      <c r="CC1360" s="276"/>
      <c r="CD1360" s="276"/>
      <c r="CH1360" s="276"/>
      <c r="CJ1360" s="276"/>
      <c r="CK1360" s="276"/>
      <c r="CL1360" s="276"/>
      <c r="CM1360" s="276"/>
      <c r="CN1360" s="276"/>
      <c r="CO1360" s="276"/>
      <c r="CP1360" s="276"/>
      <c r="CQ1360" s="276"/>
      <c r="CU1360" s="276"/>
    </row>
    <row r="1361" spans="75:99" ht="15.75">
      <c r="BW1361" s="276"/>
      <c r="BY1361" s="276"/>
      <c r="BZ1361" s="276"/>
      <c r="CA1361" s="276"/>
      <c r="CB1361" s="276"/>
      <c r="CC1361" s="276"/>
      <c r="CD1361" s="276"/>
      <c r="CH1361" s="276"/>
      <c r="CJ1361" s="276"/>
      <c r="CK1361" s="276"/>
      <c r="CL1361" s="276"/>
      <c r="CM1361" s="276"/>
      <c r="CN1361" s="276"/>
      <c r="CO1361" s="276"/>
      <c r="CP1361" s="276"/>
      <c r="CQ1361" s="276"/>
      <c r="CU1361" s="276"/>
    </row>
    <row r="1362" spans="75:99" ht="15.75">
      <c r="BW1362" s="276"/>
      <c r="BY1362" s="276"/>
      <c r="BZ1362" s="276"/>
      <c r="CA1362" s="276"/>
      <c r="CB1362" s="276"/>
      <c r="CC1362" s="276"/>
      <c r="CD1362" s="276"/>
      <c r="CH1362" s="276"/>
      <c r="CJ1362" s="276"/>
      <c r="CK1362" s="276"/>
      <c r="CL1362" s="276"/>
      <c r="CM1362" s="276"/>
      <c r="CN1362" s="276"/>
      <c r="CO1362" s="276"/>
      <c r="CP1362" s="276"/>
      <c r="CQ1362" s="276"/>
      <c r="CU1362" s="276"/>
    </row>
    <row r="1363" spans="75:99" ht="15.75">
      <c r="BW1363" s="276"/>
      <c r="BY1363" s="276"/>
      <c r="BZ1363" s="276"/>
      <c r="CA1363" s="276"/>
      <c r="CB1363" s="276"/>
      <c r="CC1363" s="276"/>
      <c r="CD1363" s="276"/>
      <c r="CH1363" s="276"/>
      <c r="CJ1363" s="276"/>
      <c r="CK1363" s="276"/>
      <c r="CL1363" s="276"/>
      <c r="CM1363" s="276"/>
      <c r="CN1363" s="276"/>
      <c r="CO1363" s="276"/>
      <c r="CP1363" s="276"/>
      <c r="CQ1363" s="276"/>
      <c r="CU1363" s="276"/>
    </row>
    <row r="1364" spans="75:99" ht="15.75">
      <c r="BW1364" s="276"/>
      <c r="BY1364" s="276"/>
      <c r="BZ1364" s="276"/>
      <c r="CA1364" s="276"/>
      <c r="CB1364" s="276"/>
      <c r="CC1364" s="276"/>
      <c r="CD1364" s="276"/>
      <c r="CH1364" s="276"/>
      <c r="CJ1364" s="276"/>
      <c r="CK1364" s="276"/>
      <c r="CL1364" s="276"/>
      <c r="CM1364" s="276"/>
      <c r="CN1364" s="276"/>
      <c r="CO1364" s="276"/>
      <c r="CP1364" s="276"/>
      <c r="CQ1364" s="276"/>
      <c r="CU1364" s="276"/>
    </row>
    <row r="1365" spans="75:99" ht="15.75">
      <c r="BW1365" s="276"/>
      <c r="BY1365" s="276"/>
      <c r="BZ1365" s="276"/>
      <c r="CA1365" s="276"/>
      <c r="CB1365" s="276"/>
      <c r="CC1365" s="276"/>
      <c r="CD1365" s="276"/>
      <c r="CH1365" s="276"/>
      <c r="CJ1365" s="276"/>
      <c r="CK1365" s="276"/>
      <c r="CL1365" s="276"/>
      <c r="CM1365" s="276"/>
      <c r="CN1365" s="276"/>
      <c r="CO1365" s="276"/>
      <c r="CP1365" s="276"/>
      <c r="CQ1365" s="276"/>
      <c r="CU1365" s="276"/>
    </row>
    <row r="1366" spans="75:99" ht="15.75">
      <c r="BW1366" s="276"/>
      <c r="BY1366" s="276"/>
      <c r="BZ1366" s="276"/>
      <c r="CA1366" s="276"/>
      <c r="CB1366" s="276"/>
      <c r="CC1366" s="276"/>
      <c r="CD1366" s="276"/>
      <c r="CH1366" s="276"/>
      <c r="CJ1366" s="276"/>
      <c r="CK1366" s="276"/>
      <c r="CL1366" s="276"/>
      <c r="CM1366" s="276"/>
      <c r="CN1366" s="276"/>
      <c r="CO1366" s="276"/>
      <c r="CP1366" s="276"/>
      <c r="CQ1366" s="276"/>
      <c r="CU1366" s="276"/>
    </row>
    <row r="1367" spans="75:99" ht="15.75">
      <c r="BW1367" s="276"/>
      <c r="BY1367" s="276"/>
      <c r="BZ1367" s="276"/>
      <c r="CA1367" s="276"/>
      <c r="CB1367" s="276"/>
      <c r="CC1367" s="276"/>
      <c r="CD1367" s="276"/>
      <c r="CH1367" s="276"/>
      <c r="CJ1367" s="276"/>
      <c r="CK1367" s="276"/>
      <c r="CL1367" s="276"/>
      <c r="CM1367" s="276"/>
      <c r="CN1367" s="276"/>
      <c r="CO1367" s="276"/>
      <c r="CP1367" s="276"/>
      <c r="CQ1367" s="276"/>
      <c r="CU1367" s="276"/>
    </row>
    <row r="1368" spans="75:99" ht="15.75">
      <c r="BW1368" s="276"/>
      <c r="BY1368" s="276"/>
      <c r="BZ1368" s="276"/>
      <c r="CA1368" s="276"/>
      <c r="CB1368" s="276"/>
      <c r="CC1368" s="276"/>
      <c r="CD1368" s="276"/>
      <c r="CH1368" s="276"/>
      <c r="CJ1368" s="276"/>
      <c r="CK1368" s="276"/>
      <c r="CL1368" s="276"/>
      <c r="CM1368" s="276"/>
      <c r="CN1368" s="276"/>
      <c r="CO1368" s="276"/>
      <c r="CP1368" s="276"/>
      <c r="CQ1368" s="276"/>
      <c r="CU1368" s="276"/>
    </row>
    <row r="1369" spans="75:99" ht="15.75">
      <c r="BW1369" s="276"/>
      <c r="BY1369" s="276"/>
      <c r="BZ1369" s="276"/>
      <c r="CA1369" s="276"/>
      <c r="CB1369" s="276"/>
      <c r="CC1369" s="276"/>
      <c r="CD1369" s="276"/>
      <c r="CH1369" s="276"/>
      <c r="CJ1369" s="276"/>
      <c r="CK1369" s="276"/>
      <c r="CL1369" s="276"/>
      <c r="CM1369" s="276"/>
      <c r="CN1369" s="276"/>
      <c r="CO1369" s="276"/>
      <c r="CP1369" s="276"/>
      <c r="CQ1369" s="276"/>
      <c r="CU1369" s="276"/>
    </row>
    <row r="1370" spans="75:99" ht="15.75">
      <c r="BW1370" s="276"/>
      <c r="BY1370" s="276"/>
      <c r="BZ1370" s="276"/>
      <c r="CA1370" s="276"/>
      <c r="CB1370" s="276"/>
      <c r="CC1370" s="276"/>
      <c r="CD1370" s="276"/>
      <c r="CH1370" s="276"/>
      <c r="CJ1370" s="276"/>
      <c r="CK1370" s="276"/>
      <c r="CL1370" s="276"/>
      <c r="CM1370" s="276"/>
      <c r="CN1370" s="276"/>
      <c r="CO1370" s="276"/>
      <c r="CP1370" s="276"/>
      <c r="CQ1370" s="276"/>
      <c r="CU1370" s="276"/>
    </row>
    <row r="1371" spans="75:99" ht="15.75">
      <c r="BW1371" s="276"/>
      <c r="BY1371" s="276"/>
      <c r="BZ1371" s="276"/>
      <c r="CA1371" s="276"/>
      <c r="CB1371" s="276"/>
      <c r="CC1371" s="276"/>
      <c r="CD1371" s="276"/>
      <c r="CH1371" s="276"/>
      <c r="CJ1371" s="276"/>
      <c r="CK1371" s="276"/>
      <c r="CL1371" s="276"/>
      <c r="CM1371" s="276"/>
      <c r="CN1371" s="276"/>
      <c r="CO1371" s="276"/>
      <c r="CP1371" s="276"/>
      <c r="CQ1371" s="276"/>
      <c r="CU1371" s="276"/>
    </row>
    <row r="1372" spans="75:99" ht="15.75">
      <c r="BW1372" s="276"/>
      <c r="BY1372" s="276"/>
      <c r="BZ1372" s="276"/>
      <c r="CA1372" s="276"/>
      <c r="CB1372" s="276"/>
      <c r="CC1372" s="276"/>
      <c r="CD1372" s="276"/>
      <c r="CH1372" s="276"/>
      <c r="CJ1372" s="276"/>
      <c r="CK1372" s="276"/>
      <c r="CL1372" s="276"/>
      <c r="CM1372" s="276"/>
      <c r="CN1372" s="276"/>
      <c r="CO1372" s="276"/>
      <c r="CP1372" s="276"/>
      <c r="CQ1372" s="276"/>
      <c r="CU1372" s="276"/>
    </row>
    <row r="1373" spans="75:99" ht="15.75">
      <c r="BW1373" s="276"/>
      <c r="BY1373" s="276"/>
      <c r="BZ1373" s="276"/>
      <c r="CA1373" s="276"/>
      <c r="CB1373" s="276"/>
      <c r="CC1373" s="276"/>
      <c r="CD1373" s="276"/>
      <c r="CH1373" s="276"/>
      <c r="CJ1373" s="276"/>
      <c r="CK1373" s="276"/>
      <c r="CL1373" s="276"/>
      <c r="CM1373" s="276"/>
      <c r="CN1373" s="276"/>
      <c r="CO1373" s="276"/>
      <c r="CP1373" s="276"/>
      <c r="CQ1373" s="276"/>
      <c r="CU1373" s="276"/>
    </row>
    <row r="1374" spans="75:99" ht="15.75">
      <c r="BW1374" s="276"/>
      <c r="BY1374" s="276"/>
      <c r="BZ1374" s="276"/>
      <c r="CA1374" s="276"/>
      <c r="CB1374" s="276"/>
      <c r="CC1374" s="276"/>
      <c r="CD1374" s="276"/>
      <c r="CH1374" s="276"/>
      <c r="CJ1374" s="276"/>
      <c r="CK1374" s="276"/>
      <c r="CL1374" s="276"/>
      <c r="CM1374" s="276"/>
      <c r="CN1374" s="276"/>
      <c r="CO1374" s="276"/>
      <c r="CP1374" s="276"/>
      <c r="CQ1374" s="276"/>
      <c r="CU1374" s="276"/>
    </row>
    <row r="1375" spans="75:99" ht="15.75">
      <c r="BW1375" s="276"/>
      <c r="BY1375" s="276"/>
      <c r="BZ1375" s="276"/>
      <c r="CA1375" s="276"/>
      <c r="CB1375" s="276"/>
      <c r="CC1375" s="276"/>
      <c r="CD1375" s="276"/>
      <c r="CH1375" s="276"/>
      <c r="CJ1375" s="276"/>
      <c r="CK1375" s="276"/>
      <c r="CL1375" s="276"/>
      <c r="CM1375" s="276"/>
      <c r="CN1375" s="276"/>
      <c r="CO1375" s="276"/>
      <c r="CP1375" s="276"/>
      <c r="CQ1375" s="276"/>
      <c r="CU1375" s="276"/>
    </row>
    <row r="1376" spans="75:99" ht="15.75">
      <c r="BW1376" s="276"/>
      <c r="BY1376" s="276"/>
      <c r="BZ1376" s="276"/>
      <c r="CA1376" s="276"/>
      <c r="CB1376" s="276"/>
      <c r="CC1376" s="276"/>
      <c r="CD1376" s="276"/>
      <c r="CH1376" s="276"/>
      <c r="CJ1376" s="276"/>
      <c r="CK1376" s="276"/>
      <c r="CL1376" s="276"/>
      <c r="CM1376" s="276"/>
      <c r="CN1376" s="276"/>
      <c r="CO1376" s="276"/>
      <c r="CP1376" s="276"/>
      <c r="CQ1376" s="276"/>
      <c r="CU1376" s="276"/>
    </row>
    <row r="1377" spans="75:99" ht="15.75">
      <c r="BW1377" s="276"/>
      <c r="BY1377" s="276"/>
      <c r="BZ1377" s="276"/>
      <c r="CA1377" s="276"/>
      <c r="CB1377" s="276"/>
      <c r="CC1377" s="276"/>
      <c r="CD1377" s="276"/>
      <c r="CH1377" s="276"/>
      <c r="CJ1377" s="276"/>
      <c r="CK1377" s="276"/>
      <c r="CL1377" s="276"/>
      <c r="CM1377" s="276"/>
      <c r="CN1377" s="276"/>
      <c r="CO1377" s="276"/>
      <c r="CP1377" s="276"/>
      <c r="CQ1377" s="276"/>
      <c r="CU1377" s="276"/>
    </row>
    <row r="1378" spans="75:99" ht="15.75">
      <c r="BW1378" s="276"/>
      <c r="BY1378" s="276"/>
      <c r="BZ1378" s="276"/>
      <c r="CA1378" s="276"/>
      <c r="CB1378" s="276"/>
      <c r="CC1378" s="276"/>
      <c r="CD1378" s="276"/>
      <c r="CH1378" s="276"/>
      <c r="CJ1378" s="276"/>
      <c r="CK1378" s="276"/>
      <c r="CL1378" s="276"/>
      <c r="CM1378" s="276"/>
      <c r="CN1378" s="276"/>
      <c r="CO1378" s="276"/>
      <c r="CP1378" s="276"/>
      <c r="CQ1378" s="276"/>
      <c r="CU1378" s="276"/>
    </row>
    <row r="1379" spans="75:99" ht="15.75">
      <c r="BW1379" s="276"/>
      <c r="BY1379" s="276"/>
      <c r="BZ1379" s="276"/>
      <c r="CA1379" s="276"/>
      <c r="CB1379" s="276"/>
      <c r="CC1379" s="276"/>
      <c r="CD1379" s="276"/>
      <c r="CH1379" s="276"/>
      <c r="CJ1379" s="276"/>
      <c r="CK1379" s="276"/>
      <c r="CL1379" s="276"/>
      <c r="CM1379" s="276"/>
      <c r="CN1379" s="276"/>
      <c r="CO1379" s="276"/>
      <c r="CP1379" s="276"/>
      <c r="CQ1379" s="276"/>
      <c r="CU1379" s="276"/>
    </row>
    <row r="1380" spans="75:99" ht="15.75">
      <c r="BW1380" s="276"/>
      <c r="BY1380" s="276"/>
      <c r="BZ1380" s="276"/>
      <c r="CA1380" s="276"/>
      <c r="CB1380" s="276"/>
      <c r="CC1380" s="276"/>
      <c r="CD1380" s="276"/>
      <c r="CH1380" s="276"/>
      <c r="CJ1380" s="276"/>
      <c r="CK1380" s="276"/>
      <c r="CL1380" s="276"/>
      <c r="CM1380" s="276"/>
      <c r="CN1380" s="276"/>
      <c r="CO1380" s="276"/>
      <c r="CP1380" s="276"/>
      <c r="CQ1380" s="276"/>
      <c r="CU1380" s="276"/>
    </row>
    <row r="1381" spans="75:99" ht="15.75">
      <c r="BW1381" s="276"/>
      <c r="BY1381" s="276"/>
      <c r="BZ1381" s="276"/>
      <c r="CA1381" s="276"/>
      <c r="CB1381" s="276"/>
      <c r="CC1381" s="276"/>
      <c r="CD1381" s="276"/>
      <c r="CH1381" s="276"/>
      <c r="CJ1381" s="276"/>
      <c r="CK1381" s="276"/>
      <c r="CL1381" s="276"/>
      <c r="CM1381" s="276"/>
      <c r="CN1381" s="276"/>
      <c r="CO1381" s="276"/>
      <c r="CP1381" s="276"/>
      <c r="CQ1381" s="276"/>
      <c r="CU1381" s="276"/>
    </row>
    <row r="1382" spans="75:99" ht="15.75">
      <c r="BW1382" s="276"/>
      <c r="BY1382" s="276"/>
      <c r="BZ1382" s="276"/>
      <c r="CA1382" s="276"/>
      <c r="CB1382" s="276"/>
      <c r="CC1382" s="276"/>
      <c r="CD1382" s="276"/>
      <c r="CH1382" s="276"/>
      <c r="CJ1382" s="276"/>
      <c r="CK1382" s="276"/>
      <c r="CL1382" s="276"/>
      <c r="CM1382" s="276"/>
      <c r="CN1382" s="276"/>
      <c r="CO1382" s="276"/>
      <c r="CP1382" s="276"/>
      <c r="CQ1382" s="276"/>
      <c r="CU1382" s="276"/>
    </row>
    <row r="1383" spans="75:99" ht="15.75">
      <c r="BW1383" s="276"/>
      <c r="BY1383" s="276"/>
      <c r="BZ1383" s="276"/>
      <c r="CA1383" s="276"/>
      <c r="CB1383" s="276"/>
      <c r="CC1383" s="276"/>
      <c r="CD1383" s="276"/>
      <c r="CH1383" s="276"/>
      <c r="CJ1383" s="276"/>
      <c r="CK1383" s="276"/>
      <c r="CL1383" s="276"/>
      <c r="CM1383" s="276"/>
      <c r="CN1383" s="276"/>
      <c r="CO1383" s="276"/>
      <c r="CP1383" s="276"/>
      <c r="CQ1383" s="276"/>
      <c r="CU1383" s="276"/>
    </row>
    <row r="1384" spans="75:99" ht="15.75">
      <c r="BW1384" s="276"/>
      <c r="BY1384" s="276"/>
      <c r="BZ1384" s="276"/>
      <c r="CA1384" s="276"/>
      <c r="CB1384" s="276"/>
      <c r="CC1384" s="276"/>
      <c r="CD1384" s="276"/>
      <c r="CH1384" s="276"/>
      <c r="CJ1384" s="276"/>
      <c r="CK1384" s="276"/>
      <c r="CL1384" s="276"/>
      <c r="CM1384" s="276"/>
      <c r="CN1384" s="276"/>
      <c r="CO1384" s="276"/>
      <c r="CP1384" s="276"/>
      <c r="CQ1384" s="276"/>
      <c r="CU1384" s="276"/>
    </row>
    <row r="1385" spans="75:99" ht="15.75">
      <c r="BW1385" s="276"/>
      <c r="BY1385" s="276"/>
      <c r="BZ1385" s="276"/>
      <c r="CA1385" s="276"/>
      <c r="CB1385" s="276"/>
      <c r="CC1385" s="276"/>
      <c r="CD1385" s="276"/>
      <c r="CH1385" s="276"/>
      <c r="CJ1385" s="276"/>
      <c r="CK1385" s="276"/>
      <c r="CL1385" s="276"/>
      <c r="CM1385" s="276"/>
      <c r="CN1385" s="276"/>
      <c r="CO1385" s="276"/>
      <c r="CP1385" s="276"/>
      <c r="CQ1385" s="276"/>
      <c r="CU1385" s="276"/>
    </row>
    <row r="1386" spans="75:99" ht="15.75">
      <c r="BW1386" s="276"/>
      <c r="BY1386" s="276"/>
      <c r="BZ1386" s="276"/>
      <c r="CA1386" s="276"/>
      <c r="CB1386" s="276"/>
      <c r="CC1386" s="276"/>
      <c r="CD1386" s="276"/>
      <c r="CH1386" s="276"/>
      <c r="CJ1386" s="276"/>
      <c r="CK1386" s="276"/>
      <c r="CL1386" s="276"/>
      <c r="CM1386" s="276"/>
      <c r="CN1386" s="276"/>
      <c r="CO1386" s="276"/>
      <c r="CP1386" s="276"/>
      <c r="CQ1386" s="276"/>
      <c r="CU1386" s="276"/>
    </row>
    <row r="1387" spans="75:99" ht="15.75">
      <c r="BW1387" s="276"/>
      <c r="BY1387" s="276"/>
      <c r="BZ1387" s="276"/>
      <c r="CA1387" s="276"/>
      <c r="CB1387" s="276"/>
      <c r="CC1387" s="276"/>
      <c r="CD1387" s="276"/>
      <c r="CH1387" s="276"/>
      <c r="CJ1387" s="276"/>
      <c r="CK1387" s="276"/>
      <c r="CL1387" s="276"/>
      <c r="CM1387" s="276"/>
      <c r="CN1387" s="276"/>
      <c r="CO1387" s="276"/>
      <c r="CP1387" s="276"/>
      <c r="CQ1387" s="276"/>
      <c r="CU1387" s="276"/>
    </row>
    <row r="1388" spans="75:99" ht="15.75">
      <c r="BW1388" s="276"/>
      <c r="BY1388" s="276"/>
      <c r="BZ1388" s="276"/>
      <c r="CA1388" s="276"/>
      <c r="CB1388" s="276"/>
      <c r="CC1388" s="276"/>
      <c r="CD1388" s="276"/>
      <c r="CH1388" s="276"/>
      <c r="CJ1388" s="276"/>
      <c r="CK1388" s="276"/>
      <c r="CL1388" s="276"/>
      <c r="CM1388" s="276"/>
      <c r="CN1388" s="276"/>
      <c r="CO1388" s="276"/>
      <c r="CP1388" s="276"/>
      <c r="CQ1388" s="276"/>
      <c r="CU1388" s="276"/>
    </row>
    <row r="1389" spans="75:99" ht="15.75">
      <c r="BW1389" s="276"/>
      <c r="BY1389" s="276"/>
      <c r="BZ1389" s="276"/>
      <c r="CA1389" s="276"/>
      <c r="CB1389" s="276"/>
      <c r="CC1389" s="276"/>
      <c r="CD1389" s="276"/>
      <c r="CH1389" s="276"/>
      <c r="CJ1389" s="276"/>
      <c r="CK1389" s="276"/>
      <c r="CL1389" s="276"/>
      <c r="CM1389" s="276"/>
      <c r="CN1389" s="276"/>
      <c r="CO1389" s="276"/>
      <c r="CP1389" s="276"/>
      <c r="CQ1389" s="276"/>
      <c r="CU1389" s="276"/>
    </row>
    <row r="1390" spans="75:99" ht="15.75">
      <c r="BW1390" s="276"/>
      <c r="BY1390" s="276"/>
      <c r="BZ1390" s="276"/>
      <c r="CA1390" s="276"/>
      <c r="CB1390" s="276"/>
      <c r="CC1390" s="276"/>
      <c r="CD1390" s="276"/>
      <c r="CH1390" s="276"/>
      <c r="CJ1390" s="276"/>
      <c r="CK1390" s="276"/>
      <c r="CL1390" s="276"/>
      <c r="CM1390" s="276"/>
      <c r="CN1390" s="276"/>
      <c r="CO1390" s="276"/>
      <c r="CP1390" s="276"/>
      <c r="CQ1390" s="276"/>
      <c r="CU1390" s="276"/>
    </row>
    <row r="1391" spans="75:99" ht="15.75">
      <c r="BW1391" s="276"/>
      <c r="BY1391" s="276"/>
      <c r="BZ1391" s="276"/>
      <c r="CA1391" s="276"/>
      <c r="CB1391" s="276"/>
      <c r="CC1391" s="276"/>
      <c r="CD1391" s="276"/>
      <c r="CH1391" s="276"/>
      <c r="CJ1391" s="276"/>
      <c r="CK1391" s="276"/>
      <c r="CL1391" s="276"/>
      <c r="CM1391" s="276"/>
      <c r="CN1391" s="276"/>
      <c r="CO1391" s="276"/>
      <c r="CP1391" s="276"/>
      <c r="CQ1391" s="276"/>
      <c r="CU1391" s="276"/>
    </row>
    <row r="1392" spans="75:99" ht="15.75">
      <c r="BW1392" s="276"/>
      <c r="BY1392" s="276"/>
      <c r="BZ1392" s="276"/>
      <c r="CA1392" s="276"/>
      <c r="CB1392" s="276"/>
      <c r="CC1392" s="276"/>
      <c r="CD1392" s="276"/>
      <c r="CH1392" s="276"/>
      <c r="CJ1392" s="276"/>
      <c r="CK1392" s="276"/>
      <c r="CL1392" s="276"/>
      <c r="CM1392" s="276"/>
      <c r="CN1392" s="276"/>
      <c r="CO1392" s="276"/>
      <c r="CP1392" s="276"/>
      <c r="CQ1392" s="276"/>
      <c r="CU1392" s="276"/>
    </row>
    <row r="1393" spans="75:99" ht="15.75">
      <c r="BW1393" s="276"/>
      <c r="BY1393" s="276"/>
      <c r="BZ1393" s="276"/>
      <c r="CA1393" s="276"/>
      <c r="CB1393" s="276"/>
      <c r="CC1393" s="276"/>
      <c r="CD1393" s="276"/>
      <c r="CH1393" s="276"/>
      <c r="CJ1393" s="276"/>
      <c r="CK1393" s="276"/>
      <c r="CL1393" s="276"/>
      <c r="CM1393" s="276"/>
      <c r="CN1393" s="276"/>
      <c r="CO1393" s="276"/>
      <c r="CP1393" s="276"/>
      <c r="CQ1393" s="276"/>
      <c r="CU1393" s="276"/>
    </row>
    <row r="1394" spans="75:99" ht="15.75">
      <c r="BW1394" s="276"/>
      <c r="BY1394" s="276"/>
      <c r="BZ1394" s="276"/>
      <c r="CA1394" s="276"/>
      <c r="CB1394" s="276"/>
      <c r="CC1394" s="276"/>
      <c r="CD1394" s="276"/>
      <c r="CH1394" s="276"/>
      <c r="CJ1394" s="276"/>
      <c r="CK1394" s="276"/>
      <c r="CL1394" s="276"/>
      <c r="CM1394" s="276"/>
      <c r="CN1394" s="276"/>
      <c r="CO1394" s="276"/>
      <c r="CP1394" s="276"/>
      <c r="CQ1394" s="276"/>
      <c r="CU1394" s="276"/>
    </row>
    <row r="1395" spans="75:99" ht="15.75">
      <c r="BW1395" s="276"/>
      <c r="BY1395" s="276"/>
      <c r="BZ1395" s="276"/>
      <c r="CA1395" s="276"/>
      <c r="CB1395" s="276"/>
      <c r="CC1395" s="276"/>
      <c r="CD1395" s="276"/>
      <c r="CH1395" s="276"/>
      <c r="CJ1395" s="276"/>
      <c r="CK1395" s="276"/>
      <c r="CL1395" s="276"/>
      <c r="CM1395" s="276"/>
      <c r="CN1395" s="276"/>
      <c r="CO1395" s="276"/>
      <c r="CP1395" s="276"/>
      <c r="CQ1395" s="276"/>
      <c r="CU1395" s="276"/>
    </row>
    <row r="1396" spans="75:99" ht="15.75">
      <c r="BW1396" s="276"/>
      <c r="BY1396" s="276"/>
      <c r="BZ1396" s="276"/>
      <c r="CA1396" s="276"/>
      <c r="CB1396" s="276"/>
      <c r="CC1396" s="276"/>
      <c r="CD1396" s="276"/>
      <c r="CH1396" s="276"/>
      <c r="CJ1396" s="276"/>
      <c r="CK1396" s="276"/>
      <c r="CL1396" s="276"/>
      <c r="CM1396" s="276"/>
      <c r="CN1396" s="276"/>
      <c r="CO1396" s="276"/>
      <c r="CP1396" s="276"/>
      <c r="CQ1396" s="276"/>
      <c r="CU1396" s="276"/>
    </row>
    <row r="1397" spans="75:99" ht="15.75">
      <c r="BW1397" s="276"/>
      <c r="BY1397" s="276"/>
      <c r="BZ1397" s="276"/>
      <c r="CA1397" s="276"/>
      <c r="CB1397" s="276"/>
      <c r="CC1397" s="276"/>
      <c r="CD1397" s="276"/>
      <c r="CH1397" s="276"/>
      <c r="CJ1397" s="276"/>
      <c r="CK1397" s="276"/>
      <c r="CL1397" s="276"/>
      <c r="CM1397" s="276"/>
      <c r="CN1397" s="276"/>
      <c r="CO1397" s="276"/>
      <c r="CP1397" s="276"/>
      <c r="CQ1397" s="276"/>
      <c r="CU1397" s="276"/>
    </row>
    <row r="1398" spans="75:99" ht="15.75">
      <c r="BW1398" s="276"/>
      <c r="BY1398" s="276"/>
      <c r="BZ1398" s="276"/>
      <c r="CA1398" s="276"/>
      <c r="CB1398" s="276"/>
      <c r="CC1398" s="276"/>
      <c r="CD1398" s="276"/>
      <c r="CH1398" s="276"/>
      <c r="CJ1398" s="276"/>
      <c r="CK1398" s="276"/>
      <c r="CL1398" s="276"/>
      <c r="CM1398" s="276"/>
      <c r="CN1398" s="276"/>
      <c r="CO1398" s="276"/>
      <c r="CP1398" s="276"/>
      <c r="CQ1398" s="276"/>
      <c r="CU1398" s="276"/>
    </row>
    <row r="1399" spans="75:99" ht="15.75">
      <c r="BW1399" s="276"/>
      <c r="BY1399" s="276"/>
      <c r="BZ1399" s="276"/>
      <c r="CA1399" s="276"/>
      <c r="CB1399" s="276"/>
      <c r="CC1399" s="276"/>
      <c r="CD1399" s="276"/>
      <c r="CH1399" s="276"/>
      <c r="CJ1399" s="276"/>
      <c r="CK1399" s="276"/>
      <c r="CL1399" s="276"/>
      <c r="CM1399" s="276"/>
      <c r="CN1399" s="276"/>
      <c r="CO1399" s="276"/>
      <c r="CP1399" s="276"/>
      <c r="CQ1399" s="276"/>
      <c r="CU1399" s="276"/>
    </row>
    <row r="1400" spans="75:99" ht="15.75">
      <c r="BW1400" s="276"/>
      <c r="BY1400" s="276"/>
      <c r="BZ1400" s="276"/>
      <c r="CA1400" s="276"/>
      <c r="CB1400" s="276"/>
      <c r="CC1400" s="276"/>
      <c r="CD1400" s="276"/>
      <c r="CH1400" s="276"/>
      <c r="CJ1400" s="276"/>
      <c r="CK1400" s="276"/>
      <c r="CL1400" s="276"/>
      <c r="CM1400" s="276"/>
      <c r="CN1400" s="276"/>
      <c r="CO1400" s="276"/>
      <c r="CP1400" s="276"/>
      <c r="CQ1400" s="276"/>
      <c r="CU1400" s="276"/>
    </row>
    <row r="1401" spans="75:99" ht="15.75">
      <c r="BW1401" s="276"/>
      <c r="BY1401" s="276"/>
      <c r="BZ1401" s="276"/>
      <c r="CA1401" s="276"/>
      <c r="CB1401" s="276"/>
      <c r="CC1401" s="276"/>
      <c r="CD1401" s="276"/>
      <c r="CH1401" s="276"/>
      <c r="CJ1401" s="276"/>
      <c r="CK1401" s="276"/>
      <c r="CL1401" s="276"/>
      <c r="CM1401" s="276"/>
      <c r="CN1401" s="276"/>
      <c r="CO1401" s="276"/>
      <c r="CP1401" s="276"/>
      <c r="CQ1401" s="276"/>
      <c r="CU1401" s="276"/>
    </row>
    <row r="1402" spans="75:99" ht="15.75">
      <c r="BW1402" s="276"/>
      <c r="BY1402" s="276"/>
      <c r="BZ1402" s="276"/>
      <c r="CA1402" s="276"/>
      <c r="CB1402" s="276"/>
      <c r="CC1402" s="276"/>
      <c r="CD1402" s="276"/>
      <c r="CH1402" s="276"/>
      <c r="CJ1402" s="276"/>
      <c r="CK1402" s="276"/>
      <c r="CL1402" s="276"/>
      <c r="CM1402" s="276"/>
      <c r="CN1402" s="276"/>
      <c r="CO1402" s="276"/>
      <c r="CP1402" s="276"/>
      <c r="CQ1402" s="276"/>
      <c r="CU1402" s="276"/>
    </row>
    <row r="1403" spans="75:99" ht="15.75">
      <c r="BW1403" s="276"/>
      <c r="BY1403" s="276"/>
      <c r="BZ1403" s="276"/>
      <c r="CA1403" s="276"/>
      <c r="CB1403" s="276"/>
      <c r="CC1403" s="276"/>
      <c r="CD1403" s="276"/>
      <c r="CH1403" s="276"/>
      <c r="CJ1403" s="276"/>
      <c r="CK1403" s="276"/>
      <c r="CL1403" s="276"/>
      <c r="CM1403" s="276"/>
      <c r="CN1403" s="276"/>
      <c r="CO1403" s="276"/>
      <c r="CP1403" s="276"/>
      <c r="CQ1403" s="276"/>
      <c r="CU1403" s="276"/>
    </row>
    <row r="1404" spans="75:99" ht="15.75">
      <c r="BW1404" s="276"/>
      <c r="BY1404" s="276"/>
      <c r="BZ1404" s="276"/>
      <c r="CA1404" s="276"/>
      <c r="CB1404" s="276"/>
      <c r="CC1404" s="276"/>
      <c r="CD1404" s="276"/>
      <c r="CH1404" s="276"/>
      <c r="CJ1404" s="276"/>
      <c r="CK1404" s="276"/>
      <c r="CL1404" s="276"/>
      <c r="CM1404" s="276"/>
      <c r="CN1404" s="276"/>
      <c r="CO1404" s="276"/>
      <c r="CP1404" s="276"/>
      <c r="CQ1404" s="276"/>
      <c r="CU1404" s="276"/>
    </row>
    <row r="1405" spans="75:99" ht="15.75">
      <c r="BW1405" s="276"/>
      <c r="BY1405" s="276"/>
      <c r="BZ1405" s="276"/>
      <c r="CA1405" s="276"/>
      <c r="CB1405" s="276"/>
      <c r="CC1405" s="276"/>
      <c r="CD1405" s="276"/>
      <c r="CH1405" s="276"/>
      <c r="CJ1405" s="276"/>
      <c r="CK1405" s="276"/>
      <c r="CL1405" s="276"/>
      <c r="CM1405" s="276"/>
      <c r="CN1405" s="276"/>
      <c r="CO1405" s="276"/>
      <c r="CP1405" s="276"/>
      <c r="CQ1405" s="276"/>
      <c r="CU1405" s="276"/>
    </row>
    <row r="1406" spans="75:99" ht="15.75">
      <c r="BW1406" s="276"/>
      <c r="BY1406" s="276"/>
      <c r="BZ1406" s="276"/>
      <c r="CA1406" s="276"/>
      <c r="CB1406" s="276"/>
      <c r="CC1406" s="276"/>
      <c r="CD1406" s="276"/>
      <c r="CH1406" s="276"/>
      <c r="CJ1406" s="276"/>
      <c r="CK1406" s="276"/>
      <c r="CL1406" s="276"/>
      <c r="CM1406" s="276"/>
      <c r="CN1406" s="276"/>
      <c r="CO1406" s="276"/>
      <c r="CP1406" s="276"/>
      <c r="CQ1406" s="276"/>
      <c r="CU1406" s="276"/>
    </row>
    <row r="1407" spans="75:99" ht="15.75">
      <c r="BW1407" s="276"/>
      <c r="BY1407" s="276"/>
      <c r="BZ1407" s="276"/>
      <c r="CA1407" s="276"/>
      <c r="CB1407" s="276"/>
      <c r="CC1407" s="276"/>
      <c r="CD1407" s="276"/>
      <c r="CH1407" s="276"/>
      <c r="CJ1407" s="276"/>
      <c r="CK1407" s="276"/>
      <c r="CL1407" s="276"/>
      <c r="CM1407" s="276"/>
      <c r="CN1407" s="276"/>
      <c r="CO1407" s="276"/>
      <c r="CP1407" s="276"/>
      <c r="CQ1407" s="276"/>
      <c r="CU1407" s="276"/>
    </row>
    <row r="1408" spans="75:99" ht="15.75">
      <c r="BW1408" s="276"/>
      <c r="BY1408" s="276"/>
      <c r="BZ1408" s="276"/>
      <c r="CA1408" s="276"/>
      <c r="CB1408" s="276"/>
      <c r="CC1408" s="276"/>
      <c r="CD1408" s="276"/>
      <c r="CH1408" s="276"/>
      <c r="CJ1408" s="276"/>
      <c r="CK1408" s="276"/>
      <c r="CL1408" s="276"/>
      <c r="CM1408" s="276"/>
      <c r="CN1408" s="276"/>
      <c r="CO1408" s="276"/>
      <c r="CP1408" s="276"/>
      <c r="CQ1408" s="276"/>
      <c r="CU1408" s="276"/>
    </row>
    <row r="1409" spans="75:99" ht="15.75">
      <c r="BW1409" s="276"/>
      <c r="BY1409" s="276"/>
      <c r="BZ1409" s="276"/>
      <c r="CA1409" s="276"/>
      <c r="CB1409" s="276"/>
      <c r="CC1409" s="276"/>
      <c r="CD1409" s="276"/>
      <c r="CH1409" s="276"/>
      <c r="CJ1409" s="276"/>
      <c r="CK1409" s="276"/>
      <c r="CL1409" s="276"/>
      <c r="CM1409" s="276"/>
      <c r="CN1409" s="276"/>
      <c r="CO1409" s="276"/>
      <c r="CP1409" s="276"/>
      <c r="CQ1409" s="276"/>
      <c r="CU1409" s="276"/>
    </row>
    <row r="1410" spans="75:99" ht="15.75">
      <c r="BW1410" s="276"/>
      <c r="BY1410" s="276"/>
      <c r="BZ1410" s="276"/>
      <c r="CA1410" s="276"/>
      <c r="CB1410" s="276"/>
      <c r="CC1410" s="276"/>
      <c r="CD1410" s="276"/>
      <c r="CH1410" s="276"/>
      <c r="CJ1410" s="276"/>
      <c r="CK1410" s="276"/>
      <c r="CL1410" s="276"/>
      <c r="CM1410" s="276"/>
      <c r="CN1410" s="276"/>
      <c r="CO1410" s="276"/>
      <c r="CP1410" s="276"/>
      <c r="CQ1410" s="276"/>
      <c r="CU1410" s="276"/>
    </row>
    <row r="1411" spans="75:99" ht="15.75">
      <c r="BW1411" s="276"/>
      <c r="BY1411" s="276"/>
      <c r="BZ1411" s="276"/>
      <c r="CA1411" s="276"/>
      <c r="CB1411" s="276"/>
      <c r="CC1411" s="276"/>
      <c r="CD1411" s="276"/>
      <c r="CH1411" s="276"/>
      <c r="CJ1411" s="276"/>
      <c r="CK1411" s="276"/>
      <c r="CL1411" s="276"/>
      <c r="CM1411" s="276"/>
      <c r="CN1411" s="276"/>
      <c r="CO1411" s="276"/>
      <c r="CP1411" s="276"/>
      <c r="CQ1411" s="276"/>
      <c r="CU1411" s="276"/>
    </row>
    <row r="1412" spans="75:99" ht="15.75">
      <c r="BW1412" s="276"/>
      <c r="BY1412" s="276"/>
      <c r="BZ1412" s="276"/>
      <c r="CA1412" s="276"/>
      <c r="CB1412" s="276"/>
      <c r="CC1412" s="276"/>
      <c r="CD1412" s="276"/>
      <c r="CH1412" s="276"/>
      <c r="CJ1412" s="276"/>
      <c r="CK1412" s="276"/>
      <c r="CL1412" s="276"/>
      <c r="CM1412" s="276"/>
      <c r="CN1412" s="276"/>
      <c r="CO1412" s="276"/>
      <c r="CP1412" s="276"/>
      <c r="CQ1412" s="276"/>
      <c r="CU1412" s="276"/>
    </row>
    <row r="1413" spans="75:99" ht="15.75">
      <c r="BW1413" s="276"/>
      <c r="BY1413" s="276"/>
      <c r="BZ1413" s="276"/>
      <c r="CA1413" s="276"/>
      <c r="CB1413" s="276"/>
      <c r="CC1413" s="276"/>
      <c r="CD1413" s="276"/>
      <c r="CH1413" s="276"/>
      <c r="CJ1413" s="276"/>
      <c r="CK1413" s="276"/>
      <c r="CL1413" s="276"/>
      <c r="CM1413" s="276"/>
      <c r="CN1413" s="276"/>
      <c r="CO1413" s="276"/>
      <c r="CP1413" s="276"/>
      <c r="CQ1413" s="276"/>
      <c r="CU1413" s="276"/>
    </row>
    <row r="1414" spans="75:99" ht="15.75">
      <c r="BW1414" s="276"/>
      <c r="BY1414" s="276"/>
      <c r="BZ1414" s="276"/>
      <c r="CA1414" s="276"/>
      <c r="CB1414" s="276"/>
      <c r="CC1414" s="276"/>
      <c r="CD1414" s="276"/>
      <c r="CH1414" s="276"/>
      <c r="CJ1414" s="276"/>
      <c r="CK1414" s="276"/>
      <c r="CL1414" s="276"/>
      <c r="CM1414" s="276"/>
      <c r="CN1414" s="276"/>
      <c r="CO1414" s="276"/>
      <c r="CP1414" s="276"/>
      <c r="CQ1414" s="276"/>
      <c r="CU1414" s="276"/>
    </row>
    <row r="1415" spans="75:99" ht="15.75">
      <c r="BW1415" s="276"/>
      <c r="BY1415" s="276"/>
      <c r="BZ1415" s="276"/>
      <c r="CA1415" s="276"/>
      <c r="CB1415" s="276"/>
      <c r="CC1415" s="276"/>
      <c r="CD1415" s="276"/>
      <c r="CH1415" s="276"/>
      <c r="CJ1415" s="276"/>
      <c r="CK1415" s="276"/>
      <c r="CL1415" s="276"/>
      <c r="CM1415" s="276"/>
      <c r="CN1415" s="276"/>
      <c r="CO1415" s="276"/>
      <c r="CP1415" s="276"/>
      <c r="CQ1415" s="276"/>
      <c r="CU1415" s="276"/>
    </row>
    <row r="1416" spans="75:99" ht="15.75">
      <c r="BW1416" s="276"/>
      <c r="BY1416" s="276"/>
      <c r="BZ1416" s="276"/>
      <c r="CA1416" s="276"/>
      <c r="CB1416" s="276"/>
      <c r="CC1416" s="276"/>
      <c r="CD1416" s="276"/>
      <c r="CH1416" s="276"/>
      <c r="CJ1416" s="276"/>
      <c r="CK1416" s="276"/>
      <c r="CL1416" s="276"/>
      <c r="CM1416" s="276"/>
      <c r="CN1416" s="276"/>
      <c r="CO1416" s="276"/>
      <c r="CP1416" s="276"/>
      <c r="CQ1416" s="276"/>
      <c r="CU1416" s="276"/>
    </row>
    <row r="1417" spans="75:99" ht="15.75">
      <c r="BW1417" s="276"/>
      <c r="BY1417" s="276"/>
      <c r="BZ1417" s="276"/>
      <c r="CA1417" s="276"/>
      <c r="CB1417" s="276"/>
      <c r="CC1417" s="276"/>
      <c r="CD1417" s="276"/>
      <c r="CH1417" s="276"/>
      <c r="CJ1417" s="276"/>
      <c r="CK1417" s="276"/>
      <c r="CL1417" s="276"/>
      <c r="CM1417" s="276"/>
      <c r="CN1417" s="276"/>
      <c r="CO1417" s="276"/>
      <c r="CP1417" s="276"/>
      <c r="CQ1417" s="276"/>
      <c r="CU1417" s="276"/>
    </row>
    <row r="1418" spans="75:99" ht="15.75">
      <c r="BW1418" s="276"/>
      <c r="BY1418" s="276"/>
      <c r="BZ1418" s="276"/>
      <c r="CA1418" s="276"/>
      <c r="CB1418" s="276"/>
      <c r="CC1418" s="276"/>
      <c r="CD1418" s="276"/>
      <c r="CH1418" s="276"/>
      <c r="CJ1418" s="276"/>
      <c r="CK1418" s="276"/>
      <c r="CL1418" s="276"/>
      <c r="CM1418" s="276"/>
      <c r="CN1418" s="276"/>
      <c r="CO1418" s="276"/>
      <c r="CP1418" s="276"/>
      <c r="CQ1418" s="276"/>
      <c r="CU1418" s="276"/>
    </row>
    <row r="1419" spans="75:99" ht="15.75">
      <c r="BW1419" s="276"/>
      <c r="BY1419" s="276"/>
      <c r="BZ1419" s="276"/>
      <c r="CA1419" s="276"/>
      <c r="CB1419" s="276"/>
      <c r="CC1419" s="276"/>
      <c r="CD1419" s="276"/>
      <c r="CH1419" s="276"/>
      <c r="CJ1419" s="276"/>
      <c r="CK1419" s="276"/>
      <c r="CL1419" s="276"/>
      <c r="CM1419" s="276"/>
      <c r="CN1419" s="276"/>
      <c r="CO1419" s="276"/>
      <c r="CP1419" s="276"/>
      <c r="CQ1419" s="276"/>
      <c r="CU1419" s="276"/>
    </row>
    <row r="1420" spans="75:99" ht="15.75">
      <c r="BW1420" s="276"/>
      <c r="BY1420" s="276"/>
      <c r="BZ1420" s="276"/>
      <c r="CA1420" s="276"/>
      <c r="CB1420" s="276"/>
      <c r="CC1420" s="276"/>
      <c r="CD1420" s="276"/>
      <c r="CH1420" s="276"/>
      <c r="CJ1420" s="276"/>
      <c r="CK1420" s="276"/>
      <c r="CL1420" s="276"/>
      <c r="CM1420" s="276"/>
      <c r="CN1420" s="276"/>
      <c r="CO1420" s="276"/>
      <c r="CP1420" s="276"/>
      <c r="CQ1420" s="276"/>
      <c r="CU1420" s="276"/>
    </row>
    <row r="1421" spans="75:99" ht="15.75">
      <c r="BW1421" s="276"/>
      <c r="BY1421" s="276"/>
      <c r="BZ1421" s="276"/>
      <c r="CA1421" s="276"/>
      <c r="CB1421" s="276"/>
      <c r="CC1421" s="276"/>
      <c r="CD1421" s="276"/>
      <c r="CH1421" s="276"/>
      <c r="CJ1421" s="276"/>
      <c r="CK1421" s="276"/>
      <c r="CL1421" s="276"/>
      <c r="CM1421" s="276"/>
      <c r="CN1421" s="276"/>
      <c r="CO1421" s="276"/>
      <c r="CP1421" s="276"/>
      <c r="CQ1421" s="276"/>
      <c r="CU1421" s="276"/>
    </row>
    <row r="1422" spans="75:99" ht="15.75">
      <c r="BW1422" s="276"/>
      <c r="BY1422" s="276"/>
      <c r="BZ1422" s="276"/>
      <c r="CA1422" s="276"/>
      <c r="CB1422" s="276"/>
      <c r="CC1422" s="276"/>
      <c r="CD1422" s="276"/>
      <c r="CH1422" s="276"/>
      <c r="CJ1422" s="276"/>
      <c r="CK1422" s="276"/>
      <c r="CL1422" s="276"/>
      <c r="CM1422" s="276"/>
      <c r="CN1422" s="276"/>
      <c r="CO1422" s="276"/>
      <c r="CP1422" s="276"/>
      <c r="CQ1422" s="276"/>
      <c r="CU1422" s="276"/>
    </row>
    <row r="1423" spans="75:99" ht="15.75">
      <c r="BW1423" s="276"/>
      <c r="BY1423" s="276"/>
      <c r="BZ1423" s="276"/>
      <c r="CA1423" s="276"/>
      <c r="CB1423" s="276"/>
      <c r="CC1423" s="276"/>
      <c r="CD1423" s="276"/>
      <c r="CH1423" s="276"/>
      <c r="CJ1423" s="276"/>
      <c r="CK1423" s="276"/>
      <c r="CL1423" s="276"/>
      <c r="CM1423" s="276"/>
      <c r="CN1423" s="276"/>
      <c r="CO1423" s="276"/>
      <c r="CP1423" s="276"/>
      <c r="CQ1423" s="276"/>
      <c r="CU1423" s="276"/>
    </row>
    <row r="1424" spans="75:99" ht="15.75">
      <c r="BW1424" s="276"/>
      <c r="BY1424" s="276"/>
      <c r="BZ1424" s="276"/>
      <c r="CA1424" s="276"/>
      <c r="CB1424" s="276"/>
      <c r="CC1424" s="276"/>
      <c r="CD1424" s="276"/>
      <c r="CH1424" s="276"/>
      <c r="CJ1424" s="276"/>
      <c r="CK1424" s="276"/>
      <c r="CL1424" s="276"/>
      <c r="CM1424" s="276"/>
      <c r="CN1424" s="276"/>
      <c r="CO1424" s="276"/>
      <c r="CP1424" s="276"/>
      <c r="CQ1424" s="276"/>
      <c r="CU1424" s="276"/>
    </row>
    <row r="1425" spans="75:99" ht="15.75">
      <c r="BW1425" s="276"/>
      <c r="BY1425" s="276"/>
      <c r="BZ1425" s="276"/>
      <c r="CA1425" s="276"/>
      <c r="CB1425" s="276"/>
      <c r="CC1425" s="276"/>
      <c r="CD1425" s="276"/>
      <c r="CH1425" s="276"/>
      <c r="CJ1425" s="276"/>
      <c r="CK1425" s="276"/>
      <c r="CL1425" s="276"/>
      <c r="CM1425" s="276"/>
      <c r="CN1425" s="276"/>
      <c r="CO1425" s="276"/>
      <c r="CP1425" s="276"/>
      <c r="CQ1425" s="276"/>
      <c r="CU1425" s="276"/>
    </row>
    <row r="1426" spans="75:99" ht="15.75">
      <c r="BW1426" s="276"/>
      <c r="BY1426" s="276"/>
      <c r="BZ1426" s="276"/>
      <c r="CA1426" s="276"/>
      <c r="CB1426" s="276"/>
      <c r="CC1426" s="276"/>
      <c r="CD1426" s="276"/>
      <c r="CH1426" s="276"/>
      <c r="CJ1426" s="276"/>
      <c r="CK1426" s="276"/>
      <c r="CL1426" s="276"/>
      <c r="CM1426" s="276"/>
      <c r="CN1426" s="276"/>
      <c r="CO1426" s="276"/>
      <c r="CP1426" s="276"/>
      <c r="CQ1426" s="276"/>
      <c r="CU1426" s="276"/>
    </row>
    <row r="1427" spans="75:99" ht="15.75">
      <c r="BW1427" s="276"/>
      <c r="BY1427" s="276"/>
      <c r="BZ1427" s="276"/>
      <c r="CA1427" s="276"/>
      <c r="CB1427" s="276"/>
      <c r="CC1427" s="276"/>
      <c r="CD1427" s="276"/>
      <c r="CH1427" s="276"/>
      <c r="CJ1427" s="276"/>
      <c r="CK1427" s="276"/>
      <c r="CL1427" s="276"/>
      <c r="CM1427" s="276"/>
      <c r="CN1427" s="276"/>
      <c r="CO1427" s="276"/>
      <c r="CP1427" s="276"/>
      <c r="CQ1427" s="276"/>
      <c r="CU1427" s="276"/>
    </row>
    <row r="1428" spans="75:99" ht="15.75">
      <c r="BW1428" s="276"/>
      <c r="BY1428" s="276"/>
      <c r="BZ1428" s="276"/>
      <c r="CA1428" s="276"/>
      <c r="CB1428" s="276"/>
      <c r="CC1428" s="276"/>
      <c r="CD1428" s="276"/>
      <c r="CH1428" s="276"/>
      <c r="CJ1428" s="276"/>
      <c r="CK1428" s="276"/>
      <c r="CL1428" s="276"/>
      <c r="CM1428" s="276"/>
      <c r="CN1428" s="276"/>
      <c r="CO1428" s="276"/>
      <c r="CP1428" s="276"/>
      <c r="CQ1428" s="276"/>
      <c r="CU1428" s="276"/>
    </row>
    <row r="1429" spans="75:99" ht="15.75">
      <c r="BW1429" s="276"/>
      <c r="BY1429" s="276"/>
      <c r="BZ1429" s="276"/>
      <c r="CA1429" s="276"/>
      <c r="CB1429" s="276"/>
      <c r="CC1429" s="276"/>
      <c r="CD1429" s="276"/>
      <c r="CH1429" s="276"/>
      <c r="CJ1429" s="276"/>
      <c r="CK1429" s="276"/>
      <c r="CL1429" s="276"/>
      <c r="CM1429" s="276"/>
      <c r="CN1429" s="276"/>
      <c r="CO1429" s="276"/>
      <c r="CP1429" s="276"/>
      <c r="CQ1429" s="276"/>
      <c r="CU1429" s="276"/>
    </row>
    <row r="1430" spans="75:99" ht="15.75">
      <c r="BW1430" s="276"/>
      <c r="BY1430" s="276"/>
      <c r="BZ1430" s="276"/>
      <c r="CA1430" s="276"/>
      <c r="CB1430" s="276"/>
      <c r="CC1430" s="276"/>
      <c r="CD1430" s="276"/>
      <c r="CH1430" s="276"/>
      <c r="CJ1430" s="276"/>
      <c r="CK1430" s="276"/>
      <c r="CL1430" s="276"/>
      <c r="CM1430" s="276"/>
      <c r="CN1430" s="276"/>
      <c r="CO1430" s="276"/>
      <c r="CP1430" s="276"/>
      <c r="CQ1430" s="276"/>
      <c r="CU1430" s="276"/>
    </row>
    <row r="1431" spans="75:99" ht="15.75">
      <c r="BW1431" s="276"/>
      <c r="BY1431" s="276"/>
      <c r="BZ1431" s="276"/>
      <c r="CA1431" s="276"/>
      <c r="CB1431" s="276"/>
      <c r="CC1431" s="276"/>
      <c r="CD1431" s="276"/>
      <c r="CH1431" s="276"/>
      <c r="CJ1431" s="276"/>
      <c r="CK1431" s="276"/>
      <c r="CL1431" s="276"/>
      <c r="CM1431" s="276"/>
      <c r="CN1431" s="276"/>
      <c r="CO1431" s="276"/>
      <c r="CP1431" s="276"/>
      <c r="CQ1431" s="276"/>
      <c r="CU1431" s="276"/>
    </row>
    <row r="1432" spans="75:99" ht="15.75">
      <c r="BW1432" s="276"/>
      <c r="BY1432" s="276"/>
      <c r="BZ1432" s="276"/>
      <c r="CA1432" s="276"/>
      <c r="CB1432" s="276"/>
      <c r="CC1432" s="276"/>
      <c r="CD1432" s="276"/>
      <c r="CH1432" s="276"/>
      <c r="CJ1432" s="276"/>
      <c r="CK1432" s="276"/>
      <c r="CL1432" s="276"/>
      <c r="CM1432" s="276"/>
      <c r="CN1432" s="276"/>
      <c r="CO1432" s="276"/>
      <c r="CP1432" s="276"/>
      <c r="CQ1432" s="276"/>
      <c r="CU1432" s="276"/>
    </row>
    <row r="1433" spans="75:99" ht="15.75">
      <c r="BW1433" s="276"/>
      <c r="BY1433" s="276"/>
      <c r="BZ1433" s="276"/>
      <c r="CA1433" s="276"/>
      <c r="CB1433" s="276"/>
      <c r="CC1433" s="276"/>
      <c r="CD1433" s="276"/>
      <c r="CH1433" s="276"/>
      <c r="CJ1433" s="276"/>
      <c r="CK1433" s="276"/>
      <c r="CL1433" s="276"/>
      <c r="CM1433" s="276"/>
      <c r="CN1433" s="276"/>
      <c r="CO1433" s="276"/>
      <c r="CP1433" s="276"/>
      <c r="CQ1433" s="276"/>
      <c r="CU1433" s="276"/>
    </row>
    <row r="1434" spans="75:99" ht="15.75">
      <c r="BW1434" s="276"/>
      <c r="BY1434" s="276"/>
      <c r="BZ1434" s="276"/>
      <c r="CA1434" s="276"/>
      <c r="CB1434" s="276"/>
      <c r="CC1434" s="276"/>
      <c r="CD1434" s="276"/>
      <c r="CH1434" s="276"/>
      <c r="CJ1434" s="276"/>
      <c r="CK1434" s="276"/>
      <c r="CL1434" s="276"/>
      <c r="CM1434" s="276"/>
      <c r="CN1434" s="276"/>
      <c r="CO1434" s="276"/>
      <c r="CP1434" s="276"/>
      <c r="CQ1434" s="276"/>
      <c r="CU1434" s="276"/>
    </row>
    <row r="1435" spans="75:99" ht="15.75">
      <c r="BW1435" s="276"/>
      <c r="BY1435" s="276"/>
      <c r="BZ1435" s="276"/>
      <c r="CA1435" s="276"/>
      <c r="CB1435" s="276"/>
      <c r="CC1435" s="276"/>
      <c r="CD1435" s="276"/>
      <c r="CH1435" s="276"/>
      <c r="CJ1435" s="276"/>
      <c r="CK1435" s="276"/>
      <c r="CL1435" s="276"/>
      <c r="CM1435" s="276"/>
      <c r="CN1435" s="276"/>
      <c r="CO1435" s="276"/>
      <c r="CP1435" s="276"/>
      <c r="CQ1435" s="276"/>
      <c r="CU1435" s="276"/>
    </row>
    <row r="1436" spans="75:99" ht="15.75">
      <c r="BW1436" s="276"/>
      <c r="BY1436" s="276"/>
      <c r="BZ1436" s="276"/>
      <c r="CA1436" s="276"/>
      <c r="CB1436" s="276"/>
      <c r="CC1436" s="276"/>
      <c r="CD1436" s="276"/>
      <c r="CH1436" s="276"/>
      <c r="CJ1436" s="276"/>
      <c r="CK1436" s="276"/>
      <c r="CL1436" s="276"/>
      <c r="CM1436" s="276"/>
      <c r="CN1436" s="276"/>
      <c r="CO1436" s="276"/>
      <c r="CP1436" s="276"/>
      <c r="CQ1436" s="276"/>
      <c r="CU1436" s="276"/>
    </row>
    <row r="1437" spans="75:99" ht="15.75">
      <c r="BW1437" s="276"/>
      <c r="BY1437" s="276"/>
      <c r="BZ1437" s="276"/>
      <c r="CA1437" s="276"/>
      <c r="CB1437" s="276"/>
      <c r="CC1437" s="276"/>
      <c r="CD1437" s="276"/>
      <c r="CH1437" s="276"/>
      <c r="CJ1437" s="276"/>
      <c r="CK1437" s="276"/>
      <c r="CL1437" s="276"/>
      <c r="CM1437" s="276"/>
      <c r="CN1437" s="276"/>
      <c r="CO1437" s="276"/>
      <c r="CP1437" s="276"/>
      <c r="CQ1437" s="276"/>
      <c r="CU1437" s="276"/>
    </row>
    <row r="1438" spans="75:99" ht="15.75">
      <c r="BW1438" s="276"/>
      <c r="BY1438" s="276"/>
      <c r="BZ1438" s="276"/>
      <c r="CA1438" s="276"/>
      <c r="CB1438" s="276"/>
      <c r="CC1438" s="276"/>
      <c r="CD1438" s="276"/>
      <c r="CH1438" s="276"/>
      <c r="CJ1438" s="276"/>
      <c r="CK1438" s="276"/>
      <c r="CL1438" s="276"/>
      <c r="CM1438" s="276"/>
      <c r="CN1438" s="276"/>
      <c r="CO1438" s="276"/>
      <c r="CP1438" s="276"/>
      <c r="CQ1438" s="276"/>
      <c r="CU1438" s="276"/>
    </row>
    <row r="1439" spans="75:99" ht="15.75">
      <c r="BW1439" s="276"/>
      <c r="BY1439" s="276"/>
      <c r="BZ1439" s="276"/>
      <c r="CA1439" s="276"/>
      <c r="CB1439" s="276"/>
      <c r="CC1439" s="276"/>
      <c r="CD1439" s="276"/>
      <c r="CH1439" s="276"/>
      <c r="CJ1439" s="276"/>
      <c r="CK1439" s="276"/>
      <c r="CL1439" s="276"/>
      <c r="CM1439" s="276"/>
      <c r="CN1439" s="276"/>
      <c r="CO1439" s="276"/>
      <c r="CP1439" s="276"/>
      <c r="CQ1439" s="276"/>
      <c r="CU1439" s="276"/>
    </row>
    <row r="1440" spans="75:99" ht="15.75">
      <c r="BW1440" s="276"/>
      <c r="BY1440" s="276"/>
      <c r="BZ1440" s="276"/>
      <c r="CA1440" s="276"/>
      <c r="CB1440" s="276"/>
      <c r="CC1440" s="276"/>
      <c r="CD1440" s="276"/>
      <c r="CH1440" s="276"/>
      <c r="CJ1440" s="276"/>
      <c r="CK1440" s="276"/>
      <c r="CL1440" s="276"/>
      <c r="CM1440" s="276"/>
      <c r="CN1440" s="276"/>
      <c r="CO1440" s="276"/>
      <c r="CP1440" s="276"/>
      <c r="CQ1440" s="276"/>
      <c r="CU1440" s="276"/>
    </row>
    <row r="1441" spans="75:99" ht="15.75">
      <c r="BW1441" s="276"/>
      <c r="BY1441" s="276"/>
      <c r="BZ1441" s="276"/>
      <c r="CA1441" s="276"/>
      <c r="CB1441" s="276"/>
      <c r="CC1441" s="276"/>
      <c r="CD1441" s="276"/>
      <c r="CH1441" s="276"/>
      <c r="CJ1441" s="276"/>
      <c r="CK1441" s="276"/>
      <c r="CL1441" s="276"/>
      <c r="CM1441" s="276"/>
      <c r="CN1441" s="276"/>
      <c r="CO1441" s="276"/>
      <c r="CP1441" s="276"/>
      <c r="CQ1441" s="276"/>
      <c r="CU1441" s="276"/>
    </row>
    <row r="1442" spans="75:99" ht="15.75">
      <c r="BW1442" s="276"/>
      <c r="BY1442" s="276"/>
      <c r="BZ1442" s="276"/>
      <c r="CA1442" s="276"/>
      <c r="CB1442" s="276"/>
      <c r="CC1442" s="276"/>
      <c r="CD1442" s="276"/>
      <c r="CH1442" s="276"/>
      <c r="CJ1442" s="276"/>
      <c r="CK1442" s="276"/>
      <c r="CL1442" s="276"/>
      <c r="CM1442" s="276"/>
      <c r="CN1442" s="276"/>
      <c r="CO1442" s="276"/>
      <c r="CP1442" s="276"/>
      <c r="CQ1442" s="276"/>
      <c r="CU1442" s="276"/>
    </row>
    <row r="1443" spans="75:99" ht="15.75">
      <c r="BW1443" s="276"/>
      <c r="BY1443" s="276"/>
      <c r="BZ1443" s="276"/>
      <c r="CA1443" s="276"/>
      <c r="CB1443" s="276"/>
      <c r="CC1443" s="276"/>
      <c r="CD1443" s="276"/>
      <c r="CH1443" s="276"/>
      <c r="CJ1443" s="276"/>
      <c r="CK1443" s="276"/>
      <c r="CL1443" s="276"/>
      <c r="CM1443" s="276"/>
      <c r="CN1443" s="276"/>
      <c r="CO1443" s="276"/>
      <c r="CP1443" s="276"/>
      <c r="CQ1443" s="276"/>
      <c r="CU1443" s="276"/>
    </row>
    <row r="1444" spans="75:99" ht="15.75">
      <c r="BW1444" s="276"/>
      <c r="BY1444" s="276"/>
      <c r="BZ1444" s="276"/>
      <c r="CA1444" s="276"/>
      <c r="CB1444" s="276"/>
      <c r="CC1444" s="276"/>
      <c r="CD1444" s="276"/>
      <c r="CH1444" s="276"/>
      <c r="CJ1444" s="276"/>
      <c r="CK1444" s="276"/>
      <c r="CL1444" s="276"/>
      <c r="CM1444" s="276"/>
      <c r="CN1444" s="276"/>
      <c r="CO1444" s="276"/>
      <c r="CP1444" s="276"/>
      <c r="CQ1444" s="276"/>
      <c r="CU1444" s="276"/>
    </row>
    <row r="1445" spans="75:99" ht="15.75">
      <c r="BW1445" s="276"/>
      <c r="BY1445" s="276"/>
      <c r="BZ1445" s="276"/>
      <c r="CA1445" s="276"/>
      <c r="CB1445" s="276"/>
      <c r="CC1445" s="276"/>
      <c r="CD1445" s="276"/>
      <c r="CH1445" s="276"/>
      <c r="CJ1445" s="276"/>
      <c r="CK1445" s="276"/>
      <c r="CL1445" s="276"/>
      <c r="CM1445" s="276"/>
      <c r="CN1445" s="276"/>
      <c r="CO1445" s="276"/>
      <c r="CP1445" s="276"/>
      <c r="CQ1445" s="276"/>
      <c r="CU1445" s="276"/>
    </row>
    <row r="1446" spans="75:99" ht="15.75">
      <c r="BW1446" s="276"/>
      <c r="BY1446" s="276"/>
      <c r="BZ1446" s="276"/>
      <c r="CA1446" s="276"/>
      <c r="CB1446" s="276"/>
      <c r="CC1446" s="276"/>
      <c r="CD1446" s="276"/>
      <c r="CH1446" s="276"/>
      <c r="CJ1446" s="276"/>
      <c r="CK1446" s="276"/>
      <c r="CL1446" s="276"/>
      <c r="CM1446" s="276"/>
      <c r="CN1446" s="276"/>
      <c r="CO1446" s="276"/>
      <c r="CP1446" s="276"/>
      <c r="CQ1446" s="276"/>
      <c r="CU1446" s="276"/>
    </row>
    <row r="1447" spans="75:99" ht="15.75">
      <c r="BW1447" s="276"/>
      <c r="BY1447" s="276"/>
      <c r="BZ1447" s="276"/>
      <c r="CA1447" s="276"/>
      <c r="CB1447" s="276"/>
      <c r="CC1447" s="276"/>
      <c r="CD1447" s="276"/>
      <c r="CH1447" s="276"/>
      <c r="CJ1447" s="276"/>
      <c r="CK1447" s="276"/>
      <c r="CL1447" s="276"/>
      <c r="CM1447" s="276"/>
      <c r="CN1447" s="276"/>
      <c r="CO1447" s="276"/>
      <c r="CP1447" s="276"/>
      <c r="CQ1447" s="276"/>
      <c r="CU1447" s="276"/>
    </row>
    <row r="1448" spans="75:99" ht="15.75">
      <c r="BW1448" s="276"/>
      <c r="BY1448" s="276"/>
      <c r="BZ1448" s="276"/>
      <c r="CA1448" s="276"/>
      <c r="CB1448" s="276"/>
      <c r="CC1448" s="276"/>
      <c r="CD1448" s="276"/>
      <c r="CH1448" s="276"/>
      <c r="CJ1448" s="276"/>
      <c r="CK1448" s="276"/>
      <c r="CL1448" s="276"/>
      <c r="CM1448" s="276"/>
      <c r="CN1448" s="276"/>
      <c r="CO1448" s="276"/>
      <c r="CP1448" s="276"/>
      <c r="CQ1448" s="276"/>
      <c r="CU1448" s="276"/>
    </row>
    <row r="1449" spans="75:99" ht="15.75">
      <c r="BW1449" s="276"/>
      <c r="BY1449" s="276"/>
      <c r="BZ1449" s="276"/>
      <c r="CA1449" s="276"/>
      <c r="CB1449" s="276"/>
      <c r="CC1449" s="276"/>
      <c r="CD1449" s="276"/>
      <c r="CH1449" s="276"/>
      <c r="CJ1449" s="276"/>
      <c r="CK1449" s="276"/>
      <c r="CL1449" s="276"/>
      <c r="CM1449" s="276"/>
      <c r="CN1449" s="276"/>
      <c r="CO1449" s="276"/>
      <c r="CP1449" s="276"/>
      <c r="CQ1449" s="276"/>
      <c r="CU1449" s="276"/>
    </row>
    <row r="1450" spans="75:99" ht="15.75">
      <c r="BW1450" s="276"/>
      <c r="BY1450" s="276"/>
      <c r="BZ1450" s="276"/>
      <c r="CA1450" s="276"/>
      <c r="CB1450" s="276"/>
      <c r="CC1450" s="276"/>
      <c r="CD1450" s="276"/>
      <c r="CH1450" s="276"/>
      <c r="CJ1450" s="276"/>
      <c r="CK1450" s="276"/>
      <c r="CL1450" s="276"/>
      <c r="CM1450" s="276"/>
      <c r="CN1450" s="276"/>
      <c r="CO1450" s="276"/>
      <c r="CP1450" s="276"/>
      <c r="CQ1450" s="276"/>
      <c r="CU1450" s="276"/>
    </row>
    <row r="1451" spans="75:99" ht="15.75">
      <c r="BW1451" s="276"/>
      <c r="BY1451" s="276"/>
      <c r="BZ1451" s="276"/>
      <c r="CA1451" s="276"/>
      <c r="CB1451" s="276"/>
      <c r="CC1451" s="276"/>
      <c r="CD1451" s="276"/>
      <c r="CH1451" s="276"/>
      <c r="CJ1451" s="276"/>
      <c r="CK1451" s="276"/>
      <c r="CL1451" s="276"/>
      <c r="CM1451" s="276"/>
      <c r="CN1451" s="276"/>
      <c r="CO1451" s="276"/>
      <c r="CP1451" s="276"/>
      <c r="CQ1451" s="276"/>
      <c r="CU1451" s="276"/>
    </row>
    <row r="1452" spans="75:99" ht="15.75">
      <c r="BW1452" s="276"/>
      <c r="BY1452" s="276"/>
      <c r="BZ1452" s="276"/>
      <c r="CA1452" s="276"/>
      <c r="CB1452" s="276"/>
      <c r="CC1452" s="276"/>
      <c r="CD1452" s="276"/>
      <c r="CH1452" s="276"/>
      <c r="CJ1452" s="276"/>
      <c r="CK1452" s="276"/>
      <c r="CL1452" s="276"/>
      <c r="CM1452" s="276"/>
      <c r="CN1452" s="276"/>
      <c r="CO1452" s="276"/>
      <c r="CP1452" s="276"/>
      <c r="CQ1452" s="276"/>
      <c r="CU1452" s="276"/>
    </row>
    <row r="1453" spans="75:99" ht="15.75">
      <c r="BW1453" s="276"/>
      <c r="BY1453" s="276"/>
      <c r="BZ1453" s="276"/>
      <c r="CA1453" s="276"/>
      <c r="CB1453" s="276"/>
      <c r="CC1453" s="276"/>
      <c r="CD1453" s="276"/>
      <c r="CH1453" s="276"/>
      <c r="CJ1453" s="276"/>
      <c r="CK1453" s="276"/>
      <c r="CL1453" s="276"/>
      <c r="CM1453" s="276"/>
      <c r="CN1453" s="276"/>
      <c r="CO1453" s="276"/>
      <c r="CP1453" s="276"/>
      <c r="CQ1453" s="276"/>
      <c r="CU1453" s="276"/>
    </row>
    <row r="1454" spans="75:99" ht="15.75">
      <c r="BW1454" s="276"/>
      <c r="BY1454" s="276"/>
      <c r="BZ1454" s="276"/>
      <c r="CA1454" s="276"/>
      <c r="CB1454" s="276"/>
      <c r="CC1454" s="276"/>
      <c r="CD1454" s="276"/>
      <c r="CH1454" s="276"/>
      <c r="CJ1454" s="276"/>
      <c r="CK1454" s="276"/>
      <c r="CL1454" s="276"/>
      <c r="CM1454" s="276"/>
      <c r="CN1454" s="276"/>
      <c r="CO1454" s="276"/>
      <c r="CP1454" s="276"/>
      <c r="CQ1454" s="276"/>
      <c r="CU1454" s="276"/>
    </row>
    <row r="1455" spans="75:99" ht="15.75">
      <c r="BW1455" s="276"/>
      <c r="BY1455" s="276"/>
      <c r="BZ1455" s="276"/>
      <c r="CA1455" s="276"/>
      <c r="CB1455" s="276"/>
      <c r="CC1455" s="276"/>
      <c r="CD1455" s="276"/>
      <c r="CH1455" s="276"/>
      <c r="CJ1455" s="276"/>
      <c r="CK1455" s="276"/>
      <c r="CL1455" s="276"/>
      <c r="CM1455" s="276"/>
      <c r="CN1455" s="276"/>
      <c r="CO1455" s="276"/>
      <c r="CP1455" s="276"/>
      <c r="CQ1455" s="276"/>
      <c r="CU1455" s="276"/>
    </row>
    <row r="1456" spans="75:99" ht="15.75">
      <c r="BW1456" s="276"/>
      <c r="BY1456" s="276"/>
      <c r="BZ1456" s="276"/>
      <c r="CA1456" s="276"/>
      <c r="CB1456" s="276"/>
      <c r="CC1456" s="276"/>
      <c r="CD1456" s="276"/>
      <c r="CH1456" s="276"/>
      <c r="CJ1456" s="276"/>
      <c r="CK1456" s="276"/>
      <c r="CL1456" s="276"/>
      <c r="CM1456" s="276"/>
      <c r="CN1456" s="276"/>
      <c r="CO1456" s="276"/>
      <c r="CP1456" s="276"/>
      <c r="CQ1456" s="276"/>
      <c r="CU1456" s="276"/>
    </row>
    <row r="1457" spans="75:99" ht="15.75">
      <c r="BW1457" s="276"/>
      <c r="BY1457" s="276"/>
      <c r="BZ1457" s="276"/>
      <c r="CA1457" s="276"/>
      <c r="CB1457" s="276"/>
      <c r="CC1457" s="276"/>
      <c r="CD1457" s="276"/>
      <c r="CH1457" s="276"/>
      <c r="CJ1457" s="276"/>
      <c r="CK1457" s="276"/>
      <c r="CL1457" s="276"/>
      <c r="CM1457" s="276"/>
      <c r="CN1457" s="276"/>
      <c r="CO1457" s="276"/>
      <c r="CP1457" s="276"/>
      <c r="CQ1457" s="276"/>
      <c r="CU1457" s="276"/>
    </row>
    <row r="1458" spans="75:99" ht="15.75">
      <c r="BW1458" s="276"/>
      <c r="BY1458" s="276"/>
      <c r="BZ1458" s="276"/>
      <c r="CA1458" s="276"/>
      <c r="CB1458" s="276"/>
      <c r="CC1458" s="276"/>
      <c r="CD1458" s="276"/>
      <c r="CH1458" s="276"/>
      <c r="CJ1458" s="276"/>
      <c r="CK1458" s="276"/>
      <c r="CL1458" s="276"/>
      <c r="CM1458" s="276"/>
      <c r="CN1458" s="276"/>
      <c r="CO1458" s="276"/>
      <c r="CP1458" s="276"/>
      <c r="CQ1458" s="276"/>
      <c r="CU1458" s="276"/>
    </row>
    <row r="1459" spans="75:99" ht="15.75">
      <c r="BW1459" s="276"/>
      <c r="BY1459" s="276"/>
      <c r="BZ1459" s="276"/>
      <c r="CA1459" s="276"/>
      <c r="CB1459" s="276"/>
      <c r="CC1459" s="276"/>
      <c r="CD1459" s="276"/>
      <c r="CH1459" s="276"/>
      <c r="CJ1459" s="276"/>
      <c r="CK1459" s="276"/>
      <c r="CL1459" s="276"/>
      <c r="CM1459" s="276"/>
      <c r="CN1459" s="276"/>
      <c r="CO1459" s="276"/>
      <c r="CP1459" s="276"/>
      <c r="CQ1459" s="276"/>
      <c r="CU1459" s="276"/>
    </row>
    <row r="1460" spans="75:99" ht="15.75">
      <c r="BW1460" s="276"/>
      <c r="BY1460" s="276"/>
      <c r="BZ1460" s="276"/>
      <c r="CA1460" s="276"/>
      <c r="CB1460" s="276"/>
      <c r="CC1460" s="276"/>
      <c r="CD1460" s="276"/>
      <c r="CH1460" s="276"/>
      <c r="CJ1460" s="276"/>
      <c r="CK1460" s="276"/>
      <c r="CL1460" s="276"/>
      <c r="CM1460" s="276"/>
      <c r="CN1460" s="276"/>
      <c r="CO1460" s="276"/>
      <c r="CP1460" s="276"/>
      <c r="CQ1460" s="276"/>
      <c r="CU1460" s="276"/>
    </row>
    <row r="1461" spans="75:99" ht="15.75">
      <c r="BW1461" s="276"/>
      <c r="BY1461" s="276"/>
      <c r="BZ1461" s="276"/>
      <c r="CA1461" s="276"/>
      <c r="CB1461" s="276"/>
      <c r="CC1461" s="276"/>
      <c r="CD1461" s="276"/>
      <c r="CH1461" s="276"/>
      <c r="CJ1461" s="276"/>
      <c r="CK1461" s="276"/>
      <c r="CL1461" s="276"/>
      <c r="CM1461" s="276"/>
      <c r="CN1461" s="276"/>
      <c r="CO1461" s="276"/>
      <c r="CP1461" s="276"/>
      <c r="CQ1461" s="276"/>
      <c r="CU1461" s="276"/>
    </row>
    <row r="1462" spans="75:99" ht="15.75">
      <c r="BW1462" s="276"/>
      <c r="BY1462" s="276"/>
      <c r="BZ1462" s="276"/>
      <c r="CA1462" s="276"/>
      <c r="CB1462" s="276"/>
      <c r="CC1462" s="276"/>
      <c r="CD1462" s="276"/>
      <c r="CH1462" s="276"/>
      <c r="CJ1462" s="276"/>
      <c r="CK1462" s="276"/>
      <c r="CL1462" s="276"/>
      <c r="CM1462" s="276"/>
      <c r="CN1462" s="276"/>
      <c r="CO1462" s="276"/>
      <c r="CP1462" s="276"/>
      <c r="CQ1462" s="276"/>
      <c r="CU1462" s="276"/>
    </row>
    <row r="1463" spans="75:99" ht="15.75">
      <c r="BW1463" s="276"/>
      <c r="BY1463" s="276"/>
      <c r="BZ1463" s="276"/>
      <c r="CA1463" s="276"/>
      <c r="CB1463" s="276"/>
      <c r="CC1463" s="276"/>
      <c r="CD1463" s="276"/>
      <c r="CH1463" s="276"/>
      <c r="CJ1463" s="276"/>
      <c r="CK1463" s="276"/>
      <c r="CL1463" s="276"/>
      <c r="CM1463" s="276"/>
      <c r="CN1463" s="276"/>
      <c r="CO1463" s="276"/>
      <c r="CP1463" s="276"/>
      <c r="CQ1463" s="276"/>
      <c r="CU1463" s="276"/>
    </row>
    <row r="1464" spans="75:99" ht="15.75">
      <c r="BW1464" s="276"/>
      <c r="BY1464" s="276"/>
      <c r="BZ1464" s="276"/>
      <c r="CA1464" s="276"/>
      <c r="CB1464" s="276"/>
      <c r="CC1464" s="276"/>
      <c r="CD1464" s="276"/>
      <c r="CH1464" s="276"/>
      <c r="CJ1464" s="276"/>
      <c r="CK1464" s="276"/>
      <c r="CL1464" s="276"/>
      <c r="CM1464" s="276"/>
      <c r="CN1464" s="276"/>
      <c r="CO1464" s="276"/>
      <c r="CP1464" s="276"/>
      <c r="CQ1464" s="276"/>
      <c r="CU1464" s="276"/>
    </row>
    <row r="1465" spans="75:99" ht="15.75">
      <c r="BW1465" s="276"/>
      <c r="BY1465" s="276"/>
      <c r="BZ1465" s="276"/>
      <c r="CA1465" s="276"/>
      <c r="CB1465" s="276"/>
      <c r="CC1465" s="276"/>
      <c r="CD1465" s="276"/>
      <c r="CH1465" s="276"/>
      <c r="CJ1465" s="276"/>
      <c r="CK1465" s="276"/>
      <c r="CL1465" s="276"/>
      <c r="CM1465" s="276"/>
      <c r="CN1465" s="276"/>
      <c r="CO1465" s="276"/>
      <c r="CP1465" s="276"/>
      <c r="CQ1465" s="276"/>
      <c r="CU1465" s="276"/>
    </row>
    <row r="1466" spans="75:99" ht="15.75">
      <c r="BW1466" s="276"/>
      <c r="BY1466" s="276"/>
      <c r="BZ1466" s="276"/>
      <c r="CA1466" s="276"/>
      <c r="CB1466" s="276"/>
      <c r="CC1466" s="276"/>
      <c r="CD1466" s="276"/>
      <c r="CH1466" s="276"/>
      <c r="CJ1466" s="276"/>
      <c r="CK1466" s="276"/>
      <c r="CL1466" s="276"/>
      <c r="CM1466" s="276"/>
      <c r="CN1466" s="276"/>
      <c r="CO1466" s="276"/>
      <c r="CP1466" s="276"/>
      <c r="CQ1466" s="276"/>
      <c r="CU1466" s="276"/>
    </row>
    <row r="1467" spans="75:99" ht="15.75">
      <c r="BW1467" s="276"/>
      <c r="BY1467" s="276"/>
      <c r="BZ1467" s="276"/>
      <c r="CA1467" s="276"/>
      <c r="CB1467" s="276"/>
      <c r="CC1467" s="276"/>
      <c r="CD1467" s="276"/>
      <c r="CH1467" s="276"/>
      <c r="CJ1467" s="276"/>
      <c r="CK1467" s="276"/>
      <c r="CL1467" s="276"/>
      <c r="CM1467" s="276"/>
      <c r="CN1467" s="276"/>
      <c r="CO1467" s="276"/>
      <c r="CP1467" s="276"/>
      <c r="CQ1467" s="276"/>
      <c r="CU1467" s="276"/>
    </row>
    <row r="1468" spans="75:99" ht="15.75">
      <c r="BW1468" s="276"/>
      <c r="BY1468" s="276"/>
      <c r="BZ1468" s="276"/>
      <c r="CA1468" s="276"/>
      <c r="CB1468" s="276"/>
      <c r="CC1468" s="276"/>
      <c r="CD1468" s="276"/>
      <c r="CH1468" s="276"/>
      <c r="CJ1468" s="276"/>
      <c r="CK1468" s="276"/>
      <c r="CL1468" s="276"/>
      <c r="CM1468" s="276"/>
      <c r="CN1468" s="276"/>
      <c r="CO1468" s="276"/>
      <c r="CP1468" s="276"/>
      <c r="CQ1468" s="276"/>
      <c r="CU1468" s="276"/>
    </row>
    <row r="1469" spans="75:99" ht="15.75">
      <c r="BW1469" s="276"/>
      <c r="BY1469" s="276"/>
      <c r="BZ1469" s="276"/>
      <c r="CA1469" s="276"/>
      <c r="CB1469" s="276"/>
      <c r="CC1469" s="276"/>
      <c r="CD1469" s="276"/>
      <c r="CH1469" s="276"/>
      <c r="CJ1469" s="276"/>
      <c r="CK1469" s="276"/>
      <c r="CL1469" s="276"/>
      <c r="CM1469" s="276"/>
      <c r="CN1469" s="276"/>
      <c r="CO1469" s="276"/>
      <c r="CP1469" s="276"/>
      <c r="CQ1469" s="276"/>
      <c r="CU1469" s="276"/>
    </row>
    <row r="1470" spans="75:99" ht="15.75">
      <c r="BW1470" s="276"/>
      <c r="BY1470" s="276"/>
      <c r="BZ1470" s="276"/>
      <c r="CA1470" s="276"/>
      <c r="CB1470" s="276"/>
      <c r="CC1470" s="276"/>
      <c r="CD1470" s="276"/>
      <c r="CH1470" s="276"/>
      <c r="CJ1470" s="276"/>
      <c r="CK1470" s="276"/>
      <c r="CL1470" s="276"/>
      <c r="CM1470" s="276"/>
      <c r="CN1470" s="276"/>
      <c r="CO1470" s="276"/>
      <c r="CP1470" s="276"/>
      <c r="CQ1470" s="276"/>
      <c r="CU1470" s="276"/>
    </row>
    <row r="1471" spans="75:99" ht="15.75">
      <c r="BW1471" s="276"/>
      <c r="BY1471" s="276"/>
      <c r="BZ1471" s="276"/>
      <c r="CA1471" s="276"/>
      <c r="CB1471" s="276"/>
      <c r="CC1471" s="276"/>
      <c r="CD1471" s="276"/>
      <c r="CH1471" s="276"/>
      <c r="CJ1471" s="276"/>
      <c r="CK1471" s="276"/>
      <c r="CL1471" s="276"/>
      <c r="CM1471" s="276"/>
      <c r="CN1471" s="276"/>
      <c r="CO1471" s="276"/>
      <c r="CP1471" s="276"/>
      <c r="CQ1471" s="276"/>
      <c r="CU1471" s="276"/>
    </row>
    <row r="1472" spans="75:99" ht="15.75">
      <c r="BW1472" s="276"/>
      <c r="BY1472" s="276"/>
      <c r="BZ1472" s="276"/>
      <c r="CA1472" s="276"/>
      <c r="CB1472" s="276"/>
      <c r="CC1472" s="276"/>
      <c r="CD1472" s="276"/>
      <c r="CH1472" s="276"/>
      <c r="CJ1472" s="276"/>
      <c r="CK1472" s="276"/>
      <c r="CL1472" s="276"/>
      <c r="CM1472" s="276"/>
      <c r="CN1472" s="276"/>
      <c r="CO1472" s="276"/>
      <c r="CP1472" s="276"/>
      <c r="CQ1472" s="276"/>
      <c r="CU1472" s="276"/>
    </row>
    <row r="1473" spans="75:99" ht="15.75">
      <c r="BW1473" s="276"/>
      <c r="BY1473" s="276"/>
      <c r="BZ1473" s="276"/>
      <c r="CA1473" s="276"/>
      <c r="CB1473" s="276"/>
      <c r="CC1473" s="276"/>
      <c r="CD1473" s="276"/>
      <c r="CH1473" s="276"/>
      <c r="CJ1473" s="276"/>
      <c r="CK1473" s="276"/>
      <c r="CL1473" s="276"/>
      <c r="CM1473" s="276"/>
      <c r="CN1473" s="276"/>
      <c r="CO1473" s="276"/>
      <c r="CP1473" s="276"/>
      <c r="CQ1473" s="276"/>
      <c r="CU1473" s="276"/>
    </row>
    <row r="1474" spans="75:99" ht="15.75">
      <c r="BW1474" s="276"/>
      <c r="BY1474" s="276"/>
      <c r="BZ1474" s="276"/>
      <c r="CA1474" s="276"/>
      <c r="CB1474" s="276"/>
      <c r="CC1474" s="276"/>
      <c r="CD1474" s="276"/>
      <c r="CH1474" s="276"/>
      <c r="CJ1474" s="276"/>
      <c r="CK1474" s="276"/>
      <c r="CL1474" s="276"/>
      <c r="CM1474" s="276"/>
      <c r="CN1474" s="276"/>
      <c r="CO1474" s="276"/>
      <c r="CP1474" s="276"/>
      <c r="CQ1474" s="276"/>
      <c r="CU1474" s="276"/>
    </row>
    <row r="1475" spans="75:99" ht="15.75">
      <c r="BW1475" s="276"/>
      <c r="BY1475" s="276"/>
      <c r="BZ1475" s="276"/>
      <c r="CA1475" s="276"/>
      <c r="CB1475" s="276"/>
      <c r="CC1475" s="276"/>
      <c r="CD1475" s="276"/>
      <c r="CH1475" s="276"/>
      <c r="CJ1475" s="276"/>
      <c r="CK1475" s="276"/>
      <c r="CL1475" s="276"/>
      <c r="CM1475" s="276"/>
      <c r="CN1475" s="276"/>
      <c r="CO1475" s="276"/>
      <c r="CP1475" s="276"/>
      <c r="CQ1475" s="276"/>
      <c r="CU1475" s="276"/>
    </row>
    <row r="1476" spans="75:99" ht="15.75">
      <c r="BW1476" s="276"/>
      <c r="BY1476" s="276"/>
      <c r="BZ1476" s="276"/>
      <c r="CA1476" s="276"/>
      <c r="CB1476" s="276"/>
      <c r="CC1476" s="276"/>
      <c r="CD1476" s="276"/>
      <c r="CH1476" s="276"/>
      <c r="CJ1476" s="276"/>
      <c r="CK1476" s="276"/>
      <c r="CL1476" s="276"/>
      <c r="CM1476" s="276"/>
      <c r="CN1476" s="276"/>
      <c r="CO1476" s="276"/>
      <c r="CP1476" s="276"/>
      <c r="CQ1476" s="276"/>
      <c r="CU1476" s="276"/>
    </row>
    <row r="1477" spans="75:99" ht="15.75">
      <c r="BW1477" s="276"/>
      <c r="BY1477" s="276"/>
      <c r="BZ1477" s="276"/>
      <c r="CA1477" s="276"/>
      <c r="CB1477" s="276"/>
      <c r="CC1477" s="276"/>
      <c r="CD1477" s="276"/>
      <c r="CH1477" s="276"/>
      <c r="CJ1477" s="276"/>
      <c r="CK1477" s="276"/>
      <c r="CL1477" s="276"/>
      <c r="CM1477" s="276"/>
      <c r="CN1477" s="276"/>
      <c r="CO1477" s="276"/>
      <c r="CP1477" s="276"/>
      <c r="CQ1477" s="276"/>
      <c r="CU1477" s="276"/>
    </row>
    <row r="1478" spans="75:99" ht="15.75">
      <c r="BW1478" s="276"/>
      <c r="BY1478" s="276"/>
      <c r="BZ1478" s="276"/>
      <c r="CA1478" s="276"/>
      <c r="CB1478" s="276"/>
      <c r="CC1478" s="276"/>
      <c r="CD1478" s="276"/>
      <c r="CH1478" s="276"/>
      <c r="CJ1478" s="276"/>
      <c r="CK1478" s="276"/>
      <c r="CL1478" s="276"/>
      <c r="CM1478" s="276"/>
      <c r="CN1478" s="276"/>
      <c r="CO1478" s="276"/>
      <c r="CP1478" s="276"/>
      <c r="CQ1478" s="276"/>
      <c r="CU1478" s="276"/>
    </row>
    <row r="1479" spans="75:99" ht="15.75">
      <c r="BW1479" s="276"/>
      <c r="BY1479" s="276"/>
      <c r="BZ1479" s="276"/>
      <c r="CA1479" s="276"/>
      <c r="CB1479" s="276"/>
      <c r="CC1479" s="276"/>
      <c r="CD1479" s="276"/>
      <c r="CH1479" s="276"/>
      <c r="CJ1479" s="276"/>
      <c r="CK1479" s="276"/>
      <c r="CL1479" s="276"/>
      <c r="CM1479" s="276"/>
      <c r="CN1479" s="276"/>
      <c r="CO1479" s="276"/>
      <c r="CP1479" s="276"/>
      <c r="CQ1479" s="276"/>
      <c r="CU1479" s="276"/>
    </row>
    <row r="1480" spans="75:99" ht="15.75">
      <c r="BW1480" s="276"/>
      <c r="BY1480" s="276"/>
      <c r="BZ1480" s="276"/>
      <c r="CA1480" s="276"/>
      <c r="CB1480" s="276"/>
      <c r="CC1480" s="276"/>
      <c r="CD1480" s="276"/>
      <c r="CH1480" s="276"/>
      <c r="CJ1480" s="276"/>
      <c r="CK1480" s="276"/>
      <c r="CL1480" s="276"/>
      <c r="CM1480" s="276"/>
      <c r="CN1480" s="276"/>
      <c r="CO1480" s="276"/>
      <c r="CP1480" s="276"/>
      <c r="CQ1480" s="276"/>
      <c r="CU1480" s="276"/>
    </row>
    <row r="1481" spans="75:99" ht="15.75">
      <c r="BW1481" s="276"/>
      <c r="BY1481" s="276"/>
      <c r="BZ1481" s="276"/>
      <c r="CA1481" s="276"/>
      <c r="CB1481" s="276"/>
      <c r="CC1481" s="276"/>
      <c r="CD1481" s="276"/>
      <c r="CH1481" s="276"/>
      <c r="CJ1481" s="276"/>
      <c r="CK1481" s="276"/>
      <c r="CL1481" s="276"/>
      <c r="CM1481" s="276"/>
      <c r="CN1481" s="276"/>
      <c r="CO1481" s="276"/>
      <c r="CP1481" s="276"/>
      <c r="CQ1481" s="276"/>
      <c r="CU1481" s="276"/>
    </row>
    <row r="1482" spans="75:99" ht="15.75">
      <c r="BW1482" s="276"/>
      <c r="BY1482" s="276"/>
      <c r="BZ1482" s="276"/>
      <c r="CA1482" s="276"/>
      <c r="CB1482" s="276"/>
      <c r="CC1482" s="276"/>
      <c r="CD1482" s="276"/>
      <c r="CH1482" s="276"/>
      <c r="CJ1482" s="276"/>
      <c r="CK1482" s="276"/>
      <c r="CL1482" s="276"/>
      <c r="CM1482" s="276"/>
      <c r="CN1482" s="276"/>
      <c r="CO1482" s="276"/>
      <c r="CP1482" s="276"/>
      <c r="CQ1482" s="276"/>
      <c r="CU1482" s="276"/>
    </row>
    <row r="1483" spans="75:99" ht="15.75">
      <c r="BW1483" s="276"/>
      <c r="BY1483" s="276"/>
      <c r="BZ1483" s="276"/>
      <c r="CA1483" s="276"/>
      <c r="CB1483" s="276"/>
      <c r="CC1483" s="276"/>
      <c r="CD1483" s="276"/>
      <c r="CH1483" s="276"/>
      <c r="CJ1483" s="276"/>
      <c r="CK1483" s="276"/>
      <c r="CL1483" s="276"/>
      <c r="CM1483" s="276"/>
      <c r="CN1483" s="276"/>
      <c r="CO1483" s="276"/>
      <c r="CP1483" s="276"/>
      <c r="CQ1483" s="276"/>
      <c r="CU1483" s="276"/>
    </row>
    <row r="1484" spans="75:99" ht="15.75">
      <c r="BW1484" s="276"/>
      <c r="BY1484" s="276"/>
      <c r="BZ1484" s="276"/>
      <c r="CA1484" s="276"/>
      <c r="CB1484" s="276"/>
      <c r="CC1484" s="276"/>
      <c r="CD1484" s="276"/>
      <c r="CH1484" s="276"/>
      <c r="CJ1484" s="276"/>
      <c r="CK1484" s="276"/>
      <c r="CL1484" s="276"/>
      <c r="CM1484" s="276"/>
      <c r="CN1484" s="276"/>
      <c r="CO1484" s="276"/>
      <c r="CP1484" s="276"/>
      <c r="CQ1484" s="276"/>
      <c r="CU1484" s="276"/>
    </row>
    <row r="1485" spans="75:99" ht="15.75">
      <c r="BW1485" s="276"/>
      <c r="BY1485" s="276"/>
      <c r="BZ1485" s="276"/>
      <c r="CA1485" s="276"/>
      <c r="CB1485" s="276"/>
      <c r="CC1485" s="276"/>
      <c r="CD1485" s="276"/>
      <c r="CH1485" s="276"/>
      <c r="CJ1485" s="276"/>
      <c r="CK1485" s="276"/>
      <c r="CL1485" s="276"/>
      <c r="CM1485" s="276"/>
      <c r="CN1485" s="276"/>
      <c r="CO1485" s="276"/>
      <c r="CP1485" s="276"/>
      <c r="CQ1485" s="276"/>
      <c r="CU1485" s="276"/>
    </row>
    <row r="1486" spans="75:99" ht="15.75">
      <c r="BW1486" s="276"/>
      <c r="BY1486" s="276"/>
      <c r="BZ1486" s="276"/>
      <c r="CA1486" s="276"/>
      <c r="CB1486" s="276"/>
      <c r="CC1486" s="276"/>
      <c r="CD1486" s="276"/>
      <c r="CH1486" s="276"/>
      <c r="CJ1486" s="276"/>
      <c r="CK1486" s="276"/>
      <c r="CL1486" s="276"/>
      <c r="CM1486" s="276"/>
      <c r="CN1486" s="276"/>
      <c r="CO1486" s="276"/>
      <c r="CP1486" s="276"/>
      <c r="CQ1486" s="276"/>
      <c r="CU1486" s="276"/>
    </row>
    <row r="1487" spans="75:99" ht="15.75">
      <c r="BW1487" s="276"/>
      <c r="BY1487" s="276"/>
      <c r="BZ1487" s="276"/>
      <c r="CA1487" s="276"/>
      <c r="CB1487" s="276"/>
      <c r="CC1487" s="276"/>
      <c r="CD1487" s="276"/>
      <c r="CH1487" s="276"/>
      <c r="CJ1487" s="276"/>
      <c r="CK1487" s="276"/>
      <c r="CL1487" s="276"/>
      <c r="CM1487" s="276"/>
      <c r="CN1487" s="276"/>
      <c r="CO1487" s="276"/>
      <c r="CP1487" s="276"/>
      <c r="CQ1487" s="276"/>
      <c r="CU1487" s="276"/>
    </row>
    <row r="1488" spans="75:99" ht="15.75">
      <c r="BW1488" s="276"/>
      <c r="BY1488" s="276"/>
      <c r="BZ1488" s="276"/>
      <c r="CA1488" s="276"/>
      <c r="CB1488" s="276"/>
      <c r="CC1488" s="276"/>
      <c r="CD1488" s="276"/>
      <c r="CH1488" s="276"/>
      <c r="CJ1488" s="276"/>
      <c r="CK1488" s="276"/>
      <c r="CL1488" s="276"/>
      <c r="CM1488" s="276"/>
      <c r="CN1488" s="276"/>
      <c r="CO1488" s="276"/>
      <c r="CP1488" s="276"/>
      <c r="CQ1488" s="276"/>
      <c r="CU1488" s="276"/>
    </row>
    <row r="1489" spans="75:99" ht="15.75">
      <c r="BW1489" s="276"/>
      <c r="BY1489" s="276"/>
      <c r="BZ1489" s="276"/>
      <c r="CA1489" s="276"/>
      <c r="CB1489" s="276"/>
      <c r="CC1489" s="276"/>
      <c r="CD1489" s="276"/>
      <c r="CH1489" s="276"/>
      <c r="CJ1489" s="276"/>
      <c r="CK1489" s="276"/>
      <c r="CL1489" s="276"/>
      <c r="CM1489" s="276"/>
      <c r="CN1489" s="276"/>
      <c r="CO1489" s="276"/>
      <c r="CP1489" s="276"/>
      <c r="CQ1489" s="276"/>
      <c r="CU1489" s="276"/>
    </row>
    <row r="1490" spans="75:99" ht="15.75">
      <c r="BW1490" s="276"/>
      <c r="BY1490" s="276"/>
      <c r="BZ1490" s="276"/>
      <c r="CA1490" s="276"/>
      <c r="CB1490" s="276"/>
      <c r="CC1490" s="276"/>
      <c r="CD1490" s="276"/>
      <c r="CH1490" s="276"/>
      <c r="CJ1490" s="276"/>
      <c r="CK1490" s="276"/>
      <c r="CL1490" s="276"/>
      <c r="CM1490" s="276"/>
      <c r="CN1490" s="276"/>
      <c r="CO1490" s="276"/>
      <c r="CP1490" s="276"/>
      <c r="CQ1490" s="276"/>
      <c r="CU1490" s="276"/>
    </row>
    <row r="1491" spans="75:99" ht="15.75">
      <c r="BW1491" s="276"/>
      <c r="BY1491" s="276"/>
      <c r="BZ1491" s="276"/>
      <c r="CA1491" s="276"/>
      <c r="CB1491" s="276"/>
      <c r="CC1491" s="276"/>
      <c r="CD1491" s="276"/>
      <c r="CH1491" s="276"/>
      <c r="CJ1491" s="276"/>
      <c r="CK1491" s="276"/>
      <c r="CL1491" s="276"/>
      <c r="CM1491" s="276"/>
      <c r="CN1491" s="276"/>
      <c r="CO1491" s="276"/>
      <c r="CP1491" s="276"/>
      <c r="CQ1491" s="276"/>
      <c r="CU1491" s="276"/>
    </row>
    <row r="1492" spans="75:99" ht="15.75">
      <c r="BW1492" s="276"/>
      <c r="BY1492" s="276"/>
      <c r="BZ1492" s="276"/>
      <c r="CA1492" s="276"/>
      <c r="CB1492" s="276"/>
      <c r="CC1492" s="276"/>
      <c r="CD1492" s="276"/>
      <c r="CH1492" s="276"/>
      <c r="CJ1492" s="276"/>
      <c r="CK1492" s="276"/>
      <c r="CL1492" s="276"/>
      <c r="CM1492" s="276"/>
      <c r="CN1492" s="276"/>
      <c r="CO1492" s="276"/>
      <c r="CP1492" s="276"/>
      <c r="CQ1492" s="276"/>
      <c r="CU1492" s="276"/>
    </row>
    <row r="1493" spans="75:99" ht="15.75">
      <c r="BW1493" s="276"/>
      <c r="BY1493" s="276"/>
      <c r="BZ1493" s="276"/>
      <c r="CA1493" s="276"/>
      <c r="CB1493" s="276"/>
      <c r="CC1493" s="276"/>
      <c r="CD1493" s="276"/>
      <c r="CH1493" s="276"/>
      <c r="CJ1493" s="276"/>
      <c r="CK1493" s="276"/>
      <c r="CL1493" s="276"/>
      <c r="CM1493" s="276"/>
      <c r="CN1493" s="276"/>
      <c r="CO1493" s="276"/>
      <c r="CP1493" s="276"/>
      <c r="CQ1493" s="276"/>
      <c r="CU1493" s="276"/>
    </row>
    <row r="1494" spans="75:99" ht="15.75">
      <c r="BW1494" s="276"/>
      <c r="BY1494" s="276"/>
      <c r="BZ1494" s="276"/>
      <c r="CA1494" s="276"/>
      <c r="CB1494" s="276"/>
      <c r="CC1494" s="276"/>
      <c r="CD1494" s="276"/>
      <c r="CH1494" s="276"/>
      <c r="CJ1494" s="276"/>
      <c r="CK1494" s="276"/>
      <c r="CL1494" s="276"/>
      <c r="CM1494" s="276"/>
      <c r="CN1494" s="276"/>
      <c r="CO1494" s="276"/>
      <c r="CP1494" s="276"/>
      <c r="CQ1494" s="276"/>
      <c r="CU1494" s="276"/>
    </row>
    <row r="1495" spans="75:99" ht="15.75">
      <c r="BW1495" s="276"/>
      <c r="BY1495" s="276"/>
      <c r="BZ1495" s="276"/>
      <c r="CA1495" s="276"/>
      <c r="CB1495" s="276"/>
      <c r="CC1495" s="276"/>
      <c r="CD1495" s="276"/>
      <c r="CH1495" s="276"/>
      <c r="CJ1495" s="276"/>
      <c r="CK1495" s="276"/>
      <c r="CL1495" s="276"/>
      <c r="CM1495" s="276"/>
      <c r="CN1495" s="276"/>
      <c r="CO1495" s="276"/>
      <c r="CP1495" s="276"/>
      <c r="CQ1495" s="276"/>
      <c r="CU1495" s="276"/>
    </row>
    <row r="1496" spans="75:99" ht="15.75">
      <c r="BW1496" s="276"/>
      <c r="BY1496" s="276"/>
      <c r="BZ1496" s="276"/>
      <c r="CA1496" s="276"/>
      <c r="CB1496" s="276"/>
      <c r="CC1496" s="276"/>
      <c r="CD1496" s="276"/>
      <c r="CH1496" s="276"/>
      <c r="CJ1496" s="276"/>
      <c r="CK1496" s="276"/>
      <c r="CL1496" s="276"/>
      <c r="CM1496" s="276"/>
      <c r="CN1496" s="276"/>
      <c r="CO1496" s="276"/>
      <c r="CP1496" s="276"/>
      <c r="CQ1496" s="276"/>
      <c r="CU1496" s="276"/>
    </row>
    <row r="1497" spans="75:99" ht="15.75">
      <c r="BW1497" s="276"/>
      <c r="BY1497" s="276"/>
      <c r="BZ1497" s="276"/>
      <c r="CA1497" s="276"/>
      <c r="CB1497" s="276"/>
      <c r="CC1497" s="276"/>
      <c r="CD1497" s="276"/>
      <c r="CH1497" s="276"/>
      <c r="CJ1497" s="276"/>
      <c r="CK1497" s="276"/>
      <c r="CL1497" s="276"/>
      <c r="CM1497" s="276"/>
      <c r="CN1497" s="276"/>
      <c r="CO1497" s="276"/>
      <c r="CP1497" s="276"/>
      <c r="CQ1497" s="276"/>
      <c r="CU1497" s="276"/>
    </row>
    <row r="1498" spans="75:99" ht="15.75">
      <c r="BW1498" s="276"/>
      <c r="BY1498" s="276"/>
      <c r="BZ1498" s="276"/>
      <c r="CA1498" s="276"/>
      <c r="CB1498" s="276"/>
      <c r="CC1498" s="276"/>
      <c r="CD1498" s="276"/>
      <c r="CH1498" s="276"/>
      <c r="CJ1498" s="276"/>
      <c r="CK1498" s="276"/>
      <c r="CL1498" s="276"/>
      <c r="CM1498" s="276"/>
      <c r="CN1498" s="276"/>
      <c r="CO1498" s="276"/>
      <c r="CP1498" s="276"/>
      <c r="CQ1498" s="276"/>
      <c r="CU1498" s="276"/>
    </row>
    <row r="1499" spans="75:99" ht="15.75">
      <c r="BW1499" s="276"/>
      <c r="BY1499" s="276"/>
      <c r="BZ1499" s="276"/>
      <c r="CA1499" s="276"/>
      <c r="CB1499" s="276"/>
      <c r="CC1499" s="276"/>
      <c r="CD1499" s="276"/>
      <c r="CH1499" s="276"/>
      <c r="CJ1499" s="276"/>
      <c r="CK1499" s="276"/>
      <c r="CL1499" s="276"/>
      <c r="CM1499" s="276"/>
      <c r="CN1499" s="276"/>
      <c r="CO1499" s="276"/>
      <c r="CP1499" s="276"/>
      <c r="CQ1499" s="276"/>
      <c r="CU1499" s="276"/>
    </row>
    <row r="1500" spans="75:99" ht="15.75">
      <c r="BW1500" s="276"/>
      <c r="BY1500" s="276"/>
      <c r="BZ1500" s="276"/>
      <c r="CA1500" s="276"/>
      <c r="CB1500" s="276"/>
      <c r="CC1500" s="276"/>
      <c r="CD1500" s="276"/>
      <c r="CH1500" s="276"/>
      <c r="CJ1500" s="276"/>
      <c r="CK1500" s="276"/>
      <c r="CL1500" s="276"/>
      <c r="CM1500" s="276"/>
      <c r="CN1500" s="276"/>
      <c r="CO1500" s="276"/>
      <c r="CP1500" s="276"/>
      <c r="CQ1500" s="276"/>
      <c r="CU1500" s="276"/>
    </row>
    <row r="1501" spans="75:99" ht="15.75">
      <c r="BW1501" s="276"/>
      <c r="BY1501" s="276"/>
      <c r="BZ1501" s="276"/>
      <c r="CA1501" s="276"/>
      <c r="CB1501" s="276"/>
      <c r="CC1501" s="276"/>
      <c r="CD1501" s="276"/>
      <c r="CH1501" s="276"/>
      <c r="CJ1501" s="276"/>
      <c r="CK1501" s="276"/>
      <c r="CL1501" s="276"/>
      <c r="CM1501" s="276"/>
      <c r="CN1501" s="276"/>
      <c r="CO1501" s="276"/>
      <c r="CP1501" s="276"/>
      <c r="CQ1501" s="276"/>
      <c r="CU1501" s="276"/>
    </row>
    <row r="1502" spans="75:99" ht="15.75">
      <c r="BW1502" s="276"/>
      <c r="BY1502" s="276"/>
      <c r="BZ1502" s="276"/>
      <c r="CA1502" s="276"/>
      <c r="CB1502" s="276"/>
      <c r="CC1502" s="276"/>
      <c r="CD1502" s="276"/>
      <c r="CH1502" s="276"/>
      <c r="CJ1502" s="276"/>
      <c r="CK1502" s="276"/>
      <c r="CL1502" s="276"/>
      <c r="CM1502" s="276"/>
      <c r="CN1502" s="276"/>
      <c r="CO1502" s="276"/>
      <c r="CP1502" s="276"/>
      <c r="CQ1502" s="276"/>
      <c r="CU1502" s="276"/>
    </row>
    <row r="1503" spans="75:99" ht="15.75">
      <c r="BW1503" s="276"/>
      <c r="BY1503" s="276"/>
      <c r="BZ1503" s="276"/>
      <c r="CA1503" s="276"/>
      <c r="CB1503" s="276"/>
      <c r="CC1503" s="276"/>
      <c r="CD1503" s="276"/>
      <c r="CH1503" s="276"/>
      <c r="CJ1503" s="276"/>
      <c r="CK1503" s="276"/>
      <c r="CL1503" s="276"/>
      <c r="CM1503" s="276"/>
      <c r="CN1503" s="276"/>
      <c r="CO1503" s="276"/>
      <c r="CP1503" s="276"/>
      <c r="CQ1503" s="276"/>
      <c r="CU1503" s="276"/>
    </row>
    <row r="1504" spans="75:99" ht="15.75">
      <c r="BW1504" s="276"/>
      <c r="BY1504" s="276"/>
      <c r="BZ1504" s="276"/>
      <c r="CA1504" s="276"/>
      <c r="CB1504" s="276"/>
      <c r="CC1504" s="276"/>
      <c r="CD1504" s="276"/>
      <c r="CH1504" s="276"/>
      <c r="CJ1504" s="276"/>
      <c r="CK1504" s="276"/>
      <c r="CL1504" s="276"/>
      <c r="CM1504" s="276"/>
      <c r="CN1504" s="276"/>
      <c r="CO1504" s="276"/>
      <c r="CP1504" s="276"/>
      <c r="CQ1504" s="276"/>
      <c r="CU1504" s="276"/>
    </row>
    <row r="1505" spans="75:99" ht="15.75">
      <c r="BW1505" s="276"/>
      <c r="BY1505" s="276"/>
      <c r="BZ1505" s="276"/>
      <c r="CA1505" s="276"/>
      <c r="CB1505" s="276"/>
      <c r="CC1505" s="276"/>
      <c r="CD1505" s="276"/>
      <c r="CH1505" s="276"/>
      <c r="CJ1505" s="276"/>
      <c r="CK1505" s="276"/>
      <c r="CL1505" s="276"/>
      <c r="CM1505" s="276"/>
      <c r="CN1505" s="276"/>
      <c r="CO1505" s="276"/>
      <c r="CP1505" s="276"/>
      <c r="CQ1505" s="276"/>
      <c r="CU1505" s="276"/>
    </row>
    <row r="1506" spans="75:99" ht="15.75">
      <c r="BW1506" s="276"/>
      <c r="BY1506" s="276"/>
      <c r="BZ1506" s="276"/>
      <c r="CA1506" s="276"/>
      <c r="CB1506" s="276"/>
      <c r="CC1506" s="276"/>
      <c r="CD1506" s="276"/>
      <c r="CH1506" s="276"/>
      <c r="CJ1506" s="276"/>
      <c r="CK1506" s="276"/>
      <c r="CL1506" s="276"/>
      <c r="CM1506" s="276"/>
      <c r="CN1506" s="276"/>
      <c r="CO1506" s="276"/>
      <c r="CP1506" s="276"/>
      <c r="CQ1506" s="276"/>
      <c r="CU1506" s="276"/>
    </row>
    <row r="1507" spans="75:99" ht="15.75">
      <c r="BW1507" s="276"/>
      <c r="BY1507" s="276"/>
      <c r="BZ1507" s="276"/>
      <c r="CA1507" s="276"/>
      <c r="CB1507" s="276"/>
      <c r="CC1507" s="276"/>
      <c r="CD1507" s="276"/>
      <c r="CH1507" s="276"/>
      <c r="CJ1507" s="276"/>
      <c r="CK1507" s="276"/>
      <c r="CL1507" s="276"/>
      <c r="CM1507" s="276"/>
      <c r="CN1507" s="276"/>
      <c r="CO1507" s="276"/>
      <c r="CP1507" s="276"/>
      <c r="CQ1507" s="276"/>
      <c r="CU1507" s="276"/>
    </row>
    <row r="1508" spans="75:99" ht="15.75">
      <c r="BW1508" s="276"/>
      <c r="BY1508" s="276"/>
      <c r="BZ1508" s="276"/>
      <c r="CA1508" s="276"/>
      <c r="CB1508" s="276"/>
      <c r="CC1508" s="276"/>
      <c r="CD1508" s="276"/>
      <c r="CH1508" s="276"/>
      <c r="CJ1508" s="276"/>
      <c r="CK1508" s="276"/>
      <c r="CL1508" s="276"/>
      <c r="CM1508" s="276"/>
      <c r="CN1508" s="276"/>
      <c r="CO1508" s="276"/>
      <c r="CP1508" s="276"/>
      <c r="CQ1508" s="276"/>
      <c r="CU1508" s="276"/>
    </row>
    <row r="1509" spans="75:99" ht="15.75">
      <c r="BW1509" s="276"/>
      <c r="BY1509" s="276"/>
      <c r="BZ1509" s="276"/>
      <c r="CA1509" s="276"/>
      <c r="CB1509" s="276"/>
      <c r="CC1509" s="276"/>
      <c r="CD1509" s="276"/>
      <c r="CH1509" s="276"/>
      <c r="CJ1509" s="276"/>
      <c r="CK1509" s="276"/>
      <c r="CL1509" s="276"/>
      <c r="CM1509" s="276"/>
      <c r="CN1509" s="276"/>
      <c r="CO1509" s="276"/>
      <c r="CP1509" s="276"/>
      <c r="CQ1509" s="276"/>
      <c r="CU1509" s="276"/>
    </row>
    <row r="1510" spans="75:99" ht="15.75">
      <c r="BW1510" s="276"/>
      <c r="BY1510" s="276"/>
      <c r="BZ1510" s="276"/>
      <c r="CA1510" s="276"/>
      <c r="CB1510" s="276"/>
      <c r="CC1510" s="276"/>
      <c r="CD1510" s="276"/>
      <c r="CH1510" s="276"/>
      <c r="CJ1510" s="276"/>
      <c r="CK1510" s="276"/>
      <c r="CL1510" s="276"/>
      <c r="CM1510" s="276"/>
      <c r="CN1510" s="276"/>
      <c r="CO1510" s="276"/>
      <c r="CP1510" s="276"/>
      <c r="CQ1510" s="276"/>
      <c r="CU1510" s="276"/>
    </row>
    <row r="1511" spans="75:99" ht="15.75">
      <c r="BW1511" s="276"/>
      <c r="BY1511" s="276"/>
      <c r="BZ1511" s="276"/>
      <c r="CA1511" s="276"/>
      <c r="CB1511" s="276"/>
      <c r="CC1511" s="276"/>
      <c r="CD1511" s="276"/>
      <c r="CH1511" s="276"/>
      <c r="CJ1511" s="276"/>
      <c r="CK1511" s="276"/>
      <c r="CL1511" s="276"/>
      <c r="CM1511" s="276"/>
      <c r="CN1511" s="276"/>
      <c r="CO1511" s="276"/>
      <c r="CP1511" s="276"/>
      <c r="CQ1511" s="276"/>
      <c r="CU1511" s="276"/>
    </row>
    <row r="1512" spans="75:99" ht="15.75">
      <c r="BW1512" s="276"/>
      <c r="BY1512" s="276"/>
      <c r="BZ1512" s="276"/>
      <c r="CA1512" s="276"/>
      <c r="CB1512" s="276"/>
      <c r="CC1512" s="276"/>
      <c r="CD1512" s="276"/>
      <c r="CH1512" s="276"/>
      <c r="CJ1512" s="276"/>
      <c r="CK1512" s="276"/>
      <c r="CL1512" s="276"/>
      <c r="CM1512" s="276"/>
      <c r="CN1512" s="276"/>
      <c r="CO1512" s="276"/>
      <c r="CP1512" s="276"/>
      <c r="CQ1512" s="276"/>
      <c r="CU1512" s="276"/>
    </row>
    <row r="1513" spans="75:99" ht="15.75">
      <c r="BW1513" s="276"/>
      <c r="BY1513" s="276"/>
      <c r="BZ1513" s="276"/>
      <c r="CA1513" s="276"/>
      <c r="CB1513" s="276"/>
      <c r="CC1513" s="276"/>
      <c r="CD1513" s="276"/>
      <c r="CH1513" s="276"/>
      <c r="CJ1513" s="276"/>
      <c r="CK1513" s="276"/>
      <c r="CL1513" s="276"/>
      <c r="CM1513" s="276"/>
      <c r="CN1513" s="276"/>
      <c r="CO1513" s="276"/>
      <c r="CP1513" s="276"/>
      <c r="CQ1513" s="276"/>
      <c r="CU1513" s="276"/>
    </row>
    <row r="1514" spans="75:99" ht="15.75">
      <c r="BW1514" s="276"/>
      <c r="BY1514" s="276"/>
      <c r="BZ1514" s="276"/>
      <c r="CA1514" s="276"/>
      <c r="CB1514" s="276"/>
      <c r="CC1514" s="276"/>
      <c r="CD1514" s="276"/>
      <c r="CH1514" s="276"/>
      <c r="CJ1514" s="276"/>
      <c r="CK1514" s="276"/>
      <c r="CL1514" s="276"/>
      <c r="CM1514" s="276"/>
      <c r="CN1514" s="276"/>
      <c r="CO1514" s="276"/>
      <c r="CP1514" s="276"/>
      <c r="CQ1514" s="276"/>
      <c r="CU1514" s="276"/>
    </row>
    <row r="1515" spans="75:99" ht="15.75">
      <c r="BW1515" s="276"/>
      <c r="BY1515" s="276"/>
      <c r="BZ1515" s="276"/>
      <c r="CA1515" s="276"/>
      <c r="CB1515" s="276"/>
      <c r="CC1515" s="276"/>
      <c r="CD1515" s="276"/>
      <c r="CH1515" s="276"/>
      <c r="CJ1515" s="276"/>
      <c r="CK1515" s="276"/>
      <c r="CL1515" s="276"/>
      <c r="CM1515" s="276"/>
      <c r="CN1515" s="276"/>
      <c r="CO1515" s="276"/>
      <c r="CP1515" s="276"/>
      <c r="CQ1515" s="276"/>
      <c r="CU1515" s="276"/>
    </row>
    <row r="1516" spans="75:99" ht="15.75">
      <c r="BW1516" s="276"/>
      <c r="BY1516" s="276"/>
      <c r="BZ1516" s="276"/>
      <c r="CA1516" s="276"/>
      <c r="CB1516" s="276"/>
      <c r="CC1516" s="276"/>
      <c r="CD1516" s="276"/>
      <c r="CH1516" s="276"/>
      <c r="CJ1516" s="276"/>
      <c r="CK1516" s="276"/>
      <c r="CL1516" s="276"/>
      <c r="CM1516" s="276"/>
      <c r="CN1516" s="276"/>
      <c r="CO1516" s="276"/>
      <c r="CP1516" s="276"/>
      <c r="CQ1516" s="276"/>
      <c r="CU1516" s="276"/>
    </row>
    <row r="1517" spans="75:99" ht="15.75">
      <c r="BW1517" s="276"/>
      <c r="BY1517" s="276"/>
      <c r="BZ1517" s="276"/>
      <c r="CA1517" s="276"/>
      <c r="CB1517" s="276"/>
      <c r="CC1517" s="276"/>
      <c r="CD1517" s="276"/>
      <c r="CH1517" s="276"/>
      <c r="CJ1517" s="276"/>
      <c r="CK1517" s="276"/>
      <c r="CL1517" s="276"/>
      <c r="CM1517" s="276"/>
      <c r="CN1517" s="276"/>
      <c r="CO1517" s="276"/>
      <c r="CP1517" s="276"/>
      <c r="CQ1517" s="276"/>
      <c r="CU1517" s="276"/>
    </row>
    <row r="1518" spans="75:99" ht="15.75">
      <c r="BW1518" s="276"/>
      <c r="BY1518" s="276"/>
      <c r="BZ1518" s="276"/>
      <c r="CA1518" s="276"/>
      <c r="CB1518" s="276"/>
      <c r="CC1518" s="276"/>
      <c r="CD1518" s="276"/>
      <c r="CH1518" s="276"/>
      <c r="CJ1518" s="276"/>
      <c r="CK1518" s="276"/>
      <c r="CL1518" s="276"/>
      <c r="CM1518" s="276"/>
      <c r="CN1518" s="276"/>
      <c r="CO1518" s="276"/>
      <c r="CP1518" s="276"/>
      <c r="CQ1518" s="276"/>
      <c r="CU1518" s="276"/>
    </row>
    <row r="1519" spans="75:99" ht="15.75">
      <c r="BW1519" s="276"/>
      <c r="BY1519" s="276"/>
      <c r="BZ1519" s="276"/>
      <c r="CA1519" s="276"/>
      <c r="CB1519" s="276"/>
      <c r="CC1519" s="276"/>
      <c r="CD1519" s="276"/>
      <c r="CH1519" s="276"/>
      <c r="CJ1519" s="276"/>
      <c r="CK1519" s="276"/>
      <c r="CL1519" s="276"/>
      <c r="CM1519" s="276"/>
      <c r="CN1519" s="276"/>
      <c r="CO1519" s="276"/>
      <c r="CP1519" s="276"/>
      <c r="CQ1519" s="276"/>
      <c r="CU1519" s="276"/>
    </row>
    <row r="1520" spans="75:99" ht="15.75">
      <c r="BW1520" s="276"/>
      <c r="BY1520" s="276"/>
      <c r="BZ1520" s="276"/>
      <c r="CA1520" s="276"/>
      <c r="CB1520" s="276"/>
      <c r="CC1520" s="276"/>
      <c r="CD1520" s="276"/>
      <c r="CH1520" s="276"/>
      <c r="CJ1520" s="276"/>
      <c r="CK1520" s="276"/>
      <c r="CL1520" s="276"/>
      <c r="CM1520" s="276"/>
      <c r="CN1520" s="276"/>
      <c r="CO1520" s="276"/>
      <c r="CP1520" s="276"/>
      <c r="CQ1520" s="276"/>
      <c r="CU1520" s="276"/>
    </row>
    <row r="1521" spans="75:99" ht="15.75">
      <c r="BW1521" s="276"/>
      <c r="BY1521" s="276"/>
      <c r="BZ1521" s="276"/>
      <c r="CA1521" s="276"/>
      <c r="CB1521" s="276"/>
      <c r="CC1521" s="276"/>
      <c r="CD1521" s="276"/>
      <c r="CH1521" s="276"/>
      <c r="CJ1521" s="276"/>
      <c r="CK1521" s="276"/>
      <c r="CL1521" s="276"/>
      <c r="CM1521" s="276"/>
      <c r="CN1521" s="276"/>
      <c r="CO1521" s="276"/>
      <c r="CP1521" s="276"/>
      <c r="CQ1521" s="276"/>
      <c r="CU1521" s="276"/>
    </row>
    <row r="1522" spans="75:99" ht="15.75">
      <c r="BW1522" s="276"/>
      <c r="BY1522" s="276"/>
      <c r="BZ1522" s="276"/>
      <c r="CA1522" s="276"/>
      <c r="CB1522" s="276"/>
      <c r="CC1522" s="276"/>
      <c r="CD1522" s="276"/>
      <c r="CH1522" s="276"/>
      <c r="CJ1522" s="276"/>
      <c r="CK1522" s="276"/>
      <c r="CL1522" s="276"/>
      <c r="CM1522" s="276"/>
      <c r="CN1522" s="276"/>
      <c r="CO1522" s="276"/>
      <c r="CP1522" s="276"/>
      <c r="CQ1522" s="276"/>
      <c r="CU1522" s="276"/>
    </row>
    <row r="1523" spans="75:99" ht="15.75">
      <c r="BW1523" s="276"/>
      <c r="BY1523" s="276"/>
      <c r="BZ1523" s="276"/>
      <c r="CA1523" s="276"/>
      <c r="CB1523" s="276"/>
      <c r="CC1523" s="276"/>
      <c r="CD1523" s="276"/>
      <c r="CH1523" s="276"/>
      <c r="CJ1523" s="276"/>
      <c r="CK1523" s="276"/>
      <c r="CL1523" s="276"/>
      <c r="CM1523" s="276"/>
      <c r="CN1523" s="276"/>
      <c r="CO1523" s="276"/>
      <c r="CP1523" s="276"/>
      <c r="CQ1523" s="276"/>
      <c r="CU1523" s="276"/>
    </row>
    <row r="1524" spans="75:99" ht="15.75">
      <c r="BW1524" s="276"/>
      <c r="BY1524" s="276"/>
      <c r="BZ1524" s="276"/>
      <c r="CA1524" s="276"/>
      <c r="CB1524" s="276"/>
      <c r="CC1524" s="276"/>
      <c r="CD1524" s="276"/>
      <c r="CH1524" s="276"/>
      <c r="CJ1524" s="276"/>
      <c r="CK1524" s="276"/>
      <c r="CL1524" s="276"/>
      <c r="CM1524" s="276"/>
      <c r="CN1524" s="276"/>
      <c r="CO1524" s="276"/>
      <c r="CP1524" s="276"/>
      <c r="CQ1524" s="276"/>
      <c r="CU1524" s="276"/>
    </row>
    <row r="1525" spans="75:99" ht="15.75">
      <c r="BW1525" s="276"/>
      <c r="BY1525" s="276"/>
      <c r="BZ1525" s="276"/>
      <c r="CA1525" s="276"/>
      <c r="CB1525" s="276"/>
      <c r="CC1525" s="276"/>
      <c r="CD1525" s="276"/>
      <c r="CH1525" s="276"/>
      <c r="CJ1525" s="276"/>
      <c r="CK1525" s="276"/>
      <c r="CL1525" s="276"/>
      <c r="CM1525" s="276"/>
      <c r="CN1525" s="276"/>
      <c r="CO1525" s="276"/>
      <c r="CP1525" s="276"/>
      <c r="CQ1525" s="276"/>
      <c r="CU1525" s="276"/>
    </row>
    <row r="1526" spans="75:99" ht="15.75">
      <c r="BW1526" s="276"/>
      <c r="BY1526" s="276"/>
      <c r="BZ1526" s="276"/>
      <c r="CA1526" s="276"/>
      <c r="CB1526" s="276"/>
      <c r="CC1526" s="276"/>
      <c r="CD1526" s="276"/>
      <c r="CH1526" s="276"/>
      <c r="CJ1526" s="276"/>
      <c r="CK1526" s="276"/>
      <c r="CL1526" s="276"/>
      <c r="CM1526" s="276"/>
      <c r="CN1526" s="276"/>
      <c r="CO1526" s="276"/>
      <c r="CP1526" s="276"/>
      <c r="CQ1526" s="276"/>
      <c r="CU1526" s="276"/>
    </row>
    <row r="1527" spans="75:99" ht="15.75">
      <c r="BW1527" s="276"/>
      <c r="BY1527" s="276"/>
      <c r="BZ1527" s="276"/>
      <c r="CA1527" s="276"/>
      <c r="CB1527" s="276"/>
      <c r="CC1527" s="276"/>
      <c r="CD1527" s="276"/>
      <c r="CH1527" s="276"/>
      <c r="CJ1527" s="276"/>
      <c r="CK1527" s="276"/>
      <c r="CL1527" s="276"/>
      <c r="CM1527" s="276"/>
      <c r="CN1527" s="276"/>
      <c r="CO1527" s="276"/>
      <c r="CP1527" s="276"/>
      <c r="CQ1527" s="276"/>
      <c r="CU1527" s="276"/>
    </row>
    <row r="1528" spans="75:99" ht="15.75">
      <c r="BW1528" s="276"/>
      <c r="BY1528" s="276"/>
      <c r="BZ1528" s="276"/>
      <c r="CA1528" s="276"/>
      <c r="CB1528" s="276"/>
      <c r="CC1528" s="276"/>
      <c r="CD1528" s="276"/>
      <c r="CH1528" s="276"/>
      <c r="CJ1528" s="276"/>
      <c r="CK1528" s="276"/>
      <c r="CL1528" s="276"/>
      <c r="CM1528" s="276"/>
      <c r="CN1528" s="276"/>
      <c r="CO1528" s="276"/>
      <c r="CP1528" s="276"/>
      <c r="CQ1528" s="276"/>
      <c r="CU1528" s="276"/>
    </row>
    <row r="1529" spans="75:99" ht="15.75">
      <c r="BW1529" s="276"/>
      <c r="BY1529" s="276"/>
      <c r="BZ1529" s="276"/>
      <c r="CA1529" s="276"/>
      <c r="CB1529" s="276"/>
      <c r="CC1529" s="276"/>
      <c r="CD1529" s="276"/>
      <c r="CH1529" s="276"/>
      <c r="CJ1529" s="276"/>
      <c r="CK1529" s="276"/>
      <c r="CL1529" s="276"/>
      <c r="CM1529" s="276"/>
      <c r="CN1529" s="276"/>
      <c r="CO1529" s="276"/>
      <c r="CP1529" s="276"/>
      <c r="CQ1529" s="276"/>
      <c r="CU1529" s="276"/>
    </row>
    <row r="1530" spans="75:99" ht="15.75">
      <c r="BW1530" s="276"/>
      <c r="BY1530" s="276"/>
      <c r="BZ1530" s="276"/>
      <c r="CA1530" s="276"/>
      <c r="CB1530" s="276"/>
      <c r="CC1530" s="276"/>
      <c r="CD1530" s="276"/>
      <c r="CH1530" s="276"/>
      <c r="CJ1530" s="276"/>
      <c r="CK1530" s="276"/>
      <c r="CL1530" s="276"/>
      <c r="CM1530" s="276"/>
      <c r="CN1530" s="276"/>
      <c r="CO1530" s="276"/>
      <c r="CP1530" s="276"/>
      <c r="CQ1530" s="276"/>
      <c r="CU1530" s="276"/>
    </row>
    <row r="1531" spans="75:99" ht="15.75">
      <c r="BW1531" s="276"/>
      <c r="BY1531" s="276"/>
      <c r="BZ1531" s="276"/>
      <c r="CA1531" s="276"/>
      <c r="CB1531" s="276"/>
      <c r="CC1531" s="276"/>
      <c r="CD1531" s="276"/>
      <c r="CH1531" s="276"/>
      <c r="CJ1531" s="276"/>
      <c r="CK1531" s="276"/>
      <c r="CL1531" s="276"/>
      <c r="CM1531" s="276"/>
      <c r="CN1531" s="276"/>
      <c r="CO1531" s="276"/>
      <c r="CP1531" s="276"/>
      <c r="CQ1531" s="276"/>
      <c r="CU1531" s="276"/>
    </row>
    <row r="1532" spans="75:99" ht="15.75">
      <c r="BW1532" s="276"/>
      <c r="BY1532" s="276"/>
      <c r="BZ1532" s="276"/>
      <c r="CA1532" s="276"/>
      <c r="CB1532" s="276"/>
      <c r="CC1532" s="276"/>
      <c r="CD1532" s="276"/>
      <c r="CH1532" s="276"/>
      <c r="CJ1532" s="276"/>
      <c r="CK1532" s="276"/>
      <c r="CL1532" s="276"/>
      <c r="CM1532" s="276"/>
      <c r="CN1532" s="276"/>
      <c r="CO1532" s="276"/>
      <c r="CP1532" s="276"/>
      <c r="CQ1532" s="276"/>
      <c r="CU1532" s="276"/>
    </row>
    <row r="1533" spans="75:99" ht="15.75">
      <c r="BW1533" s="276"/>
      <c r="BY1533" s="276"/>
      <c r="BZ1533" s="276"/>
      <c r="CA1533" s="276"/>
      <c r="CB1533" s="276"/>
      <c r="CC1533" s="276"/>
      <c r="CD1533" s="276"/>
      <c r="CH1533" s="276"/>
      <c r="CJ1533" s="276"/>
      <c r="CK1533" s="276"/>
      <c r="CL1533" s="276"/>
      <c r="CM1533" s="276"/>
      <c r="CN1533" s="276"/>
      <c r="CO1533" s="276"/>
      <c r="CP1533" s="276"/>
      <c r="CQ1533" s="276"/>
      <c r="CU1533" s="276"/>
    </row>
    <row r="1534" spans="75:99" ht="15.75">
      <c r="BW1534" s="276"/>
      <c r="BY1534" s="276"/>
      <c r="BZ1534" s="276"/>
      <c r="CA1534" s="276"/>
      <c r="CB1534" s="276"/>
      <c r="CC1534" s="276"/>
      <c r="CD1534" s="276"/>
      <c r="CH1534" s="276"/>
      <c r="CJ1534" s="276"/>
      <c r="CK1534" s="276"/>
      <c r="CL1534" s="276"/>
      <c r="CM1534" s="276"/>
      <c r="CN1534" s="276"/>
      <c r="CO1534" s="276"/>
      <c r="CP1534" s="276"/>
      <c r="CQ1534" s="276"/>
      <c r="CU1534" s="276"/>
    </row>
    <row r="1535" spans="75:99" ht="15.75">
      <c r="BW1535" s="276"/>
      <c r="BY1535" s="276"/>
      <c r="BZ1535" s="276"/>
      <c r="CA1535" s="276"/>
      <c r="CB1535" s="276"/>
      <c r="CC1535" s="276"/>
      <c r="CD1535" s="276"/>
      <c r="CH1535" s="276"/>
      <c r="CJ1535" s="276"/>
      <c r="CK1535" s="276"/>
      <c r="CL1535" s="276"/>
      <c r="CM1535" s="276"/>
      <c r="CN1535" s="276"/>
      <c r="CO1535" s="276"/>
      <c r="CP1535" s="276"/>
      <c r="CQ1535" s="276"/>
      <c r="CU1535" s="276"/>
    </row>
    <row r="1536" spans="75:99" ht="15.75">
      <c r="BW1536" s="276"/>
      <c r="BY1536" s="276"/>
      <c r="BZ1536" s="276"/>
      <c r="CA1536" s="276"/>
      <c r="CB1536" s="276"/>
      <c r="CC1536" s="276"/>
      <c r="CD1536" s="276"/>
      <c r="CH1536" s="276"/>
      <c r="CJ1536" s="276"/>
      <c r="CK1536" s="276"/>
      <c r="CL1536" s="276"/>
      <c r="CM1536" s="276"/>
      <c r="CN1536" s="276"/>
      <c r="CO1536" s="276"/>
      <c r="CP1536" s="276"/>
      <c r="CQ1536" s="276"/>
      <c r="CU1536" s="276"/>
    </row>
    <row r="1537" spans="75:99" ht="15.75">
      <c r="BW1537" s="276"/>
      <c r="BY1537" s="276"/>
      <c r="BZ1537" s="276"/>
      <c r="CA1537" s="276"/>
      <c r="CB1537" s="276"/>
      <c r="CC1537" s="276"/>
      <c r="CD1537" s="276"/>
      <c r="CH1537" s="276"/>
      <c r="CJ1537" s="276"/>
      <c r="CK1537" s="276"/>
      <c r="CL1537" s="276"/>
      <c r="CM1537" s="276"/>
      <c r="CN1537" s="276"/>
      <c r="CO1537" s="276"/>
      <c r="CP1537" s="276"/>
      <c r="CQ1537" s="276"/>
      <c r="CU1537" s="276"/>
    </row>
    <row r="1538" spans="75:99" ht="15.75">
      <c r="BW1538" s="276"/>
      <c r="BY1538" s="276"/>
      <c r="BZ1538" s="276"/>
      <c r="CA1538" s="276"/>
      <c r="CB1538" s="276"/>
      <c r="CC1538" s="276"/>
      <c r="CD1538" s="276"/>
      <c r="CH1538" s="276"/>
      <c r="CJ1538" s="276"/>
      <c r="CK1538" s="276"/>
      <c r="CL1538" s="276"/>
      <c r="CM1538" s="276"/>
      <c r="CN1538" s="276"/>
      <c r="CO1538" s="276"/>
      <c r="CP1538" s="276"/>
      <c r="CQ1538" s="276"/>
      <c r="CU1538" s="276"/>
    </row>
    <row r="1539" spans="75:99" ht="15.75">
      <c r="BW1539" s="276"/>
      <c r="BY1539" s="276"/>
      <c r="BZ1539" s="276"/>
      <c r="CA1539" s="276"/>
      <c r="CB1539" s="276"/>
      <c r="CC1539" s="276"/>
      <c r="CD1539" s="276"/>
      <c r="CH1539" s="276"/>
      <c r="CJ1539" s="276"/>
      <c r="CK1539" s="276"/>
      <c r="CL1539" s="276"/>
      <c r="CM1539" s="276"/>
      <c r="CN1539" s="276"/>
      <c r="CO1539" s="276"/>
      <c r="CP1539" s="276"/>
      <c r="CQ1539" s="276"/>
      <c r="CU1539" s="276"/>
    </row>
    <row r="1540" spans="75:99" ht="15.75">
      <c r="BW1540" s="276"/>
      <c r="BY1540" s="276"/>
      <c r="BZ1540" s="276"/>
      <c r="CA1540" s="276"/>
      <c r="CB1540" s="276"/>
      <c r="CC1540" s="276"/>
      <c r="CD1540" s="276"/>
      <c r="CH1540" s="276"/>
      <c r="CJ1540" s="276"/>
      <c r="CK1540" s="276"/>
      <c r="CL1540" s="276"/>
      <c r="CM1540" s="276"/>
      <c r="CN1540" s="276"/>
      <c r="CO1540" s="276"/>
      <c r="CP1540" s="276"/>
      <c r="CQ1540" s="276"/>
      <c r="CU1540" s="276"/>
    </row>
    <row r="1541" spans="75:99" ht="15.75">
      <c r="BW1541" s="276"/>
      <c r="BY1541" s="276"/>
      <c r="BZ1541" s="276"/>
      <c r="CA1541" s="276"/>
      <c r="CB1541" s="276"/>
      <c r="CC1541" s="276"/>
      <c r="CD1541" s="276"/>
      <c r="CH1541" s="276"/>
      <c r="CJ1541" s="276"/>
      <c r="CK1541" s="276"/>
      <c r="CL1541" s="276"/>
      <c r="CM1541" s="276"/>
      <c r="CN1541" s="276"/>
      <c r="CO1541" s="276"/>
      <c r="CP1541" s="276"/>
      <c r="CQ1541" s="276"/>
      <c r="CU1541" s="276"/>
    </row>
    <row r="1542" spans="75:99" ht="15.75">
      <c r="BW1542" s="276"/>
      <c r="BY1542" s="276"/>
      <c r="BZ1542" s="276"/>
      <c r="CA1542" s="276"/>
      <c r="CB1542" s="276"/>
      <c r="CC1542" s="276"/>
      <c r="CD1542" s="276"/>
      <c r="CH1542" s="276"/>
      <c r="CJ1542" s="276"/>
      <c r="CK1542" s="276"/>
      <c r="CL1542" s="276"/>
      <c r="CM1542" s="276"/>
      <c r="CN1542" s="276"/>
      <c r="CO1542" s="276"/>
      <c r="CP1542" s="276"/>
      <c r="CQ1542" s="276"/>
      <c r="CU1542" s="276"/>
    </row>
    <row r="1543" spans="75:99" ht="15.75">
      <c r="BW1543" s="276"/>
      <c r="BY1543" s="276"/>
      <c r="BZ1543" s="276"/>
      <c r="CA1543" s="276"/>
      <c r="CB1543" s="276"/>
      <c r="CC1543" s="276"/>
      <c r="CD1543" s="276"/>
      <c r="CH1543" s="276"/>
      <c r="CJ1543" s="276"/>
      <c r="CK1543" s="276"/>
      <c r="CL1543" s="276"/>
      <c r="CM1543" s="276"/>
      <c r="CN1543" s="276"/>
      <c r="CO1543" s="276"/>
      <c r="CP1543" s="276"/>
      <c r="CQ1543" s="276"/>
      <c r="CU1543" s="276"/>
    </row>
    <row r="1544" spans="75:99" ht="15.75">
      <c r="BW1544" s="276"/>
      <c r="BY1544" s="276"/>
      <c r="BZ1544" s="276"/>
      <c r="CA1544" s="276"/>
      <c r="CB1544" s="276"/>
      <c r="CC1544" s="276"/>
      <c r="CD1544" s="276"/>
      <c r="CH1544" s="276"/>
      <c r="CJ1544" s="276"/>
      <c r="CK1544" s="276"/>
      <c r="CL1544" s="276"/>
      <c r="CM1544" s="276"/>
      <c r="CN1544" s="276"/>
      <c r="CO1544" s="276"/>
      <c r="CP1544" s="276"/>
      <c r="CQ1544" s="276"/>
      <c r="CU1544" s="276"/>
    </row>
    <row r="1545" spans="75:99" ht="15.75">
      <c r="BW1545" s="276"/>
      <c r="BY1545" s="276"/>
      <c r="BZ1545" s="276"/>
      <c r="CA1545" s="276"/>
      <c r="CB1545" s="276"/>
      <c r="CC1545" s="276"/>
      <c r="CD1545" s="276"/>
      <c r="CH1545" s="276"/>
      <c r="CJ1545" s="276"/>
      <c r="CK1545" s="276"/>
      <c r="CL1545" s="276"/>
      <c r="CM1545" s="276"/>
      <c r="CN1545" s="276"/>
      <c r="CO1545" s="276"/>
      <c r="CP1545" s="276"/>
      <c r="CQ1545" s="276"/>
      <c r="CU1545" s="276"/>
    </row>
    <row r="1546" spans="75:99" ht="15.75">
      <c r="BW1546" s="276"/>
      <c r="BY1546" s="276"/>
      <c r="BZ1546" s="276"/>
      <c r="CA1546" s="276"/>
      <c r="CB1546" s="276"/>
      <c r="CC1546" s="276"/>
      <c r="CD1546" s="276"/>
      <c r="CH1546" s="276"/>
      <c r="CJ1546" s="276"/>
      <c r="CK1546" s="276"/>
      <c r="CL1546" s="276"/>
      <c r="CM1546" s="276"/>
      <c r="CN1546" s="276"/>
      <c r="CO1546" s="276"/>
      <c r="CP1546" s="276"/>
      <c r="CQ1546" s="276"/>
      <c r="CU1546" s="276"/>
    </row>
    <row r="1547" spans="75:99" ht="15.75">
      <c r="BW1547" s="276"/>
      <c r="BY1547" s="276"/>
      <c r="BZ1547" s="276"/>
      <c r="CA1547" s="276"/>
      <c r="CB1547" s="276"/>
      <c r="CC1547" s="276"/>
      <c r="CD1547" s="276"/>
      <c r="CH1547" s="276"/>
      <c r="CJ1547" s="276"/>
      <c r="CK1547" s="276"/>
      <c r="CL1547" s="276"/>
      <c r="CM1547" s="276"/>
      <c r="CN1547" s="276"/>
      <c r="CO1547" s="276"/>
      <c r="CP1547" s="276"/>
      <c r="CQ1547" s="276"/>
      <c r="CU1547" s="276"/>
    </row>
    <row r="1548" spans="75:99" ht="15.75">
      <c r="BW1548" s="276"/>
      <c r="BY1548" s="276"/>
      <c r="BZ1548" s="276"/>
      <c r="CA1548" s="276"/>
      <c r="CB1548" s="276"/>
      <c r="CC1548" s="276"/>
      <c r="CD1548" s="276"/>
      <c r="CH1548" s="276"/>
      <c r="CJ1548" s="276"/>
      <c r="CK1548" s="276"/>
      <c r="CL1548" s="276"/>
      <c r="CM1548" s="276"/>
      <c r="CN1548" s="276"/>
      <c r="CO1548" s="276"/>
      <c r="CP1548" s="276"/>
      <c r="CQ1548" s="276"/>
      <c r="CU1548" s="276"/>
    </row>
    <row r="1549" spans="75:99" ht="15.75">
      <c r="BW1549" s="276"/>
      <c r="BY1549" s="276"/>
      <c r="BZ1549" s="276"/>
      <c r="CA1549" s="276"/>
      <c r="CB1549" s="276"/>
      <c r="CC1549" s="276"/>
      <c r="CD1549" s="276"/>
      <c r="CH1549" s="276"/>
      <c r="CJ1549" s="276"/>
      <c r="CK1549" s="276"/>
      <c r="CL1549" s="276"/>
      <c r="CM1549" s="276"/>
      <c r="CN1549" s="276"/>
      <c r="CO1549" s="276"/>
      <c r="CP1549" s="276"/>
      <c r="CQ1549" s="276"/>
      <c r="CU1549" s="276"/>
    </row>
    <row r="1550" spans="75:99" ht="15.75">
      <c r="BW1550" s="276"/>
      <c r="BY1550" s="276"/>
      <c r="BZ1550" s="276"/>
      <c r="CA1550" s="276"/>
      <c r="CB1550" s="276"/>
      <c r="CC1550" s="276"/>
      <c r="CD1550" s="276"/>
      <c r="CH1550" s="276"/>
      <c r="CJ1550" s="276"/>
      <c r="CK1550" s="276"/>
      <c r="CL1550" s="276"/>
      <c r="CM1550" s="276"/>
      <c r="CN1550" s="276"/>
      <c r="CO1550" s="276"/>
      <c r="CP1550" s="276"/>
      <c r="CQ1550" s="276"/>
      <c r="CU1550" s="276"/>
    </row>
    <row r="1551" spans="75:99" ht="15.75">
      <c r="BW1551" s="276"/>
      <c r="BY1551" s="276"/>
      <c r="BZ1551" s="276"/>
      <c r="CA1551" s="276"/>
      <c r="CB1551" s="276"/>
      <c r="CC1551" s="276"/>
      <c r="CD1551" s="276"/>
      <c r="CH1551" s="276"/>
      <c r="CJ1551" s="276"/>
      <c r="CK1551" s="276"/>
      <c r="CL1551" s="276"/>
      <c r="CM1551" s="276"/>
      <c r="CN1551" s="276"/>
      <c r="CO1551" s="276"/>
      <c r="CP1551" s="276"/>
      <c r="CQ1551" s="276"/>
      <c r="CU1551" s="276"/>
    </row>
    <row r="1552" spans="75:99" ht="15.75">
      <c r="BW1552" s="276"/>
      <c r="BY1552" s="276"/>
      <c r="BZ1552" s="276"/>
      <c r="CA1552" s="276"/>
      <c r="CB1552" s="276"/>
      <c r="CC1552" s="276"/>
      <c r="CD1552" s="276"/>
      <c r="CH1552" s="276"/>
      <c r="CJ1552" s="276"/>
      <c r="CK1552" s="276"/>
      <c r="CL1552" s="276"/>
      <c r="CM1552" s="276"/>
      <c r="CN1552" s="276"/>
      <c r="CO1552" s="276"/>
      <c r="CP1552" s="276"/>
      <c r="CQ1552" s="276"/>
      <c r="CU1552" s="276"/>
    </row>
    <row r="1553" spans="75:99" ht="15.75">
      <c r="BW1553" s="276"/>
      <c r="BY1553" s="276"/>
      <c r="BZ1553" s="276"/>
      <c r="CA1553" s="276"/>
      <c r="CB1553" s="276"/>
      <c r="CC1553" s="276"/>
      <c r="CD1553" s="276"/>
      <c r="CH1553" s="276"/>
      <c r="CJ1553" s="276"/>
      <c r="CK1553" s="276"/>
      <c r="CL1553" s="276"/>
      <c r="CM1553" s="276"/>
      <c r="CN1553" s="276"/>
      <c r="CO1553" s="276"/>
      <c r="CP1553" s="276"/>
      <c r="CQ1553" s="276"/>
      <c r="CU1553" s="276"/>
    </row>
    <row r="1554" spans="75:99" ht="15.75">
      <c r="BW1554" s="276"/>
      <c r="BY1554" s="276"/>
      <c r="BZ1554" s="276"/>
      <c r="CA1554" s="276"/>
      <c r="CB1554" s="276"/>
      <c r="CC1554" s="276"/>
      <c r="CD1554" s="276"/>
      <c r="CH1554" s="276"/>
      <c r="CJ1554" s="276"/>
      <c r="CK1554" s="276"/>
      <c r="CL1554" s="276"/>
      <c r="CM1554" s="276"/>
      <c r="CN1554" s="276"/>
      <c r="CO1554" s="276"/>
      <c r="CP1554" s="276"/>
      <c r="CQ1554" s="276"/>
      <c r="CU1554" s="276"/>
    </row>
    <row r="1555" spans="75:99" ht="15.75">
      <c r="BW1555" s="276"/>
      <c r="BY1555" s="276"/>
      <c r="BZ1555" s="276"/>
      <c r="CA1555" s="276"/>
      <c r="CB1555" s="276"/>
      <c r="CC1555" s="276"/>
      <c r="CD1555" s="276"/>
      <c r="CH1555" s="276"/>
      <c r="CJ1555" s="276"/>
      <c r="CK1555" s="276"/>
      <c r="CL1555" s="276"/>
      <c r="CM1555" s="276"/>
      <c r="CN1555" s="276"/>
      <c r="CO1555" s="276"/>
      <c r="CP1555" s="276"/>
      <c r="CQ1555" s="276"/>
      <c r="CU1555" s="276"/>
    </row>
    <row r="1556" spans="75:99" ht="15.75">
      <c r="BW1556" s="276"/>
      <c r="BY1556" s="276"/>
      <c r="BZ1556" s="276"/>
      <c r="CA1556" s="276"/>
      <c r="CB1556" s="276"/>
      <c r="CC1556" s="276"/>
      <c r="CD1556" s="276"/>
      <c r="CH1556" s="276"/>
      <c r="CJ1556" s="276"/>
      <c r="CK1556" s="276"/>
      <c r="CL1556" s="276"/>
      <c r="CM1556" s="276"/>
      <c r="CN1556" s="276"/>
      <c r="CO1556" s="276"/>
      <c r="CP1556" s="276"/>
      <c r="CQ1556" s="276"/>
      <c r="CU1556" s="276"/>
    </row>
    <row r="1557" spans="75:99" ht="15.75">
      <c r="BW1557" s="276"/>
      <c r="BY1557" s="276"/>
      <c r="BZ1557" s="276"/>
      <c r="CA1557" s="276"/>
      <c r="CB1557" s="276"/>
      <c r="CC1557" s="276"/>
      <c r="CD1557" s="276"/>
      <c r="CH1557" s="276"/>
      <c r="CJ1557" s="276"/>
      <c r="CK1557" s="276"/>
      <c r="CL1557" s="276"/>
      <c r="CM1557" s="276"/>
      <c r="CN1557" s="276"/>
      <c r="CO1557" s="276"/>
      <c r="CP1557" s="276"/>
      <c r="CQ1557" s="276"/>
      <c r="CU1557" s="276"/>
    </row>
    <row r="1558" spans="75:99" ht="15.75">
      <c r="BW1558" s="276"/>
      <c r="BY1558" s="276"/>
      <c r="BZ1558" s="276"/>
      <c r="CA1558" s="276"/>
      <c r="CB1558" s="276"/>
      <c r="CC1558" s="276"/>
      <c r="CD1558" s="276"/>
      <c r="CH1558" s="276"/>
      <c r="CJ1558" s="276"/>
      <c r="CK1558" s="276"/>
      <c r="CL1558" s="276"/>
      <c r="CM1558" s="276"/>
      <c r="CN1558" s="276"/>
      <c r="CO1558" s="276"/>
      <c r="CP1558" s="276"/>
      <c r="CQ1558" s="276"/>
      <c r="CU1558" s="276"/>
    </row>
    <row r="1559" spans="75:99" ht="15.75">
      <c r="BW1559" s="276"/>
      <c r="BY1559" s="276"/>
      <c r="BZ1559" s="276"/>
      <c r="CA1559" s="276"/>
      <c r="CB1559" s="276"/>
      <c r="CC1559" s="276"/>
      <c r="CD1559" s="276"/>
      <c r="CH1559" s="276"/>
      <c r="CJ1559" s="276"/>
      <c r="CK1559" s="276"/>
      <c r="CL1559" s="276"/>
      <c r="CM1559" s="276"/>
      <c r="CN1559" s="276"/>
      <c r="CO1559" s="276"/>
      <c r="CP1559" s="276"/>
      <c r="CQ1559" s="276"/>
      <c r="CU1559" s="276"/>
    </row>
    <row r="1560" spans="75:99" ht="15.75">
      <c r="BW1560" s="276"/>
      <c r="BY1560" s="276"/>
      <c r="BZ1560" s="276"/>
      <c r="CA1560" s="276"/>
      <c r="CB1560" s="276"/>
      <c r="CC1560" s="276"/>
      <c r="CD1560" s="276"/>
      <c r="CH1560" s="276"/>
      <c r="CJ1560" s="276"/>
      <c r="CK1560" s="276"/>
      <c r="CL1560" s="276"/>
      <c r="CM1560" s="276"/>
      <c r="CN1560" s="276"/>
      <c r="CO1560" s="276"/>
      <c r="CP1560" s="276"/>
      <c r="CQ1560" s="276"/>
      <c r="CU1560" s="276"/>
    </row>
    <row r="1561" spans="75:99" ht="15.75">
      <c r="BW1561" s="276"/>
      <c r="BY1561" s="276"/>
      <c r="BZ1561" s="276"/>
      <c r="CA1561" s="276"/>
      <c r="CB1561" s="276"/>
      <c r="CC1561" s="276"/>
      <c r="CD1561" s="276"/>
      <c r="CH1561" s="276"/>
      <c r="CJ1561" s="276"/>
      <c r="CK1561" s="276"/>
      <c r="CL1561" s="276"/>
      <c r="CM1561" s="276"/>
      <c r="CN1561" s="276"/>
      <c r="CO1561" s="276"/>
      <c r="CP1561" s="276"/>
      <c r="CQ1561" s="276"/>
      <c r="CU1561" s="276"/>
    </row>
    <row r="1562" spans="75:99" ht="15.75">
      <c r="BW1562" s="276"/>
      <c r="BY1562" s="276"/>
      <c r="BZ1562" s="276"/>
      <c r="CA1562" s="276"/>
      <c r="CB1562" s="276"/>
      <c r="CC1562" s="276"/>
      <c r="CD1562" s="276"/>
      <c r="CH1562" s="276"/>
      <c r="CJ1562" s="276"/>
      <c r="CK1562" s="276"/>
      <c r="CL1562" s="276"/>
      <c r="CM1562" s="276"/>
      <c r="CN1562" s="276"/>
      <c r="CO1562" s="276"/>
      <c r="CP1562" s="276"/>
      <c r="CQ1562" s="276"/>
      <c r="CU1562" s="276"/>
    </row>
    <row r="1563" spans="75:99" ht="15.75">
      <c r="BW1563" s="276"/>
      <c r="BY1563" s="276"/>
      <c r="BZ1563" s="276"/>
      <c r="CA1563" s="276"/>
      <c r="CB1563" s="276"/>
      <c r="CC1563" s="276"/>
      <c r="CD1563" s="276"/>
      <c r="CH1563" s="276"/>
      <c r="CJ1563" s="276"/>
      <c r="CK1563" s="276"/>
      <c r="CL1563" s="276"/>
      <c r="CM1563" s="276"/>
      <c r="CN1563" s="276"/>
      <c r="CO1563" s="276"/>
      <c r="CP1563" s="276"/>
      <c r="CQ1563" s="276"/>
      <c r="CU1563" s="276"/>
    </row>
    <row r="1564" spans="75:99" ht="15.75">
      <c r="BW1564" s="276"/>
      <c r="BY1564" s="276"/>
      <c r="BZ1564" s="276"/>
      <c r="CA1564" s="276"/>
      <c r="CB1564" s="276"/>
      <c r="CC1564" s="276"/>
      <c r="CD1564" s="276"/>
      <c r="CH1564" s="276"/>
      <c r="CJ1564" s="276"/>
      <c r="CK1564" s="276"/>
      <c r="CL1564" s="276"/>
      <c r="CM1564" s="276"/>
      <c r="CN1564" s="276"/>
      <c r="CO1564" s="276"/>
      <c r="CP1564" s="276"/>
      <c r="CQ1564" s="276"/>
      <c r="CU1564" s="276"/>
    </row>
    <row r="1565" spans="75:99" ht="15.75">
      <c r="BW1565" s="276"/>
      <c r="BY1565" s="276"/>
      <c r="BZ1565" s="276"/>
      <c r="CA1565" s="276"/>
      <c r="CB1565" s="276"/>
      <c r="CC1565" s="276"/>
      <c r="CD1565" s="276"/>
      <c r="CH1565" s="276"/>
      <c r="CJ1565" s="276"/>
      <c r="CK1565" s="276"/>
      <c r="CL1565" s="276"/>
      <c r="CM1565" s="276"/>
      <c r="CN1565" s="276"/>
      <c r="CO1565" s="276"/>
      <c r="CP1565" s="276"/>
      <c r="CQ1565" s="276"/>
      <c r="CU1565" s="276"/>
    </row>
    <row r="1566" spans="75:99" ht="15.75">
      <c r="BW1566" s="276"/>
      <c r="BY1566" s="276"/>
      <c r="BZ1566" s="276"/>
      <c r="CA1566" s="276"/>
      <c r="CB1566" s="276"/>
      <c r="CC1566" s="276"/>
      <c r="CD1566" s="276"/>
      <c r="CH1566" s="276"/>
      <c r="CJ1566" s="276"/>
      <c r="CK1566" s="276"/>
      <c r="CL1566" s="276"/>
      <c r="CM1566" s="276"/>
      <c r="CN1566" s="276"/>
      <c r="CO1566" s="276"/>
      <c r="CP1566" s="276"/>
      <c r="CQ1566" s="276"/>
      <c r="CU1566" s="276"/>
    </row>
    <row r="1567" spans="75:99" ht="15.75">
      <c r="BW1567" s="276"/>
      <c r="BY1567" s="276"/>
      <c r="BZ1567" s="276"/>
      <c r="CA1567" s="276"/>
      <c r="CB1567" s="276"/>
      <c r="CC1567" s="276"/>
      <c r="CD1567" s="276"/>
      <c r="CH1567" s="276"/>
      <c r="CJ1567" s="276"/>
      <c r="CK1567" s="276"/>
      <c r="CL1567" s="276"/>
      <c r="CM1567" s="276"/>
      <c r="CN1567" s="276"/>
      <c r="CO1567" s="276"/>
      <c r="CP1567" s="276"/>
      <c r="CQ1567" s="276"/>
      <c r="CU1567" s="276"/>
    </row>
    <row r="1568" spans="75:99" ht="15.75">
      <c r="BW1568" s="276"/>
      <c r="BY1568" s="276"/>
      <c r="BZ1568" s="276"/>
      <c r="CA1568" s="276"/>
      <c r="CB1568" s="276"/>
      <c r="CC1568" s="276"/>
      <c r="CD1568" s="276"/>
      <c r="CH1568" s="276"/>
      <c r="CJ1568" s="276"/>
      <c r="CK1568" s="276"/>
      <c r="CL1568" s="276"/>
      <c r="CM1568" s="276"/>
      <c r="CN1568" s="276"/>
      <c r="CO1568" s="276"/>
      <c r="CP1568" s="276"/>
      <c r="CQ1568" s="276"/>
      <c r="CU1568" s="276"/>
    </row>
    <row r="1569" spans="75:99" ht="15.75">
      <c r="BW1569" s="276"/>
      <c r="BY1569" s="276"/>
      <c r="BZ1569" s="276"/>
      <c r="CA1569" s="276"/>
      <c r="CB1569" s="276"/>
      <c r="CC1569" s="276"/>
      <c r="CD1569" s="276"/>
      <c r="CH1569" s="276"/>
      <c r="CJ1569" s="276"/>
      <c r="CK1569" s="276"/>
      <c r="CL1569" s="276"/>
      <c r="CM1569" s="276"/>
      <c r="CN1569" s="276"/>
      <c r="CO1569" s="276"/>
      <c r="CP1569" s="276"/>
      <c r="CQ1569" s="276"/>
      <c r="CU1569" s="276"/>
    </row>
    <row r="1570" spans="75:99" ht="15.75">
      <c r="BW1570" s="276"/>
      <c r="BY1570" s="276"/>
      <c r="BZ1570" s="276"/>
      <c r="CA1570" s="276"/>
      <c r="CB1570" s="276"/>
      <c r="CC1570" s="276"/>
      <c r="CD1570" s="276"/>
      <c r="CH1570" s="276"/>
      <c r="CJ1570" s="276"/>
      <c r="CK1570" s="276"/>
      <c r="CL1570" s="276"/>
      <c r="CM1570" s="276"/>
      <c r="CN1570" s="276"/>
      <c r="CO1570" s="276"/>
      <c r="CP1570" s="276"/>
      <c r="CQ1570" s="276"/>
      <c r="CU1570" s="276"/>
    </row>
    <row r="1571" spans="75:99" ht="15.75">
      <c r="BW1571" s="276"/>
      <c r="BY1571" s="276"/>
      <c r="BZ1571" s="276"/>
      <c r="CA1571" s="276"/>
      <c r="CB1571" s="276"/>
      <c r="CC1571" s="276"/>
      <c r="CD1571" s="276"/>
      <c r="CH1571" s="276"/>
      <c r="CJ1571" s="276"/>
      <c r="CK1571" s="276"/>
      <c r="CL1571" s="276"/>
      <c r="CM1571" s="276"/>
      <c r="CN1571" s="276"/>
      <c r="CO1571" s="276"/>
      <c r="CP1571" s="276"/>
      <c r="CQ1571" s="276"/>
      <c r="CU1571" s="276"/>
    </row>
    <row r="1572" spans="75:99" ht="15.75">
      <c r="BW1572" s="276"/>
      <c r="BY1572" s="276"/>
      <c r="BZ1572" s="276"/>
      <c r="CA1572" s="276"/>
      <c r="CB1572" s="276"/>
      <c r="CC1572" s="276"/>
      <c r="CD1572" s="276"/>
      <c r="CH1572" s="276"/>
      <c r="CJ1572" s="276"/>
      <c r="CK1572" s="276"/>
      <c r="CL1572" s="276"/>
      <c r="CM1572" s="276"/>
      <c r="CN1572" s="276"/>
      <c r="CO1572" s="276"/>
      <c r="CP1572" s="276"/>
      <c r="CQ1572" s="276"/>
      <c r="CU1572" s="276"/>
    </row>
    <row r="1573" spans="75:99" ht="15.75">
      <c r="BW1573" s="276"/>
      <c r="BY1573" s="276"/>
      <c r="BZ1573" s="276"/>
      <c r="CA1573" s="276"/>
      <c r="CB1573" s="276"/>
      <c r="CC1573" s="276"/>
      <c r="CD1573" s="276"/>
      <c r="CH1573" s="276"/>
      <c r="CJ1573" s="276"/>
      <c r="CK1573" s="276"/>
      <c r="CL1573" s="276"/>
      <c r="CM1573" s="276"/>
      <c r="CN1573" s="276"/>
      <c r="CO1573" s="276"/>
      <c r="CP1573" s="276"/>
      <c r="CQ1573" s="276"/>
      <c r="CU1573" s="276"/>
    </row>
    <row r="1574" spans="75:99" ht="15.75">
      <c r="BW1574" s="276"/>
      <c r="BY1574" s="276"/>
      <c r="BZ1574" s="276"/>
      <c r="CA1574" s="276"/>
      <c r="CB1574" s="276"/>
      <c r="CC1574" s="276"/>
      <c r="CD1574" s="276"/>
      <c r="CH1574" s="276"/>
      <c r="CJ1574" s="276"/>
      <c r="CK1574" s="276"/>
      <c r="CL1574" s="276"/>
      <c r="CM1574" s="276"/>
      <c r="CN1574" s="276"/>
      <c r="CO1574" s="276"/>
      <c r="CP1574" s="276"/>
      <c r="CQ1574" s="276"/>
      <c r="CU1574" s="276"/>
    </row>
    <row r="1575" spans="75:99" ht="15.75">
      <c r="BW1575" s="276"/>
      <c r="BY1575" s="276"/>
      <c r="BZ1575" s="276"/>
      <c r="CA1575" s="276"/>
      <c r="CB1575" s="276"/>
      <c r="CC1575" s="276"/>
      <c r="CD1575" s="276"/>
      <c r="CH1575" s="276"/>
      <c r="CJ1575" s="276"/>
      <c r="CK1575" s="276"/>
      <c r="CL1575" s="276"/>
      <c r="CM1575" s="276"/>
      <c r="CN1575" s="276"/>
      <c r="CO1575" s="276"/>
      <c r="CP1575" s="276"/>
      <c r="CQ1575" s="276"/>
      <c r="CU1575" s="276"/>
    </row>
    <row r="1576" spans="75:99" ht="15.75">
      <c r="BW1576" s="276"/>
      <c r="BY1576" s="276"/>
      <c r="BZ1576" s="276"/>
      <c r="CA1576" s="276"/>
      <c r="CB1576" s="276"/>
      <c r="CC1576" s="276"/>
      <c r="CD1576" s="276"/>
      <c r="CH1576" s="276"/>
      <c r="CJ1576" s="276"/>
      <c r="CK1576" s="276"/>
      <c r="CL1576" s="276"/>
      <c r="CM1576" s="276"/>
      <c r="CN1576" s="276"/>
      <c r="CO1576" s="276"/>
      <c r="CP1576" s="276"/>
      <c r="CQ1576" s="276"/>
      <c r="CU1576" s="276"/>
    </row>
    <row r="1577" spans="75:99" ht="15.75">
      <c r="BW1577" s="276"/>
      <c r="BY1577" s="276"/>
      <c r="BZ1577" s="276"/>
      <c r="CA1577" s="276"/>
      <c r="CB1577" s="276"/>
      <c r="CC1577" s="276"/>
      <c r="CD1577" s="276"/>
      <c r="CH1577" s="276"/>
      <c r="CJ1577" s="276"/>
      <c r="CK1577" s="276"/>
      <c r="CL1577" s="276"/>
      <c r="CM1577" s="276"/>
      <c r="CN1577" s="276"/>
      <c r="CO1577" s="276"/>
      <c r="CP1577" s="276"/>
      <c r="CQ1577" s="276"/>
      <c r="CU1577" s="276"/>
    </row>
    <row r="1578" spans="75:99" ht="15.75">
      <c r="BW1578" s="276"/>
      <c r="BY1578" s="276"/>
      <c r="BZ1578" s="276"/>
      <c r="CA1578" s="276"/>
      <c r="CB1578" s="276"/>
      <c r="CC1578" s="276"/>
      <c r="CD1578" s="276"/>
      <c r="CH1578" s="276"/>
      <c r="CJ1578" s="276"/>
      <c r="CK1578" s="276"/>
      <c r="CL1578" s="276"/>
      <c r="CM1578" s="276"/>
      <c r="CN1578" s="276"/>
      <c r="CO1578" s="276"/>
      <c r="CP1578" s="276"/>
      <c r="CQ1578" s="276"/>
      <c r="CU1578" s="276"/>
    </row>
    <row r="1579" spans="75:99" ht="15.75">
      <c r="BW1579" s="276"/>
      <c r="BY1579" s="276"/>
      <c r="BZ1579" s="276"/>
      <c r="CA1579" s="276"/>
      <c r="CB1579" s="276"/>
      <c r="CC1579" s="276"/>
      <c r="CD1579" s="276"/>
      <c r="CH1579" s="276"/>
      <c r="CJ1579" s="276"/>
      <c r="CK1579" s="276"/>
      <c r="CL1579" s="276"/>
      <c r="CM1579" s="276"/>
      <c r="CN1579" s="276"/>
      <c r="CO1579" s="276"/>
      <c r="CP1579" s="276"/>
      <c r="CQ1579" s="276"/>
      <c r="CU1579" s="276"/>
    </row>
    <row r="1580" spans="75:99" ht="15.75">
      <c r="BW1580" s="276"/>
      <c r="BY1580" s="276"/>
      <c r="BZ1580" s="276"/>
      <c r="CA1580" s="276"/>
      <c r="CB1580" s="276"/>
      <c r="CC1580" s="276"/>
      <c r="CD1580" s="276"/>
      <c r="CH1580" s="276"/>
      <c r="CJ1580" s="276"/>
      <c r="CK1580" s="276"/>
      <c r="CL1580" s="276"/>
      <c r="CM1580" s="276"/>
      <c r="CN1580" s="276"/>
      <c r="CO1580" s="276"/>
      <c r="CP1580" s="276"/>
      <c r="CQ1580" s="276"/>
      <c r="CU1580" s="276"/>
    </row>
    <row r="1581" spans="75:99" ht="15.75">
      <c r="BW1581" s="276"/>
      <c r="BY1581" s="276"/>
      <c r="BZ1581" s="276"/>
      <c r="CA1581" s="276"/>
      <c r="CB1581" s="276"/>
      <c r="CC1581" s="276"/>
      <c r="CD1581" s="276"/>
      <c r="CH1581" s="276"/>
      <c r="CJ1581" s="276"/>
      <c r="CK1581" s="276"/>
      <c r="CL1581" s="276"/>
      <c r="CM1581" s="276"/>
      <c r="CN1581" s="276"/>
      <c r="CO1581" s="276"/>
      <c r="CP1581" s="276"/>
      <c r="CQ1581" s="276"/>
      <c r="CU1581" s="276"/>
    </row>
    <row r="1582" spans="75:99" ht="15.75">
      <c r="BW1582" s="276"/>
      <c r="BY1582" s="276"/>
      <c r="BZ1582" s="276"/>
      <c r="CA1582" s="276"/>
      <c r="CB1582" s="276"/>
      <c r="CC1582" s="276"/>
      <c r="CD1582" s="276"/>
      <c r="CH1582" s="276"/>
      <c r="CJ1582" s="276"/>
      <c r="CK1582" s="276"/>
      <c r="CL1582" s="276"/>
      <c r="CM1582" s="276"/>
      <c r="CN1582" s="276"/>
      <c r="CO1582" s="276"/>
      <c r="CP1582" s="276"/>
      <c r="CQ1582" s="276"/>
      <c r="CU1582" s="276"/>
    </row>
    <row r="1583" spans="75:99" ht="15.75">
      <c r="BW1583" s="276"/>
      <c r="BY1583" s="276"/>
      <c r="BZ1583" s="276"/>
      <c r="CA1583" s="276"/>
      <c r="CB1583" s="276"/>
      <c r="CC1583" s="276"/>
      <c r="CD1583" s="276"/>
      <c r="CH1583" s="276"/>
      <c r="CJ1583" s="276"/>
      <c r="CK1583" s="276"/>
      <c r="CL1583" s="276"/>
      <c r="CM1583" s="276"/>
      <c r="CN1583" s="276"/>
      <c r="CO1583" s="276"/>
      <c r="CP1583" s="276"/>
      <c r="CQ1583" s="276"/>
      <c r="CU1583" s="276"/>
    </row>
    <row r="1584" spans="75:99" ht="15.75">
      <c r="BW1584" s="276"/>
      <c r="BY1584" s="276"/>
      <c r="BZ1584" s="276"/>
      <c r="CA1584" s="276"/>
      <c r="CB1584" s="276"/>
      <c r="CC1584" s="276"/>
      <c r="CD1584" s="276"/>
      <c r="CH1584" s="276"/>
      <c r="CJ1584" s="276"/>
      <c r="CK1584" s="276"/>
      <c r="CL1584" s="276"/>
      <c r="CM1584" s="276"/>
      <c r="CN1584" s="276"/>
      <c r="CO1584" s="276"/>
      <c r="CP1584" s="276"/>
      <c r="CQ1584" s="276"/>
      <c r="CU1584" s="276"/>
    </row>
    <row r="1585" spans="75:99" ht="15.75">
      <c r="BW1585" s="276"/>
      <c r="BY1585" s="276"/>
      <c r="BZ1585" s="276"/>
      <c r="CA1585" s="276"/>
      <c r="CB1585" s="276"/>
      <c r="CC1585" s="276"/>
      <c r="CD1585" s="276"/>
      <c r="CH1585" s="276"/>
      <c r="CJ1585" s="276"/>
      <c r="CK1585" s="276"/>
      <c r="CL1585" s="276"/>
      <c r="CM1585" s="276"/>
      <c r="CN1585" s="276"/>
      <c r="CO1585" s="276"/>
      <c r="CP1585" s="276"/>
      <c r="CQ1585" s="276"/>
      <c r="CU1585" s="276"/>
    </row>
    <row r="1586" spans="75:99" ht="15.75">
      <c r="BW1586" s="276"/>
      <c r="BY1586" s="276"/>
      <c r="BZ1586" s="276"/>
      <c r="CA1586" s="276"/>
      <c r="CB1586" s="276"/>
      <c r="CC1586" s="276"/>
      <c r="CD1586" s="276"/>
      <c r="CH1586" s="276"/>
      <c r="CJ1586" s="276"/>
      <c r="CK1586" s="276"/>
      <c r="CL1586" s="276"/>
      <c r="CM1586" s="276"/>
      <c r="CN1586" s="276"/>
      <c r="CO1586" s="276"/>
      <c r="CP1586" s="276"/>
      <c r="CQ1586" s="276"/>
      <c r="CU1586" s="276"/>
    </row>
    <row r="1587" spans="75:99" ht="15.75">
      <c r="BW1587" s="276"/>
      <c r="BY1587" s="276"/>
      <c r="BZ1587" s="276"/>
      <c r="CA1587" s="276"/>
      <c r="CB1587" s="276"/>
      <c r="CC1587" s="276"/>
      <c r="CD1587" s="276"/>
      <c r="CH1587" s="276"/>
      <c r="CJ1587" s="276"/>
      <c r="CK1587" s="276"/>
      <c r="CL1587" s="276"/>
      <c r="CM1587" s="276"/>
      <c r="CN1587" s="276"/>
      <c r="CO1587" s="276"/>
      <c r="CP1587" s="276"/>
      <c r="CQ1587" s="276"/>
      <c r="CU1587" s="276"/>
    </row>
    <row r="1588" spans="75:99" ht="15.75">
      <c r="BW1588" s="276"/>
      <c r="BY1588" s="276"/>
      <c r="BZ1588" s="276"/>
      <c r="CA1588" s="276"/>
      <c r="CB1588" s="276"/>
      <c r="CC1588" s="276"/>
      <c r="CD1588" s="276"/>
      <c r="CH1588" s="276"/>
      <c r="CJ1588" s="276"/>
      <c r="CK1588" s="276"/>
      <c r="CL1588" s="276"/>
      <c r="CM1588" s="276"/>
      <c r="CN1588" s="276"/>
      <c r="CO1588" s="276"/>
      <c r="CP1588" s="276"/>
      <c r="CQ1588" s="276"/>
      <c r="CU1588" s="276"/>
    </row>
    <row r="1589" spans="75:99" ht="15.75">
      <c r="BW1589" s="276"/>
      <c r="BY1589" s="276"/>
      <c r="BZ1589" s="276"/>
      <c r="CA1589" s="276"/>
      <c r="CB1589" s="276"/>
      <c r="CC1589" s="276"/>
      <c r="CD1589" s="276"/>
      <c r="CH1589" s="276"/>
      <c r="CJ1589" s="276"/>
      <c r="CK1589" s="276"/>
      <c r="CL1589" s="276"/>
      <c r="CM1589" s="276"/>
      <c r="CN1589" s="276"/>
      <c r="CO1589" s="276"/>
      <c r="CP1589" s="276"/>
      <c r="CQ1589" s="276"/>
      <c r="CU1589" s="276"/>
    </row>
    <row r="1590" spans="75:99" ht="15.75">
      <c r="BW1590" s="276"/>
      <c r="BY1590" s="276"/>
      <c r="BZ1590" s="276"/>
      <c r="CA1590" s="276"/>
      <c r="CB1590" s="276"/>
      <c r="CC1590" s="276"/>
      <c r="CD1590" s="276"/>
      <c r="CH1590" s="276"/>
      <c r="CJ1590" s="276"/>
      <c r="CK1590" s="276"/>
      <c r="CL1590" s="276"/>
      <c r="CM1590" s="276"/>
      <c r="CN1590" s="276"/>
      <c r="CO1590" s="276"/>
      <c r="CP1590" s="276"/>
      <c r="CQ1590" s="276"/>
      <c r="CU1590" s="276"/>
    </row>
    <row r="1591" spans="75:99" ht="15.75">
      <c r="BW1591" s="276"/>
      <c r="BY1591" s="276"/>
      <c r="BZ1591" s="276"/>
      <c r="CA1591" s="276"/>
      <c r="CB1591" s="276"/>
      <c r="CC1591" s="276"/>
      <c r="CD1591" s="276"/>
      <c r="CH1591" s="276"/>
      <c r="CJ1591" s="276"/>
      <c r="CK1591" s="276"/>
      <c r="CL1591" s="276"/>
      <c r="CM1591" s="276"/>
      <c r="CN1591" s="276"/>
      <c r="CO1591" s="276"/>
      <c r="CP1591" s="276"/>
      <c r="CQ1591" s="276"/>
      <c r="CU1591" s="276"/>
    </row>
    <row r="1592" spans="75:99" ht="15.75">
      <c r="BW1592" s="276"/>
      <c r="BY1592" s="276"/>
      <c r="BZ1592" s="276"/>
      <c r="CA1592" s="276"/>
      <c r="CB1592" s="276"/>
      <c r="CC1592" s="276"/>
      <c r="CD1592" s="276"/>
      <c r="CH1592" s="276"/>
      <c r="CJ1592" s="276"/>
      <c r="CK1592" s="276"/>
      <c r="CL1592" s="276"/>
      <c r="CM1592" s="276"/>
      <c r="CN1592" s="276"/>
      <c r="CO1592" s="276"/>
      <c r="CP1592" s="276"/>
      <c r="CQ1592" s="276"/>
      <c r="CU1592" s="276"/>
    </row>
    <row r="1593" spans="75:99" ht="15.75">
      <c r="BW1593" s="276"/>
      <c r="BY1593" s="276"/>
      <c r="BZ1593" s="276"/>
      <c r="CA1593" s="276"/>
      <c r="CB1593" s="276"/>
      <c r="CC1593" s="276"/>
      <c r="CD1593" s="276"/>
      <c r="CH1593" s="276"/>
      <c r="CJ1593" s="276"/>
      <c r="CK1593" s="276"/>
      <c r="CL1593" s="276"/>
      <c r="CM1593" s="276"/>
      <c r="CN1593" s="276"/>
      <c r="CO1593" s="276"/>
      <c r="CP1593" s="276"/>
      <c r="CQ1593" s="276"/>
      <c r="CU1593" s="276"/>
    </row>
    <row r="1594" spans="75:99" ht="15.75">
      <c r="BW1594" s="276"/>
      <c r="BY1594" s="276"/>
      <c r="BZ1594" s="276"/>
      <c r="CA1594" s="276"/>
      <c r="CB1594" s="276"/>
      <c r="CC1594" s="276"/>
      <c r="CD1594" s="276"/>
      <c r="CH1594" s="276"/>
      <c r="CJ1594" s="276"/>
      <c r="CK1594" s="276"/>
      <c r="CL1594" s="276"/>
      <c r="CM1594" s="276"/>
      <c r="CN1594" s="276"/>
      <c r="CO1594" s="276"/>
      <c r="CP1594" s="276"/>
      <c r="CQ1594" s="276"/>
      <c r="CU1594" s="276"/>
    </row>
    <row r="1595" spans="75:99" ht="15.75">
      <c r="BW1595" s="276"/>
      <c r="BY1595" s="276"/>
      <c r="BZ1595" s="276"/>
      <c r="CA1595" s="276"/>
      <c r="CB1595" s="276"/>
      <c r="CC1595" s="276"/>
      <c r="CD1595" s="276"/>
      <c r="CH1595" s="276"/>
      <c r="CJ1595" s="276"/>
      <c r="CK1595" s="276"/>
      <c r="CL1595" s="276"/>
      <c r="CM1595" s="276"/>
      <c r="CN1595" s="276"/>
      <c r="CO1595" s="276"/>
      <c r="CP1595" s="276"/>
      <c r="CQ1595" s="276"/>
      <c r="CU1595" s="276"/>
    </row>
    <row r="1596" spans="75:99" ht="15.75">
      <c r="BW1596" s="276"/>
      <c r="BY1596" s="276"/>
      <c r="BZ1596" s="276"/>
      <c r="CA1596" s="276"/>
      <c r="CB1596" s="276"/>
      <c r="CC1596" s="276"/>
      <c r="CD1596" s="276"/>
      <c r="CH1596" s="276"/>
      <c r="CJ1596" s="276"/>
      <c r="CK1596" s="276"/>
      <c r="CL1596" s="276"/>
      <c r="CM1596" s="276"/>
      <c r="CN1596" s="276"/>
      <c r="CO1596" s="276"/>
      <c r="CP1596" s="276"/>
      <c r="CQ1596" s="276"/>
      <c r="CU1596" s="276"/>
    </row>
    <row r="1597" spans="75:99" ht="15.75">
      <c r="BW1597" s="276"/>
      <c r="BY1597" s="276"/>
      <c r="BZ1597" s="276"/>
      <c r="CA1597" s="276"/>
      <c r="CB1597" s="276"/>
      <c r="CC1597" s="276"/>
      <c r="CD1597" s="276"/>
      <c r="CH1597" s="276"/>
      <c r="CJ1597" s="276"/>
      <c r="CK1597" s="276"/>
      <c r="CL1597" s="276"/>
      <c r="CM1597" s="276"/>
      <c r="CN1597" s="276"/>
      <c r="CO1597" s="276"/>
      <c r="CP1597" s="276"/>
      <c r="CQ1597" s="276"/>
      <c r="CU1597" s="276"/>
    </row>
    <row r="1598" spans="75:99" ht="15.75">
      <c r="BW1598" s="276"/>
      <c r="BY1598" s="276"/>
      <c r="BZ1598" s="276"/>
      <c r="CA1598" s="276"/>
      <c r="CB1598" s="276"/>
      <c r="CC1598" s="276"/>
      <c r="CD1598" s="276"/>
      <c r="CH1598" s="276"/>
      <c r="CJ1598" s="276"/>
      <c r="CK1598" s="276"/>
      <c r="CL1598" s="276"/>
      <c r="CM1598" s="276"/>
      <c r="CN1598" s="276"/>
      <c r="CO1598" s="276"/>
      <c r="CP1598" s="276"/>
      <c r="CQ1598" s="276"/>
      <c r="CU1598" s="276"/>
    </row>
    <row r="1599" spans="75:99" ht="15.75">
      <c r="BW1599" s="276"/>
      <c r="BY1599" s="276"/>
      <c r="BZ1599" s="276"/>
      <c r="CA1599" s="276"/>
      <c r="CB1599" s="276"/>
      <c r="CC1599" s="276"/>
      <c r="CD1599" s="276"/>
      <c r="CH1599" s="276"/>
      <c r="CJ1599" s="276"/>
      <c r="CK1599" s="276"/>
      <c r="CL1599" s="276"/>
      <c r="CM1599" s="276"/>
      <c r="CN1599" s="276"/>
      <c r="CO1599" s="276"/>
      <c r="CP1599" s="276"/>
      <c r="CQ1599" s="276"/>
      <c r="CU1599" s="276"/>
    </row>
    <row r="1600" spans="75:99" ht="15.75">
      <c r="BW1600" s="276"/>
      <c r="BY1600" s="276"/>
      <c r="BZ1600" s="276"/>
      <c r="CA1600" s="276"/>
      <c r="CB1600" s="276"/>
      <c r="CC1600" s="276"/>
      <c r="CD1600" s="276"/>
      <c r="CH1600" s="276"/>
      <c r="CJ1600" s="276"/>
      <c r="CK1600" s="276"/>
      <c r="CL1600" s="276"/>
      <c r="CM1600" s="276"/>
      <c r="CN1600" s="276"/>
      <c r="CO1600" s="276"/>
      <c r="CP1600" s="276"/>
      <c r="CQ1600" s="276"/>
      <c r="CU1600" s="276"/>
    </row>
    <row r="1601" spans="75:99" ht="15.75">
      <c r="BW1601" s="276"/>
      <c r="BY1601" s="276"/>
      <c r="BZ1601" s="276"/>
      <c r="CA1601" s="276"/>
      <c r="CB1601" s="276"/>
      <c r="CC1601" s="276"/>
      <c r="CD1601" s="276"/>
      <c r="CH1601" s="276"/>
      <c r="CJ1601" s="276"/>
      <c r="CK1601" s="276"/>
      <c r="CL1601" s="276"/>
      <c r="CM1601" s="276"/>
      <c r="CN1601" s="276"/>
      <c r="CO1601" s="276"/>
      <c r="CP1601" s="276"/>
      <c r="CQ1601" s="276"/>
      <c r="CU1601" s="276"/>
    </row>
    <row r="1602" spans="75:99" ht="15.75">
      <c r="BW1602" s="276"/>
      <c r="BY1602" s="276"/>
      <c r="BZ1602" s="276"/>
      <c r="CA1602" s="276"/>
      <c r="CB1602" s="276"/>
      <c r="CC1602" s="276"/>
      <c r="CD1602" s="276"/>
      <c r="CH1602" s="276"/>
      <c r="CJ1602" s="276"/>
      <c r="CK1602" s="276"/>
      <c r="CL1602" s="276"/>
      <c r="CM1602" s="276"/>
      <c r="CN1602" s="276"/>
      <c r="CO1602" s="276"/>
      <c r="CP1602" s="276"/>
      <c r="CQ1602" s="276"/>
      <c r="CU1602" s="276"/>
    </row>
    <row r="1603" spans="75:99" ht="15.75">
      <c r="BW1603" s="276"/>
      <c r="BY1603" s="276"/>
      <c r="BZ1603" s="276"/>
      <c r="CA1603" s="276"/>
      <c r="CB1603" s="276"/>
      <c r="CC1603" s="276"/>
      <c r="CD1603" s="276"/>
      <c r="CH1603" s="276"/>
      <c r="CJ1603" s="276"/>
      <c r="CK1603" s="276"/>
      <c r="CL1603" s="276"/>
      <c r="CM1603" s="276"/>
      <c r="CN1603" s="276"/>
      <c r="CO1603" s="276"/>
      <c r="CP1603" s="276"/>
      <c r="CQ1603" s="276"/>
      <c r="CU1603" s="276"/>
    </row>
    <row r="1604" spans="75:99" ht="15.75">
      <c r="BW1604" s="276"/>
      <c r="BY1604" s="276"/>
      <c r="BZ1604" s="276"/>
      <c r="CA1604" s="276"/>
      <c r="CB1604" s="276"/>
      <c r="CC1604" s="276"/>
      <c r="CD1604" s="276"/>
      <c r="CH1604" s="276"/>
      <c r="CJ1604" s="276"/>
      <c r="CK1604" s="276"/>
      <c r="CL1604" s="276"/>
      <c r="CM1604" s="276"/>
      <c r="CN1604" s="276"/>
      <c r="CO1604" s="276"/>
      <c r="CP1604" s="276"/>
      <c r="CQ1604" s="276"/>
      <c r="CU1604" s="276"/>
    </row>
    <row r="1605" spans="75:99" ht="15.75">
      <c r="BW1605" s="276"/>
      <c r="BY1605" s="276"/>
      <c r="BZ1605" s="276"/>
      <c r="CA1605" s="276"/>
      <c r="CB1605" s="276"/>
      <c r="CC1605" s="276"/>
      <c r="CD1605" s="276"/>
      <c r="CH1605" s="276"/>
      <c r="CJ1605" s="276"/>
      <c r="CK1605" s="276"/>
      <c r="CL1605" s="276"/>
      <c r="CM1605" s="276"/>
      <c r="CN1605" s="276"/>
      <c r="CO1605" s="276"/>
      <c r="CP1605" s="276"/>
      <c r="CQ1605" s="276"/>
      <c r="CU1605" s="276"/>
    </row>
    <row r="1606" spans="75:99" ht="15.75">
      <c r="BW1606" s="276"/>
      <c r="BY1606" s="276"/>
      <c r="BZ1606" s="276"/>
      <c r="CA1606" s="276"/>
      <c r="CB1606" s="276"/>
      <c r="CC1606" s="276"/>
      <c r="CD1606" s="276"/>
      <c r="CH1606" s="276"/>
      <c r="CJ1606" s="276"/>
      <c r="CK1606" s="276"/>
      <c r="CL1606" s="276"/>
      <c r="CM1606" s="276"/>
      <c r="CN1606" s="276"/>
      <c r="CO1606" s="276"/>
      <c r="CP1606" s="276"/>
      <c r="CQ1606" s="276"/>
      <c r="CU1606" s="276"/>
    </row>
    <row r="1607" spans="75:99" ht="15.75">
      <c r="BW1607" s="276"/>
      <c r="BY1607" s="276"/>
      <c r="BZ1607" s="276"/>
      <c r="CA1607" s="276"/>
      <c r="CB1607" s="276"/>
      <c r="CC1607" s="276"/>
      <c r="CD1607" s="276"/>
      <c r="CH1607" s="276"/>
      <c r="CJ1607" s="276"/>
      <c r="CK1607" s="276"/>
      <c r="CL1607" s="276"/>
      <c r="CM1607" s="276"/>
      <c r="CN1607" s="276"/>
      <c r="CO1607" s="276"/>
      <c r="CP1607" s="276"/>
      <c r="CQ1607" s="276"/>
      <c r="CU1607" s="276"/>
    </row>
    <row r="1608" spans="75:99" ht="15.75">
      <c r="BW1608" s="276"/>
      <c r="BY1608" s="276"/>
      <c r="BZ1608" s="276"/>
      <c r="CA1608" s="276"/>
      <c r="CB1608" s="276"/>
      <c r="CC1608" s="276"/>
      <c r="CD1608" s="276"/>
      <c r="CH1608" s="276"/>
      <c r="CJ1608" s="276"/>
      <c r="CK1608" s="276"/>
      <c r="CL1608" s="276"/>
      <c r="CM1608" s="276"/>
      <c r="CN1608" s="276"/>
      <c r="CO1608" s="276"/>
      <c r="CP1608" s="276"/>
      <c r="CQ1608" s="276"/>
      <c r="CU1608" s="276"/>
    </row>
    <row r="1609" spans="75:99" ht="15.75">
      <c r="BW1609" s="276"/>
      <c r="BY1609" s="276"/>
      <c r="BZ1609" s="276"/>
      <c r="CA1609" s="276"/>
      <c r="CB1609" s="276"/>
      <c r="CC1609" s="276"/>
      <c r="CD1609" s="276"/>
      <c r="CH1609" s="276"/>
      <c r="CJ1609" s="276"/>
      <c r="CK1609" s="276"/>
      <c r="CL1609" s="276"/>
      <c r="CM1609" s="276"/>
      <c r="CN1609" s="276"/>
      <c r="CO1609" s="276"/>
      <c r="CP1609" s="276"/>
      <c r="CQ1609" s="276"/>
      <c r="CU1609" s="276"/>
    </row>
    <row r="1610" spans="75:99" ht="15.75">
      <c r="BW1610" s="276"/>
      <c r="BY1610" s="276"/>
      <c r="BZ1610" s="276"/>
      <c r="CA1610" s="276"/>
      <c r="CB1610" s="276"/>
      <c r="CC1610" s="276"/>
      <c r="CD1610" s="276"/>
      <c r="CH1610" s="276"/>
      <c r="CJ1610" s="276"/>
      <c r="CK1610" s="276"/>
      <c r="CL1610" s="276"/>
      <c r="CM1610" s="276"/>
      <c r="CN1610" s="276"/>
      <c r="CO1610" s="276"/>
      <c r="CP1610" s="276"/>
      <c r="CQ1610" s="276"/>
      <c r="CU1610" s="276"/>
    </row>
    <row r="1611" spans="75:99" ht="15.75">
      <c r="BW1611" s="276"/>
      <c r="BY1611" s="276"/>
      <c r="BZ1611" s="276"/>
      <c r="CA1611" s="276"/>
      <c r="CB1611" s="276"/>
      <c r="CC1611" s="276"/>
      <c r="CD1611" s="276"/>
      <c r="CH1611" s="276"/>
      <c r="CJ1611" s="276"/>
      <c r="CK1611" s="276"/>
      <c r="CL1611" s="276"/>
      <c r="CM1611" s="276"/>
      <c r="CN1611" s="276"/>
      <c r="CO1611" s="276"/>
      <c r="CP1611" s="276"/>
      <c r="CQ1611" s="276"/>
      <c r="CU1611" s="276"/>
    </row>
    <row r="1612" spans="75:99" ht="15.75">
      <c r="BW1612" s="276"/>
      <c r="BY1612" s="276"/>
      <c r="BZ1612" s="276"/>
      <c r="CA1612" s="276"/>
      <c r="CB1612" s="276"/>
      <c r="CC1612" s="276"/>
      <c r="CD1612" s="276"/>
      <c r="CH1612" s="276"/>
      <c r="CJ1612" s="276"/>
      <c r="CK1612" s="276"/>
      <c r="CL1612" s="276"/>
      <c r="CM1612" s="276"/>
      <c r="CN1612" s="276"/>
      <c r="CO1612" s="276"/>
      <c r="CP1612" s="276"/>
      <c r="CQ1612" s="276"/>
      <c r="CU1612" s="276"/>
    </row>
    <row r="1613" spans="75:99" ht="15.75">
      <c r="BW1613" s="276"/>
      <c r="BY1613" s="276"/>
      <c r="BZ1613" s="276"/>
      <c r="CA1613" s="276"/>
      <c r="CB1613" s="276"/>
      <c r="CC1613" s="276"/>
      <c r="CD1613" s="276"/>
      <c r="CH1613" s="276"/>
      <c r="CJ1613" s="276"/>
      <c r="CK1613" s="276"/>
      <c r="CL1613" s="276"/>
      <c r="CM1613" s="276"/>
      <c r="CN1613" s="276"/>
      <c r="CO1613" s="276"/>
      <c r="CP1613" s="276"/>
      <c r="CQ1613" s="276"/>
      <c r="CU1613" s="276"/>
    </row>
    <row r="1614" spans="75:99" ht="15.75">
      <c r="BW1614" s="276"/>
      <c r="BY1614" s="276"/>
      <c r="BZ1614" s="276"/>
      <c r="CA1614" s="276"/>
      <c r="CB1614" s="276"/>
      <c r="CC1614" s="276"/>
      <c r="CD1614" s="276"/>
      <c r="CH1614" s="276"/>
      <c r="CJ1614" s="276"/>
      <c r="CK1614" s="276"/>
      <c r="CL1614" s="276"/>
      <c r="CM1614" s="276"/>
      <c r="CN1614" s="276"/>
      <c r="CO1614" s="276"/>
      <c r="CP1614" s="276"/>
      <c r="CQ1614" s="276"/>
      <c r="CU1614" s="276"/>
    </row>
    <row r="1615" spans="75:99" ht="15.75">
      <c r="BW1615" s="276"/>
      <c r="BY1615" s="276"/>
      <c r="BZ1615" s="276"/>
      <c r="CA1615" s="276"/>
      <c r="CB1615" s="276"/>
      <c r="CC1615" s="276"/>
      <c r="CD1615" s="276"/>
      <c r="CH1615" s="276"/>
      <c r="CJ1615" s="276"/>
      <c r="CK1615" s="276"/>
      <c r="CL1615" s="276"/>
      <c r="CM1615" s="276"/>
      <c r="CN1615" s="276"/>
      <c r="CO1615" s="276"/>
      <c r="CP1615" s="276"/>
      <c r="CQ1615" s="276"/>
      <c r="CU1615" s="276"/>
    </row>
    <row r="1616" spans="75:99" ht="15.75">
      <c r="BW1616" s="276"/>
      <c r="BY1616" s="276"/>
      <c r="BZ1616" s="276"/>
      <c r="CA1616" s="276"/>
      <c r="CB1616" s="276"/>
      <c r="CC1616" s="276"/>
      <c r="CD1616" s="276"/>
      <c r="CH1616" s="276"/>
      <c r="CJ1616" s="276"/>
      <c r="CK1616" s="276"/>
      <c r="CL1616" s="276"/>
      <c r="CM1616" s="276"/>
      <c r="CN1616" s="276"/>
      <c r="CO1616" s="276"/>
      <c r="CP1616" s="276"/>
      <c r="CQ1616" s="276"/>
      <c r="CU1616" s="276"/>
    </row>
    <row r="1617" spans="75:99" ht="15.75">
      <c r="BW1617" s="276"/>
      <c r="BY1617" s="276"/>
      <c r="BZ1617" s="276"/>
      <c r="CA1617" s="276"/>
      <c r="CB1617" s="276"/>
      <c r="CC1617" s="276"/>
      <c r="CD1617" s="276"/>
      <c r="CH1617" s="276"/>
      <c r="CJ1617" s="276"/>
      <c r="CK1617" s="276"/>
      <c r="CL1617" s="276"/>
      <c r="CM1617" s="276"/>
      <c r="CN1617" s="276"/>
      <c r="CO1617" s="276"/>
      <c r="CP1617" s="276"/>
      <c r="CQ1617" s="276"/>
      <c r="CU1617" s="276"/>
    </row>
    <row r="1618" spans="75:99" ht="15.75">
      <c r="BW1618" s="276"/>
      <c r="BY1618" s="276"/>
      <c r="BZ1618" s="276"/>
      <c r="CA1618" s="276"/>
      <c r="CB1618" s="276"/>
      <c r="CC1618" s="276"/>
      <c r="CD1618" s="276"/>
      <c r="CH1618" s="276"/>
      <c r="CJ1618" s="276"/>
      <c r="CK1618" s="276"/>
      <c r="CL1618" s="276"/>
      <c r="CM1618" s="276"/>
      <c r="CN1618" s="276"/>
      <c r="CO1618" s="276"/>
      <c r="CP1618" s="276"/>
      <c r="CQ1618" s="276"/>
      <c r="CU1618" s="276"/>
    </row>
    <row r="1619" spans="75:99" ht="15.75">
      <c r="BW1619" s="276"/>
      <c r="BY1619" s="276"/>
      <c r="BZ1619" s="276"/>
      <c r="CA1619" s="276"/>
      <c r="CB1619" s="276"/>
      <c r="CC1619" s="276"/>
      <c r="CD1619" s="276"/>
      <c r="CH1619" s="276"/>
      <c r="CJ1619" s="276"/>
      <c r="CK1619" s="276"/>
      <c r="CL1619" s="276"/>
      <c r="CM1619" s="276"/>
      <c r="CN1619" s="276"/>
      <c r="CO1619" s="276"/>
      <c r="CP1619" s="276"/>
      <c r="CQ1619" s="276"/>
      <c r="CU1619" s="276"/>
    </row>
    <row r="1620" spans="75:99" ht="15.75">
      <c r="BW1620" s="276"/>
      <c r="BY1620" s="276"/>
      <c r="BZ1620" s="276"/>
      <c r="CA1620" s="276"/>
      <c r="CB1620" s="276"/>
      <c r="CC1620" s="276"/>
      <c r="CD1620" s="276"/>
      <c r="CH1620" s="276"/>
      <c r="CJ1620" s="276"/>
      <c r="CK1620" s="276"/>
      <c r="CL1620" s="276"/>
      <c r="CM1620" s="276"/>
      <c r="CN1620" s="276"/>
      <c r="CO1620" s="276"/>
      <c r="CP1620" s="276"/>
      <c r="CQ1620" s="276"/>
      <c r="CU1620" s="276"/>
    </row>
    <row r="1621" spans="75:99" ht="15.75">
      <c r="BW1621" s="276"/>
      <c r="BY1621" s="276"/>
      <c r="BZ1621" s="276"/>
      <c r="CA1621" s="276"/>
      <c r="CB1621" s="276"/>
      <c r="CC1621" s="276"/>
      <c r="CD1621" s="276"/>
      <c r="CH1621" s="276"/>
      <c r="CJ1621" s="276"/>
      <c r="CK1621" s="276"/>
      <c r="CL1621" s="276"/>
      <c r="CM1621" s="276"/>
      <c r="CN1621" s="276"/>
      <c r="CO1621" s="276"/>
      <c r="CP1621" s="276"/>
      <c r="CQ1621" s="276"/>
      <c r="CU1621" s="276"/>
    </row>
    <row r="1622" spans="75:99" ht="15.75">
      <c r="BW1622" s="276"/>
      <c r="BY1622" s="276"/>
      <c r="BZ1622" s="276"/>
      <c r="CA1622" s="276"/>
      <c r="CB1622" s="276"/>
      <c r="CC1622" s="276"/>
      <c r="CD1622" s="276"/>
      <c r="CH1622" s="276"/>
      <c r="CJ1622" s="276"/>
      <c r="CK1622" s="276"/>
      <c r="CL1622" s="276"/>
      <c r="CM1622" s="276"/>
      <c r="CN1622" s="276"/>
      <c r="CO1622" s="276"/>
      <c r="CP1622" s="276"/>
      <c r="CQ1622" s="276"/>
      <c r="CU1622" s="276"/>
    </row>
    <row r="1623" spans="75:99" ht="15.75">
      <c r="BW1623" s="276"/>
      <c r="BY1623" s="276"/>
      <c r="BZ1623" s="276"/>
      <c r="CA1623" s="276"/>
      <c r="CB1623" s="276"/>
      <c r="CC1623" s="276"/>
      <c r="CD1623" s="276"/>
      <c r="CH1623" s="276"/>
      <c r="CJ1623" s="276"/>
      <c r="CK1623" s="276"/>
      <c r="CL1623" s="276"/>
      <c r="CM1623" s="276"/>
      <c r="CN1623" s="276"/>
      <c r="CO1623" s="276"/>
      <c r="CP1623" s="276"/>
      <c r="CQ1623" s="276"/>
      <c r="CU1623" s="276"/>
    </row>
    <row r="1624" spans="75:99" ht="15.75">
      <c r="BW1624" s="276"/>
      <c r="BY1624" s="276"/>
      <c r="BZ1624" s="276"/>
      <c r="CA1624" s="276"/>
      <c r="CB1624" s="276"/>
      <c r="CC1624" s="276"/>
      <c r="CD1624" s="276"/>
      <c r="CH1624" s="276"/>
      <c r="CJ1624" s="276"/>
      <c r="CK1624" s="276"/>
      <c r="CL1624" s="276"/>
      <c r="CM1624" s="276"/>
      <c r="CN1624" s="276"/>
      <c r="CO1624" s="276"/>
      <c r="CP1624" s="276"/>
      <c r="CQ1624" s="276"/>
      <c r="CU1624" s="276"/>
    </row>
    <row r="1625" spans="75:99" ht="15.75">
      <c r="BW1625" s="276"/>
      <c r="BY1625" s="276"/>
      <c r="BZ1625" s="276"/>
      <c r="CA1625" s="276"/>
      <c r="CB1625" s="276"/>
      <c r="CC1625" s="276"/>
      <c r="CD1625" s="276"/>
      <c r="CH1625" s="276"/>
      <c r="CJ1625" s="276"/>
      <c r="CK1625" s="276"/>
      <c r="CL1625" s="276"/>
      <c r="CM1625" s="276"/>
      <c r="CN1625" s="276"/>
      <c r="CO1625" s="276"/>
      <c r="CP1625" s="276"/>
      <c r="CQ1625" s="276"/>
      <c r="CU1625" s="276"/>
    </row>
    <row r="1626" spans="75:99" ht="15.75">
      <c r="BW1626" s="276"/>
      <c r="BY1626" s="276"/>
      <c r="BZ1626" s="276"/>
      <c r="CA1626" s="276"/>
      <c r="CB1626" s="276"/>
      <c r="CC1626" s="276"/>
      <c r="CD1626" s="276"/>
      <c r="CH1626" s="276"/>
      <c r="CJ1626" s="276"/>
      <c r="CK1626" s="276"/>
      <c r="CL1626" s="276"/>
      <c r="CM1626" s="276"/>
      <c r="CN1626" s="276"/>
      <c r="CO1626" s="276"/>
      <c r="CP1626" s="276"/>
      <c r="CQ1626" s="276"/>
      <c r="CU1626" s="276"/>
    </row>
    <row r="1627" spans="75:99" ht="15.75">
      <c r="BW1627" s="276"/>
      <c r="BY1627" s="276"/>
      <c r="BZ1627" s="276"/>
      <c r="CA1627" s="276"/>
      <c r="CB1627" s="276"/>
      <c r="CC1627" s="276"/>
      <c r="CD1627" s="276"/>
      <c r="CH1627" s="276"/>
      <c r="CJ1627" s="276"/>
      <c r="CK1627" s="276"/>
      <c r="CL1627" s="276"/>
      <c r="CM1627" s="276"/>
      <c r="CN1627" s="276"/>
      <c r="CO1627" s="276"/>
      <c r="CP1627" s="276"/>
      <c r="CQ1627" s="276"/>
      <c r="CU1627" s="276"/>
    </row>
    <row r="1628" spans="75:99" ht="15.75">
      <c r="BW1628" s="276"/>
      <c r="BY1628" s="276"/>
      <c r="BZ1628" s="276"/>
      <c r="CA1628" s="276"/>
      <c r="CB1628" s="276"/>
      <c r="CC1628" s="276"/>
      <c r="CD1628" s="276"/>
      <c r="CH1628" s="276"/>
      <c r="CJ1628" s="276"/>
      <c r="CK1628" s="276"/>
      <c r="CL1628" s="276"/>
      <c r="CM1628" s="276"/>
      <c r="CN1628" s="276"/>
      <c r="CO1628" s="276"/>
      <c r="CP1628" s="276"/>
      <c r="CQ1628" s="276"/>
      <c r="CU1628" s="276"/>
    </row>
    <row r="1629" spans="75:99" ht="15.75">
      <c r="BW1629" s="276"/>
      <c r="BY1629" s="276"/>
      <c r="BZ1629" s="276"/>
      <c r="CA1629" s="276"/>
      <c r="CB1629" s="276"/>
      <c r="CC1629" s="276"/>
      <c r="CD1629" s="276"/>
      <c r="CH1629" s="276"/>
      <c r="CJ1629" s="276"/>
      <c r="CK1629" s="276"/>
      <c r="CL1629" s="276"/>
      <c r="CM1629" s="276"/>
      <c r="CN1629" s="276"/>
      <c r="CO1629" s="276"/>
      <c r="CP1629" s="276"/>
      <c r="CQ1629" s="276"/>
      <c r="CU1629" s="276"/>
    </row>
    <row r="1630" spans="75:99" ht="15.75">
      <c r="BW1630" s="276"/>
      <c r="BY1630" s="276"/>
      <c r="BZ1630" s="276"/>
      <c r="CA1630" s="276"/>
      <c r="CB1630" s="276"/>
      <c r="CC1630" s="276"/>
      <c r="CD1630" s="276"/>
      <c r="CH1630" s="276"/>
      <c r="CJ1630" s="276"/>
      <c r="CK1630" s="276"/>
      <c r="CL1630" s="276"/>
      <c r="CM1630" s="276"/>
      <c r="CN1630" s="276"/>
      <c r="CO1630" s="276"/>
      <c r="CP1630" s="276"/>
      <c r="CQ1630" s="276"/>
      <c r="CU1630" s="276"/>
    </row>
    <row r="1631" spans="75:99" ht="15.75">
      <c r="BW1631" s="276"/>
      <c r="BY1631" s="276"/>
      <c r="BZ1631" s="276"/>
      <c r="CA1631" s="276"/>
      <c r="CB1631" s="276"/>
      <c r="CC1631" s="276"/>
      <c r="CD1631" s="276"/>
      <c r="CH1631" s="276"/>
      <c r="CJ1631" s="276"/>
      <c r="CK1631" s="276"/>
      <c r="CL1631" s="276"/>
      <c r="CM1631" s="276"/>
      <c r="CN1631" s="276"/>
      <c r="CO1631" s="276"/>
      <c r="CP1631" s="276"/>
      <c r="CQ1631" s="276"/>
      <c r="CU1631" s="276"/>
    </row>
    <row r="1632" spans="75:99" ht="15.75">
      <c r="BW1632" s="276"/>
      <c r="BY1632" s="276"/>
      <c r="BZ1632" s="276"/>
      <c r="CA1632" s="276"/>
      <c r="CB1632" s="276"/>
      <c r="CC1632" s="276"/>
      <c r="CD1632" s="276"/>
      <c r="CH1632" s="276"/>
      <c r="CJ1632" s="276"/>
      <c r="CK1632" s="276"/>
      <c r="CL1632" s="276"/>
      <c r="CM1632" s="276"/>
      <c r="CN1632" s="276"/>
      <c r="CO1632" s="276"/>
      <c r="CP1632" s="276"/>
      <c r="CQ1632" s="276"/>
      <c r="CU1632" s="276"/>
    </row>
    <row r="1633" spans="75:99" ht="15.75">
      <c r="BW1633" s="276"/>
      <c r="BY1633" s="276"/>
      <c r="BZ1633" s="276"/>
      <c r="CA1633" s="276"/>
      <c r="CB1633" s="276"/>
      <c r="CC1633" s="276"/>
      <c r="CD1633" s="276"/>
      <c r="CH1633" s="276"/>
      <c r="CJ1633" s="276"/>
      <c r="CK1633" s="276"/>
      <c r="CL1633" s="276"/>
      <c r="CM1633" s="276"/>
      <c r="CN1633" s="276"/>
      <c r="CO1633" s="276"/>
      <c r="CP1633" s="276"/>
      <c r="CQ1633" s="276"/>
      <c r="CU1633" s="276"/>
    </row>
    <row r="1634" spans="75:99" ht="15.75">
      <c r="BW1634" s="276"/>
      <c r="BY1634" s="276"/>
      <c r="BZ1634" s="276"/>
      <c r="CA1634" s="276"/>
      <c r="CB1634" s="276"/>
      <c r="CC1634" s="276"/>
      <c r="CD1634" s="276"/>
      <c r="CH1634" s="276"/>
      <c r="CJ1634" s="276"/>
      <c r="CK1634" s="276"/>
      <c r="CL1634" s="276"/>
      <c r="CM1634" s="276"/>
      <c r="CN1634" s="276"/>
      <c r="CO1634" s="276"/>
      <c r="CP1634" s="276"/>
      <c r="CQ1634" s="276"/>
      <c r="CU1634" s="276"/>
    </row>
    <row r="1635" spans="75:99" ht="15.75">
      <c r="BW1635" s="276"/>
      <c r="BY1635" s="276"/>
      <c r="BZ1635" s="276"/>
      <c r="CA1635" s="276"/>
      <c r="CB1635" s="276"/>
      <c r="CC1635" s="276"/>
      <c r="CD1635" s="276"/>
      <c r="CH1635" s="276"/>
      <c r="CJ1635" s="276"/>
      <c r="CK1635" s="276"/>
      <c r="CL1635" s="276"/>
      <c r="CM1635" s="276"/>
      <c r="CN1635" s="276"/>
      <c r="CO1635" s="276"/>
      <c r="CP1635" s="276"/>
      <c r="CQ1635" s="276"/>
      <c r="CU1635" s="276"/>
    </row>
    <row r="1636" spans="75:99" ht="15.75">
      <c r="BW1636" s="276"/>
      <c r="BY1636" s="276"/>
      <c r="BZ1636" s="276"/>
      <c r="CA1636" s="276"/>
      <c r="CB1636" s="276"/>
      <c r="CC1636" s="276"/>
      <c r="CD1636" s="276"/>
      <c r="CH1636" s="276"/>
      <c r="CJ1636" s="276"/>
      <c r="CK1636" s="276"/>
      <c r="CL1636" s="276"/>
      <c r="CM1636" s="276"/>
      <c r="CN1636" s="276"/>
      <c r="CO1636" s="276"/>
      <c r="CP1636" s="276"/>
      <c r="CQ1636" s="276"/>
      <c r="CU1636" s="276"/>
    </row>
    <row r="1637" spans="75:99" ht="15.75">
      <c r="BW1637" s="276"/>
      <c r="BY1637" s="276"/>
      <c r="BZ1637" s="276"/>
      <c r="CA1637" s="276"/>
      <c r="CB1637" s="276"/>
      <c r="CC1637" s="276"/>
      <c r="CD1637" s="276"/>
      <c r="CH1637" s="276"/>
      <c r="CJ1637" s="276"/>
      <c r="CK1637" s="276"/>
      <c r="CL1637" s="276"/>
      <c r="CM1637" s="276"/>
      <c r="CN1637" s="276"/>
      <c r="CO1637" s="276"/>
      <c r="CP1637" s="276"/>
      <c r="CQ1637" s="276"/>
      <c r="CU1637" s="276"/>
    </row>
    <row r="1638" spans="75:99" ht="15.75">
      <c r="BW1638" s="276"/>
      <c r="BY1638" s="276"/>
      <c r="BZ1638" s="276"/>
      <c r="CA1638" s="276"/>
      <c r="CB1638" s="276"/>
      <c r="CC1638" s="276"/>
      <c r="CD1638" s="276"/>
      <c r="CH1638" s="276"/>
      <c r="CJ1638" s="276"/>
      <c r="CK1638" s="276"/>
      <c r="CL1638" s="276"/>
      <c r="CM1638" s="276"/>
      <c r="CN1638" s="276"/>
      <c r="CO1638" s="276"/>
      <c r="CP1638" s="276"/>
      <c r="CQ1638" s="276"/>
      <c r="CU1638" s="276"/>
    </row>
    <row r="1639" spans="75:99" ht="15.75">
      <c r="BW1639" s="276"/>
      <c r="BY1639" s="276"/>
      <c r="BZ1639" s="276"/>
      <c r="CA1639" s="276"/>
      <c r="CB1639" s="276"/>
      <c r="CC1639" s="276"/>
      <c r="CD1639" s="276"/>
      <c r="CH1639" s="276"/>
      <c r="CJ1639" s="276"/>
      <c r="CK1639" s="276"/>
      <c r="CL1639" s="276"/>
      <c r="CM1639" s="276"/>
      <c r="CN1639" s="276"/>
      <c r="CO1639" s="276"/>
      <c r="CP1639" s="276"/>
      <c r="CQ1639" s="276"/>
      <c r="CU1639" s="276"/>
    </row>
    <row r="1640" spans="75:99" ht="15.75">
      <c r="BW1640" s="276"/>
      <c r="BY1640" s="276"/>
      <c r="BZ1640" s="276"/>
      <c r="CA1640" s="276"/>
      <c r="CB1640" s="276"/>
      <c r="CC1640" s="276"/>
      <c r="CD1640" s="276"/>
      <c r="CH1640" s="276"/>
      <c r="CJ1640" s="276"/>
      <c r="CK1640" s="276"/>
      <c r="CL1640" s="276"/>
      <c r="CM1640" s="276"/>
      <c r="CN1640" s="276"/>
      <c r="CO1640" s="276"/>
      <c r="CP1640" s="276"/>
      <c r="CQ1640" s="276"/>
      <c r="CU1640" s="276"/>
    </row>
    <row r="1641" spans="75:99" ht="15.75">
      <c r="BW1641" s="276"/>
      <c r="BY1641" s="276"/>
      <c r="BZ1641" s="276"/>
      <c r="CA1641" s="276"/>
      <c r="CB1641" s="276"/>
      <c r="CC1641" s="276"/>
      <c r="CD1641" s="276"/>
      <c r="CH1641" s="276"/>
      <c r="CJ1641" s="276"/>
      <c r="CK1641" s="276"/>
      <c r="CL1641" s="276"/>
      <c r="CM1641" s="276"/>
      <c r="CN1641" s="276"/>
      <c r="CO1641" s="276"/>
      <c r="CP1641" s="276"/>
      <c r="CQ1641" s="276"/>
      <c r="CU1641" s="276"/>
    </row>
    <row r="1642" spans="75:99" ht="15.75">
      <c r="BW1642" s="276"/>
      <c r="BY1642" s="276"/>
      <c r="BZ1642" s="276"/>
      <c r="CA1642" s="276"/>
      <c r="CB1642" s="276"/>
      <c r="CC1642" s="276"/>
      <c r="CD1642" s="276"/>
      <c r="CH1642" s="276"/>
      <c r="CJ1642" s="276"/>
      <c r="CK1642" s="276"/>
      <c r="CL1642" s="276"/>
      <c r="CM1642" s="276"/>
      <c r="CN1642" s="276"/>
      <c r="CO1642" s="276"/>
      <c r="CP1642" s="276"/>
      <c r="CQ1642" s="276"/>
      <c r="CU1642" s="276"/>
    </row>
    <row r="1643" spans="75:99" ht="15.75">
      <c r="BW1643" s="276"/>
      <c r="BY1643" s="276"/>
      <c r="BZ1643" s="276"/>
      <c r="CA1643" s="276"/>
      <c r="CB1643" s="276"/>
      <c r="CC1643" s="276"/>
      <c r="CD1643" s="276"/>
      <c r="CH1643" s="276"/>
      <c r="CJ1643" s="276"/>
      <c r="CK1643" s="276"/>
      <c r="CL1643" s="276"/>
      <c r="CM1643" s="276"/>
      <c r="CN1643" s="276"/>
      <c r="CO1643" s="276"/>
      <c r="CP1643" s="276"/>
      <c r="CQ1643" s="276"/>
      <c r="CU1643" s="276"/>
    </row>
    <row r="1644" spans="75:99" ht="15.75">
      <c r="BW1644" s="276"/>
      <c r="BY1644" s="276"/>
      <c r="BZ1644" s="276"/>
      <c r="CA1644" s="276"/>
      <c r="CB1644" s="276"/>
      <c r="CC1644" s="276"/>
      <c r="CD1644" s="276"/>
      <c r="CH1644" s="276"/>
      <c r="CJ1644" s="276"/>
      <c r="CK1644" s="276"/>
      <c r="CL1644" s="276"/>
      <c r="CM1644" s="276"/>
      <c r="CN1644" s="276"/>
      <c r="CO1644" s="276"/>
      <c r="CP1644" s="276"/>
      <c r="CQ1644" s="276"/>
      <c r="CU1644" s="276"/>
    </row>
    <row r="1645" spans="75:99" ht="15.75">
      <c r="BW1645" s="276"/>
      <c r="BY1645" s="276"/>
      <c r="BZ1645" s="276"/>
      <c r="CA1645" s="276"/>
      <c r="CB1645" s="276"/>
      <c r="CC1645" s="276"/>
      <c r="CD1645" s="276"/>
      <c r="CH1645" s="276"/>
      <c r="CJ1645" s="276"/>
      <c r="CK1645" s="276"/>
      <c r="CL1645" s="276"/>
      <c r="CM1645" s="276"/>
      <c r="CN1645" s="276"/>
      <c r="CO1645" s="276"/>
      <c r="CP1645" s="276"/>
      <c r="CQ1645" s="276"/>
      <c r="CU1645" s="276"/>
    </row>
    <row r="1646" spans="75:99" ht="15.75">
      <c r="BW1646" s="276"/>
      <c r="BY1646" s="276"/>
      <c r="BZ1646" s="276"/>
      <c r="CA1646" s="276"/>
      <c r="CB1646" s="276"/>
      <c r="CC1646" s="276"/>
      <c r="CD1646" s="276"/>
      <c r="CH1646" s="276"/>
      <c r="CJ1646" s="276"/>
      <c r="CK1646" s="276"/>
      <c r="CL1646" s="276"/>
      <c r="CM1646" s="276"/>
      <c r="CN1646" s="276"/>
      <c r="CO1646" s="276"/>
      <c r="CP1646" s="276"/>
      <c r="CQ1646" s="276"/>
      <c r="CU1646" s="276"/>
    </row>
    <row r="1647" spans="75:99" ht="15.75">
      <c r="BW1647" s="276"/>
      <c r="BY1647" s="276"/>
      <c r="BZ1647" s="276"/>
      <c r="CA1647" s="276"/>
      <c r="CB1647" s="276"/>
      <c r="CC1647" s="276"/>
      <c r="CD1647" s="276"/>
      <c r="CH1647" s="276"/>
      <c r="CJ1647" s="276"/>
      <c r="CK1647" s="276"/>
      <c r="CL1647" s="276"/>
      <c r="CM1647" s="276"/>
      <c r="CN1647" s="276"/>
      <c r="CO1647" s="276"/>
      <c r="CP1647" s="276"/>
      <c r="CQ1647" s="276"/>
      <c r="CU1647" s="276"/>
    </row>
    <row r="1648" spans="75:99" ht="15.75">
      <c r="BW1648" s="276"/>
      <c r="BY1648" s="276"/>
      <c r="BZ1648" s="276"/>
      <c r="CA1648" s="276"/>
      <c r="CB1648" s="276"/>
      <c r="CC1648" s="276"/>
      <c r="CD1648" s="276"/>
      <c r="CH1648" s="276"/>
      <c r="CJ1648" s="276"/>
      <c r="CK1648" s="276"/>
      <c r="CL1648" s="276"/>
      <c r="CM1648" s="276"/>
      <c r="CN1648" s="276"/>
      <c r="CO1648" s="276"/>
      <c r="CP1648" s="276"/>
      <c r="CQ1648" s="276"/>
      <c r="CU1648" s="276"/>
    </row>
    <row r="1649" spans="75:99" ht="15.75">
      <c r="BW1649" s="276"/>
      <c r="BY1649" s="276"/>
      <c r="BZ1649" s="276"/>
      <c r="CA1649" s="276"/>
      <c r="CB1649" s="276"/>
      <c r="CC1649" s="276"/>
      <c r="CD1649" s="276"/>
      <c r="CH1649" s="276"/>
      <c r="CJ1649" s="276"/>
      <c r="CK1649" s="276"/>
      <c r="CL1649" s="276"/>
      <c r="CM1649" s="276"/>
      <c r="CN1649" s="276"/>
      <c r="CO1649" s="276"/>
      <c r="CP1649" s="276"/>
      <c r="CQ1649" s="276"/>
      <c r="CU1649" s="276"/>
    </row>
    <row r="1650" spans="75:99" ht="15.75">
      <c r="BW1650" s="276"/>
      <c r="BY1650" s="276"/>
      <c r="BZ1650" s="276"/>
      <c r="CA1650" s="276"/>
      <c r="CB1650" s="276"/>
      <c r="CC1650" s="276"/>
      <c r="CD1650" s="276"/>
      <c r="CH1650" s="276"/>
      <c r="CJ1650" s="276"/>
      <c r="CK1650" s="276"/>
      <c r="CL1650" s="276"/>
      <c r="CM1650" s="276"/>
      <c r="CN1650" s="276"/>
      <c r="CO1650" s="276"/>
      <c r="CP1650" s="276"/>
      <c r="CQ1650" s="276"/>
      <c r="CU1650" s="276"/>
    </row>
    <row r="1651" spans="75:99" ht="15.75">
      <c r="BW1651" s="276"/>
      <c r="BY1651" s="276"/>
      <c r="BZ1651" s="276"/>
      <c r="CA1651" s="276"/>
      <c r="CB1651" s="276"/>
      <c r="CC1651" s="276"/>
      <c r="CD1651" s="276"/>
      <c r="CH1651" s="276"/>
      <c r="CJ1651" s="276"/>
      <c r="CK1651" s="276"/>
      <c r="CL1651" s="276"/>
      <c r="CM1651" s="276"/>
      <c r="CN1651" s="276"/>
      <c r="CO1651" s="276"/>
      <c r="CP1651" s="276"/>
      <c r="CQ1651" s="276"/>
      <c r="CU1651" s="276"/>
    </row>
    <row r="1652" spans="75:99" ht="15.75">
      <c r="BW1652" s="276"/>
      <c r="BY1652" s="276"/>
      <c r="BZ1652" s="276"/>
      <c r="CA1652" s="276"/>
      <c r="CB1652" s="276"/>
      <c r="CC1652" s="276"/>
      <c r="CD1652" s="276"/>
      <c r="CH1652" s="276"/>
      <c r="CJ1652" s="276"/>
      <c r="CK1652" s="276"/>
      <c r="CL1652" s="276"/>
      <c r="CM1652" s="276"/>
      <c r="CN1652" s="276"/>
      <c r="CO1652" s="276"/>
      <c r="CP1652" s="276"/>
      <c r="CQ1652" s="276"/>
      <c r="CU1652" s="276"/>
    </row>
    <row r="1653" spans="75:99" ht="15.75">
      <c r="BW1653" s="276"/>
      <c r="BY1653" s="276"/>
      <c r="BZ1653" s="276"/>
      <c r="CA1653" s="276"/>
      <c r="CB1653" s="276"/>
      <c r="CC1653" s="276"/>
      <c r="CD1653" s="276"/>
      <c r="CH1653" s="276"/>
      <c r="CJ1653" s="276"/>
      <c r="CK1653" s="276"/>
      <c r="CL1653" s="276"/>
      <c r="CM1653" s="276"/>
      <c r="CN1653" s="276"/>
      <c r="CO1653" s="276"/>
      <c r="CP1653" s="276"/>
      <c r="CQ1653" s="276"/>
      <c r="CU1653" s="276"/>
    </row>
    <row r="1654" spans="75:99" ht="15.75">
      <c r="BW1654" s="276"/>
      <c r="BY1654" s="276"/>
      <c r="BZ1654" s="276"/>
      <c r="CA1654" s="276"/>
      <c r="CB1654" s="276"/>
      <c r="CC1654" s="276"/>
      <c r="CD1654" s="276"/>
      <c r="CH1654" s="276"/>
      <c r="CJ1654" s="276"/>
      <c r="CK1654" s="276"/>
      <c r="CL1654" s="276"/>
      <c r="CM1654" s="276"/>
      <c r="CN1654" s="276"/>
      <c r="CO1654" s="276"/>
      <c r="CP1654" s="276"/>
      <c r="CQ1654" s="276"/>
      <c r="CU1654" s="276"/>
    </row>
    <row r="1655" spans="75:99" ht="15.75">
      <c r="BW1655" s="276"/>
      <c r="BY1655" s="276"/>
      <c r="BZ1655" s="276"/>
      <c r="CA1655" s="276"/>
      <c r="CB1655" s="276"/>
      <c r="CC1655" s="276"/>
      <c r="CD1655" s="276"/>
      <c r="CH1655" s="276"/>
      <c r="CJ1655" s="276"/>
      <c r="CK1655" s="276"/>
      <c r="CL1655" s="276"/>
      <c r="CM1655" s="276"/>
      <c r="CN1655" s="276"/>
      <c r="CO1655" s="276"/>
      <c r="CP1655" s="276"/>
      <c r="CQ1655" s="276"/>
      <c r="CU1655" s="276"/>
    </row>
    <row r="1656" spans="75:99" ht="15.75">
      <c r="BW1656" s="276"/>
      <c r="BY1656" s="276"/>
      <c r="BZ1656" s="276"/>
      <c r="CA1656" s="276"/>
      <c r="CB1656" s="276"/>
      <c r="CC1656" s="276"/>
      <c r="CD1656" s="276"/>
      <c r="CH1656" s="276"/>
      <c r="CJ1656" s="276"/>
      <c r="CK1656" s="276"/>
      <c r="CL1656" s="276"/>
      <c r="CM1656" s="276"/>
      <c r="CN1656" s="276"/>
      <c r="CO1656" s="276"/>
      <c r="CP1656" s="276"/>
      <c r="CQ1656" s="276"/>
      <c r="CU1656" s="276"/>
    </row>
    <row r="1657" spans="75:99" ht="15.75">
      <c r="BW1657" s="276"/>
      <c r="BY1657" s="276"/>
      <c r="BZ1657" s="276"/>
      <c r="CA1657" s="276"/>
      <c r="CB1657" s="276"/>
      <c r="CC1657" s="276"/>
      <c r="CD1657" s="276"/>
      <c r="CH1657" s="276"/>
      <c r="CJ1657" s="276"/>
      <c r="CK1657" s="276"/>
      <c r="CL1657" s="276"/>
      <c r="CM1657" s="276"/>
      <c r="CN1657" s="276"/>
      <c r="CO1657" s="276"/>
      <c r="CP1657" s="276"/>
      <c r="CQ1657" s="276"/>
      <c r="CU1657" s="276"/>
    </row>
    <row r="1658" spans="75:99" ht="15.75">
      <c r="BW1658" s="276"/>
      <c r="BY1658" s="276"/>
      <c r="BZ1658" s="276"/>
      <c r="CA1658" s="276"/>
      <c r="CB1658" s="276"/>
      <c r="CC1658" s="276"/>
      <c r="CD1658" s="276"/>
      <c r="CH1658" s="276"/>
      <c r="CJ1658" s="276"/>
      <c r="CK1658" s="276"/>
      <c r="CL1658" s="276"/>
      <c r="CM1658" s="276"/>
      <c r="CN1658" s="276"/>
      <c r="CO1658" s="276"/>
      <c r="CP1658" s="276"/>
      <c r="CQ1658" s="276"/>
      <c r="CU1658" s="276"/>
    </row>
    <row r="1659" spans="75:99" ht="15.75">
      <c r="BW1659" s="276"/>
      <c r="BY1659" s="276"/>
      <c r="BZ1659" s="276"/>
      <c r="CA1659" s="276"/>
      <c r="CB1659" s="276"/>
      <c r="CC1659" s="276"/>
      <c r="CD1659" s="276"/>
      <c r="CH1659" s="276"/>
      <c r="CJ1659" s="276"/>
      <c r="CK1659" s="276"/>
      <c r="CL1659" s="276"/>
      <c r="CM1659" s="276"/>
      <c r="CN1659" s="276"/>
      <c r="CO1659" s="276"/>
      <c r="CP1659" s="276"/>
      <c r="CQ1659" s="276"/>
      <c r="CU1659" s="276"/>
    </row>
    <row r="1660" spans="75:99" ht="15.75">
      <c r="BW1660" s="276"/>
      <c r="BY1660" s="276"/>
      <c r="BZ1660" s="276"/>
      <c r="CA1660" s="276"/>
      <c r="CB1660" s="276"/>
      <c r="CC1660" s="276"/>
      <c r="CD1660" s="276"/>
      <c r="CH1660" s="276"/>
      <c r="CJ1660" s="276"/>
      <c r="CK1660" s="276"/>
      <c r="CL1660" s="276"/>
      <c r="CM1660" s="276"/>
      <c r="CN1660" s="276"/>
      <c r="CO1660" s="276"/>
      <c r="CP1660" s="276"/>
      <c r="CQ1660" s="276"/>
      <c r="CU1660" s="276"/>
    </row>
    <row r="1661" spans="75:99" ht="15.75">
      <c r="BW1661" s="276"/>
      <c r="BY1661" s="276"/>
      <c r="BZ1661" s="276"/>
      <c r="CA1661" s="276"/>
      <c r="CB1661" s="276"/>
      <c r="CC1661" s="276"/>
      <c r="CD1661" s="276"/>
      <c r="CH1661" s="276"/>
      <c r="CJ1661" s="276"/>
      <c r="CK1661" s="276"/>
      <c r="CL1661" s="276"/>
      <c r="CM1661" s="276"/>
      <c r="CN1661" s="276"/>
      <c r="CO1661" s="276"/>
      <c r="CP1661" s="276"/>
      <c r="CQ1661" s="276"/>
      <c r="CU1661" s="276"/>
    </row>
    <row r="1662" spans="75:99" ht="15.75">
      <c r="BW1662" s="276"/>
      <c r="BY1662" s="276"/>
      <c r="BZ1662" s="276"/>
      <c r="CA1662" s="276"/>
      <c r="CB1662" s="276"/>
      <c r="CC1662" s="276"/>
      <c r="CD1662" s="276"/>
      <c r="CH1662" s="276"/>
      <c r="CJ1662" s="276"/>
      <c r="CK1662" s="276"/>
      <c r="CL1662" s="276"/>
      <c r="CM1662" s="276"/>
      <c r="CN1662" s="276"/>
      <c r="CO1662" s="276"/>
      <c r="CP1662" s="276"/>
      <c r="CQ1662" s="276"/>
      <c r="CU1662" s="276"/>
    </row>
    <row r="1663" spans="75:99" ht="15.75">
      <c r="BW1663" s="276"/>
      <c r="BY1663" s="276"/>
      <c r="BZ1663" s="276"/>
      <c r="CA1663" s="276"/>
      <c r="CB1663" s="276"/>
      <c r="CC1663" s="276"/>
      <c r="CD1663" s="276"/>
      <c r="CH1663" s="276"/>
      <c r="CJ1663" s="276"/>
      <c r="CK1663" s="276"/>
      <c r="CL1663" s="276"/>
      <c r="CM1663" s="276"/>
      <c r="CN1663" s="276"/>
      <c r="CO1663" s="276"/>
      <c r="CP1663" s="276"/>
      <c r="CQ1663" s="276"/>
      <c r="CU1663" s="276"/>
    </row>
    <row r="1664" spans="75:99" ht="15.75">
      <c r="BW1664" s="276"/>
      <c r="BY1664" s="276"/>
      <c r="BZ1664" s="276"/>
      <c r="CA1664" s="276"/>
      <c r="CB1664" s="276"/>
      <c r="CC1664" s="276"/>
      <c r="CD1664" s="276"/>
      <c r="CH1664" s="276"/>
      <c r="CJ1664" s="276"/>
      <c r="CK1664" s="276"/>
      <c r="CL1664" s="276"/>
      <c r="CM1664" s="276"/>
      <c r="CN1664" s="276"/>
      <c r="CO1664" s="276"/>
      <c r="CP1664" s="276"/>
      <c r="CQ1664" s="276"/>
      <c r="CU1664" s="276"/>
    </row>
    <row r="1665" spans="75:99" ht="15.75">
      <c r="BW1665" s="276"/>
      <c r="BY1665" s="276"/>
      <c r="BZ1665" s="276"/>
      <c r="CA1665" s="276"/>
      <c r="CB1665" s="276"/>
      <c r="CC1665" s="276"/>
      <c r="CD1665" s="276"/>
      <c r="CH1665" s="276"/>
      <c r="CJ1665" s="276"/>
      <c r="CK1665" s="276"/>
      <c r="CL1665" s="276"/>
      <c r="CM1665" s="276"/>
      <c r="CN1665" s="276"/>
      <c r="CO1665" s="276"/>
      <c r="CP1665" s="276"/>
      <c r="CQ1665" s="276"/>
      <c r="CU1665" s="276"/>
    </row>
    <row r="1666" spans="75:99" ht="15.75">
      <c r="BW1666" s="276"/>
      <c r="BY1666" s="276"/>
      <c r="BZ1666" s="276"/>
      <c r="CA1666" s="276"/>
      <c r="CB1666" s="276"/>
      <c r="CC1666" s="276"/>
      <c r="CD1666" s="276"/>
      <c r="CH1666" s="276"/>
      <c r="CJ1666" s="276"/>
      <c r="CK1666" s="276"/>
      <c r="CL1666" s="276"/>
      <c r="CM1666" s="276"/>
      <c r="CN1666" s="276"/>
      <c r="CO1666" s="276"/>
      <c r="CP1666" s="276"/>
      <c r="CQ1666" s="276"/>
      <c r="CU1666" s="276"/>
    </row>
    <row r="1667" spans="75:99" ht="15.75">
      <c r="BW1667" s="276"/>
      <c r="BY1667" s="276"/>
      <c r="BZ1667" s="276"/>
      <c r="CA1667" s="276"/>
      <c r="CB1667" s="276"/>
      <c r="CC1667" s="276"/>
      <c r="CD1667" s="276"/>
      <c r="CH1667" s="276"/>
      <c r="CJ1667" s="276"/>
      <c r="CK1667" s="276"/>
      <c r="CL1667" s="276"/>
      <c r="CM1667" s="276"/>
      <c r="CN1667" s="276"/>
      <c r="CO1667" s="276"/>
      <c r="CP1667" s="276"/>
      <c r="CQ1667" s="276"/>
      <c r="CU1667" s="276"/>
    </row>
    <row r="1668" spans="75:99" ht="15.75">
      <c r="BW1668" s="276"/>
      <c r="BY1668" s="276"/>
      <c r="BZ1668" s="276"/>
      <c r="CA1668" s="276"/>
      <c r="CB1668" s="276"/>
      <c r="CC1668" s="276"/>
      <c r="CD1668" s="276"/>
      <c r="CH1668" s="276"/>
      <c r="CJ1668" s="276"/>
      <c r="CK1668" s="276"/>
      <c r="CL1668" s="276"/>
      <c r="CM1668" s="276"/>
      <c r="CN1668" s="276"/>
      <c r="CO1668" s="276"/>
      <c r="CP1668" s="276"/>
      <c r="CQ1668" s="276"/>
      <c r="CU1668" s="276"/>
    </row>
    <row r="1669" spans="75:99" ht="15.75">
      <c r="BW1669" s="276"/>
      <c r="BY1669" s="276"/>
      <c r="BZ1669" s="276"/>
      <c r="CA1669" s="276"/>
      <c r="CB1669" s="276"/>
      <c r="CC1669" s="276"/>
      <c r="CD1669" s="276"/>
      <c r="CH1669" s="276"/>
      <c r="CJ1669" s="276"/>
      <c r="CK1669" s="276"/>
      <c r="CL1669" s="276"/>
      <c r="CM1669" s="276"/>
      <c r="CN1669" s="276"/>
      <c r="CO1669" s="276"/>
      <c r="CP1669" s="276"/>
      <c r="CQ1669" s="276"/>
      <c r="CU1669" s="276"/>
    </row>
    <row r="1670" spans="75:99" ht="15.75">
      <c r="BW1670" s="276"/>
      <c r="BY1670" s="276"/>
      <c r="BZ1670" s="276"/>
      <c r="CA1670" s="276"/>
      <c r="CB1670" s="276"/>
      <c r="CC1670" s="276"/>
      <c r="CD1670" s="276"/>
      <c r="CH1670" s="276"/>
      <c r="CJ1670" s="276"/>
      <c r="CK1670" s="276"/>
      <c r="CL1670" s="276"/>
      <c r="CM1670" s="276"/>
      <c r="CN1670" s="276"/>
      <c r="CO1670" s="276"/>
      <c r="CP1670" s="276"/>
      <c r="CQ1670" s="276"/>
      <c r="CU1670" s="276"/>
    </row>
    <row r="1671" spans="75:99" ht="15.75">
      <c r="BW1671" s="276"/>
      <c r="BY1671" s="276"/>
      <c r="BZ1671" s="276"/>
      <c r="CA1671" s="276"/>
      <c r="CB1671" s="276"/>
      <c r="CC1671" s="276"/>
      <c r="CD1671" s="276"/>
      <c r="CH1671" s="276"/>
      <c r="CJ1671" s="276"/>
      <c r="CK1671" s="276"/>
      <c r="CL1671" s="276"/>
      <c r="CM1671" s="276"/>
      <c r="CN1671" s="276"/>
      <c r="CO1671" s="276"/>
      <c r="CP1671" s="276"/>
      <c r="CQ1671" s="276"/>
      <c r="CU1671" s="276"/>
    </row>
    <row r="1672" spans="75:99" ht="15.75">
      <c r="BW1672" s="276"/>
      <c r="BY1672" s="276"/>
      <c r="BZ1672" s="276"/>
      <c r="CA1672" s="276"/>
      <c r="CB1672" s="276"/>
      <c r="CC1672" s="276"/>
      <c r="CD1672" s="276"/>
      <c r="CH1672" s="276"/>
      <c r="CJ1672" s="276"/>
      <c r="CK1672" s="276"/>
      <c r="CL1672" s="276"/>
      <c r="CM1672" s="276"/>
      <c r="CN1672" s="276"/>
      <c r="CO1672" s="276"/>
      <c r="CP1672" s="276"/>
      <c r="CQ1672" s="276"/>
      <c r="CU1672" s="276"/>
    </row>
    <row r="1673" spans="75:99" ht="15.75">
      <c r="BW1673" s="276"/>
      <c r="BY1673" s="276"/>
      <c r="BZ1673" s="276"/>
      <c r="CA1673" s="276"/>
      <c r="CB1673" s="276"/>
      <c r="CC1673" s="276"/>
      <c r="CD1673" s="276"/>
      <c r="CH1673" s="276"/>
      <c r="CJ1673" s="276"/>
      <c r="CK1673" s="276"/>
      <c r="CL1673" s="276"/>
      <c r="CM1673" s="276"/>
      <c r="CN1673" s="276"/>
      <c r="CO1673" s="276"/>
      <c r="CP1673" s="276"/>
      <c r="CQ1673" s="276"/>
      <c r="CU1673" s="276"/>
    </row>
    <row r="1674" spans="75:99" ht="15.75">
      <c r="BW1674" s="276"/>
      <c r="BY1674" s="276"/>
      <c r="BZ1674" s="276"/>
      <c r="CA1674" s="276"/>
      <c r="CB1674" s="276"/>
      <c r="CC1674" s="276"/>
      <c r="CD1674" s="276"/>
      <c r="CH1674" s="276"/>
      <c r="CJ1674" s="276"/>
      <c r="CK1674" s="276"/>
      <c r="CL1674" s="276"/>
      <c r="CM1674" s="276"/>
      <c r="CN1674" s="276"/>
      <c r="CO1674" s="276"/>
      <c r="CP1674" s="276"/>
      <c r="CQ1674" s="276"/>
      <c r="CU1674" s="276"/>
    </row>
    <row r="1675" spans="75:99" ht="15.75">
      <c r="BW1675" s="276"/>
      <c r="BY1675" s="276"/>
      <c r="BZ1675" s="276"/>
      <c r="CA1675" s="276"/>
      <c r="CB1675" s="276"/>
      <c r="CC1675" s="276"/>
      <c r="CD1675" s="276"/>
      <c r="CH1675" s="276"/>
      <c r="CJ1675" s="276"/>
      <c r="CK1675" s="276"/>
      <c r="CL1675" s="276"/>
      <c r="CM1675" s="276"/>
      <c r="CN1675" s="276"/>
      <c r="CO1675" s="276"/>
      <c r="CP1675" s="276"/>
      <c r="CQ1675" s="276"/>
      <c r="CU1675" s="276"/>
    </row>
    <row r="1676" spans="75:99" ht="15.75">
      <c r="BW1676" s="276"/>
      <c r="BY1676" s="276"/>
      <c r="BZ1676" s="276"/>
      <c r="CA1676" s="276"/>
      <c r="CB1676" s="276"/>
      <c r="CC1676" s="276"/>
      <c r="CD1676" s="276"/>
      <c r="CH1676" s="276"/>
      <c r="CJ1676" s="276"/>
      <c r="CK1676" s="276"/>
      <c r="CL1676" s="276"/>
      <c r="CM1676" s="276"/>
      <c r="CN1676" s="276"/>
      <c r="CO1676" s="276"/>
      <c r="CP1676" s="276"/>
      <c r="CQ1676" s="276"/>
      <c r="CU1676" s="276"/>
    </row>
    <row r="1677" spans="75:99" ht="15.75">
      <c r="BW1677" s="276"/>
      <c r="BY1677" s="276"/>
      <c r="BZ1677" s="276"/>
      <c r="CA1677" s="276"/>
      <c r="CB1677" s="276"/>
      <c r="CC1677" s="276"/>
      <c r="CD1677" s="276"/>
      <c r="CH1677" s="276"/>
      <c r="CJ1677" s="276"/>
      <c r="CK1677" s="276"/>
      <c r="CL1677" s="276"/>
      <c r="CM1677" s="276"/>
      <c r="CN1677" s="276"/>
      <c r="CO1677" s="276"/>
      <c r="CP1677" s="276"/>
      <c r="CQ1677" s="276"/>
      <c r="CU1677" s="276"/>
    </row>
    <row r="1678" spans="75:99" ht="15.75">
      <c r="BW1678" s="276"/>
      <c r="BY1678" s="276"/>
      <c r="BZ1678" s="276"/>
      <c r="CA1678" s="276"/>
      <c r="CB1678" s="276"/>
      <c r="CC1678" s="276"/>
      <c r="CD1678" s="276"/>
      <c r="CH1678" s="276"/>
      <c r="CJ1678" s="276"/>
      <c r="CK1678" s="276"/>
      <c r="CL1678" s="276"/>
      <c r="CM1678" s="276"/>
      <c r="CN1678" s="276"/>
      <c r="CO1678" s="276"/>
      <c r="CP1678" s="276"/>
      <c r="CQ1678" s="276"/>
      <c r="CU1678" s="276"/>
    </row>
    <row r="1679" spans="75:99" ht="15.75">
      <c r="BW1679" s="276"/>
      <c r="BY1679" s="276"/>
      <c r="BZ1679" s="276"/>
      <c r="CA1679" s="276"/>
      <c r="CB1679" s="276"/>
      <c r="CC1679" s="276"/>
      <c r="CD1679" s="276"/>
      <c r="CH1679" s="276"/>
      <c r="CJ1679" s="276"/>
      <c r="CK1679" s="276"/>
      <c r="CL1679" s="276"/>
      <c r="CM1679" s="276"/>
      <c r="CN1679" s="276"/>
      <c r="CO1679" s="276"/>
      <c r="CP1679" s="276"/>
      <c r="CQ1679" s="276"/>
      <c r="CU1679" s="276"/>
    </row>
    <row r="1680" spans="75:99" ht="15.75">
      <c r="BW1680" s="276"/>
      <c r="BY1680" s="276"/>
      <c r="BZ1680" s="276"/>
      <c r="CA1680" s="276"/>
      <c r="CB1680" s="276"/>
      <c r="CC1680" s="276"/>
      <c r="CD1680" s="276"/>
      <c r="CH1680" s="276"/>
      <c r="CJ1680" s="276"/>
      <c r="CK1680" s="276"/>
      <c r="CL1680" s="276"/>
      <c r="CM1680" s="276"/>
      <c r="CN1680" s="276"/>
      <c r="CO1680" s="276"/>
      <c r="CP1680" s="276"/>
      <c r="CQ1680" s="276"/>
      <c r="CU1680" s="276"/>
    </row>
    <row r="1681" spans="75:99" ht="15.75">
      <c r="BW1681" s="276"/>
      <c r="BY1681" s="276"/>
      <c r="BZ1681" s="276"/>
      <c r="CA1681" s="276"/>
      <c r="CB1681" s="276"/>
      <c r="CC1681" s="276"/>
      <c r="CD1681" s="276"/>
      <c r="CH1681" s="276"/>
      <c r="CJ1681" s="276"/>
      <c r="CK1681" s="276"/>
      <c r="CL1681" s="276"/>
      <c r="CM1681" s="276"/>
      <c r="CN1681" s="276"/>
      <c r="CO1681" s="276"/>
      <c r="CP1681" s="276"/>
      <c r="CQ1681" s="276"/>
      <c r="CU1681" s="276"/>
    </row>
    <row r="1682" spans="75:99" ht="15.75">
      <c r="BW1682" s="276"/>
      <c r="BY1682" s="276"/>
      <c r="BZ1682" s="276"/>
      <c r="CA1682" s="276"/>
      <c r="CB1682" s="276"/>
      <c r="CC1682" s="276"/>
      <c r="CD1682" s="276"/>
      <c r="CH1682" s="276"/>
      <c r="CJ1682" s="276"/>
      <c r="CK1682" s="276"/>
      <c r="CL1682" s="276"/>
      <c r="CM1682" s="276"/>
      <c r="CN1682" s="276"/>
      <c r="CO1682" s="276"/>
      <c r="CP1682" s="276"/>
      <c r="CQ1682" s="276"/>
      <c r="CU1682" s="276"/>
    </row>
    <row r="1683" spans="75:99" ht="15.75">
      <c r="BW1683" s="276"/>
      <c r="BY1683" s="276"/>
      <c r="BZ1683" s="276"/>
      <c r="CA1683" s="276"/>
      <c r="CB1683" s="276"/>
      <c r="CC1683" s="276"/>
      <c r="CD1683" s="276"/>
      <c r="CH1683" s="276"/>
      <c r="CJ1683" s="276"/>
      <c r="CK1683" s="276"/>
      <c r="CL1683" s="276"/>
      <c r="CM1683" s="276"/>
      <c r="CN1683" s="276"/>
      <c r="CO1683" s="276"/>
      <c r="CP1683" s="276"/>
      <c r="CQ1683" s="276"/>
      <c r="CU1683" s="276"/>
    </row>
    <row r="1684" spans="75:99" ht="15.75">
      <c r="BW1684" s="276"/>
      <c r="BY1684" s="276"/>
      <c r="BZ1684" s="276"/>
      <c r="CA1684" s="276"/>
      <c r="CB1684" s="276"/>
      <c r="CC1684" s="276"/>
      <c r="CD1684" s="276"/>
      <c r="CH1684" s="276"/>
      <c r="CJ1684" s="276"/>
      <c r="CK1684" s="276"/>
      <c r="CL1684" s="276"/>
      <c r="CM1684" s="276"/>
      <c r="CN1684" s="276"/>
      <c r="CO1684" s="276"/>
      <c r="CP1684" s="276"/>
      <c r="CQ1684" s="276"/>
      <c r="CU1684" s="276"/>
    </row>
    <row r="1685" spans="75:99" ht="15.75">
      <c r="BW1685" s="276"/>
      <c r="BY1685" s="276"/>
      <c r="BZ1685" s="276"/>
      <c r="CA1685" s="276"/>
      <c r="CB1685" s="276"/>
      <c r="CC1685" s="276"/>
      <c r="CD1685" s="276"/>
      <c r="CH1685" s="276"/>
      <c r="CJ1685" s="276"/>
      <c r="CK1685" s="276"/>
      <c r="CL1685" s="276"/>
      <c r="CM1685" s="276"/>
      <c r="CN1685" s="276"/>
      <c r="CO1685" s="276"/>
      <c r="CP1685" s="276"/>
      <c r="CQ1685" s="276"/>
      <c r="CU1685" s="276"/>
    </row>
    <row r="1686" spans="75:99" ht="15.75">
      <c r="BW1686" s="276"/>
      <c r="BY1686" s="276"/>
      <c r="BZ1686" s="276"/>
      <c r="CA1686" s="276"/>
      <c r="CB1686" s="276"/>
      <c r="CC1686" s="276"/>
      <c r="CD1686" s="276"/>
      <c r="CH1686" s="276"/>
      <c r="CJ1686" s="276"/>
      <c r="CK1686" s="276"/>
      <c r="CL1686" s="276"/>
      <c r="CM1686" s="276"/>
      <c r="CN1686" s="276"/>
      <c r="CO1686" s="276"/>
      <c r="CP1686" s="276"/>
      <c r="CQ1686" s="276"/>
      <c r="CU1686" s="276"/>
    </row>
    <row r="1687" spans="75:99" ht="15.75">
      <c r="BW1687" s="276"/>
      <c r="BY1687" s="276"/>
      <c r="BZ1687" s="276"/>
      <c r="CA1687" s="276"/>
      <c r="CB1687" s="276"/>
      <c r="CC1687" s="276"/>
      <c r="CD1687" s="276"/>
      <c r="CH1687" s="276"/>
      <c r="CJ1687" s="276"/>
      <c r="CK1687" s="276"/>
      <c r="CL1687" s="276"/>
      <c r="CM1687" s="276"/>
      <c r="CN1687" s="276"/>
      <c r="CO1687" s="276"/>
      <c r="CP1687" s="276"/>
      <c r="CQ1687" s="276"/>
      <c r="CU1687" s="276"/>
    </row>
    <row r="1688" spans="75:99" ht="15.75">
      <c r="BW1688" s="276"/>
      <c r="BY1688" s="276"/>
      <c r="BZ1688" s="276"/>
      <c r="CA1688" s="276"/>
      <c r="CB1688" s="276"/>
      <c r="CC1688" s="276"/>
      <c r="CD1688" s="276"/>
      <c r="CH1688" s="276"/>
      <c r="CJ1688" s="276"/>
      <c r="CK1688" s="276"/>
      <c r="CL1688" s="276"/>
      <c r="CM1688" s="276"/>
      <c r="CN1688" s="276"/>
      <c r="CO1688" s="276"/>
      <c r="CP1688" s="276"/>
      <c r="CQ1688" s="276"/>
      <c r="CU1688" s="276"/>
    </row>
    <row r="1689" spans="75:99" ht="15.75">
      <c r="BW1689" s="276"/>
      <c r="BY1689" s="276"/>
      <c r="BZ1689" s="276"/>
      <c r="CA1689" s="276"/>
      <c r="CB1689" s="276"/>
      <c r="CC1689" s="276"/>
      <c r="CD1689" s="276"/>
      <c r="CH1689" s="276"/>
      <c r="CJ1689" s="276"/>
      <c r="CK1689" s="276"/>
      <c r="CL1689" s="276"/>
      <c r="CM1689" s="276"/>
      <c r="CN1689" s="276"/>
      <c r="CO1689" s="276"/>
      <c r="CP1689" s="276"/>
      <c r="CQ1689" s="276"/>
      <c r="CU1689" s="276"/>
    </row>
    <row r="1690" spans="75:99" ht="15.75">
      <c r="BW1690" s="276"/>
      <c r="BY1690" s="276"/>
      <c r="BZ1690" s="276"/>
      <c r="CA1690" s="276"/>
      <c r="CB1690" s="276"/>
      <c r="CC1690" s="276"/>
      <c r="CD1690" s="276"/>
      <c r="CH1690" s="276"/>
      <c r="CJ1690" s="276"/>
      <c r="CK1690" s="276"/>
      <c r="CL1690" s="276"/>
      <c r="CM1690" s="276"/>
      <c r="CN1690" s="276"/>
      <c r="CO1690" s="276"/>
      <c r="CP1690" s="276"/>
      <c r="CQ1690" s="276"/>
      <c r="CU1690" s="276"/>
    </row>
    <row r="1691" spans="75:99" ht="15.75">
      <c r="BW1691" s="276"/>
      <c r="BY1691" s="276"/>
      <c r="BZ1691" s="276"/>
      <c r="CA1691" s="276"/>
      <c r="CB1691" s="276"/>
      <c r="CC1691" s="276"/>
      <c r="CD1691" s="276"/>
      <c r="CH1691" s="276"/>
      <c r="CJ1691" s="276"/>
      <c r="CK1691" s="276"/>
      <c r="CL1691" s="276"/>
      <c r="CM1691" s="276"/>
      <c r="CN1691" s="276"/>
      <c r="CO1691" s="276"/>
      <c r="CP1691" s="276"/>
      <c r="CQ1691" s="276"/>
      <c r="CU1691" s="276"/>
    </row>
    <row r="1692" spans="75:99" ht="15.75">
      <c r="BW1692" s="276"/>
      <c r="BY1692" s="276"/>
      <c r="BZ1692" s="276"/>
      <c r="CA1692" s="276"/>
      <c r="CB1692" s="276"/>
      <c r="CC1692" s="276"/>
      <c r="CD1692" s="276"/>
      <c r="CH1692" s="276"/>
      <c r="CJ1692" s="276"/>
      <c r="CK1692" s="276"/>
      <c r="CL1692" s="276"/>
      <c r="CM1692" s="276"/>
      <c r="CN1692" s="276"/>
      <c r="CO1692" s="276"/>
      <c r="CP1692" s="276"/>
      <c r="CQ1692" s="276"/>
      <c r="CU1692" s="276"/>
    </row>
    <row r="1693" spans="75:99" ht="15.75">
      <c r="BW1693" s="276"/>
      <c r="BY1693" s="276"/>
      <c r="BZ1693" s="276"/>
      <c r="CA1693" s="276"/>
      <c r="CB1693" s="276"/>
      <c r="CC1693" s="276"/>
      <c r="CD1693" s="276"/>
      <c r="CH1693" s="276"/>
      <c r="CJ1693" s="276"/>
      <c r="CK1693" s="276"/>
      <c r="CL1693" s="276"/>
      <c r="CM1693" s="276"/>
      <c r="CN1693" s="276"/>
      <c r="CO1693" s="276"/>
      <c r="CP1693" s="276"/>
      <c r="CQ1693" s="276"/>
      <c r="CU1693" s="276"/>
    </row>
    <row r="1694" spans="75:99" ht="15.75">
      <c r="BW1694" s="276"/>
      <c r="BY1694" s="276"/>
      <c r="BZ1694" s="276"/>
      <c r="CA1694" s="276"/>
      <c r="CB1694" s="276"/>
      <c r="CC1694" s="276"/>
      <c r="CD1694" s="276"/>
      <c r="CH1694" s="276"/>
      <c r="CJ1694" s="276"/>
      <c r="CK1694" s="276"/>
      <c r="CL1694" s="276"/>
      <c r="CM1694" s="276"/>
      <c r="CN1694" s="276"/>
      <c r="CO1694" s="276"/>
      <c r="CP1694" s="276"/>
      <c r="CQ1694" s="276"/>
      <c r="CU1694" s="276"/>
    </row>
    <row r="1695" spans="75:99" ht="15.75">
      <c r="BW1695" s="276"/>
      <c r="BY1695" s="276"/>
      <c r="BZ1695" s="276"/>
      <c r="CA1695" s="276"/>
      <c r="CB1695" s="276"/>
      <c r="CC1695" s="276"/>
      <c r="CD1695" s="276"/>
      <c r="CH1695" s="276"/>
      <c r="CJ1695" s="276"/>
      <c r="CK1695" s="276"/>
      <c r="CL1695" s="276"/>
      <c r="CM1695" s="276"/>
      <c r="CN1695" s="276"/>
      <c r="CO1695" s="276"/>
      <c r="CP1695" s="276"/>
      <c r="CQ1695" s="276"/>
      <c r="CU1695" s="276"/>
    </row>
    <row r="1696" spans="75:99" ht="15.75">
      <c r="BW1696" s="276"/>
      <c r="BY1696" s="276"/>
      <c r="BZ1696" s="276"/>
      <c r="CA1696" s="276"/>
      <c r="CB1696" s="276"/>
      <c r="CC1696" s="276"/>
      <c r="CD1696" s="276"/>
      <c r="CH1696" s="276"/>
      <c r="CJ1696" s="276"/>
      <c r="CK1696" s="276"/>
      <c r="CL1696" s="276"/>
      <c r="CM1696" s="276"/>
      <c r="CN1696" s="276"/>
      <c r="CO1696" s="276"/>
      <c r="CP1696" s="276"/>
      <c r="CQ1696" s="276"/>
      <c r="CU1696" s="276"/>
    </row>
    <row r="1697" spans="75:99" ht="15.75">
      <c r="BW1697" s="276"/>
      <c r="BY1697" s="276"/>
      <c r="BZ1697" s="276"/>
      <c r="CA1697" s="276"/>
      <c r="CB1697" s="276"/>
      <c r="CC1697" s="276"/>
      <c r="CD1697" s="276"/>
      <c r="CH1697" s="276"/>
      <c r="CJ1697" s="276"/>
      <c r="CK1697" s="276"/>
      <c r="CL1697" s="276"/>
      <c r="CM1697" s="276"/>
      <c r="CN1697" s="276"/>
      <c r="CO1697" s="276"/>
      <c r="CP1697" s="276"/>
      <c r="CQ1697" s="276"/>
      <c r="CU1697" s="276"/>
    </row>
    <row r="1698" spans="75:99" ht="15.75">
      <c r="BW1698" s="276"/>
      <c r="BY1698" s="276"/>
      <c r="BZ1698" s="276"/>
      <c r="CA1698" s="276"/>
      <c r="CB1698" s="276"/>
      <c r="CC1698" s="276"/>
      <c r="CD1698" s="276"/>
      <c r="CH1698" s="276"/>
      <c r="CJ1698" s="276"/>
      <c r="CK1698" s="276"/>
      <c r="CL1698" s="276"/>
      <c r="CM1698" s="276"/>
      <c r="CN1698" s="276"/>
      <c r="CO1698" s="276"/>
      <c r="CP1698" s="276"/>
      <c r="CQ1698" s="276"/>
      <c r="CU1698" s="276"/>
    </row>
    <row r="1699" spans="75:99" ht="15.75">
      <c r="BW1699" s="276"/>
      <c r="BY1699" s="276"/>
      <c r="BZ1699" s="276"/>
      <c r="CA1699" s="276"/>
      <c r="CB1699" s="276"/>
      <c r="CC1699" s="276"/>
      <c r="CD1699" s="276"/>
      <c r="CH1699" s="276"/>
      <c r="CJ1699" s="276"/>
      <c r="CK1699" s="276"/>
      <c r="CL1699" s="276"/>
      <c r="CM1699" s="276"/>
      <c r="CN1699" s="276"/>
      <c r="CO1699" s="276"/>
      <c r="CP1699" s="276"/>
      <c r="CQ1699" s="276"/>
      <c r="CU1699" s="276"/>
    </row>
    <row r="1700" spans="75:99" ht="15.75">
      <c r="BW1700" s="276"/>
      <c r="BY1700" s="276"/>
      <c r="BZ1700" s="276"/>
      <c r="CA1700" s="276"/>
      <c r="CB1700" s="276"/>
      <c r="CC1700" s="276"/>
      <c r="CD1700" s="276"/>
      <c r="CH1700" s="276"/>
      <c r="CJ1700" s="276"/>
      <c r="CK1700" s="276"/>
      <c r="CL1700" s="276"/>
      <c r="CM1700" s="276"/>
      <c r="CN1700" s="276"/>
      <c r="CO1700" s="276"/>
      <c r="CP1700" s="276"/>
      <c r="CQ1700" s="276"/>
      <c r="CU1700" s="276"/>
    </row>
    <row r="1701" spans="75:99" ht="15.75">
      <c r="BW1701" s="276"/>
      <c r="BY1701" s="276"/>
      <c r="BZ1701" s="276"/>
      <c r="CA1701" s="276"/>
      <c r="CB1701" s="276"/>
      <c r="CC1701" s="276"/>
      <c r="CD1701" s="276"/>
      <c r="CH1701" s="276"/>
      <c r="CJ1701" s="276"/>
      <c r="CK1701" s="276"/>
      <c r="CL1701" s="276"/>
      <c r="CM1701" s="276"/>
      <c r="CN1701" s="276"/>
      <c r="CO1701" s="276"/>
      <c r="CP1701" s="276"/>
      <c r="CQ1701" s="276"/>
      <c r="CU1701" s="276"/>
    </row>
    <row r="1702" spans="75:99" ht="15.75">
      <c r="BW1702" s="276"/>
      <c r="BY1702" s="276"/>
      <c r="BZ1702" s="276"/>
      <c r="CA1702" s="276"/>
      <c r="CB1702" s="276"/>
      <c r="CC1702" s="276"/>
      <c r="CD1702" s="276"/>
      <c r="CH1702" s="276"/>
      <c r="CJ1702" s="276"/>
      <c r="CK1702" s="276"/>
      <c r="CL1702" s="276"/>
      <c r="CM1702" s="276"/>
      <c r="CN1702" s="276"/>
      <c r="CO1702" s="276"/>
      <c r="CP1702" s="276"/>
      <c r="CQ1702" s="276"/>
      <c r="CU1702" s="276"/>
    </row>
    <row r="1703" spans="75:99" ht="15.75">
      <c r="BW1703" s="276"/>
      <c r="BY1703" s="276"/>
      <c r="BZ1703" s="276"/>
      <c r="CA1703" s="276"/>
      <c r="CB1703" s="276"/>
      <c r="CC1703" s="276"/>
      <c r="CD1703" s="276"/>
      <c r="CH1703" s="276"/>
      <c r="CJ1703" s="276"/>
      <c r="CK1703" s="276"/>
      <c r="CL1703" s="276"/>
      <c r="CM1703" s="276"/>
      <c r="CN1703" s="276"/>
      <c r="CO1703" s="276"/>
      <c r="CP1703" s="276"/>
      <c r="CQ1703" s="276"/>
      <c r="CU1703" s="276"/>
    </row>
    <row r="1704" spans="75:99" ht="15.75">
      <c r="BW1704" s="276"/>
      <c r="BY1704" s="276"/>
      <c r="BZ1704" s="276"/>
      <c r="CA1704" s="276"/>
      <c r="CB1704" s="276"/>
      <c r="CC1704" s="276"/>
      <c r="CD1704" s="276"/>
      <c r="CH1704" s="276"/>
      <c r="CJ1704" s="276"/>
      <c r="CK1704" s="276"/>
      <c r="CL1704" s="276"/>
      <c r="CM1704" s="276"/>
      <c r="CN1704" s="276"/>
      <c r="CO1704" s="276"/>
      <c r="CP1704" s="276"/>
      <c r="CQ1704" s="276"/>
      <c r="CU1704" s="276"/>
    </row>
    <row r="1705" spans="75:99" ht="15.75">
      <c r="BW1705" s="276"/>
      <c r="BY1705" s="276"/>
      <c r="BZ1705" s="276"/>
      <c r="CA1705" s="276"/>
      <c r="CB1705" s="276"/>
      <c r="CC1705" s="276"/>
      <c r="CD1705" s="276"/>
      <c r="CH1705" s="276"/>
      <c r="CJ1705" s="276"/>
      <c r="CK1705" s="276"/>
      <c r="CL1705" s="276"/>
      <c r="CM1705" s="276"/>
      <c r="CN1705" s="276"/>
      <c r="CO1705" s="276"/>
      <c r="CP1705" s="276"/>
      <c r="CQ1705" s="276"/>
      <c r="CU1705" s="276"/>
    </row>
    <row r="1706" spans="75:99" ht="15.75">
      <c r="BW1706" s="276"/>
      <c r="BY1706" s="276"/>
      <c r="BZ1706" s="276"/>
      <c r="CA1706" s="276"/>
      <c r="CB1706" s="276"/>
      <c r="CC1706" s="276"/>
      <c r="CD1706" s="276"/>
      <c r="CH1706" s="276"/>
      <c r="CJ1706" s="276"/>
      <c r="CK1706" s="276"/>
      <c r="CL1706" s="276"/>
      <c r="CM1706" s="276"/>
      <c r="CN1706" s="276"/>
      <c r="CO1706" s="276"/>
      <c r="CP1706" s="276"/>
      <c r="CQ1706" s="276"/>
      <c r="CU1706" s="276"/>
    </row>
    <row r="1707" spans="75:99" ht="15.75">
      <c r="BW1707" s="276"/>
      <c r="BY1707" s="276"/>
      <c r="BZ1707" s="276"/>
      <c r="CA1707" s="276"/>
      <c r="CB1707" s="276"/>
      <c r="CC1707" s="276"/>
      <c r="CD1707" s="276"/>
      <c r="CH1707" s="276"/>
      <c r="CJ1707" s="276"/>
      <c r="CK1707" s="276"/>
      <c r="CL1707" s="276"/>
      <c r="CM1707" s="276"/>
      <c r="CN1707" s="276"/>
      <c r="CO1707" s="276"/>
      <c r="CP1707" s="276"/>
      <c r="CQ1707" s="276"/>
      <c r="CU1707" s="276"/>
    </row>
    <row r="1708" spans="75:99" ht="15.75">
      <c r="BW1708" s="276"/>
      <c r="BY1708" s="276"/>
      <c r="BZ1708" s="276"/>
      <c r="CA1708" s="276"/>
      <c r="CB1708" s="276"/>
      <c r="CC1708" s="276"/>
      <c r="CD1708" s="276"/>
      <c r="CH1708" s="276"/>
      <c r="CJ1708" s="276"/>
      <c r="CK1708" s="276"/>
      <c r="CL1708" s="276"/>
      <c r="CM1708" s="276"/>
      <c r="CN1708" s="276"/>
      <c r="CO1708" s="276"/>
      <c r="CP1708" s="276"/>
      <c r="CQ1708" s="276"/>
      <c r="CU1708" s="276"/>
    </row>
    <row r="1709" spans="75:99" ht="15.75">
      <c r="BW1709" s="276"/>
      <c r="BY1709" s="276"/>
      <c r="BZ1709" s="276"/>
      <c r="CA1709" s="276"/>
      <c r="CB1709" s="276"/>
      <c r="CC1709" s="276"/>
      <c r="CD1709" s="276"/>
      <c r="CH1709" s="276"/>
      <c r="CJ1709" s="276"/>
      <c r="CK1709" s="276"/>
      <c r="CL1709" s="276"/>
      <c r="CM1709" s="276"/>
      <c r="CN1709" s="276"/>
      <c r="CO1709" s="276"/>
      <c r="CP1709" s="276"/>
      <c r="CQ1709" s="276"/>
      <c r="CU1709" s="276"/>
    </row>
    <row r="1710" spans="75:99" ht="15.75">
      <c r="BW1710" s="276"/>
      <c r="BY1710" s="276"/>
      <c r="BZ1710" s="276"/>
      <c r="CA1710" s="276"/>
      <c r="CB1710" s="276"/>
      <c r="CC1710" s="276"/>
      <c r="CD1710" s="276"/>
      <c r="CH1710" s="276"/>
      <c r="CJ1710" s="276"/>
      <c r="CK1710" s="276"/>
      <c r="CL1710" s="276"/>
      <c r="CM1710" s="276"/>
      <c r="CN1710" s="276"/>
      <c r="CO1710" s="276"/>
      <c r="CP1710" s="276"/>
      <c r="CQ1710" s="276"/>
      <c r="CU1710" s="276"/>
    </row>
    <row r="1711" spans="75:99" ht="15.75">
      <c r="BW1711" s="276"/>
      <c r="BY1711" s="276"/>
      <c r="BZ1711" s="276"/>
      <c r="CA1711" s="276"/>
      <c r="CB1711" s="276"/>
      <c r="CC1711" s="276"/>
      <c r="CD1711" s="276"/>
      <c r="CH1711" s="276"/>
      <c r="CJ1711" s="276"/>
      <c r="CK1711" s="276"/>
      <c r="CL1711" s="276"/>
      <c r="CM1711" s="276"/>
      <c r="CN1711" s="276"/>
      <c r="CO1711" s="276"/>
      <c r="CP1711" s="276"/>
      <c r="CQ1711" s="276"/>
      <c r="CU1711" s="276"/>
    </row>
    <row r="1712" spans="75:99" ht="15.75">
      <c r="BW1712" s="276"/>
      <c r="BY1712" s="276"/>
      <c r="BZ1712" s="276"/>
      <c r="CA1712" s="276"/>
      <c r="CB1712" s="276"/>
      <c r="CC1712" s="276"/>
      <c r="CD1712" s="276"/>
      <c r="CH1712" s="276"/>
      <c r="CJ1712" s="276"/>
      <c r="CK1712" s="276"/>
      <c r="CL1712" s="276"/>
      <c r="CM1712" s="276"/>
      <c r="CN1712" s="276"/>
      <c r="CO1712" s="276"/>
      <c r="CP1712" s="276"/>
      <c r="CQ1712" s="276"/>
      <c r="CU1712" s="276"/>
    </row>
    <row r="1713" spans="75:99" ht="15.75">
      <c r="BW1713" s="276"/>
      <c r="BY1713" s="276"/>
      <c r="BZ1713" s="276"/>
      <c r="CA1713" s="276"/>
      <c r="CB1713" s="276"/>
      <c r="CC1713" s="276"/>
      <c r="CD1713" s="276"/>
      <c r="CH1713" s="276"/>
      <c r="CJ1713" s="276"/>
      <c r="CK1713" s="276"/>
      <c r="CL1713" s="276"/>
      <c r="CM1713" s="276"/>
      <c r="CN1713" s="276"/>
      <c r="CO1713" s="276"/>
      <c r="CP1713" s="276"/>
      <c r="CQ1713" s="276"/>
      <c r="CU1713" s="276"/>
    </row>
    <row r="1714" spans="75:99" ht="15.75">
      <c r="BW1714" s="276"/>
      <c r="BY1714" s="276"/>
      <c r="BZ1714" s="276"/>
      <c r="CA1714" s="276"/>
      <c r="CB1714" s="276"/>
      <c r="CC1714" s="276"/>
      <c r="CD1714" s="276"/>
      <c r="CH1714" s="276"/>
      <c r="CJ1714" s="276"/>
      <c r="CK1714" s="276"/>
      <c r="CL1714" s="276"/>
      <c r="CM1714" s="276"/>
      <c r="CN1714" s="276"/>
      <c r="CO1714" s="276"/>
      <c r="CP1714" s="276"/>
      <c r="CQ1714" s="276"/>
      <c r="CU1714" s="276"/>
    </row>
    <row r="1715" spans="75:99" ht="15.75">
      <c r="BW1715" s="276"/>
      <c r="BY1715" s="276"/>
      <c r="BZ1715" s="276"/>
      <c r="CA1715" s="276"/>
      <c r="CB1715" s="276"/>
      <c r="CC1715" s="276"/>
      <c r="CD1715" s="276"/>
      <c r="CH1715" s="276"/>
      <c r="CJ1715" s="276"/>
      <c r="CK1715" s="276"/>
      <c r="CL1715" s="276"/>
      <c r="CM1715" s="276"/>
      <c r="CN1715" s="276"/>
      <c r="CO1715" s="276"/>
      <c r="CP1715" s="276"/>
      <c r="CQ1715" s="276"/>
      <c r="CU1715" s="276"/>
    </row>
    <row r="1716" spans="75:99" ht="15.75">
      <c r="BW1716" s="276"/>
      <c r="BY1716" s="276"/>
      <c r="BZ1716" s="276"/>
      <c r="CA1716" s="276"/>
      <c r="CB1716" s="276"/>
      <c r="CC1716" s="276"/>
      <c r="CD1716" s="276"/>
      <c r="CH1716" s="276"/>
      <c r="CJ1716" s="276"/>
      <c r="CK1716" s="276"/>
      <c r="CL1716" s="276"/>
      <c r="CM1716" s="276"/>
      <c r="CN1716" s="276"/>
      <c r="CO1716" s="276"/>
      <c r="CP1716" s="276"/>
      <c r="CQ1716" s="276"/>
      <c r="CU1716" s="276"/>
    </row>
    <row r="1717" spans="75:99" ht="15.75">
      <c r="BW1717" s="276"/>
      <c r="BY1717" s="276"/>
      <c r="BZ1717" s="276"/>
      <c r="CA1717" s="276"/>
      <c r="CB1717" s="276"/>
      <c r="CC1717" s="276"/>
      <c r="CD1717" s="276"/>
      <c r="CH1717" s="276"/>
      <c r="CJ1717" s="276"/>
      <c r="CK1717" s="276"/>
      <c r="CL1717" s="276"/>
      <c r="CM1717" s="276"/>
      <c r="CN1717" s="276"/>
      <c r="CO1717" s="276"/>
      <c r="CP1717" s="276"/>
      <c r="CQ1717" s="276"/>
      <c r="CU1717" s="276"/>
    </row>
    <row r="1718" spans="75:99" ht="15.75">
      <c r="BW1718" s="276"/>
      <c r="BY1718" s="276"/>
      <c r="BZ1718" s="276"/>
      <c r="CA1718" s="276"/>
      <c r="CB1718" s="276"/>
      <c r="CC1718" s="276"/>
      <c r="CD1718" s="276"/>
      <c r="CH1718" s="276"/>
      <c r="CJ1718" s="276"/>
      <c r="CK1718" s="276"/>
      <c r="CL1718" s="276"/>
      <c r="CM1718" s="276"/>
      <c r="CN1718" s="276"/>
      <c r="CO1718" s="276"/>
      <c r="CP1718" s="276"/>
      <c r="CQ1718" s="276"/>
      <c r="CU1718" s="276"/>
    </row>
    <row r="1719" spans="75:99" ht="15.75">
      <c r="BW1719" s="276"/>
      <c r="BY1719" s="276"/>
      <c r="BZ1719" s="276"/>
      <c r="CA1719" s="276"/>
      <c r="CB1719" s="276"/>
      <c r="CC1719" s="276"/>
      <c r="CD1719" s="276"/>
      <c r="CH1719" s="276"/>
      <c r="CJ1719" s="276"/>
      <c r="CK1719" s="276"/>
      <c r="CL1719" s="276"/>
      <c r="CM1719" s="276"/>
      <c r="CN1719" s="276"/>
      <c r="CO1719" s="276"/>
      <c r="CP1719" s="276"/>
      <c r="CQ1719" s="276"/>
      <c r="CU1719" s="276"/>
    </row>
    <row r="1720" spans="75:99" ht="15.75">
      <c r="BW1720" s="276"/>
      <c r="BY1720" s="276"/>
      <c r="BZ1720" s="276"/>
      <c r="CA1720" s="276"/>
      <c r="CB1720" s="276"/>
      <c r="CC1720" s="276"/>
      <c r="CD1720" s="276"/>
      <c r="CH1720" s="276"/>
      <c r="CJ1720" s="276"/>
      <c r="CK1720" s="276"/>
      <c r="CL1720" s="276"/>
      <c r="CM1720" s="276"/>
      <c r="CN1720" s="276"/>
      <c r="CO1720" s="276"/>
      <c r="CP1720" s="276"/>
      <c r="CQ1720" s="276"/>
      <c r="CU1720" s="276"/>
    </row>
    <row r="1721" spans="75:99" ht="15.75">
      <c r="BW1721" s="276"/>
      <c r="BY1721" s="276"/>
      <c r="BZ1721" s="276"/>
      <c r="CA1721" s="276"/>
      <c r="CB1721" s="276"/>
      <c r="CC1721" s="276"/>
      <c r="CD1721" s="276"/>
      <c r="CH1721" s="276"/>
      <c r="CJ1721" s="276"/>
      <c r="CK1721" s="276"/>
      <c r="CL1721" s="276"/>
      <c r="CM1721" s="276"/>
      <c r="CN1721" s="276"/>
      <c r="CO1721" s="276"/>
      <c r="CP1721" s="276"/>
      <c r="CQ1721" s="276"/>
      <c r="CU1721" s="276"/>
    </row>
    <row r="1722" spans="75:99" ht="15.75">
      <c r="BW1722" s="276"/>
      <c r="BY1722" s="276"/>
      <c r="BZ1722" s="276"/>
      <c r="CA1722" s="276"/>
      <c r="CB1722" s="276"/>
      <c r="CC1722" s="276"/>
      <c r="CD1722" s="276"/>
      <c r="CH1722" s="276"/>
      <c r="CJ1722" s="276"/>
      <c r="CK1722" s="276"/>
      <c r="CL1722" s="276"/>
      <c r="CM1722" s="276"/>
      <c r="CN1722" s="276"/>
      <c r="CO1722" s="276"/>
      <c r="CP1722" s="276"/>
      <c r="CQ1722" s="276"/>
      <c r="CU1722" s="276"/>
    </row>
    <row r="1723" spans="75:99" ht="15.75">
      <c r="BW1723" s="276"/>
      <c r="BY1723" s="276"/>
      <c r="BZ1723" s="276"/>
      <c r="CA1723" s="276"/>
      <c r="CB1723" s="276"/>
      <c r="CC1723" s="276"/>
      <c r="CD1723" s="276"/>
      <c r="CH1723" s="276"/>
      <c r="CJ1723" s="276"/>
      <c r="CK1723" s="276"/>
      <c r="CL1723" s="276"/>
      <c r="CM1723" s="276"/>
      <c r="CN1723" s="276"/>
      <c r="CO1723" s="276"/>
      <c r="CP1723" s="276"/>
      <c r="CQ1723" s="276"/>
      <c r="CU1723" s="276"/>
    </row>
    <row r="1724" spans="75:99" ht="15.75">
      <c r="BW1724" s="276"/>
      <c r="BY1724" s="276"/>
      <c r="BZ1724" s="276"/>
      <c r="CA1724" s="276"/>
      <c r="CB1724" s="276"/>
      <c r="CC1724" s="276"/>
      <c r="CD1724" s="276"/>
      <c r="CH1724" s="276"/>
      <c r="CJ1724" s="276"/>
      <c r="CK1724" s="276"/>
      <c r="CL1724" s="276"/>
      <c r="CM1724" s="276"/>
      <c r="CN1724" s="276"/>
      <c r="CO1724" s="276"/>
      <c r="CP1724" s="276"/>
      <c r="CQ1724" s="276"/>
      <c r="CU1724" s="276"/>
    </row>
    <row r="1725" spans="75:99" ht="15.75">
      <c r="BW1725" s="276"/>
      <c r="BY1725" s="276"/>
      <c r="BZ1725" s="276"/>
      <c r="CA1725" s="276"/>
      <c r="CB1725" s="276"/>
      <c r="CC1725" s="276"/>
      <c r="CD1725" s="276"/>
      <c r="CH1725" s="276"/>
      <c r="CJ1725" s="276"/>
      <c r="CK1725" s="276"/>
      <c r="CL1725" s="276"/>
      <c r="CM1725" s="276"/>
      <c r="CN1725" s="276"/>
      <c r="CO1725" s="276"/>
      <c r="CP1725" s="276"/>
      <c r="CQ1725" s="276"/>
      <c r="CU1725" s="276"/>
    </row>
    <row r="1726" spans="75:99" ht="15.75">
      <c r="BW1726" s="276"/>
      <c r="BY1726" s="276"/>
      <c r="BZ1726" s="276"/>
      <c r="CA1726" s="276"/>
      <c r="CB1726" s="276"/>
      <c r="CC1726" s="276"/>
      <c r="CD1726" s="276"/>
      <c r="CH1726" s="276"/>
      <c r="CJ1726" s="276"/>
      <c r="CK1726" s="276"/>
      <c r="CL1726" s="276"/>
      <c r="CM1726" s="276"/>
      <c r="CN1726" s="276"/>
      <c r="CO1726" s="276"/>
      <c r="CP1726" s="276"/>
      <c r="CQ1726" s="276"/>
      <c r="CU1726" s="276"/>
    </row>
    <row r="1727" spans="75:99" ht="15.75">
      <c r="BW1727" s="276"/>
      <c r="BY1727" s="276"/>
      <c r="BZ1727" s="276"/>
      <c r="CA1727" s="276"/>
      <c r="CB1727" s="276"/>
      <c r="CC1727" s="276"/>
      <c r="CD1727" s="276"/>
      <c r="CH1727" s="276"/>
      <c r="CJ1727" s="276"/>
      <c r="CK1727" s="276"/>
      <c r="CL1727" s="276"/>
      <c r="CM1727" s="276"/>
      <c r="CN1727" s="276"/>
      <c r="CO1727" s="276"/>
      <c r="CP1727" s="276"/>
      <c r="CQ1727" s="276"/>
      <c r="CU1727" s="276"/>
    </row>
    <row r="1728" spans="75:99" ht="15.75">
      <c r="BW1728" s="276"/>
      <c r="BY1728" s="276"/>
      <c r="BZ1728" s="276"/>
      <c r="CA1728" s="276"/>
      <c r="CB1728" s="276"/>
      <c r="CC1728" s="276"/>
      <c r="CD1728" s="276"/>
      <c r="CH1728" s="276"/>
      <c r="CJ1728" s="276"/>
      <c r="CK1728" s="276"/>
      <c r="CL1728" s="276"/>
      <c r="CM1728" s="276"/>
      <c r="CN1728" s="276"/>
      <c r="CO1728" s="276"/>
      <c r="CP1728" s="276"/>
      <c r="CQ1728" s="276"/>
      <c r="CU1728" s="276"/>
    </row>
    <row r="1729" spans="75:99" ht="15.75">
      <c r="BW1729" s="276"/>
      <c r="BY1729" s="276"/>
      <c r="BZ1729" s="276"/>
      <c r="CA1729" s="276"/>
      <c r="CB1729" s="276"/>
      <c r="CC1729" s="276"/>
      <c r="CD1729" s="276"/>
      <c r="CH1729" s="276"/>
      <c r="CJ1729" s="276"/>
      <c r="CK1729" s="276"/>
      <c r="CL1729" s="276"/>
      <c r="CM1729" s="276"/>
      <c r="CN1729" s="276"/>
      <c r="CO1729" s="276"/>
      <c r="CP1729" s="276"/>
      <c r="CQ1729" s="276"/>
      <c r="CU1729" s="276"/>
    </row>
    <row r="1730" spans="75:99" ht="15.75">
      <c r="BW1730" s="276"/>
      <c r="BY1730" s="276"/>
      <c r="BZ1730" s="276"/>
      <c r="CA1730" s="276"/>
      <c r="CB1730" s="276"/>
      <c r="CC1730" s="276"/>
      <c r="CD1730" s="276"/>
      <c r="CH1730" s="276"/>
      <c r="CJ1730" s="276"/>
      <c r="CK1730" s="276"/>
      <c r="CL1730" s="276"/>
      <c r="CM1730" s="276"/>
      <c r="CN1730" s="276"/>
      <c r="CO1730" s="276"/>
      <c r="CP1730" s="276"/>
      <c r="CQ1730" s="276"/>
      <c r="CU1730" s="276"/>
    </row>
    <row r="1731" spans="75:99" ht="15.75">
      <c r="BW1731" s="276"/>
      <c r="BY1731" s="276"/>
      <c r="BZ1731" s="276"/>
      <c r="CA1731" s="276"/>
      <c r="CB1731" s="276"/>
      <c r="CC1731" s="276"/>
      <c r="CD1731" s="276"/>
      <c r="CH1731" s="276"/>
      <c r="CJ1731" s="276"/>
      <c r="CK1731" s="276"/>
      <c r="CL1731" s="276"/>
      <c r="CM1731" s="276"/>
      <c r="CN1731" s="276"/>
      <c r="CO1731" s="276"/>
      <c r="CP1731" s="276"/>
      <c r="CQ1731" s="276"/>
      <c r="CU1731" s="276"/>
    </row>
    <row r="1732" spans="75:99" ht="15.75">
      <c r="BW1732" s="276"/>
      <c r="BY1732" s="276"/>
      <c r="BZ1732" s="276"/>
      <c r="CA1732" s="276"/>
      <c r="CB1732" s="276"/>
      <c r="CC1732" s="276"/>
      <c r="CD1732" s="276"/>
      <c r="CH1732" s="276"/>
      <c r="CJ1732" s="276"/>
      <c r="CK1732" s="276"/>
      <c r="CL1732" s="276"/>
      <c r="CM1732" s="276"/>
      <c r="CN1732" s="276"/>
      <c r="CO1732" s="276"/>
      <c r="CP1732" s="276"/>
      <c r="CQ1732" s="276"/>
      <c r="CU1732" s="276"/>
    </row>
    <row r="1733" spans="75:99" ht="15.75">
      <c r="BW1733" s="276"/>
      <c r="BY1733" s="276"/>
      <c r="BZ1733" s="276"/>
      <c r="CA1733" s="276"/>
      <c r="CB1733" s="276"/>
      <c r="CC1733" s="276"/>
      <c r="CD1733" s="276"/>
      <c r="CH1733" s="276"/>
      <c r="CJ1733" s="276"/>
      <c r="CK1733" s="276"/>
      <c r="CL1733" s="276"/>
      <c r="CM1733" s="276"/>
      <c r="CN1733" s="276"/>
      <c r="CO1733" s="276"/>
      <c r="CP1733" s="276"/>
      <c r="CQ1733" s="276"/>
      <c r="CU1733" s="276"/>
    </row>
    <row r="1734" spans="75:99" ht="15.75">
      <c r="BW1734" s="276"/>
      <c r="BY1734" s="276"/>
      <c r="BZ1734" s="276"/>
      <c r="CA1734" s="276"/>
      <c r="CB1734" s="276"/>
      <c r="CC1734" s="276"/>
      <c r="CD1734" s="276"/>
      <c r="CH1734" s="276"/>
      <c r="CJ1734" s="276"/>
      <c r="CK1734" s="276"/>
      <c r="CL1734" s="276"/>
      <c r="CM1734" s="276"/>
      <c r="CN1734" s="276"/>
      <c r="CO1734" s="276"/>
      <c r="CP1734" s="276"/>
      <c r="CQ1734" s="276"/>
      <c r="CU1734" s="276"/>
    </row>
    <row r="1735" spans="75:99" ht="15.75">
      <c r="BW1735" s="276"/>
      <c r="BY1735" s="276"/>
      <c r="BZ1735" s="276"/>
      <c r="CA1735" s="276"/>
      <c r="CB1735" s="276"/>
      <c r="CC1735" s="276"/>
      <c r="CD1735" s="276"/>
      <c r="CH1735" s="276"/>
      <c r="CJ1735" s="276"/>
      <c r="CK1735" s="276"/>
      <c r="CL1735" s="276"/>
      <c r="CM1735" s="276"/>
      <c r="CN1735" s="276"/>
      <c r="CO1735" s="276"/>
      <c r="CP1735" s="276"/>
      <c r="CQ1735" s="276"/>
      <c r="CU1735" s="276"/>
    </row>
    <row r="1736" spans="75:99" ht="15.75">
      <c r="BW1736" s="276"/>
      <c r="BY1736" s="276"/>
      <c r="BZ1736" s="276"/>
      <c r="CA1736" s="276"/>
      <c r="CB1736" s="276"/>
      <c r="CC1736" s="276"/>
      <c r="CD1736" s="276"/>
      <c r="CH1736" s="276"/>
      <c r="CJ1736" s="276"/>
      <c r="CK1736" s="276"/>
      <c r="CL1736" s="276"/>
      <c r="CM1736" s="276"/>
      <c r="CN1736" s="276"/>
      <c r="CO1736" s="276"/>
      <c r="CP1736" s="276"/>
      <c r="CQ1736" s="276"/>
      <c r="CU1736" s="276"/>
    </row>
    <row r="1737" spans="75:99" ht="15.75">
      <c r="BW1737" s="276"/>
      <c r="BY1737" s="276"/>
      <c r="BZ1737" s="276"/>
      <c r="CA1737" s="276"/>
      <c r="CB1737" s="276"/>
      <c r="CC1737" s="276"/>
      <c r="CD1737" s="276"/>
      <c r="CH1737" s="276"/>
      <c r="CJ1737" s="276"/>
      <c r="CK1737" s="276"/>
      <c r="CL1737" s="276"/>
      <c r="CM1737" s="276"/>
      <c r="CN1737" s="276"/>
      <c r="CO1737" s="276"/>
      <c r="CP1737" s="276"/>
      <c r="CQ1737" s="276"/>
      <c r="CU1737" s="276"/>
    </row>
    <row r="1738" spans="75:99" ht="15.75">
      <c r="BW1738" s="276"/>
      <c r="BY1738" s="276"/>
      <c r="BZ1738" s="276"/>
      <c r="CA1738" s="276"/>
      <c r="CB1738" s="276"/>
      <c r="CC1738" s="276"/>
      <c r="CD1738" s="276"/>
      <c r="CH1738" s="276"/>
      <c r="CJ1738" s="276"/>
      <c r="CK1738" s="276"/>
      <c r="CL1738" s="276"/>
      <c r="CM1738" s="276"/>
      <c r="CN1738" s="276"/>
      <c r="CO1738" s="276"/>
      <c r="CP1738" s="276"/>
      <c r="CQ1738" s="276"/>
      <c r="CU1738" s="276"/>
    </row>
    <row r="1739" spans="75:99" ht="15.75">
      <c r="BW1739" s="276"/>
      <c r="BY1739" s="276"/>
      <c r="BZ1739" s="276"/>
      <c r="CA1739" s="276"/>
      <c r="CB1739" s="276"/>
      <c r="CC1739" s="276"/>
      <c r="CD1739" s="276"/>
      <c r="CH1739" s="276"/>
      <c r="CJ1739" s="276"/>
      <c r="CK1739" s="276"/>
      <c r="CL1739" s="276"/>
      <c r="CM1739" s="276"/>
      <c r="CN1739" s="276"/>
      <c r="CO1739" s="276"/>
      <c r="CP1739" s="276"/>
      <c r="CQ1739" s="276"/>
      <c r="CU1739" s="276"/>
    </row>
    <row r="1740" spans="75:99" ht="15.75">
      <c r="BW1740" s="276"/>
      <c r="BY1740" s="276"/>
      <c r="BZ1740" s="276"/>
      <c r="CA1740" s="276"/>
      <c r="CB1740" s="276"/>
      <c r="CC1740" s="276"/>
      <c r="CD1740" s="276"/>
      <c r="CH1740" s="276"/>
      <c r="CJ1740" s="276"/>
      <c r="CK1740" s="276"/>
      <c r="CL1740" s="276"/>
      <c r="CM1740" s="276"/>
      <c r="CN1740" s="276"/>
      <c r="CO1740" s="276"/>
      <c r="CP1740" s="276"/>
      <c r="CQ1740" s="276"/>
      <c r="CU1740" s="276"/>
    </row>
    <row r="1741" spans="75:99" ht="15.75">
      <c r="BW1741" s="276"/>
      <c r="BY1741" s="276"/>
      <c r="BZ1741" s="276"/>
      <c r="CA1741" s="276"/>
      <c r="CB1741" s="276"/>
      <c r="CC1741" s="276"/>
      <c r="CD1741" s="276"/>
      <c r="CH1741" s="276"/>
      <c r="CJ1741" s="276"/>
      <c r="CK1741" s="276"/>
      <c r="CL1741" s="276"/>
      <c r="CM1741" s="276"/>
      <c r="CN1741" s="276"/>
      <c r="CO1741" s="276"/>
      <c r="CP1741" s="276"/>
      <c r="CQ1741" s="276"/>
      <c r="CU1741" s="276"/>
    </row>
    <row r="1742" spans="75:99" ht="15.75">
      <c r="BW1742" s="276"/>
      <c r="BY1742" s="276"/>
      <c r="BZ1742" s="276"/>
      <c r="CA1742" s="276"/>
      <c r="CB1742" s="276"/>
      <c r="CC1742" s="276"/>
      <c r="CD1742" s="276"/>
      <c r="CH1742" s="276"/>
      <c r="CJ1742" s="276"/>
      <c r="CK1742" s="276"/>
      <c r="CL1742" s="276"/>
      <c r="CM1742" s="276"/>
      <c r="CN1742" s="276"/>
      <c r="CO1742" s="276"/>
      <c r="CP1742" s="276"/>
      <c r="CQ1742" s="276"/>
      <c r="CU1742" s="276"/>
    </row>
    <row r="1743" spans="75:99" ht="15.75">
      <c r="BW1743" s="276"/>
      <c r="BY1743" s="276"/>
      <c r="BZ1743" s="276"/>
      <c r="CA1743" s="276"/>
      <c r="CB1743" s="276"/>
      <c r="CC1743" s="276"/>
      <c r="CD1743" s="276"/>
      <c r="CH1743" s="276"/>
      <c r="CJ1743" s="276"/>
      <c r="CK1743" s="276"/>
      <c r="CL1743" s="276"/>
      <c r="CM1743" s="276"/>
      <c r="CN1743" s="276"/>
      <c r="CO1743" s="276"/>
      <c r="CP1743" s="276"/>
      <c r="CQ1743" s="276"/>
      <c r="CU1743" s="276"/>
    </row>
    <row r="1744" spans="75:99" ht="15.75">
      <c r="BW1744" s="276"/>
      <c r="BY1744" s="276"/>
      <c r="BZ1744" s="276"/>
      <c r="CA1744" s="276"/>
      <c r="CB1744" s="276"/>
      <c r="CC1744" s="276"/>
      <c r="CD1744" s="276"/>
      <c r="CH1744" s="276"/>
      <c r="CJ1744" s="276"/>
      <c r="CK1744" s="276"/>
      <c r="CL1744" s="276"/>
      <c r="CM1744" s="276"/>
      <c r="CN1744" s="276"/>
      <c r="CO1744" s="276"/>
      <c r="CP1744" s="276"/>
      <c r="CQ1744" s="276"/>
      <c r="CU1744" s="276"/>
    </row>
    <row r="1745" spans="75:99" ht="15.75">
      <c r="BW1745" s="276"/>
      <c r="BY1745" s="276"/>
      <c r="BZ1745" s="276"/>
      <c r="CA1745" s="276"/>
      <c r="CB1745" s="276"/>
      <c r="CC1745" s="276"/>
      <c r="CD1745" s="276"/>
      <c r="CH1745" s="276"/>
      <c r="CJ1745" s="276"/>
      <c r="CK1745" s="276"/>
      <c r="CL1745" s="276"/>
      <c r="CM1745" s="276"/>
      <c r="CN1745" s="276"/>
      <c r="CO1745" s="276"/>
      <c r="CP1745" s="276"/>
      <c r="CQ1745" s="276"/>
      <c r="CU1745" s="276"/>
    </row>
    <row r="1746" spans="75:99" ht="15.75">
      <c r="BW1746" s="276"/>
      <c r="BY1746" s="276"/>
      <c r="BZ1746" s="276"/>
      <c r="CA1746" s="276"/>
      <c r="CB1746" s="276"/>
      <c r="CC1746" s="276"/>
      <c r="CD1746" s="276"/>
      <c r="CH1746" s="276"/>
      <c r="CJ1746" s="276"/>
      <c r="CK1746" s="276"/>
      <c r="CL1746" s="276"/>
      <c r="CM1746" s="276"/>
      <c r="CN1746" s="276"/>
      <c r="CO1746" s="276"/>
      <c r="CP1746" s="276"/>
      <c r="CQ1746" s="276"/>
      <c r="CU1746" s="276"/>
    </row>
    <row r="1747" spans="75:99" ht="15.75">
      <c r="BW1747" s="276"/>
      <c r="BY1747" s="276"/>
      <c r="BZ1747" s="276"/>
      <c r="CA1747" s="276"/>
      <c r="CB1747" s="276"/>
      <c r="CC1747" s="276"/>
      <c r="CD1747" s="276"/>
      <c r="CH1747" s="276"/>
      <c r="CJ1747" s="276"/>
      <c r="CK1747" s="276"/>
      <c r="CL1747" s="276"/>
      <c r="CM1747" s="276"/>
      <c r="CN1747" s="276"/>
      <c r="CO1747" s="276"/>
      <c r="CP1747" s="276"/>
      <c r="CQ1747" s="276"/>
      <c r="CU1747" s="276"/>
    </row>
    <row r="1748" spans="75:99" ht="15.75">
      <c r="BW1748" s="276"/>
      <c r="BY1748" s="276"/>
      <c r="BZ1748" s="276"/>
      <c r="CA1748" s="276"/>
      <c r="CB1748" s="276"/>
      <c r="CC1748" s="276"/>
      <c r="CD1748" s="276"/>
      <c r="CH1748" s="276"/>
      <c r="CJ1748" s="276"/>
      <c r="CK1748" s="276"/>
      <c r="CL1748" s="276"/>
      <c r="CM1748" s="276"/>
      <c r="CN1748" s="276"/>
      <c r="CO1748" s="276"/>
      <c r="CP1748" s="276"/>
      <c r="CQ1748" s="276"/>
      <c r="CU1748" s="276"/>
    </row>
    <row r="1749" spans="75:99" ht="15.75">
      <c r="BW1749" s="276"/>
      <c r="BY1749" s="276"/>
      <c r="BZ1749" s="276"/>
      <c r="CA1749" s="276"/>
      <c r="CB1749" s="276"/>
      <c r="CC1749" s="276"/>
      <c r="CD1749" s="276"/>
      <c r="CH1749" s="276"/>
      <c r="CJ1749" s="276"/>
      <c r="CK1749" s="276"/>
      <c r="CL1749" s="276"/>
      <c r="CM1749" s="276"/>
      <c r="CN1749" s="276"/>
      <c r="CO1749" s="276"/>
      <c r="CP1749" s="276"/>
      <c r="CQ1749" s="276"/>
      <c r="CU1749" s="276"/>
    </row>
    <row r="1750" spans="75:99" ht="15.75">
      <c r="BW1750" s="276"/>
      <c r="BY1750" s="276"/>
      <c r="BZ1750" s="276"/>
      <c r="CA1750" s="276"/>
      <c r="CB1750" s="276"/>
      <c r="CC1750" s="276"/>
      <c r="CD1750" s="276"/>
      <c r="CH1750" s="276"/>
      <c r="CJ1750" s="276"/>
      <c r="CK1750" s="276"/>
      <c r="CL1750" s="276"/>
      <c r="CM1750" s="276"/>
      <c r="CN1750" s="276"/>
      <c r="CO1750" s="276"/>
      <c r="CP1750" s="276"/>
      <c r="CQ1750" s="276"/>
      <c r="CU1750" s="276"/>
    </row>
    <row r="1751" spans="75:99" ht="15.75">
      <c r="BW1751" s="276"/>
      <c r="BY1751" s="276"/>
      <c r="BZ1751" s="276"/>
      <c r="CA1751" s="276"/>
      <c r="CB1751" s="276"/>
      <c r="CC1751" s="276"/>
      <c r="CD1751" s="276"/>
      <c r="CH1751" s="276"/>
      <c r="CJ1751" s="276"/>
      <c r="CK1751" s="276"/>
      <c r="CL1751" s="276"/>
      <c r="CM1751" s="276"/>
      <c r="CN1751" s="276"/>
      <c r="CO1751" s="276"/>
      <c r="CP1751" s="276"/>
      <c r="CQ1751" s="276"/>
      <c r="CU1751" s="276"/>
    </row>
    <row r="1752" spans="75:99" ht="15.75">
      <c r="BW1752" s="276"/>
      <c r="BY1752" s="276"/>
      <c r="BZ1752" s="276"/>
      <c r="CA1752" s="276"/>
      <c r="CB1752" s="276"/>
      <c r="CC1752" s="276"/>
      <c r="CD1752" s="276"/>
      <c r="CH1752" s="276"/>
      <c r="CJ1752" s="276"/>
      <c r="CK1752" s="276"/>
      <c r="CL1752" s="276"/>
      <c r="CM1752" s="276"/>
      <c r="CN1752" s="276"/>
      <c r="CO1752" s="276"/>
      <c r="CP1752" s="276"/>
      <c r="CQ1752" s="276"/>
      <c r="CU1752" s="276"/>
    </row>
    <row r="1753" spans="75:99" ht="15.75">
      <c r="BW1753" s="276"/>
      <c r="BY1753" s="276"/>
      <c r="BZ1753" s="276"/>
      <c r="CA1753" s="276"/>
      <c r="CB1753" s="276"/>
      <c r="CC1753" s="276"/>
      <c r="CD1753" s="276"/>
      <c r="CH1753" s="276"/>
      <c r="CJ1753" s="276"/>
      <c r="CK1753" s="276"/>
      <c r="CL1753" s="276"/>
      <c r="CM1753" s="276"/>
      <c r="CN1753" s="276"/>
      <c r="CO1753" s="276"/>
      <c r="CP1753" s="276"/>
      <c r="CQ1753" s="276"/>
      <c r="CU1753" s="276"/>
    </row>
    <row r="1754" spans="75:99" ht="15.75">
      <c r="BW1754" s="276"/>
      <c r="BY1754" s="276"/>
      <c r="BZ1754" s="276"/>
      <c r="CA1754" s="276"/>
      <c r="CB1754" s="276"/>
      <c r="CC1754" s="276"/>
      <c r="CD1754" s="276"/>
      <c r="CH1754" s="276"/>
      <c r="CJ1754" s="276"/>
      <c r="CK1754" s="276"/>
      <c r="CL1754" s="276"/>
      <c r="CM1754" s="276"/>
      <c r="CN1754" s="276"/>
      <c r="CO1754" s="276"/>
      <c r="CP1754" s="276"/>
      <c r="CQ1754" s="276"/>
      <c r="CU1754" s="276"/>
    </row>
    <row r="1755" spans="75:99" ht="15.75">
      <c r="BW1755" s="276"/>
      <c r="BY1755" s="276"/>
      <c r="BZ1755" s="276"/>
      <c r="CA1755" s="276"/>
      <c r="CB1755" s="276"/>
      <c r="CC1755" s="276"/>
      <c r="CD1755" s="276"/>
      <c r="CH1755" s="276"/>
      <c r="CJ1755" s="276"/>
      <c r="CK1755" s="276"/>
      <c r="CL1755" s="276"/>
      <c r="CM1755" s="276"/>
      <c r="CN1755" s="276"/>
      <c r="CO1755" s="276"/>
      <c r="CP1755" s="276"/>
      <c r="CQ1755" s="276"/>
      <c r="CU1755" s="276"/>
    </row>
    <row r="1756" spans="75:99" ht="15.75">
      <c r="BW1756" s="276"/>
      <c r="BY1756" s="276"/>
      <c r="BZ1756" s="276"/>
      <c r="CA1756" s="276"/>
      <c r="CB1756" s="276"/>
      <c r="CC1756" s="276"/>
      <c r="CD1756" s="276"/>
      <c r="CH1756" s="276"/>
      <c r="CJ1756" s="276"/>
      <c r="CK1756" s="276"/>
      <c r="CL1756" s="276"/>
      <c r="CM1756" s="276"/>
      <c r="CN1756" s="276"/>
      <c r="CO1756" s="276"/>
      <c r="CP1756" s="276"/>
      <c r="CQ1756" s="276"/>
      <c r="CU1756" s="276"/>
    </row>
    <row r="1757" spans="75:99" ht="15.75">
      <c r="BW1757" s="276"/>
      <c r="BY1757" s="276"/>
      <c r="BZ1757" s="276"/>
      <c r="CA1757" s="276"/>
      <c r="CB1757" s="276"/>
      <c r="CC1757" s="276"/>
      <c r="CD1757" s="276"/>
      <c r="CH1757" s="276"/>
      <c r="CJ1757" s="276"/>
      <c r="CK1757" s="276"/>
      <c r="CL1757" s="276"/>
      <c r="CM1757" s="276"/>
      <c r="CN1757" s="276"/>
      <c r="CO1757" s="276"/>
      <c r="CP1757" s="276"/>
      <c r="CQ1757" s="276"/>
      <c r="CU1757" s="276"/>
    </row>
    <row r="1758" spans="75:99" ht="15.75">
      <c r="BW1758" s="276"/>
      <c r="BY1758" s="276"/>
      <c r="BZ1758" s="276"/>
      <c r="CA1758" s="276"/>
      <c r="CB1758" s="276"/>
      <c r="CC1758" s="276"/>
      <c r="CD1758" s="276"/>
      <c r="CH1758" s="276"/>
      <c r="CJ1758" s="276"/>
      <c r="CK1758" s="276"/>
      <c r="CL1758" s="276"/>
      <c r="CM1758" s="276"/>
      <c r="CN1758" s="276"/>
      <c r="CO1758" s="276"/>
      <c r="CP1758" s="276"/>
      <c r="CQ1758" s="276"/>
      <c r="CU1758" s="276"/>
    </row>
    <row r="1759" spans="75:99" ht="15.75">
      <c r="BW1759" s="276"/>
      <c r="BY1759" s="276"/>
      <c r="BZ1759" s="276"/>
      <c r="CA1759" s="276"/>
      <c r="CB1759" s="276"/>
      <c r="CC1759" s="276"/>
      <c r="CD1759" s="276"/>
      <c r="CH1759" s="276"/>
      <c r="CJ1759" s="276"/>
      <c r="CK1759" s="276"/>
      <c r="CL1759" s="276"/>
      <c r="CM1759" s="276"/>
      <c r="CN1759" s="276"/>
      <c r="CO1759" s="276"/>
      <c r="CP1759" s="276"/>
      <c r="CQ1759" s="276"/>
      <c r="CU1759" s="276"/>
    </row>
    <row r="1760" spans="75:99" ht="15.75">
      <c r="BW1760" s="276"/>
      <c r="BY1760" s="276"/>
      <c r="BZ1760" s="276"/>
      <c r="CA1760" s="276"/>
      <c r="CB1760" s="276"/>
      <c r="CC1760" s="276"/>
      <c r="CD1760" s="276"/>
      <c r="CH1760" s="276"/>
      <c r="CJ1760" s="276"/>
      <c r="CK1760" s="276"/>
      <c r="CL1760" s="276"/>
      <c r="CM1760" s="276"/>
      <c r="CN1760" s="276"/>
      <c r="CO1760" s="276"/>
      <c r="CP1760" s="276"/>
      <c r="CQ1760" s="276"/>
      <c r="CU1760" s="276"/>
    </row>
    <row r="1761" spans="75:99" ht="15.75">
      <c r="BW1761" s="276"/>
      <c r="BY1761" s="276"/>
      <c r="BZ1761" s="276"/>
      <c r="CA1761" s="276"/>
      <c r="CB1761" s="276"/>
      <c r="CC1761" s="276"/>
      <c r="CD1761" s="276"/>
      <c r="CH1761" s="276"/>
      <c r="CJ1761" s="276"/>
      <c r="CK1761" s="276"/>
      <c r="CL1761" s="276"/>
      <c r="CM1761" s="276"/>
      <c r="CN1761" s="276"/>
      <c r="CO1761" s="276"/>
      <c r="CP1761" s="276"/>
      <c r="CQ1761" s="276"/>
      <c r="CU1761" s="276"/>
    </row>
    <row r="1762" spans="75:99" ht="15.75">
      <c r="BW1762" s="276"/>
      <c r="BY1762" s="276"/>
      <c r="BZ1762" s="276"/>
      <c r="CA1762" s="276"/>
      <c r="CB1762" s="276"/>
      <c r="CC1762" s="276"/>
      <c r="CD1762" s="276"/>
      <c r="CH1762" s="276"/>
      <c r="CJ1762" s="276"/>
      <c r="CK1762" s="276"/>
      <c r="CL1762" s="276"/>
      <c r="CM1762" s="276"/>
      <c r="CN1762" s="276"/>
      <c r="CO1762" s="276"/>
      <c r="CP1762" s="276"/>
      <c r="CQ1762" s="276"/>
      <c r="CU1762" s="276"/>
    </row>
    <row r="1763" spans="75:99" ht="15.75">
      <c r="BW1763" s="276"/>
      <c r="BY1763" s="276"/>
      <c r="BZ1763" s="276"/>
      <c r="CA1763" s="276"/>
      <c r="CB1763" s="276"/>
      <c r="CC1763" s="276"/>
      <c r="CD1763" s="276"/>
      <c r="CH1763" s="276"/>
      <c r="CJ1763" s="276"/>
      <c r="CK1763" s="276"/>
      <c r="CL1763" s="276"/>
      <c r="CM1763" s="276"/>
      <c r="CN1763" s="276"/>
      <c r="CO1763" s="276"/>
      <c r="CP1763" s="276"/>
      <c r="CQ1763" s="276"/>
      <c r="CU1763" s="276"/>
    </row>
    <row r="1764" spans="75:99" ht="15.75">
      <c r="BW1764" s="276"/>
      <c r="BY1764" s="276"/>
      <c r="BZ1764" s="276"/>
      <c r="CA1764" s="276"/>
      <c r="CB1764" s="276"/>
      <c r="CC1764" s="276"/>
      <c r="CD1764" s="276"/>
      <c r="CH1764" s="276"/>
      <c r="CJ1764" s="276"/>
      <c r="CK1764" s="276"/>
      <c r="CL1764" s="276"/>
      <c r="CM1764" s="276"/>
      <c r="CN1764" s="276"/>
      <c r="CO1764" s="276"/>
      <c r="CP1764" s="276"/>
      <c r="CQ1764" s="276"/>
      <c r="CU1764" s="276"/>
    </row>
    <row r="1765" spans="75:99" ht="15.75">
      <c r="BW1765" s="276"/>
      <c r="BY1765" s="276"/>
      <c r="BZ1765" s="276"/>
      <c r="CA1765" s="276"/>
      <c r="CB1765" s="276"/>
      <c r="CC1765" s="276"/>
      <c r="CD1765" s="276"/>
      <c r="CH1765" s="276"/>
      <c r="CJ1765" s="276"/>
      <c r="CK1765" s="276"/>
      <c r="CL1765" s="276"/>
      <c r="CM1765" s="276"/>
      <c r="CN1765" s="276"/>
      <c r="CO1765" s="276"/>
      <c r="CP1765" s="276"/>
      <c r="CQ1765" s="276"/>
      <c r="CU1765" s="276"/>
    </row>
    <row r="1766" spans="75:99" ht="15.75">
      <c r="BW1766" s="276"/>
      <c r="BY1766" s="276"/>
      <c r="BZ1766" s="276"/>
      <c r="CA1766" s="276"/>
      <c r="CB1766" s="276"/>
      <c r="CC1766" s="276"/>
      <c r="CD1766" s="276"/>
      <c r="CH1766" s="276"/>
      <c r="CJ1766" s="276"/>
      <c r="CK1766" s="276"/>
      <c r="CL1766" s="276"/>
      <c r="CM1766" s="276"/>
      <c r="CN1766" s="276"/>
      <c r="CO1766" s="276"/>
      <c r="CP1766" s="276"/>
      <c r="CQ1766" s="276"/>
      <c r="CU1766" s="276"/>
    </row>
    <row r="1767" spans="75:99" ht="15.75">
      <c r="BW1767" s="276"/>
      <c r="BY1767" s="276"/>
      <c r="BZ1767" s="276"/>
      <c r="CA1767" s="276"/>
      <c r="CB1767" s="276"/>
      <c r="CC1767" s="276"/>
      <c r="CD1767" s="276"/>
      <c r="CH1767" s="276"/>
      <c r="CJ1767" s="276"/>
      <c r="CK1767" s="276"/>
      <c r="CL1767" s="276"/>
      <c r="CM1767" s="276"/>
      <c r="CN1767" s="276"/>
      <c r="CO1767" s="276"/>
      <c r="CP1767" s="276"/>
      <c r="CQ1767" s="276"/>
      <c r="CU1767" s="276"/>
    </row>
    <row r="1768" spans="75:99" ht="15.75">
      <c r="BW1768" s="276"/>
      <c r="BY1768" s="276"/>
      <c r="BZ1768" s="276"/>
      <c r="CA1768" s="276"/>
      <c r="CB1768" s="276"/>
      <c r="CC1768" s="276"/>
      <c r="CD1768" s="276"/>
      <c r="CH1768" s="276"/>
      <c r="CJ1768" s="276"/>
      <c r="CK1768" s="276"/>
      <c r="CL1768" s="276"/>
      <c r="CM1768" s="276"/>
      <c r="CN1768" s="276"/>
      <c r="CO1768" s="276"/>
      <c r="CP1768" s="276"/>
      <c r="CQ1768" s="276"/>
      <c r="CU1768" s="276"/>
    </row>
    <row r="1769" spans="75:99" ht="15.75">
      <c r="BW1769" s="276"/>
      <c r="BY1769" s="276"/>
      <c r="BZ1769" s="276"/>
      <c r="CA1769" s="276"/>
      <c r="CB1769" s="276"/>
      <c r="CC1769" s="276"/>
      <c r="CD1769" s="276"/>
      <c r="CH1769" s="276"/>
      <c r="CJ1769" s="276"/>
      <c r="CK1769" s="276"/>
      <c r="CL1769" s="276"/>
      <c r="CM1769" s="276"/>
      <c r="CN1769" s="276"/>
      <c r="CO1769" s="276"/>
      <c r="CP1769" s="276"/>
      <c r="CQ1769" s="276"/>
      <c r="CU1769" s="276"/>
    </row>
    <row r="1770" spans="75:99" ht="15.75">
      <c r="BW1770" s="276"/>
      <c r="BY1770" s="276"/>
      <c r="BZ1770" s="276"/>
      <c r="CA1770" s="276"/>
      <c r="CB1770" s="276"/>
      <c r="CC1770" s="276"/>
      <c r="CD1770" s="276"/>
      <c r="CH1770" s="276"/>
      <c r="CJ1770" s="276"/>
      <c r="CK1770" s="276"/>
      <c r="CL1770" s="276"/>
      <c r="CM1770" s="276"/>
      <c r="CN1770" s="276"/>
      <c r="CO1770" s="276"/>
      <c r="CP1770" s="276"/>
      <c r="CQ1770" s="276"/>
      <c r="CU1770" s="276"/>
    </row>
    <row r="1771" spans="75:99" ht="15.75">
      <c r="BW1771" s="276"/>
      <c r="BY1771" s="276"/>
      <c r="BZ1771" s="276"/>
      <c r="CA1771" s="276"/>
      <c r="CB1771" s="276"/>
      <c r="CC1771" s="276"/>
      <c r="CD1771" s="276"/>
      <c r="CH1771" s="276"/>
      <c r="CJ1771" s="276"/>
      <c r="CK1771" s="276"/>
      <c r="CL1771" s="276"/>
      <c r="CM1771" s="276"/>
      <c r="CN1771" s="276"/>
      <c r="CO1771" s="276"/>
      <c r="CP1771" s="276"/>
      <c r="CQ1771" s="276"/>
      <c r="CU1771" s="276"/>
    </row>
    <row r="1772" spans="75:99" ht="15.75">
      <c r="BW1772" s="276"/>
      <c r="BY1772" s="276"/>
      <c r="BZ1772" s="276"/>
      <c r="CA1772" s="276"/>
      <c r="CB1772" s="276"/>
      <c r="CC1772" s="276"/>
      <c r="CD1772" s="276"/>
      <c r="CH1772" s="276"/>
      <c r="CJ1772" s="276"/>
      <c r="CK1772" s="276"/>
      <c r="CL1772" s="276"/>
      <c r="CM1772" s="276"/>
      <c r="CN1772" s="276"/>
      <c r="CO1772" s="276"/>
      <c r="CP1772" s="276"/>
      <c r="CQ1772" s="276"/>
      <c r="CU1772" s="276"/>
    </row>
    <row r="1773" spans="75:99" ht="15.75">
      <c r="BW1773" s="276"/>
      <c r="BY1773" s="276"/>
      <c r="BZ1773" s="276"/>
      <c r="CA1773" s="276"/>
      <c r="CB1773" s="276"/>
      <c r="CC1773" s="276"/>
      <c r="CD1773" s="276"/>
      <c r="CH1773" s="276"/>
      <c r="CJ1773" s="276"/>
      <c r="CK1773" s="276"/>
      <c r="CL1773" s="276"/>
      <c r="CM1773" s="276"/>
      <c r="CN1773" s="276"/>
      <c r="CO1773" s="276"/>
      <c r="CP1773" s="276"/>
      <c r="CQ1773" s="276"/>
      <c r="CU1773" s="276"/>
    </row>
    <row r="1774" spans="75:99" ht="15.75">
      <c r="BW1774" s="276"/>
      <c r="BY1774" s="276"/>
      <c r="BZ1774" s="276"/>
      <c r="CA1774" s="276"/>
      <c r="CB1774" s="276"/>
      <c r="CC1774" s="276"/>
      <c r="CD1774" s="276"/>
      <c r="CH1774" s="276"/>
      <c r="CJ1774" s="276"/>
      <c r="CK1774" s="276"/>
      <c r="CL1774" s="276"/>
      <c r="CM1774" s="276"/>
      <c r="CN1774" s="276"/>
      <c r="CO1774" s="276"/>
      <c r="CP1774" s="276"/>
      <c r="CQ1774" s="276"/>
      <c r="CU1774" s="276"/>
    </row>
    <row r="1775" spans="75:99" ht="15.75">
      <c r="BW1775" s="276"/>
      <c r="BY1775" s="276"/>
      <c r="BZ1775" s="276"/>
      <c r="CA1775" s="276"/>
      <c r="CB1775" s="276"/>
      <c r="CC1775" s="276"/>
      <c r="CD1775" s="276"/>
      <c r="CH1775" s="276"/>
      <c r="CJ1775" s="276"/>
      <c r="CK1775" s="276"/>
      <c r="CL1775" s="276"/>
      <c r="CM1775" s="276"/>
      <c r="CN1775" s="276"/>
      <c r="CO1775" s="276"/>
      <c r="CP1775" s="276"/>
      <c r="CQ1775" s="276"/>
      <c r="CU1775" s="276"/>
    </row>
    <row r="1776" spans="75:99" ht="15.75">
      <c r="BW1776" s="276"/>
      <c r="BY1776" s="276"/>
      <c r="BZ1776" s="276"/>
      <c r="CA1776" s="276"/>
      <c r="CB1776" s="276"/>
      <c r="CC1776" s="276"/>
      <c r="CD1776" s="276"/>
      <c r="CH1776" s="276"/>
      <c r="CJ1776" s="276"/>
      <c r="CK1776" s="276"/>
      <c r="CL1776" s="276"/>
      <c r="CM1776" s="276"/>
      <c r="CN1776" s="276"/>
      <c r="CO1776" s="276"/>
      <c r="CP1776" s="276"/>
      <c r="CQ1776" s="276"/>
      <c r="CU1776" s="276"/>
    </row>
    <row r="1777" spans="75:99" ht="15.75">
      <c r="BW1777" s="276"/>
      <c r="BY1777" s="276"/>
      <c r="BZ1777" s="276"/>
      <c r="CA1777" s="276"/>
      <c r="CB1777" s="276"/>
      <c r="CC1777" s="276"/>
      <c r="CD1777" s="276"/>
      <c r="CH1777" s="276"/>
      <c r="CJ1777" s="276"/>
      <c r="CK1777" s="276"/>
      <c r="CL1777" s="276"/>
      <c r="CM1777" s="276"/>
      <c r="CN1777" s="276"/>
      <c r="CO1777" s="276"/>
      <c r="CP1777" s="276"/>
      <c r="CQ1777" s="276"/>
      <c r="CU1777" s="276"/>
    </row>
    <row r="1778" spans="75:99" ht="15.75">
      <c r="BW1778" s="276"/>
      <c r="BY1778" s="276"/>
      <c r="BZ1778" s="276"/>
      <c r="CA1778" s="276"/>
      <c r="CB1778" s="276"/>
      <c r="CC1778" s="276"/>
      <c r="CD1778" s="276"/>
      <c r="CH1778" s="276"/>
      <c r="CJ1778" s="276"/>
      <c r="CK1778" s="276"/>
      <c r="CL1778" s="276"/>
      <c r="CM1778" s="276"/>
      <c r="CN1778" s="276"/>
      <c r="CO1778" s="276"/>
      <c r="CP1778" s="276"/>
      <c r="CQ1778" s="276"/>
      <c r="CU1778" s="276"/>
    </row>
    <row r="1779" spans="75:99" ht="15.75">
      <c r="BW1779" s="276"/>
      <c r="BY1779" s="276"/>
      <c r="BZ1779" s="276"/>
      <c r="CA1779" s="276"/>
      <c r="CB1779" s="276"/>
      <c r="CC1779" s="276"/>
      <c r="CD1779" s="276"/>
      <c r="CH1779" s="276"/>
      <c r="CJ1779" s="276"/>
      <c r="CK1779" s="276"/>
      <c r="CL1779" s="276"/>
      <c r="CM1779" s="276"/>
      <c r="CN1779" s="276"/>
      <c r="CO1779" s="276"/>
      <c r="CP1779" s="276"/>
      <c r="CQ1779" s="276"/>
      <c r="CU1779" s="276"/>
    </row>
    <row r="1780" spans="75:99" ht="15.75">
      <c r="BW1780" s="276"/>
      <c r="BY1780" s="276"/>
      <c r="BZ1780" s="276"/>
      <c r="CA1780" s="276"/>
      <c r="CB1780" s="276"/>
      <c r="CC1780" s="276"/>
      <c r="CD1780" s="276"/>
      <c r="CH1780" s="276"/>
      <c r="CJ1780" s="276"/>
      <c r="CK1780" s="276"/>
      <c r="CL1780" s="276"/>
      <c r="CM1780" s="276"/>
      <c r="CN1780" s="276"/>
      <c r="CO1780" s="276"/>
      <c r="CP1780" s="276"/>
      <c r="CQ1780" s="276"/>
      <c r="CU1780" s="276"/>
    </row>
    <row r="1781" spans="75:99" ht="15.75">
      <c r="BW1781" s="276"/>
      <c r="BY1781" s="276"/>
      <c r="BZ1781" s="276"/>
      <c r="CA1781" s="276"/>
      <c r="CB1781" s="276"/>
      <c r="CC1781" s="276"/>
      <c r="CD1781" s="276"/>
      <c r="CH1781" s="276"/>
      <c r="CJ1781" s="276"/>
      <c r="CK1781" s="276"/>
      <c r="CL1781" s="276"/>
      <c r="CM1781" s="276"/>
      <c r="CN1781" s="276"/>
      <c r="CO1781" s="276"/>
      <c r="CP1781" s="276"/>
      <c r="CQ1781" s="276"/>
      <c r="CU1781" s="276"/>
    </row>
    <row r="1782" spans="75:99" ht="15.75">
      <c r="BW1782" s="276"/>
      <c r="BY1782" s="276"/>
      <c r="BZ1782" s="276"/>
      <c r="CA1782" s="276"/>
      <c r="CB1782" s="276"/>
      <c r="CC1782" s="276"/>
      <c r="CD1782" s="276"/>
      <c r="CH1782" s="276"/>
      <c r="CJ1782" s="276"/>
      <c r="CK1782" s="276"/>
      <c r="CL1782" s="276"/>
      <c r="CM1782" s="276"/>
      <c r="CN1782" s="276"/>
      <c r="CO1782" s="276"/>
      <c r="CP1782" s="276"/>
      <c r="CQ1782" s="276"/>
      <c r="CU1782" s="276"/>
    </row>
    <row r="1783" spans="75:99" ht="15.75">
      <c r="BW1783" s="276"/>
      <c r="BY1783" s="276"/>
      <c r="BZ1783" s="276"/>
      <c r="CA1783" s="276"/>
      <c r="CB1783" s="276"/>
      <c r="CC1783" s="276"/>
      <c r="CD1783" s="276"/>
      <c r="CH1783" s="276"/>
      <c r="CJ1783" s="276"/>
      <c r="CK1783" s="276"/>
      <c r="CL1783" s="276"/>
      <c r="CM1783" s="276"/>
      <c r="CN1783" s="276"/>
      <c r="CO1783" s="276"/>
      <c r="CP1783" s="276"/>
      <c r="CQ1783" s="276"/>
      <c r="CU1783" s="276"/>
    </row>
    <row r="1784" spans="75:99" ht="15.75">
      <c r="BW1784" s="276"/>
      <c r="BY1784" s="276"/>
      <c r="BZ1784" s="276"/>
      <c r="CA1784" s="276"/>
      <c r="CB1784" s="276"/>
      <c r="CC1784" s="276"/>
      <c r="CD1784" s="276"/>
      <c r="CH1784" s="276"/>
      <c r="CJ1784" s="276"/>
      <c r="CK1784" s="276"/>
      <c r="CL1784" s="276"/>
      <c r="CM1784" s="276"/>
      <c r="CN1784" s="276"/>
      <c r="CO1784" s="276"/>
      <c r="CP1784" s="276"/>
      <c r="CQ1784" s="276"/>
      <c r="CU1784" s="276"/>
    </row>
    <row r="1785" spans="75:99" ht="15.75">
      <c r="BW1785" s="276"/>
      <c r="BY1785" s="276"/>
      <c r="BZ1785" s="276"/>
      <c r="CA1785" s="276"/>
      <c r="CB1785" s="276"/>
      <c r="CC1785" s="276"/>
      <c r="CD1785" s="276"/>
      <c r="CH1785" s="276"/>
      <c r="CJ1785" s="276"/>
      <c r="CK1785" s="276"/>
      <c r="CL1785" s="276"/>
      <c r="CM1785" s="276"/>
      <c r="CN1785" s="276"/>
      <c r="CO1785" s="276"/>
      <c r="CP1785" s="276"/>
      <c r="CQ1785" s="276"/>
      <c r="CU1785" s="276"/>
    </row>
    <row r="1786" spans="75:99" ht="15.75">
      <c r="BW1786" s="276"/>
      <c r="BY1786" s="276"/>
      <c r="BZ1786" s="276"/>
      <c r="CA1786" s="276"/>
      <c r="CB1786" s="276"/>
      <c r="CC1786" s="276"/>
      <c r="CD1786" s="276"/>
      <c r="CH1786" s="276"/>
      <c r="CJ1786" s="276"/>
      <c r="CK1786" s="276"/>
      <c r="CL1786" s="276"/>
      <c r="CM1786" s="276"/>
      <c r="CN1786" s="276"/>
      <c r="CO1786" s="276"/>
      <c r="CP1786" s="276"/>
      <c r="CQ1786" s="276"/>
      <c r="CU1786" s="276"/>
    </row>
    <row r="1787" spans="75:99" ht="15.75">
      <c r="BW1787" s="276"/>
      <c r="BY1787" s="276"/>
      <c r="BZ1787" s="276"/>
      <c r="CA1787" s="276"/>
      <c r="CB1787" s="276"/>
      <c r="CC1787" s="276"/>
      <c r="CD1787" s="276"/>
      <c r="CH1787" s="276"/>
      <c r="CJ1787" s="276"/>
      <c r="CK1787" s="276"/>
      <c r="CL1787" s="276"/>
      <c r="CM1787" s="276"/>
      <c r="CN1787" s="276"/>
      <c r="CO1787" s="276"/>
      <c r="CP1787" s="276"/>
      <c r="CQ1787" s="276"/>
      <c r="CU1787" s="276"/>
    </row>
    <row r="1788" spans="75:99" ht="15.75">
      <c r="BW1788" s="276"/>
      <c r="BY1788" s="276"/>
      <c r="BZ1788" s="276"/>
      <c r="CA1788" s="276"/>
      <c r="CB1788" s="276"/>
      <c r="CC1788" s="276"/>
      <c r="CD1788" s="276"/>
      <c r="CH1788" s="276"/>
      <c r="CJ1788" s="276"/>
      <c r="CK1788" s="276"/>
      <c r="CL1788" s="276"/>
      <c r="CM1788" s="276"/>
      <c r="CN1788" s="276"/>
      <c r="CO1788" s="276"/>
      <c r="CP1788" s="276"/>
      <c r="CQ1788" s="276"/>
      <c r="CU1788" s="276"/>
    </row>
    <row r="1789" spans="75:99" ht="15.75">
      <c r="BW1789" s="276"/>
      <c r="BY1789" s="276"/>
      <c r="BZ1789" s="276"/>
      <c r="CA1789" s="276"/>
      <c r="CB1789" s="276"/>
      <c r="CC1789" s="276"/>
      <c r="CD1789" s="276"/>
      <c r="CH1789" s="276"/>
      <c r="CJ1789" s="276"/>
      <c r="CK1789" s="276"/>
      <c r="CL1789" s="276"/>
      <c r="CM1789" s="276"/>
      <c r="CN1789" s="276"/>
      <c r="CO1789" s="276"/>
      <c r="CP1789" s="276"/>
      <c r="CQ1789" s="276"/>
      <c r="CU1789" s="276"/>
    </row>
    <row r="1790" spans="75:99" ht="15.75">
      <c r="BW1790" s="276"/>
      <c r="BY1790" s="276"/>
      <c r="BZ1790" s="276"/>
      <c r="CA1790" s="276"/>
      <c r="CB1790" s="276"/>
      <c r="CC1790" s="276"/>
      <c r="CD1790" s="276"/>
      <c r="CH1790" s="276"/>
      <c r="CJ1790" s="276"/>
      <c r="CK1790" s="276"/>
      <c r="CL1790" s="276"/>
      <c r="CM1790" s="276"/>
      <c r="CN1790" s="276"/>
      <c r="CO1790" s="276"/>
      <c r="CP1790" s="276"/>
      <c r="CQ1790" s="276"/>
      <c r="CU1790" s="276"/>
    </row>
    <row r="1791" spans="75:99" ht="15.75">
      <c r="BW1791" s="276"/>
      <c r="BY1791" s="276"/>
      <c r="BZ1791" s="276"/>
      <c r="CA1791" s="276"/>
      <c r="CB1791" s="276"/>
      <c r="CC1791" s="276"/>
      <c r="CD1791" s="276"/>
      <c r="CH1791" s="276"/>
      <c r="CJ1791" s="276"/>
      <c r="CK1791" s="276"/>
      <c r="CL1791" s="276"/>
      <c r="CM1791" s="276"/>
      <c r="CN1791" s="276"/>
      <c r="CO1791" s="276"/>
      <c r="CP1791" s="276"/>
      <c r="CQ1791" s="276"/>
      <c r="CU1791" s="276"/>
    </row>
    <row r="1792" spans="75:99" ht="15.75">
      <c r="BW1792" s="276"/>
      <c r="BY1792" s="276"/>
      <c r="BZ1792" s="276"/>
      <c r="CA1792" s="276"/>
      <c r="CB1792" s="276"/>
      <c r="CC1792" s="276"/>
      <c r="CD1792" s="276"/>
      <c r="CH1792" s="276"/>
      <c r="CJ1792" s="276"/>
      <c r="CK1792" s="276"/>
      <c r="CL1792" s="276"/>
      <c r="CM1792" s="276"/>
      <c r="CN1792" s="276"/>
      <c r="CO1792" s="276"/>
      <c r="CP1792" s="276"/>
      <c r="CQ1792" s="276"/>
      <c r="CU1792" s="276"/>
    </row>
    <row r="1793" spans="75:99" ht="15.75">
      <c r="BW1793" s="276"/>
      <c r="BY1793" s="276"/>
      <c r="BZ1793" s="276"/>
      <c r="CA1793" s="276"/>
      <c r="CB1793" s="276"/>
      <c r="CC1793" s="276"/>
      <c r="CD1793" s="276"/>
      <c r="CH1793" s="276"/>
      <c r="CJ1793" s="276"/>
      <c r="CK1793" s="276"/>
      <c r="CL1793" s="276"/>
      <c r="CM1793" s="276"/>
      <c r="CN1793" s="276"/>
      <c r="CO1793" s="276"/>
      <c r="CP1793" s="276"/>
      <c r="CQ1793" s="276"/>
      <c r="CU1793" s="276"/>
    </row>
    <row r="1794" spans="75:99" ht="15.75">
      <c r="BW1794" s="276"/>
      <c r="BY1794" s="276"/>
      <c r="BZ1794" s="276"/>
      <c r="CA1794" s="276"/>
      <c r="CB1794" s="276"/>
      <c r="CC1794" s="276"/>
      <c r="CD1794" s="276"/>
      <c r="CH1794" s="276"/>
      <c r="CJ1794" s="276"/>
      <c r="CK1794" s="276"/>
      <c r="CL1794" s="276"/>
      <c r="CM1794" s="276"/>
      <c r="CN1794" s="276"/>
      <c r="CO1794" s="276"/>
      <c r="CP1794" s="276"/>
      <c r="CQ1794" s="276"/>
      <c r="CU1794" s="276"/>
    </row>
    <row r="1795" spans="75:99" ht="15.75">
      <c r="BW1795" s="276"/>
      <c r="BY1795" s="276"/>
      <c r="BZ1795" s="276"/>
      <c r="CA1795" s="276"/>
      <c r="CB1795" s="276"/>
      <c r="CC1795" s="276"/>
      <c r="CD1795" s="276"/>
      <c r="CH1795" s="276"/>
      <c r="CJ1795" s="276"/>
      <c r="CK1795" s="276"/>
      <c r="CL1795" s="276"/>
      <c r="CM1795" s="276"/>
      <c r="CN1795" s="276"/>
      <c r="CO1795" s="276"/>
      <c r="CP1795" s="276"/>
      <c r="CQ1795" s="276"/>
      <c r="CU1795" s="276"/>
    </row>
    <row r="1796" spans="75:99" ht="15.75">
      <c r="BW1796" s="276"/>
      <c r="BY1796" s="276"/>
      <c r="BZ1796" s="276"/>
      <c r="CA1796" s="276"/>
      <c r="CB1796" s="276"/>
      <c r="CC1796" s="276"/>
      <c r="CD1796" s="276"/>
      <c r="CH1796" s="276"/>
      <c r="CJ1796" s="276"/>
      <c r="CK1796" s="276"/>
      <c r="CL1796" s="276"/>
      <c r="CM1796" s="276"/>
      <c r="CN1796" s="276"/>
      <c r="CO1796" s="276"/>
      <c r="CP1796" s="276"/>
      <c r="CQ1796" s="276"/>
      <c r="CU1796" s="276"/>
    </row>
    <row r="1797" spans="75:99" ht="15.75">
      <c r="BW1797" s="276"/>
      <c r="BY1797" s="276"/>
      <c r="BZ1797" s="276"/>
      <c r="CA1797" s="276"/>
      <c r="CB1797" s="276"/>
      <c r="CC1797" s="276"/>
      <c r="CD1797" s="276"/>
      <c r="CH1797" s="276"/>
      <c r="CJ1797" s="276"/>
      <c r="CK1797" s="276"/>
      <c r="CL1797" s="276"/>
      <c r="CM1797" s="276"/>
      <c r="CN1797" s="276"/>
      <c r="CO1797" s="276"/>
      <c r="CP1797" s="276"/>
      <c r="CQ1797" s="276"/>
      <c r="CU1797" s="276"/>
    </row>
    <row r="1798" spans="75:99" ht="15.75">
      <c r="BW1798" s="276"/>
      <c r="BY1798" s="276"/>
      <c r="BZ1798" s="276"/>
      <c r="CA1798" s="276"/>
      <c r="CB1798" s="276"/>
      <c r="CC1798" s="276"/>
      <c r="CD1798" s="276"/>
      <c r="CH1798" s="276"/>
      <c r="CJ1798" s="276"/>
      <c r="CK1798" s="276"/>
      <c r="CL1798" s="276"/>
      <c r="CM1798" s="276"/>
      <c r="CN1798" s="276"/>
      <c r="CO1798" s="276"/>
      <c r="CP1798" s="276"/>
      <c r="CQ1798" s="276"/>
      <c r="CU1798" s="276"/>
    </row>
    <row r="1799" spans="75:99" ht="15.75">
      <c r="BW1799" s="276"/>
      <c r="BY1799" s="276"/>
      <c r="BZ1799" s="276"/>
      <c r="CA1799" s="276"/>
      <c r="CB1799" s="276"/>
      <c r="CC1799" s="276"/>
      <c r="CD1799" s="276"/>
      <c r="CH1799" s="276"/>
      <c r="CJ1799" s="276"/>
      <c r="CK1799" s="276"/>
      <c r="CL1799" s="276"/>
      <c r="CM1799" s="276"/>
      <c r="CN1799" s="276"/>
      <c r="CO1799" s="276"/>
      <c r="CP1799" s="276"/>
      <c r="CQ1799" s="276"/>
      <c r="CU1799" s="276"/>
    </row>
    <row r="1800" spans="75:99" ht="15.75">
      <c r="BW1800" s="276"/>
      <c r="BY1800" s="276"/>
      <c r="BZ1800" s="276"/>
      <c r="CA1800" s="276"/>
      <c r="CB1800" s="276"/>
      <c r="CC1800" s="276"/>
      <c r="CD1800" s="276"/>
      <c r="CH1800" s="276"/>
      <c r="CJ1800" s="276"/>
      <c r="CK1800" s="276"/>
      <c r="CL1800" s="276"/>
      <c r="CM1800" s="276"/>
      <c r="CN1800" s="276"/>
      <c r="CO1800" s="276"/>
      <c r="CP1800" s="276"/>
      <c r="CQ1800" s="276"/>
      <c r="CU1800" s="276"/>
    </row>
    <row r="1801" spans="75:99" ht="15.75">
      <c r="BW1801" s="276"/>
      <c r="BY1801" s="276"/>
      <c r="BZ1801" s="276"/>
      <c r="CA1801" s="276"/>
      <c r="CB1801" s="276"/>
      <c r="CC1801" s="276"/>
      <c r="CD1801" s="276"/>
      <c r="CH1801" s="276"/>
      <c r="CJ1801" s="276"/>
      <c r="CK1801" s="276"/>
      <c r="CL1801" s="276"/>
      <c r="CM1801" s="276"/>
      <c r="CN1801" s="276"/>
      <c r="CO1801" s="276"/>
      <c r="CP1801" s="276"/>
      <c r="CQ1801" s="276"/>
      <c r="CU1801" s="276"/>
    </row>
    <row r="1802" spans="75:99" ht="15.75">
      <c r="BW1802" s="276"/>
      <c r="BY1802" s="276"/>
      <c r="BZ1802" s="276"/>
      <c r="CA1802" s="276"/>
      <c r="CB1802" s="276"/>
      <c r="CC1802" s="276"/>
      <c r="CD1802" s="276"/>
      <c r="CH1802" s="276"/>
      <c r="CJ1802" s="276"/>
      <c r="CK1802" s="276"/>
      <c r="CL1802" s="276"/>
      <c r="CM1802" s="276"/>
      <c r="CN1802" s="276"/>
      <c r="CO1802" s="276"/>
      <c r="CP1802" s="276"/>
      <c r="CQ1802" s="276"/>
      <c r="CU1802" s="276"/>
    </row>
    <row r="1803" spans="75:99" ht="15.75">
      <c r="BW1803" s="276"/>
      <c r="BY1803" s="276"/>
      <c r="BZ1803" s="276"/>
      <c r="CA1803" s="276"/>
      <c r="CB1803" s="276"/>
      <c r="CC1803" s="276"/>
      <c r="CD1803" s="276"/>
      <c r="CH1803" s="276"/>
      <c r="CJ1803" s="276"/>
      <c r="CK1803" s="276"/>
      <c r="CL1803" s="276"/>
      <c r="CM1803" s="276"/>
      <c r="CN1803" s="276"/>
      <c r="CO1803" s="276"/>
      <c r="CP1803" s="276"/>
      <c r="CQ1803" s="276"/>
      <c r="CU1803" s="276"/>
    </row>
    <row r="1804" spans="75:99" ht="15.75">
      <c r="BW1804" s="276"/>
      <c r="BY1804" s="276"/>
      <c r="BZ1804" s="276"/>
      <c r="CA1804" s="276"/>
      <c r="CB1804" s="276"/>
      <c r="CC1804" s="276"/>
      <c r="CD1804" s="276"/>
      <c r="CH1804" s="276"/>
      <c r="CJ1804" s="276"/>
      <c r="CK1804" s="276"/>
      <c r="CL1804" s="276"/>
      <c r="CM1804" s="276"/>
      <c r="CN1804" s="276"/>
      <c r="CO1804" s="276"/>
      <c r="CP1804" s="276"/>
      <c r="CQ1804" s="276"/>
      <c r="CU1804" s="276"/>
    </row>
    <row r="1805" spans="75:99" ht="15.75">
      <c r="BW1805" s="276"/>
      <c r="BY1805" s="276"/>
      <c r="BZ1805" s="276"/>
      <c r="CA1805" s="276"/>
      <c r="CB1805" s="276"/>
      <c r="CC1805" s="276"/>
      <c r="CD1805" s="276"/>
      <c r="CH1805" s="276"/>
      <c r="CJ1805" s="276"/>
      <c r="CK1805" s="276"/>
      <c r="CL1805" s="276"/>
      <c r="CM1805" s="276"/>
      <c r="CN1805" s="276"/>
      <c r="CO1805" s="276"/>
      <c r="CP1805" s="276"/>
      <c r="CQ1805" s="276"/>
      <c r="CU1805" s="276"/>
    </row>
    <row r="1806" spans="75:99" ht="15.75">
      <c r="BW1806" s="276"/>
      <c r="BY1806" s="276"/>
      <c r="BZ1806" s="276"/>
      <c r="CA1806" s="276"/>
      <c r="CB1806" s="276"/>
      <c r="CC1806" s="276"/>
      <c r="CD1806" s="276"/>
      <c r="CH1806" s="276"/>
      <c r="CJ1806" s="276"/>
      <c r="CK1806" s="276"/>
      <c r="CL1806" s="276"/>
      <c r="CM1806" s="276"/>
      <c r="CN1806" s="276"/>
      <c r="CO1806" s="276"/>
      <c r="CP1806" s="276"/>
      <c r="CQ1806" s="276"/>
      <c r="CU1806" s="276"/>
    </row>
    <row r="1807" spans="75:99" ht="15.75">
      <c r="BW1807" s="276"/>
      <c r="BY1807" s="276"/>
      <c r="BZ1807" s="276"/>
      <c r="CA1807" s="276"/>
      <c r="CB1807" s="276"/>
      <c r="CC1807" s="276"/>
      <c r="CD1807" s="276"/>
      <c r="CH1807" s="276"/>
      <c r="CJ1807" s="276"/>
      <c r="CK1807" s="276"/>
      <c r="CL1807" s="276"/>
      <c r="CM1807" s="276"/>
      <c r="CN1807" s="276"/>
      <c r="CO1807" s="276"/>
      <c r="CP1807" s="276"/>
      <c r="CQ1807" s="276"/>
      <c r="CU1807" s="276"/>
    </row>
    <row r="1808" spans="75:99" ht="15.75">
      <c r="BW1808" s="276"/>
      <c r="BY1808" s="276"/>
      <c r="BZ1808" s="276"/>
      <c r="CA1808" s="276"/>
      <c r="CB1808" s="276"/>
      <c r="CC1808" s="276"/>
      <c r="CD1808" s="276"/>
      <c r="CH1808" s="276"/>
      <c r="CJ1808" s="276"/>
      <c r="CK1808" s="276"/>
      <c r="CL1808" s="276"/>
      <c r="CM1808" s="276"/>
      <c r="CN1808" s="276"/>
      <c r="CO1808" s="276"/>
      <c r="CP1808" s="276"/>
      <c r="CQ1808" s="276"/>
      <c r="CU1808" s="276"/>
    </row>
    <row r="1809" spans="75:99" ht="15.75">
      <c r="BW1809" s="276"/>
      <c r="BY1809" s="276"/>
      <c r="BZ1809" s="276"/>
      <c r="CA1809" s="276"/>
      <c r="CB1809" s="276"/>
      <c r="CC1809" s="276"/>
      <c r="CD1809" s="276"/>
      <c r="CH1809" s="276"/>
      <c r="CJ1809" s="276"/>
      <c r="CK1809" s="276"/>
      <c r="CL1809" s="276"/>
      <c r="CM1809" s="276"/>
      <c r="CN1809" s="276"/>
      <c r="CO1809" s="276"/>
      <c r="CP1809" s="276"/>
      <c r="CQ1809" s="276"/>
      <c r="CU1809" s="276"/>
    </row>
    <row r="1810" spans="75:99" ht="15.75">
      <c r="BW1810" s="276"/>
      <c r="BY1810" s="276"/>
      <c r="BZ1810" s="276"/>
      <c r="CA1810" s="276"/>
      <c r="CB1810" s="276"/>
      <c r="CC1810" s="276"/>
      <c r="CD1810" s="276"/>
      <c r="CH1810" s="276"/>
      <c r="CJ1810" s="276"/>
      <c r="CK1810" s="276"/>
      <c r="CL1810" s="276"/>
      <c r="CM1810" s="276"/>
      <c r="CN1810" s="276"/>
      <c r="CO1810" s="276"/>
      <c r="CP1810" s="276"/>
      <c r="CQ1810" s="276"/>
      <c r="CU1810" s="276"/>
    </row>
    <row r="1811" spans="75:99" ht="15.75">
      <c r="BW1811" s="276"/>
      <c r="BY1811" s="276"/>
      <c r="BZ1811" s="276"/>
      <c r="CA1811" s="276"/>
      <c r="CB1811" s="276"/>
      <c r="CC1811" s="276"/>
      <c r="CD1811" s="276"/>
      <c r="CH1811" s="276"/>
      <c r="CJ1811" s="276"/>
      <c r="CK1811" s="276"/>
      <c r="CL1811" s="276"/>
      <c r="CM1811" s="276"/>
      <c r="CN1811" s="276"/>
      <c r="CO1811" s="276"/>
      <c r="CP1811" s="276"/>
      <c r="CQ1811" s="276"/>
      <c r="CU1811" s="276"/>
    </row>
    <row r="1812" spans="75:99" ht="15.75">
      <c r="BW1812" s="276"/>
      <c r="BY1812" s="276"/>
      <c r="BZ1812" s="276"/>
      <c r="CA1812" s="276"/>
      <c r="CB1812" s="276"/>
      <c r="CC1812" s="276"/>
      <c r="CD1812" s="276"/>
      <c r="CH1812" s="276"/>
      <c r="CJ1812" s="276"/>
      <c r="CK1812" s="276"/>
      <c r="CL1812" s="276"/>
      <c r="CM1812" s="276"/>
      <c r="CN1812" s="276"/>
      <c r="CO1812" s="276"/>
      <c r="CP1812" s="276"/>
      <c r="CQ1812" s="276"/>
      <c r="CU1812" s="276"/>
    </row>
    <row r="1813" spans="75:99" ht="15.75">
      <c r="BW1813" s="276"/>
      <c r="BY1813" s="276"/>
      <c r="BZ1813" s="276"/>
      <c r="CA1813" s="276"/>
      <c r="CB1813" s="276"/>
      <c r="CC1813" s="276"/>
      <c r="CD1813" s="276"/>
      <c r="CH1813" s="276"/>
      <c r="CJ1813" s="276"/>
      <c r="CK1813" s="276"/>
      <c r="CL1813" s="276"/>
      <c r="CM1813" s="276"/>
      <c r="CN1813" s="276"/>
      <c r="CO1813" s="276"/>
      <c r="CP1813" s="276"/>
      <c r="CQ1813" s="276"/>
      <c r="CU1813" s="276"/>
    </row>
    <row r="1814" spans="75:99" ht="15.75">
      <c r="BW1814" s="276"/>
      <c r="BY1814" s="276"/>
      <c r="BZ1814" s="276"/>
      <c r="CA1814" s="276"/>
      <c r="CB1814" s="276"/>
      <c r="CC1814" s="276"/>
      <c r="CD1814" s="276"/>
      <c r="CH1814" s="276"/>
      <c r="CJ1814" s="276"/>
      <c r="CK1814" s="276"/>
      <c r="CL1814" s="276"/>
      <c r="CM1814" s="276"/>
      <c r="CN1814" s="276"/>
      <c r="CO1814" s="276"/>
      <c r="CP1814" s="276"/>
      <c r="CQ1814" s="276"/>
      <c r="CU1814" s="276"/>
    </row>
    <row r="1815" spans="75:99" ht="15.75">
      <c r="BW1815" s="276"/>
      <c r="BY1815" s="276"/>
      <c r="BZ1815" s="276"/>
      <c r="CA1815" s="276"/>
      <c r="CB1815" s="276"/>
      <c r="CC1815" s="276"/>
      <c r="CD1815" s="276"/>
      <c r="CH1815" s="276"/>
      <c r="CJ1815" s="276"/>
      <c r="CK1815" s="276"/>
      <c r="CL1815" s="276"/>
      <c r="CM1815" s="276"/>
      <c r="CN1815" s="276"/>
      <c r="CO1815" s="276"/>
      <c r="CP1815" s="276"/>
      <c r="CQ1815" s="276"/>
      <c r="CU1815" s="276"/>
    </row>
    <row r="1816" spans="75:99" ht="15.75">
      <c r="BW1816" s="276"/>
      <c r="BY1816" s="276"/>
      <c r="BZ1816" s="276"/>
      <c r="CA1816" s="276"/>
      <c r="CB1816" s="276"/>
      <c r="CC1816" s="276"/>
      <c r="CD1816" s="276"/>
      <c r="CH1816" s="276"/>
      <c r="CJ1816" s="276"/>
      <c r="CK1816" s="276"/>
      <c r="CL1816" s="276"/>
      <c r="CM1816" s="276"/>
      <c r="CN1816" s="276"/>
      <c r="CO1816" s="276"/>
      <c r="CP1816" s="276"/>
      <c r="CQ1816" s="276"/>
      <c r="CU1816" s="276"/>
    </row>
    <row r="1817" spans="75:99" ht="15.75">
      <c r="BW1817" s="276"/>
      <c r="BY1817" s="276"/>
      <c r="BZ1817" s="276"/>
      <c r="CA1817" s="276"/>
      <c r="CB1817" s="276"/>
      <c r="CC1817" s="276"/>
      <c r="CD1817" s="276"/>
      <c r="CH1817" s="276"/>
      <c r="CJ1817" s="276"/>
      <c r="CK1817" s="276"/>
      <c r="CL1817" s="276"/>
      <c r="CM1817" s="276"/>
      <c r="CN1817" s="276"/>
      <c r="CO1817" s="276"/>
      <c r="CP1817" s="276"/>
      <c r="CQ1817" s="276"/>
      <c r="CU1817" s="276"/>
    </row>
    <row r="1818" spans="75:99" ht="15.75">
      <c r="BW1818" s="276"/>
      <c r="BY1818" s="276"/>
      <c r="BZ1818" s="276"/>
      <c r="CA1818" s="276"/>
      <c r="CB1818" s="276"/>
      <c r="CC1818" s="276"/>
      <c r="CD1818" s="276"/>
      <c r="CH1818" s="276"/>
      <c r="CJ1818" s="276"/>
      <c r="CK1818" s="276"/>
      <c r="CL1818" s="276"/>
      <c r="CM1818" s="276"/>
      <c r="CN1818" s="276"/>
      <c r="CO1818" s="276"/>
      <c r="CP1818" s="276"/>
      <c r="CQ1818" s="276"/>
      <c r="CU1818" s="276"/>
    </row>
    <row r="1819" spans="75:99" ht="15.75">
      <c r="BW1819" s="276"/>
      <c r="BY1819" s="276"/>
      <c r="BZ1819" s="276"/>
      <c r="CA1819" s="276"/>
      <c r="CB1819" s="276"/>
      <c r="CC1819" s="276"/>
      <c r="CD1819" s="276"/>
      <c r="CH1819" s="276"/>
      <c r="CJ1819" s="276"/>
      <c r="CK1819" s="276"/>
      <c r="CL1819" s="276"/>
      <c r="CM1819" s="276"/>
      <c r="CN1819" s="276"/>
      <c r="CO1819" s="276"/>
      <c r="CP1819" s="276"/>
      <c r="CQ1819" s="276"/>
      <c r="CU1819" s="276"/>
    </row>
    <row r="1820" spans="75:99" ht="15.75">
      <c r="BW1820" s="276"/>
      <c r="BY1820" s="276"/>
      <c r="BZ1820" s="276"/>
      <c r="CA1820" s="276"/>
      <c r="CB1820" s="276"/>
      <c r="CC1820" s="276"/>
      <c r="CD1820" s="276"/>
      <c r="CH1820" s="276"/>
      <c r="CJ1820" s="276"/>
      <c r="CK1820" s="276"/>
      <c r="CL1820" s="276"/>
      <c r="CM1820" s="276"/>
      <c r="CN1820" s="276"/>
      <c r="CO1820" s="276"/>
      <c r="CP1820" s="276"/>
      <c r="CQ1820" s="276"/>
      <c r="CU1820" s="276"/>
    </row>
    <row r="1821" spans="75:99" ht="15.75">
      <c r="BW1821" s="276"/>
      <c r="BY1821" s="276"/>
      <c r="BZ1821" s="276"/>
      <c r="CA1821" s="276"/>
      <c r="CB1821" s="276"/>
      <c r="CC1821" s="276"/>
      <c r="CD1821" s="276"/>
      <c r="CH1821" s="276"/>
      <c r="CJ1821" s="276"/>
      <c r="CK1821" s="276"/>
      <c r="CL1821" s="276"/>
      <c r="CM1821" s="276"/>
      <c r="CN1821" s="276"/>
      <c r="CO1821" s="276"/>
      <c r="CP1821" s="276"/>
      <c r="CQ1821" s="276"/>
      <c r="CU1821" s="276"/>
    </row>
    <row r="1822" spans="75:99" ht="15.75">
      <c r="BW1822" s="276"/>
      <c r="BY1822" s="276"/>
      <c r="BZ1822" s="276"/>
      <c r="CA1822" s="276"/>
      <c r="CB1822" s="276"/>
      <c r="CC1822" s="276"/>
      <c r="CD1822" s="276"/>
      <c r="CH1822" s="276"/>
      <c r="CJ1822" s="276"/>
      <c r="CK1822" s="276"/>
      <c r="CL1822" s="276"/>
      <c r="CM1822" s="276"/>
      <c r="CN1822" s="276"/>
      <c r="CO1822" s="276"/>
      <c r="CP1822" s="276"/>
      <c r="CQ1822" s="276"/>
      <c r="CU1822" s="276"/>
    </row>
    <row r="1823" spans="75:99" ht="15.75">
      <c r="BW1823" s="276"/>
      <c r="BY1823" s="276"/>
      <c r="BZ1823" s="276"/>
      <c r="CA1823" s="276"/>
      <c r="CB1823" s="276"/>
      <c r="CC1823" s="276"/>
      <c r="CD1823" s="276"/>
      <c r="CH1823" s="276"/>
      <c r="CJ1823" s="276"/>
      <c r="CK1823" s="276"/>
      <c r="CL1823" s="276"/>
      <c r="CM1823" s="276"/>
      <c r="CN1823" s="276"/>
      <c r="CO1823" s="276"/>
      <c r="CP1823" s="276"/>
      <c r="CQ1823" s="276"/>
      <c r="CU1823" s="276"/>
    </row>
    <row r="1824" spans="75:99" ht="15.75">
      <c r="BW1824" s="276"/>
      <c r="BY1824" s="276"/>
      <c r="BZ1824" s="276"/>
      <c r="CA1824" s="276"/>
      <c r="CB1824" s="276"/>
      <c r="CC1824" s="276"/>
      <c r="CD1824" s="276"/>
      <c r="CH1824" s="276"/>
      <c r="CJ1824" s="276"/>
      <c r="CK1824" s="276"/>
      <c r="CL1824" s="276"/>
      <c r="CM1824" s="276"/>
      <c r="CN1824" s="276"/>
      <c r="CO1824" s="276"/>
      <c r="CP1824" s="276"/>
      <c r="CQ1824" s="276"/>
      <c r="CU1824" s="276"/>
    </row>
    <row r="1825" spans="75:99" ht="15.75">
      <c r="BW1825" s="276"/>
      <c r="BY1825" s="276"/>
      <c r="BZ1825" s="276"/>
      <c r="CA1825" s="276"/>
      <c r="CB1825" s="276"/>
      <c r="CC1825" s="276"/>
      <c r="CD1825" s="276"/>
      <c r="CH1825" s="276"/>
      <c r="CJ1825" s="276"/>
      <c r="CK1825" s="276"/>
      <c r="CL1825" s="276"/>
      <c r="CM1825" s="276"/>
      <c r="CN1825" s="276"/>
      <c r="CO1825" s="276"/>
      <c r="CP1825" s="276"/>
      <c r="CQ1825" s="276"/>
      <c r="CU1825" s="276"/>
    </row>
    <row r="1826" spans="75:99" ht="15.75">
      <c r="BW1826" s="276"/>
      <c r="BY1826" s="276"/>
      <c r="BZ1826" s="276"/>
      <c r="CA1826" s="276"/>
      <c r="CB1826" s="276"/>
      <c r="CC1826" s="276"/>
      <c r="CD1826" s="276"/>
      <c r="CH1826" s="276"/>
      <c r="CJ1826" s="276"/>
      <c r="CK1826" s="276"/>
      <c r="CL1826" s="276"/>
      <c r="CM1826" s="276"/>
      <c r="CN1826" s="276"/>
      <c r="CO1826" s="276"/>
      <c r="CP1826" s="276"/>
      <c r="CQ1826" s="276"/>
      <c r="CU1826" s="276"/>
    </row>
    <row r="1827" spans="75:99" ht="15.75">
      <c r="BW1827" s="276"/>
      <c r="BY1827" s="276"/>
      <c r="BZ1827" s="276"/>
      <c r="CA1827" s="276"/>
      <c r="CB1827" s="276"/>
      <c r="CC1827" s="276"/>
      <c r="CD1827" s="276"/>
      <c r="CH1827" s="276"/>
      <c r="CJ1827" s="276"/>
      <c r="CK1827" s="276"/>
      <c r="CL1827" s="276"/>
      <c r="CM1827" s="276"/>
      <c r="CN1827" s="276"/>
      <c r="CO1827" s="276"/>
      <c r="CP1827" s="276"/>
      <c r="CQ1827" s="276"/>
      <c r="CU1827" s="276"/>
    </row>
    <row r="1828" spans="75:99" ht="15.75">
      <c r="BW1828" s="276"/>
      <c r="BY1828" s="276"/>
      <c r="BZ1828" s="276"/>
      <c r="CA1828" s="276"/>
      <c r="CB1828" s="276"/>
      <c r="CC1828" s="276"/>
      <c r="CD1828" s="276"/>
      <c r="CH1828" s="276"/>
      <c r="CJ1828" s="276"/>
      <c r="CK1828" s="276"/>
      <c r="CL1828" s="276"/>
      <c r="CM1828" s="276"/>
      <c r="CN1828" s="276"/>
      <c r="CO1828" s="276"/>
      <c r="CP1828" s="276"/>
      <c r="CQ1828" s="276"/>
      <c r="CU1828" s="276"/>
    </row>
    <row r="1829" spans="75:99" ht="15.75">
      <c r="BW1829" s="276"/>
      <c r="BY1829" s="276"/>
      <c r="BZ1829" s="276"/>
      <c r="CA1829" s="276"/>
      <c r="CB1829" s="276"/>
      <c r="CC1829" s="276"/>
      <c r="CD1829" s="276"/>
      <c r="CH1829" s="276"/>
      <c r="CJ1829" s="276"/>
      <c r="CK1829" s="276"/>
      <c r="CL1829" s="276"/>
      <c r="CM1829" s="276"/>
      <c r="CN1829" s="276"/>
      <c r="CO1829" s="276"/>
      <c r="CP1829" s="276"/>
      <c r="CQ1829" s="276"/>
      <c r="CU1829" s="276"/>
    </row>
    <row r="1830" spans="75:99" ht="15.75">
      <c r="BW1830" s="276"/>
      <c r="BY1830" s="276"/>
      <c r="BZ1830" s="276"/>
      <c r="CA1830" s="276"/>
      <c r="CB1830" s="276"/>
      <c r="CC1830" s="276"/>
      <c r="CD1830" s="276"/>
      <c r="CH1830" s="276"/>
      <c r="CJ1830" s="276"/>
      <c r="CK1830" s="276"/>
      <c r="CL1830" s="276"/>
      <c r="CM1830" s="276"/>
      <c r="CN1830" s="276"/>
      <c r="CO1830" s="276"/>
      <c r="CP1830" s="276"/>
      <c r="CQ1830" s="276"/>
      <c r="CU1830" s="276"/>
    </row>
    <row r="1831" spans="75:99" ht="15.75">
      <c r="BW1831" s="276"/>
      <c r="BY1831" s="276"/>
      <c r="BZ1831" s="276"/>
      <c r="CA1831" s="276"/>
      <c r="CB1831" s="276"/>
      <c r="CC1831" s="276"/>
      <c r="CD1831" s="276"/>
      <c r="CH1831" s="276"/>
      <c r="CJ1831" s="276"/>
      <c r="CK1831" s="276"/>
      <c r="CL1831" s="276"/>
      <c r="CM1831" s="276"/>
      <c r="CN1831" s="276"/>
      <c r="CO1831" s="276"/>
      <c r="CP1831" s="276"/>
      <c r="CQ1831" s="276"/>
      <c r="CU1831" s="276"/>
    </row>
    <row r="1832" spans="75:99" ht="15.75">
      <c r="BW1832" s="276"/>
      <c r="BY1832" s="276"/>
      <c r="BZ1832" s="276"/>
      <c r="CA1832" s="276"/>
      <c r="CB1832" s="276"/>
      <c r="CC1832" s="276"/>
      <c r="CD1832" s="276"/>
      <c r="CH1832" s="276"/>
      <c r="CJ1832" s="276"/>
      <c r="CK1832" s="276"/>
      <c r="CL1832" s="276"/>
      <c r="CM1832" s="276"/>
      <c r="CN1832" s="276"/>
      <c r="CO1832" s="276"/>
      <c r="CP1832" s="276"/>
      <c r="CQ1832" s="276"/>
      <c r="CU1832" s="276"/>
    </row>
    <row r="1833" spans="75:99" ht="15.75">
      <c r="BW1833" s="276"/>
      <c r="BY1833" s="276"/>
      <c r="BZ1833" s="276"/>
      <c r="CA1833" s="276"/>
      <c r="CB1833" s="276"/>
      <c r="CC1833" s="276"/>
      <c r="CD1833" s="276"/>
      <c r="CH1833" s="276"/>
      <c r="CJ1833" s="276"/>
      <c r="CK1833" s="276"/>
      <c r="CL1833" s="276"/>
      <c r="CM1833" s="276"/>
      <c r="CN1833" s="276"/>
      <c r="CO1833" s="276"/>
      <c r="CP1833" s="276"/>
      <c r="CQ1833" s="276"/>
      <c r="CU1833" s="276"/>
    </row>
    <row r="1834" spans="75:99" ht="15.75">
      <c r="BW1834" s="276"/>
      <c r="BY1834" s="276"/>
      <c r="BZ1834" s="276"/>
      <c r="CA1834" s="276"/>
      <c r="CB1834" s="276"/>
      <c r="CC1834" s="276"/>
      <c r="CD1834" s="276"/>
      <c r="CH1834" s="276"/>
      <c r="CJ1834" s="276"/>
      <c r="CK1834" s="276"/>
      <c r="CL1834" s="276"/>
      <c r="CM1834" s="276"/>
      <c r="CN1834" s="276"/>
      <c r="CO1834" s="276"/>
      <c r="CP1834" s="276"/>
      <c r="CQ1834" s="276"/>
      <c r="CU1834" s="276"/>
    </row>
    <row r="1835" spans="75:99" ht="15.75">
      <c r="BW1835" s="276"/>
      <c r="BY1835" s="276"/>
      <c r="BZ1835" s="276"/>
      <c r="CA1835" s="276"/>
      <c r="CB1835" s="276"/>
      <c r="CC1835" s="276"/>
      <c r="CD1835" s="276"/>
      <c r="CH1835" s="276"/>
      <c r="CJ1835" s="276"/>
      <c r="CK1835" s="276"/>
      <c r="CL1835" s="276"/>
      <c r="CM1835" s="276"/>
      <c r="CN1835" s="276"/>
      <c r="CO1835" s="276"/>
      <c r="CP1835" s="276"/>
      <c r="CQ1835" s="276"/>
      <c r="CU1835" s="276"/>
    </row>
    <row r="1836" spans="75:99" ht="15.75">
      <c r="BW1836" s="276"/>
      <c r="BY1836" s="276"/>
      <c r="BZ1836" s="276"/>
      <c r="CA1836" s="276"/>
      <c r="CB1836" s="276"/>
      <c r="CC1836" s="276"/>
      <c r="CD1836" s="276"/>
      <c r="CH1836" s="276"/>
      <c r="CJ1836" s="276"/>
      <c r="CK1836" s="276"/>
      <c r="CL1836" s="276"/>
      <c r="CM1836" s="276"/>
      <c r="CN1836" s="276"/>
      <c r="CO1836" s="276"/>
      <c r="CP1836" s="276"/>
      <c r="CQ1836" s="276"/>
      <c r="CU1836" s="276"/>
    </row>
    <row r="1837" spans="75:99" ht="15.75">
      <c r="BW1837" s="276"/>
      <c r="BY1837" s="276"/>
      <c r="BZ1837" s="276"/>
      <c r="CA1837" s="276"/>
      <c r="CB1837" s="276"/>
      <c r="CC1837" s="276"/>
      <c r="CD1837" s="276"/>
      <c r="CH1837" s="276"/>
      <c r="CJ1837" s="276"/>
      <c r="CK1837" s="276"/>
      <c r="CL1837" s="276"/>
      <c r="CM1837" s="276"/>
      <c r="CN1837" s="276"/>
      <c r="CO1837" s="276"/>
      <c r="CP1837" s="276"/>
      <c r="CQ1837" s="276"/>
      <c r="CU1837" s="276"/>
    </row>
    <row r="1838" spans="75:99" ht="15.75">
      <c r="BW1838" s="276"/>
      <c r="BY1838" s="276"/>
      <c r="BZ1838" s="276"/>
      <c r="CA1838" s="276"/>
      <c r="CB1838" s="276"/>
      <c r="CC1838" s="276"/>
      <c r="CD1838" s="276"/>
      <c r="CH1838" s="276"/>
      <c r="CJ1838" s="276"/>
      <c r="CK1838" s="276"/>
      <c r="CL1838" s="276"/>
      <c r="CM1838" s="276"/>
      <c r="CN1838" s="276"/>
      <c r="CO1838" s="276"/>
      <c r="CP1838" s="276"/>
      <c r="CQ1838" s="276"/>
      <c r="CU1838" s="276"/>
    </row>
    <row r="1839" spans="75:99" ht="15.75">
      <c r="BW1839" s="276"/>
      <c r="BY1839" s="276"/>
      <c r="BZ1839" s="276"/>
      <c r="CA1839" s="276"/>
      <c r="CB1839" s="276"/>
      <c r="CC1839" s="276"/>
      <c r="CD1839" s="276"/>
      <c r="CH1839" s="276"/>
      <c r="CJ1839" s="276"/>
      <c r="CK1839" s="276"/>
      <c r="CL1839" s="276"/>
      <c r="CM1839" s="276"/>
      <c r="CN1839" s="276"/>
      <c r="CO1839" s="276"/>
      <c r="CP1839" s="276"/>
      <c r="CQ1839" s="276"/>
      <c r="CU1839" s="276"/>
    </row>
    <row r="1840" spans="75:99" ht="15.75">
      <c r="BW1840" s="276"/>
      <c r="BY1840" s="276"/>
      <c r="BZ1840" s="276"/>
      <c r="CA1840" s="276"/>
      <c r="CB1840" s="276"/>
      <c r="CC1840" s="276"/>
      <c r="CD1840" s="276"/>
      <c r="CH1840" s="276"/>
      <c r="CJ1840" s="276"/>
      <c r="CK1840" s="276"/>
      <c r="CL1840" s="276"/>
      <c r="CM1840" s="276"/>
      <c r="CN1840" s="276"/>
      <c r="CO1840" s="276"/>
      <c r="CP1840" s="276"/>
      <c r="CQ1840" s="276"/>
      <c r="CU1840" s="276"/>
    </row>
    <row r="1841" spans="75:99" ht="15.75">
      <c r="BW1841" s="276"/>
      <c r="BY1841" s="276"/>
      <c r="BZ1841" s="276"/>
      <c r="CA1841" s="276"/>
      <c r="CB1841" s="276"/>
      <c r="CC1841" s="276"/>
      <c r="CD1841" s="276"/>
      <c r="CH1841" s="276"/>
      <c r="CJ1841" s="276"/>
      <c r="CK1841" s="276"/>
      <c r="CL1841" s="276"/>
      <c r="CM1841" s="276"/>
      <c r="CN1841" s="276"/>
      <c r="CO1841" s="276"/>
      <c r="CP1841" s="276"/>
      <c r="CQ1841" s="276"/>
      <c r="CU1841" s="276"/>
    </row>
    <row r="1842" spans="75:99" ht="15.75">
      <c r="BW1842" s="276"/>
      <c r="BY1842" s="276"/>
      <c r="BZ1842" s="276"/>
      <c r="CA1842" s="276"/>
      <c r="CB1842" s="276"/>
      <c r="CC1842" s="276"/>
      <c r="CD1842" s="276"/>
      <c r="CH1842" s="276"/>
      <c r="CJ1842" s="276"/>
      <c r="CK1842" s="276"/>
      <c r="CL1842" s="276"/>
      <c r="CM1842" s="276"/>
      <c r="CN1842" s="276"/>
      <c r="CO1842" s="276"/>
      <c r="CP1842" s="276"/>
      <c r="CQ1842" s="276"/>
      <c r="CU1842" s="276"/>
    </row>
    <row r="1843" spans="75:99" ht="15.75">
      <c r="BW1843" s="276"/>
      <c r="BY1843" s="276"/>
      <c r="BZ1843" s="276"/>
      <c r="CA1843" s="276"/>
      <c r="CB1843" s="276"/>
      <c r="CC1843" s="276"/>
      <c r="CD1843" s="276"/>
      <c r="CH1843" s="276"/>
      <c r="CJ1843" s="276"/>
      <c r="CK1843" s="276"/>
      <c r="CL1843" s="276"/>
      <c r="CM1843" s="276"/>
      <c r="CN1843" s="276"/>
      <c r="CO1843" s="276"/>
      <c r="CP1843" s="276"/>
      <c r="CQ1843" s="276"/>
      <c r="CU1843" s="276"/>
    </row>
    <row r="1844" spans="75:99" ht="15.75">
      <c r="BW1844" s="276"/>
      <c r="BY1844" s="276"/>
      <c r="BZ1844" s="276"/>
      <c r="CA1844" s="276"/>
      <c r="CB1844" s="276"/>
      <c r="CC1844" s="276"/>
      <c r="CD1844" s="276"/>
      <c r="CH1844" s="276"/>
      <c r="CJ1844" s="276"/>
      <c r="CK1844" s="276"/>
      <c r="CL1844" s="276"/>
      <c r="CM1844" s="276"/>
      <c r="CN1844" s="276"/>
      <c r="CO1844" s="276"/>
      <c r="CP1844" s="276"/>
      <c r="CQ1844" s="276"/>
      <c r="CU1844" s="276"/>
    </row>
    <row r="1845" spans="75:99" ht="15.75">
      <c r="BW1845" s="276"/>
      <c r="BY1845" s="276"/>
      <c r="BZ1845" s="276"/>
      <c r="CA1845" s="276"/>
      <c r="CB1845" s="276"/>
      <c r="CC1845" s="276"/>
      <c r="CD1845" s="276"/>
      <c r="CH1845" s="276"/>
      <c r="CJ1845" s="276"/>
      <c r="CK1845" s="276"/>
      <c r="CL1845" s="276"/>
      <c r="CM1845" s="276"/>
      <c r="CN1845" s="276"/>
      <c r="CO1845" s="276"/>
      <c r="CP1845" s="276"/>
      <c r="CQ1845" s="276"/>
      <c r="CU1845" s="276"/>
    </row>
    <row r="1846" spans="75:99" ht="15.75">
      <c r="BW1846" s="276"/>
      <c r="BY1846" s="276"/>
      <c r="BZ1846" s="276"/>
      <c r="CA1846" s="276"/>
      <c r="CB1846" s="276"/>
      <c r="CC1846" s="276"/>
      <c r="CD1846" s="276"/>
      <c r="CH1846" s="276"/>
      <c r="CJ1846" s="276"/>
      <c r="CK1846" s="276"/>
      <c r="CL1846" s="276"/>
      <c r="CM1846" s="276"/>
      <c r="CN1846" s="276"/>
      <c r="CO1846" s="276"/>
      <c r="CP1846" s="276"/>
      <c r="CQ1846" s="276"/>
      <c r="CU1846" s="276"/>
    </row>
    <row r="1847" spans="75:99" ht="15.75">
      <c r="BW1847" s="276"/>
      <c r="BY1847" s="276"/>
      <c r="BZ1847" s="276"/>
      <c r="CA1847" s="276"/>
      <c r="CB1847" s="276"/>
      <c r="CC1847" s="276"/>
      <c r="CD1847" s="276"/>
      <c r="CH1847" s="276"/>
      <c r="CJ1847" s="276"/>
      <c r="CK1847" s="276"/>
      <c r="CL1847" s="276"/>
      <c r="CM1847" s="276"/>
      <c r="CN1847" s="276"/>
      <c r="CO1847" s="276"/>
      <c r="CP1847" s="276"/>
      <c r="CQ1847" s="276"/>
      <c r="CU1847" s="276"/>
    </row>
    <row r="1848" spans="75:99" ht="15.75">
      <c r="BW1848" s="276"/>
      <c r="BY1848" s="276"/>
      <c r="BZ1848" s="276"/>
      <c r="CA1848" s="276"/>
      <c r="CB1848" s="276"/>
      <c r="CC1848" s="276"/>
      <c r="CD1848" s="276"/>
      <c r="CH1848" s="276"/>
      <c r="CJ1848" s="276"/>
      <c r="CK1848" s="276"/>
      <c r="CL1848" s="276"/>
      <c r="CM1848" s="276"/>
      <c r="CN1848" s="276"/>
      <c r="CO1848" s="276"/>
      <c r="CP1848" s="276"/>
      <c r="CQ1848" s="276"/>
      <c r="CU1848" s="276"/>
    </row>
    <row r="1849" spans="75:99" ht="15.75">
      <c r="BW1849" s="276"/>
      <c r="BY1849" s="276"/>
      <c r="BZ1849" s="276"/>
      <c r="CA1849" s="276"/>
      <c r="CB1849" s="276"/>
      <c r="CC1849" s="276"/>
      <c r="CD1849" s="276"/>
      <c r="CH1849" s="276"/>
      <c r="CJ1849" s="276"/>
      <c r="CK1849" s="276"/>
      <c r="CL1849" s="276"/>
      <c r="CM1849" s="276"/>
      <c r="CN1849" s="276"/>
      <c r="CO1849" s="276"/>
      <c r="CP1849" s="276"/>
      <c r="CQ1849" s="276"/>
      <c r="CU1849" s="276"/>
    </row>
    <row r="1850" spans="75:99" ht="15.75">
      <c r="BW1850" s="276"/>
      <c r="BY1850" s="276"/>
      <c r="BZ1850" s="276"/>
      <c r="CA1850" s="276"/>
      <c r="CB1850" s="276"/>
      <c r="CC1850" s="276"/>
      <c r="CD1850" s="276"/>
      <c r="CH1850" s="276"/>
      <c r="CJ1850" s="276"/>
      <c r="CK1850" s="276"/>
      <c r="CL1850" s="276"/>
      <c r="CM1850" s="276"/>
      <c r="CN1850" s="276"/>
      <c r="CO1850" s="276"/>
      <c r="CP1850" s="276"/>
      <c r="CQ1850" s="276"/>
      <c r="CU1850" s="276"/>
    </row>
    <row r="1851" spans="75:99" ht="15.75">
      <c r="BW1851" s="276"/>
      <c r="BY1851" s="276"/>
      <c r="BZ1851" s="276"/>
      <c r="CA1851" s="276"/>
      <c r="CB1851" s="276"/>
      <c r="CC1851" s="276"/>
      <c r="CD1851" s="276"/>
      <c r="CH1851" s="276"/>
      <c r="CJ1851" s="276"/>
      <c r="CK1851" s="276"/>
      <c r="CL1851" s="276"/>
      <c r="CM1851" s="276"/>
      <c r="CN1851" s="276"/>
      <c r="CO1851" s="276"/>
      <c r="CP1851" s="276"/>
      <c r="CQ1851" s="276"/>
      <c r="CU1851" s="276"/>
    </row>
    <row r="1852" spans="75:99" ht="15.75">
      <c r="BW1852" s="276"/>
      <c r="BY1852" s="276"/>
      <c r="BZ1852" s="276"/>
      <c r="CA1852" s="276"/>
      <c r="CB1852" s="276"/>
      <c r="CC1852" s="276"/>
      <c r="CD1852" s="276"/>
      <c r="CH1852" s="276"/>
      <c r="CJ1852" s="276"/>
      <c r="CK1852" s="276"/>
      <c r="CL1852" s="276"/>
      <c r="CM1852" s="276"/>
      <c r="CN1852" s="276"/>
      <c r="CO1852" s="276"/>
      <c r="CP1852" s="276"/>
      <c r="CQ1852" s="276"/>
      <c r="CU1852" s="276"/>
    </row>
    <row r="1853" spans="75:99" ht="15.75">
      <c r="BW1853" s="276"/>
      <c r="BY1853" s="276"/>
      <c r="BZ1853" s="276"/>
      <c r="CA1853" s="276"/>
      <c r="CB1853" s="276"/>
      <c r="CC1853" s="276"/>
      <c r="CD1853" s="276"/>
      <c r="CH1853" s="276"/>
      <c r="CJ1853" s="276"/>
      <c r="CK1853" s="276"/>
      <c r="CL1853" s="276"/>
      <c r="CM1853" s="276"/>
      <c r="CN1853" s="276"/>
      <c r="CO1853" s="276"/>
      <c r="CP1853" s="276"/>
      <c r="CQ1853" s="276"/>
      <c r="CU1853" s="276"/>
    </row>
    <row r="1854" spans="75:99" ht="15.75">
      <c r="BW1854" s="276"/>
      <c r="BY1854" s="276"/>
      <c r="BZ1854" s="276"/>
      <c r="CA1854" s="276"/>
      <c r="CB1854" s="276"/>
      <c r="CC1854" s="276"/>
      <c r="CD1854" s="276"/>
      <c r="CH1854" s="276"/>
      <c r="CJ1854" s="276"/>
      <c r="CK1854" s="276"/>
      <c r="CL1854" s="276"/>
      <c r="CM1854" s="276"/>
      <c r="CN1854" s="276"/>
      <c r="CO1854" s="276"/>
      <c r="CP1854" s="276"/>
      <c r="CQ1854" s="276"/>
      <c r="CU1854" s="276"/>
    </row>
    <row r="1855" spans="75:99" ht="15.75">
      <c r="BW1855" s="276"/>
      <c r="BY1855" s="276"/>
      <c r="BZ1855" s="276"/>
      <c r="CA1855" s="276"/>
      <c r="CB1855" s="276"/>
      <c r="CC1855" s="276"/>
      <c r="CD1855" s="276"/>
      <c r="CH1855" s="276"/>
      <c r="CJ1855" s="276"/>
      <c r="CK1855" s="276"/>
      <c r="CL1855" s="276"/>
      <c r="CM1855" s="276"/>
      <c r="CN1855" s="276"/>
      <c r="CO1855" s="276"/>
      <c r="CP1855" s="276"/>
      <c r="CQ1855" s="276"/>
      <c r="CU1855" s="276"/>
    </row>
    <row r="1856" spans="75:99" ht="15.75">
      <c r="BW1856" s="276"/>
      <c r="BY1856" s="276"/>
      <c r="BZ1856" s="276"/>
      <c r="CA1856" s="276"/>
      <c r="CB1856" s="276"/>
      <c r="CC1856" s="276"/>
      <c r="CD1856" s="276"/>
      <c r="CH1856" s="276"/>
      <c r="CJ1856" s="276"/>
      <c r="CK1856" s="276"/>
      <c r="CL1856" s="276"/>
      <c r="CM1856" s="276"/>
      <c r="CN1856" s="276"/>
      <c r="CO1856" s="276"/>
      <c r="CP1856" s="276"/>
      <c r="CQ1856" s="276"/>
      <c r="CU1856" s="276"/>
    </row>
    <row r="1857" spans="75:99" ht="15.75">
      <c r="BW1857" s="276"/>
      <c r="BY1857" s="276"/>
      <c r="BZ1857" s="276"/>
      <c r="CA1857" s="276"/>
      <c r="CB1857" s="276"/>
      <c r="CC1857" s="276"/>
      <c r="CD1857" s="276"/>
      <c r="CH1857" s="276"/>
      <c r="CJ1857" s="276"/>
      <c r="CK1857" s="276"/>
      <c r="CL1857" s="276"/>
      <c r="CM1857" s="276"/>
      <c r="CN1857" s="276"/>
      <c r="CO1857" s="276"/>
      <c r="CP1857" s="276"/>
      <c r="CQ1857" s="276"/>
      <c r="CU1857" s="276"/>
    </row>
    <row r="1858" spans="75:99" ht="15.75">
      <c r="BW1858" s="276"/>
      <c r="BY1858" s="276"/>
      <c r="BZ1858" s="276"/>
      <c r="CA1858" s="276"/>
      <c r="CB1858" s="276"/>
      <c r="CC1858" s="276"/>
      <c r="CD1858" s="276"/>
      <c r="CH1858" s="276"/>
      <c r="CJ1858" s="276"/>
      <c r="CK1858" s="276"/>
      <c r="CL1858" s="276"/>
      <c r="CM1858" s="276"/>
      <c r="CN1858" s="276"/>
      <c r="CO1858" s="276"/>
      <c r="CP1858" s="276"/>
      <c r="CQ1858" s="276"/>
      <c r="CU1858" s="276"/>
    </row>
    <row r="1859" spans="75:99" ht="15.75">
      <c r="BW1859" s="276"/>
      <c r="BY1859" s="276"/>
      <c r="BZ1859" s="276"/>
      <c r="CA1859" s="276"/>
      <c r="CB1859" s="276"/>
      <c r="CC1859" s="276"/>
      <c r="CD1859" s="276"/>
      <c r="CH1859" s="276"/>
      <c r="CJ1859" s="276"/>
      <c r="CK1859" s="276"/>
      <c r="CL1859" s="276"/>
      <c r="CM1859" s="276"/>
      <c r="CN1859" s="276"/>
      <c r="CO1859" s="276"/>
      <c r="CP1859" s="276"/>
      <c r="CQ1859" s="276"/>
      <c r="CU1859" s="276"/>
    </row>
    <row r="1860" spans="75:99" ht="15.75">
      <c r="BW1860" s="276"/>
      <c r="BY1860" s="276"/>
      <c r="BZ1860" s="276"/>
      <c r="CA1860" s="276"/>
      <c r="CB1860" s="276"/>
      <c r="CC1860" s="276"/>
      <c r="CD1860" s="276"/>
      <c r="CH1860" s="276"/>
      <c r="CJ1860" s="276"/>
      <c r="CK1860" s="276"/>
      <c r="CL1860" s="276"/>
      <c r="CM1860" s="276"/>
      <c r="CN1860" s="276"/>
      <c r="CO1860" s="276"/>
      <c r="CP1860" s="276"/>
      <c r="CQ1860" s="276"/>
      <c r="CU1860" s="276"/>
    </row>
    <row r="1861" spans="75:99" ht="15.75">
      <c r="BW1861" s="276"/>
      <c r="BY1861" s="276"/>
      <c r="BZ1861" s="276"/>
      <c r="CA1861" s="276"/>
      <c r="CB1861" s="276"/>
      <c r="CC1861" s="276"/>
      <c r="CD1861" s="276"/>
      <c r="CH1861" s="276"/>
      <c r="CJ1861" s="276"/>
      <c r="CK1861" s="276"/>
      <c r="CL1861" s="276"/>
      <c r="CM1861" s="276"/>
      <c r="CN1861" s="276"/>
      <c r="CO1861" s="276"/>
      <c r="CP1861" s="276"/>
      <c r="CQ1861" s="276"/>
      <c r="CU1861" s="276"/>
    </row>
    <row r="1862" spans="75:99" ht="15.75">
      <c r="BW1862" s="276"/>
      <c r="BY1862" s="276"/>
      <c r="BZ1862" s="276"/>
      <c r="CA1862" s="276"/>
      <c r="CB1862" s="276"/>
      <c r="CC1862" s="276"/>
      <c r="CD1862" s="276"/>
      <c r="CH1862" s="276"/>
      <c r="CJ1862" s="276"/>
      <c r="CK1862" s="276"/>
      <c r="CL1862" s="276"/>
      <c r="CM1862" s="276"/>
      <c r="CN1862" s="276"/>
      <c r="CO1862" s="276"/>
      <c r="CP1862" s="276"/>
      <c r="CQ1862" s="276"/>
      <c r="CU1862" s="276"/>
    </row>
    <row r="1863" spans="75:99" ht="15.75">
      <c r="BW1863" s="276"/>
      <c r="BY1863" s="276"/>
      <c r="BZ1863" s="276"/>
      <c r="CA1863" s="276"/>
      <c r="CB1863" s="276"/>
      <c r="CC1863" s="276"/>
      <c r="CD1863" s="276"/>
      <c r="CH1863" s="276"/>
      <c r="CJ1863" s="276"/>
      <c r="CK1863" s="276"/>
      <c r="CL1863" s="276"/>
      <c r="CM1863" s="276"/>
      <c r="CN1863" s="276"/>
      <c r="CO1863" s="276"/>
      <c r="CP1863" s="276"/>
      <c r="CQ1863" s="276"/>
      <c r="CU1863" s="276"/>
    </row>
    <row r="1864" spans="75:99" ht="15.75">
      <c r="BW1864" s="276"/>
      <c r="BY1864" s="276"/>
      <c r="BZ1864" s="276"/>
      <c r="CA1864" s="276"/>
      <c r="CB1864" s="276"/>
      <c r="CC1864" s="276"/>
      <c r="CD1864" s="276"/>
      <c r="CH1864" s="276"/>
      <c r="CJ1864" s="276"/>
      <c r="CK1864" s="276"/>
      <c r="CL1864" s="276"/>
      <c r="CM1864" s="276"/>
      <c r="CN1864" s="276"/>
      <c r="CO1864" s="276"/>
      <c r="CP1864" s="276"/>
      <c r="CQ1864" s="276"/>
      <c r="CU1864" s="276"/>
    </row>
    <row r="1865" spans="75:99" ht="15.75">
      <c r="BW1865" s="276"/>
      <c r="BY1865" s="276"/>
      <c r="BZ1865" s="276"/>
      <c r="CA1865" s="276"/>
      <c r="CB1865" s="276"/>
      <c r="CC1865" s="276"/>
      <c r="CD1865" s="276"/>
      <c r="CH1865" s="276"/>
      <c r="CJ1865" s="276"/>
      <c r="CK1865" s="276"/>
      <c r="CL1865" s="276"/>
      <c r="CM1865" s="276"/>
      <c r="CN1865" s="276"/>
      <c r="CO1865" s="276"/>
      <c r="CP1865" s="276"/>
      <c r="CQ1865" s="276"/>
      <c r="CU1865" s="276"/>
    </row>
    <row r="1866" spans="75:99" ht="15.75">
      <c r="BW1866" s="276"/>
      <c r="BY1866" s="276"/>
      <c r="BZ1866" s="276"/>
      <c r="CA1866" s="276"/>
      <c r="CB1866" s="276"/>
      <c r="CC1866" s="276"/>
      <c r="CD1866" s="276"/>
      <c r="CH1866" s="276"/>
      <c r="CJ1866" s="276"/>
      <c r="CK1866" s="276"/>
      <c r="CL1866" s="276"/>
      <c r="CM1866" s="276"/>
      <c r="CN1866" s="276"/>
      <c r="CO1866" s="276"/>
      <c r="CP1866" s="276"/>
      <c r="CQ1866" s="276"/>
      <c r="CU1866" s="276"/>
    </row>
    <row r="1867" spans="75:99" ht="15.75">
      <c r="BW1867" s="276"/>
      <c r="BY1867" s="276"/>
      <c r="BZ1867" s="276"/>
      <c r="CA1867" s="276"/>
      <c r="CB1867" s="276"/>
      <c r="CC1867" s="276"/>
      <c r="CD1867" s="276"/>
      <c r="CH1867" s="276"/>
      <c r="CJ1867" s="276"/>
      <c r="CK1867" s="276"/>
      <c r="CL1867" s="276"/>
      <c r="CM1867" s="276"/>
      <c r="CN1867" s="276"/>
      <c r="CO1867" s="276"/>
      <c r="CP1867" s="276"/>
      <c r="CQ1867" s="276"/>
      <c r="CU1867" s="276"/>
    </row>
    <row r="1868" spans="75:99" ht="15.75">
      <c r="BW1868" s="276"/>
      <c r="BY1868" s="276"/>
      <c r="BZ1868" s="276"/>
      <c r="CA1868" s="276"/>
      <c r="CB1868" s="276"/>
      <c r="CC1868" s="276"/>
      <c r="CD1868" s="276"/>
      <c r="CH1868" s="276"/>
      <c r="CJ1868" s="276"/>
      <c r="CK1868" s="276"/>
      <c r="CL1868" s="276"/>
      <c r="CM1868" s="276"/>
      <c r="CN1868" s="276"/>
      <c r="CO1868" s="276"/>
      <c r="CP1868" s="276"/>
      <c r="CQ1868" s="276"/>
      <c r="CU1868" s="276"/>
    </row>
    <row r="1869" spans="75:99" ht="15.75">
      <c r="BW1869" s="276"/>
      <c r="BY1869" s="276"/>
      <c r="BZ1869" s="276"/>
      <c r="CA1869" s="276"/>
      <c r="CB1869" s="276"/>
      <c r="CC1869" s="276"/>
      <c r="CD1869" s="276"/>
      <c r="CH1869" s="276"/>
      <c r="CJ1869" s="276"/>
      <c r="CK1869" s="276"/>
      <c r="CL1869" s="276"/>
      <c r="CM1869" s="276"/>
      <c r="CN1869" s="276"/>
      <c r="CO1869" s="276"/>
      <c r="CP1869" s="276"/>
      <c r="CQ1869" s="276"/>
      <c r="CU1869" s="276"/>
    </row>
    <row r="1870" spans="75:99" ht="15.75">
      <c r="BW1870" s="276"/>
      <c r="BY1870" s="276"/>
      <c r="BZ1870" s="276"/>
      <c r="CA1870" s="276"/>
      <c r="CB1870" s="276"/>
      <c r="CC1870" s="276"/>
      <c r="CD1870" s="276"/>
      <c r="CH1870" s="276"/>
      <c r="CJ1870" s="276"/>
      <c r="CK1870" s="276"/>
      <c r="CL1870" s="276"/>
      <c r="CM1870" s="276"/>
      <c r="CN1870" s="276"/>
      <c r="CO1870" s="276"/>
      <c r="CP1870" s="276"/>
      <c r="CQ1870" s="276"/>
      <c r="CU1870" s="276"/>
    </row>
    <row r="1871" spans="75:99" ht="15.75">
      <c r="BW1871" s="276"/>
      <c r="BY1871" s="276"/>
      <c r="BZ1871" s="276"/>
      <c r="CA1871" s="276"/>
      <c r="CB1871" s="276"/>
      <c r="CC1871" s="276"/>
      <c r="CD1871" s="276"/>
      <c r="CH1871" s="276"/>
      <c r="CJ1871" s="276"/>
      <c r="CK1871" s="276"/>
      <c r="CL1871" s="276"/>
      <c r="CM1871" s="276"/>
      <c r="CN1871" s="276"/>
      <c r="CO1871" s="276"/>
      <c r="CP1871" s="276"/>
      <c r="CQ1871" s="276"/>
      <c r="CU1871" s="276"/>
    </row>
    <row r="1872" spans="75:99" ht="15.75">
      <c r="BW1872" s="276"/>
      <c r="BY1872" s="276"/>
      <c r="BZ1872" s="276"/>
      <c r="CA1872" s="276"/>
      <c r="CB1872" s="276"/>
      <c r="CC1872" s="276"/>
      <c r="CD1872" s="276"/>
      <c r="CH1872" s="276"/>
      <c r="CJ1872" s="276"/>
      <c r="CK1872" s="276"/>
      <c r="CL1872" s="276"/>
      <c r="CM1872" s="276"/>
      <c r="CN1872" s="276"/>
      <c r="CO1872" s="276"/>
      <c r="CP1872" s="276"/>
      <c r="CQ1872" s="276"/>
      <c r="CU1872" s="276"/>
    </row>
    <row r="1873" spans="75:99" ht="15.75">
      <c r="BW1873" s="276"/>
      <c r="BY1873" s="276"/>
      <c r="BZ1873" s="276"/>
      <c r="CA1873" s="276"/>
      <c r="CB1873" s="276"/>
      <c r="CC1873" s="276"/>
      <c r="CD1873" s="276"/>
      <c r="CH1873" s="276"/>
      <c r="CJ1873" s="276"/>
      <c r="CK1873" s="276"/>
      <c r="CL1873" s="276"/>
      <c r="CM1873" s="276"/>
      <c r="CN1873" s="276"/>
      <c r="CO1873" s="276"/>
      <c r="CP1873" s="276"/>
      <c r="CQ1873" s="276"/>
      <c r="CU1873" s="276"/>
    </row>
    <row r="1874" spans="75:99" ht="15.75">
      <c r="BW1874" s="276"/>
      <c r="BY1874" s="276"/>
      <c r="BZ1874" s="276"/>
      <c r="CA1874" s="276"/>
      <c r="CB1874" s="276"/>
      <c r="CC1874" s="276"/>
      <c r="CD1874" s="276"/>
      <c r="CH1874" s="276"/>
      <c r="CJ1874" s="276"/>
      <c r="CK1874" s="276"/>
      <c r="CL1874" s="276"/>
      <c r="CM1874" s="276"/>
      <c r="CN1874" s="276"/>
      <c r="CO1874" s="276"/>
      <c r="CP1874" s="276"/>
      <c r="CQ1874" s="276"/>
      <c r="CU1874" s="276"/>
    </row>
    <row r="1875" spans="75:99" ht="15.75">
      <c r="BW1875" s="276"/>
      <c r="BY1875" s="276"/>
      <c r="BZ1875" s="276"/>
      <c r="CA1875" s="276"/>
      <c r="CB1875" s="276"/>
      <c r="CC1875" s="276"/>
      <c r="CD1875" s="276"/>
      <c r="CH1875" s="276"/>
      <c r="CJ1875" s="276"/>
      <c r="CK1875" s="276"/>
      <c r="CL1875" s="276"/>
      <c r="CM1875" s="276"/>
      <c r="CN1875" s="276"/>
      <c r="CO1875" s="276"/>
      <c r="CP1875" s="276"/>
      <c r="CQ1875" s="276"/>
      <c r="CU1875" s="276"/>
    </row>
    <row r="1876" spans="75:99" ht="15.75">
      <c r="BW1876" s="276"/>
      <c r="BY1876" s="276"/>
      <c r="BZ1876" s="276"/>
      <c r="CA1876" s="276"/>
      <c r="CB1876" s="276"/>
      <c r="CC1876" s="276"/>
      <c r="CD1876" s="276"/>
      <c r="CH1876" s="276"/>
      <c r="CJ1876" s="276"/>
      <c r="CK1876" s="276"/>
      <c r="CL1876" s="276"/>
      <c r="CM1876" s="276"/>
      <c r="CN1876" s="276"/>
      <c r="CO1876" s="276"/>
      <c r="CP1876" s="276"/>
      <c r="CQ1876" s="276"/>
      <c r="CU1876" s="276"/>
    </row>
    <row r="1877" spans="75:99" ht="15.75">
      <c r="BW1877" s="276"/>
      <c r="BY1877" s="276"/>
      <c r="BZ1877" s="276"/>
      <c r="CA1877" s="276"/>
      <c r="CB1877" s="276"/>
      <c r="CC1877" s="276"/>
      <c r="CD1877" s="276"/>
      <c r="CH1877" s="276"/>
      <c r="CJ1877" s="276"/>
      <c r="CK1877" s="276"/>
      <c r="CL1877" s="276"/>
      <c r="CM1877" s="276"/>
      <c r="CN1877" s="276"/>
      <c r="CO1877" s="276"/>
      <c r="CP1877" s="276"/>
      <c r="CQ1877" s="276"/>
      <c r="CU1877" s="276"/>
    </row>
    <row r="1878" spans="75:99" ht="15.75">
      <c r="BW1878" s="276"/>
      <c r="BY1878" s="276"/>
      <c r="BZ1878" s="276"/>
      <c r="CA1878" s="276"/>
      <c r="CB1878" s="276"/>
      <c r="CC1878" s="276"/>
      <c r="CD1878" s="276"/>
      <c r="CH1878" s="276"/>
      <c r="CJ1878" s="276"/>
      <c r="CK1878" s="276"/>
      <c r="CL1878" s="276"/>
      <c r="CM1878" s="276"/>
      <c r="CN1878" s="276"/>
      <c r="CO1878" s="276"/>
      <c r="CP1878" s="276"/>
      <c r="CQ1878" s="276"/>
      <c r="CU1878" s="276"/>
    </row>
    <row r="1879" spans="75:99" ht="15.75">
      <c r="BW1879" s="276"/>
      <c r="BY1879" s="276"/>
      <c r="BZ1879" s="276"/>
      <c r="CA1879" s="276"/>
      <c r="CB1879" s="276"/>
      <c r="CC1879" s="276"/>
      <c r="CD1879" s="276"/>
      <c r="CH1879" s="276"/>
      <c r="CJ1879" s="276"/>
      <c r="CK1879" s="276"/>
      <c r="CL1879" s="276"/>
      <c r="CM1879" s="276"/>
      <c r="CN1879" s="276"/>
      <c r="CO1879" s="276"/>
      <c r="CP1879" s="276"/>
      <c r="CQ1879" s="276"/>
      <c r="CU1879" s="276"/>
    </row>
    <row r="1880" spans="75:99" ht="15.75">
      <c r="BW1880" s="276"/>
      <c r="BY1880" s="276"/>
      <c r="BZ1880" s="276"/>
      <c r="CA1880" s="276"/>
      <c r="CB1880" s="276"/>
      <c r="CC1880" s="276"/>
      <c r="CD1880" s="276"/>
      <c r="CH1880" s="276"/>
      <c r="CJ1880" s="276"/>
      <c r="CK1880" s="276"/>
      <c r="CL1880" s="276"/>
      <c r="CM1880" s="276"/>
      <c r="CN1880" s="276"/>
      <c r="CO1880" s="276"/>
      <c r="CP1880" s="276"/>
      <c r="CQ1880" s="276"/>
      <c r="CU1880" s="276"/>
    </row>
    <row r="1881" spans="75:99" ht="15.75">
      <c r="BW1881" s="276"/>
      <c r="BY1881" s="276"/>
      <c r="BZ1881" s="276"/>
      <c r="CA1881" s="276"/>
      <c r="CB1881" s="276"/>
      <c r="CC1881" s="276"/>
      <c r="CD1881" s="276"/>
      <c r="CH1881" s="276"/>
      <c r="CJ1881" s="276"/>
      <c r="CK1881" s="276"/>
      <c r="CL1881" s="276"/>
      <c r="CM1881" s="276"/>
      <c r="CN1881" s="276"/>
      <c r="CO1881" s="276"/>
      <c r="CP1881" s="276"/>
      <c r="CQ1881" s="276"/>
      <c r="CU1881" s="276"/>
    </row>
    <row r="1882" spans="75:99" ht="15.75">
      <c r="BW1882" s="276"/>
      <c r="BY1882" s="276"/>
      <c r="BZ1882" s="276"/>
      <c r="CA1882" s="276"/>
      <c r="CB1882" s="276"/>
      <c r="CC1882" s="276"/>
      <c r="CD1882" s="276"/>
      <c r="CH1882" s="276"/>
      <c r="CJ1882" s="276"/>
      <c r="CK1882" s="276"/>
      <c r="CL1882" s="276"/>
      <c r="CM1882" s="276"/>
      <c r="CN1882" s="276"/>
      <c r="CO1882" s="276"/>
      <c r="CP1882" s="276"/>
      <c r="CQ1882" s="276"/>
      <c r="CU1882" s="276"/>
    </row>
    <row r="1883" spans="75:99" ht="15.75">
      <c r="BW1883" s="276"/>
      <c r="BY1883" s="276"/>
      <c r="BZ1883" s="276"/>
      <c r="CA1883" s="276"/>
      <c r="CB1883" s="276"/>
      <c r="CC1883" s="276"/>
      <c r="CD1883" s="276"/>
      <c r="CH1883" s="276"/>
      <c r="CJ1883" s="276"/>
      <c r="CK1883" s="276"/>
      <c r="CL1883" s="276"/>
      <c r="CM1883" s="276"/>
      <c r="CN1883" s="276"/>
      <c r="CO1883" s="276"/>
      <c r="CP1883" s="276"/>
      <c r="CQ1883" s="276"/>
      <c r="CU1883" s="276"/>
    </row>
    <row r="1884" spans="75:99" ht="15.75">
      <c r="BW1884" s="276"/>
      <c r="BY1884" s="276"/>
      <c r="BZ1884" s="276"/>
      <c r="CA1884" s="276"/>
      <c r="CB1884" s="276"/>
      <c r="CC1884" s="276"/>
      <c r="CD1884" s="276"/>
      <c r="CH1884" s="276"/>
      <c r="CJ1884" s="276"/>
      <c r="CK1884" s="276"/>
      <c r="CL1884" s="276"/>
      <c r="CM1884" s="276"/>
      <c r="CN1884" s="276"/>
      <c r="CO1884" s="276"/>
      <c r="CP1884" s="276"/>
      <c r="CQ1884" s="276"/>
      <c r="CU1884" s="276"/>
    </row>
    <row r="1885" spans="75:99" ht="15.75">
      <c r="BW1885" s="276"/>
      <c r="BY1885" s="276"/>
      <c r="BZ1885" s="276"/>
      <c r="CA1885" s="276"/>
      <c r="CB1885" s="276"/>
      <c r="CC1885" s="276"/>
      <c r="CD1885" s="276"/>
      <c r="CH1885" s="276"/>
      <c r="CJ1885" s="276"/>
      <c r="CK1885" s="276"/>
      <c r="CL1885" s="276"/>
      <c r="CM1885" s="276"/>
      <c r="CN1885" s="276"/>
      <c r="CO1885" s="276"/>
      <c r="CP1885" s="276"/>
      <c r="CQ1885" s="276"/>
      <c r="CU1885" s="276"/>
    </row>
    <row r="1886" spans="75:99" ht="15.75">
      <c r="BW1886" s="276"/>
      <c r="BY1886" s="276"/>
      <c r="BZ1886" s="276"/>
      <c r="CA1886" s="276"/>
      <c r="CB1886" s="276"/>
      <c r="CC1886" s="276"/>
      <c r="CD1886" s="276"/>
      <c r="CH1886" s="276"/>
      <c r="CJ1886" s="276"/>
      <c r="CK1886" s="276"/>
      <c r="CL1886" s="276"/>
      <c r="CM1886" s="276"/>
      <c r="CN1886" s="276"/>
      <c r="CO1886" s="276"/>
      <c r="CP1886" s="276"/>
      <c r="CQ1886" s="276"/>
      <c r="CU1886" s="276"/>
    </row>
    <row r="1887" spans="75:99" ht="15.75">
      <c r="BW1887" s="276"/>
      <c r="BY1887" s="276"/>
      <c r="BZ1887" s="276"/>
      <c r="CA1887" s="276"/>
      <c r="CB1887" s="276"/>
      <c r="CC1887" s="276"/>
      <c r="CD1887" s="276"/>
      <c r="CH1887" s="276"/>
      <c r="CJ1887" s="276"/>
      <c r="CK1887" s="276"/>
      <c r="CL1887" s="276"/>
      <c r="CM1887" s="276"/>
      <c r="CN1887" s="276"/>
      <c r="CO1887" s="276"/>
      <c r="CP1887" s="276"/>
      <c r="CQ1887" s="276"/>
      <c r="CU1887" s="276"/>
    </row>
    <row r="1888" spans="75:99" ht="15.75">
      <c r="BW1888" s="276"/>
      <c r="BY1888" s="276"/>
      <c r="BZ1888" s="276"/>
      <c r="CA1888" s="276"/>
      <c r="CB1888" s="276"/>
      <c r="CC1888" s="276"/>
      <c r="CD1888" s="276"/>
      <c r="CH1888" s="276"/>
      <c r="CJ1888" s="276"/>
      <c r="CK1888" s="276"/>
      <c r="CL1888" s="276"/>
      <c r="CM1888" s="276"/>
      <c r="CN1888" s="276"/>
      <c r="CO1888" s="276"/>
      <c r="CP1888" s="276"/>
      <c r="CQ1888" s="276"/>
      <c r="CU1888" s="276"/>
    </row>
    <row r="1889" spans="75:99" ht="15.75">
      <c r="BW1889" s="276"/>
      <c r="BY1889" s="276"/>
      <c r="BZ1889" s="276"/>
      <c r="CA1889" s="276"/>
      <c r="CB1889" s="276"/>
      <c r="CC1889" s="276"/>
      <c r="CD1889" s="276"/>
      <c r="CH1889" s="276"/>
      <c r="CJ1889" s="276"/>
      <c r="CK1889" s="276"/>
      <c r="CL1889" s="276"/>
      <c r="CM1889" s="276"/>
      <c r="CN1889" s="276"/>
      <c r="CO1889" s="276"/>
      <c r="CP1889" s="276"/>
      <c r="CQ1889" s="276"/>
      <c r="CU1889" s="276"/>
    </row>
    <row r="1890" spans="75:99" ht="15.75">
      <c r="BW1890" s="276"/>
      <c r="BY1890" s="276"/>
      <c r="BZ1890" s="276"/>
      <c r="CA1890" s="276"/>
      <c r="CB1890" s="276"/>
      <c r="CC1890" s="276"/>
      <c r="CD1890" s="276"/>
      <c r="CH1890" s="276"/>
      <c r="CJ1890" s="276"/>
      <c r="CK1890" s="276"/>
      <c r="CL1890" s="276"/>
      <c r="CM1890" s="276"/>
      <c r="CN1890" s="276"/>
      <c r="CO1890" s="276"/>
      <c r="CP1890" s="276"/>
      <c r="CQ1890" s="276"/>
      <c r="CU1890" s="276"/>
    </row>
    <row r="1891" spans="75:99" ht="15.75">
      <c r="BW1891" s="276"/>
      <c r="BY1891" s="276"/>
      <c r="BZ1891" s="276"/>
      <c r="CA1891" s="276"/>
      <c r="CB1891" s="276"/>
      <c r="CC1891" s="276"/>
      <c r="CD1891" s="276"/>
      <c r="CH1891" s="276"/>
      <c r="CJ1891" s="276"/>
      <c r="CK1891" s="276"/>
      <c r="CL1891" s="276"/>
      <c r="CM1891" s="276"/>
      <c r="CN1891" s="276"/>
      <c r="CO1891" s="276"/>
      <c r="CP1891" s="276"/>
      <c r="CQ1891" s="276"/>
      <c r="CU1891" s="276"/>
    </row>
    <row r="1892" spans="75:99" ht="15.75">
      <c r="BW1892" s="276"/>
      <c r="BY1892" s="276"/>
      <c r="BZ1892" s="276"/>
      <c r="CA1892" s="276"/>
      <c r="CB1892" s="276"/>
      <c r="CC1892" s="276"/>
      <c r="CD1892" s="276"/>
      <c r="CH1892" s="276"/>
      <c r="CJ1892" s="276"/>
      <c r="CK1892" s="276"/>
      <c r="CL1892" s="276"/>
      <c r="CM1892" s="276"/>
      <c r="CN1892" s="276"/>
      <c r="CO1892" s="276"/>
      <c r="CP1892" s="276"/>
      <c r="CQ1892" s="276"/>
      <c r="CU1892" s="276"/>
    </row>
    <row r="1893" spans="75:99" ht="15.75">
      <c r="BW1893" s="276"/>
      <c r="BY1893" s="276"/>
      <c r="BZ1893" s="276"/>
      <c r="CA1893" s="276"/>
      <c r="CB1893" s="276"/>
      <c r="CC1893" s="276"/>
      <c r="CD1893" s="276"/>
      <c r="CH1893" s="276"/>
      <c r="CJ1893" s="276"/>
      <c r="CK1893" s="276"/>
      <c r="CL1893" s="276"/>
      <c r="CM1893" s="276"/>
      <c r="CN1893" s="276"/>
      <c r="CO1893" s="276"/>
      <c r="CP1893" s="276"/>
      <c r="CQ1893" s="276"/>
      <c r="CU1893" s="276"/>
    </row>
    <row r="1894" spans="75:99" ht="15.75">
      <c r="BW1894" s="276"/>
      <c r="BY1894" s="276"/>
      <c r="BZ1894" s="276"/>
      <c r="CA1894" s="276"/>
      <c r="CB1894" s="276"/>
      <c r="CC1894" s="276"/>
      <c r="CD1894" s="276"/>
      <c r="CH1894" s="276"/>
      <c r="CJ1894" s="276"/>
      <c r="CK1894" s="276"/>
      <c r="CL1894" s="276"/>
      <c r="CM1894" s="276"/>
      <c r="CN1894" s="276"/>
      <c r="CO1894" s="276"/>
      <c r="CP1894" s="276"/>
      <c r="CQ1894" s="276"/>
      <c r="CU1894" s="276"/>
    </row>
    <row r="1895" spans="75:99" ht="15.75">
      <c r="BW1895" s="276"/>
      <c r="BY1895" s="276"/>
      <c r="BZ1895" s="276"/>
      <c r="CA1895" s="276"/>
      <c r="CB1895" s="276"/>
      <c r="CC1895" s="276"/>
      <c r="CD1895" s="276"/>
      <c r="CH1895" s="276"/>
      <c r="CJ1895" s="276"/>
      <c r="CK1895" s="276"/>
      <c r="CL1895" s="276"/>
      <c r="CM1895" s="276"/>
      <c r="CN1895" s="276"/>
      <c r="CO1895" s="276"/>
      <c r="CP1895" s="276"/>
      <c r="CQ1895" s="276"/>
      <c r="CU1895" s="276"/>
    </row>
    <row r="1896" spans="75:99" ht="15.75">
      <c r="BW1896" s="276"/>
      <c r="BY1896" s="276"/>
      <c r="BZ1896" s="276"/>
      <c r="CA1896" s="276"/>
      <c r="CB1896" s="276"/>
      <c r="CC1896" s="276"/>
      <c r="CD1896" s="276"/>
      <c r="CH1896" s="276"/>
      <c r="CJ1896" s="276"/>
      <c r="CK1896" s="276"/>
      <c r="CL1896" s="276"/>
      <c r="CM1896" s="276"/>
      <c r="CN1896" s="276"/>
      <c r="CO1896" s="276"/>
      <c r="CP1896" s="276"/>
      <c r="CQ1896" s="276"/>
      <c r="CU1896" s="276"/>
    </row>
    <row r="1897" spans="75:99" ht="15.75">
      <c r="BW1897" s="276"/>
      <c r="BY1897" s="276"/>
      <c r="BZ1897" s="276"/>
      <c r="CA1897" s="276"/>
      <c r="CB1897" s="276"/>
      <c r="CC1897" s="276"/>
      <c r="CD1897" s="276"/>
      <c r="CH1897" s="276"/>
      <c r="CJ1897" s="276"/>
      <c r="CK1897" s="276"/>
      <c r="CL1897" s="276"/>
      <c r="CM1897" s="276"/>
      <c r="CN1897" s="276"/>
      <c r="CO1897" s="276"/>
      <c r="CP1897" s="276"/>
      <c r="CQ1897" s="276"/>
      <c r="CU1897" s="276"/>
    </row>
    <row r="1898" spans="75:99" ht="15.75">
      <c r="BW1898" s="276"/>
      <c r="BY1898" s="276"/>
      <c r="BZ1898" s="276"/>
      <c r="CA1898" s="276"/>
      <c r="CB1898" s="276"/>
      <c r="CC1898" s="276"/>
      <c r="CD1898" s="276"/>
      <c r="CH1898" s="276"/>
      <c r="CJ1898" s="276"/>
      <c r="CK1898" s="276"/>
      <c r="CL1898" s="276"/>
      <c r="CM1898" s="276"/>
      <c r="CN1898" s="276"/>
      <c r="CO1898" s="276"/>
      <c r="CP1898" s="276"/>
      <c r="CQ1898" s="276"/>
      <c r="CU1898" s="276"/>
    </row>
    <row r="1899" spans="75:99" ht="15.75">
      <c r="BW1899" s="276"/>
      <c r="BY1899" s="276"/>
      <c r="BZ1899" s="276"/>
      <c r="CA1899" s="276"/>
      <c r="CB1899" s="276"/>
      <c r="CC1899" s="276"/>
      <c r="CD1899" s="276"/>
      <c r="CH1899" s="276"/>
      <c r="CJ1899" s="276"/>
      <c r="CK1899" s="276"/>
      <c r="CL1899" s="276"/>
      <c r="CM1899" s="276"/>
      <c r="CN1899" s="276"/>
      <c r="CO1899" s="276"/>
      <c r="CP1899" s="276"/>
      <c r="CQ1899" s="276"/>
      <c r="CU1899" s="276"/>
    </row>
    <row r="1900" spans="75:99" ht="15.75">
      <c r="BW1900" s="276"/>
      <c r="BY1900" s="276"/>
      <c r="BZ1900" s="276"/>
      <c r="CA1900" s="276"/>
      <c r="CB1900" s="276"/>
      <c r="CC1900" s="276"/>
      <c r="CD1900" s="276"/>
      <c r="CH1900" s="276"/>
      <c r="CJ1900" s="276"/>
      <c r="CK1900" s="276"/>
      <c r="CL1900" s="276"/>
      <c r="CM1900" s="276"/>
      <c r="CN1900" s="276"/>
      <c r="CO1900" s="276"/>
      <c r="CP1900" s="276"/>
      <c r="CQ1900" s="276"/>
      <c r="CU1900" s="276"/>
    </row>
    <row r="1901" spans="75:99" ht="15.75">
      <c r="BW1901" s="276"/>
      <c r="BY1901" s="276"/>
      <c r="BZ1901" s="276"/>
      <c r="CA1901" s="276"/>
      <c r="CB1901" s="276"/>
      <c r="CC1901" s="276"/>
      <c r="CD1901" s="276"/>
      <c r="CH1901" s="276"/>
      <c r="CJ1901" s="276"/>
      <c r="CK1901" s="276"/>
      <c r="CL1901" s="276"/>
      <c r="CM1901" s="276"/>
      <c r="CN1901" s="276"/>
      <c r="CO1901" s="276"/>
      <c r="CP1901" s="276"/>
      <c r="CQ1901" s="276"/>
      <c r="CU1901" s="276"/>
    </row>
    <row r="1902" spans="75:99" ht="15.75">
      <c r="BW1902" s="276"/>
      <c r="BY1902" s="276"/>
      <c r="BZ1902" s="276"/>
      <c r="CA1902" s="276"/>
      <c r="CB1902" s="276"/>
      <c r="CC1902" s="276"/>
      <c r="CD1902" s="276"/>
      <c r="CH1902" s="276"/>
      <c r="CJ1902" s="276"/>
      <c r="CK1902" s="276"/>
      <c r="CL1902" s="276"/>
      <c r="CM1902" s="276"/>
      <c r="CN1902" s="276"/>
      <c r="CO1902" s="276"/>
      <c r="CP1902" s="276"/>
      <c r="CQ1902" s="276"/>
      <c r="CU1902" s="276"/>
    </row>
    <row r="1903" spans="75:99" ht="15.75">
      <c r="BW1903" s="276"/>
      <c r="BY1903" s="276"/>
      <c r="BZ1903" s="276"/>
      <c r="CA1903" s="276"/>
      <c r="CB1903" s="276"/>
      <c r="CC1903" s="276"/>
      <c r="CD1903" s="276"/>
      <c r="CH1903" s="276"/>
      <c r="CJ1903" s="276"/>
      <c r="CK1903" s="276"/>
      <c r="CL1903" s="276"/>
      <c r="CM1903" s="276"/>
      <c r="CN1903" s="276"/>
      <c r="CO1903" s="276"/>
      <c r="CP1903" s="276"/>
      <c r="CQ1903" s="276"/>
      <c r="CU1903" s="276"/>
    </row>
    <row r="1904" spans="75:99" ht="15.75">
      <c r="BW1904" s="276"/>
      <c r="BY1904" s="276"/>
      <c r="BZ1904" s="276"/>
      <c r="CA1904" s="276"/>
      <c r="CB1904" s="276"/>
      <c r="CC1904" s="276"/>
      <c r="CD1904" s="276"/>
      <c r="CH1904" s="276"/>
      <c r="CJ1904" s="276"/>
      <c r="CK1904" s="276"/>
      <c r="CL1904" s="276"/>
      <c r="CM1904" s="276"/>
      <c r="CN1904" s="276"/>
      <c r="CO1904" s="276"/>
      <c r="CP1904" s="276"/>
      <c r="CQ1904" s="276"/>
      <c r="CU1904" s="276"/>
    </row>
    <row r="1905" spans="75:99" ht="15.75">
      <c r="BW1905" s="276"/>
      <c r="BY1905" s="276"/>
      <c r="BZ1905" s="276"/>
      <c r="CA1905" s="276"/>
      <c r="CB1905" s="276"/>
      <c r="CC1905" s="276"/>
      <c r="CD1905" s="276"/>
      <c r="CH1905" s="276"/>
      <c r="CJ1905" s="276"/>
      <c r="CK1905" s="276"/>
      <c r="CL1905" s="276"/>
      <c r="CM1905" s="276"/>
      <c r="CN1905" s="276"/>
      <c r="CO1905" s="276"/>
      <c r="CP1905" s="276"/>
      <c r="CQ1905" s="276"/>
      <c r="CU1905" s="276"/>
    </row>
    <row r="1906" spans="75:99" ht="15.75">
      <c r="BW1906" s="276"/>
      <c r="BY1906" s="276"/>
      <c r="BZ1906" s="276"/>
      <c r="CA1906" s="276"/>
      <c r="CB1906" s="276"/>
      <c r="CC1906" s="276"/>
      <c r="CD1906" s="276"/>
      <c r="CH1906" s="276"/>
      <c r="CJ1906" s="276"/>
      <c r="CK1906" s="276"/>
      <c r="CL1906" s="276"/>
      <c r="CM1906" s="276"/>
      <c r="CN1906" s="276"/>
      <c r="CO1906" s="276"/>
      <c r="CP1906" s="276"/>
      <c r="CQ1906" s="276"/>
      <c r="CU1906" s="276"/>
    </row>
    <row r="1907" spans="75:99" ht="15.75">
      <c r="BW1907" s="276"/>
      <c r="BY1907" s="276"/>
      <c r="BZ1907" s="276"/>
      <c r="CA1907" s="276"/>
      <c r="CB1907" s="276"/>
      <c r="CC1907" s="276"/>
      <c r="CD1907" s="276"/>
      <c r="CH1907" s="276"/>
      <c r="CJ1907" s="276"/>
      <c r="CK1907" s="276"/>
      <c r="CL1907" s="276"/>
      <c r="CM1907" s="276"/>
      <c r="CN1907" s="276"/>
      <c r="CO1907" s="276"/>
      <c r="CP1907" s="276"/>
      <c r="CQ1907" s="276"/>
      <c r="CU1907" s="276"/>
    </row>
    <row r="1908" spans="75:99" ht="15.75">
      <c r="BW1908" s="276"/>
      <c r="BY1908" s="276"/>
      <c r="BZ1908" s="276"/>
      <c r="CA1908" s="276"/>
      <c r="CB1908" s="276"/>
      <c r="CC1908" s="276"/>
      <c r="CD1908" s="276"/>
      <c r="CH1908" s="276"/>
      <c r="CJ1908" s="276"/>
      <c r="CK1908" s="276"/>
      <c r="CL1908" s="276"/>
      <c r="CM1908" s="276"/>
      <c r="CN1908" s="276"/>
      <c r="CO1908" s="276"/>
      <c r="CP1908" s="276"/>
      <c r="CQ1908" s="276"/>
      <c r="CU1908" s="276"/>
    </row>
    <row r="1909" spans="75:99" ht="15.75">
      <c r="BW1909" s="276"/>
      <c r="BY1909" s="276"/>
      <c r="BZ1909" s="276"/>
      <c r="CA1909" s="276"/>
      <c r="CB1909" s="276"/>
      <c r="CC1909" s="276"/>
      <c r="CD1909" s="276"/>
      <c r="CH1909" s="276"/>
      <c r="CJ1909" s="276"/>
      <c r="CK1909" s="276"/>
      <c r="CL1909" s="276"/>
      <c r="CM1909" s="276"/>
      <c r="CN1909" s="276"/>
      <c r="CO1909" s="276"/>
      <c r="CP1909" s="276"/>
      <c r="CQ1909" s="276"/>
      <c r="CU1909" s="276"/>
    </row>
    <row r="1910" spans="75:99" ht="15.75">
      <c r="BW1910" s="276"/>
      <c r="BY1910" s="276"/>
      <c r="BZ1910" s="276"/>
      <c r="CA1910" s="276"/>
      <c r="CB1910" s="276"/>
      <c r="CC1910" s="276"/>
      <c r="CD1910" s="276"/>
      <c r="CH1910" s="276"/>
      <c r="CJ1910" s="276"/>
      <c r="CK1910" s="276"/>
      <c r="CL1910" s="276"/>
      <c r="CM1910" s="276"/>
      <c r="CN1910" s="276"/>
      <c r="CO1910" s="276"/>
      <c r="CP1910" s="276"/>
      <c r="CQ1910" s="276"/>
      <c r="CU1910" s="276"/>
    </row>
    <row r="1911" spans="75:99" ht="15.75">
      <c r="BW1911" s="276"/>
      <c r="BY1911" s="276"/>
      <c r="BZ1911" s="276"/>
      <c r="CA1911" s="276"/>
      <c r="CB1911" s="276"/>
      <c r="CC1911" s="276"/>
      <c r="CD1911" s="276"/>
      <c r="CH1911" s="276"/>
      <c r="CJ1911" s="276"/>
      <c r="CK1911" s="276"/>
      <c r="CL1911" s="276"/>
      <c r="CM1911" s="276"/>
      <c r="CN1911" s="276"/>
      <c r="CO1911" s="276"/>
      <c r="CP1911" s="276"/>
      <c r="CQ1911" s="276"/>
      <c r="CU1911" s="276"/>
    </row>
    <row r="1912" spans="75:99" ht="15.75">
      <c r="BW1912" s="276"/>
      <c r="BY1912" s="276"/>
      <c r="BZ1912" s="276"/>
      <c r="CA1912" s="276"/>
      <c r="CB1912" s="276"/>
      <c r="CC1912" s="276"/>
      <c r="CD1912" s="276"/>
      <c r="CH1912" s="276"/>
      <c r="CJ1912" s="276"/>
      <c r="CK1912" s="276"/>
      <c r="CL1912" s="276"/>
      <c r="CM1912" s="276"/>
      <c r="CN1912" s="276"/>
      <c r="CO1912" s="276"/>
      <c r="CP1912" s="276"/>
      <c r="CQ1912" s="276"/>
      <c r="CU1912" s="276"/>
    </row>
    <row r="1913" spans="75:99" ht="15.75">
      <c r="BW1913" s="276"/>
      <c r="BY1913" s="276"/>
      <c r="BZ1913" s="276"/>
      <c r="CA1913" s="276"/>
      <c r="CB1913" s="276"/>
      <c r="CC1913" s="276"/>
      <c r="CD1913" s="276"/>
      <c r="CH1913" s="276"/>
      <c r="CJ1913" s="276"/>
      <c r="CK1913" s="276"/>
      <c r="CL1913" s="276"/>
      <c r="CM1913" s="276"/>
      <c r="CN1913" s="276"/>
      <c r="CO1913" s="276"/>
      <c r="CP1913" s="276"/>
      <c r="CQ1913" s="276"/>
      <c r="CU1913" s="276"/>
    </row>
    <row r="1914" spans="75:99" ht="15.75">
      <c r="BW1914" s="276"/>
      <c r="BY1914" s="276"/>
      <c r="BZ1914" s="276"/>
      <c r="CA1914" s="276"/>
      <c r="CB1914" s="276"/>
      <c r="CC1914" s="276"/>
      <c r="CD1914" s="276"/>
      <c r="CH1914" s="276"/>
      <c r="CJ1914" s="276"/>
      <c r="CK1914" s="276"/>
      <c r="CL1914" s="276"/>
      <c r="CM1914" s="276"/>
      <c r="CN1914" s="276"/>
      <c r="CO1914" s="276"/>
      <c r="CP1914" s="276"/>
      <c r="CQ1914" s="276"/>
      <c r="CU1914" s="276"/>
    </row>
    <row r="1915" spans="75:99" ht="15.75">
      <c r="BW1915" s="276"/>
      <c r="BY1915" s="276"/>
      <c r="BZ1915" s="276"/>
      <c r="CA1915" s="276"/>
      <c r="CB1915" s="276"/>
      <c r="CC1915" s="276"/>
      <c r="CD1915" s="276"/>
      <c r="CH1915" s="276"/>
      <c r="CJ1915" s="276"/>
      <c r="CK1915" s="276"/>
      <c r="CL1915" s="276"/>
      <c r="CM1915" s="276"/>
      <c r="CN1915" s="276"/>
      <c r="CO1915" s="276"/>
      <c r="CP1915" s="276"/>
      <c r="CQ1915" s="276"/>
      <c r="CU1915" s="276"/>
    </row>
    <row r="1916" spans="75:99" ht="15.75">
      <c r="BW1916" s="276"/>
      <c r="BY1916" s="276"/>
      <c r="BZ1916" s="276"/>
      <c r="CA1916" s="276"/>
      <c r="CB1916" s="276"/>
      <c r="CC1916" s="276"/>
      <c r="CD1916" s="276"/>
      <c r="CH1916" s="276"/>
      <c r="CJ1916" s="276"/>
      <c r="CK1916" s="276"/>
      <c r="CL1916" s="276"/>
      <c r="CM1916" s="276"/>
      <c r="CN1916" s="276"/>
      <c r="CO1916" s="276"/>
      <c r="CP1916" s="276"/>
      <c r="CQ1916" s="276"/>
      <c r="CU1916" s="276"/>
    </row>
    <row r="1917" spans="75:99" ht="15.75">
      <c r="BW1917" s="276"/>
      <c r="BY1917" s="276"/>
      <c r="BZ1917" s="276"/>
      <c r="CA1917" s="276"/>
      <c r="CB1917" s="276"/>
      <c r="CC1917" s="276"/>
      <c r="CD1917" s="276"/>
      <c r="CH1917" s="276"/>
      <c r="CJ1917" s="276"/>
      <c r="CK1917" s="276"/>
      <c r="CL1917" s="276"/>
      <c r="CM1917" s="276"/>
      <c r="CN1917" s="276"/>
      <c r="CO1917" s="276"/>
      <c r="CP1917" s="276"/>
      <c r="CQ1917" s="276"/>
      <c r="CU1917" s="276"/>
    </row>
    <row r="1918" spans="75:99" ht="15.75">
      <c r="BW1918" s="276"/>
      <c r="BY1918" s="276"/>
      <c r="BZ1918" s="276"/>
      <c r="CA1918" s="276"/>
      <c r="CB1918" s="276"/>
      <c r="CC1918" s="276"/>
      <c r="CD1918" s="276"/>
      <c r="CH1918" s="276"/>
      <c r="CJ1918" s="276"/>
      <c r="CK1918" s="276"/>
      <c r="CL1918" s="276"/>
      <c r="CM1918" s="276"/>
      <c r="CN1918" s="276"/>
      <c r="CO1918" s="276"/>
      <c r="CP1918" s="276"/>
      <c r="CQ1918" s="276"/>
      <c r="CU1918" s="276"/>
    </row>
    <row r="1919" spans="75:99" ht="15.75">
      <c r="BW1919" s="276"/>
      <c r="BY1919" s="276"/>
      <c r="BZ1919" s="276"/>
      <c r="CA1919" s="276"/>
      <c r="CB1919" s="276"/>
      <c r="CC1919" s="276"/>
      <c r="CD1919" s="276"/>
      <c r="CH1919" s="276"/>
      <c r="CJ1919" s="276"/>
      <c r="CK1919" s="276"/>
      <c r="CL1919" s="276"/>
      <c r="CM1919" s="276"/>
      <c r="CN1919" s="276"/>
      <c r="CO1919" s="276"/>
      <c r="CP1919" s="276"/>
      <c r="CQ1919" s="276"/>
      <c r="CU1919" s="276"/>
    </row>
    <row r="1920" spans="75:99" ht="15.75">
      <c r="BW1920" s="276"/>
      <c r="BY1920" s="276"/>
      <c r="BZ1920" s="276"/>
      <c r="CA1920" s="276"/>
      <c r="CB1920" s="276"/>
      <c r="CC1920" s="276"/>
      <c r="CD1920" s="276"/>
      <c r="CH1920" s="276"/>
      <c r="CJ1920" s="276"/>
      <c r="CK1920" s="276"/>
      <c r="CL1920" s="276"/>
      <c r="CM1920" s="276"/>
      <c r="CN1920" s="276"/>
      <c r="CO1920" s="276"/>
      <c r="CP1920" s="276"/>
      <c r="CQ1920" s="276"/>
      <c r="CU1920" s="276"/>
    </row>
    <row r="1921" spans="75:99" ht="15.75">
      <c r="BW1921" s="276"/>
      <c r="BY1921" s="276"/>
      <c r="BZ1921" s="276"/>
      <c r="CA1921" s="276"/>
      <c r="CB1921" s="276"/>
      <c r="CC1921" s="276"/>
      <c r="CD1921" s="276"/>
      <c r="CH1921" s="276"/>
      <c r="CJ1921" s="276"/>
      <c r="CK1921" s="276"/>
      <c r="CL1921" s="276"/>
      <c r="CM1921" s="276"/>
      <c r="CN1921" s="276"/>
      <c r="CO1921" s="276"/>
      <c r="CP1921" s="276"/>
      <c r="CQ1921" s="276"/>
      <c r="CU1921" s="276"/>
    </row>
    <row r="1922" spans="75:99" ht="15.75">
      <c r="BW1922" s="276"/>
      <c r="BY1922" s="276"/>
      <c r="BZ1922" s="276"/>
      <c r="CA1922" s="276"/>
      <c r="CB1922" s="276"/>
      <c r="CC1922" s="276"/>
      <c r="CD1922" s="276"/>
      <c r="CH1922" s="276"/>
      <c r="CJ1922" s="276"/>
      <c r="CK1922" s="276"/>
      <c r="CL1922" s="276"/>
      <c r="CM1922" s="276"/>
      <c r="CN1922" s="276"/>
      <c r="CO1922" s="276"/>
      <c r="CP1922" s="276"/>
      <c r="CQ1922" s="276"/>
      <c r="CU1922" s="276"/>
    </row>
    <row r="1923" spans="75:99" ht="15.75">
      <c r="BW1923" s="276"/>
      <c r="BY1923" s="276"/>
      <c r="BZ1923" s="276"/>
      <c r="CA1923" s="276"/>
      <c r="CB1923" s="276"/>
      <c r="CC1923" s="276"/>
      <c r="CD1923" s="276"/>
      <c r="CH1923" s="276"/>
      <c r="CJ1923" s="276"/>
      <c r="CK1923" s="276"/>
      <c r="CL1923" s="276"/>
      <c r="CM1923" s="276"/>
      <c r="CN1923" s="276"/>
      <c r="CO1923" s="276"/>
      <c r="CP1923" s="276"/>
      <c r="CQ1923" s="276"/>
      <c r="CU1923" s="276"/>
    </row>
    <row r="1924" spans="75:99" ht="15.75">
      <c r="BW1924" s="276"/>
      <c r="BY1924" s="276"/>
      <c r="BZ1924" s="276"/>
      <c r="CA1924" s="276"/>
      <c r="CB1924" s="276"/>
      <c r="CC1924" s="276"/>
      <c r="CD1924" s="276"/>
      <c r="CH1924" s="276"/>
      <c r="CJ1924" s="276"/>
      <c r="CK1924" s="276"/>
      <c r="CL1924" s="276"/>
      <c r="CM1924" s="276"/>
      <c r="CN1924" s="276"/>
      <c r="CO1924" s="276"/>
      <c r="CP1924" s="276"/>
      <c r="CQ1924" s="276"/>
      <c r="CU1924" s="276"/>
    </row>
    <row r="1925" spans="75:99" ht="15.75">
      <c r="BW1925" s="276"/>
      <c r="BY1925" s="276"/>
      <c r="BZ1925" s="276"/>
      <c r="CA1925" s="276"/>
      <c r="CB1925" s="276"/>
      <c r="CC1925" s="276"/>
      <c r="CD1925" s="276"/>
      <c r="CH1925" s="276"/>
      <c r="CJ1925" s="276"/>
      <c r="CK1925" s="276"/>
      <c r="CL1925" s="276"/>
      <c r="CM1925" s="276"/>
      <c r="CN1925" s="276"/>
      <c r="CO1925" s="276"/>
      <c r="CP1925" s="276"/>
      <c r="CQ1925" s="276"/>
      <c r="CU1925" s="276"/>
    </row>
    <row r="1926" spans="75:99" ht="15.75">
      <c r="BW1926" s="276"/>
      <c r="BY1926" s="276"/>
      <c r="BZ1926" s="276"/>
      <c r="CA1926" s="276"/>
      <c r="CB1926" s="276"/>
      <c r="CC1926" s="276"/>
      <c r="CD1926" s="276"/>
      <c r="CH1926" s="276"/>
      <c r="CJ1926" s="276"/>
      <c r="CK1926" s="276"/>
      <c r="CL1926" s="276"/>
      <c r="CM1926" s="276"/>
      <c r="CN1926" s="276"/>
      <c r="CO1926" s="276"/>
      <c r="CP1926" s="276"/>
      <c r="CQ1926" s="276"/>
      <c r="CU1926" s="276"/>
    </row>
    <row r="1927" spans="75:99" ht="15.75">
      <c r="BW1927" s="276"/>
      <c r="BY1927" s="276"/>
      <c r="BZ1927" s="276"/>
      <c r="CA1927" s="276"/>
      <c r="CB1927" s="276"/>
      <c r="CC1927" s="276"/>
      <c r="CD1927" s="276"/>
      <c r="CH1927" s="276"/>
      <c r="CJ1927" s="276"/>
      <c r="CK1927" s="276"/>
      <c r="CL1927" s="276"/>
      <c r="CM1927" s="276"/>
      <c r="CN1927" s="276"/>
      <c r="CO1927" s="276"/>
      <c r="CP1927" s="276"/>
      <c r="CQ1927" s="276"/>
      <c r="CU1927" s="276"/>
    </row>
    <row r="1928" spans="75:99" ht="15.75">
      <c r="BW1928" s="276"/>
      <c r="BY1928" s="276"/>
      <c r="BZ1928" s="276"/>
      <c r="CA1928" s="276"/>
      <c r="CB1928" s="276"/>
      <c r="CC1928" s="276"/>
      <c r="CD1928" s="276"/>
      <c r="CH1928" s="276"/>
      <c r="CJ1928" s="276"/>
      <c r="CK1928" s="276"/>
      <c r="CL1928" s="276"/>
      <c r="CM1928" s="276"/>
      <c r="CN1928" s="276"/>
      <c r="CO1928" s="276"/>
      <c r="CP1928" s="276"/>
      <c r="CQ1928" s="276"/>
      <c r="CU1928" s="276"/>
    </row>
    <row r="1929" spans="75:99" ht="15.75">
      <c r="BW1929" s="276"/>
      <c r="BY1929" s="276"/>
      <c r="BZ1929" s="276"/>
      <c r="CA1929" s="276"/>
      <c r="CB1929" s="276"/>
      <c r="CC1929" s="276"/>
      <c r="CD1929" s="276"/>
      <c r="CH1929" s="276"/>
      <c r="CJ1929" s="276"/>
      <c r="CK1929" s="276"/>
      <c r="CL1929" s="276"/>
      <c r="CM1929" s="276"/>
      <c r="CN1929" s="276"/>
      <c r="CO1929" s="276"/>
      <c r="CP1929" s="276"/>
      <c r="CQ1929" s="276"/>
      <c r="CU1929" s="276"/>
    </row>
    <row r="1930" spans="75:99" ht="15.75">
      <c r="BW1930" s="276"/>
      <c r="BY1930" s="276"/>
      <c r="BZ1930" s="276"/>
      <c r="CA1930" s="276"/>
      <c r="CB1930" s="276"/>
      <c r="CC1930" s="276"/>
      <c r="CD1930" s="276"/>
      <c r="CH1930" s="276"/>
      <c r="CJ1930" s="276"/>
      <c r="CK1930" s="276"/>
      <c r="CL1930" s="276"/>
      <c r="CM1930" s="276"/>
      <c r="CN1930" s="276"/>
      <c r="CO1930" s="276"/>
      <c r="CP1930" s="276"/>
      <c r="CQ1930" s="276"/>
      <c r="CU1930" s="276"/>
    </row>
    <row r="1931" spans="75:99" ht="15.75">
      <c r="BW1931" s="276"/>
      <c r="BY1931" s="276"/>
      <c r="BZ1931" s="276"/>
      <c r="CA1931" s="276"/>
      <c r="CB1931" s="276"/>
      <c r="CC1931" s="276"/>
      <c r="CD1931" s="276"/>
      <c r="CH1931" s="276"/>
      <c r="CJ1931" s="276"/>
      <c r="CK1931" s="276"/>
      <c r="CL1931" s="276"/>
      <c r="CM1931" s="276"/>
      <c r="CN1931" s="276"/>
      <c r="CO1931" s="276"/>
      <c r="CP1931" s="276"/>
      <c r="CQ1931" s="276"/>
      <c r="CU1931" s="276"/>
    </row>
    <row r="1932" spans="75:99" ht="15.75">
      <c r="BW1932" s="276"/>
      <c r="BY1932" s="276"/>
      <c r="BZ1932" s="276"/>
      <c r="CA1932" s="276"/>
      <c r="CB1932" s="276"/>
      <c r="CC1932" s="276"/>
      <c r="CD1932" s="276"/>
      <c r="CH1932" s="276"/>
      <c r="CJ1932" s="276"/>
      <c r="CK1932" s="276"/>
      <c r="CL1932" s="276"/>
      <c r="CM1932" s="276"/>
      <c r="CN1932" s="276"/>
      <c r="CO1932" s="276"/>
      <c r="CP1932" s="276"/>
      <c r="CQ1932" s="276"/>
      <c r="CU1932" s="276"/>
    </row>
    <row r="1933" spans="75:99" ht="15.75">
      <c r="BW1933" s="276"/>
      <c r="BY1933" s="276"/>
      <c r="BZ1933" s="276"/>
      <c r="CA1933" s="276"/>
      <c r="CB1933" s="276"/>
      <c r="CC1933" s="276"/>
      <c r="CD1933" s="276"/>
      <c r="CH1933" s="276"/>
      <c r="CJ1933" s="276"/>
      <c r="CK1933" s="276"/>
      <c r="CL1933" s="276"/>
      <c r="CM1933" s="276"/>
      <c r="CN1933" s="276"/>
      <c r="CO1933" s="276"/>
      <c r="CP1933" s="276"/>
      <c r="CQ1933" s="276"/>
      <c r="CU1933" s="276"/>
    </row>
    <row r="1934" spans="75:99" ht="15.75">
      <c r="BW1934" s="276"/>
      <c r="BY1934" s="276"/>
      <c r="BZ1934" s="276"/>
      <c r="CA1934" s="276"/>
      <c r="CB1934" s="276"/>
      <c r="CC1934" s="276"/>
      <c r="CD1934" s="276"/>
      <c r="CH1934" s="276"/>
      <c r="CJ1934" s="276"/>
      <c r="CK1934" s="276"/>
      <c r="CL1934" s="276"/>
      <c r="CM1934" s="276"/>
      <c r="CN1934" s="276"/>
      <c r="CO1934" s="276"/>
      <c r="CP1934" s="276"/>
      <c r="CQ1934" s="276"/>
      <c r="CU1934" s="276"/>
    </row>
    <row r="1935" spans="75:99" ht="15.75">
      <c r="BW1935" s="276"/>
      <c r="BY1935" s="276"/>
      <c r="BZ1935" s="276"/>
      <c r="CA1935" s="276"/>
      <c r="CB1935" s="276"/>
      <c r="CC1935" s="276"/>
      <c r="CD1935" s="276"/>
      <c r="CH1935" s="276"/>
      <c r="CJ1935" s="276"/>
      <c r="CK1935" s="276"/>
      <c r="CL1935" s="276"/>
      <c r="CM1935" s="276"/>
      <c r="CN1935" s="276"/>
      <c r="CO1935" s="276"/>
      <c r="CP1935" s="276"/>
      <c r="CQ1935" s="276"/>
      <c r="CU1935" s="276"/>
    </row>
    <row r="1936" spans="75:99" ht="15.75">
      <c r="BW1936" s="276"/>
      <c r="BY1936" s="276"/>
      <c r="BZ1936" s="276"/>
      <c r="CA1936" s="276"/>
      <c r="CB1936" s="276"/>
      <c r="CC1936" s="276"/>
      <c r="CD1936" s="276"/>
      <c r="CH1936" s="276"/>
      <c r="CJ1936" s="276"/>
      <c r="CK1936" s="276"/>
      <c r="CL1936" s="276"/>
      <c r="CM1936" s="276"/>
      <c r="CN1936" s="276"/>
      <c r="CO1936" s="276"/>
      <c r="CP1936" s="276"/>
      <c r="CQ1936" s="276"/>
      <c r="CU1936" s="276"/>
    </row>
    <row r="1937" spans="75:99" ht="15.75">
      <c r="BW1937" s="276"/>
      <c r="BY1937" s="276"/>
      <c r="BZ1937" s="276"/>
      <c r="CA1937" s="276"/>
      <c r="CB1937" s="276"/>
      <c r="CC1937" s="276"/>
      <c r="CD1937" s="276"/>
      <c r="CH1937" s="276"/>
      <c r="CJ1937" s="276"/>
      <c r="CK1937" s="276"/>
      <c r="CL1937" s="276"/>
      <c r="CM1937" s="276"/>
      <c r="CN1937" s="276"/>
      <c r="CO1937" s="276"/>
      <c r="CP1937" s="276"/>
      <c r="CQ1937" s="276"/>
      <c r="CU1937" s="276"/>
    </row>
    <row r="1938" spans="75:99" ht="15.75">
      <c r="BW1938" s="276"/>
      <c r="BY1938" s="276"/>
      <c r="BZ1938" s="276"/>
      <c r="CA1938" s="276"/>
      <c r="CB1938" s="276"/>
      <c r="CC1938" s="276"/>
      <c r="CD1938" s="276"/>
      <c r="CH1938" s="276"/>
      <c r="CJ1938" s="276"/>
      <c r="CK1938" s="276"/>
      <c r="CL1938" s="276"/>
      <c r="CM1938" s="276"/>
      <c r="CN1938" s="276"/>
      <c r="CO1938" s="276"/>
      <c r="CP1938" s="276"/>
      <c r="CQ1938" s="276"/>
      <c r="CU1938" s="276"/>
    </row>
    <row r="1939" spans="75:99" ht="15.75">
      <c r="BW1939" s="276"/>
      <c r="BY1939" s="276"/>
      <c r="BZ1939" s="276"/>
      <c r="CA1939" s="276"/>
      <c r="CB1939" s="276"/>
      <c r="CC1939" s="276"/>
      <c r="CD1939" s="276"/>
      <c r="CH1939" s="276"/>
      <c r="CJ1939" s="276"/>
      <c r="CK1939" s="276"/>
      <c r="CL1939" s="276"/>
      <c r="CM1939" s="276"/>
      <c r="CN1939" s="276"/>
      <c r="CO1939" s="276"/>
      <c r="CP1939" s="276"/>
      <c r="CQ1939" s="276"/>
      <c r="CU1939" s="276"/>
    </row>
    <row r="1940" spans="75:99" ht="15.75">
      <c r="BW1940" s="276"/>
      <c r="BY1940" s="276"/>
      <c r="BZ1940" s="276"/>
      <c r="CA1940" s="276"/>
      <c r="CB1940" s="276"/>
      <c r="CC1940" s="276"/>
      <c r="CD1940" s="276"/>
      <c r="CH1940" s="276"/>
      <c r="CJ1940" s="276"/>
      <c r="CK1940" s="276"/>
      <c r="CL1940" s="276"/>
      <c r="CM1940" s="276"/>
      <c r="CN1940" s="276"/>
      <c r="CO1940" s="276"/>
      <c r="CP1940" s="276"/>
      <c r="CQ1940" s="276"/>
      <c r="CU1940" s="276"/>
    </row>
    <row r="1941" spans="75:99" ht="15.75">
      <c r="BW1941" s="276"/>
      <c r="BY1941" s="276"/>
      <c r="BZ1941" s="276"/>
      <c r="CA1941" s="276"/>
      <c r="CB1941" s="276"/>
      <c r="CC1941" s="276"/>
      <c r="CD1941" s="276"/>
      <c r="CH1941" s="276"/>
      <c r="CJ1941" s="276"/>
      <c r="CK1941" s="276"/>
      <c r="CL1941" s="276"/>
      <c r="CM1941" s="276"/>
      <c r="CN1941" s="276"/>
      <c r="CO1941" s="276"/>
      <c r="CP1941" s="276"/>
      <c r="CQ1941" s="276"/>
      <c r="CU1941" s="276"/>
    </row>
    <row r="1942" spans="75:99" ht="15.75">
      <c r="BW1942" s="276"/>
      <c r="BY1942" s="276"/>
      <c r="BZ1942" s="276"/>
      <c r="CA1942" s="276"/>
      <c r="CB1942" s="276"/>
      <c r="CC1942" s="276"/>
      <c r="CD1942" s="276"/>
      <c r="CH1942" s="276"/>
      <c r="CJ1942" s="276"/>
      <c r="CK1942" s="276"/>
      <c r="CL1942" s="276"/>
      <c r="CM1942" s="276"/>
      <c r="CN1942" s="276"/>
      <c r="CO1942" s="276"/>
      <c r="CP1942" s="276"/>
      <c r="CQ1942" s="276"/>
      <c r="CU1942" s="276"/>
    </row>
    <row r="1943" spans="75:99" ht="15.75">
      <c r="BW1943" s="276"/>
      <c r="BY1943" s="276"/>
      <c r="BZ1943" s="276"/>
      <c r="CA1943" s="276"/>
      <c r="CB1943" s="276"/>
      <c r="CC1943" s="276"/>
      <c r="CD1943" s="276"/>
      <c r="CH1943" s="276"/>
      <c r="CJ1943" s="276"/>
      <c r="CK1943" s="276"/>
      <c r="CL1943" s="276"/>
      <c r="CM1943" s="276"/>
      <c r="CN1943" s="276"/>
      <c r="CO1943" s="276"/>
      <c r="CP1943" s="276"/>
      <c r="CQ1943" s="276"/>
      <c r="CU1943" s="276"/>
    </row>
    <row r="1944" spans="75:99" ht="15.75">
      <c r="BW1944" s="276"/>
      <c r="BY1944" s="276"/>
      <c r="BZ1944" s="276"/>
      <c r="CA1944" s="276"/>
      <c r="CB1944" s="276"/>
      <c r="CC1944" s="276"/>
      <c r="CD1944" s="276"/>
      <c r="CH1944" s="276"/>
      <c r="CJ1944" s="276"/>
      <c r="CK1944" s="276"/>
      <c r="CL1944" s="276"/>
      <c r="CM1944" s="276"/>
      <c r="CN1944" s="276"/>
      <c r="CO1944" s="276"/>
      <c r="CP1944" s="276"/>
      <c r="CQ1944" s="276"/>
      <c r="CU1944" s="276"/>
    </row>
    <row r="1945" spans="75:99" ht="15.75">
      <c r="BW1945" s="276"/>
      <c r="BY1945" s="276"/>
      <c r="BZ1945" s="276"/>
      <c r="CA1945" s="276"/>
      <c r="CB1945" s="276"/>
      <c r="CC1945" s="276"/>
      <c r="CD1945" s="276"/>
      <c r="CH1945" s="276"/>
      <c r="CJ1945" s="276"/>
      <c r="CK1945" s="276"/>
      <c r="CL1945" s="276"/>
      <c r="CM1945" s="276"/>
      <c r="CN1945" s="276"/>
      <c r="CO1945" s="276"/>
      <c r="CP1945" s="276"/>
      <c r="CQ1945" s="276"/>
      <c r="CU1945" s="276"/>
    </row>
    <row r="1946" spans="75:99" ht="15.75">
      <c r="BW1946" s="276"/>
      <c r="BY1946" s="276"/>
      <c r="BZ1946" s="276"/>
      <c r="CA1946" s="276"/>
      <c r="CB1946" s="276"/>
      <c r="CC1946" s="276"/>
      <c r="CD1946" s="276"/>
      <c r="CH1946" s="276"/>
      <c r="CJ1946" s="276"/>
      <c r="CK1946" s="276"/>
      <c r="CL1946" s="276"/>
      <c r="CM1946" s="276"/>
      <c r="CN1946" s="276"/>
      <c r="CO1946" s="276"/>
      <c r="CP1946" s="276"/>
      <c r="CQ1946" s="276"/>
      <c r="CU1946" s="276"/>
    </row>
    <row r="1947" spans="75:99" ht="15.75">
      <c r="BW1947" s="276"/>
      <c r="BY1947" s="276"/>
      <c r="BZ1947" s="276"/>
      <c r="CA1947" s="276"/>
      <c r="CB1947" s="276"/>
      <c r="CC1947" s="276"/>
      <c r="CD1947" s="276"/>
      <c r="CH1947" s="276"/>
      <c r="CJ1947" s="276"/>
      <c r="CK1947" s="276"/>
      <c r="CL1947" s="276"/>
      <c r="CM1947" s="276"/>
      <c r="CN1947" s="276"/>
      <c r="CO1947" s="276"/>
      <c r="CP1947" s="276"/>
      <c r="CQ1947" s="276"/>
      <c r="CU1947" s="276"/>
    </row>
    <row r="1948" spans="75:99" ht="15.75">
      <c r="BW1948" s="276"/>
      <c r="BY1948" s="276"/>
      <c r="BZ1948" s="276"/>
      <c r="CA1948" s="276"/>
      <c r="CB1948" s="276"/>
      <c r="CC1948" s="276"/>
      <c r="CD1948" s="276"/>
      <c r="CH1948" s="276"/>
      <c r="CJ1948" s="276"/>
      <c r="CK1948" s="276"/>
      <c r="CL1948" s="276"/>
      <c r="CM1948" s="276"/>
      <c r="CN1948" s="276"/>
      <c r="CO1948" s="276"/>
      <c r="CP1948" s="276"/>
      <c r="CQ1948" s="276"/>
      <c r="CU1948" s="276"/>
    </row>
    <row r="1949" spans="75:99" ht="15.75">
      <c r="BW1949" s="276"/>
      <c r="BY1949" s="276"/>
      <c r="BZ1949" s="276"/>
      <c r="CA1949" s="276"/>
      <c r="CB1949" s="276"/>
      <c r="CC1949" s="276"/>
      <c r="CD1949" s="276"/>
      <c r="CH1949" s="276"/>
      <c r="CJ1949" s="276"/>
      <c r="CK1949" s="276"/>
      <c r="CL1949" s="276"/>
      <c r="CM1949" s="276"/>
      <c r="CN1949" s="276"/>
      <c r="CO1949" s="276"/>
      <c r="CP1949" s="276"/>
      <c r="CQ1949" s="276"/>
      <c r="CU1949" s="276"/>
    </row>
    <row r="1950" spans="75:99" ht="15.75">
      <c r="BW1950" s="276"/>
      <c r="BY1950" s="276"/>
      <c r="BZ1950" s="276"/>
      <c r="CA1950" s="276"/>
      <c r="CB1950" s="276"/>
      <c r="CC1950" s="276"/>
      <c r="CD1950" s="276"/>
      <c r="CH1950" s="276"/>
      <c r="CJ1950" s="276"/>
      <c r="CK1950" s="276"/>
      <c r="CL1950" s="276"/>
      <c r="CM1950" s="276"/>
      <c r="CN1950" s="276"/>
      <c r="CO1950" s="276"/>
      <c r="CP1950" s="276"/>
      <c r="CQ1950" s="276"/>
      <c r="CU1950" s="276"/>
    </row>
    <row r="1951" spans="75:99" ht="15.75">
      <c r="BW1951" s="276"/>
      <c r="BY1951" s="276"/>
      <c r="BZ1951" s="276"/>
      <c r="CA1951" s="276"/>
      <c r="CB1951" s="276"/>
      <c r="CC1951" s="276"/>
      <c r="CD1951" s="276"/>
      <c r="CH1951" s="276"/>
      <c r="CJ1951" s="276"/>
      <c r="CK1951" s="276"/>
      <c r="CL1951" s="276"/>
      <c r="CM1951" s="276"/>
      <c r="CN1951" s="276"/>
      <c r="CO1951" s="276"/>
      <c r="CP1951" s="276"/>
      <c r="CQ1951" s="276"/>
      <c r="CU1951" s="276"/>
    </row>
    <row r="1952" spans="75:99" ht="15.75">
      <c r="BW1952" s="276"/>
      <c r="BY1952" s="276"/>
      <c r="BZ1952" s="276"/>
      <c r="CA1952" s="276"/>
      <c r="CB1952" s="276"/>
      <c r="CC1952" s="276"/>
      <c r="CD1952" s="276"/>
      <c r="CH1952" s="276"/>
      <c r="CJ1952" s="276"/>
      <c r="CK1952" s="276"/>
      <c r="CL1952" s="276"/>
      <c r="CM1952" s="276"/>
      <c r="CN1952" s="276"/>
      <c r="CO1952" s="276"/>
      <c r="CP1952" s="276"/>
      <c r="CQ1952" s="276"/>
      <c r="CU1952" s="276"/>
    </row>
    <row r="1953" spans="75:99" ht="15.75">
      <c r="BW1953" s="276"/>
      <c r="BY1953" s="276"/>
      <c r="BZ1953" s="276"/>
      <c r="CA1953" s="276"/>
      <c r="CB1953" s="276"/>
      <c r="CC1953" s="276"/>
      <c r="CD1953" s="276"/>
      <c r="CH1953" s="276"/>
      <c r="CJ1953" s="276"/>
      <c r="CK1953" s="276"/>
      <c r="CL1953" s="276"/>
      <c r="CM1953" s="276"/>
      <c r="CN1953" s="276"/>
      <c r="CO1953" s="276"/>
      <c r="CP1953" s="276"/>
      <c r="CQ1953" s="276"/>
      <c r="CU1953" s="276"/>
    </row>
    <row r="1954" spans="75:99" ht="15.75">
      <c r="BW1954" s="276"/>
      <c r="BY1954" s="276"/>
      <c r="BZ1954" s="276"/>
      <c r="CA1954" s="276"/>
      <c r="CB1954" s="276"/>
      <c r="CC1954" s="276"/>
      <c r="CD1954" s="276"/>
      <c r="CH1954" s="276"/>
      <c r="CJ1954" s="276"/>
      <c r="CK1954" s="276"/>
      <c r="CL1954" s="276"/>
      <c r="CM1954" s="276"/>
      <c r="CN1954" s="276"/>
      <c r="CO1954" s="276"/>
      <c r="CP1954" s="276"/>
      <c r="CQ1954" s="276"/>
      <c r="CU1954" s="276"/>
    </row>
    <row r="1955" spans="75:99" ht="15.75">
      <c r="BW1955" s="276"/>
      <c r="BY1955" s="276"/>
      <c r="BZ1955" s="276"/>
      <c r="CA1955" s="276"/>
      <c r="CB1955" s="276"/>
      <c r="CC1955" s="276"/>
      <c r="CD1955" s="276"/>
      <c r="CH1955" s="276"/>
      <c r="CJ1955" s="276"/>
      <c r="CK1955" s="276"/>
      <c r="CL1955" s="276"/>
      <c r="CM1955" s="276"/>
      <c r="CN1955" s="276"/>
      <c r="CO1955" s="276"/>
      <c r="CP1955" s="276"/>
      <c r="CQ1955" s="276"/>
      <c r="CU1955" s="276"/>
    </row>
    <row r="1956" spans="75:99" ht="15.75">
      <c r="BW1956" s="276"/>
      <c r="BY1956" s="276"/>
      <c r="BZ1956" s="276"/>
      <c r="CA1956" s="276"/>
      <c r="CB1956" s="276"/>
      <c r="CC1956" s="276"/>
      <c r="CD1956" s="276"/>
      <c r="CH1956" s="276"/>
      <c r="CJ1956" s="276"/>
      <c r="CK1956" s="276"/>
      <c r="CL1956" s="276"/>
      <c r="CM1956" s="276"/>
      <c r="CN1956" s="276"/>
      <c r="CO1956" s="276"/>
      <c r="CP1956" s="276"/>
      <c r="CQ1956" s="276"/>
      <c r="CU1956" s="276"/>
    </row>
    <row r="1957" spans="75:99" ht="15.75">
      <c r="BW1957" s="276"/>
      <c r="BY1957" s="276"/>
      <c r="BZ1957" s="276"/>
      <c r="CA1957" s="276"/>
      <c r="CB1957" s="276"/>
      <c r="CC1957" s="276"/>
      <c r="CD1957" s="276"/>
      <c r="CH1957" s="276"/>
      <c r="CJ1957" s="276"/>
      <c r="CK1957" s="276"/>
      <c r="CL1957" s="276"/>
      <c r="CM1957" s="276"/>
      <c r="CN1957" s="276"/>
      <c r="CO1957" s="276"/>
      <c r="CP1957" s="276"/>
      <c r="CQ1957" s="276"/>
      <c r="CU1957" s="276"/>
    </row>
    <row r="1958" spans="75:99" ht="15.75">
      <c r="BW1958" s="276"/>
      <c r="BY1958" s="276"/>
      <c r="BZ1958" s="276"/>
      <c r="CA1958" s="276"/>
      <c r="CB1958" s="276"/>
      <c r="CC1958" s="276"/>
      <c r="CD1958" s="276"/>
      <c r="CH1958" s="276"/>
      <c r="CJ1958" s="276"/>
      <c r="CK1958" s="276"/>
      <c r="CL1958" s="276"/>
      <c r="CM1958" s="276"/>
      <c r="CN1958" s="276"/>
      <c r="CO1958" s="276"/>
      <c r="CP1958" s="276"/>
      <c r="CQ1958" s="276"/>
      <c r="CU1958" s="276"/>
    </row>
    <row r="1959" spans="75:99" ht="15.75">
      <c r="BW1959" s="276"/>
      <c r="BY1959" s="276"/>
      <c r="BZ1959" s="276"/>
      <c r="CA1959" s="276"/>
      <c r="CB1959" s="276"/>
      <c r="CC1959" s="276"/>
      <c r="CD1959" s="276"/>
      <c r="CH1959" s="276"/>
      <c r="CJ1959" s="276"/>
      <c r="CK1959" s="276"/>
      <c r="CL1959" s="276"/>
      <c r="CM1959" s="276"/>
      <c r="CN1959" s="276"/>
      <c r="CO1959" s="276"/>
      <c r="CP1959" s="276"/>
      <c r="CQ1959" s="276"/>
      <c r="CU1959" s="276"/>
    </row>
    <row r="1960" spans="75:99" ht="15.75">
      <c r="BW1960" s="276"/>
      <c r="BY1960" s="276"/>
      <c r="BZ1960" s="276"/>
      <c r="CA1960" s="276"/>
      <c r="CB1960" s="276"/>
      <c r="CC1960" s="276"/>
      <c r="CD1960" s="276"/>
      <c r="CH1960" s="276"/>
      <c r="CJ1960" s="276"/>
      <c r="CK1960" s="276"/>
      <c r="CL1960" s="276"/>
      <c r="CM1960" s="276"/>
      <c r="CN1960" s="276"/>
      <c r="CO1960" s="276"/>
      <c r="CP1960" s="276"/>
      <c r="CQ1960" s="276"/>
      <c r="CU1960" s="276"/>
    </row>
    <row r="1961" spans="75:99" ht="15.75">
      <c r="BW1961" s="276"/>
      <c r="BY1961" s="276"/>
      <c r="BZ1961" s="276"/>
      <c r="CA1961" s="276"/>
      <c r="CB1961" s="276"/>
      <c r="CC1961" s="276"/>
      <c r="CD1961" s="276"/>
      <c r="CH1961" s="276"/>
      <c r="CJ1961" s="276"/>
      <c r="CK1961" s="276"/>
      <c r="CL1961" s="276"/>
      <c r="CM1961" s="276"/>
      <c r="CN1961" s="276"/>
      <c r="CO1961" s="276"/>
      <c r="CP1961" s="276"/>
      <c r="CQ1961" s="276"/>
      <c r="CU1961" s="276"/>
    </row>
    <row r="1962" spans="75:99" ht="15.75">
      <c r="BW1962" s="276"/>
      <c r="BY1962" s="276"/>
      <c r="BZ1962" s="276"/>
      <c r="CA1962" s="276"/>
      <c r="CB1962" s="276"/>
      <c r="CC1962" s="276"/>
      <c r="CD1962" s="276"/>
      <c r="CH1962" s="276"/>
      <c r="CJ1962" s="276"/>
      <c r="CK1962" s="276"/>
      <c r="CL1962" s="276"/>
      <c r="CM1962" s="276"/>
      <c r="CN1962" s="276"/>
      <c r="CO1962" s="276"/>
      <c r="CP1962" s="276"/>
      <c r="CQ1962" s="276"/>
      <c r="CU1962" s="276"/>
    </row>
    <row r="1963" spans="75:99" ht="15.75">
      <c r="BW1963" s="276"/>
      <c r="BY1963" s="276"/>
      <c r="BZ1963" s="276"/>
      <c r="CA1963" s="276"/>
      <c r="CB1963" s="276"/>
      <c r="CC1963" s="276"/>
      <c r="CD1963" s="276"/>
      <c r="CH1963" s="276"/>
      <c r="CJ1963" s="276"/>
      <c r="CK1963" s="276"/>
      <c r="CL1963" s="276"/>
      <c r="CM1963" s="276"/>
      <c r="CN1963" s="276"/>
      <c r="CO1963" s="276"/>
      <c r="CP1963" s="276"/>
      <c r="CQ1963" s="276"/>
      <c r="CU1963" s="276"/>
    </row>
    <row r="1964" spans="75:99" ht="15.75">
      <c r="BW1964" s="276"/>
      <c r="BY1964" s="276"/>
      <c r="BZ1964" s="276"/>
      <c r="CA1964" s="276"/>
      <c r="CB1964" s="276"/>
      <c r="CC1964" s="276"/>
      <c r="CD1964" s="276"/>
      <c r="CH1964" s="276"/>
      <c r="CJ1964" s="276"/>
      <c r="CK1964" s="276"/>
      <c r="CL1964" s="276"/>
      <c r="CM1964" s="276"/>
      <c r="CN1964" s="276"/>
      <c r="CO1964" s="276"/>
      <c r="CP1964" s="276"/>
      <c r="CQ1964" s="276"/>
      <c r="CU1964" s="276"/>
    </row>
    <row r="1965" spans="75:99" ht="15.75">
      <c r="BW1965" s="276"/>
      <c r="BY1965" s="276"/>
      <c r="BZ1965" s="276"/>
      <c r="CA1965" s="276"/>
      <c r="CB1965" s="276"/>
      <c r="CC1965" s="276"/>
      <c r="CD1965" s="276"/>
      <c r="CH1965" s="276"/>
      <c r="CJ1965" s="276"/>
      <c r="CK1965" s="276"/>
      <c r="CL1965" s="276"/>
      <c r="CM1965" s="276"/>
      <c r="CN1965" s="276"/>
      <c r="CO1965" s="276"/>
      <c r="CP1965" s="276"/>
      <c r="CQ1965" s="276"/>
      <c r="CU1965" s="276"/>
    </row>
    <row r="1966" spans="75:99" ht="15.75">
      <c r="BW1966" s="276"/>
      <c r="BY1966" s="276"/>
      <c r="BZ1966" s="276"/>
      <c r="CA1966" s="276"/>
      <c r="CB1966" s="276"/>
      <c r="CC1966" s="276"/>
      <c r="CD1966" s="276"/>
      <c r="CH1966" s="276"/>
      <c r="CJ1966" s="276"/>
      <c r="CK1966" s="276"/>
      <c r="CL1966" s="276"/>
      <c r="CM1966" s="276"/>
      <c r="CN1966" s="276"/>
      <c r="CO1966" s="276"/>
      <c r="CP1966" s="276"/>
      <c r="CQ1966" s="276"/>
      <c r="CU1966" s="276"/>
    </row>
    <row r="1967" spans="75:99" ht="15.75">
      <c r="BW1967" s="276"/>
      <c r="BY1967" s="276"/>
      <c r="BZ1967" s="276"/>
      <c r="CA1967" s="276"/>
      <c r="CB1967" s="276"/>
      <c r="CC1967" s="276"/>
      <c r="CD1967" s="276"/>
      <c r="CH1967" s="276"/>
      <c r="CJ1967" s="276"/>
      <c r="CK1967" s="276"/>
      <c r="CL1967" s="276"/>
      <c r="CM1967" s="276"/>
      <c r="CN1967" s="276"/>
      <c r="CO1967" s="276"/>
      <c r="CP1967" s="276"/>
      <c r="CQ1967" s="276"/>
      <c r="CU1967" s="276"/>
    </row>
    <row r="1968" spans="75:99" ht="15.75">
      <c r="BW1968" s="276"/>
      <c r="BY1968" s="276"/>
      <c r="BZ1968" s="276"/>
      <c r="CA1968" s="276"/>
      <c r="CB1968" s="276"/>
      <c r="CC1968" s="276"/>
      <c r="CD1968" s="276"/>
      <c r="CH1968" s="276"/>
      <c r="CJ1968" s="276"/>
      <c r="CK1968" s="276"/>
      <c r="CL1968" s="276"/>
      <c r="CM1968" s="276"/>
      <c r="CN1968" s="276"/>
      <c r="CO1968" s="276"/>
      <c r="CP1968" s="276"/>
      <c r="CQ1968" s="276"/>
      <c r="CU1968" s="276"/>
    </row>
    <row r="1969" spans="75:99" ht="15.75">
      <c r="BW1969" s="276"/>
      <c r="BY1969" s="276"/>
      <c r="BZ1969" s="276"/>
      <c r="CA1969" s="276"/>
      <c r="CB1969" s="276"/>
      <c r="CC1969" s="276"/>
      <c r="CD1969" s="276"/>
      <c r="CH1969" s="276"/>
      <c r="CJ1969" s="276"/>
      <c r="CK1969" s="276"/>
      <c r="CL1969" s="276"/>
      <c r="CM1969" s="276"/>
      <c r="CN1969" s="276"/>
      <c r="CO1969" s="276"/>
      <c r="CP1969" s="276"/>
      <c r="CQ1969" s="276"/>
      <c r="CU1969" s="276"/>
    </row>
    <row r="1970" spans="75:99" ht="15.75">
      <c r="BW1970" s="276"/>
      <c r="BY1970" s="276"/>
      <c r="BZ1970" s="276"/>
      <c r="CA1970" s="276"/>
      <c r="CB1970" s="276"/>
      <c r="CC1970" s="276"/>
      <c r="CD1970" s="276"/>
      <c r="CH1970" s="276"/>
      <c r="CJ1970" s="276"/>
      <c r="CK1970" s="276"/>
      <c r="CL1970" s="276"/>
      <c r="CM1970" s="276"/>
      <c r="CN1970" s="276"/>
      <c r="CO1970" s="276"/>
      <c r="CP1970" s="276"/>
      <c r="CQ1970" s="276"/>
      <c r="CU1970" s="276"/>
    </row>
    <row r="1971" spans="75:99" ht="15.75">
      <c r="BW1971" s="276"/>
      <c r="BY1971" s="276"/>
      <c r="BZ1971" s="276"/>
      <c r="CA1971" s="276"/>
      <c r="CB1971" s="276"/>
      <c r="CC1971" s="276"/>
      <c r="CD1971" s="276"/>
      <c r="CH1971" s="276"/>
      <c r="CJ1971" s="276"/>
      <c r="CK1971" s="276"/>
      <c r="CL1971" s="276"/>
      <c r="CM1971" s="276"/>
      <c r="CN1971" s="276"/>
      <c r="CO1971" s="276"/>
      <c r="CP1971" s="276"/>
      <c r="CQ1971" s="276"/>
      <c r="CU1971" s="276"/>
    </row>
    <row r="1972" spans="75:99" ht="15.75">
      <c r="BW1972" s="276"/>
      <c r="BY1972" s="276"/>
      <c r="BZ1972" s="276"/>
      <c r="CA1972" s="276"/>
      <c r="CB1972" s="276"/>
      <c r="CC1972" s="276"/>
      <c r="CD1972" s="276"/>
      <c r="CH1972" s="276"/>
      <c r="CJ1972" s="276"/>
      <c r="CK1972" s="276"/>
      <c r="CL1972" s="276"/>
      <c r="CM1972" s="276"/>
      <c r="CN1972" s="276"/>
      <c r="CO1972" s="276"/>
      <c r="CP1972" s="276"/>
      <c r="CQ1972" s="276"/>
      <c r="CU1972" s="276"/>
    </row>
    <row r="1973" spans="75:99" ht="15.75">
      <c r="BW1973" s="276"/>
      <c r="BY1973" s="276"/>
      <c r="BZ1973" s="276"/>
      <c r="CA1973" s="276"/>
      <c r="CB1973" s="276"/>
      <c r="CC1973" s="276"/>
      <c r="CD1973" s="276"/>
      <c r="CH1973" s="276"/>
      <c r="CJ1973" s="276"/>
      <c r="CK1973" s="276"/>
      <c r="CL1973" s="276"/>
      <c r="CM1973" s="276"/>
      <c r="CN1973" s="276"/>
      <c r="CO1973" s="276"/>
      <c r="CP1973" s="276"/>
      <c r="CQ1973" s="276"/>
      <c r="CU1973" s="276"/>
    </row>
    <row r="1974" spans="75:99" ht="15.75">
      <c r="BW1974" s="276"/>
      <c r="BY1974" s="276"/>
      <c r="BZ1974" s="276"/>
      <c r="CA1974" s="276"/>
      <c r="CB1974" s="276"/>
      <c r="CC1974" s="276"/>
      <c r="CD1974" s="276"/>
      <c r="CH1974" s="276"/>
      <c r="CJ1974" s="276"/>
      <c r="CK1974" s="276"/>
      <c r="CL1974" s="276"/>
      <c r="CM1974" s="276"/>
      <c r="CN1974" s="276"/>
      <c r="CO1974" s="276"/>
      <c r="CP1974" s="276"/>
      <c r="CQ1974" s="276"/>
      <c r="CU1974" s="276"/>
    </row>
    <row r="1975" spans="75:99" ht="15.75">
      <c r="BW1975" s="276"/>
      <c r="BY1975" s="276"/>
      <c r="BZ1975" s="276"/>
      <c r="CA1975" s="276"/>
      <c r="CB1975" s="276"/>
      <c r="CC1975" s="276"/>
      <c r="CD1975" s="276"/>
      <c r="CH1975" s="276"/>
      <c r="CJ1975" s="276"/>
      <c r="CK1975" s="276"/>
      <c r="CL1975" s="276"/>
      <c r="CM1975" s="276"/>
      <c r="CN1975" s="276"/>
      <c r="CO1975" s="276"/>
      <c r="CP1975" s="276"/>
      <c r="CQ1975" s="276"/>
      <c r="CU1975" s="276"/>
    </row>
    <row r="1976" spans="75:99" ht="15.75">
      <c r="BW1976" s="276"/>
      <c r="BY1976" s="276"/>
      <c r="BZ1976" s="276"/>
      <c r="CA1976" s="276"/>
      <c r="CB1976" s="276"/>
      <c r="CC1976" s="276"/>
      <c r="CD1976" s="276"/>
      <c r="CH1976" s="276"/>
      <c r="CJ1976" s="276"/>
      <c r="CK1976" s="276"/>
      <c r="CL1976" s="276"/>
      <c r="CM1976" s="276"/>
      <c r="CN1976" s="276"/>
      <c r="CO1976" s="276"/>
      <c r="CP1976" s="276"/>
      <c r="CQ1976" s="276"/>
      <c r="CU1976" s="276"/>
    </row>
    <row r="1977" spans="75:99" ht="15.75">
      <c r="BW1977" s="276"/>
      <c r="BY1977" s="276"/>
      <c r="BZ1977" s="276"/>
      <c r="CA1977" s="276"/>
      <c r="CB1977" s="276"/>
      <c r="CC1977" s="276"/>
      <c r="CD1977" s="276"/>
      <c r="CH1977" s="276"/>
      <c r="CJ1977" s="276"/>
      <c r="CK1977" s="276"/>
      <c r="CL1977" s="276"/>
      <c r="CM1977" s="276"/>
      <c r="CN1977" s="276"/>
      <c r="CO1977" s="276"/>
      <c r="CP1977" s="276"/>
      <c r="CQ1977" s="276"/>
      <c r="CU1977" s="276"/>
    </row>
    <row r="1978" spans="75:99" ht="15.75">
      <c r="BW1978" s="276"/>
      <c r="BY1978" s="276"/>
      <c r="BZ1978" s="276"/>
      <c r="CA1978" s="276"/>
      <c r="CB1978" s="276"/>
      <c r="CC1978" s="276"/>
      <c r="CD1978" s="276"/>
      <c r="CH1978" s="276"/>
      <c r="CJ1978" s="276"/>
      <c r="CK1978" s="276"/>
      <c r="CL1978" s="276"/>
      <c r="CM1978" s="276"/>
      <c r="CN1978" s="276"/>
      <c r="CO1978" s="276"/>
      <c r="CP1978" s="276"/>
      <c r="CQ1978" s="276"/>
      <c r="CU1978" s="276"/>
    </row>
    <row r="1979" spans="75:99" ht="15.75">
      <c r="BW1979" s="276"/>
      <c r="BY1979" s="276"/>
      <c r="BZ1979" s="276"/>
      <c r="CA1979" s="276"/>
      <c r="CB1979" s="276"/>
      <c r="CC1979" s="276"/>
      <c r="CD1979" s="276"/>
      <c r="CH1979" s="276"/>
      <c r="CJ1979" s="276"/>
      <c r="CK1979" s="276"/>
      <c r="CL1979" s="276"/>
      <c r="CM1979" s="276"/>
      <c r="CN1979" s="276"/>
      <c r="CO1979" s="276"/>
      <c r="CP1979" s="276"/>
      <c r="CQ1979" s="276"/>
      <c r="CU1979" s="276"/>
    </row>
    <row r="1980" spans="75:99" ht="15.75">
      <c r="BW1980" s="276"/>
      <c r="BY1980" s="276"/>
      <c r="BZ1980" s="276"/>
      <c r="CA1980" s="276"/>
      <c r="CB1980" s="276"/>
      <c r="CC1980" s="276"/>
      <c r="CD1980" s="276"/>
      <c r="CH1980" s="276"/>
      <c r="CJ1980" s="276"/>
      <c r="CK1980" s="276"/>
      <c r="CL1980" s="276"/>
      <c r="CM1980" s="276"/>
      <c r="CN1980" s="276"/>
      <c r="CO1980" s="276"/>
      <c r="CP1980" s="276"/>
      <c r="CQ1980" s="276"/>
      <c r="CU1980" s="276"/>
    </row>
    <row r="1981" spans="75:99" ht="15.75">
      <c r="BW1981" s="276"/>
      <c r="BY1981" s="276"/>
      <c r="BZ1981" s="276"/>
      <c r="CA1981" s="276"/>
      <c r="CB1981" s="276"/>
      <c r="CC1981" s="276"/>
      <c r="CD1981" s="276"/>
      <c r="CH1981" s="276"/>
      <c r="CJ1981" s="276"/>
      <c r="CK1981" s="276"/>
      <c r="CL1981" s="276"/>
      <c r="CM1981" s="276"/>
      <c r="CN1981" s="276"/>
      <c r="CO1981" s="276"/>
      <c r="CP1981" s="276"/>
      <c r="CQ1981" s="276"/>
      <c r="CU1981" s="276"/>
    </row>
    <row r="1982" spans="75:99" ht="15.75">
      <c r="BW1982" s="276"/>
      <c r="BY1982" s="276"/>
      <c r="BZ1982" s="276"/>
      <c r="CA1982" s="276"/>
      <c r="CB1982" s="276"/>
      <c r="CC1982" s="276"/>
      <c r="CD1982" s="276"/>
      <c r="CH1982" s="276"/>
      <c r="CJ1982" s="276"/>
      <c r="CK1982" s="276"/>
      <c r="CL1982" s="276"/>
      <c r="CM1982" s="276"/>
      <c r="CN1982" s="276"/>
      <c r="CO1982" s="276"/>
      <c r="CP1982" s="276"/>
      <c r="CQ1982" s="276"/>
      <c r="CU1982" s="276"/>
    </row>
    <row r="1983" spans="75:99" ht="15.75">
      <c r="BW1983" s="276"/>
      <c r="BY1983" s="276"/>
      <c r="BZ1983" s="276"/>
      <c r="CA1983" s="276"/>
      <c r="CB1983" s="276"/>
      <c r="CC1983" s="276"/>
      <c r="CD1983" s="276"/>
      <c r="CH1983" s="276"/>
      <c r="CJ1983" s="276"/>
      <c r="CK1983" s="276"/>
      <c r="CL1983" s="276"/>
      <c r="CM1983" s="276"/>
      <c r="CN1983" s="276"/>
      <c r="CO1983" s="276"/>
      <c r="CP1983" s="276"/>
      <c r="CQ1983" s="276"/>
      <c r="CU1983" s="276"/>
    </row>
    <row r="1984" spans="75:99" ht="15.75">
      <c r="BW1984" s="276"/>
      <c r="BY1984" s="276"/>
      <c r="BZ1984" s="276"/>
      <c r="CA1984" s="276"/>
      <c r="CB1984" s="276"/>
      <c r="CC1984" s="276"/>
      <c r="CD1984" s="276"/>
      <c r="CH1984" s="276"/>
      <c r="CJ1984" s="276"/>
      <c r="CK1984" s="276"/>
      <c r="CL1984" s="276"/>
      <c r="CM1984" s="276"/>
      <c r="CN1984" s="276"/>
      <c r="CO1984" s="276"/>
      <c r="CP1984" s="276"/>
      <c r="CQ1984" s="276"/>
      <c r="CU1984" s="276"/>
    </row>
    <row r="1985" spans="75:99" ht="15.75">
      <c r="BW1985" s="276"/>
      <c r="BY1985" s="276"/>
      <c r="BZ1985" s="276"/>
      <c r="CA1985" s="276"/>
      <c r="CB1985" s="276"/>
      <c r="CC1985" s="276"/>
      <c r="CD1985" s="276"/>
      <c r="CH1985" s="276"/>
      <c r="CJ1985" s="276"/>
      <c r="CK1985" s="276"/>
      <c r="CL1985" s="276"/>
      <c r="CM1985" s="276"/>
      <c r="CN1985" s="276"/>
      <c r="CO1985" s="276"/>
      <c r="CP1985" s="276"/>
      <c r="CQ1985" s="276"/>
      <c r="CU1985" s="276"/>
    </row>
    <row r="1986" spans="75:99" ht="15.75">
      <c r="BW1986" s="276"/>
      <c r="BY1986" s="276"/>
      <c r="BZ1986" s="276"/>
      <c r="CA1986" s="276"/>
      <c r="CB1986" s="276"/>
      <c r="CC1986" s="276"/>
      <c r="CD1986" s="276"/>
      <c r="CH1986" s="276"/>
      <c r="CJ1986" s="276"/>
      <c r="CK1986" s="276"/>
      <c r="CL1986" s="276"/>
      <c r="CM1986" s="276"/>
      <c r="CN1986" s="276"/>
      <c r="CO1986" s="276"/>
      <c r="CP1986" s="276"/>
      <c r="CQ1986" s="276"/>
      <c r="CU1986" s="276"/>
    </row>
    <row r="1987" spans="75:99" ht="15.75">
      <c r="BW1987" s="276"/>
      <c r="BY1987" s="276"/>
      <c r="BZ1987" s="276"/>
      <c r="CA1987" s="276"/>
      <c r="CB1987" s="276"/>
      <c r="CC1987" s="276"/>
      <c r="CD1987" s="276"/>
      <c r="CH1987" s="276"/>
      <c r="CJ1987" s="276"/>
      <c r="CK1987" s="276"/>
      <c r="CL1987" s="276"/>
      <c r="CM1987" s="276"/>
      <c r="CN1987" s="276"/>
      <c r="CO1987" s="276"/>
      <c r="CP1987" s="276"/>
      <c r="CQ1987" s="276"/>
      <c r="CU1987" s="276"/>
    </row>
    <row r="1988" spans="75:99" ht="15.75">
      <c r="BW1988" s="276"/>
      <c r="BY1988" s="276"/>
      <c r="BZ1988" s="276"/>
      <c r="CA1988" s="276"/>
      <c r="CB1988" s="276"/>
      <c r="CC1988" s="276"/>
      <c r="CD1988" s="276"/>
      <c r="CH1988" s="276"/>
      <c r="CJ1988" s="276"/>
      <c r="CK1988" s="276"/>
      <c r="CL1988" s="276"/>
      <c r="CM1988" s="276"/>
      <c r="CN1988" s="276"/>
      <c r="CO1988" s="276"/>
      <c r="CP1988" s="276"/>
      <c r="CQ1988" s="276"/>
      <c r="CU1988" s="276"/>
    </row>
    <row r="1989" spans="75:99" ht="15.75">
      <c r="BW1989" s="276"/>
      <c r="BY1989" s="276"/>
      <c r="BZ1989" s="276"/>
      <c r="CA1989" s="276"/>
      <c r="CB1989" s="276"/>
      <c r="CC1989" s="276"/>
      <c r="CD1989" s="276"/>
      <c r="CH1989" s="276"/>
      <c r="CJ1989" s="276"/>
      <c r="CK1989" s="276"/>
      <c r="CL1989" s="276"/>
      <c r="CM1989" s="276"/>
      <c r="CN1989" s="276"/>
      <c r="CO1989" s="276"/>
      <c r="CP1989" s="276"/>
      <c r="CQ1989" s="276"/>
      <c r="CU1989" s="276"/>
    </row>
    <row r="1990" spans="75:99" ht="15.75">
      <c r="BW1990" s="276"/>
      <c r="BY1990" s="276"/>
      <c r="BZ1990" s="276"/>
      <c r="CA1990" s="276"/>
      <c r="CB1990" s="276"/>
      <c r="CC1990" s="276"/>
      <c r="CD1990" s="276"/>
      <c r="CH1990" s="276"/>
      <c r="CJ1990" s="276"/>
      <c r="CK1990" s="276"/>
      <c r="CL1990" s="276"/>
      <c r="CM1990" s="276"/>
      <c r="CN1990" s="276"/>
      <c r="CO1990" s="276"/>
      <c r="CP1990" s="276"/>
      <c r="CQ1990" s="276"/>
      <c r="CU1990" s="276"/>
    </row>
    <row r="1991" spans="75:99" ht="15.75">
      <c r="BW1991" s="276"/>
      <c r="BY1991" s="276"/>
      <c r="BZ1991" s="276"/>
      <c r="CA1991" s="276"/>
      <c r="CB1991" s="276"/>
      <c r="CC1991" s="276"/>
      <c r="CD1991" s="276"/>
      <c r="CH1991" s="276"/>
      <c r="CJ1991" s="276"/>
      <c r="CK1991" s="276"/>
      <c r="CL1991" s="276"/>
      <c r="CM1991" s="276"/>
      <c r="CN1991" s="276"/>
      <c r="CO1991" s="276"/>
      <c r="CP1991" s="276"/>
      <c r="CQ1991" s="276"/>
      <c r="CU1991" s="276"/>
    </row>
    <row r="1992" spans="75:99" ht="15.75">
      <c r="BW1992" s="276"/>
      <c r="BY1992" s="276"/>
      <c r="BZ1992" s="276"/>
      <c r="CA1992" s="276"/>
      <c r="CB1992" s="276"/>
      <c r="CC1992" s="276"/>
      <c r="CD1992" s="276"/>
      <c r="CH1992" s="276"/>
      <c r="CJ1992" s="276"/>
      <c r="CK1992" s="276"/>
      <c r="CL1992" s="276"/>
      <c r="CM1992" s="276"/>
      <c r="CN1992" s="276"/>
      <c r="CO1992" s="276"/>
      <c r="CP1992" s="276"/>
      <c r="CQ1992" s="276"/>
      <c r="CU1992" s="276"/>
    </row>
    <row r="1993" spans="75:99" ht="15.75">
      <c r="BW1993" s="276"/>
      <c r="BY1993" s="276"/>
      <c r="BZ1993" s="276"/>
      <c r="CA1993" s="276"/>
      <c r="CB1993" s="276"/>
      <c r="CC1993" s="276"/>
      <c r="CD1993" s="276"/>
      <c r="CH1993" s="276"/>
      <c r="CJ1993" s="276"/>
      <c r="CK1993" s="276"/>
      <c r="CL1993" s="276"/>
      <c r="CM1993" s="276"/>
      <c r="CN1993" s="276"/>
      <c r="CO1993" s="276"/>
      <c r="CP1993" s="276"/>
      <c r="CQ1993" s="276"/>
      <c r="CU1993" s="276"/>
    </row>
    <row r="1994" spans="75:99" ht="15.75">
      <c r="BW1994" s="276"/>
      <c r="BY1994" s="276"/>
      <c r="BZ1994" s="276"/>
      <c r="CA1994" s="276"/>
      <c r="CB1994" s="276"/>
      <c r="CC1994" s="276"/>
      <c r="CD1994" s="276"/>
      <c r="CH1994" s="276"/>
      <c r="CJ1994" s="276"/>
      <c r="CK1994" s="276"/>
      <c r="CL1994" s="276"/>
      <c r="CM1994" s="276"/>
      <c r="CN1994" s="276"/>
      <c r="CO1994" s="276"/>
      <c r="CP1994" s="276"/>
      <c r="CQ1994" s="276"/>
      <c r="CU1994" s="276"/>
    </row>
    <row r="1995" spans="75:99" ht="15.75">
      <c r="BW1995" s="276"/>
      <c r="BY1995" s="276"/>
      <c r="BZ1995" s="276"/>
      <c r="CA1995" s="276"/>
      <c r="CB1995" s="276"/>
      <c r="CC1995" s="276"/>
      <c r="CD1995" s="276"/>
      <c r="CH1995" s="276"/>
      <c r="CJ1995" s="276"/>
      <c r="CK1995" s="276"/>
      <c r="CL1995" s="276"/>
      <c r="CM1995" s="276"/>
      <c r="CN1995" s="276"/>
      <c r="CO1995" s="276"/>
      <c r="CP1995" s="276"/>
      <c r="CQ1995" s="276"/>
      <c r="CU1995" s="276"/>
    </row>
    <row r="1996" spans="75:99" ht="15.75">
      <c r="BW1996" s="276"/>
      <c r="BY1996" s="276"/>
      <c r="BZ1996" s="276"/>
      <c r="CA1996" s="276"/>
      <c r="CB1996" s="276"/>
      <c r="CC1996" s="276"/>
      <c r="CD1996" s="276"/>
      <c r="CH1996" s="276"/>
      <c r="CJ1996" s="276"/>
      <c r="CK1996" s="276"/>
      <c r="CL1996" s="276"/>
      <c r="CM1996" s="276"/>
      <c r="CN1996" s="276"/>
      <c r="CO1996" s="276"/>
      <c r="CP1996" s="276"/>
      <c r="CQ1996" s="276"/>
      <c r="CU1996" s="276"/>
    </row>
    <row r="1997" spans="75:99" ht="15.75">
      <c r="BW1997" s="276"/>
      <c r="BY1997" s="276"/>
      <c r="BZ1997" s="276"/>
      <c r="CA1997" s="276"/>
      <c r="CB1997" s="276"/>
      <c r="CC1997" s="276"/>
      <c r="CD1997" s="276"/>
      <c r="CH1997" s="276"/>
      <c r="CJ1997" s="276"/>
      <c r="CK1997" s="276"/>
      <c r="CL1997" s="276"/>
      <c r="CM1997" s="276"/>
      <c r="CN1997" s="276"/>
      <c r="CO1997" s="276"/>
      <c r="CP1997" s="276"/>
      <c r="CQ1997" s="276"/>
      <c r="CU1997" s="276"/>
    </row>
    <row r="1998" spans="75:99" ht="15.75">
      <c r="BW1998" s="276"/>
      <c r="BY1998" s="276"/>
      <c r="BZ1998" s="276"/>
      <c r="CA1998" s="276"/>
      <c r="CB1998" s="276"/>
      <c r="CC1998" s="276"/>
      <c r="CD1998" s="276"/>
      <c r="CH1998" s="276"/>
      <c r="CJ1998" s="276"/>
      <c r="CK1998" s="276"/>
      <c r="CL1998" s="276"/>
      <c r="CM1998" s="276"/>
      <c r="CN1998" s="276"/>
      <c r="CO1998" s="276"/>
      <c r="CP1998" s="276"/>
      <c r="CQ1998" s="276"/>
      <c r="CU1998" s="276"/>
    </row>
    <row r="1999" spans="75:99" ht="15.75">
      <c r="BW1999" s="276"/>
      <c r="BY1999" s="276"/>
      <c r="BZ1999" s="276"/>
      <c r="CA1999" s="276"/>
      <c r="CB1999" s="276"/>
      <c r="CC1999" s="276"/>
      <c r="CD1999" s="276"/>
      <c r="CH1999" s="276"/>
      <c r="CJ1999" s="276"/>
      <c r="CK1999" s="276"/>
      <c r="CL1999" s="276"/>
      <c r="CM1999" s="276"/>
      <c r="CN1999" s="276"/>
      <c r="CO1999" s="276"/>
      <c r="CP1999" s="276"/>
      <c r="CQ1999" s="276"/>
      <c r="CU1999" s="276"/>
    </row>
    <row r="2000" spans="75:99" ht="15.75">
      <c r="BW2000" s="276"/>
      <c r="BY2000" s="276"/>
      <c r="BZ2000" s="276"/>
      <c r="CA2000" s="276"/>
      <c r="CB2000" s="276"/>
      <c r="CC2000" s="276"/>
      <c r="CD2000" s="276"/>
      <c r="CH2000" s="276"/>
      <c r="CJ2000" s="276"/>
      <c r="CK2000" s="276"/>
      <c r="CL2000" s="276"/>
      <c r="CM2000" s="276"/>
      <c r="CN2000" s="276"/>
      <c r="CO2000" s="276"/>
      <c r="CP2000" s="276"/>
      <c r="CQ2000" s="276"/>
      <c r="CU2000" s="276"/>
    </row>
    <row r="2001" spans="75:99" ht="15.75">
      <c r="BW2001" s="276"/>
      <c r="BY2001" s="276"/>
      <c r="BZ2001" s="276"/>
      <c r="CA2001" s="276"/>
      <c r="CB2001" s="276"/>
      <c r="CC2001" s="276"/>
      <c r="CD2001" s="276"/>
      <c r="CH2001" s="276"/>
      <c r="CJ2001" s="276"/>
      <c r="CK2001" s="276"/>
      <c r="CL2001" s="276"/>
      <c r="CM2001" s="276"/>
      <c r="CN2001" s="276"/>
      <c r="CO2001" s="276"/>
      <c r="CP2001" s="276"/>
      <c r="CQ2001" s="276"/>
      <c r="CU2001" s="276"/>
    </row>
    <row r="2002" spans="75:99" ht="15.75">
      <c r="BW2002" s="276"/>
      <c r="BY2002" s="276"/>
      <c r="BZ2002" s="276"/>
      <c r="CA2002" s="276"/>
      <c r="CB2002" s="276"/>
      <c r="CC2002" s="276"/>
      <c r="CD2002" s="276"/>
      <c r="CH2002" s="276"/>
      <c r="CJ2002" s="276"/>
      <c r="CK2002" s="276"/>
      <c r="CL2002" s="276"/>
      <c r="CM2002" s="276"/>
      <c r="CN2002" s="276"/>
      <c r="CO2002" s="276"/>
      <c r="CP2002" s="276"/>
      <c r="CQ2002" s="276"/>
      <c r="CU2002" s="276"/>
    </row>
    <row r="2003" spans="75:99" ht="15.75">
      <c r="BW2003" s="276"/>
      <c r="BY2003" s="276"/>
      <c r="BZ2003" s="276"/>
      <c r="CA2003" s="276"/>
      <c r="CB2003" s="276"/>
      <c r="CC2003" s="276"/>
      <c r="CD2003" s="276"/>
      <c r="CH2003" s="276"/>
      <c r="CJ2003" s="276"/>
      <c r="CK2003" s="276"/>
      <c r="CL2003" s="276"/>
      <c r="CM2003" s="276"/>
      <c r="CN2003" s="276"/>
      <c r="CO2003" s="276"/>
      <c r="CP2003" s="276"/>
      <c r="CQ2003" s="276"/>
      <c r="CU2003" s="276"/>
    </row>
    <row r="2004" spans="75:99" ht="15.75">
      <c r="BW2004" s="276"/>
      <c r="BY2004" s="276"/>
      <c r="BZ2004" s="276"/>
      <c r="CA2004" s="276"/>
      <c r="CB2004" s="276"/>
      <c r="CC2004" s="276"/>
      <c r="CD2004" s="276"/>
      <c r="CH2004" s="276"/>
      <c r="CJ2004" s="276"/>
      <c r="CK2004" s="276"/>
      <c r="CL2004" s="276"/>
      <c r="CM2004" s="276"/>
      <c r="CN2004" s="276"/>
      <c r="CO2004" s="276"/>
      <c r="CP2004" s="276"/>
      <c r="CQ2004" s="276"/>
      <c r="CU2004" s="276"/>
    </row>
    <row r="2005" spans="75:99" ht="15.75">
      <c r="BW2005" s="276"/>
      <c r="BY2005" s="276"/>
      <c r="BZ2005" s="276"/>
      <c r="CA2005" s="276"/>
      <c r="CB2005" s="276"/>
      <c r="CC2005" s="276"/>
      <c r="CD2005" s="276"/>
      <c r="CH2005" s="276"/>
      <c r="CJ2005" s="276"/>
      <c r="CK2005" s="276"/>
      <c r="CL2005" s="276"/>
      <c r="CM2005" s="276"/>
      <c r="CN2005" s="276"/>
      <c r="CO2005" s="276"/>
      <c r="CP2005" s="276"/>
      <c r="CQ2005" s="276"/>
      <c r="CU2005" s="276"/>
    </row>
    <row r="2006" spans="75:99" ht="15.75">
      <c r="BW2006" s="276"/>
      <c r="BY2006" s="276"/>
      <c r="BZ2006" s="276"/>
      <c r="CA2006" s="276"/>
      <c r="CB2006" s="276"/>
      <c r="CC2006" s="276"/>
      <c r="CD2006" s="276"/>
      <c r="CH2006" s="276"/>
      <c r="CJ2006" s="276"/>
      <c r="CK2006" s="276"/>
      <c r="CL2006" s="276"/>
      <c r="CM2006" s="276"/>
      <c r="CN2006" s="276"/>
      <c r="CO2006" s="276"/>
      <c r="CP2006" s="276"/>
      <c r="CQ2006" s="276"/>
      <c r="CU2006" s="276"/>
    </row>
    <row r="2007" spans="75:99" ht="15.75">
      <c r="BW2007" s="276"/>
      <c r="BY2007" s="276"/>
      <c r="BZ2007" s="276"/>
      <c r="CA2007" s="276"/>
      <c r="CB2007" s="276"/>
      <c r="CC2007" s="276"/>
      <c r="CD2007" s="276"/>
      <c r="CH2007" s="276"/>
      <c r="CJ2007" s="276"/>
      <c r="CK2007" s="276"/>
      <c r="CL2007" s="276"/>
      <c r="CM2007" s="276"/>
      <c r="CN2007" s="276"/>
      <c r="CO2007" s="276"/>
      <c r="CP2007" s="276"/>
      <c r="CQ2007" s="276"/>
      <c r="CU2007" s="276"/>
    </row>
    <row r="2008" spans="75:99" ht="15.75">
      <c r="BW2008" s="276"/>
      <c r="BY2008" s="276"/>
      <c r="BZ2008" s="276"/>
      <c r="CA2008" s="276"/>
      <c r="CB2008" s="276"/>
      <c r="CC2008" s="276"/>
      <c r="CD2008" s="276"/>
      <c r="CH2008" s="276"/>
      <c r="CJ2008" s="276"/>
      <c r="CK2008" s="276"/>
      <c r="CL2008" s="276"/>
      <c r="CM2008" s="276"/>
      <c r="CN2008" s="276"/>
      <c r="CO2008" s="276"/>
      <c r="CP2008" s="276"/>
      <c r="CQ2008" s="276"/>
      <c r="CU2008" s="276"/>
    </row>
    <row r="2009" spans="75:99" ht="15.75">
      <c r="BW2009" s="276"/>
      <c r="BY2009" s="276"/>
      <c r="BZ2009" s="276"/>
      <c r="CA2009" s="276"/>
      <c r="CB2009" s="276"/>
      <c r="CC2009" s="276"/>
      <c r="CD2009" s="276"/>
      <c r="CH2009" s="276"/>
      <c r="CJ2009" s="276"/>
      <c r="CK2009" s="276"/>
      <c r="CL2009" s="276"/>
      <c r="CM2009" s="276"/>
      <c r="CN2009" s="276"/>
      <c r="CO2009" s="276"/>
      <c r="CP2009" s="276"/>
      <c r="CQ2009" s="276"/>
      <c r="CU2009" s="276"/>
    </row>
    <row r="2010" spans="75:99" ht="15.75">
      <c r="BW2010" s="276"/>
      <c r="BY2010" s="276"/>
      <c r="BZ2010" s="276"/>
      <c r="CA2010" s="276"/>
      <c r="CB2010" s="276"/>
      <c r="CC2010" s="276"/>
      <c r="CD2010" s="276"/>
      <c r="CH2010" s="276"/>
      <c r="CJ2010" s="276"/>
      <c r="CK2010" s="276"/>
      <c r="CL2010" s="276"/>
      <c r="CM2010" s="276"/>
      <c r="CN2010" s="276"/>
      <c r="CO2010" s="276"/>
      <c r="CP2010" s="276"/>
      <c r="CQ2010" s="276"/>
      <c r="CU2010" s="276"/>
    </row>
    <row r="2011" spans="75:99" ht="15.75">
      <c r="BW2011" s="276"/>
      <c r="BY2011" s="276"/>
      <c r="BZ2011" s="276"/>
      <c r="CA2011" s="276"/>
      <c r="CB2011" s="276"/>
      <c r="CC2011" s="276"/>
      <c r="CD2011" s="276"/>
      <c r="CH2011" s="276"/>
      <c r="CJ2011" s="276"/>
      <c r="CK2011" s="276"/>
      <c r="CL2011" s="276"/>
      <c r="CM2011" s="276"/>
      <c r="CN2011" s="276"/>
      <c r="CO2011" s="276"/>
      <c r="CP2011" s="276"/>
      <c r="CQ2011" s="276"/>
      <c r="CU2011" s="276"/>
    </row>
    <row r="2012" spans="75:99" ht="15.75">
      <c r="BW2012" s="276"/>
      <c r="BY2012" s="276"/>
      <c r="BZ2012" s="276"/>
      <c r="CA2012" s="276"/>
      <c r="CB2012" s="276"/>
      <c r="CC2012" s="276"/>
      <c r="CD2012" s="276"/>
      <c r="CH2012" s="276"/>
      <c r="CJ2012" s="276"/>
      <c r="CK2012" s="276"/>
      <c r="CL2012" s="276"/>
      <c r="CM2012" s="276"/>
      <c r="CN2012" s="276"/>
      <c r="CO2012" s="276"/>
      <c r="CP2012" s="276"/>
      <c r="CQ2012" s="276"/>
      <c r="CU2012" s="276"/>
    </row>
    <row r="2013" spans="75:99" ht="15.75">
      <c r="BW2013" s="276"/>
      <c r="BY2013" s="276"/>
      <c r="BZ2013" s="276"/>
      <c r="CA2013" s="276"/>
      <c r="CB2013" s="276"/>
      <c r="CC2013" s="276"/>
      <c r="CD2013" s="276"/>
      <c r="CH2013" s="276"/>
      <c r="CJ2013" s="276"/>
      <c r="CK2013" s="276"/>
      <c r="CL2013" s="276"/>
      <c r="CM2013" s="276"/>
      <c r="CN2013" s="276"/>
      <c r="CO2013" s="276"/>
      <c r="CP2013" s="276"/>
      <c r="CQ2013" s="276"/>
      <c r="CU2013" s="276"/>
    </row>
    <row r="2014" spans="75:99" ht="15.75">
      <c r="BW2014" s="276"/>
      <c r="BY2014" s="276"/>
      <c r="BZ2014" s="276"/>
      <c r="CA2014" s="276"/>
      <c r="CB2014" s="276"/>
      <c r="CC2014" s="276"/>
      <c r="CD2014" s="276"/>
      <c r="CH2014" s="276"/>
      <c r="CJ2014" s="276"/>
      <c r="CK2014" s="276"/>
      <c r="CL2014" s="276"/>
      <c r="CM2014" s="276"/>
      <c r="CN2014" s="276"/>
      <c r="CO2014" s="276"/>
      <c r="CP2014" s="276"/>
      <c r="CQ2014" s="276"/>
      <c r="CU2014" s="276"/>
    </row>
    <row r="2015" spans="75:99" ht="15.75">
      <c r="BW2015" s="276"/>
      <c r="BY2015" s="276"/>
      <c r="BZ2015" s="276"/>
      <c r="CA2015" s="276"/>
      <c r="CB2015" s="276"/>
      <c r="CC2015" s="276"/>
      <c r="CD2015" s="276"/>
      <c r="CH2015" s="276"/>
      <c r="CJ2015" s="276"/>
      <c r="CK2015" s="276"/>
      <c r="CL2015" s="276"/>
      <c r="CM2015" s="276"/>
      <c r="CN2015" s="276"/>
      <c r="CO2015" s="276"/>
      <c r="CP2015" s="276"/>
      <c r="CQ2015" s="276"/>
      <c r="CU2015" s="276"/>
    </row>
    <row r="2016" spans="75:99" ht="15.75">
      <c r="BW2016" s="276"/>
      <c r="BY2016" s="276"/>
      <c r="BZ2016" s="276"/>
      <c r="CA2016" s="276"/>
      <c r="CB2016" s="276"/>
      <c r="CC2016" s="276"/>
      <c r="CD2016" s="276"/>
      <c r="CH2016" s="276"/>
      <c r="CJ2016" s="276"/>
      <c r="CK2016" s="276"/>
      <c r="CL2016" s="276"/>
      <c r="CM2016" s="276"/>
      <c r="CN2016" s="276"/>
      <c r="CO2016" s="276"/>
      <c r="CP2016" s="276"/>
      <c r="CQ2016" s="276"/>
      <c r="CU2016" s="276"/>
    </row>
    <row r="2017" spans="75:99" ht="15.75">
      <c r="BW2017" s="276"/>
      <c r="BY2017" s="276"/>
      <c r="BZ2017" s="276"/>
      <c r="CA2017" s="276"/>
      <c r="CB2017" s="276"/>
      <c r="CC2017" s="276"/>
      <c r="CD2017" s="276"/>
      <c r="CH2017" s="276"/>
      <c r="CJ2017" s="276"/>
      <c r="CK2017" s="276"/>
      <c r="CL2017" s="276"/>
      <c r="CM2017" s="276"/>
      <c r="CN2017" s="276"/>
      <c r="CO2017" s="276"/>
      <c r="CP2017" s="276"/>
      <c r="CQ2017" s="276"/>
      <c r="CU2017" s="276"/>
    </row>
    <row r="2018" spans="75:99" ht="15.75">
      <c r="BW2018" s="276"/>
      <c r="BY2018" s="276"/>
      <c r="BZ2018" s="276"/>
      <c r="CA2018" s="276"/>
      <c r="CB2018" s="276"/>
      <c r="CC2018" s="276"/>
      <c r="CD2018" s="276"/>
      <c r="CH2018" s="276"/>
      <c r="CJ2018" s="276"/>
      <c r="CK2018" s="276"/>
      <c r="CL2018" s="276"/>
      <c r="CM2018" s="276"/>
      <c r="CN2018" s="276"/>
      <c r="CO2018" s="276"/>
      <c r="CP2018" s="276"/>
      <c r="CQ2018" s="276"/>
      <c r="CU2018" s="276"/>
    </row>
    <row r="2019" spans="75:99" ht="15.75">
      <c r="BW2019" s="276"/>
      <c r="BY2019" s="276"/>
      <c r="BZ2019" s="276"/>
      <c r="CA2019" s="276"/>
      <c r="CB2019" s="276"/>
      <c r="CC2019" s="276"/>
      <c r="CD2019" s="276"/>
      <c r="CH2019" s="276"/>
      <c r="CJ2019" s="276"/>
      <c r="CK2019" s="276"/>
      <c r="CL2019" s="276"/>
      <c r="CM2019" s="276"/>
      <c r="CN2019" s="276"/>
      <c r="CO2019" s="276"/>
      <c r="CP2019" s="276"/>
      <c r="CQ2019" s="276"/>
      <c r="CU2019" s="276"/>
    </row>
    <row r="2020" spans="75:99" ht="15.75">
      <c r="BW2020" s="276"/>
      <c r="BY2020" s="276"/>
      <c r="BZ2020" s="276"/>
      <c r="CA2020" s="276"/>
      <c r="CB2020" s="276"/>
      <c r="CC2020" s="276"/>
      <c r="CD2020" s="276"/>
      <c r="CH2020" s="276"/>
      <c r="CJ2020" s="276"/>
      <c r="CK2020" s="276"/>
      <c r="CL2020" s="276"/>
      <c r="CM2020" s="276"/>
      <c r="CN2020" s="276"/>
      <c r="CO2020" s="276"/>
      <c r="CP2020" s="276"/>
      <c r="CQ2020" s="276"/>
      <c r="CU2020" s="276"/>
    </row>
    <row r="2021" spans="75:99" ht="15.75">
      <c r="BW2021" s="276"/>
      <c r="BY2021" s="276"/>
      <c r="BZ2021" s="276"/>
      <c r="CA2021" s="276"/>
      <c r="CB2021" s="276"/>
      <c r="CC2021" s="276"/>
      <c r="CD2021" s="276"/>
      <c r="CH2021" s="276"/>
      <c r="CJ2021" s="276"/>
      <c r="CK2021" s="276"/>
      <c r="CL2021" s="276"/>
      <c r="CM2021" s="276"/>
      <c r="CN2021" s="276"/>
      <c r="CO2021" s="276"/>
      <c r="CP2021" s="276"/>
      <c r="CQ2021" s="276"/>
      <c r="CU2021" s="276"/>
    </row>
    <row r="2022" spans="75:99" ht="15.75">
      <c r="BW2022" s="276"/>
      <c r="BY2022" s="276"/>
      <c r="BZ2022" s="276"/>
      <c r="CA2022" s="276"/>
      <c r="CB2022" s="276"/>
      <c r="CC2022" s="276"/>
      <c r="CD2022" s="276"/>
      <c r="CH2022" s="276"/>
      <c r="CJ2022" s="276"/>
      <c r="CK2022" s="276"/>
      <c r="CL2022" s="276"/>
      <c r="CM2022" s="276"/>
      <c r="CN2022" s="276"/>
      <c r="CO2022" s="276"/>
      <c r="CP2022" s="276"/>
      <c r="CQ2022" s="276"/>
      <c r="CU2022" s="276"/>
    </row>
    <row r="2023" spans="75:99" ht="15.75">
      <c r="BW2023" s="276"/>
      <c r="BY2023" s="276"/>
      <c r="BZ2023" s="276"/>
      <c r="CA2023" s="276"/>
      <c r="CB2023" s="276"/>
      <c r="CC2023" s="276"/>
      <c r="CD2023" s="276"/>
      <c r="CH2023" s="276"/>
      <c r="CJ2023" s="276"/>
      <c r="CK2023" s="276"/>
      <c r="CL2023" s="276"/>
      <c r="CM2023" s="276"/>
      <c r="CN2023" s="276"/>
      <c r="CO2023" s="276"/>
      <c r="CP2023" s="276"/>
      <c r="CQ2023" s="276"/>
      <c r="CU2023" s="276"/>
    </row>
    <row r="2024" spans="75:99" ht="15.75">
      <c r="BW2024" s="276"/>
      <c r="BY2024" s="276"/>
      <c r="BZ2024" s="276"/>
      <c r="CA2024" s="276"/>
      <c r="CB2024" s="276"/>
      <c r="CC2024" s="276"/>
      <c r="CD2024" s="276"/>
      <c r="CH2024" s="276"/>
      <c r="CJ2024" s="276"/>
      <c r="CK2024" s="276"/>
      <c r="CL2024" s="276"/>
      <c r="CM2024" s="276"/>
      <c r="CN2024" s="276"/>
      <c r="CO2024" s="276"/>
      <c r="CP2024" s="276"/>
      <c r="CQ2024" s="276"/>
      <c r="CU2024" s="276"/>
    </row>
    <row r="2025" spans="75:99" ht="15.75">
      <c r="BW2025" s="276"/>
      <c r="BY2025" s="276"/>
      <c r="BZ2025" s="276"/>
      <c r="CA2025" s="276"/>
      <c r="CB2025" s="276"/>
      <c r="CC2025" s="276"/>
      <c r="CD2025" s="276"/>
      <c r="CH2025" s="276"/>
      <c r="CJ2025" s="276"/>
      <c r="CK2025" s="276"/>
      <c r="CL2025" s="276"/>
      <c r="CM2025" s="276"/>
      <c r="CN2025" s="276"/>
      <c r="CO2025" s="276"/>
      <c r="CP2025" s="276"/>
      <c r="CQ2025" s="276"/>
      <c r="CU2025" s="276"/>
    </row>
    <row r="2026" spans="75:99" ht="15.75">
      <c r="BW2026" s="276"/>
      <c r="BY2026" s="276"/>
      <c r="BZ2026" s="276"/>
      <c r="CA2026" s="276"/>
      <c r="CB2026" s="276"/>
      <c r="CC2026" s="276"/>
      <c r="CD2026" s="276"/>
      <c r="CH2026" s="276"/>
      <c r="CJ2026" s="276"/>
      <c r="CK2026" s="276"/>
      <c r="CL2026" s="276"/>
      <c r="CM2026" s="276"/>
      <c r="CN2026" s="276"/>
      <c r="CO2026" s="276"/>
      <c r="CP2026" s="276"/>
      <c r="CQ2026" s="276"/>
      <c r="CU2026" s="276"/>
    </row>
    <row r="2027" spans="75:99" ht="15.75">
      <c r="BW2027" s="276"/>
      <c r="BY2027" s="276"/>
      <c r="BZ2027" s="276"/>
      <c r="CA2027" s="276"/>
      <c r="CB2027" s="276"/>
      <c r="CC2027" s="276"/>
      <c r="CD2027" s="276"/>
      <c r="CH2027" s="276"/>
      <c r="CJ2027" s="276"/>
      <c r="CK2027" s="276"/>
      <c r="CL2027" s="276"/>
      <c r="CM2027" s="276"/>
      <c r="CN2027" s="276"/>
      <c r="CO2027" s="276"/>
      <c r="CP2027" s="276"/>
      <c r="CQ2027" s="276"/>
      <c r="CU2027" s="276"/>
    </row>
    <row r="2028" spans="75:99" ht="15.75">
      <c r="BW2028" s="276"/>
      <c r="BY2028" s="276"/>
      <c r="BZ2028" s="276"/>
      <c r="CA2028" s="276"/>
      <c r="CB2028" s="276"/>
      <c r="CC2028" s="276"/>
      <c r="CD2028" s="276"/>
      <c r="CH2028" s="276"/>
      <c r="CJ2028" s="276"/>
      <c r="CK2028" s="276"/>
      <c r="CL2028" s="276"/>
      <c r="CM2028" s="276"/>
      <c r="CN2028" s="276"/>
      <c r="CO2028" s="276"/>
      <c r="CP2028" s="276"/>
      <c r="CQ2028" s="276"/>
      <c r="CU2028" s="276"/>
    </row>
    <row r="2029" spans="75:99" ht="15.75">
      <c r="BW2029" s="276"/>
      <c r="BY2029" s="276"/>
      <c r="BZ2029" s="276"/>
      <c r="CA2029" s="276"/>
      <c r="CB2029" s="276"/>
      <c r="CC2029" s="276"/>
      <c r="CD2029" s="276"/>
      <c r="CH2029" s="276"/>
      <c r="CJ2029" s="276"/>
      <c r="CK2029" s="276"/>
      <c r="CL2029" s="276"/>
      <c r="CM2029" s="276"/>
      <c r="CN2029" s="276"/>
      <c r="CO2029" s="276"/>
      <c r="CP2029" s="276"/>
      <c r="CQ2029" s="276"/>
      <c r="CU2029" s="276"/>
    </row>
    <row r="2030" spans="75:99" ht="15.75">
      <c r="BW2030" s="276"/>
      <c r="BY2030" s="276"/>
      <c r="BZ2030" s="276"/>
      <c r="CA2030" s="276"/>
      <c r="CB2030" s="276"/>
      <c r="CC2030" s="276"/>
      <c r="CD2030" s="276"/>
      <c r="CH2030" s="276"/>
      <c r="CJ2030" s="276"/>
      <c r="CK2030" s="276"/>
      <c r="CL2030" s="276"/>
      <c r="CM2030" s="276"/>
      <c r="CN2030" s="276"/>
      <c r="CO2030" s="276"/>
      <c r="CP2030" s="276"/>
      <c r="CQ2030" s="276"/>
      <c r="CU2030" s="276"/>
    </row>
    <row r="2031" spans="75:99" ht="15.75">
      <c r="BW2031" s="276"/>
      <c r="BY2031" s="276"/>
      <c r="BZ2031" s="276"/>
      <c r="CA2031" s="276"/>
      <c r="CB2031" s="276"/>
      <c r="CC2031" s="276"/>
      <c r="CD2031" s="276"/>
      <c r="CH2031" s="276"/>
      <c r="CJ2031" s="276"/>
      <c r="CK2031" s="276"/>
      <c r="CL2031" s="276"/>
      <c r="CM2031" s="276"/>
      <c r="CN2031" s="276"/>
      <c r="CO2031" s="276"/>
      <c r="CP2031" s="276"/>
      <c r="CQ2031" s="276"/>
      <c r="CU2031" s="276"/>
    </row>
    <row r="2032" spans="75:99" ht="15.75">
      <c r="BW2032" s="276"/>
      <c r="BY2032" s="276"/>
      <c r="BZ2032" s="276"/>
      <c r="CA2032" s="276"/>
      <c r="CB2032" s="276"/>
      <c r="CC2032" s="276"/>
      <c r="CD2032" s="276"/>
      <c r="CH2032" s="276"/>
      <c r="CJ2032" s="276"/>
      <c r="CK2032" s="276"/>
      <c r="CL2032" s="276"/>
      <c r="CM2032" s="276"/>
      <c r="CN2032" s="276"/>
      <c r="CO2032" s="276"/>
      <c r="CP2032" s="276"/>
      <c r="CQ2032" s="276"/>
      <c r="CU2032" s="276"/>
    </row>
    <row r="2033" spans="75:99" ht="15.75">
      <c r="BW2033" s="276"/>
      <c r="BY2033" s="276"/>
      <c r="BZ2033" s="276"/>
      <c r="CA2033" s="276"/>
      <c r="CB2033" s="276"/>
      <c r="CC2033" s="276"/>
      <c r="CD2033" s="276"/>
      <c r="CH2033" s="276"/>
      <c r="CJ2033" s="276"/>
      <c r="CK2033" s="276"/>
      <c r="CL2033" s="276"/>
      <c r="CM2033" s="276"/>
      <c r="CN2033" s="276"/>
      <c r="CO2033" s="276"/>
      <c r="CP2033" s="276"/>
      <c r="CQ2033" s="276"/>
      <c r="CU2033" s="276"/>
    </row>
    <row r="2034" spans="75:99" ht="15.75">
      <c r="BW2034" s="276"/>
      <c r="BY2034" s="276"/>
      <c r="BZ2034" s="276"/>
      <c r="CA2034" s="276"/>
      <c r="CB2034" s="276"/>
      <c r="CC2034" s="276"/>
      <c r="CD2034" s="276"/>
      <c r="CH2034" s="276"/>
      <c r="CJ2034" s="276"/>
      <c r="CK2034" s="276"/>
      <c r="CL2034" s="276"/>
      <c r="CM2034" s="276"/>
      <c r="CN2034" s="276"/>
      <c r="CO2034" s="276"/>
      <c r="CP2034" s="276"/>
      <c r="CQ2034" s="276"/>
      <c r="CU2034" s="276"/>
    </row>
    <row r="2035" spans="75:99" ht="15.75">
      <c r="BW2035" s="276"/>
      <c r="BY2035" s="276"/>
      <c r="BZ2035" s="276"/>
      <c r="CA2035" s="276"/>
      <c r="CB2035" s="276"/>
      <c r="CC2035" s="276"/>
      <c r="CD2035" s="276"/>
      <c r="CH2035" s="276"/>
      <c r="CJ2035" s="276"/>
      <c r="CK2035" s="276"/>
      <c r="CL2035" s="276"/>
      <c r="CM2035" s="276"/>
      <c r="CN2035" s="276"/>
      <c r="CO2035" s="276"/>
      <c r="CP2035" s="276"/>
      <c r="CQ2035" s="276"/>
      <c r="CU2035" s="276"/>
    </row>
    <row r="2036" spans="75:99" ht="15.75">
      <c r="BW2036" s="276"/>
      <c r="BY2036" s="276"/>
      <c r="BZ2036" s="276"/>
      <c r="CA2036" s="276"/>
      <c r="CB2036" s="276"/>
      <c r="CC2036" s="276"/>
      <c r="CD2036" s="276"/>
      <c r="CH2036" s="276"/>
      <c r="CJ2036" s="276"/>
      <c r="CK2036" s="276"/>
      <c r="CL2036" s="276"/>
      <c r="CM2036" s="276"/>
      <c r="CN2036" s="276"/>
      <c r="CO2036" s="276"/>
      <c r="CP2036" s="276"/>
      <c r="CQ2036" s="276"/>
      <c r="CU2036" s="276"/>
    </row>
    <row r="2037" spans="75:99" ht="15.75">
      <c r="BW2037" s="276"/>
      <c r="BY2037" s="276"/>
      <c r="BZ2037" s="276"/>
      <c r="CA2037" s="276"/>
      <c r="CB2037" s="276"/>
      <c r="CC2037" s="276"/>
      <c r="CD2037" s="276"/>
      <c r="CH2037" s="276"/>
      <c r="CJ2037" s="276"/>
      <c r="CK2037" s="276"/>
      <c r="CL2037" s="276"/>
      <c r="CM2037" s="276"/>
      <c r="CN2037" s="276"/>
      <c r="CO2037" s="276"/>
      <c r="CP2037" s="276"/>
      <c r="CQ2037" s="276"/>
      <c r="CU2037" s="276"/>
    </row>
    <row r="2038" spans="75:99" ht="15.75">
      <c r="BW2038" s="276"/>
      <c r="BY2038" s="276"/>
      <c r="BZ2038" s="276"/>
      <c r="CA2038" s="276"/>
      <c r="CB2038" s="276"/>
      <c r="CC2038" s="276"/>
      <c r="CD2038" s="276"/>
      <c r="CH2038" s="276"/>
      <c r="CJ2038" s="276"/>
      <c r="CK2038" s="276"/>
      <c r="CL2038" s="276"/>
      <c r="CM2038" s="276"/>
      <c r="CN2038" s="276"/>
      <c r="CO2038" s="276"/>
      <c r="CP2038" s="276"/>
      <c r="CQ2038" s="276"/>
      <c r="CU2038" s="276"/>
    </row>
    <row r="2039" spans="75:99" ht="15.75">
      <c r="BW2039" s="276"/>
      <c r="BY2039" s="276"/>
      <c r="BZ2039" s="276"/>
      <c r="CA2039" s="276"/>
      <c r="CB2039" s="276"/>
      <c r="CC2039" s="276"/>
      <c r="CD2039" s="276"/>
      <c r="CH2039" s="276"/>
      <c r="CJ2039" s="276"/>
      <c r="CK2039" s="276"/>
      <c r="CL2039" s="276"/>
      <c r="CM2039" s="276"/>
      <c r="CN2039" s="276"/>
      <c r="CO2039" s="276"/>
      <c r="CP2039" s="276"/>
      <c r="CQ2039" s="276"/>
      <c r="CU2039" s="276"/>
    </row>
    <row r="2040" spans="75:99" ht="15.75">
      <c r="BW2040" s="276"/>
      <c r="BY2040" s="276"/>
      <c r="BZ2040" s="276"/>
      <c r="CA2040" s="276"/>
      <c r="CB2040" s="276"/>
      <c r="CC2040" s="276"/>
      <c r="CD2040" s="276"/>
      <c r="CH2040" s="276"/>
      <c r="CJ2040" s="276"/>
      <c r="CK2040" s="276"/>
      <c r="CL2040" s="276"/>
      <c r="CM2040" s="276"/>
      <c r="CN2040" s="276"/>
      <c r="CO2040" s="276"/>
      <c r="CP2040" s="276"/>
      <c r="CQ2040" s="276"/>
      <c r="CU2040" s="276"/>
    </row>
    <row r="2041" spans="75:99" ht="15.75">
      <c r="BW2041" s="276"/>
      <c r="BY2041" s="276"/>
      <c r="BZ2041" s="276"/>
      <c r="CA2041" s="276"/>
      <c r="CB2041" s="276"/>
      <c r="CC2041" s="276"/>
      <c r="CD2041" s="276"/>
      <c r="CH2041" s="276"/>
      <c r="CJ2041" s="276"/>
      <c r="CK2041" s="276"/>
      <c r="CL2041" s="276"/>
      <c r="CM2041" s="276"/>
      <c r="CN2041" s="276"/>
      <c r="CO2041" s="276"/>
      <c r="CP2041" s="276"/>
      <c r="CQ2041" s="276"/>
      <c r="CU2041" s="276"/>
    </row>
    <row r="2042" spans="75:99" ht="15.75">
      <c r="BW2042" s="276"/>
      <c r="BY2042" s="276"/>
      <c r="BZ2042" s="276"/>
      <c r="CA2042" s="276"/>
      <c r="CB2042" s="276"/>
      <c r="CC2042" s="276"/>
      <c r="CD2042" s="276"/>
      <c r="CH2042" s="276"/>
      <c r="CJ2042" s="276"/>
      <c r="CK2042" s="276"/>
      <c r="CL2042" s="276"/>
      <c r="CM2042" s="276"/>
      <c r="CN2042" s="276"/>
      <c r="CO2042" s="276"/>
      <c r="CP2042" s="276"/>
      <c r="CQ2042" s="276"/>
      <c r="CU2042" s="276"/>
    </row>
    <row r="2043" spans="75:99" ht="15.75">
      <c r="BW2043" s="276"/>
      <c r="BY2043" s="276"/>
      <c r="BZ2043" s="276"/>
      <c r="CA2043" s="276"/>
      <c r="CB2043" s="276"/>
      <c r="CC2043" s="276"/>
      <c r="CD2043" s="276"/>
      <c r="CH2043" s="276"/>
      <c r="CJ2043" s="276"/>
      <c r="CK2043" s="276"/>
      <c r="CL2043" s="276"/>
      <c r="CM2043" s="276"/>
      <c r="CN2043" s="276"/>
      <c r="CO2043" s="276"/>
      <c r="CP2043" s="276"/>
      <c r="CQ2043" s="276"/>
      <c r="CU2043" s="276"/>
    </row>
    <row r="2044" spans="75:99" ht="15.75">
      <c r="BW2044" s="276"/>
      <c r="BY2044" s="276"/>
      <c r="BZ2044" s="276"/>
      <c r="CA2044" s="276"/>
      <c r="CB2044" s="276"/>
      <c r="CC2044" s="276"/>
      <c r="CD2044" s="276"/>
      <c r="CH2044" s="276"/>
      <c r="CJ2044" s="276"/>
      <c r="CK2044" s="276"/>
      <c r="CL2044" s="276"/>
      <c r="CM2044" s="276"/>
      <c r="CN2044" s="276"/>
      <c r="CO2044" s="276"/>
      <c r="CP2044" s="276"/>
      <c r="CQ2044" s="276"/>
      <c r="CU2044" s="276"/>
    </row>
    <row r="2045" spans="75:99" ht="15.75">
      <c r="BW2045" s="276"/>
      <c r="BY2045" s="276"/>
      <c r="BZ2045" s="276"/>
      <c r="CA2045" s="276"/>
      <c r="CB2045" s="276"/>
      <c r="CC2045" s="276"/>
      <c r="CD2045" s="276"/>
      <c r="CH2045" s="276"/>
      <c r="CJ2045" s="276"/>
      <c r="CK2045" s="276"/>
      <c r="CL2045" s="276"/>
      <c r="CM2045" s="276"/>
      <c r="CN2045" s="276"/>
      <c r="CO2045" s="276"/>
      <c r="CP2045" s="276"/>
      <c r="CQ2045" s="276"/>
      <c r="CU2045" s="276"/>
    </row>
    <row r="2046" spans="75:99" ht="15.75">
      <c r="BW2046" s="276"/>
      <c r="BY2046" s="276"/>
      <c r="BZ2046" s="276"/>
      <c r="CA2046" s="276"/>
      <c r="CB2046" s="276"/>
      <c r="CC2046" s="276"/>
      <c r="CD2046" s="276"/>
      <c r="CH2046" s="276"/>
      <c r="CJ2046" s="276"/>
      <c r="CK2046" s="276"/>
      <c r="CL2046" s="276"/>
      <c r="CM2046" s="276"/>
      <c r="CN2046" s="276"/>
      <c r="CO2046" s="276"/>
      <c r="CP2046" s="276"/>
      <c r="CQ2046" s="276"/>
      <c r="CU2046" s="276"/>
    </row>
    <row r="2047" spans="75:99" ht="15.75">
      <c r="BW2047" s="276"/>
      <c r="BY2047" s="276"/>
      <c r="BZ2047" s="276"/>
      <c r="CA2047" s="276"/>
      <c r="CB2047" s="276"/>
      <c r="CC2047" s="276"/>
      <c r="CD2047" s="276"/>
      <c r="CH2047" s="276"/>
      <c r="CJ2047" s="276"/>
      <c r="CK2047" s="276"/>
      <c r="CL2047" s="276"/>
      <c r="CM2047" s="276"/>
      <c r="CN2047" s="276"/>
      <c r="CO2047" s="276"/>
      <c r="CP2047" s="276"/>
      <c r="CQ2047" s="276"/>
      <c r="CU2047" s="276"/>
    </row>
    <row r="2048" spans="75:99" ht="15.75">
      <c r="BW2048" s="276"/>
      <c r="BY2048" s="276"/>
      <c r="BZ2048" s="276"/>
      <c r="CA2048" s="276"/>
      <c r="CB2048" s="276"/>
      <c r="CC2048" s="276"/>
      <c r="CD2048" s="276"/>
      <c r="CH2048" s="276"/>
      <c r="CJ2048" s="276"/>
      <c r="CK2048" s="276"/>
      <c r="CL2048" s="276"/>
      <c r="CM2048" s="276"/>
      <c r="CN2048" s="276"/>
      <c r="CO2048" s="276"/>
      <c r="CP2048" s="276"/>
      <c r="CQ2048" s="276"/>
      <c r="CU2048" s="276"/>
    </row>
    <row r="2049" spans="75:99" ht="15.75">
      <c r="BW2049" s="276"/>
      <c r="BY2049" s="276"/>
      <c r="BZ2049" s="276"/>
      <c r="CA2049" s="276"/>
      <c r="CB2049" s="276"/>
      <c r="CC2049" s="276"/>
      <c r="CD2049" s="276"/>
      <c r="CH2049" s="276"/>
      <c r="CJ2049" s="276"/>
      <c r="CK2049" s="276"/>
      <c r="CL2049" s="276"/>
      <c r="CM2049" s="276"/>
      <c r="CN2049" s="276"/>
      <c r="CO2049" s="276"/>
      <c r="CP2049" s="276"/>
      <c r="CQ2049" s="276"/>
      <c r="CU2049" s="276"/>
    </row>
    <row r="2050" spans="75:99" ht="15.75">
      <c r="BW2050" s="276"/>
      <c r="BY2050" s="276"/>
      <c r="BZ2050" s="276"/>
      <c r="CA2050" s="276"/>
      <c r="CB2050" s="276"/>
      <c r="CC2050" s="276"/>
      <c r="CD2050" s="276"/>
      <c r="CH2050" s="276"/>
      <c r="CJ2050" s="276"/>
      <c r="CK2050" s="276"/>
      <c r="CL2050" s="276"/>
      <c r="CM2050" s="276"/>
      <c r="CN2050" s="276"/>
      <c r="CO2050" s="276"/>
      <c r="CP2050" s="276"/>
      <c r="CQ2050" s="276"/>
      <c r="CU2050" s="276"/>
    </row>
    <row r="2051" spans="75:99" ht="15.75">
      <c r="BW2051" s="276"/>
      <c r="BY2051" s="276"/>
      <c r="BZ2051" s="276"/>
      <c r="CA2051" s="276"/>
      <c r="CB2051" s="276"/>
      <c r="CC2051" s="276"/>
      <c r="CD2051" s="276"/>
      <c r="CH2051" s="276"/>
      <c r="CJ2051" s="276"/>
      <c r="CK2051" s="276"/>
      <c r="CL2051" s="276"/>
      <c r="CM2051" s="276"/>
      <c r="CN2051" s="276"/>
      <c r="CO2051" s="276"/>
      <c r="CP2051" s="276"/>
      <c r="CQ2051" s="276"/>
      <c r="CU2051" s="276"/>
    </row>
    <row r="2052" spans="75:99" ht="15.75">
      <c r="BW2052" s="276"/>
      <c r="BY2052" s="276"/>
      <c r="BZ2052" s="276"/>
      <c r="CA2052" s="276"/>
      <c r="CB2052" s="276"/>
      <c r="CC2052" s="276"/>
      <c r="CD2052" s="276"/>
      <c r="CH2052" s="276"/>
      <c r="CJ2052" s="276"/>
      <c r="CK2052" s="276"/>
      <c r="CL2052" s="276"/>
      <c r="CM2052" s="276"/>
      <c r="CN2052" s="276"/>
      <c r="CO2052" s="276"/>
      <c r="CP2052" s="276"/>
      <c r="CQ2052" s="276"/>
      <c r="CU2052" s="276"/>
    </row>
    <row r="2053" spans="75:99" ht="15.75">
      <c r="BW2053" s="276"/>
      <c r="BY2053" s="276"/>
      <c r="BZ2053" s="276"/>
      <c r="CA2053" s="276"/>
      <c r="CB2053" s="276"/>
      <c r="CC2053" s="276"/>
      <c r="CD2053" s="276"/>
      <c r="CH2053" s="276"/>
      <c r="CJ2053" s="276"/>
      <c r="CK2053" s="276"/>
      <c r="CL2053" s="276"/>
      <c r="CM2053" s="276"/>
      <c r="CN2053" s="276"/>
      <c r="CO2053" s="276"/>
      <c r="CP2053" s="276"/>
      <c r="CQ2053" s="276"/>
      <c r="CU2053" s="276"/>
    </row>
    <row r="2054" spans="75:99" ht="15.75">
      <c r="BW2054" s="276"/>
      <c r="BY2054" s="276"/>
      <c r="BZ2054" s="276"/>
      <c r="CA2054" s="276"/>
      <c r="CB2054" s="276"/>
      <c r="CC2054" s="276"/>
      <c r="CD2054" s="276"/>
      <c r="CH2054" s="276"/>
      <c r="CJ2054" s="276"/>
      <c r="CK2054" s="276"/>
      <c r="CL2054" s="276"/>
      <c r="CM2054" s="276"/>
      <c r="CN2054" s="276"/>
      <c r="CO2054" s="276"/>
      <c r="CP2054" s="276"/>
      <c r="CQ2054" s="276"/>
      <c r="CU2054" s="276"/>
    </row>
    <row r="2055" spans="75:99" ht="15.75">
      <c r="BW2055" s="276"/>
      <c r="BY2055" s="276"/>
      <c r="BZ2055" s="276"/>
      <c r="CA2055" s="276"/>
      <c r="CB2055" s="276"/>
      <c r="CC2055" s="276"/>
      <c r="CD2055" s="276"/>
      <c r="CH2055" s="276"/>
      <c r="CJ2055" s="276"/>
      <c r="CK2055" s="276"/>
      <c r="CL2055" s="276"/>
      <c r="CM2055" s="276"/>
      <c r="CN2055" s="276"/>
      <c r="CO2055" s="276"/>
      <c r="CP2055" s="276"/>
      <c r="CQ2055" s="276"/>
      <c r="CU2055" s="276"/>
    </row>
    <row r="2056" spans="75:99" ht="15.75">
      <c r="BW2056" s="276"/>
      <c r="BY2056" s="276"/>
      <c r="BZ2056" s="276"/>
      <c r="CA2056" s="276"/>
      <c r="CB2056" s="276"/>
      <c r="CC2056" s="276"/>
      <c r="CD2056" s="276"/>
      <c r="CH2056" s="276"/>
      <c r="CJ2056" s="276"/>
      <c r="CK2056" s="276"/>
      <c r="CL2056" s="276"/>
      <c r="CM2056" s="276"/>
      <c r="CN2056" s="276"/>
      <c r="CO2056" s="276"/>
      <c r="CP2056" s="276"/>
      <c r="CQ2056" s="276"/>
      <c r="CU2056" s="276"/>
    </row>
    <row r="2057" spans="75:99" ht="15.75">
      <c r="BW2057" s="276"/>
      <c r="BY2057" s="276"/>
      <c r="BZ2057" s="276"/>
      <c r="CA2057" s="276"/>
      <c r="CB2057" s="276"/>
      <c r="CC2057" s="276"/>
      <c r="CD2057" s="276"/>
      <c r="CH2057" s="276"/>
      <c r="CJ2057" s="276"/>
      <c r="CK2057" s="276"/>
      <c r="CL2057" s="276"/>
      <c r="CM2057" s="276"/>
      <c r="CN2057" s="276"/>
      <c r="CO2057" s="276"/>
      <c r="CP2057" s="276"/>
      <c r="CQ2057" s="276"/>
      <c r="CU2057" s="276"/>
    </row>
    <row r="2058" spans="75:99" ht="15.75">
      <c r="BW2058" s="276"/>
      <c r="BY2058" s="276"/>
      <c r="BZ2058" s="276"/>
      <c r="CA2058" s="276"/>
      <c r="CB2058" s="276"/>
      <c r="CC2058" s="276"/>
      <c r="CD2058" s="276"/>
      <c r="CH2058" s="276"/>
      <c r="CJ2058" s="276"/>
      <c r="CK2058" s="276"/>
      <c r="CL2058" s="276"/>
      <c r="CM2058" s="276"/>
      <c r="CN2058" s="276"/>
      <c r="CO2058" s="276"/>
      <c r="CP2058" s="276"/>
      <c r="CQ2058" s="276"/>
      <c r="CU2058" s="276"/>
    </row>
    <row r="2059" spans="75:99" ht="15.75">
      <c r="BW2059" s="276"/>
      <c r="BY2059" s="276"/>
      <c r="BZ2059" s="276"/>
      <c r="CA2059" s="276"/>
      <c r="CB2059" s="276"/>
      <c r="CC2059" s="276"/>
      <c r="CD2059" s="276"/>
      <c r="CH2059" s="276"/>
      <c r="CJ2059" s="276"/>
      <c r="CK2059" s="276"/>
      <c r="CL2059" s="276"/>
      <c r="CM2059" s="276"/>
      <c r="CN2059" s="276"/>
      <c r="CO2059" s="276"/>
      <c r="CP2059" s="276"/>
      <c r="CQ2059" s="276"/>
      <c r="CU2059" s="276"/>
    </row>
    <row r="2060" spans="75:99" ht="15.75">
      <c r="BW2060" s="276"/>
      <c r="BY2060" s="276"/>
      <c r="BZ2060" s="276"/>
      <c r="CA2060" s="276"/>
      <c r="CB2060" s="276"/>
      <c r="CC2060" s="276"/>
      <c r="CD2060" s="276"/>
      <c r="CH2060" s="276"/>
      <c r="CJ2060" s="276"/>
      <c r="CK2060" s="276"/>
      <c r="CL2060" s="276"/>
      <c r="CM2060" s="276"/>
      <c r="CN2060" s="276"/>
      <c r="CO2060" s="276"/>
      <c r="CP2060" s="276"/>
      <c r="CQ2060" s="276"/>
      <c r="CU2060" s="276"/>
    </row>
    <row r="2061" spans="75:99" ht="15.75">
      <c r="BW2061" s="276"/>
      <c r="BY2061" s="276"/>
      <c r="BZ2061" s="276"/>
      <c r="CA2061" s="276"/>
      <c r="CB2061" s="276"/>
      <c r="CC2061" s="276"/>
      <c r="CD2061" s="276"/>
      <c r="CH2061" s="276"/>
      <c r="CJ2061" s="276"/>
      <c r="CK2061" s="276"/>
      <c r="CL2061" s="276"/>
      <c r="CM2061" s="276"/>
      <c r="CN2061" s="276"/>
      <c r="CO2061" s="276"/>
      <c r="CP2061" s="276"/>
      <c r="CQ2061" s="276"/>
      <c r="CU2061" s="276"/>
    </row>
    <row r="2062" spans="75:99" ht="15.75">
      <c r="BW2062" s="276"/>
      <c r="BY2062" s="276"/>
      <c r="BZ2062" s="276"/>
      <c r="CA2062" s="276"/>
      <c r="CB2062" s="276"/>
      <c r="CC2062" s="276"/>
      <c r="CD2062" s="276"/>
      <c r="CH2062" s="276"/>
      <c r="CJ2062" s="276"/>
      <c r="CK2062" s="276"/>
      <c r="CL2062" s="276"/>
      <c r="CM2062" s="276"/>
      <c r="CN2062" s="276"/>
      <c r="CO2062" s="276"/>
      <c r="CP2062" s="276"/>
      <c r="CQ2062" s="276"/>
      <c r="CU2062" s="276"/>
    </row>
    <row r="2063" spans="75:99" ht="15.75">
      <c r="BW2063" s="276"/>
      <c r="BY2063" s="276"/>
      <c r="BZ2063" s="276"/>
      <c r="CA2063" s="276"/>
      <c r="CB2063" s="276"/>
      <c r="CC2063" s="276"/>
      <c r="CD2063" s="276"/>
      <c r="CH2063" s="276"/>
      <c r="CJ2063" s="276"/>
      <c r="CK2063" s="276"/>
      <c r="CL2063" s="276"/>
      <c r="CM2063" s="276"/>
      <c r="CN2063" s="276"/>
      <c r="CO2063" s="276"/>
      <c r="CP2063" s="276"/>
      <c r="CQ2063" s="276"/>
      <c r="CU2063" s="276"/>
    </row>
    <row r="2064" spans="75:99" ht="15.75">
      <c r="BW2064" s="276"/>
      <c r="BY2064" s="276"/>
      <c r="BZ2064" s="276"/>
      <c r="CA2064" s="276"/>
      <c r="CB2064" s="276"/>
      <c r="CC2064" s="276"/>
      <c r="CD2064" s="276"/>
      <c r="CH2064" s="276"/>
      <c r="CJ2064" s="276"/>
      <c r="CK2064" s="276"/>
      <c r="CL2064" s="276"/>
      <c r="CM2064" s="276"/>
      <c r="CN2064" s="276"/>
      <c r="CO2064" s="276"/>
      <c r="CP2064" s="276"/>
      <c r="CQ2064" s="276"/>
      <c r="CU2064" s="276"/>
    </row>
    <row r="2065" spans="75:99" ht="15.75">
      <c r="BW2065" s="276"/>
      <c r="BY2065" s="276"/>
      <c r="BZ2065" s="276"/>
      <c r="CA2065" s="276"/>
      <c r="CB2065" s="276"/>
      <c r="CC2065" s="276"/>
      <c r="CD2065" s="276"/>
      <c r="CH2065" s="276"/>
      <c r="CJ2065" s="276"/>
      <c r="CK2065" s="276"/>
      <c r="CL2065" s="276"/>
      <c r="CM2065" s="276"/>
      <c r="CN2065" s="276"/>
      <c r="CO2065" s="276"/>
      <c r="CP2065" s="276"/>
      <c r="CQ2065" s="276"/>
      <c r="CU2065" s="276"/>
    </row>
    <row r="2066" spans="75:99" ht="15.75">
      <c r="BW2066" s="276"/>
      <c r="BY2066" s="276"/>
      <c r="BZ2066" s="276"/>
      <c r="CA2066" s="276"/>
      <c r="CB2066" s="276"/>
      <c r="CC2066" s="276"/>
      <c r="CD2066" s="276"/>
      <c r="CH2066" s="276"/>
      <c r="CJ2066" s="276"/>
      <c r="CK2066" s="276"/>
      <c r="CL2066" s="276"/>
      <c r="CM2066" s="276"/>
      <c r="CN2066" s="276"/>
      <c r="CO2066" s="276"/>
      <c r="CP2066" s="276"/>
      <c r="CQ2066" s="276"/>
      <c r="CU2066" s="276"/>
    </row>
    <row r="2067" spans="75:99" ht="15.75">
      <c r="BW2067" s="276"/>
      <c r="BY2067" s="276"/>
      <c r="BZ2067" s="276"/>
      <c r="CA2067" s="276"/>
      <c r="CB2067" s="276"/>
      <c r="CC2067" s="276"/>
      <c r="CD2067" s="276"/>
      <c r="CH2067" s="276"/>
      <c r="CJ2067" s="276"/>
      <c r="CK2067" s="276"/>
      <c r="CL2067" s="276"/>
      <c r="CM2067" s="276"/>
      <c r="CN2067" s="276"/>
      <c r="CO2067" s="276"/>
      <c r="CP2067" s="276"/>
      <c r="CQ2067" s="276"/>
      <c r="CU2067" s="276"/>
    </row>
    <row r="2068" spans="75:99" ht="15.75">
      <c r="BW2068" s="276"/>
      <c r="BY2068" s="276"/>
      <c r="BZ2068" s="276"/>
      <c r="CA2068" s="276"/>
      <c r="CB2068" s="276"/>
      <c r="CC2068" s="276"/>
      <c r="CD2068" s="276"/>
      <c r="CH2068" s="276"/>
      <c r="CJ2068" s="276"/>
      <c r="CK2068" s="276"/>
      <c r="CL2068" s="276"/>
      <c r="CM2068" s="276"/>
      <c r="CN2068" s="276"/>
      <c r="CO2068" s="276"/>
      <c r="CP2068" s="276"/>
      <c r="CQ2068" s="276"/>
      <c r="CU2068" s="276"/>
    </row>
    <row r="2069" spans="75:99" ht="15.75">
      <c r="BW2069" s="276"/>
      <c r="BY2069" s="276"/>
      <c r="BZ2069" s="276"/>
      <c r="CA2069" s="276"/>
      <c r="CB2069" s="276"/>
      <c r="CC2069" s="276"/>
      <c r="CD2069" s="276"/>
      <c r="CH2069" s="276"/>
      <c r="CJ2069" s="276"/>
      <c r="CK2069" s="276"/>
      <c r="CL2069" s="276"/>
      <c r="CM2069" s="276"/>
      <c r="CN2069" s="276"/>
      <c r="CO2069" s="276"/>
      <c r="CP2069" s="276"/>
      <c r="CQ2069" s="276"/>
      <c r="CU2069" s="276"/>
    </row>
    <row r="2070" spans="75:99" ht="15.75">
      <c r="BW2070" s="276"/>
      <c r="BY2070" s="276"/>
      <c r="BZ2070" s="276"/>
      <c r="CA2070" s="276"/>
      <c r="CB2070" s="276"/>
      <c r="CC2070" s="276"/>
      <c r="CD2070" s="276"/>
      <c r="CH2070" s="276"/>
      <c r="CJ2070" s="276"/>
      <c r="CK2070" s="276"/>
      <c r="CL2070" s="276"/>
      <c r="CM2070" s="276"/>
      <c r="CN2070" s="276"/>
      <c r="CO2070" s="276"/>
      <c r="CP2070" s="276"/>
      <c r="CQ2070" s="276"/>
      <c r="CU2070" s="276"/>
    </row>
    <row r="2071" spans="75:99" ht="15.75">
      <c r="BW2071" s="276"/>
      <c r="BY2071" s="276"/>
      <c r="BZ2071" s="276"/>
      <c r="CA2071" s="276"/>
      <c r="CB2071" s="276"/>
      <c r="CC2071" s="276"/>
      <c r="CD2071" s="276"/>
      <c r="CH2071" s="276"/>
      <c r="CJ2071" s="276"/>
      <c r="CK2071" s="276"/>
      <c r="CL2071" s="276"/>
      <c r="CM2071" s="276"/>
      <c r="CN2071" s="276"/>
      <c r="CO2071" s="276"/>
      <c r="CP2071" s="276"/>
      <c r="CQ2071" s="276"/>
      <c r="CU2071" s="276"/>
    </row>
    <row r="2072" spans="75:99" ht="15.75">
      <c r="BW2072" s="276"/>
      <c r="BY2072" s="276"/>
      <c r="BZ2072" s="276"/>
      <c r="CA2072" s="276"/>
      <c r="CB2072" s="276"/>
      <c r="CC2072" s="276"/>
      <c r="CD2072" s="276"/>
      <c r="CH2072" s="276"/>
      <c r="CJ2072" s="276"/>
      <c r="CK2072" s="276"/>
      <c r="CL2072" s="276"/>
      <c r="CM2072" s="276"/>
      <c r="CN2072" s="276"/>
      <c r="CO2072" s="276"/>
      <c r="CP2072" s="276"/>
      <c r="CQ2072" s="276"/>
      <c r="CU2072" s="276"/>
    </row>
    <row r="2073" spans="75:99" ht="15.75">
      <c r="BW2073" s="276"/>
      <c r="BY2073" s="276"/>
      <c r="BZ2073" s="276"/>
      <c r="CA2073" s="276"/>
      <c r="CB2073" s="276"/>
      <c r="CC2073" s="276"/>
      <c r="CD2073" s="276"/>
      <c r="CH2073" s="276"/>
      <c r="CJ2073" s="276"/>
      <c r="CK2073" s="276"/>
      <c r="CL2073" s="276"/>
      <c r="CM2073" s="276"/>
      <c r="CN2073" s="276"/>
      <c r="CO2073" s="276"/>
      <c r="CP2073" s="276"/>
      <c r="CQ2073" s="276"/>
      <c r="CU2073" s="276"/>
    </row>
    <row r="2074" spans="75:99" ht="15.75">
      <c r="BW2074" s="276"/>
      <c r="BY2074" s="276"/>
      <c r="BZ2074" s="276"/>
      <c r="CA2074" s="276"/>
      <c r="CB2074" s="276"/>
      <c r="CC2074" s="276"/>
      <c r="CD2074" s="276"/>
      <c r="CH2074" s="276"/>
      <c r="CJ2074" s="276"/>
      <c r="CK2074" s="276"/>
      <c r="CL2074" s="276"/>
      <c r="CM2074" s="276"/>
      <c r="CN2074" s="276"/>
      <c r="CO2074" s="276"/>
      <c r="CP2074" s="276"/>
      <c r="CQ2074" s="276"/>
      <c r="CU2074" s="276"/>
    </row>
    <row r="2075" spans="75:99" ht="15.75">
      <c r="BW2075" s="276"/>
      <c r="BY2075" s="276"/>
      <c r="BZ2075" s="276"/>
      <c r="CA2075" s="276"/>
      <c r="CB2075" s="276"/>
      <c r="CC2075" s="276"/>
      <c r="CD2075" s="276"/>
      <c r="CH2075" s="276"/>
      <c r="CJ2075" s="276"/>
      <c r="CK2075" s="276"/>
      <c r="CL2075" s="276"/>
      <c r="CM2075" s="276"/>
      <c r="CN2075" s="276"/>
      <c r="CO2075" s="276"/>
      <c r="CP2075" s="276"/>
      <c r="CQ2075" s="276"/>
      <c r="CU2075" s="276"/>
    </row>
    <row r="2076" spans="75:99" ht="15.75">
      <c r="BW2076" s="276"/>
      <c r="BY2076" s="276"/>
      <c r="BZ2076" s="276"/>
      <c r="CA2076" s="276"/>
      <c r="CB2076" s="276"/>
      <c r="CC2076" s="276"/>
      <c r="CD2076" s="276"/>
      <c r="CH2076" s="276"/>
      <c r="CJ2076" s="276"/>
      <c r="CK2076" s="276"/>
      <c r="CL2076" s="276"/>
      <c r="CM2076" s="276"/>
      <c r="CN2076" s="276"/>
      <c r="CO2076" s="276"/>
      <c r="CP2076" s="276"/>
      <c r="CQ2076" s="276"/>
      <c r="CU2076" s="276"/>
    </row>
    <row r="2077" spans="75:99" ht="15.75">
      <c r="BW2077" s="276"/>
      <c r="BY2077" s="276"/>
      <c r="BZ2077" s="276"/>
      <c r="CA2077" s="276"/>
      <c r="CB2077" s="276"/>
      <c r="CC2077" s="276"/>
      <c r="CD2077" s="276"/>
      <c r="CH2077" s="276"/>
      <c r="CJ2077" s="276"/>
      <c r="CK2077" s="276"/>
      <c r="CL2077" s="276"/>
      <c r="CM2077" s="276"/>
      <c r="CN2077" s="276"/>
      <c r="CO2077" s="276"/>
      <c r="CP2077" s="276"/>
      <c r="CQ2077" s="276"/>
      <c r="CU2077" s="276"/>
    </row>
    <row r="2078" spans="75:99" ht="15.75">
      <c r="BW2078" s="276"/>
      <c r="BY2078" s="276"/>
      <c r="BZ2078" s="276"/>
      <c r="CA2078" s="276"/>
      <c r="CB2078" s="276"/>
      <c r="CC2078" s="276"/>
      <c r="CD2078" s="276"/>
      <c r="CH2078" s="276"/>
      <c r="CJ2078" s="276"/>
      <c r="CK2078" s="276"/>
      <c r="CL2078" s="276"/>
      <c r="CM2078" s="276"/>
      <c r="CN2078" s="276"/>
      <c r="CO2078" s="276"/>
      <c r="CP2078" s="276"/>
      <c r="CQ2078" s="276"/>
      <c r="CU2078" s="276"/>
    </row>
    <row r="2079" spans="75:99" ht="15.75">
      <c r="BW2079" s="276"/>
      <c r="BY2079" s="276"/>
      <c r="BZ2079" s="276"/>
      <c r="CA2079" s="276"/>
      <c r="CB2079" s="276"/>
      <c r="CC2079" s="276"/>
      <c r="CD2079" s="276"/>
      <c r="CH2079" s="276"/>
      <c r="CJ2079" s="276"/>
      <c r="CK2079" s="276"/>
      <c r="CL2079" s="276"/>
      <c r="CM2079" s="276"/>
      <c r="CN2079" s="276"/>
      <c r="CO2079" s="276"/>
      <c r="CP2079" s="276"/>
      <c r="CQ2079" s="276"/>
      <c r="CU2079" s="276"/>
    </row>
    <row r="2080" spans="75:99" ht="15.75">
      <c r="BW2080" s="276"/>
      <c r="BY2080" s="276"/>
      <c r="BZ2080" s="276"/>
      <c r="CA2080" s="276"/>
      <c r="CB2080" s="276"/>
      <c r="CC2080" s="276"/>
      <c r="CD2080" s="276"/>
      <c r="CH2080" s="276"/>
      <c r="CJ2080" s="276"/>
      <c r="CK2080" s="276"/>
      <c r="CL2080" s="276"/>
      <c r="CM2080" s="276"/>
      <c r="CN2080" s="276"/>
      <c r="CO2080" s="276"/>
      <c r="CP2080" s="276"/>
      <c r="CQ2080" s="276"/>
      <c r="CU2080" s="276"/>
    </row>
    <row r="2081" spans="75:99" ht="15.75">
      <c r="BW2081" s="276"/>
      <c r="BY2081" s="276"/>
      <c r="BZ2081" s="276"/>
      <c r="CA2081" s="276"/>
      <c r="CB2081" s="276"/>
      <c r="CC2081" s="276"/>
      <c r="CD2081" s="276"/>
      <c r="CH2081" s="276"/>
      <c r="CJ2081" s="276"/>
      <c r="CK2081" s="276"/>
      <c r="CL2081" s="276"/>
      <c r="CM2081" s="276"/>
      <c r="CN2081" s="276"/>
      <c r="CO2081" s="276"/>
      <c r="CP2081" s="276"/>
      <c r="CQ2081" s="276"/>
      <c r="CU2081" s="276"/>
    </row>
    <row r="2082" spans="75:99" ht="15.75">
      <c r="BW2082" s="276"/>
      <c r="BY2082" s="276"/>
      <c r="BZ2082" s="276"/>
      <c r="CA2082" s="276"/>
      <c r="CB2082" s="276"/>
      <c r="CC2082" s="276"/>
      <c r="CD2082" s="276"/>
      <c r="CH2082" s="276"/>
      <c r="CJ2082" s="276"/>
      <c r="CK2082" s="276"/>
      <c r="CL2082" s="276"/>
      <c r="CM2082" s="276"/>
      <c r="CN2082" s="276"/>
      <c r="CO2082" s="276"/>
      <c r="CP2082" s="276"/>
      <c r="CQ2082" s="276"/>
      <c r="CU2082" s="276"/>
    </row>
    <row r="2083" spans="75:99" ht="15.75">
      <c r="BW2083" s="276"/>
      <c r="BY2083" s="276"/>
      <c r="BZ2083" s="276"/>
      <c r="CA2083" s="276"/>
      <c r="CB2083" s="276"/>
      <c r="CC2083" s="276"/>
      <c r="CD2083" s="276"/>
      <c r="CH2083" s="276"/>
      <c r="CJ2083" s="276"/>
      <c r="CK2083" s="276"/>
      <c r="CL2083" s="276"/>
      <c r="CM2083" s="276"/>
      <c r="CN2083" s="276"/>
      <c r="CO2083" s="276"/>
      <c r="CP2083" s="276"/>
      <c r="CQ2083" s="276"/>
      <c r="CU2083" s="276"/>
    </row>
    <row r="2084" spans="75:99" ht="15.75">
      <c r="BW2084" s="276"/>
      <c r="BY2084" s="276"/>
      <c r="BZ2084" s="276"/>
      <c r="CA2084" s="276"/>
      <c r="CB2084" s="276"/>
      <c r="CC2084" s="276"/>
      <c r="CD2084" s="276"/>
      <c r="CH2084" s="276"/>
      <c r="CJ2084" s="276"/>
      <c r="CK2084" s="276"/>
      <c r="CL2084" s="276"/>
      <c r="CM2084" s="276"/>
      <c r="CN2084" s="276"/>
      <c r="CO2084" s="276"/>
      <c r="CP2084" s="276"/>
      <c r="CQ2084" s="276"/>
      <c r="CU2084" s="276"/>
    </row>
    <row r="2085" spans="75:99" ht="15.75">
      <c r="BW2085" s="276"/>
      <c r="BY2085" s="276"/>
      <c r="BZ2085" s="276"/>
      <c r="CA2085" s="276"/>
      <c r="CB2085" s="276"/>
      <c r="CC2085" s="276"/>
      <c r="CD2085" s="276"/>
      <c r="CH2085" s="276"/>
      <c r="CJ2085" s="276"/>
      <c r="CK2085" s="276"/>
      <c r="CL2085" s="276"/>
      <c r="CM2085" s="276"/>
      <c r="CN2085" s="276"/>
      <c r="CO2085" s="276"/>
      <c r="CP2085" s="276"/>
      <c r="CQ2085" s="276"/>
      <c r="CU2085" s="276"/>
    </row>
    <row r="2086" spans="75:99" ht="15.75">
      <c r="BW2086" s="276"/>
      <c r="BY2086" s="276"/>
      <c r="BZ2086" s="276"/>
      <c r="CA2086" s="276"/>
      <c r="CB2086" s="276"/>
      <c r="CC2086" s="276"/>
      <c r="CD2086" s="276"/>
      <c r="CH2086" s="276"/>
      <c r="CJ2086" s="276"/>
      <c r="CK2086" s="276"/>
      <c r="CL2086" s="276"/>
      <c r="CM2086" s="276"/>
      <c r="CN2086" s="276"/>
      <c r="CO2086" s="276"/>
      <c r="CP2086" s="276"/>
      <c r="CQ2086" s="276"/>
      <c r="CU2086" s="276"/>
    </row>
    <row r="2087" spans="75:99" ht="15.75">
      <c r="BW2087" s="276"/>
      <c r="BY2087" s="276"/>
      <c r="BZ2087" s="276"/>
      <c r="CA2087" s="276"/>
      <c r="CB2087" s="276"/>
      <c r="CC2087" s="276"/>
      <c r="CD2087" s="276"/>
      <c r="CH2087" s="276"/>
      <c r="CJ2087" s="276"/>
      <c r="CK2087" s="276"/>
      <c r="CL2087" s="276"/>
      <c r="CM2087" s="276"/>
      <c r="CN2087" s="276"/>
      <c r="CO2087" s="276"/>
      <c r="CP2087" s="276"/>
      <c r="CQ2087" s="276"/>
      <c r="CU2087" s="276"/>
    </row>
    <row r="2088" spans="75:99" ht="15.75">
      <c r="BW2088" s="276"/>
      <c r="BY2088" s="276"/>
      <c r="BZ2088" s="276"/>
      <c r="CA2088" s="276"/>
      <c r="CB2088" s="276"/>
      <c r="CC2088" s="276"/>
      <c r="CD2088" s="276"/>
      <c r="CH2088" s="276"/>
      <c r="CJ2088" s="276"/>
      <c r="CK2088" s="276"/>
      <c r="CL2088" s="276"/>
      <c r="CM2088" s="276"/>
      <c r="CN2088" s="276"/>
      <c r="CO2088" s="276"/>
      <c r="CP2088" s="276"/>
      <c r="CQ2088" s="276"/>
      <c r="CU2088" s="276"/>
    </row>
    <row r="2089" spans="75:99" ht="15.75">
      <c r="BW2089" s="276"/>
      <c r="BY2089" s="276"/>
      <c r="BZ2089" s="276"/>
      <c r="CA2089" s="276"/>
      <c r="CB2089" s="276"/>
      <c r="CC2089" s="276"/>
      <c r="CD2089" s="276"/>
      <c r="CH2089" s="276"/>
      <c r="CJ2089" s="276"/>
      <c r="CK2089" s="276"/>
      <c r="CL2089" s="276"/>
      <c r="CM2089" s="276"/>
      <c r="CN2089" s="276"/>
      <c r="CO2089" s="276"/>
      <c r="CP2089" s="276"/>
      <c r="CQ2089" s="276"/>
      <c r="CU2089" s="276"/>
    </row>
    <row r="2090" spans="75:99" ht="15.75">
      <c r="BW2090" s="276"/>
      <c r="BY2090" s="276"/>
      <c r="BZ2090" s="276"/>
      <c r="CA2090" s="276"/>
      <c r="CB2090" s="276"/>
      <c r="CC2090" s="276"/>
      <c r="CD2090" s="276"/>
      <c r="CH2090" s="276"/>
      <c r="CJ2090" s="276"/>
      <c r="CK2090" s="276"/>
      <c r="CL2090" s="276"/>
      <c r="CM2090" s="276"/>
      <c r="CN2090" s="276"/>
      <c r="CO2090" s="276"/>
      <c r="CP2090" s="276"/>
      <c r="CQ2090" s="276"/>
      <c r="CU2090" s="276"/>
    </row>
    <row r="2091" spans="75:99" ht="15.75">
      <c r="BW2091" s="276"/>
      <c r="BY2091" s="276"/>
      <c r="BZ2091" s="276"/>
      <c r="CA2091" s="276"/>
      <c r="CB2091" s="276"/>
      <c r="CC2091" s="276"/>
      <c r="CD2091" s="276"/>
      <c r="CH2091" s="276"/>
      <c r="CJ2091" s="276"/>
      <c r="CK2091" s="276"/>
      <c r="CL2091" s="276"/>
      <c r="CM2091" s="276"/>
      <c r="CN2091" s="276"/>
      <c r="CO2091" s="276"/>
      <c r="CP2091" s="276"/>
      <c r="CQ2091" s="276"/>
      <c r="CU2091" s="276"/>
    </row>
    <row r="2092" spans="75:99" ht="15.75">
      <c r="BW2092" s="276"/>
      <c r="BY2092" s="276"/>
      <c r="BZ2092" s="276"/>
      <c r="CA2092" s="276"/>
      <c r="CB2092" s="276"/>
      <c r="CC2092" s="276"/>
      <c r="CD2092" s="276"/>
      <c r="CH2092" s="276"/>
      <c r="CJ2092" s="276"/>
      <c r="CK2092" s="276"/>
      <c r="CL2092" s="276"/>
      <c r="CM2092" s="276"/>
      <c r="CN2092" s="276"/>
      <c r="CO2092" s="276"/>
      <c r="CP2092" s="276"/>
      <c r="CQ2092" s="276"/>
      <c r="CU2092" s="276"/>
    </row>
    <row r="2093" spans="75:99" ht="15.75">
      <c r="BW2093" s="276"/>
      <c r="BY2093" s="276"/>
      <c r="BZ2093" s="276"/>
      <c r="CA2093" s="276"/>
      <c r="CB2093" s="276"/>
      <c r="CC2093" s="276"/>
      <c r="CD2093" s="276"/>
      <c r="CH2093" s="276"/>
      <c r="CJ2093" s="276"/>
      <c r="CK2093" s="276"/>
      <c r="CL2093" s="276"/>
      <c r="CM2093" s="276"/>
      <c r="CN2093" s="276"/>
      <c r="CO2093" s="276"/>
      <c r="CP2093" s="276"/>
      <c r="CQ2093" s="276"/>
      <c r="CU2093" s="276"/>
    </row>
    <row r="2094" spans="75:99" ht="15.75">
      <c r="BW2094" s="276"/>
      <c r="BY2094" s="276"/>
      <c r="BZ2094" s="276"/>
      <c r="CA2094" s="276"/>
      <c r="CB2094" s="276"/>
      <c r="CC2094" s="276"/>
      <c r="CD2094" s="276"/>
      <c r="CH2094" s="276"/>
      <c r="CJ2094" s="276"/>
      <c r="CK2094" s="276"/>
      <c r="CL2094" s="276"/>
      <c r="CM2094" s="276"/>
      <c r="CN2094" s="276"/>
      <c r="CO2094" s="276"/>
      <c r="CP2094" s="276"/>
      <c r="CQ2094" s="276"/>
      <c r="CU2094" s="276"/>
    </row>
    <row r="2095" spans="75:99" ht="15.75">
      <c r="BW2095" s="276"/>
      <c r="BY2095" s="276"/>
      <c r="BZ2095" s="276"/>
      <c r="CA2095" s="276"/>
      <c r="CB2095" s="276"/>
      <c r="CC2095" s="276"/>
      <c r="CD2095" s="276"/>
      <c r="CH2095" s="276"/>
      <c r="CJ2095" s="276"/>
      <c r="CK2095" s="276"/>
      <c r="CL2095" s="276"/>
      <c r="CM2095" s="276"/>
      <c r="CN2095" s="276"/>
      <c r="CO2095" s="276"/>
      <c r="CP2095" s="276"/>
      <c r="CQ2095" s="276"/>
      <c r="CU2095" s="276"/>
    </row>
    <row r="2096" spans="75:99" ht="15.75">
      <c r="BW2096" s="276"/>
      <c r="BY2096" s="276"/>
      <c r="BZ2096" s="276"/>
      <c r="CA2096" s="276"/>
      <c r="CB2096" s="276"/>
      <c r="CC2096" s="276"/>
      <c r="CD2096" s="276"/>
      <c r="CH2096" s="276"/>
      <c r="CJ2096" s="276"/>
      <c r="CK2096" s="276"/>
      <c r="CL2096" s="276"/>
      <c r="CM2096" s="276"/>
      <c r="CN2096" s="276"/>
      <c r="CO2096" s="276"/>
      <c r="CP2096" s="276"/>
      <c r="CQ2096" s="276"/>
      <c r="CU2096" s="276"/>
    </row>
    <row r="2097" spans="75:99" ht="15.75">
      <c r="BW2097" s="276"/>
      <c r="BY2097" s="276"/>
      <c r="BZ2097" s="276"/>
      <c r="CA2097" s="276"/>
      <c r="CB2097" s="276"/>
      <c r="CC2097" s="276"/>
      <c r="CD2097" s="276"/>
      <c r="CH2097" s="276"/>
      <c r="CJ2097" s="276"/>
      <c r="CK2097" s="276"/>
      <c r="CL2097" s="276"/>
      <c r="CM2097" s="276"/>
      <c r="CN2097" s="276"/>
      <c r="CO2097" s="276"/>
      <c r="CP2097" s="276"/>
      <c r="CQ2097" s="276"/>
      <c r="CU2097" s="276"/>
    </row>
    <row r="2098" spans="75:99" ht="15.75">
      <c r="BW2098" s="276"/>
      <c r="BY2098" s="276"/>
      <c r="BZ2098" s="276"/>
      <c r="CA2098" s="276"/>
      <c r="CB2098" s="276"/>
      <c r="CC2098" s="276"/>
      <c r="CD2098" s="276"/>
      <c r="CH2098" s="276"/>
      <c r="CJ2098" s="276"/>
      <c r="CK2098" s="276"/>
      <c r="CL2098" s="276"/>
      <c r="CM2098" s="276"/>
      <c r="CN2098" s="276"/>
      <c r="CO2098" s="276"/>
      <c r="CP2098" s="276"/>
      <c r="CQ2098" s="276"/>
      <c r="CU2098" s="276"/>
    </row>
    <row r="2099" spans="75:99" ht="15.75">
      <c r="BW2099" s="276"/>
      <c r="BY2099" s="276"/>
      <c r="BZ2099" s="276"/>
      <c r="CA2099" s="276"/>
      <c r="CB2099" s="276"/>
      <c r="CC2099" s="276"/>
      <c r="CD2099" s="276"/>
      <c r="CH2099" s="276"/>
      <c r="CJ2099" s="276"/>
      <c r="CK2099" s="276"/>
      <c r="CL2099" s="276"/>
      <c r="CM2099" s="276"/>
      <c r="CN2099" s="276"/>
      <c r="CO2099" s="276"/>
      <c r="CP2099" s="276"/>
      <c r="CQ2099" s="276"/>
      <c r="CU2099" s="276"/>
    </row>
    <row r="2100" spans="75:99" ht="15.75">
      <c r="BW2100" s="276"/>
      <c r="BY2100" s="276"/>
      <c r="BZ2100" s="276"/>
      <c r="CA2100" s="276"/>
      <c r="CB2100" s="276"/>
      <c r="CC2100" s="276"/>
      <c r="CD2100" s="276"/>
      <c r="CH2100" s="276"/>
      <c r="CJ2100" s="276"/>
      <c r="CK2100" s="276"/>
      <c r="CL2100" s="276"/>
      <c r="CM2100" s="276"/>
      <c r="CN2100" s="276"/>
      <c r="CO2100" s="276"/>
      <c r="CP2100" s="276"/>
      <c r="CQ2100" s="276"/>
      <c r="CU2100" s="276"/>
    </row>
    <row r="2101" spans="75:99" ht="15.75">
      <c r="BW2101" s="276"/>
      <c r="BY2101" s="276"/>
      <c r="BZ2101" s="276"/>
      <c r="CA2101" s="276"/>
      <c r="CB2101" s="276"/>
      <c r="CC2101" s="276"/>
      <c r="CD2101" s="276"/>
      <c r="CH2101" s="276"/>
      <c r="CJ2101" s="276"/>
      <c r="CK2101" s="276"/>
      <c r="CL2101" s="276"/>
      <c r="CM2101" s="276"/>
      <c r="CN2101" s="276"/>
      <c r="CO2101" s="276"/>
      <c r="CP2101" s="276"/>
      <c r="CQ2101" s="276"/>
      <c r="CU2101" s="276"/>
    </row>
    <row r="2102" spans="75:99" ht="15.75">
      <c r="BW2102" s="276"/>
      <c r="BY2102" s="276"/>
      <c r="BZ2102" s="276"/>
      <c r="CA2102" s="276"/>
      <c r="CB2102" s="276"/>
      <c r="CC2102" s="276"/>
      <c r="CD2102" s="276"/>
      <c r="CH2102" s="276"/>
      <c r="CJ2102" s="276"/>
      <c r="CK2102" s="276"/>
      <c r="CL2102" s="276"/>
      <c r="CM2102" s="276"/>
      <c r="CN2102" s="276"/>
      <c r="CO2102" s="276"/>
      <c r="CP2102" s="276"/>
      <c r="CQ2102" s="276"/>
      <c r="CU2102" s="276"/>
    </row>
    <row r="2103" spans="75:99" ht="15.75">
      <c r="BW2103" s="276"/>
      <c r="BY2103" s="276"/>
      <c r="BZ2103" s="276"/>
      <c r="CA2103" s="276"/>
      <c r="CB2103" s="276"/>
      <c r="CC2103" s="276"/>
      <c r="CD2103" s="276"/>
      <c r="CH2103" s="276"/>
      <c r="CJ2103" s="276"/>
      <c r="CK2103" s="276"/>
      <c r="CL2103" s="276"/>
      <c r="CM2103" s="276"/>
      <c r="CN2103" s="276"/>
      <c r="CO2103" s="276"/>
      <c r="CP2103" s="276"/>
      <c r="CQ2103" s="276"/>
      <c r="CU2103" s="276"/>
    </row>
    <row r="2104" spans="75:99" ht="15.75">
      <c r="BW2104" s="276"/>
      <c r="BY2104" s="276"/>
      <c r="BZ2104" s="276"/>
      <c r="CA2104" s="276"/>
      <c r="CB2104" s="276"/>
      <c r="CC2104" s="276"/>
      <c r="CD2104" s="276"/>
      <c r="CH2104" s="276"/>
      <c r="CJ2104" s="276"/>
      <c r="CK2104" s="276"/>
      <c r="CL2104" s="276"/>
      <c r="CM2104" s="276"/>
      <c r="CN2104" s="276"/>
      <c r="CO2104" s="276"/>
      <c r="CP2104" s="276"/>
      <c r="CQ2104" s="276"/>
      <c r="CU2104" s="276"/>
    </row>
    <row r="2105" spans="75:99" ht="15.75">
      <c r="BW2105" s="276"/>
      <c r="BY2105" s="276"/>
      <c r="BZ2105" s="276"/>
      <c r="CA2105" s="276"/>
      <c r="CB2105" s="276"/>
      <c r="CC2105" s="276"/>
      <c r="CD2105" s="276"/>
      <c r="CH2105" s="276"/>
      <c r="CJ2105" s="276"/>
      <c r="CK2105" s="276"/>
      <c r="CL2105" s="276"/>
      <c r="CM2105" s="276"/>
      <c r="CN2105" s="276"/>
      <c r="CO2105" s="276"/>
      <c r="CP2105" s="276"/>
      <c r="CQ2105" s="276"/>
      <c r="CU2105" s="276"/>
    </row>
    <row r="2106" spans="75:99" ht="15.75">
      <c r="BW2106" s="276"/>
      <c r="BY2106" s="276"/>
      <c r="BZ2106" s="276"/>
      <c r="CA2106" s="276"/>
      <c r="CB2106" s="276"/>
      <c r="CC2106" s="276"/>
      <c r="CD2106" s="276"/>
      <c r="CH2106" s="276"/>
      <c r="CJ2106" s="276"/>
      <c r="CK2106" s="276"/>
      <c r="CL2106" s="276"/>
      <c r="CM2106" s="276"/>
      <c r="CN2106" s="276"/>
      <c r="CO2106" s="276"/>
      <c r="CP2106" s="276"/>
      <c r="CQ2106" s="276"/>
      <c r="CU2106" s="276"/>
    </row>
    <row r="2107" spans="75:99" ht="15.75">
      <c r="BW2107" s="276"/>
      <c r="BY2107" s="276"/>
      <c r="BZ2107" s="276"/>
      <c r="CA2107" s="276"/>
      <c r="CB2107" s="276"/>
      <c r="CC2107" s="276"/>
      <c r="CD2107" s="276"/>
      <c r="CH2107" s="276"/>
      <c r="CJ2107" s="276"/>
      <c r="CK2107" s="276"/>
      <c r="CL2107" s="276"/>
      <c r="CM2107" s="276"/>
      <c r="CN2107" s="276"/>
      <c r="CO2107" s="276"/>
      <c r="CP2107" s="276"/>
      <c r="CQ2107" s="276"/>
      <c r="CU2107" s="276"/>
    </row>
    <row r="2108" spans="75:99" ht="15.75">
      <c r="BW2108" s="276"/>
      <c r="BY2108" s="276"/>
      <c r="BZ2108" s="276"/>
      <c r="CA2108" s="276"/>
      <c r="CB2108" s="276"/>
      <c r="CC2108" s="276"/>
      <c r="CD2108" s="276"/>
      <c r="CH2108" s="276"/>
      <c r="CJ2108" s="276"/>
      <c r="CK2108" s="276"/>
      <c r="CL2108" s="276"/>
      <c r="CM2108" s="276"/>
      <c r="CN2108" s="276"/>
      <c r="CO2108" s="276"/>
      <c r="CP2108" s="276"/>
      <c r="CQ2108" s="276"/>
      <c r="CU2108" s="276"/>
    </row>
    <row r="2109" spans="75:99" ht="15.75">
      <c r="BW2109" s="276"/>
      <c r="BY2109" s="276"/>
      <c r="BZ2109" s="276"/>
      <c r="CA2109" s="276"/>
      <c r="CB2109" s="276"/>
      <c r="CC2109" s="276"/>
      <c r="CD2109" s="276"/>
      <c r="CH2109" s="276"/>
      <c r="CJ2109" s="276"/>
      <c r="CK2109" s="276"/>
      <c r="CL2109" s="276"/>
      <c r="CM2109" s="276"/>
      <c r="CN2109" s="276"/>
      <c r="CO2109" s="276"/>
      <c r="CP2109" s="276"/>
      <c r="CQ2109" s="276"/>
      <c r="CU2109" s="276"/>
    </row>
    <row r="2110" spans="75:99" ht="15.75">
      <c r="BW2110" s="276"/>
      <c r="BY2110" s="276"/>
      <c r="BZ2110" s="276"/>
      <c r="CA2110" s="276"/>
      <c r="CB2110" s="276"/>
      <c r="CC2110" s="276"/>
      <c r="CD2110" s="276"/>
      <c r="CH2110" s="276"/>
      <c r="CJ2110" s="276"/>
      <c r="CK2110" s="276"/>
      <c r="CL2110" s="276"/>
      <c r="CM2110" s="276"/>
      <c r="CN2110" s="276"/>
      <c r="CO2110" s="276"/>
      <c r="CP2110" s="276"/>
      <c r="CQ2110" s="276"/>
      <c r="CU2110" s="276"/>
    </row>
    <row r="2111" spans="75:99" ht="15.75">
      <c r="BW2111" s="276"/>
      <c r="BY2111" s="276"/>
      <c r="BZ2111" s="276"/>
      <c r="CA2111" s="276"/>
      <c r="CB2111" s="276"/>
      <c r="CC2111" s="276"/>
      <c r="CD2111" s="276"/>
      <c r="CH2111" s="276"/>
      <c r="CJ2111" s="276"/>
      <c r="CK2111" s="276"/>
      <c r="CL2111" s="276"/>
      <c r="CM2111" s="276"/>
      <c r="CN2111" s="276"/>
      <c r="CO2111" s="276"/>
      <c r="CP2111" s="276"/>
      <c r="CQ2111" s="276"/>
      <c r="CU2111" s="276"/>
    </row>
    <row r="2112" spans="75:99" ht="15.75">
      <c r="BW2112" s="276"/>
      <c r="BY2112" s="276"/>
      <c r="BZ2112" s="276"/>
      <c r="CA2112" s="276"/>
      <c r="CB2112" s="276"/>
      <c r="CC2112" s="276"/>
      <c r="CD2112" s="276"/>
      <c r="CH2112" s="276"/>
      <c r="CJ2112" s="276"/>
      <c r="CK2112" s="276"/>
      <c r="CL2112" s="276"/>
      <c r="CM2112" s="276"/>
      <c r="CN2112" s="276"/>
      <c r="CO2112" s="276"/>
      <c r="CP2112" s="276"/>
      <c r="CQ2112" s="276"/>
      <c r="CU2112" s="276"/>
    </row>
    <row r="2113" spans="75:99" ht="15.75">
      <c r="BW2113" s="276"/>
      <c r="BY2113" s="276"/>
      <c r="BZ2113" s="276"/>
      <c r="CA2113" s="276"/>
      <c r="CB2113" s="276"/>
      <c r="CC2113" s="276"/>
      <c r="CD2113" s="276"/>
      <c r="CH2113" s="276"/>
      <c r="CJ2113" s="276"/>
      <c r="CK2113" s="276"/>
      <c r="CL2113" s="276"/>
      <c r="CM2113" s="276"/>
      <c r="CN2113" s="276"/>
      <c r="CO2113" s="276"/>
      <c r="CP2113" s="276"/>
      <c r="CQ2113" s="276"/>
      <c r="CU2113" s="276"/>
    </row>
    <row r="2114" spans="75:99" ht="15.75">
      <c r="BW2114" s="276"/>
      <c r="BY2114" s="276"/>
      <c r="BZ2114" s="276"/>
      <c r="CA2114" s="276"/>
      <c r="CB2114" s="276"/>
      <c r="CC2114" s="276"/>
      <c r="CD2114" s="276"/>
      <c r="CH2114" s="276"/>
      <c r="CJ2114" s="276"/>
      <c r="CK2114" s="276"/>
      <c r="CL2114" s="276"/>
      <c r="CM2114" s="276"/>
      <c r="CN2114" s="276"/>
      <c r="CO2114" s="276"/>
      <c r="CP2114" s="276"/>
      <c r="CQ2114" s="276"/>
      <c r="CU2114" s="276"/>
    </row>
    <row r="2115" spans="75:99" ht="15.75">
      <c r="BW2115" s="276"/>
      <c r="BY2115" s="276"/>
      <c r="BZ2115" s="276"/>
      <c r="CA2115" s="276"/>
      <c r="CB2115" s="276"/>
      <c r="CC2115" s="276"/>
      <c r="CD2115" s="276"/>
      <c r="CH2115" s="276"/>
      <c r="CJ2115" s="276"/>
      <c r="CK2115" s="276"/>
      <c r="CL2115" s="276"/>
      <c r="CM2115" s="276"/>
      <c r="CN2115" s="276"/>
      <c r="CO2115" s="276"/>
      <c r="CP2115" s="276"/>
      <c r="CQ2115" s="276"/>
      <c r="CU2115" s="276"/>
    </row>
    <row r="2116" spans="75:99" ht="15.75">
      <c r="BW2116" s="276"/>
      <c r="BY2116" s="276"/>
      <c r="BZ2116" s="276"/>
      <c r="CA2116" s="276"/>
      <c r="CB2116" s="276"/>
      <c r="CC2116" s="276"/>
      <c r="CD2116" s="276"/>
      <c r="CH2116" s="276"/>
      <c r="CJ2116" s="276"/>
      <c r="CK2116" s="276"/>
      <c r="CL2116" s="276"/>
      <c r="CM2116" s="276"/>
      <c r="CN2116" s="276"/>
      <c r="CO2116" s="276"/>
      <c r="CP2116" s="276"/>
      <c r="CQ2116" s="276"/>
      <c r="CU2116" s="276"/>
    </row>
    <row r="2117" spans="75:99" ht="15.75">
      <c r="BW2117" s="276"/>
      <c r="BY2117" s="276"/>
      <c r="BZ2117" s="276"/>
      <c r="CA2117" s="276"/>
      <c r="CB2117" s="276"/>
      <c r="CC2117" s="276"/>
      <c r="CD2117" s="276"/>
      <c r="CH2117" s="276"/>
      <c r="CJ2117" s="276"/>
      <c r="CK2117" s="276"/>
      <c r="CL2117" s="276"/>
      <c r="CM2117" s="276"/>
      <c r="CN2117" s="276"/>
      <c r="CO2117" s="276"/>
      <c r="CP2117" s="276"/>
      <c r="CQ2117" s="276"/>
      <c r="CU2117" s="276"/>
    </row>
    <row r="2118" spans="75:99" ht="15.75">
      <c r="BW2118" s="276"/>
      <c r="BY2118" s="276"/>
      <c r="BZ2118" s="276"/>
      <c r="CA2118" s="276"/>
      <c r="CB2118" s="276"/>
      <c r="CC2118" s="276"/>
      <c r="CD2118" s="276"/>
      <c r="CH2118" s="276"/>
      <c r="CJ2118" s="276"/>
      <c r="CK2118" s="276"/>
      <c r="CL2118" s="276"/>
      <c r="CM2118" s="276"/>
      <c r="CN2118" s="276"/>
      <c r="CO2118" s="276"/>
      <c r="CP2118" s="276"/>
      <c r="CQ2118" s="276"/>
      <c r="CU2118" s="276"/>
    </row>
    <row r="2119" spans="75:99" ht="15.75">
      <c r="BW2119" s="276"/>
      <c r="BY2119" s="276"/>
      <c r="BZ2119" s="276"/>
      <c r="CA2119" s="276"/>
      <c r="CB2119" s="276"/>
      <c r="CC2119" s="276"/>
      <c r="CD2119" s="276"/>
      <c r="CH2119" s="276"/>
      <c r="CJ2119" s="276"/>
      <c r="CK2119" s="276"/>
      <c r="CL2119" s="276"/>
      <c r="CM2119" s="276"/>
      <c r="CN2119" s="276"/>
      <c r="CO2119" s="276"/>
      <c r="CP2119" s="276"/>
      <c r="CQ2119" s="276"/>
      <c r="CU2119" s="276"/>
    </row>
    <row r="2120" spans="75:99" ht="15.75">
      <c r="BW2120" s="276"/>
      <c r="BY2120" s="276"/>
      <c r="BZ2120" s="276"/>
      <c r="CA2120" s="276"/>
      <c r="CB2120" s="276"/>
      <c r="CC2120" s="276"/>
      <c r="CD2120" s="276"/>
      <c r="CH2120" s="276"/>
      <c r="CJ2120" s="276"/>
      <c r="CK2120" s="276"/>
      <c r="CL2120" s="276"/>
      <c r="CM2120" s="276"/>
      <c r="CN2120" s="276"/>
      <c r="CO2120" s="276"/>
      <c r="CP2120" s="276"/>
      <c r="CQ2120" s="276"/>
      <c r="CU2120" s="276"/>
    </row>
    <row r="2121" spans="75:99" ht="15.75">
      <c r="BW2121" s="276"/>
      <c r="BY2121" s="276"/>
      <c r="BZ2121" s="276"/>
      <c r="CA2121" s="276"/>
      <c r="CB2121" s="276"/>
      <c r="CC2121" s="276"/>
      <c r="CD2121" s="276"/>
      <c r="CH2121" s="276"/>
      <c r="CJ2121" s="276"/>
      <c r="CK2121" s="276"/>
      <c r="CL2121" s="276"/>
      <c r="CM2121" s="276"/>
      <c r="CN2121" s="276"/>
      <c r="CO2121" s="276"/>
      <c r="CP2121" s="276"/>
      <c r="CQ2121" s="276"/>
      <c r="CU2121" s="276"/>
    </row>
    <row r="2122" spans="75:99" ht="15.75">
      <c r="BW2122" s="276"/>
      <c r="BY2122" s="276"/>
      <c r="BZ2122" s="276"/>
      <c r="CA2122" s="276"/>
      <c r="CB2122" s="276"/>
      <c r="CC2122" s="276"/>
      <c r="CD2122" s="276"/>
      <c r="CH2122" s="276"/>
      <c r="CJ2122" s="276"/>
      <c r="CK2122" s="276"/>
      <c r="CL2122" s="276"/>
      <c r="CM2122" s="276"/>
      <c r="CN2122" s="276"/>
      <c r="CO2122" s="276"/>
      <c r="CP2122" s="276"/>
      <c r="CQ2122" s="276"/>
      <c r="CU2122" s="276"/>
    </row>
    <row r="2123" spans="75:99" ht="15.75">
      <c r="BW2123" s="276"/>
      <c r="BY2123" s="276"/>
      <c r="BZ2123" s="276"/>
      <c r="CA2123" s="276"/>
      <c r="CB2123" s="276"/>
      <c r="CC2123" s="276"/>
      <c r="CD2123" s="276"/>
      <c r="CH2123" s="276"/>
      <c r="CJ2123" s="276"/>
      <c r="CK2123" s="276"/>
      <c r="CL2123" s="276"/>
      <c r="CM2123" s="276"/>
      <c r="CN2123" s="276"/>
      <c r="CO2123" s="276"/>
      <c r="CP2123" s="276"/>
      <c r="CQ2123" s="276"/>
      <c r="CU2123" s="276"/>
    </row>
    <row r="2124" spans="75:99" ht="15.75">
      <c r="BW2124" s="276"/>
      <c r="BY2124" s="276"/>
      <c r="BZ2124" s="276"/>
      <c r="CA2124" s="276"/>
      <c r="CB2124" s="276"/>
      <c r="CC2124" s="276"/>
      <c r="CD2124" s="276"/>
      <c r="CH2124" s="276"/>
      <c r="CJ2124" s="276"/>
      <c r="CK2124" s="276"/>
      <c r="CL2124" s="276"/>
      <c r="CM2124" s="276"/>
      <c r="CN2124" s="276"/>
      <c r="CO2124" s="276"/>
      <c r="CP2124" s="276"/>
      <c r="CQ2124" s="276"/>
      <c r="CU2124" s="276"/>
    </row>
    <row r="2125" spans="75:99" ht="15.75">
      <c r="BW2125" s="276"/>
      <c r="BY2125" s="276"/>
      <c r="BZ2125" s="276"/>
      <c r="CA2125" s="276"/>
      <c r="CB2125" s="276"/>
      <c r="CC2125" s="276"/>
      <c r="CD2125" s="276"/>
      <c r="CH2125" s="276"/>
      <c r="CJ2125" s="276"/>
      <c r="CK2125" s="276"/>
      <c r="CL2125" s="276"/>
      <c r="CM2125" s="276"/>
      <c r="CN2125" s="276"/>
      <c r="CO2125" s="276"/>
      <c r="CP2125" s="276"/>
      <c r="CQ2125" s="276"/>
      <c r="CU2125" s="276"/>
    </row>
    <row r="2126" spans="75:99" ht="15.75">
      <c r="BW2126" s="276"/>
      <c r="BY2126" s="276"/>
      <c r="BZ2126" s="276"/>
      <c r="CA2126" s="276"/>
      <c r="CB2126" s="276"/>
      <c r="CC2126" s="276"/>
      <c r="CD2126" s="276"/>
      <c r="CH2126" s="276"/>
      <c r="CJ2126" s="276"/>
      <c r="CK2126" s="276"/>
      <c r="CL2126" s="276"/>
      <c r="CM2126" s="276"/>
      <c r="CN2126" s="276"/>
      <c r="CO2126" s="276"/>
      <c r="CP2126" s="276"/>
      <c r="CQ2126" s="276"/>
      <c r="CU2126" s="276"/>
    </row>
    <row r="2127" spans="75:99" ht="15.75">
      <c r="BW2127" s="276"/>
      <c r="BY2127" s="276"/>
      <c r="BZ2127" s="276"/>
      <c r="CA2127" s="276"/>
      <c r="CB2127" s="276"/>
      <c r="CC2127" s="276"/>
      <c r="CD2127" s="276"/>
      <c r="CH2127" s="276"/>
      <c r="CJ2127" s="276"/>
      <c r="CK2127" s="276"/>
      <c r="CL2127" s="276"/>
      <c r="CM2127" s="276"/>
      <c r="CN2127" s="276"/>
      <c r="CO2127" s="276"/>
      <c r="CP2127" s="276"/>
      <c r="CQ2127" s="276"/>
      <c r="CU2127" s="276"/>
    </row>
    <row r="2128" spans="75:99" ht="15.75">
      <c r="BW2128" s="276"/>
      <c r="BY2128" s="276"/>
      <c r="BZ2128" s="276"/>
      <c r="CA2128" s="276"/>
      <c r="CB2128" s="276"/>
      <c r="CC2128" s="276"/>
      <c r="CD2128" s="276"/>
      <c r="CH2128" s="276"/>
      <c r="CJ2128" s="276"/>
      <c r="CK2128" s="276"/>
      <c r="CL2128" s="276"/>
      <c r="CM2128" s="276"/>
      <c r="CN2128" s="276"/>
      <c r="CO2128" s="276"/>
      <c r="CP2128" s="276"/>
      <c r="CQ2128" s="276"/>
      <c r="CU2128" s="276"/>
    </row>
    <row r="2129" spans="75:99" ht="15.75">
      <c r="BW2129" s="276"/>
      <c r="BY2129" s="276"/>
      <c r="BZ2129" s="276"/>
      <c r="CA2129" s="276"/>
      <c r="CB2129" s="276"/>
      <c r="CC2129" s="276"/>
      <c r="CD2129" s="276"/>
      <c r="CH2129" s="276"/>
      <c r="CJ2129" s="276"/>
      <c r="CK2129" s="276"/>
      <c r="CL2129" s="276"/>
      <c r="CM2129" s="276"/>
      <c r="CN2129" s="276"/>
      <c r="CO2129" s="276"/>
      <c r="CP2129" s="276"/>
      <c r="CQ2129" s="276"/>
      <c r="CU2129" s="276"/>
    </row>
    <row r="2130" spans="75:99" ht="15.75">
      <c r="BW2130" s="276"/>
      <c r="BY2130" s="276"/>
      <c r="BZ2130" s="276"/>
      <c r="CA2130" s="276"/>
      <c r="CB2130" s="276"/>
      <c r="CC2130" s="276"/>
      <c r="CD2130" s="276"/>
      <c r="CH2130" s="276"/>
      <c r="CJ2130" s="276"/>
      <c r="CK2130" s="276"/>
      <c r="CL2130" s="276"/>
      <c r="CM2130" s="276"/>
      <c r="CN2130" s="276"/>
      <c r="CO2130" s="276"/>
      <c r="CP2130" s="276"/>
      <c r="CQ2130" s="276"/>
      <c r="CU2130" s="276"/>
    </row>
    <row r="2131" spans="75:99" ht="15.75">
      <c r="BW2131" s="276"/>
      <c r="BY2131" s="276"/>
      <c r="BZ2131" s="276"/>
      <c r="CA2131" s="276"/>
      <c r="CB2131" s="276"/>
      <c r="CC2131" s="276"/>
      <c r="CD2131" s="276"/>
      <c r="CH2131" s="276"/>
      <c r="CJ2131" s="276"/>
      <c r="CK2131" s="276"/>
      <c r="CL2131" s="276"/>
      <c r="CM2131" s="276"/>
      <c r="CN2131" s="276"/>
      <c r="CO2131" s="276"/>
      <c r="CP2131" s="276"/>
      <c r="CQ2131" s="276"/>
      <c r="CU2131" s="276"/>
    </row>
    <row r="2132" spans="75:99" ht="15.75">
      <c r="BW2132" s="276"/>
      <c r="BY2132" s="276"/>
      <c r="BZ2132" s="276"/>
      <c r="CA2132" s="276"/>
      <c r="CB2132" s="276"/>
      <c r="CC2132" s="276"/>
      <c r="CD2132" s="276"/>
      <c r="CH2132" s="276"/>
      <c r="CJ2132" s="276"/>
      <c r="CK2132" s="276"/>
      <c r="CL2132" s="276"/>
      <c r="CM2132" s="276"/>
      <c r="CN2132" s="276"/>
      <c r="CO2132" s="276"/>
      <c r="CP2132" s="276"/>
      <c r="CQ2132" s="276"/>
      <c r="CU2132" s="276"/>
    </row>
    <row r="2133" spans="75:99" ht="15.75">
      <c r="BW2133" s="276"/>
      <c r="BY2133" s="276"/>
      <c r="BZ2133" s="276"/>
      <c r="CA2133" s="276"/>
      <c r="CB2133" s="276"/>
      <c r="CC2133" s="276"/>
      <c r="CD2133" s="276"/>
      <c r="CH2133" s="276"/>
      <c r="CJ2133" s="276"/>
      <c r="CK2133" s="276"/>
      <c r="CL2133" s="276"/>
      <c r="CM2133" s="276"/>
      <c r="CN2133" s="276"/>
      <c r="CO2133" s="276"/>
      <c r="CP2133" s="276"/>
      <c r="CQ2133" s="276"/>
      <c r="CU2133" s="276"/>
    </row>
    <row r="2134" spans="75:99" ht="15.75">
      <c r="BW2134" s="276"/>
      <c r="BY2134" s="276"/>
      <c r="BZ2134" s="276"/>
      <c r="CA2134" s="276"/>
      <c r="CB2134" s="276"/>
      <c r="CC2134" s="276"/>
      <c r="CD2134" s="276"/>
      <c r="CH2134" s="276"/>
      <c r="CJ2134" s="276"/>
      <c r="CK2134" s="276"/>
      <c r="CL2134" s="276"/>
      <c r="CM2134" s="276"/>
      <c r="CN2134" s="276"/>
      <c r="CO2134" s="276"/>
      <c r="CP2134" s="276"/>
      <c r="CQ2134" s="276"/>
      <c r="CU2134" s="276"/>
    </row>
    <row r="2135" spans="75:99" ht="15.75">
      <c r="BW2135" s="276"/>
      <c r="BY2135" s="276"/>
      <c r="BZ2135" s="276"/>
      <c r="CA2135" s="276"/>
      <c r="CB2135" s="276"/>
      <c r="CC2135" s="276"/>
      <c r="CD2135" s="276"/>
      <c r="CH2135" s="276"/>
      <c r="CJ2135" s="276"/>
      <c r="CK2135" s="276"/>
      <c r="CL2135" s="276"/>
      <c r="CM2135" s="276"/>
      <c r="CN2135" s="276"/>
      <c r="CO2135" s="276"/>
      <c r="CP2135" s="276"/>
      <c r="CQ2135" s="276"/>
      <c r="CU2135" s="276"/>
    </row>
    <row r="2136" spans="75:99" ht="15.75">
      <c r="BW2136" s="276"/>
      <c r="BY2136" s="276"/>
      <c r="BZ2136" s="276"/>
      <c r="CA2136" s="276"/>
      <c r="CB2136" s="276"/>
      <c r="CC2136" s="276"/>
      <c r="CD2136" s="276"/>
      <c r="CH2136" s="276"/>
      <c r="CJ2136" s="276"/>
      <c r="CK2136" s="276"/>
      <c r="CL2136" s="276"/>
      <c r="CM2136" s="276"/>
      <c r="CN2136" s="276"/>
      <c r="CO2136" s="276"/>
      <c r="CP2136" s="276"/>
      <c r="CQ2136" s="276"/>
      <c r="CU2136" s="276"/>
    </row>
    <row r="2137" spans="75:99" ht="15.75">
      <c r="BW2137" s="276"/>
      <c r="BY2137" s="276"/>
      <c r="BZ2137" s="276"/>
      <c r="CA2137" s="276"/>
      <c r="CB2137" s="276"/>
      <c r="CC2137" s="276"/>
      <c r="CD2137" s="276"/>
      <c r="CH2137" s="276"/>
      <c r="CJ2137" s="276"/>
      <c r="CK2137" s="276"/>
      <c r="CL2137" s="276"/>
      <c r="CM2137" s="276"/>
      <c r="CN2137" s="276"/>
      <c r="CO2137" s="276"/>
      <c r="CP2137" s="276"/>
      <c r="CQ2137" s="276"/>
      <c r="CU2137" s="276"/>
    </row>
    <row r="2138" spans="75:99" ht="15.75">
      <c r="BW2138" s="276"/>
      <c r="BY2138" s="276"/>
      <c r="BZ2138" s="276"/>
      <c r="CA2138" s="276"/>
      <c r="CB2138" s="276"/>
      <c r="CC2138" s="276"/>
      <c r="CD2138" s="276"/>
      <c r="CH2138" s="276"/>
      <c r="CJ2138" s="276"/>
      <c r="CK2138" s="276"/>
      <c r="CL2138" s="276"/>
      <c r="CM2138" s="276"/>
      <c r="CN2138" s="276"/>
      <c r="CO2138" s="276"/>
      <c r="CP2138" s="276"/>
      <c r="CQ2138" s="276"/>
      <c r="CU2138" s="276"/>
    </row>
    <row r="2139" spans="75:99" ht="15.75">
      <c r="BW2139" s="276"/>
      <c r="BY2139" s="276"/>
      <c r="BZ2139" s="276"/>
      <c r="CA2139" s="276"/>
      <c r="CB2139" s="276"/>
      <c r="CC2139" s="276"/>
      <c r="CD2139" s="276"/>
      <c r="CH2139" s="276"/>
      <c r="CJ2139" s="276"/>
      <c r="CK2139" s="276"/>
      <c r="CL2139" s="276"/>
      <c r="CM2139" s="276"/>
      <c r="CN2139" s="276"/>
      <c r="CO2139" s="276"/>
      <c r="CP2139" s="276"/>
      <c r="CQ2139" s="276"/>
      <c r="CU2139" s="276"/>
    </row>
    <row r="2140" spans="75:99" ht="15.75">
      <c r="BW2140" s="276"/>
      <c r="BY2140" s="276"/>
      <c r="BZ2140" s="276"/>
      <c r="CA2140" s="276"/>
      <c r="CB2140" s="276"/>
      <c r="CC2140" s="276"/>
      <c r="CD2140" s="276"/>
      <c r="CH2140" s="276"/>
      <c r="CJ2140" s="276"/>
      <c r="CK2140" s="276"/>
      <c r="CL2140" s="276"/>
      <c r="CM2140" s="276"/>
      <c r="CN2140" s="276"/>
      <c r="CO2140" s="276"/>
      <c r="CP2140" s="276"/>
      <c r="CQ2140" s="276"/>
      <c r="CU2140" s="276"/>
    </row>
    <row r="2141" spans="75:99" ht="15.75">
      <c r="BW2141" s="276"/>
      <c r="BY2141" s="276"/>
      <c r="BZ2141" s="276"/>
      <c r="CA2141" s="276"/>
      <c r="CB2141" s="276"/>
      <c r="CC2141" s="276"/>
      <c r="CD2141" s="276"/>
      <c r="CH2141" s="276"/>
      <c r="CJ2141" s="276"/>
      <c r="CK2141" s="276"/>
      <c r="CL2141" s="276"/>
      <c r="CM2141" s="276"/>
      <c r="CN2141" s="276"/>
      <c r="CO2141" s="276"/>
      <c r="CP2141" s="276"/>
      <c r="CQ2141" s="276"/>
      <c r="CU2141" s="276"/>
    </row>
    <row r="2142" spans="75:99" ht="15.75">
      <c r="BW2142" s="276"/>
      <c r="BY2142" s="276"/>
      <c r="BZ2142" s="276"/>
      <c r="CA2142" s="276"/>
      <c r="CB2142" s="276"/>
      <c r="CC2142" s="276"/>
      <c r="CD2142" s="276"/>
      <c r="CH2142" s="276"/>
      <c r="CJ2142" s="276"/>
      <c r="CK2142" s="276"/>
      <c r="CL2142" s="276"/>
      <c r="CM2142" s="276"/>
      <c r="CN2142" s="276"/>
      <c r="CO2142" s="276"/>
      <c r="CP2142" s="276"/>
      <c r="CQ2142" s="276"/>
      <c r="CU2142" s="276"/>
    </row>
    <row r="2143" spans="75:99" ht="15.75">
      <c r="BW2143" s="276"/>
      <c r="BY2143" s="276"/>
      <c r="BZ2143" s="276"/>
      <c r="CA2143" s="276"/>
      <c r="CB2143" s="276"/>
      <c r="CC2143" s="276"/>
      <c r="CD2143" s="276"/>
      <c r="CH2143" s="276"/>
      <c r="CJ2143" s="276"/>
      <c r="CK2143" s="276"/>
      <c r="CL2143" s="276"/>
      <c r="CM2143" s="276"/>
      <c r="CN2143" s="276"/>
      <c r="CO2143" s="276"/>
      <c r="CP2143" s="276"/>
      <c r="CQ2143" s="276"/>
      <c r="CU2143" s="276"/>
    </row>
    <row r="2144" spans="75:99" ht="15.75">
      <c r="BW2144" s="276"/>
      <c r="BY2144" s="276"/>
      <c r="BZ2144" s="276"/>
      <c r="CA2144" s="276"/>
      <c r="CB2144" s="276"/>
      <c r="CC2144" s="276"/>
      <c r="CD2144" s="276"/>
      <c r="CH2144" s="276"/>
      <c r="CJ2144" s="276"/>
      <c r="CK2144" s="276"/>
      <c r="CL2144" s="276"/>
      <c r="CM2144" s="276"/>
      <c r="CN2144" s="276"/>
      <c r="CO2144" s="276"/>
      <c r="CP2144" s="276"/>
      <c r="CQ2144" s="276"/>
      <c r="CU2144" s="276"/>
    </row>
    <row r="2145" spans="75:99" ht="15.75">
      <c r="BW2145" s="276"/>
      <c r="BY2145" s="276"/>
      <c r="BZ2145" s="276"/>
      <c r="CA2145" s="276"/>
      <c r="CB2145" s="276"/>
      <c r="CC2145" s="276"/>
      <c r="CD2145" s="276"/>
      <c r="CH2145" s="276"/>
      <c r="CJ2145" s="276"/>
      <c r="CK2145" s="276"/>
      <c r="CL2145" s="276"/>
      <c r="CM2145" s="276"/>
      <c r="CN2145" s="276"/>
      <c r="CO2145" s="276"/>
      <c r="CP2145" s="276"/>
      <c r="CQ2145" s="276"/>
      <c r="CU2145" s="276"/>
    </row>
    <row r="2146" spans="75:99" ht="15.75">
      <c r="BW2146" s="276"/>
      <c r="BY2146" s="276"/>
      <c r="BZ2146" s="276"/>
      <c r="CA2146" s="276"/>
      <c r="CB2146" s="276"/>
      <c r="CC2146" s="276"/>
      <c r="CD2146" s="276"/>
      <c r="CH2146" s="276"/>
      <c r="CJ2146" s="276"/>
      <c r="CK2146" s="276"/>
      <c r="CL2146" s="276"/>
      <c r="CM2146" s="276"/>
      <c r="CN2146" s="276"/>
      <c r="CO2146" s="276"/>
      <c r="CP2146" s="276"/>
      <c r="CQ2146" s="276"/>
      <c r="CU2146" s="276"/>
    </row>
    <row r="2147" spans="75:99" ht="15.75">
      <c r="BW2147" s="276"/>
      <c r="BY2147" s="276"/>
      <c r="BZ2147" s="276"/>
      <c r="CA2147" s="276"/>
      <c r="CB2147" s="276"/>
      <c r="CC2147" s="276"/>
      <c r="CD2147" s="276"/>
      <c r="CH2147" s="276"/>
      <c r="CJ2147" s="276"/>
      <c r="CK2147" s="276"/>
      <c r="CL2147" s="276"/>
      <c r="CM2147" s="276"/>
      <c r="CN2147" s="276"/>
      <c r="CO2147" s="276"/>
      <c r="CP2147" s="276"/>
      <c r="CQ2147" s="276"/>
      <c r="CU2147" s="276"/>
    </row>
    <row r="2148" spans="75:99" ht="15.75">
      <c r="BW2148" s="276"/>
      <c r="BY2148" s="276"/>
      <c r="BZ2148" s="276"/>
      <c r="CA2148" s="276"/>
      <c r="CB2148" s="276"/>
      <c r="CC2148" s="276"/>
      <c r="CD2148" s="276"/>
      <c r="CH2148" s="276"/>
      <c r="CJ2148" s="276"/>
      <c r="CK2148" s="276"/>
      <c r="CL2148" s="276"/>
      <c r="CM2148" s="276"/>
      <c r="CN2148" s="276"/>
      <c r="CO2148" s="276"/>
      <c r="CP2148" s="276"/>
      <c r="CQ2148" s="276"/>
      <c r="CU2148" s="276"/>
    </row>
    <row r="2149" spans="75:99" ht="15.75">
      <c r="BW2149" s="276"/>
      <c r="BY2149" s="276"/>
      <c r="BZ2149" s="276"/>
      <c r="CA2149" s="276"/>
      <c r="CB2149" s="276"/>
      <c r="CC2149" s="276"/>
      <c r="CD2149" s="276"/>
      <c r="CH2149" s="276"/>
      <c r="CJ2149" s="276"/>
      <c r="CK2149" s="276"/>
      <c r="CL2149" s="276"/>
      <c r="CM2149" s="276"/>
      <c r="CN2149" s="276"/>
      <c r="CO2149" s="276"/>
      <c r="CP2149" s="276"/>
      <c r="CQ2149" s="276"/>
      <c r="CU2149" s="276"/>
    </row>
    <row r="2150" spans="75:99" ht="15.75">
      <c r="BW2150" s="276"/>
      <c r="BY2150" s="276"/>
      <c r="BZ2150" s="276"/>
      <c r="CA2150" s="276"/>
      <c r="CB2150" s="276"/>
      <c r="CC2150" s="276"/>
      <c r="CD2150" s="276"/>
      <c r="CH2150" s="276"/>
      <c r="CJ2150" s="276"/>
      <c r="CK2150" s="276"/>
      <c r="CL2150" s="276"/>
      <c r="CM2150" s="276"/>
      <c r="CN2150" s="276"/>
      <c r="CO2150" s="276"/>
      <c r="CP2150" s="276"/>
      <c r="CQ2150" s="276"/>
      <c r="CU2150" s="276"/>
    </row>
    <row r="2151" spans="75:99" ht="15.75">
      <c r="BW2151" s="276"/>
      <c r="BY2151" s="276"/>
      <c r="BZ2151" s="276"/>
      <c r="CA2151" s="276"/>
      <c r="CB2151" s="276"/>
      <c r="CC2151" s="276"/>
      <c r="CD2151" s="276"/>
      <c r="CH2151" s="276"/>
      <c r="CJ2151" s="276"/>
      <c r="CK2151" s="276"/>
      <c r="CL2151" s="276"/>
      <c r="CM2151" s="276"/>
      <c r="CN2151" s="276"/>
      <c r="CO2151" s="276"/>
      <c r="CP2151" s="276"/>
      <c r="CQ2151" s="276"/>
      <c r="CU2151" s="276"/>
    </row>
    <row r="2152" spans="75:99" ht="15.75">
      <c r="BW2152" s="276"/>
      <c r="BY2152" s="276"/>
      <c r="BZ2152" s="276"/>
      <c r="CA2152" s="276"/>
      <c r="CB2152" s="276"/>
      <c r="CC2152" s="276"/>
      <c r="CD2152" s="276"/>
      <c r="CH2152" s="276"/>
      <c r="CJ2152" s="276"/>
      <c r="CK2152" s="276"/>
      <c r="CL2152" s="276"/>
      <c r="CM2152" s="276"/>
      <c r="CN2152" s="276"/>
      <c r="CO2152" s="276"/>
      <c r="CP2152" s="276"/>
      <c r="CQ2152" s="276"/>
      <c r="CU2152" s="276"/>
    </row>
    <row r="2153" spans="75:99" ht="15.75">
      <c r="BW2153" s="276"/>
      <c r="BY2153" s="276"/>
      <c r="BZ2153" s="276"/>
      <c r="CA2153" s="276"/>
      <c r="CB2153" s="276"/>
      <c r="CC2153" s="276"/>
      <c r="CD2153" s="276"/>
      <c r="CH2153" s="276"/>
      <c r="CJ2153" s="276"/>
      <c r="CK2153" s="276"/>
      <c r="CL2153" s="276"/>
      <c r="CM2153" s="276"/>
      <c r="CN2153" s="276"/>
      <c r="CO2153" s="276"/>
      <c r="CP2153" s="276"/>
      <c r="CQ2153" s="276"/>
      <c r="CU2153" s="276"/>
    </row>
    <row r="2154" spans="75:99" ht="15.75">
      <c r="BW2154" s="276"/>
      <c r="BY2154" s="276"/>
      <c r="BZ2154" s="276"/>
      <c r="CA2154" s="276"/>
      <c r="CB2154" s="276"/>
      <c r="CC2154" s="276"/>
      <c r="CD2154" s="276"/>
      <c r="CH2154" s="276"/>
      <c r="CJ2154" s="276"/>
      <c r="CK2154" s="276"/>
      <c r="CL2154" s="276"/>
      <c r="CM2154" s="276"/>
      <c r="CN2154" s="276"/>
      <c r="CO2154" s="276"/>
      <c r="CP2154" s="276"/>
      <c r="CQ2154" s="276"/>
      <c r="CU2154" s="276"/>
    </row>
    <row r="2155" spans="75:99" ht="15.75">
      <c r="BW2155" s="276"/>
      <c r="BY2155" s="276"/>
      <c r="BZ2155" s="276"/>
      <c r="CA2155" s="276"/>
      <c r="CB2155" s="276"/>
      <c r="CC2155" s="276"/>
      <c r="CD2155" s="276"/>
      <c r="CH2155" s="276"/>
      <c r="CJ2155" s="276"/>
      <c r="CK2155" s="276"/>
      <c r="CL2155" s="276"/>
      <c r="CM2155" s="276"/>
      <c r="CN2155" s="276"/>
      <c r="CO2155" s="276"/>
      <c r="CP2155" s="276"/>
      <c r="CQ2155" s="276"/>
      <c r="CU2155" s="276"/>
    </row>
    <row r="2156" spans="75:99" ht="15.75">
      <c r="BW2156" s="276"/>
      <c r="BY2156" s="276"/>
      <c r="BZ2156" s="276"/>
      <c r="CA2156" s="276"/>
      <c r="CB2156" s="276"/>
      <c r="CC2156" s="276"/>
      <c r="CD2156" s="276"/>
      <c r="CH2156" s="276"/>
      <c r="CJ2156" s="276"/>
      <c r="CK2156" s="276"/>
      <c r="CL2156" s="276"/>
      <c r="CM2156" s="276"/>
      <c r="CN2156" s="276"/>
      <c r="CO2156" s="276"/>
      <c r="CP2156" s="276"/>
      <c r="CQ2156" s="276"/>
      <c r="CU2156" s="276"/>
    </row>
    <row r="2157" spans="75:99" ht="15.75">
      <c r="BW2157" s="276"/>
      <c r="BY2157" s="276"/>
      <c r="BZ2157" s="276"/>
      <c r="CA2157" s="276"/>
      <c r="CB2157" s="276"/>
      <c r="CC2157" s="276"/>
      <c r="CD2157" s="276"/>
      <c r="CH2157" s="276"/>
      <c r="CJ2157" s="276"/>
      <c r="CK2157" s="276"/>
      <c r="CL2157" s="276"/>
      <c r="CM2157" s="276"/>
      <c r="CN2157" s="276"/>
      <c r="CO2157" s="276"/>
      <c r="CP2157" s="276"/>
      <c r="CQ2157" s="276"/>
      <c r="CU2157" s="276"/>
    </row>
    <row r="2158" spans="75:99" ht="15.75">
      <c r="BW2158" s="276"/>
      <c r="BY2158" s="276"/>
      <c r="BZ2158" s="276"/>
      <c r="CA2158" s="276"/>
      <c r="CB2158" s="276"/>
      <c r="CC2158" s="276"/>
      <c r="CD2158" s="276"/>
      <c r="CH2158" s="276"/>
      <c r="CJ2158" s="276"/>
      <c r="CK2158" s="276"/>
      <c r="CL2158" s="276"/>
      <c r="CM2158" s="276"/>
      <c r="CN2158" s="276"/>
      <c r="CO2158" s="276"/>
      <c r="CP2158" s="276"/>
      <c r="CQ2158" s="276"/>
      <c r="CU2158" s="276"/>
    </row>
    <row r="2159" spans="75:99" ht="15.75">
      <c r="BW2159" s="276"/>
      <c r="BY2159" s="276"/>
      <c r="BZ2159" s="276"/>
      <c r="CA2159" s="276"/>
      <c r="CB2159" s="276"/>
      <c r="CC2159" s="276"/>
      <c r="CD2159" s="276"/>
      <c r="CH2159" s="276"/>
      <c r="CJ2159" s="276"/>
      <c r="CK2159" s="276"/>
      <c r="CL2159" s="276"/>
      <c r="CM2159" s="276"/>
      <c r="CN2159" s="276"/>
      <c r="CO2159" s="276"/>
      <c r="CP2159" s="276"/>
      <c r="CQ2159" s="276"/>
      <c r="CU2159" s="276"/>
    </row>
  </sheetData>
  <mergeCells count="9">
    <mergeCell ref="DN3:EC3"/>
    <mergeCell ref="CT4:DE4"/>
    <mergeCell ref="CT5:DE5"/>
    <mergeCell ref="CT6:DE6"/>
    <mergeCell ref="CT7:DE7"/>
    <mergeCell ref="DN4:EC4"/>
    <mergeCell ref="DN5:EC5"/>
    <mergeCell ref="DN6:EC6"/>
    <mergeCell ref="DN7:EC7"/>
  </mergeCells>
  <phoneticPr fontId="0" type="noConversion"/>
  <pageMargins left="0.5" right="0.5" top="0.5" bottom="0.75" header="0.5" footer="0.25"/>
  <pageSetup scale="63" firstPageNumber="88" orientation="portrait" useFirstPageNumber="1" r:id="rId1"/>
  <headerFooter alignWithMargins="0">
    <oddFooter xml:space="preserve">&amp;C
</oddFooter>
  </headerFooter>
  <ignoredErrors>
    <ignoredError sqref="M45:M65 X45:X65 AI45:AI65 AT45:AT65 BG45:BG65 BT45:BT65 CG45:CG65 CT45:CT65 DN45:DN66 DN23:DN42 CT23:CT42 CG23:CG42 BT23:BT42 BG23:BG42 AT23:AT42 AI23:AI42 X23:X42 M23:M42" 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ransitionEvaluation="1" codeName="Sheet30"/>
  <dimension ref="B1:JG80"/>
  <sheetViews>
    <sheetView showGridLines="0" topLeftCell="A3" zoomScale="73" zoomScaleNormal="73" workbookViewId="0">
      <selection activeCell="E18" sqref="E18"/>
    </sheetView>
  </sheetViews>
  <sheetFormatPr defaultColWidth="9.7109375" defaultRowHeight="12.75"/>
  <cols>
    <col min="1" max="1" width="2.7109375" style="288" customWidth="1"/>
    <col min="2" max="2" width="42.140625" style="288" customWidth="1"/>
    <col min="3" max="3" width="2.28515625" style="288" customWidth="1"/>
    <col min="4" max="5" width="16.7109375" style="288" customWidth="1"/>
    <col min="6" max="6" width="18.7109375" style="288" customWidth="1"/>
    <col min="7" max="7" width="2.7109375" style="288" customWidth="1"/>
    <col min="8" max="9" width="16.7109375" style="288" customWidth="1"/>
    <col min="10" max="10" width="18.7109375" style="288" customWidth="1"/>
    <col min="11" max="11" width="2.28515625" style="288" customWidth="1"/>
    <col min="12" max="12" width="42.28515625" style="288" customWidth="1"/>
    <col min="13" max="13" width="2.28515625" style="288" customWidth="1"/>
    <col min="14" max="15" width="16.7109375" style="288" customWidth="1"/>
    <col min="16" max="16" width="18.7109375" style="288" customWidth="1"/>
    <col min="17" max="17" width="2.28515625" style="288" customWidth="1"/>
    <col min="18" max="19" width="16.7109375" style="288" customWidth="1"/>
    <col min="20" max="20" width="18.7109375" style="288" customWidth="1"/>
    <col min="21" max="21" width="2.28515625" style="288" customWidth="1"/>
    <col min="22" max="22" width="42" style="288" customWidth="1"/>
    <col min="23" max="23" width="2.28515625" style="288" customWidth="1"/>
    <col min="24" max="25" width="16.7109375" style="288" customWidth="1"/>
    <col min="26" max="26" width="18.7109375" style="288" customWidth="1"/>
    <col min="27" max="27" width="2.28515625" style="288" customWidth="1"/>
    <col min="28" max="29" width="16.7109375" style="288" customWidth="1"/>
    <col min="30" max="30" width="18.7109375" style="288" customWidth="1"/>
    <col min="31" max="31" width="2.28515625" style="288" customWidth="1"/>
    <col min="32" max="32" width="41.85546875" style="288" customWidth="1"/>
    <col min="33" max="33" width="2.28515625" style="288" customWidth="1"/>
    <col min="34" max="35" width="16.7109375" style="288" customWidth="1"/>
    <col min="36" max="36" width="18.7109375" style="288" customWidth="1"/>
    <col min="37" max="37" width="2.28515625" style="288" customWidth="1"/>
    <col min="38" max="39" width="16.7109375" style="288" customWidth="1"/>
    <col min="40" max="40" width="18.7109375" style="288" customWidth="1"/>
    <col min="41" max="41" width="2.28515625" style="288" customWidth="1"/>
    <col min="42" max="42" width="41.85546875" style="288" customWidth="1"/>
    <col min="43" max="43" width="2.28515625" style="288" customWidth="1"/>
    <col min="44" max="45" width="16.7109375" style="288" customWidth="1"/>
    <col min="46" max="46" width="18.7109375" style="288" customWidth="1"/>
    <col min="47" max="47" width="2.28515625" style="288" customWidth="1"/>
    <col min="48" max="49" width="16.7109375" style="288" customWidth="1"/>
    <col min="50" max="50" width="18.7109375" style="288" customWidth="1"/>
    <col min="51" max="51" width="2.28515625" style="288" customWidth="1"/>
    <col min="52" max="52" width="42.42578125" style="288" customWidth="1"/>
    <col min="53" max="53" width="2.28515625" style="288" customWidth="1"/>
    <col min="54" max="55" width="16.7109375" style="288" customWidth="1"/>
    <col min="56" max="56" width="18.7109375" style="288" customWidth="1"/>
    <col min="57" max="57" width="2.28515625" style="288" customWidth="1"/>
    <col min="58" max="60" width="18.7109375" style="288" hidden="1" customWidth="1"/>
    <col min="61" max="61" width="2.7109375" style="288" hidden="1" customWidth="1"/>
    <col min="62" max="63" width="16.7109375" style="288" customWidth="1"/>
    <col min="64" max="64" width="18.7109375" style="288" customWidth="1"/>
    <col min="65" max="65" width="2.28515625" style="288" customWidth="1"/>
    <col min="66" max="66" width="41.7109375" style="288" customWidth="1"/>
    <col min="67" max="67" width="2.28515625" style="288" customWidth="1"/>
    <col min="68" max="69" width="16.7109375" style="288" customWidth="1"/>
    <col min="70" max="70" width="18.7109375" style="288" customWidth="1"/>
    <col min="71" max="71" width="2.28515625" style="288" customWidth="1"/>
    <col min="72" max="73" width="16.7109375" style="288" customWidth="1"/>
    <col min="74" max="74" width="18.7109375" style="288" customWidth="1"/>
    <col min="75" max="75" width="2.28515625" style="288" customWidth="1"/>
    <col min="76" max="76" width="41.7109375" style="288" customWidth="1"/>
    <col min="77" max="77" width="2.28515625" style="288" customWidth="1"/>
    <col min="78" max="79" width="16.7109375" style="288" customWidth="1"/>
    <col min="80" max="80" width="18.7109375" style="288" customWidth="1"/>
    <col min="81" max="81" width="2.28515625" style="288" customWidth="1"/>
    <col min="82" max="83" width="16.7109375" style="288" customWidth="1"/>
    <col min="84" max="84" width="18.7109375" style="288" customWidth="1"/>
    <col min="85" max="85" width="2.28515625" style="288" customWidth="1"/>
    <col min="86" max="86" width="41.7109375" style="288" customWidth="1"/>
    <col min="87" max="87" width="2.28515625" style="288" customWidth="1"/>
    <col min="88" max="89" width="16.7109375" style="288" customWidth="1"/>
    <col min="90" max="90" width="18.7109375" style="288" customWidth="1"/>
    <col min="91" max="91" width="2.28515625" style="288" customWidth="1"/>
    <col min="92" max="93" width="16.7109375" style="288" customWidth="1"/>
    <col min="94" max="94" width="21" style="288" customWidth="1"/>
    <col min="95" max="95" width="2.28515625" style="288" customWidth="1"/>
    <col min="96" max="96" width="41.7109375" style="288" customWidth="1"/>
    <col min="97" max="97" width="2.28515625" style="288" customWidth="1"/>
    <col min="98" max="99" width="16.7109375" style="288" customWidth="1"/>
    <col min="100" max="100" width="18.7109375" style="288" customWidth="1"/>
    <col min="101" max="101" width="2.28515625" style="288" customWidth="1"/>
    <col min="102" max="103" width="16.7109375" style="288" customWidth="1"/>
    <col min="104" max="104" width="22.140625" style="288" customWidth="1"/>
    <col min="105" max="105" width="2.28515625" style="288" customWidth="1"/>
    <col min="106" max="106" width="41.7109375" style="288" customWidth="1"/>
    <col min="107" max="107" width="2.28515625" style="288" customWidth="1"/>
    <col min="108" max="109" width="16.7109375" style="288" customWidth="1"/>
    <col min="110" max="110" width="18.7109375" style="288" customWidth="1"/>
    <col min="111" max="111" width="2.28515625" style="288" customWidth="1"/>
    <col min="112" max="113" width="16.7109375" style="288" customWidth="1"/>
    <col min="114" max="114" width="18.7109375" style="288" customWidth="1"/>
    <col min="115" max="115" width="2.28515625" style="288" customWidth="1"/>
    <col min="116" max="116" width="41.7109375" style="288" customWidth="1"/>
    <col min="117" max="117" width="2.28515625" style="288" customWidth="1"/>
    <col min="118" max="119" width="16.7109375" style="288" customWidth="1"/>
    <col min="120" max="120" width="18.7109375" style="288" customWidth="1"/>
    <col min="121" max="121" width="2.28515625" style="288" customWidth="1"/>
    <col min="122" max="123" width="16.7109375" style="288" customWidth="1"/>
    <col min="124" max="124" width="18.7109375" style="288" customWidth="1"/>
    <col min="125" max="125" width="2.28515625" style="288" customWidth="1"/>
    <col min="126" max="126" width="41.7109375" style="288" customWidth="1"/>
    <col min="127" max="127" width="2.28515625" style="288" customWidth="1"/>
    <col min="128" max="129" width="16.7109375" style="288" customWidth="1"/>
    <col min="130" max="130" width="18.7109375" style="288" customWidth="1"/>
    <col min="131" max="131" width="2.28515625" style="288" customWidth="1"/>
    <col min="132" max="133" width="16.7109375" style="288" customWidth="1"/>
    <col min="134" max="134" width="18.7109375" style="288" customWidth="1"/>
    <col min="135" max="135" width="2.28515625" style="288" customWidth="1"/>
    <col min="136" max="136" width="41.7109375" style="288" customWidth="1"/>
    <col min="137" max="137" width="2.28515625" style="288" customWidth="1"/>
    <col min="138" max="139" width="16.7109375" style="288" customWidth="1"/>
    <col min="140" max="140" width="18.7109375" style="288" customWidth="1"/>
    <col min="141" max="141" width="2.28515625" style="288" customWidth="1"/>
    <col min="142" max="143" width="16.7109375" style="288" customWidth="1"/>
    <col min="144" max="144" width="18.7109375" style="288" customWidth="1"/>
    <col min="145" max="145" width="2.28515625" style="288" customWidth="1"/>
    <col min="146" max="146" width="42.42578125" style="288" customWidth="1"/>
    <col min="147" max="147" width="2.28515625" style="288" customWidth="1"/>
    <col min="148" max="149" width="16.7109375" style="288" customWidth="1"/>
    <col min="150" max="150" width="18.7109375" style="288" customWidth="1"/>
    <col min="151" max="151" width="2.28515625" style="288" customWidth="1"/>
    <col min="152" max="153" width="16.7109375" style="288" customWidth="1"/>
    <col min="154" max="154" width="18.7109375" style="288" customWidth="1"/>
    <col min="155" max="155" width="2.28515625" style="288" customWidth="1"/>
    <col min="156" max="156" width="41.7109375" style="288" customWidth="1"/>
    <col min="157" max="157" width="2.28515625" style="288" customWidth="1"/>
    <col min="158" max="159" width="16.7109375" style="288" customWidth="1"/>
    <col min="160" max="160" width="18.7109375" style="288" customWidth="1"/>
    <col min="161" max="161" width="2.28515625" style="288" customWidth="1"/>
    <col min="162" max="163" width="16.7109375" style="288" customWidth="1"/>
    <col min="164" max="164" width="18.7109375" style="288" customWidth="1"/>
    <col min="165" max="165" width="2.28515625" style="288" customWidth="1"/>
    <col min="166" max="166" width="41.7109375" style="288" customWidth="1"/>
    <col min="167" max="167" width="2.28515625" style="288" customWidth="1"/>
    <col min="168" max="169" width="16.7109375" style="288" customWidth="1"/>
    <col min="170" max="170" width="18.7109375" style="288" customWidth="1"/>
    <col min="171" max="171" width="2.28515625" style="288" customWidth="1"/>
    <col min="172" max="173" width="16.7109375" style="288" customWidth="1"/>
    <col min="174" max="174" width="18.7109375" style="288" customWidth="1"/>
    <col min="175" max="175" width="2.28515625" style="288" customWidth="1"/>
    <col min="176" max="176" width="42.28515625" style="288" customWidth="1"/>
    <col min="177" max="177" width="2.28515625" style="288" customWidth="1"/>
    <col min="178" max="179" width="16.7109375" style="288" hidden="1" customWidth="1"/>
    <col min="180" max="180" width="18.7109375" style="288" hidden="1" customWidth="1"/>
    <col min="181" max="181" width="2.28515625" style="288" customWidth="1"/>
    <col min="182" max="183" width="16.7109375" style="288" customWidth="1"/>
    <col min="184" max="184" width="18.7109375" style="288" customWidth="1"/>
    <col min="185" max="185" width="2.28515625" style="288" customWidth="1"/>
    <col min="186" max="187" width="16.7109375" style="288" customWidth="1"/>
    <col min="188" max="188" width="18.7109375" style="288" customWidth="1"/>
    <col min="189" max="189" width="2.28515625" style="288" customWidth="1"/>
    <col min="190" max="190" width="42.28515625" style="288" customWidth="1"/>
    <col min="191" max="191" width="2.7109375" style="288" customWidth="1"/>
    <col min="192" max="192" width="11" bestFit="1" customWidth="1"/>
    <col min="193" max="193" width="13" bestFit="1" customWidth="1"/>
    <col min="194" max="194" width="20.7109375" bestFit="1" customWidth="1"/>
    <col min="195" max="195" width="2.7109375" customWidth="1"/>
    <col min="196" max="196" width="2.28515625" style="288" customWidth="1"/>
    <col min="197" max="197" width="16.7109375" style="288" customWidth="1"/>
    <col min="198" max="198" width="16.85546875" style="288" customWidth="1"/>
    <col min="199" max="199" width="18.7109375" style="288" customWidth="1"/>
    <col min="200" max="200" width="2.28515625" style="288" customWidth="1"/>
    <col min="201" max="201" width="42.28515625" style="288" customWidth="1"/>
    <col min="202" max="202" width="2.28515625" style="288" customWidth="1"/>
    <col min="203" max="204" width="16.7109375" style="288" customWidth="1"/>
    <col min="205" max="205" width="18.7109375" style="288" customWidth="1"/>
    <col min="206" max="206" width="2.85546875" style="288" customWidth="1"/>
    <col min="207" max="208" width="16.7109375" style="288" customWidth="1"/>
    <col min="209" max="209" width="18.7109375" style="288" customWidth="1"/>
    <col min="210" max="210" width="2.28515625" style="288" customWidth="1"/>
    <col min="211" max="211" width="42.28515625" style="288" customWidth="1"/>
    <col min="212" max="212" width="2.28515625" style="288" customWidth="1"/>
    <col min="213" max="214" width="16.7109375" style="288" customWidth="1"/>
    <col min="215" max="215" width="18.7109375" style="288" customWidth="1"/>
    <col min="216" max="216" width="2.85546875" style="288" customWidth="1"/>
    <col min="217" max="218" width="16.7109375" style="288" customWidth="1"/>
    <col min="219" max="219" width="18.7109375" style="288" customWidth="1"/>
    <col min="220" max="220" width="2.28515625" style="288" customWidth="1"/>
    <col min="221" max="221" width="42.28515625" style="288" customWidth="1"/>
    <col min="222" max="222" width="2.28515625" style="288" hidden="1" customWidth="1"/>
    <col min="223" max="224" width="16.7109375" style="288" hidden="1" customWidth="1"/>
    <col min="225" max="225" width="18.7109375" style="288" hidden="1" customWidth="1"/>
    <col min="226" max="226" width="2.28515625" style="288" customWidth="1"/>
    <col min="227" max="228" width="16.7109375" style="288" customWidth="1"/>
    <col min="229" max="229" width="18.7109375" style="288" customWidth="1"/>
    <col min="230" max="230" width="2.7109375" style="288" customWidth="1"/>
    <col min="231" max="232" width="18.7109375" style="288" customWidth="1"/>
    <col min="233" max="233" width="20.28515625" style="288" customWidth="1"/>
    <col min="234" max="234" width="2.85546875" style="288" customWidth="1"/>
    <col min="235" max="235" width="42.28515625" style="288" customWidth="1"/>
    <col min="236" max="236" width="2.85546875" style="288" customWidth="1"/>
    <col min="237" max="238" width="16.7109375" style="288" customWidth="1"/>
    <col min="239" max="239" width="20" style="288" customWidth="1"/>
    <col min="240" max="240" width="17" style="288" customWidth="1"/>
    <col min="241" max="241" width="2.28515625" style="288" hidden="1" customWidth="1"/>
    <col min="242" max="243" width="16.7109375" style="288" customWidth="1"/>
    <col min="244" max="244" width="18.7109375" style="288" customWidth="1"/>
    <col min="245" max="245" width="2.85546875" style="288" customWidth="1"/>
    <col min="246" max="246" width="42.28515625" style="288" customWidth="1"/>
    <col min="247" max="247" width="2.85546875" style="288" customWidth="1"/>
    <col min="248" max="249" width="16.7109375" style="288" customWidth="1"/>
    <col min="250" max="250" width="18.7109375" style="288" customWidth="1"/>
    <col min="251" max="252" width="18.7109375" style="288" hidden="1" customWidth="1"/>
    <col min="253" max="253" width="2.7109375" style="288" customWidth="1"/>
    <col min="254" max="255" width="16.7109375" style="288" customWidth="1"/>
    <col min="256" max="256" width="18.7109375" style="288" customWidth="1"/>
    <col min="257" max="257" width="2.28515625" style="288" customWidth="1"/>
    <col min="258" max="259" width="24.85546875" style="288" customWidth="1"/>
    <col min="260" max="260" width="9.7109375" style="288"/>
    <col min="261" max="262" width="14.42578125" style="288" bestFit="1" customWidth="1"/>
    <col min="263" max="263" width="20.28515625" style="288" bestFit="1" customWidth="1"/>
    <col min="264" max="264" width="9.7109375" style="288"/>
    <col min="265" max="265" width="11.42578125" style="288" bestFit="1" customWidth="1"/>
    <col min="266" max="267" width="11.5703125" style="288" bestFit="1" customWidth="1"/>
    <col min="268" max="16384" width="9.7109375" style="288"/>
  </cols>
  <sheetData>
    <row r="1" spans="2:267" ht="15.75">
      <c r="IX1" s="276"/>
      <c r="IY1" s="276"/>
    </row>
    <row r="2" spans="2:267" ht="15.75">
      <c r="IX2" s="276"/>
      <c r="IY2" s="276"/>
    </row>
    <row r="3" spans="2:267" ht="15.75">
      <c r="D3" s="305" t="s">
        <v>1049</v>
      </c>
      <c r="E3" s="277"/>
      <c r="F3" s="277"/>
      <c r="G3" s="277"/>
      <c r="H3" s="289"/>
      <c r="I3" s="277"/>
      <c r="N3" s="305" t="s">
        <v>1049</v>
      </c>
      <c r="O3" s="277"/>
      <c r="P3" s="277"/>
      <c r="Q3" s="277"/>
      <c r="R3" s="277"/>
      <c r="S3" s="289"/>
      <c r="X3" s="305" t="s">
        <v>1049</v>
      </c>
      <c r="Y3" s="277"/>
      <c r="Z3" s="277"/>
      <c r="AA3" s="277"/>
      <c r="AB3" s="277"/>
      <c r="AC3" s="289"/>
      <c r="AH3" s="305" t="s">
        <v>1049</v>
      </c>
      <c r="AI3" s="277"/>
      <c r="AJ3" s="277"/>
      <c r="AK3" s="277"/>
      <c r="AL3" s="277"/>
      <c r="AM3" s="289"/>
      <c r="AQ3" s="277"/>
      <c r="AR3" s="305" t="s">
        <v>1049</v>
      </c>
      <c r="AS3" s="277"/>
      <c r="AT3" s="277"/>
      <c r="AU3" s="277"/>
      <c r="AV3" s="277"/>
      <c r="AW3" s="289"/>
      <c r="BB3" s="305" t="s">
        <v>1049</v>
      </c>
      <c r="BC3" s="277"/>
      <c r="BD3" s="277"/>
      <c r="BE3" s="277"/>
      <c r="BF3" s="277"/>
      <c r="BG3" s="289"/>
      <c r="BH3" s="305"/>
      <c r="BI3" s="277"/>
      <c r="BJ3" s="277"/>
      <c r="BK3" s="277"/>
      <c r="BP3" s="305" t="s">
        <v>1049</v>
      </c>
      <c r="BQ3" s="277"/>
      <c r="BR3" s="305"/>
      <c r="BT3" s="277"/>
      <c r="BU3" s="277"/>
      <c r="BZ3" s="305" t="s">
        <v>1049</v>
      </c>
      <c r="CA3" s="277"/>
      <c r="CB3" s="277"/>
      <c r="CD3" s="277"/>
      <c r="CE3" s="277"/>
      <c r="CJ3" s="305" t="s">
        <v>1049</v>
      </c>
      <c r="CK3" s="305"/>
      <c r="CL3" s="277"/>
      <c r="CM3" s="277"/>
      <c r="CN3" s="277"/>
      <c r="CO3" s="289"/>
      <c r="CT3" s="305" t="s">
        <v>1049</v>
      </c>
      <c r="CU3" s="277"/>
      <c r="CV3" s="277"/>
      <c r="CW3" s="277"/>
      <c r="CX3" s="277"/>
      <c r="CY3" s="289"/>
      <c r="DF3" s="287" t="s">
        <v>1049</v>
      </c>
      <c r="DG3" s="284"/>
      <c r="DH3" s="287"/>
      <c r="DI3" s="284"/>
      <c r="DJ3" s="284"/>
      <c r="DK3" s="277"/>
      <c r="DM3" s="277"/>
      <c r="DP3" s="287" t="s">
        <v>1049</v>
      </c>
      <c r="DQ3" s="277"/>
      <c r="DR3" s="289"/>
      <c r="DS3" s="289"/>
      <c r="DT3" s="289"/>
      <c r="DU3" s="277"/>
      <c r="DW3" s="277"/>
      <c r="DY3" s="277"/>
      <c r="DZ3" s="287" t="s">
        <v>1049</v>
      </c>
      <c r="EA3" s="277"/>
      <c r="EB3" s="289"/>
      <c r="EC3" s="277"/>
      <c r="ED3" s="277"/>
      <c r="EE3" s="277"/>
      <c r="EG3" s="277"/>
      <c r="EI3" s="289"/>
      <c r="EJ3" s="287" t="s">
        <v>1049</v>
      </c>
      <c r="EK3" s="277"/>
      <c r="EL3" s="289"/>
      <c r="EM3" s="277"/>
      <c r="EN3" s="277"/>
      <c r="EO3" s="277"/>
      <c r="EQ3" s="277"/>
      <c r="ES3" s="289"/>
      <c r="ET3" s="287" t="s">
        <v>1049</v>
      </c>
      <c r="EU3" s="277"/>
      <c r="EV3" s="289"/>
      <c r="EW3" s="277"/>
      <c r="EX3" s="277"/>
      <c r="EY3" s="277"/>
      <c r="FA3" s="277"/>
      <c r="FC3" s="289"/>
      <c r="FD3" s="287" t="s">
        <v>1049</v>
      </c>
      <c r="FE3" s="277"/>
      <c r="FF3" s="289"/>
      <c r="FG3" s="277"/>
      <c r="FH3" s="277"/>
      <c r="FI3" s="277"/>
      <c r="FK3" s="277"/>
      <c r="FM3" s="277"/>
      <c r="FN3" s="287" t="s">
        <v>1049</v>
      </c>
      <c r="FO3" s="277"/>
      <c r="FP3" s="289"/>
      <c r="FQ3" s="289"/>
      <c r="FR3" s="277"/>
      <c r="FS3" s="277"/>
      <c r="FV3" s="289"/>
      <c r="FW3" s="289"/>
      <c r="FX3" s="305"/>
      <c r="FY3" s="277"/>
      <c r="GA3" s="277"/>
      <c r="GB3" s="305" t="s">
        <v>1049</v>
      </c>
      <c r="GC3" s="277"/>
      <c r="GE3" s="277"/>
      <c r="GG3" s="277"/>
      <c r="GL3" s="287" t="s">
        <v>1049</v>
      </c>
      <c r="GN3" s="277"/>
      <c r="GP3" s="277"/>
      <c r="GQ3" s="277"/>
      <c r="GR3" s="277"/>
      <c r="GT3" s="277"/>
      <c r="GV3" s="277"/>
      <c r="GW3" s="287" t="s">
        <v>1049</v>
      </c>
      <c r="GX3" s="277"/>
      <c r="GZ3" s="277"/>
      <c r="HA3" s="287"/>
      <c r="HB3" s="277"/>
      <c r="HD3" s="277"/>
      <c r="HF3" s="277"/>
      <c r="HG3" s="287" t="s">
        <v>1049</v>
      </c>
      <c r="HH3" s="277"/>
      <c r="HJ3" s="277"/>
      <c r="HK3" s="287"/>
      <c r="HL3" s="277"/>
      <c r="HN3" s="287"/>
      <c r="HO3" s="287"/>
      <c r="HP3" s="287"/>
      <c r="HQ3" s="287"/>
      <c r="HR3" s="287"/>
      <c r="HT3" s="287"/>
      <c r="HU3" s="287" t="s">
        <v>1049</v>
      </c>
      <c r="HV3" s="287"/>
      <c r="HW3" s="287"/>
      <c r="HX3" s="287"/>
      <c r="HY3" s="287"/>
      <c r="HZ3" s="308"/>
      <c r="IB3" s="287"/>
      <c r="IC3" s="287"/>
      <c r="IE3" s="287" t="s">
        <v>1049</v>
      </c>
      <c r="IF3" s="287"/>
      <c r="IG3" s="287"/>
      <c r="IH3" s="287"/>
      <c r="II3" s="287"/>
      <c r="IJ3" s="287"/>
      <c r="IK3" s="308"/>
      <c r="IP3" s="287" t="s">
        <v>1049</v>
      </c>
      <c r="IQ3" s="287"/>
      <c r="IR3" s="287"/>
      <c r="IS3" s="287"/>
      <c r="IT3" s="287"/>
      <c r="IU3" s="287"/>
      <c r="IV3" s="287"/>
      <c r="IW3" s="287"/>
      <c r="IX3" s="287"/>
      <c r="IY3" s="287"/>
      <c r="IZ3" s="287"/>
      <c r="JA3" s="287"/>
      <c r="JC3" s="276"/>
    </row>
    <row r="4" spans="2:267" ht="15.75">
      <c r="D4" s="305" t="s">
        <v>438</v>
      </c>
      <c r="E4" s="277"/>
      <c r="F4" s="277"/>
      <c r="G4" s="277"/>
      <c r="H4" s="289"/>
      <c r="I4" s="277"/>
      <c r="N4" s="305" t="s">
        <v>438</v>
      </c>
      <c r="O4" s="277"/>
      <c r="P4" s="277"/>
      <c r="Q4" s="277"/>
      <c r="R4" s="289"/>
      <c r="S4" s="277"/>
      <c r="X4" s="305" t="s">
        <v>438</v>
      </c>
      <c r="Y4" s="277"/>
      <c r="Z4" s="277"/>
      <c r="AA4" s="277"/>
      <c r="AB4" s="289"/>
      <c r="AC4" s="277"/>
      <c r="AH4" s="305" t="s">
        <v>438</v>
      </c>
      <c r="AI4" s="277"/>
      <c r="AJ4" s="277"/>
      <c r="AK4" s="277"/>
      <c r="AL4" s="289"/>
      <c r="AM4" s="277"/>
      <c r="AQ4" s="277"/>
      <c r="AR4" s="305" t="s">
        <v>438</v>
      </c>
      <c r="AS4" s="277"/>
      <c r="AT4" s="277"/>
      <c r="AU4" s="277"/>
      <c r="AV4" s="289"/>
      <c r="AW4" s="277"/>
      <c r="BB4" s="305" t="s">
        <v>438</v>
      </c>
      <c r="BC4" s="277"/>
      <c r="BD4" s="277"/>
      <c r="BE4" s="277"/>
      <c r="BF4" s="289"/>
      <c r="BG4" s="277"/>
      <c r="BH4" s="305"/>
      <c r="BI4" s="277"/>
      <c r="BJ4" s="289"/>
      <c r="BK4" s="277"/>
      <c r="BR4" s="305" t="s">
        <v>438</v>
      </c>
      <c r="BT4" s="330"/>
      <c r="BU4" s="284"/>
      <c r="CB4" s="305" t="s">
        <v>438</v>
      </c>
      <c r="CD4" s="289"/>
      <c r="CE4" s="277"/>
      <c r="CJ4" s="305" t="s">
        <v>438</v>
      </c>
      <c r="CK4" s="305"/>
      <c r="CL4" s="277"/>
      <c r="CM4" s="277"/>
      <c r="CN4" s="289"/>
      <c r="CO4" s="277"/>
      <c r="CT4" s="305" t="s">
        <v>438</v>
      </c>
      <c r="CU4" s="277"/>
      <c r="CV4" s="277"/>
      <c r="CW4" s="277"/>
      <c r="CX4" s="289"/>
      <c r="CY4" s="277"/>
      <c r="DF4" s="287" t="s">
        <v>438</v>
      </c>
      <c r="DG4" s="284"/>
      <c r="DH4" s="287"/>
      <c r="DI4" s="284"/>
      <c r="DJ4" s="284"/>
      <c r="DK4" s="277"/>
      <c r="DM4" s="277"/>
      <c r="DP4" s="287" t="s">
        <v>438</v>
      </c>
      <c r="DQ4" s="277"/>
      <c r="DR4" s="289"/>
      <c r="DS4" s="289"/>
      <c r="DT4" s="289"/>
      <c r="DU4" s="277"/>
      <c r="DW4" s="277"/>
      <c r="DY4" s="277"/>
      <c r="DZ4" s="287" t="s">
        <v>438</v>
      </c>
      <c r="EA4" s="277"/>
      <c r="EB4" s="289"/>
      <c r="EC4" s="277"/>
      <c r="ED4" s="277"/>
      <c r="EE4" s="277"/>
      <c r="EG4" s="277"/>
      <c r="EI4" s="277"/>
      <c r="EJ4" s="287" t="s">
        <v>438</v>
      </c>
      <c r="EK4" s="277"/>
      <c r="EL4" s="289"/>
      <c r="EM4" s="277"/>
      <c r="EN4" s="277"/>
      <c r="EO4" s="277"/>
      <c r="EQ4" s="277"/>
      <c r="ES4" s="277"/>
      <c r="ET4" s="287" t="s">
        <v>438</v>
      </c>
      <c r="EU4" s="277"/>
      <c r="EV4" s="289"/>
      <c r="EW4" s="277"/>
      <c r="EX4" s="277"/>
      <c r="EY4" s="277"/>
      <c r="FA4" s="277"/>
      <c r="FC4" s="277"/>
      <c r="FD4" s="287" t="s">
        <v>438</v>
      </c>
      <c r="FE4" s="277"/>
      <c r="FF4" s="289"/>
      <c r="FG4" s="277"/>
      <c r="FH4" s="277"/>
      <c r="FI4" s="277"/>
      <c r="FK4" s="277"/>
      <c r="FM4" s="277"/>
      <c r="FN4" s="287" t="s">
        <v>438</v>
      </c>
      <c r="FO4" s="277"/>
      <c r="FP4" s="289"/>
      <c r="FQ4" s="289"/>
      <c r="FR4" s="277"/>
      <c r="FS4" s="277"/>
      <c r="FV4" s="289"/>
      <c r="FW4" s="289"/>
      <c r="FX4" s="305"/>
      <c r="FY4" s="277"/>
      <c r="GA4" s="277"/>
      <c r="GB4" s="305" t="s">
        <v>438</v>
      </c>
      <c r="GC4" s="277"/>
      <c r="GE4" s="277"/>
      <c r="GG4" s="277"/>
      <c r="GL4" s="287" t="s">
        <v>438</v>
      </c>
      <c r="GN4" s="277"/>
      <c r="GP4" s="277"/>
      <c r="GQ4" s="277"/>
      <c r="GR4" s="277"/>
      <c r="GT4" s="277"/>
      <c r="GV4" s="277"/>
      <c r="GW4" s="287" t="s">
        <v>438</v>
      </c>
      <c r="GX4" s="277"/>
      <c r="GZ4" s="277"/>
      <c r="HA4" s="287"/>
      <c r="HB4" s="277"/>
      <c r="HD4" s="284"/>
      <c r="HF4" s="284"/>
      <c r="HG4" s="287" t="s">
        <v>438</v>
      </c>
      <c r="HH4" s="284"/>
      <c r="HJ4" s="284"/>
      <c r="HK4" s="287"/>
      <c r="HL4" s="277"/>
      <c r="HN4" s="287"/>
      <c r="HO4" s="287"/>
      <c r="HP4" s="287"/>
      <c r="HQ4" s="287"/>
      <c r="HR4" s="287"/>
      <c r="HT4" s="287"/>
      <c r="HU4" s="287" t="s">
        <v>438</v>
      </c>
      <c r="HV4" s="287"/>
      <c r="HW4" s="287"/>
      <c r="HX4" s="287"/>
      <c r="HY4" s="287"/>
      <c r="HZ4" s="308"/>
      <c r="IB4" s="287"/>
      <c r="IC4" s="287"/>
      <c r="IE4" s="287" t="s">
        <v>438</v>
      </c>
      <c r="IF4" s="287"/>
      <c r="IG4" s="287"/>
      <c r="IH4" s="287"/>
      <c r="II4" s="287"/>
      <c r="IJ4" s="287"/>
      <c r="IK4" s="308"/>
      <c r="IP4" s="287" t="s">
        <v>438</v>
      </c>
      <c r="IQ4" s="287"/>
      <c r="IR4" s="287"/>
      <c r="IS4" s="287"/>
      <c r="IT4" s="287"/>
      <c r="IU4" s="287"/>
      <c r="IV4" s="287"/>
      <c r="IW4" s="287"/>
      <c r="IX4" s="287"/>
      <c r="IY4" s="287"/>
      <c r="IZ4" s="287"/>
      <c r="JA4" s="287"/>
      <c r="JC4" s="276"/>
    </row>
    <row r="5" spans="2:267" ht="15.75">
      <c r="D5" s="305" t="s">
        <v>1360</v>
      </c>
      <c r="E5" s="277"/>
      <c r="F5" s="277"/>
      <c r="G5" s="277"/>
      <c r="H5" s="289"/>
      <c r="I5" s="277"/>
      <c r="N5" s="305" t="s">
        <v>1360</v>
      </c>
      <c r="O5" s="277"/>
      <c r="P5" s="277"/>
      <c r="Q5" s="277"/>
      <c r="R5" s="289"/>
      <c r="S5" s="277"/>
      <c r="X5" s="305" t="s">
        <v>1360</v>
      </c>
      <c r="Y5" s="277"/>
      <c r="Z5" s="277"/>
      <c r="AA5" s="277"/>
      <c r="AB5" s="289"/>
      <c r="AC5" s="277"/>
      <c r="AH5" s="305" t="s">
        <v>1360</v>
      </c>
      <c r="AI5" s="277"/>
      <c r="AJ5" s="277"/>
      <c r="AK5" s="277"/>
      <c r="AL5" s="289"/>
      <c r="AM5" s="277"/>
      <c r="AQ5" s="277"/>
      <c r="AR5" s="305" t="s">
        <v>1360</v>
      </c>
      <c r="AS5" s="277"/>
      <c r="AT5" s="277"/>
      <c r="AU5" s="277"/>
      <c r="AV5" s="289"/>
      <c r="AW5" s="277"/>
      <c r="BB5" s="305" t="s">
        <v>1360</v>
      </c>
      <c r="BC5" s="277"/>
      <c r="BD5" s="277"/>
      <c r="BE5" s="277"/>
      <c r="BF5" s="289"/>
      <c r="BG5" s="277"/>
      <c r="BH5" s="305"/>
      <c r="BI5" s="277"/>
      <c r="BJ5" s="289"/>
      <c r="BK5" s="277"/>
      <c r="BR5" s="305" t="s">
        <v>1360</v>
      </c>
      <c r="BT5" s="330"/>
      <c r="BU5" s="284"/>
      <c r="CB5" s="305" t="s">
        <v>1360</v>
      </c>
      <c r="CD5" s="289"/>
      <c r="CE5" s="277"/>
      <c r="CJ5" s="305" t="s">
        <v>1360</v>
      </c>
      <c r="CK5" s="305"/>
      <c r="CL5" s="277"/>
      <c r="CM5" s="277"/>
      <c r="CN5" s="289"/>
      <c r="CO5" s="277"/>
      <c r="CT5" s="305" t="s">
        <v>1360</v>
      </c>
      <c r="CU5" s="277"/>
      <c r="CV5" s="277"/>
      <c r="CW5" s="277"/>
      <c r="CX5" s="289"/>
      <c r="CY5" s="277"/>
      <c r="DF5" s="287" t="s">
        <v>1360</v>
      </c>
      <c r="DG5" s="277"/>
      <c r="DH5" s="305"/>
      <c r="DI5" s="277"/>
      <c r="DJ5" s="277"/>
      <c r="DK5" s="277"/>
      <c r="DM5" s="277"/>
      <c r="DP5" s="287" t="s">
        <v>1360</v>
      </c>
      <c r="DQ5" s="277"/>
      <c r="DR5" s="289"/>
      <c r="DS5" s="289"/>
      <c r="DT5" s="289"/>
      <c r="DU5" s="277"/>
      <c r="DW5" s="277"/>
      <c r="DY5" s="277"/>
      <c r="DZ5" s="287" t="s">
        <v>1360</v>
      </c>
      <c r="EA5" s="277"/>
      <c r="EB5" s="289"/>
      <c r="EC5" s="277"/>
      <c r="ED5" s="277"/>
      <c r="EE5" s="277"/>
      <c r="EG5" s="277"/>
      <c r="EI5" s="277"/>
      <c r="EJ5" s="287" t="s">
        <v>1360</v>
      </c>
      <c r="EK5" s="277"/>
      <c r="EL5" s="289"/>
      <c r="EM5" s="277"/>
      <c r="EN5" s="277"/>
      <c r="EO5" s="277"/>
      <c r="EQ5" s="277"/>
      <c r="ES5" s="277"/>
      <c r="ET5" s="287" t="s">
        <v>1360</v>
      </c>
      <c r="EU5" s="277"/>
      <c r="EV5" s="289"/>
      <c r="EW5" s="277"/>
      <c r="EX5" s="277"/>
      <c r="EY5" s="277"/>
      <c r="FA5" s="277"/>
      <c r="FC5" s="277"/>
      <c r="FD5" s="287" t="s">
        <v>1360</v>
      </c>
      <c r="FE5" s="277"/>
      <c r="FF5" s="289"/>
      <c r="FG5" s="277"/>
      <c r="FH5" s="277"/>
      <c r="FI5" s="277"/>
      <c r="FK5" s="277"/>
      <c r="FM5" s="277"/>
      <c r="FN5" s="287" t="s">
        <v>1360</v>
      </c>
      <c r="FO5" s="277"/>
      <c r="FP5" s="289"/>
      <c r="FQ5" s="289"/>
      <c r="FR5" s="277"/>
      <c r="FS5" s="277"/>
      <c r="FV5" s="289"/>
      <c r="FW5" s="289"/>
      <c r="FX5" s="305"/>
      <c r="FY5" s="277"/>
      <c r="GA5" s="277"/>
      <c r="GB5" s="305" t="s">
        <v>1360</v>
      </c>
      <c r="GC5" s="277"/>
      <c r="GE5" s="277"/>
      <c r="GG5" s="277"/>
      <c r="GL5" s="287" t="s">
        <v>1360</v>
      </c>
      <c r="GN5" s="277"/>
      <c r="GP5" s="277"/>
      <c r="GQ5" s="277"/>
      <c r="GR5" s="277"/>
      <c r="GT5" s="277"/>
      <c r="GV5" s="277"/>
      <c r="GW5" s="287" t="s">
        <v>1360</v>
      </c>
      <c r="GX5" s="277"/>
      <c r="GZ5" s="277"/>
      <c r="HA5" s="287"/>
      <c r="HB5" s="277"/>
      <c r="HD5" s="277"/>
      <c r="HF5" s="277"/>
      <c r="HG5" s="287" t="s">
        <v>1360</v>
      </c>
      <c r="HH5" s="277"/>
      <c r="HJ5" s="277"/>
      <c r="HK5" s="287"/>
      <c r="HL5" s="277"/>
      <c r="HN5" s="287"/>
      <c r="HO5" s="287"/>
      <c r="HP5" s="287"/>
      <c r="HQ5" s="287"/>
      <c r="HR5" s="287"/>
      <c r="HT5" s="287"/>
      <c r="HU5" s="287" t="s">
        <v>1360</v>
      </c>
      <c r="HV5" s="287"/>
      <c r="HW5" s="287"/>
      <c r="HX5" s="287"/>
      <c r="HY5" s="287"/>
      <c r="HZ5" s="308"/>
      <c r="IB5" s="287"/>
      <c r="IC5" s="287"/>
      <c r="IE5" s="287" t="s">
        <v>1360</v>
      </c>
      <c r="IF5" s="287"/>
      <c r="IG5" s="287"/>
      <c r="IH5" s="287"/>
      <c r="II5" s="287"/>
      <c r="IJ5" s="287"/>
      <c r="IK5" s="308"/>
      <c r="IP5" s="287" t="s">
        <v>1360</v>
      </c>
      <c r="IQ5" s="287"/>
      <c r="IR5" s="287"/>
      <c r="IS5" s="287"/>
      <c r="IT5" s="287"/>
      <c r="IU5" s="287"/>
      <c r="IV5" s="287"/>
      <c r="IW5" s="287"/>
      <c r="IX5" s="287"/>
      <c r="IY5" s="287"/>
      <c r="IZ5" s="287"/>
      <c r="JA5" s="287"/>
      <c r="JC5" s="276"/>
    </row>
    <row r="6" spans="2:267" ht="15.75">
      <c r="D6" s="305" t="s">
        <v>419</v>
      </c>
      <c r="E6" s="277"/>
      <c r="F6" s="277"/>
      <c r="G6" s="277"/>
      <c r="H6" s="289"/>
      <c r="I6" s="277"/>
      <c r="N6" s="305" t="s">
        <v>419</v>
      </c>
      <c r="O6" s="277"/>
      <c r="P6" s="277"/>
      <c r="Q6" s="277"/>
      <c r="R6" s="289"/>
      <c r="S6" s="277"/>
      <c r="X6" s="305" t="s">
        <v>419</v>
      </c>
      <c r="Y6" s="277"/>
      <c r="Z6" s="277"/>
      <c r="AA6" s="277"/>
      <c r="AB6" s="289"/>
      <c r="AC6" s="277"/>
      <c r="AH6" s="305" t="s">
        <v>419</v>
      </c>
      <c r="AI6" s="277"/>
      <c r="AJ6" s="277"/>
      <c r="AK6" s="277"/>
      <c r="AL6" s="289"/>
      <c r="AM6" s="277"/>
      <c r="AQ6" s="277"/>
      <c r="AR6" s="305" t="s">
        <v>419</v>
      </c>
      <c r="AS6" s="277"/>
      <c r="AT6" s="277"/>
      <c r="AU6" s="277"/>
      <c r="AV6" s="289"/>
      <c r="AW6" s="277"/>
      <c r="BB6" s="305" t="s">
        <v>419</v>
      </c>
      <c r="BC6" s="277"/>
      <c r="BD6" s="277"/>
      <c r="BE6" s="277"/>
      <c r="BF6" s="289"/>
      <c r="BG6" s="277"/>
      <c r="BH6" s="305"/>
      <c r="BI6" s="277"/>
      <c r="BJ6" s="289"/>
      <c r="BK6" s="277"/>
      <c r="BR6" s="305" t="s">
        <v>419</v>
      </c>
      <c r="BT6" s="330"/>
      <c r="BU6" s="284"/>
      <c r="CB6" s="305" t="s">
        <v>419</v>
      </c>
      <c r="CD6" s="289"/>
      <c r="CE6" s="277"/>
      <c r="CJ6" s="305" t="s">
        <v>419</v>
      </c>
      <c r="CK6" s="305"/>
      <c r="CL6" s="277"/>
      <c r="CM6" s="277"/>
      <c r="CN6" s="289"/>
      <c r="CO6" s="277"/>
      <c r="CT6" s="305" t="s">
        <v>419</v>
      </c>
      <c r="CU6" s="277"/>
      <c r="CV6" s="277"/>
      <c r="CW6" s="277"/>
      <c r="CX6" s="289"/>
      <c r="CY6" s="277"/>
      <c r="DF6" s="287" t="s">
        <v>419</v>
      </c>
      <c r="DG6" s="277"/>
      <c r="DH6" s="305"/>
      <c r="DI6" s="277"/>
      <c r="DJ6" s="277"/>
      <c r="DK6" s="277"/>
      <c r="DM6" s="277"/>
      <c r="DP6" s="287" t="s">
        <v>419</v>
      </c>
      <c r="DQ6" s="277"/>
      <c r="DR6" s="289"/>
      <c r="DS6" s="289"/>
      <c r="DT6" s="289"/>
      <c r="DU6" s="277"/>
      <c r="DW6" s="277"/>
      <c r="DY6" s="277"/>
      <c r="DZ6" s="287" t="s">
        <v>419</v>
      </c>
      <c r="EA6" s="277"/>
      <c r="EB6" s="289"/>
      <c r="EC6" s="277"/>
      <c r="ED6" s="277"/>
      <c r="EE6" s="277"/>
      <c r="EG6" s="277"/>
      <c r="EI6" s="277"/>
      <c r="EJ6" s="287" t="s">
        <v>419</v>
      </c>
      <c r="EK6" s="277"/>
      <c r="EL6" s="289"/>
      <c r="EM6" s="277"/>
      <c r="EN6" s="277"/>
      <c r="EO6" s="277"/>
      <c r="EQ6" s="277"/>
      <c r="ES6" s="277"/>
      <c r="ET6" s="287" t="s">
        <v>419</v>
      </c>
      <c r="EU6" s="277"/>
      <c r="EV6" s="289"/>
      <c r="EW6" s="277"/>
      <c r="EX6" s="277"/>
      <c r="EY6" s="277"/>
      <c r="FA6" s="277"/>
      <c r="FC6" s="277"/>
      <c r="FD6" s="287" t="s">
        <v>419</v>
      </c>
      <c r="FE6" s="277"/>
      <c r="FF6" s="289"/>
      <c r="FG6" s="277"/>
      <c r="FH6" s="277"/>
      <c r="FI6" s="277"/>
      <c r="FK6" s="277"/>
      <c r="FM6" s="277"/>
      <c r="FN6" s="287" t="s">
        <v>419</v>
      </c>
      <c r="FO6" s="277"/>
      <c r="FP6" s="289"/>
      <c r="FQ6" s="289"/>
      <c r="FR6" s="277"/>
      <c r="FS6" s="277"/>
      <c r="FV6" s="289"/>
      <c r="FW6" s="289"/>
      <c r="FX6" s="305"/>
      <c r="FY6" s="277"/>
      <c r="GA6" s="277"/>
      <c r="GB6" s="305" t="s">
        <v>419</v>
      </c>
      <c r="GC6" s="277"/>
      <c r="GE6" s="277"/>
      <c r="GG6" s="277"/>
      <c r="GL6" s="287" t="s">
        <v>419</v>
      </c>
      <c r="GN6" s="277"/>
      <c r="GP6" s="277"/>
      <c r="GQ6" s="277"/>
      <c r="GR6" s="277"/>
      <c r="GT6" s="277"/>
      <c r="GV6" s="277"/>
      <c r="GW6" s="287" t="s">
        <v>419</v>
      </c>
      <c r="GX6" s="277"/>
      <c r="GZ6" s="277"/>
      <c r="HA6" s="287"/>
      <c r="HB6" s="277"/>
      <c r="HD6" s="277"/>
      <c r="HF6" s="277"/>
      <c r="HG6" s="287" t="s">
        <v>419</v>
      </c>
      <c r="HH6" s="277"/>
      <c r="HJ6" s="277"/>
      <c r="HK6" s="287"/>
      <c r="HL6" s="277"/>
      <c r="HN6" s="287"/>
      <c r="HO6" s="287"/>
      <c r="HP6" s="287"/>
      <c r="HQ6" s="287"/>
      <c r="HR6" s="287"/>
      <c r="HT6" s="287"/>
      <c r="HU6" s="287" t="s">
        <v>419</v>
      </c>
      <c r="HV6" s="287"/>
      <c r="HW6" s="287"/>
      <c r="HX6" s="287"/>
      <c r="HY6" s="287"/>
      <c r="HZ6" s="308"/>
      <c r="IB6" s="287"/>
      <c r="IC6" s="287"/>
      <c r="IE6" s="287" t="s">
        <v>419</v>
      </c>
      <c r="IF6" s="287"/>
      <c r="IG6" s="287"/>
      <c r="IH6" s="287"/>
      <c r="II6" s="287"/>
      <c r="IJ6" s="287"/>
      <c r="IK6" s="308"/>
      <c r="IP6" s="287" t="s">
        <v>419</v>
      </c>
      <c r="IQ6" s="287"/>
      <c r="IR6" s="287"/>
      <c r="IS6" s="287"/>
      <c r="IT6" s="287"/>
      <c r="IU6" s="287"/>
      <c r="IV6" s="287"/>
      <c r="IW6" s="287"/>
      <c r="IX6" s="287"/>
      <c r="IY6" s="287"/>
      <c r="IZ6" s="287"/>
      <c r="JA6" s="287"/>
      <c r="JC6" s="276"/>
    </row>
    <row r="7" spans="2:267" ht="15.75">
      <c r="D7" s="395" t="str">
        <f>+'Sys INPUT'!B2</f>
        <v>For the  Fiscal Year Ended June 30, 2023</v>
      </c>
      <c r="E7" s="277"/>
      <c r="F7" s="277"/>
      <c r="G7" s="277"/>
      <c r="H7" s="289"/>
      <c r="I7" s="277"/>
      <c r="N7" s="395" t="str">
        <f>+'Sys INPUT'!$B$2</f>
        <v>For the  Fiscal Year Ended June 30, 2023</v>
      </c>
      <c r="O7" s="277"/>
      <c r="P7" s="277"/>
      <c r="Q7" s="277"/>
      <c r="R7" s="277"/>
      <c r="S7" s="289"/>
      <c r="X7" s="395" t="str">
        <f>+'Sys INPUT'!$B$2</f>
        <v>For the  Fiscal Year Ended June 30, 2023</v>
      </c>
      <c r="Y7" s="277"/>
      <c r="Z7" s="277"/>
      <c r="AA7" s="277"/>
      <c r="AB7" s="277"/>
      <c r="AC7" s="289"/>
      <c r="AH7" s="395" t="str">
        <f>+'Sys INPUT'!$B$2</f>
        <v>For the  Fiscal Year Ended June 30, 2023</v>
      </c>
      <c r="AI7" s="277"/>
      <c r="AJ7" s="277"/>
      <c r="AK7" s="277"/>
      <c r="AL7" s="277"/>
      <c r="AM7" s="289"/>
      <c r="AQ7" s="277"/>
      <c r="AR7" s="395" t="str">
        <f>+'Sys INPUT'!$B$2</f>
        <v>For the  Fiscal Year Ended June 30, 2023</v>
      </c>
      <c r="AS7" s="277"/>
      <c r="AT7" s="277"/>
      <c r="AU7" s="277"/>
      <c r="AV7" s="277"/>
      <c r="AW7" s="289"/>
      <c r="BB7" s="395" t="str">
        <f>+'Sys INPUT'!$B$2</f>
        <v>For the  Fiscal Year Ended June 30, 2023</v>
      </c>
      <c r="BC7" s="277"/>
      <c r="BD7" s="277"/>
      <c r="BE7" s="277"/>
      <c r="BF7" s="277"/>
      <c r="BG7" s="289"/>
      <c r="BH7" s="395"/>
      <c r="BI7" s="277"/>
      <c r="BJ7" s="277"/>
      <c r="BK7" s="277"/>
      <c r="BR7" s="395" t="str">
        <f>+'Sys INPUT'!$B$2</f>
        <v>For the  Fiscal Year Ended June 30, 2023</v>
      </c>
      <c r="BT7" s="284"/>
      <c r="BU7" s="284"/>
      <c r="CB7" s="395" t="str">
        <f>+'Sys INPUT'!$B$2</f>
        <v>For the  Fiscal Year Ended June 30, 2023</v>
      </c>
      <c r="CD7" s="277"/>
      <c r="CE7" s="277"/>
      <c r="CJ7" s="395" t="str">
        <f>+'Sys INPUT'!$B$2</f>
        <v>For the  Fiscal Year Ended June 30, 2023</v>
      </c>
      <c r="CK7" s="395"/>
      <c r="CL7" s="277"/>
      <c r="CM7" s="277"/>
      <c r="CN7" s="277"/>
      <c r="CO7" s="289"/>
      <c r="CT7" s="395" t="str">
        <f>+'Sys INPUT'!$B$2</f>
        <v>For the  Fiscal Year Ended June 30, 2023</v>
      </c>
      <c r="CU7" s="277"/>
      <c r="CV7" s="277"/>
      <c r="CW7" s="277"/>
      <c r="CX7" s="277"/>
      <c r="CY7" s="289"/>
      <c r="DF7" s="441" t="str">
        <f>+'Sys INPUT'!$B$2</f>
        <v>For the  Fiscal Year Ended June 30, 2023</v>
      </c>
      <c r="DG7" s="277"/>
      <c r="DH7" s="395"/>
      <c r="DI7" s="277"/>
      <c r="DJ7" s="277"/>
      <c r="DK7" s="277"/>
      <c r="DM7" s="277"/>
      <c r="DP7" s="441" t="str">
        <f>+'Sys INPUT'!$B$2</f>
        <v>For the  Fiscal Year Ended June 30, 2023</v>
      </c>
      <c r="DQ7" s="277"/>
      <c r="DR7" s="289"/>
      <c r="DS7" s="289"/>
      <c r="DT7" s="289"/>
      <c r="DU7" s="277"/>
      <c r="DW7" s="277"/>
      <c r="DY7" s="277"/>
      <c r="DZ7" s="441" t="str">
        <f>+'Sys INPUT'!$B$2</f>
        <v>For the  Fiscal Year Ended June 30, 2023</v>
      </c>
      <c r="EA7" s="277"/>
      <c r="EB7" s="289"/>
      <c r="EC7" s="277"/>
      <c r="ED7" s="277"/>
      <c r="EE7" s="277"/>
      <c r="EG7" s="277"/>
      <c r="EI7" s="289"/>
      <c r="EJ7" s="441" t="str">
        <f>+'Sys INPUT'!$B$2</f>
        <v>For the  Fiscal Year Ended June 30, 2023</v>
      </c>
      <c r="EK7" s="277"/>
      <c r="EL7" s="289"/>
      <c r="EM7" s="277"/>
      <c r="EN7" s="277"/>
      <c r="EO7" s="277"/>
      <c r="EQ7" s="277"/>
      <c r="ES7" s="289"/>
      <c r="ET7" s="441" t="str">
        <f>+'Sys INPUT'!$B$2</f>
        <v>For the  Fiscal Year Ended June 30, 2023</v>
      </c>
      <c r="EU7" s="277"/>
      <c r="EV7" s="289"/>
      <c r="EW7" s="277"/>
      <c r="EX7" s="277"/>
      <c r="EY7" s="277"/>
      <c r="FA7" s="277"/>
      <c r="FC7" s="289"/>
      <c r="FD7" s="441" t="str">
        <f>+'Sys INPUT'!$B$2</f>
        <v>For the  Fiscal Year Ended June 30, 2023</v>
      </c>
      <c r="FE7" s="277"/>
      <c r="FF7" s="289"/>
      <c r="FG7" s="277"/>
      <c r="FH7" s="277"/>
      <c r="FI7" s="277"/>
      <c r="FK7" s="277"/>
      <c r="FM7" s="277"/>
      <c r="FN7" s="441" t="str">
        <f>+'Sys INPUT'!$B$2</f>
        <v>For the  Fiscal Year Ended June 30, 2023</v>
      </c>
      <c r="FO7" s="277"/>
      <c r="FP7" s="289"/>
      <c r="FQ7" s="289"/>
      <c r="FR7" s="277"/>
      <c r="FS7" s="277"/>
      <c r="FV7" s="289"/>
      <c r="FW7" s="289"/>
      <c r="FX7" s="395"/>
      <c r="FY7" s="277"/>
      <c r="GA7" s="277"/>
      <c r="GB7" s="395" t="str">
        <f>+'Sys INPUT'!$B$2</f>
        <v>For the  Fiscal Year Ended June 30, 2023</v>
      </c>
      <c r="GC7" s="277"/>
      <c r="GE7" s="277"/>
      <c r="GG7" s="277"/>
      <c r="GL7" s="441" t="str">
        <f>+'Sys INPUT'!$B$2</f>
        <v>For the  Fiscal Year Ended June 30, 2023</v>
      </c>
      <c r="GN7" s="277"/>
      <c r="GP7" s="277"/>
      <c r="GQ7" s="277"/>
      <c r="GR7" s="277"/>
      <c r="GT7" s="277"/>
      <c r="GV7" s="277"/>
      <c r="GW7" s="441" t="str">
        <f>+'Sys INPUT'!$B$2</f>
        <v>For the  Fiscal Year Ended June 30, 2023</v>
      </c>
      <c r="GX7" s="277"/>
      <c r="GZ7" s="277"/>
      <c r="HA7" s="441"/>
      <c r="HB7" s="277"/>
      <c r="HD7" s="277"/>
      <c r="HF7" s="277"/>
      <c r="HG7" s="441" t="str">
        <f>+'Sys INPUT'!$B$2</f>
        <v>For the  Fiscal Year Ended June 30, 2023</v>
      </c>
      <c r="HH7" s="277"/>
      <c r="HJ7" s="277"/>
      <c r="HK7" s="441"/>
      <c r="HL7" s="277"/>
      <c r="HN7" s="441"/>
      <c r="HO7" s="441"/>
      <c r="HP7" s="441"/>
      <c r="HQ7" s="441"/>
      <c r="HR7" s="441"/>
      <c r="HT7" s="441"/>
      <c r="HU7" s="441" t="str">
        <f>+'Sys INPUT'!$B$2</f>
        <v>For the  Fiscal Year Ended June 30, 2023</v>
      </c>
      <c r="HV7" s="441"/>
      <c r="HW7" s="441"/>
      <c r="HX7" s="441"/>
      <c r="HY7" s="441"/>
      <c r="HZ7" s="308"/>
      <c r="IB7" s="441"/>
      <c r="IC7" s="441"/>
      <c r="IE7" s="441" t="str">
        <f>+'Sys INPUT'!$B$2</f>
        <v>For the  Fiscal Year Ended June 30, 2023</v>
      </c>
      <c r="IF7" s="441"/>
      <c r="IG7" s="441"/>
      <c r="IH7" s="441"/>
      <c r="II7" s="441"/>
      <c r="IJ7" s="441"/>
      <c r="IK7" s="308"/>
      <c r="IP7" s="441" t="str">
        <f>+'Sys INPUT'!$B$2</f>
        <v>For the  Fiscal Year Ended June 30, 2023</v>
      </c>
      <c r="IQ7" s="441"/>
      <c r="IR7" s="441"/>
      <c r="IS7" s="441"/>
      <c r="IT7" s="441"/>
      <c r="IU7" s="441"/>
      <c r="IV7" s="441"/>
      <c r="IW7" s="441"/>
      <c r="IX7" s="441"/>
      <c r="IY7" s="441"/>
      <c r="IZ7" s="441"/>
      <c r="JA7" s="441"/>
      <c r="JC7" s="276"/>
    </row>
    <row r="8" spans="2:267" ht="15.75">
      <c r="D8" s="305" t="s">
        <v>3123</v>
      </c>
      <c r="E8" s="305"/>
      <c r="F8" s="305"/>
      <c r="G8" s="305"/>
      <c r="H8" s="289"/>
      <c r="I8" s="277"/>
      <c r="N8" s="305" t="s">
        <v>3124</v>
      </c>
      <c r="O8" s="305"/>
      <c r="P8" s="305"/>
      <c r="Q8" s="305"/>
      <c r="R8" s="305"/>
      <c r="S8" s="289"/>
      <c r="X8" s="305" t="s">
        <v>3125</v>
      </c>
      <c r="Y8" s="305"/>
      <c r="Z8" s="305"/>
      <c r="AA8" s="305"/>
      <c r="AB8" s="305"/>
      <c r="AC8" s="289"/>
      <c r="AH8" s="305" t="s">
        <v>3126</v>
      </c>
      <c r="AI8" s="305"/>
      <c r="AJ8" s="305"/>
      <c r="AK8" s="305"/>
      <c r="AL8" s="305"/>
      <c r="AM8" s="289"/>
      <c r="AQ8" s="305"/>
      <c r="AR8" s="305" t="s">
        <v>3127</v>
      </c>
      <c r="AS8" s="305"/>
      <c r="AT8" s="305"/>
      <c r="AU8" s="305"/>
      <c r="AV8" s="305"/>
      <c r="AW8" s="289"/>
      <c r="BB8" s="305" t="s">
        <v>3128</v>
      </c>
      <c r="BC8" s="305"/>
      <c r="BD8" s="305"/>
      <c r="BE8" s="305"/>
      <c r="BF8" s="305"/>
      <c r="BG8" s="289"/>
      <c r="BH8" s="305"/>
      <c r="BI8" s="305"/>
      <c r="BJ8" s="305"/>
      <c r="BK8" s="305"/>
      <c r="BR8" s="305" t="s">
        <v>3129</v>
      </c>
      <c r="BT8" s="287"/>
      <c r="BU8" s="287"/>
      <c r="CB8" s="305" t="s">
        <v>3130</v>
      </c>
      <c r="CD8" s="305"/>
      <c r="CE8" s="305"/>
      <c r="CJ8" s="305" t="s">
        <v>3131</v>
      </c>
      <c r="CK8" s="305"/>
      <c r="CL8" s="305"/>
      <c r="CM8" s="305"/>
      <c r="CN8" s="305"/>
      <c r="CO8" s="289"/>
      <c r="CT8" s="305" t="s">
        <v>3132</v>
      </c>
      <c r="CU8" s="305"/>
      <c r="CV8" s="305"/>
      <c r="CW8" s="305"/>
      <c r="CX8" s="305"/>
      <c r="CY8" s="289"/>
      <c r="DF8" s="287" t="s">
        <v>3133</v>
      </c>
      <c r="DG8" s="305"/>
      <c r="DH8" s="305"/>
      <c r="DI8" s="305"/>
      <c r="DJ8" s="305"/>
      <c r="DK8" s="305"/>
      <c r="DM8" s="305"/>
      <c r="DP8" s="287" t="s">
        <v>3134</v>
      </c>
      <c r="DQ8" s="305"/>
      <c r="DR8" s="289"/>
      <c r="DS8" s="289"/>
      <c r="DT8" s="289"/>
      <c r="DU8" s="305"/>
      <c r="DW8" s="305"/>
      <c r="DY8" s="305"/>
      <c r="DZ8" s="287" t="s">
        <v>3135</v>
      </c>
      <c r="EA8" s="305"/>
      <c r="EB8" s="289"/>
      <c r="EC8" s="305"/>
      <c r="ED8" s="305"/>
      <c r="EE8" s="305"/>
      <c r="EG8" s="305"/>
      <c r="EI8" s="289"/>
      <c r="EJ8" s="287" t="s">
        <v>3136</v>
      </c>
      <c r="EK8" s="305"/>
      <c r="EL8" s="289"/>
      <c r="EM8" s="305"/>
      <c r="EN8" s="305"/>
      <c r="EO8" s="305"/>
      <c r="EQ8" s="305"/>
      <c r="ES8" s="289"/>
      <c r="ET8" s="287" t="s">
        <v>3137</v>
      </c>
      <c r="EU8" s="305"/>
      <c r="EV8" s="289"/>
      <c r="EW8" s="305"/>
      <c r="EX8" s="305"/>
      <c r="EY8" s="305"/>
      <c r="FA8" s="305"/>
      <c r="FC8" s="289"/>
      <c r="FD8" s="287" t="s">
        <v>3138</v>
      </c>
      <c r="FE8" s="305"/>
      <c r="FF8" s="289"/>
      <c r="FG8" s="305"/>
      <c r="FH8" s="305"/>
      <c r="FI8" s="305"/>
      <c r="FK8" s="305"/>
      <c r="FM8" s="305"/>
      <c r="FN8" s="287" t="s">
        <v>3139</v>
      </c>
      <c r="FO8" s="305"/>
      <c r="FP8" s="289"/>
      <c r="FQ8" s="289"/>
      <c r="FR8" s="305"/>
      <c r="FS8" s="305"/>
      <c r="FV8" s="289"/>
      <c r="FW8" s="289"/>
      <c r="FX8" s="395"/>
      <c r="FY8" s="277"/>
      <c r="GA8" s="277"/>
      <c r="GB8" s="395" t="s">
        <v>3140</v>
      </c>
      <c r="GC8" s="277"/>
      <c r="GE8" s="305"/>
      <c r="GG8" s="305"/>
      <c r="GL8" s="287" t="s">
        <v>3141</v>
      </c>
      <c r="GN8" s="305"/>
      <c r="GP8" s="305"/>
      <c r="GQ8" s="305"/>
      <c r="GR8" s="305"/>
      <c r="GT8" s="305"/>
      <c r="GV8" s="305"/>
      <c r="GW8" s="287" t="s">
        <v>3142</v>
      </c>
      <c r="GX8" s="305"/>
      <c r="GZ8" s="305"/>
      <c r="HB8" s="305"/>
      <c r="HD8" s="305"/>
      <c r="HF8" s="305"/>
      <c r="HG8" s="287" t="s">
        <v>3143</v>
      </c>
      <c r="HH8" s="305"/>
      <c r="HJ8" s="305"/>
      <c r="HL8" s="305"/>
      <c r="HN8" s="287"/>
      <c r="HO8" s="287"/>
      <c r="HP8" s="287"/>
      <c r="HQ8" s="287"/>
      <c r="HR8" s="287"/>
      <c r="HT8" s="287"/>
      <c r="HU8" s="287" t="s">
        <v>3144</v>
      </c>
      <c r="HV8" s="287"/>
      <c r="HW8" s="287"/>
      <c r="HX8" s="287"/>
      <c r="HY8" s="287"/>
      <c r="IB8" s="287"/>
      <c r="IC8" s="287"/>
      <c r="IE8" s="287" t="s">
        <v>3145</v>
      </c>
      <c r="IF8" s="287"/>
      <c r="IG8" s="287"/>
      <c r="IH8" s="287"/>
      <c r="II8" s="287"/>
      <c r="IJ8" s="287"/>
      <c r="IK8" s="308"/>
      <c r="IP8" s="287" t="s">
        <v>2745</v>
      </c>
      <c r="IQ8" s="287"/>
      <c r="IR8" s="287"/>
      <c r="IS8" s="287"/>
      <c r="IT8" s="287"/>
      <c r="IU8" s="287"/>
      <c r="IV8" s="287"/>
      <c r="IW8" s="287"/>
      <c r="IX8" s="287"/>
      <c r="IY8" s="287"/>
      <c r="IZ8" s="287"/>
      <c r="JA8" s="287"/>
      <c r="JC8" s="276"/>
    </row>
    <row r="9" spans="2:267" ht="15.75">
      <c r="B9" s="308"/>
      <c r="C9" s="308"/>
      <c r="D9" s="276"/>
      <c r="E9" s="276"/>
      <c r="F9" s="276"/>
      <c r="G9" s="276"/>
      <c r="H9" s="276"/>
      <c r="I9" s="276"/>
      <c r="K9" s="308"/>
      <c r="L9" s="308"/>
      <c r="M9" s="308"/>
      <c r="N9" s="276"/>
      <c r="O9" s="276"/>
      <c r="P9" s="276"/>
      <c r="Q9" s="276"/>
      <c r="S9" s="276"/>
      <c r="T9" s="276"/>
      <c r="U9" s="308"/>
      <c r="V9" s="308"/>
      <c r="W9" s="276"/>
      <c r="Y9" s="276"/>
      <c r="Z9" s="276"/>
      <c r="AA9" s="276"/>
      <c r="AB9" s="276"/>
      <c r="AC9" s="308"/>
      <c r="AD9" s="276"/>
      <c r="AE9" s="276"/>
      <c r="AF9" s="308"/>
      <c r="AG9" s="276"/>
      <c r="AH9" s="305"/>
      <c r="AI9" s="277"/>
      <c r="AJ9" s="277"/>
      <c r="AK9" s="277"/>
      <c r="AL9" s="277"/>
      <c r="AM9" s="289"/>
      <c r="AN9" s="276"/>
      <c r="AO9" s="276"/>
      <c r="AP9" s="308"/>
      <c r="AQ9" s="276"/>
      <c r="AR9" s="276"/>
      <c r="AS9" s="276"/>
      <c r="AT9" s="276"/>
      <c r="AU9" s="276"/>
      <c r="AV9" s="305"/>
      <c r="AW9" s="289"/>
      <c r="AX9" s="277"/>
      <c r="AY9" s="276"/>
      <c r="AZ9" s="308"/>
      <c r="BA9" s="277"/>
      <c r="BB9" s="305"/>
      <c r="BC9" s="277"/>
      <c r="BD9" s="277"/>
      <c r="BE9" s="276"/>
      <c r="BF9" s="277"/>
      <c r="BG9" s="289"/>
      <c r="BH9" s="305"/>
      <c r="BI9" s="277"/>
      <c r="BJ9" s="305"/>
      <c r="BK9" s="277"/>
      <c r="BM9" s="276"/>
      <c r="BN9" s="308"/>
      <c r="BO9" s="276"/>
      <c r="BR9" s="276"/>
      <c r="BS9" s="276"/>
      <c r="BW9" s="276"/>
      <c r="BX9" s="308"/>
      <c r="BY9" s="276"/>
      <c r="CB9" s="276"/>
      <c r="CC9" s="276"/>
      <c r="CF9" s="276"/>
      <c r="CG9" s="276"/>
      <c r="CH9" s="308"/>
      <c r="CI9" s="276"/>
      <c r="CL9" s="276"/>
      <c r="CM9" s="276"/>
      <c r="CP9" s="276"/>
      <c r="CQ9" s="276"/>
      <c r="CR9" s="308"/>
      <c r="CS9" s="276"/>
      <c r="CV9" s="276"/>
      <c r="CW9" s="276"/>
      <c r="CZ9" s="276"/>
      <c r="DA9" s="276"/>
      <c r="DB9" s="308"/>
      <c r="DC9" s="276"/>
      <c r="DF9" s="276"/>
      <c r="DG9" s="276"/>
      <c r="DJ9" s="276"/>
      <c r="DK9" s="276"/>
      <c r="DL9" s="308"/>
      <c r="DM9" s="276"/>
      <c r="DP9" s="276"/>
      <c r="DQ9" s="276"/>
      <c r="DT9" s="276"/>
      <c r="DU9" s="276"/>
      <c r="DV9" s="308"/>
      <c r="DW9" s="276"/>
      <c r="DZ9" s="276"/>
      <c r="EA9" s="276"/>
      <c r="ED9" s="276"/>
      <c r="EE9" s="276"/>
      <c r="EF9" s="308"/>
      <c r="EG9" s="276"/>
      <c r="EJ9" s="276"/>
      <c r="EK9" s="276"/>
      <c r="EN9" s="276"/>
      <c r="EO9" s="276"/>
      <c r="EP9" s="308"/>
      <c r="EQ9" s="276"/>
      <c r="ET9" s="276"/>
      <c r="EU9" s="276"/>
      <c r="EX9" s="276"/>
      <c r="EY9" s="276"/>
      <c r="EZ9" s="308"/>
      <c r="FA9" s="276"/>
      <c r="FB9" s="305" t="s">
        <v>2062</v>
      </c>
      <c r="FC9" s="289"/>
      <c r="FD9" s="277"/>
      <c r="FE9" s="276"/>
      <c r="FF9" s="305" t="s">
        <v>1552</v>
      </c>
      <c r="FG9" s="289"/>
      <c r="FH9" s="277"/>
      <c r="FI9" s="276"/>
      <c r="FJ9" s="308"/>
      <c r="FK9" s="276"/>
      <c r="FL9" s="305" t="s">
        <v>1555</v>
      </c>
      <c r="FM9" s="289"/>
      <c r="FN9" s="277"/>
      <c r="FO9" s="276"/>
      <c r="FP9" s="305" t="s">
        <v>1556</v>
      </c>
      <c r="FQ9" s="289"/>
      <c r="FR9" s="277"/>
      <c r="FS9" s="276"/>
      <c r="FT9" s="308"/>
      <c r="FU9" s="276"/>
      <c r="FV9" s="305" t="s">
        <v>1558</v>
      </c>
      <c r="FW9" s="289"/>
      <c r="FX9" s="277"/>
      <c r="FY9" s="276"/>
      <c r="FZ9" s="305"/>
      <c r="GA9" s="289"/>
      <c r="GB9" s="277"/>
      <c r="GC9" s="276"/>
      <c r="GD9" s="305" t="s">
        <v>1637</v>
      </c>
      <c r="GE9" s="289"/>
      <c r="GF9" s="277"/>
      <c r="GG9" s="276"/>
      <c r="GH9" s="308"/>
      <c r="GI9" s="308"/>
      <c r="GN9" s="276" t="s">
        <v>16</v>
      </c>
      <c r="GO9" s="289"/>
      <c r="GP9" s="289"/>
      <c r="GQ9" s="277"/>
      <c r="GR9" s="276"/>
      <c r="GS9" s="308"/>
      <c r="GT9" s="276"/>
      <c r="GW9" s="276"/>
      <c r="HA9" s="276"/>
      <c r="HB9" s="276"/>
      <c r="HC9" s="308"/>
      <c r="HD9" s="276"/>
      <c r="HK9" s="276"/>
      <c r="HL9" s="276"/>
      <c r="HM9" s="308"/>
      <c r="HN9" s="276"/>
      <c r="HO9" s="330"/>
      <c r="HP9" s="330"/>
      <c r="HQ9" s="284"/>
      <c r="HR9" s="276"/>
      <c r="HU9" s="276"/>
      <c r="HV9" s="276"/>
      <c r="HW9" s="276"/>
      <c r="HX9" s="276"/>
      <c r="HY9" s="276"/>
      <c r="HZ9" s="276"/>
      <c r="IA9" s="308"/>
      <c r="IB9" s="276"/>
      <c r="IC9" s="289"/>
      <c r="ID9" s="289"/>
      <c r="IE9" s="289"/>
      <c r="IF9" s="289"/>
      <c r="IG9" s="276"/>
      <c r="IJ9" s="276"/>
      <c r="IK9" s="276"/>
      <c r="IL9" s="308"/>
      <c r="IM9" s="276"/>
      <c r="IN9" s="308"/>
      <c r="IO9" s="308"/>
      <c r="IP9" s="308"/>
      <c r="IQ9" s="308"/>
      <c r="IR9" s="308"/>
      <c r="IS9" s="308"/>
      <c r="IT9" s="308"/>
      <c r="IU9" s="308"/>
      <c r="IV9" s="308"/>
      <c r="IW9" s="308"/>
      <c r="IX9" s="308"/>
      <c r="IY9" s="308"/>
    </row>
    <row r="10" spans="2:267" ht="15.75">
      <c r="D10" s="328" t="s">
        <v>853</v>
      </c>
      <c r="E10" s="328"/>
      <c r="F10" s="328"/>
      <c r="G10" s="276"/>
      <c r="H10" s="328" t="s">
        <v>952</v>
      </c>
      <c r="I10" s="328"/>
      <c r="J10" s="328"/>
      <c r="N10" s="328" t="s">
        <v>953</v>
      </c>
      <c r="O10" s="328"/>
      <c r="P10" s="328"/>
      <c r="Q10" s="276"/>
      <c r="R10" s="328" t="s">
        <v>854</v>
      </c>
      <c r="S10" s="508"/>
      <c r="T10" s="328"/>
      <c r="W10" s="276"/>
      <c r="X10" s="328" t="s">
        <v>78</v>
      </c>
      <c r="Y10" s="508"/>
      <c r="Z10" s="328"/>
      <c r="AA10" s="276"/>
      <c r="AB10" s="328" t="s">
        <v>434</v>
      </c>
      <c r="AC10" s="328"/>
      <c r="AD10" s="328"/>
      <c r="AE10" s="305"/>
      <c r="AG10" s="276"/>
      <c r="AH10" s="328" t="s">
        <v>1361</v>
      </c>
      <c r="AI10" s="508"/>
      <c r="AJ10" s="328"/>
      <c r="AK10" s="276"/>
      <c r="AL10" s="328" t="s">
        <v>1748</v>
      </c>
      <c r="AM10" s="508"/>
      <c r="AN10" s="328"/>
      <c r="AO10" s="305"/>
      <c r="AQ10" s="276"/>
      <c r="AR10" s="328" t="s">
        <v>589</v>
      </c>
      <c r="AS10" s="508"/>
      <c r="AT10" s="328"/>
      <c r="AU10" s="276"/>
      <c r="AV10" s="328" t="s">
        <v>1658</v>
      </c>
      <c r="AW10" s="508"/>
      <c r="AX10" s="328"/>
      <c r="AY10" s="305"/>
      <c r="BA10" s="276"/>
      <c r="BB10" s="328" t="s">
        <v>899</v>
      </c>
      <c r="BC10" s="508"/>
      <c r="BD10" s="328"/>
      <c r="BE10" s="276"/>
      <c r="BF10" s="328"/>
      <c r="BG10" s="328"/>
      <c r="BH10" s="328"/>
      <c r="BI10" s="276"/>
      <c r="BJ10" s="328" t="s">
        <v>1659</v>
      </c>
      <c r="BK10" s="508"/>
      <c r="BL10" s="328"/>
      <c r="BM10" s="305"/>
      <c r="BO10" s="305"/>
      <c r="BP10" s="328" t="s">
        <v>48</v>
      </c>
      <c r="BQ10" s="508"/>
      <c r="BR10" s="328"/>
      <c r="BS10" s="305"/>
      <c r="BT10" s="328" t="s">
        <v>50</v>
      </c>
      <c r="BU10" s="508"/>
      <c r="BV10" s="328"/>
      <c r="BW10" s="305"/>
      <c r="BY10" s="305"/>
      <c r="BZ10" s="328" t="s">
        <v>76</v>
      </c>
      <c r="CA10" s="508"/>
      <c r="CB10" s="328"/>
      <c r="CC10" s="305"/>
      <c r="CD10" s="328" t="s">
        <v>77</v>
      </c>
      <c r="CE10" s="508"/>
      <c r="CF10" s="328"/>
      <c r="CG10" s="305"/>
      <c r="CI10" s="276"/>
      <c r="CJ10" s="328" t="s">
        <v>79</v>
      </c>
      <c r="CK10" s="508"/>
      <c r="CL10" s="328"/>
      <c r="CM10" s="276"/>
      <c r="CN10" s="328" t="s">
        <v>30</v>
      </c>
      <c r="CO10" s="508"/>
      <c r="CP10" s="328"/>
      <c r="CQ10" s="305"/>
      <c r="CS10" s="276"/>
      <c r="CT10" s="328" t="s">
        <v>2061</v>
      </c>
      <c r="CU10" s="508"/>
      <c r="CV10" s="328"/>
      <c r="CW10" s="276"/>
      <c r="CX10" s="328" t="s">
        <v>190</v>
      </c>
      <c r="CY10" s="508"/>
      <c r="CZ10" s="328"/>
      <c r="DA10" s="305"/>
      <c r="DC10" s="276"/>
      <c r="DD10" s="328" t="s">
        <v>191</v>
      </c>
      <c r="DE10" s="508"/>
      <c r="DF10" s="328"/>
      <c r="DG10" s="276"/>
      <c r="DH10" s="328" t="s">
        <v>2623</v>
      </c>
      <c r="DI10" s="508"/>
      <c r="DJ10" s="328"/>
      <c r="DK10" s="276"/>
      <c r="DM10" s="276"/>
      <c r="DN10" s="328" t="s">
        <v>198</v>
      </c>
      <c r="DO10" s="508"/>
      <c r="DP10" s="328"/>
      <c r="DQ10" s="276"/>
      <c r="DR10" s="328" t="s">
        <v>199</v>
      </c>
      <c r="DS10" s="508"/>
      <c r="DT10" s="328"/>
      <c r="DU10" s="276"/>
      <c r="DW10" s="276"/>
      <c r="DX10" s="328" t="s">
        <v>200</v>
      </c>
      <c r="DY10" s="508"/>
      <c r="DZ10" s="328"/>
      <c r="EA10" s="276"/>
      <c r="EB10" s="328" t="s">
        <v>201</v>
      </c>
      <c r="EC10" s="508"/>
      <c r="ED10" s="328"/>
      <c r="EE10" s="276"/>
      <c r="EG10" s="276"/>
      <c r="EH10" s="328" t="s">
        <v>55</v>
      </c>
      <c r="EI10" s="508"/>
      <c r="EJ10" s="328"/>
      <c r="EK10" s="276"/>
      <c r="EL10" s="328" t="s">
        <v>245</v>
      </c>
      <c r="EM10" s="508"/>
      <c r="EN10" s="328"/>
      <c r="EO10" s="276"/>
      <c r="EQ10" s="276"/>
      <c r="ER10" s="328" t="s">
        <v>1077</v>
      </c>
      <c r="ES10" s="508"/>
      <c r="ET10" s="328"/>
      <c r="EU10" s="276"/>
      <c r="EV10" s="328" t="s">
        <v>1078</v>
      </c>
      <c r="EW10" s="508"/>
      <c r="EX10" s="328"/>
      <c r="EY10" s="276"/>
      <c r="FA10" s="276"/>
      <c r="FB10" s="328" t="s">
        <v>1553</v>
      </c>
      <c r="FC10" s="508"/>
      <c r="FD10" s="328"/>
      <c r="FE10" s="276"/>
      <c r="FF10" s="328" t="s">
        <v>1553</v>
      </c>
      <c r="FG10" s="508"/>
      <c r="FH10" s="328"/>
      <c r="FI10" s="276"/>
      <c r="FK10" s="276"/>
      <c r="FL10" s="328" t="s">
        <v>1554</v>
      </c>
      <c r="FM10" s="508"/>
      <c r="FN10" s="328"/>
      <c r="FO10" s="276"/>
      <c r="FP10" s="328" t="s">
        <v>1557</v>
      </c>
      <c r="FQ10" s="508"/>
      <c r="FR10" s="328"/>
      <c r="FS10" s="276"/>
      <c r="FU10" s="276"/>
      <c r="FV10" s="328" t="s">
        <v>1559</v>
      </c>
      <c r="FW10" s="508"/>
      <c r="FX10" s="328"/>
      <c r="FY10" s="276"/>
      <c r="FZ10" s="328" t="s">
        <v>1551</v>
      </c>
      <c r="GA10" s="508"/>
      <c r="GB10" s="328"/>
      <c r="GC10" s="276"/>
      <c r="GD10" s="328" t="s">
        <v>1638</v>
      </c>
      <c r="GE10" s="508"/>
      <c r="GF10" s="328"/>
      <c r="GG10" s="276"/>
      <c r="GJ10" s="328" t="s">
        <v>553</v>
      </c>
      <c r="GK10" s="508"/>
      <c r="GL10" s="328"/>
      <c r="GN10" s="276"/>
      <c r="GO10" s="328" t="s">
        <v>1088</v>
      </c>
      <c r="GP10" s="508"/>
      <c r="GQ10" s="328"/>
      <c r="GR10" s="276"/>
      <c r="GT10" s="276"/>
      <c r="GU10" s="328" t="s">
        <v>2743</v>
      </c>
      <c r="GV10" s="508"/>
      <c r="GW10" s="328"/>
      <c r="GX10" s="305"/>
      <c r="GY10" s="328" t="s">
        <v>1190</v>
      </c>
      <c r="GZ10" s="508"/>
      <c r="HA10" s="328"/>
      <c r="HB10" s="276"/>
      <c r="HD10" s="276"/>
      <c r="HE10" s="328" t="s">
        <v>115</v>
      </c>
      <c r="HF10" s="508"/>
      <c r="HG10" s="328"/>
      <c r="HH10" s="305"/>
      <c r="HI10" s="328" t="s">
        <v>328</v>
      </c>
      <c r="HJ10" s="508"/>
      <c r="HK10" s="328"/>
      <c r="HL10" s="276"/>
      <c r="HN10" s="276"/>
      <c r="HO10" s="328"/>
      <c r="HP10" s="508"/>
      <c r="HQ10" s="328"/>
      <c r="HR10" s="276"/>
      <c r="HS10" s="1329" t="s">
        <v>1615</v>
      </c>
      <c r="HT10" s="1329"/>
      <c r="HU10" s="1329"/>
      <c r="HV10" s="305"/>
      <c r="HW10" s="328" t="s">
        <v>3455</v>
      </c>
      <c r="HX10" s="508"/>
      <c r="HY10" s="328"/>
      <c r="HZ10" s="276"/>
      <c r="IB10" s="276"/>
      <c r="IC10" s="328" t="s">
        <v>667</v>
      </c>
      <c r="ID10" s="508"/>
      <c r="IE10" s="328"/>
      <c r="IF10" s="305"/>
      <c r="IG10" s="276"/>
      <c r="IH10" s="1328" t="s">
        <v>962</v>
      </c>
      <c r="II10" s="1328"/>
      <c r="IJ10" s="1328"/>
      <c r="IK10" s="276"/>
      <c r="IM10" s="276"/>
      <c r="IN10" s="308"/>
      <c r="IO10" s="308"/>
      <c r="IP10" s="308"/>
      <c r="IQ10" s="287"/>
      <c r="IR10" s="287"/>
      <c r="IS10" s="287"/>
      <c r="IW10" s="276"/>
      <c r="IX10" s="276"/>
      <c r="IY10" s="276"/>
      <c r="JA10" s="328" t="s">
        <v>316</v>
      </c>
      <c r="JB10" s="508"/>
      <c r="JC10" s="509"/>
    </row>
    <row r="11" spans="2:267" ht="15.75">
      <c r="D11" s="395"/>
      <c r="E11" s="395"/>
      <c r="F11" s="395" t="s">
        <v>1145</v>
      </c>
      <c r="G11" s="276"/>
      <c r="H11" s="395"/>
      <c r="I11" s="395"/>
      <c r="J11" s="395" t="s">
        <v>1145</v>
      </c>
      <c r="N11" s="395"/>
      <c r="O11" s="395"/>
      <c r="P11" s="395" t="s">
        <v>1145</v>
      </c>
      <c r="Q11" s="276"/>
      <c r="R11" s="395"/>
      <c r="S11" s="395"/>
      <c r="T11" s="510" t="s">
        <v>1145</v>
      </c>
      <c r="W11" s="276"/>
      <c r="X11" s="395"/>
      <c r="Y11" s="395"/>
      <c r="Z11" s="395" t="s">
        <v>1145</v>
      </c>
      <c r="AA11" s="276"/>
      <c r="AB11" s="395"/>
      <c r="AC11" s="395"/>
      <c r="AD11" s="510" t="s">
        <v>1145</v>
      </c>
      <c r="AE11" s="510"/>
      <c r="AG11" s="276"/>
      <c r="AH11" s="395"/>
      <c r="AI11" s="395"/>
      <c r="AJ11" s="395" t="s">
        <v>1145</v>
      </c>
      <c r="AK11" s="276"/>
      <c r="AL11" s="395"/>
      <c r="AM11" s="395"/>
      <c r="AN11" s="510" t="s">
        <v>1145</v>
      </c>
      <c r="AO11" s="510"/>
      <c r="AQ11" s="276"/>
      <c r="AR11" s="395"/>
      <c r="AS11" s="395"/>
      <c r="AT11" s="395" t="s">
        <v>1145</v>
      </c>
      <c r="AU11" s="276"/>
      <c r="AV11" s="395"/>
      <c r="AW11" s="395"/>
      <c r="AX11" s="510" t="s">
        <v>1145</v>
      </c>
      <c r="AY11" s="510"/>
      <c r="BA11" s="276"/>
      <c r="BB11" s="395"/>
      <c r="BC11" s="395"/>
      <c r="BD11" s="395" t="s">
        <v>1145</v>
      </c>
      <c r="BE11" s="276"/>
      <c r="BF11" s="395"/>
      <c r="BG11" s="395"/>
      <c r="BH11" s="395"/>
      <c r="BI11" s="276"/>
      <c r="BJ11" s="395"/>
      <c r="BK11" s="395"/>
      <c r="BL11" s="510" t="s">
        <v>1145</v>
      </c>
      <c r="BM11" s="510"/>
      <c r="BO11" s="510"/>
      <c r="BP11" s="395"/>
      <c r="BQ11" s="395"/>
      <c r="BR11" s="395" t="s">
        <v>1145</v>
      </c>
      <c r="BS11" s="510"/>
      <c r="BT11" s="395"/>
      <c r="BU11" s="395"/>
      <c r="BV11" s="510" t="s">
        <v>1145</v>
      </c>
      <c r="BW11" s="510"/>
      <c r="BY11" s="510"/>
      <c r="BZ11" s="395"/>
      <c r="CA11" s="395"/>
      <c r="CB11" s="395" t="s">
        <v>1145</v>
      </c>
      <c r="CC11" s="510"/>
      <c r="CD11" s="395"/>
      <c r="CE11" s="395"/>
      <c r="CF11" s="510" t="s">
        <v>1145</v>
      </c>
      <c r="CG11" s="510"/>
      <c r="CI11" s="276"/>
      <c r="CJ11" s="395"/>
      <c r="CK11" s="395"/>
      <c r="CL11" s="395" t="s">
        <v>1145</v>
      </c>
      <c r="CM11" s="276"/>
      <c r="CN11" s="395"/>
      <c r="CO11" s="395"/>
      <c r="CP11" s="510" t="s">
        <v>1145</v>
      </c>
      <c r="CQ11" s="510"/>
      <c r="CS11" s="276"/>
      <c r="CT11" s="395"/>
      <c r="CU11" s="395"/>
      <c r="CV11" s="395" t="s">
        <v>1145</v>
      </c>
      <c r="CW11" s="276"/>
      <c r="CX11" s="395"/>
      <c r="CY11" s="395"/>
      <c r="CZ11" s="510" t="s">
        <v>1145</v>
      </c>
      <c r="DA11" s="510"/>
      <c r="DC11" s="276"/>
      <c r="DD11" s="395"/>
      <c r="DE11" s="395"/>
      <c r="DF11" s="395" t="s">
        <v>1145</v>
      </c>
      <c r="DG11" s="276"/>
      <c r="DH11" s="395"/>
      <c r="DI11" s="395"/>
      <c r="DJ11" s="395" t="s">
        <v>1145</v>
      </c>
      <c r="DK11" s="276"/>
      <c r="DM11" s="276"/>
      <c r="DN11" s="395"/>
      <c r="DO11" s="395"/>
      <c r="DP11" s="510" t="s">
        <v>1145</v>
      </c>
      <c r="DQ11" s="276"/>
      <c r="DR11" s="395"/>
      <c r="DS11" s="395"/>
      <c r="DT11" s="395" t="s">
        <v>1145</v>
      </c>
      <c r="DU11" s="276"/>
      <c r="DW11" s="276"/>
      <c r="DX11" s="395"/>
      <c r="DY11" s="395"/>
      <c r="DZ11" s="510" t="s">
        <v>1145</v>
      </c>
      <c r="EA11" s="276"/>
      <c r="EB11" s="395"/>
      <c r="EC11" s="395"/>
      <c r="ED11" s="395" t="s">
        <v>1145</v>
      </c>
      <c r="EE11" s="276"/>
      <c r="EG11" s="276"/>
      <c r="EH11" s="395"/>
      <c r="EI11" s="395"/>
      <c r="EJ11" s="510" t="s">
        <v>1145</v>
      </c>
      <c r="EK11" s="276"/>
      <c r="EL11" s="395"/>
      <c r="EM11" s="395"/>
      <c r="EN11" s="395" t="s">
        <v>1145</v>
      </c>
      <c r="EO11" s="276"/>
      <c r="EQ11" s="276"/>
      <c r="ER11" s="395"/>
      <c r="ES11" s="395"/>
      <c r="ET11" s="510" t="s">
        <v>1145</v>
      </c>
      <c r="EU11" s="276"/>
      <c r="EV11" s="395"/>
      <c r="EW11" s="395"/>
      <c r="EX11" s="395" t="s">
        <v>1145</v>
      </c>
      <c r="EY11" s="276"/>
      <c r="FA11" s="276"/>
      <c r="FB11" s="395"/>
      <c r="FC11" s="395"/>
      <c r="FD11" s="510" t="s">
        <v>1145</v>
      </c>
      <c r="FE11" s="276"/>
      <c r="FF11" s="395"/>
      <c r="FG11" s="395"/>
      <c r="FH11" s="395" t="s">
        <v>1145</v>
      </c>
      <c r="FI11" s="276"/>
      <c r="FK11" s="276"/>
      <c r="FL11" s="395"/>
      <c r="FM11" s="395"/>
      <c r="FN11" s="510" t="s">
        <v>1145</v>
      </c>
      <c r="FO11" s="276"/>
      <c r="FP11" s="395"/>
      <c r="FQ11" s="395"/>
      <c r="FR11" s="395" t="s">
        <v>1145</v>
      </c>
      <c r="FS11" s="276"/>
      <c r="FU11" s="276"/>
      <c r="FV11" s="395"/>
      <c r="FW11" s="395"/>
      <c r="FX11" s="510" t="s">
        <v>1145</v>
      </c>
      <c r="FY11" s="276"/>
      <c r="FZ11" s="395"/>
      <c r="GA11" s="395"/>
      <c r="GB11" s="395" t="s">
        <v>1145</v>
      </c>
      <c r="GC11" s="276"/>
      <c r="GD11" s="395"/>
      <c r="GE11" s="395"/>
      <c r="GF11" s="510" t="s">
        <v>1145</v>
      </c>
      <c r="GG11" s="276"/>
      <c r="GJ11" s="395"/>
      <c r="GK11" s="395"/>
      <c r="GL11" s="395" t="s">
        <v>1145</v>
      </c>
      <c r="GN11" s="276"/>
      <c r="GO11" s="395"/>
      <c r="GP11" s="395"/>
      <c r="GQ11" s="510" t="s">
        <v>1145</v>
      </c>
      <c r="GR11" s="276"/>
      <c r="GT11" s="276"/>
      <c r="GU11" s="395"/>
      <c r="GV11" s="395"/>
      <c r="GW11" s="510" t="s">
        <v>1145</v>
      </c>
      <c r="GX11" s="395"/>
      <c r="GY11" s="395"/>
      <c r="GZ11" s="395"/>
      <c r="HA11" s="510" t="s">
        <v>1145</v>
      </c>
      <c r="HB11" s="276"/>
      <c r="HD11" s="276"/>
      <c r="HE11" s="395"/>
      <c r="HF11" s="395"/>
      <c r="HG11" s="510" t="s">
        <v>1145</v>
      </c>
      <c r="HH11" s="395"/>
      <c r="HI11" s="395"/>
      <c r="HJ11" s="395"/>
      <c r="HK11" s="510" t="s">
        <v>1145</v>
      </c>
      <c r="HL11" s="276"/>
      <c r="HN11" s="276"/>
      <c r="HO11" s="395"/>
      <c r="HP11" s="395"/>
      <c r="HQ11" s="395" t="s">
        <v>1145</v>
      </c>
      <c r="HR11" s="276"/>
      <c r="HS11" s="395"/>
      <c r="HT11" s="395"/>
      <c r="HU11" s="510" t="s">
        <v>1145</v>
      </c>
      <c r="HV11" s="510"/>
      <c r="HW11" s="395"/>
      <c r="HX11" s="395"/>
      <c r="HY11" s="510" t="s">
        <v>1145</v>
      </c>
      <c r="HZ11" s="276"/>
      <c r="IB11" s="276"/>
      <c r="IC11" s="395"/>
      <c r="ID11" s="395"/>
      <c r="IE11" s="510" t="s">
        <v>1145</v>
      </c>
      <c r="IF11" s="395"/>
      <c r="IG11" s="276"/>
      <c r="IH11" s="441"/>
      <c r="II11" s="441"/>
      <c r="IJ11" s="441" t="s">
        <v>1145</v>
      </c>
      <c r="IK11" s="276"/>
      <c r="IM11" s="276"/>
      <c r="IN11" s="308"/>
      <c r="IO11" s="308"/>
      <c r="IP11" s="308"/>
      <c r="IQ11" s="441"/>
      <c r="IR11" s="441"/>
      <c r="IS11" s="441"/>
      <c r="IW11" s="276"/>
      <c r="IX11" s="276"/>
      <c r="IY11" s="276"/>
      <c r="JA11" s="395"/>
      <c r="JB11" s="395"/>
      <c r="JC11" s="511" t="s">
        <v>1145</v>
      </c>
    </row>
    <row r="12" spans="2:267" ht="15.75">
      <c r="B12" s="308"/>
      <c r="C12" s="308"/>
      <c r="D12" s="395"/>
      <c r="E12" s="287"/>
      <c r="F12" s="287" t="s">
        <v>461</v>
      </c>
      <c r="G12" s="276"/>
      <c r="H12" s="395"/>
      <c r="I12" s="287"/>
      <c r="J12" s="287" t="s">
        <v>461</v>
      </c>
      <c r="K12" s="308"/>
      <c r="L12" s="308"/>
      <c r="M12" s="308"/>
      <c r="N12" s="395"/>
      <c r="O12" s="287"/>
      <c r="P12" s="287" t="s">
        <v>461</v>
      </c>
      <c r="Q12" s="276"/>
      <c r="R12" s="395"/>
      <c r="S12" s="287"/>
      <c r="T12" s="287" t="s">
        <v>461</v>
      </c>
      <c r="U12" s="308"/>
      <c r="V12" s="308"/>
      <c r="W12" s="276"/>
      <c r="X12" s="395"/>
      <c r="Y12" s="287"/>
      <c r="Z12" s="287" t="s">
        <v>461</v>
      </c>
      <c r="AA12" s="276"/>
      <c r="AB12" s="395"/>
      <c r="AC12" s="287"/>
      <c r="AD12" s="287" t="s">
        <v>461</v>
      </c>
      <c r="AE12" s="287"/>
      <c r="AF12" s="308"/>
      <c r="AG12" s="276"/>
      <c r="AH12" s="395"/>
      <c r="AI12" s="287"/>
      <c r="AJ12" s="287" t="s">
        <v>461</v>
      </c>
      <c r="AK12" s="276"/>
      <c r="AL12" s="395"/>
      <c r="AM12" s="287"/>
      <c r="AN12" s="287" t="s">
        <v>461</v>
      </c>
      <c r="AO12" s="287"/>
      <c r="AP12" s="308"/>
      <c r="AQ12" s="276"/>
      <c r="AR12" s="395"/>
      <c r="AS12" s="287"/>
      <c r="AT12" s="287" t="s">
        <v>461</v>
      </c>
      <c r="AU12" s="276"/>
      <c r="AV12" s="395"/>
      <c r="AW12" s="287"/>
      <c r="AX12" s="287" t="s">
        <v>461</v>
      </c>
      <c r="AY12" s="287"/>
      <c r="AZ12" s="308"/>
      <c r="BA12" s="276"/>
      <c r="BB12" s="395"/>
      <c r="BC12" s="287"/>
      <c r="BD12" s="287" t="s">
        <v>461</v>
      </c>
      <c r="BE12" s="276"/>
      <c r="BF12" s="287"/>
      <c r="BG12" s="287"/>
      <c r="BH12" s="287"/>
      <c r="BI12" s="276"/>
      <c r="BJ12" s="395"/>
      <c r="BK12" s="287"/>
      <c r="BL12" s="287" t="s">
        <v>461</v>
      </c>
      <c r="BM12" s="287"/>
      <c r="BN12" s="308"/>
      <c r="BO12" s="287"/>
      <c r="BP12" s="395"/>
      <c r="BQ12" s="287"/>
      <c r="BR12" s="287" t="s">
        <v>461</v>
      </c>
      <c r="BS12" s="287"/>
      <c r="BT12" s="395"/>
      <c r="BU12" s="287"/>
      <c r="BV12" s="287" t="s">
        <v>461</v>
      </c>
      <c r="BW12" s="287"/>
      <c r="BX12" s="308"/>
      <c r="BY12" s="287"/>
      <c r="BZ12" s="395"/>
      <c r="CA12" s="287"/>
      <c r="CB12" s="287" t="s">
        <v>461</v>
      </c>
      <c r="CC12" s="287"/>
      <c r="CD12" s="395"/>
      <c r="CE12" s="287"/>
      <c r="CF12" s="287" t="s">
        <v>461</v>
      </c>
      <c r="CG12" s="287"/>
      <c r="CH12" s="308"/>
      <c r="CI12" s="276"/>
      <c r="CJ12" s="395"/>
      <c r="CK12" s="287"/>
      <c r="CL12" s="287" t="s">
        <v>461</v>
      </c>
      <c r="CM12" s="276"/>
      <c r="CN12" s="395"/>
      <c r="CO12" s="287"/>
      <c r="CP12" s="287" t="s">
        <v>461</v>
      </c>
      <c r="CQ12" s="287"/>
      <c r="CR12" s="308"/>
      <c r="CS12" s="276"/>
      <c r="CT12" s="395"/>
      <c r="CU12" s="287"/>
      <c r="CV12" s="287" t="s">
        <v>461</v>
      </c>
      <c r="CW12" s="276"/>
      <c r="CX12" s="395"/>
      <c r="CY12" s="287"/>
      <c r="CZ12" s="287" t="s">
        <v>461</v>
      </c>
      <c r="DA12" s="287"/>
      <c r="DB12" s="308"/>
      <c r="DC12" s="276"/>
      <c r="DD12" s="395"/>
      <c r="DE12" s="287"/>
      <c r="DF12" s="287" t="s">
        <v>461</v>
      </c>
      <c r="DG12" s="276"/>
      <c r="DH12" s="395"/>
      <c r="DI12" s="287"/>
      <c r="DJ12" s="287" t="s">
        <v>461</v>
      </c>
      <c r="DK12" s="276"/>
      <c r="DL12" s="308"/>
      <c r="DM12" s="276"/>
      <c r="DN12" s="395"/>
      <c r="DO12" s="287"/>
      <c r="DP12" s="287" t="s">
        <v>461</v>
      </c>
      <c r="DQ12" s="276"/>
      <c r="DR12" s="395"/>
      <c r="DS12" s="287"/>
      <c r="DT12" s="287" t="s">
        <v>461</v>
      </c>
      <c r="DU12" s="276"/>
      <c r="DV12" s="308"/>
      <c r="DW12" s="276"/>
      <c r="DX12" s="395"/>
      <c r="DY12" s="287"/>
      <c r="DZ12" s="287" t="s">
        <v>461</v>
      </c>
      <c r="EA12" s="276"/>
      <c r="EB12" s="395"/>
      <c r="EC12" s="287"/>
      <c r="ED12" s="287" t="s">
        <v>461</v>
      </c>
      <c r="EE12" s="276"/>
      <c r="EF12" s="308"/>
      <c r="EG12" s="276"/>
      <c r="EH12" s="395"/>
      <c r="EI12" s="287"/>
      <c r="EJ12" s="287" t="s">
        <v>461</v>
      </c>
      <c r="EK12" s="276"/>
      <c r="EL12" s="395"/>
      <c r="EM12" s="287"/>
      <c r="EN12" s="287" t="s">
        <v>461</v>
      </c>
      <c r="EO12" s="276"/>
      <c r="EP12" s="308"/>
      <c r="EQ12" s="276"/>
      <c r="ER12" s="395"/>
      <c r="ES12" s="287"/>
      <c r="ET12" s="287" t="s">
        <v>461</v>
      </c>
      <c r="EU12" s="276"/>
      <c r="EV12" s="395"/>
      <c r="EW12" s="287"/>
      <c r="EX12" s="287" t="s">
        <v>461</v>
      </c>
      <c r="EY12" s="276"/>
      <c r="EZ12" s="308"/>
      <c r="FA12" s="276"/>
      <c r="FB12" s="395"/>
      <c r="FC12" s="287"/>
      <c r="FD12" s="287" t="s">
        <v>461</v>
      </c>
      <c r="FE12" s="276"/>
      <c r="FF12" s="395"/>
      <c r="FG12" s="287"/>
      <c r="FH12" s="287" t="s">
        <v>461</v>
      </c>
      <c r="FI12" s="276"/>
      <c r="FJ12" s="308"/>
      <c r="FK12" s="276"/>
      <c r="FL12" s="395"/>
      <c r="FM12" s="287"/>
      <c r="FN12" s="287" t="s">
        <v>461</v>
      </c>
      <c r="FO12" s="276"/>
      <c r="FP12" s="395"/>
      <c r="FQ12" s="287"/>
      <c r="FR12" s="287" t="s">
        <v>461</v>
      </c>
      <c r="FS12" s="276"/>
      <c r="FT12" s="308"/>
      <c r="FU12" s="276"/>
      <c r="FV12" s="395"/>
      <c r="FW12" s="287"/>
      <c r="FX12" s="287" t="s">
        <v>461</v>
      </c>
      <c r="FY12" s="276"/>
      <c r="FZ12" s="395"/>
      <c r="GA12" s="287"/>
      <c r="GB12" s="287" t="s">
        <v>461</v>
      </c>
      <c r="GC12" s="276"/>
      <c r="GD12" s="395"/>
      <c r="GE12" s="287"/>
      <c r="GF12" s="287" t="s">
        <v>461</v>
      </c>
      <c r="GG12" s="276"/>
      <c r="GH12" s="308"/>
      <c r="GI12" s="308"/>
      <c r="GJ12" s="395"/>
      <c r="GK12" s="287"/>
      <c r="GL12" s="287" t="s">
        <v>461</v>
      </c>
      <c r="GN12" s="276"/>
      <c r="GO12" s="395"/>
      <c r="GP12" s="287"/>
      <c r="GQ12" s="287" t="s">
        <v>461</v>
      </c>
      <c r="GR12" s="276"/>
      <c r="GS12" s="308"/>
      <c r="GT12" s="276"/>
      <c r="GU12" s="395"/>
      <c r="GV12" s="287"/>
      <c r="GW12" s="287" t="s">
        <v>461</v>
      </c>
      <c r="GX12" s="287"/>
      <c r="GY12" s="395"/>
      <c r="GZ12" s="287"/>
      <c r="HA12" s="287" t="s">
        <v>461</v>
      </c>
      <c r="HB12" s="276"/>
      <c r="HC12" s="308"/>
      <c r="HD12" s="276"/>
      <c r="HE12" s="395"/>
      <c r="HF12" s="287"/>
      <c r="HG12" s="287" t="s">
        <v>461</v>
      </c>
      <c r="HH12" s="287"/>
      <c r="HI12" s="395"/>
      <c r="HJ12" s="287"/>
      <c r="HK12" s="287" t="s">
        <v>461</v>
      </c>
      <c r="HL12" s="276"/>
      <c r="HM12" s="308"/>
      <c r="HN12" s="276"/>
      <c r="HO12" s="395"/>
      <c r="HP12" s="287"/>
      <c r="HQ12" s="287" t="s">
        <v>461</v>
      </c>
      <c r="HR12" s="276"/>
      <c r="HS12" s="395"/>
      <c r="HT12" s="287"/>
      <c r="HU12" s="287" t="s">
        <v>461</v>
      </c>
      <c r="HV12" s="287"/>
      <c r="HW12" s="395"/>
      <c r="HX12" s="287"/>
      <c r="HY12" s="287" t="s">
        <v>461</v>
      </c>
      <c r="HZ12" s="276"/>
      <c r="IA12" s="308"/>
      <c r="IB12" s="276"/>
      <c r="IC12" s="395"/>
      <c r="ID12" s="287"/>
      <c r="IE12" s="287" t="s">
        <v>461</v>
      </c>
      <c r="IF12" s="287"/>
      <c r="IG12" s="276"/>
      <c r="IH12" s="441"/>
      <c r="II12" s="287"/>
      <c r="IJ12" s="287" t="s">
        <v>461</v>
      </c>
      <c r="IK12" s="276"/>
      <c r="IL12" s="308"/>
      <c r="IM12" s="276"/>
      <c r="IN12" s="308"/>
      <c r="IO12" s="308"/>
      <c r="IP12" s="308"/>
      <c r="IQ12" s="287"/>
      <c r="IR12" s="287"/>
      <c r="IS12" s="287"/>
      <c r="IW12" s="276"/>
      <c r="IX12" s="276"/>
      <c r="IY12" s="276"/>
      <c r="JA12" s="395"/>
      <c r="JB12" s="287"/>
      <c r="JC12" s="511" t="s">
        <v>461</v>
      </c>
    </row>
    <row r="13" spans="2:267" ht="15.75">
      <c r="B13" s="308"/>
      <c r="C13" s="308"/>
      <c r="D13" s="287" t="s">
        <v>414</v>
      </c>
      <c r="E13" s="287" t="s">
        <v>858</v>
      </c>
      <c r="F13" s="287" t="s">
        <v>412</v>
      </c>
      <c r="G13" s="276"/>
      <c r="H13" s="287" t="s">
        <v>414</v>
      </c>
      <c r="I13" s="287" t="s">
        <v>858</v>
      </c>
      <c r="J13" s="287" t="s">
        <v>412</v>
      </c>
      <c r="K13" s="308"/>
      <c r="L13" s="308"/>
      <c r="M13" s="308"/>
      <c r="N13" s="287" t="s">
        <v>414</v>
      </c>
      <c r="O13" s="287" t="s">
        <v>858</v>
      </c>
      <c r="P13" s="287" t="s">
        <v>412</v>
      </c>
      <c r="Q13" s="276"/>
      <c r="R13" s="287" t="s">
        <v>414</v>
      </c>
      <c r="S13" s="287" t="s">
        <v>858</v>
      </c>
      <c r="T13" s="287" t="s">
        <v>412</v>
      </c>
      <c r="U13" s="308"/>
      <c r="V13" s="308"/>
      <c r="W13" s="276"/>
      <c r="X13" s="287" t="s">
        <v>414</v>
      </c>
      <c r="Y13" s="287" t="s">
        <v>858</v>
      </c>
      <c r="Z13" s="287" t="s">
        <v>412</v>
      </c>
      <c r="AA13" s="276"/>
      <c r="AB13" s="287" t="s">
        <v>414</v>
      </c>
      <c r="AC13" s="287" t="s">
        <v>858</v>
      </c>
      <c r="AD13" s="287" t="s">
        <v>412</v>
      </c>
      <c r="AE13" s="287"/>
      <c r="AF13" s="308"/>
      <c r="AG13" s="276"/>
      <c r="AH13" s="287" t="s">
        <v>414</v>
      </c>
      <c r="AI13" s="287" t="s">
        <v>858</v>
      </c>
      <c r="AJ13" s="287" t="s">
        <v>412</v>
      </c>
      <c r="AK13" s="276"/>
      <c r="AL13" s="287" t="s">
        <v>414</v>
      </c>
      <c r="AM13" s="287" t="s">
        <v>858</v>
      </c>
      <c r="AN13" s="287" t="s">
        <v>412</v>
      </c>
      <c r="AO13" s="287"/>
      <c r="AP13" s="308"/>
      <c r="AQ13" s="276"/>
      <c r="AR13" s="287" t="s">
        <v>414</v>
      </c>
      <c r="AS13" s="287" t="s">
        <v>858</v>
      </c>
      <c r="AT13" s="287" t="s">
        <v>412</v>
      </c>
      <c r="AU13" s="276"/>
      <c r="AV13" s="287" t="s">
        <v>414</v>
      </c>
      <c r="AW13" s="287" t="s">
        <v>858</v>
      </c>
      <c r="AX13" s="287" t="s">
        <v>412</v>
      </c>
      <c r="AY13" s="287"/>
      <c r="AZ13" s="308"/>
      <c r="BA13" s="276"/>
      <c r="BB13" s="287" t="s">
        <v>414</v>
      </c>
      <c r="BC13" s="287" t="s">
        <v>858</v>
      </c>
      <c r="BD13" s="287" t="s">
        <v>412</v>
      </c>
      <c r="BE13" s="276"/>
      <c r="BF13" s="287"/>
      <c r="BG13" s="287"/>
      <c r="BH13" s="287"/>
      <c r="BI13" s="276"/>
      <c r="BJ13" s="287" t="s">
        <v>414</v>
      </c>
      <c r="BK13" s="287" t="s">
        <v>858</v>
      </c>
      <c r="BL13" s="287" t="s">
        <v>412</v>
      </c>
      <c r="BM13" s="287"/>
      <c r="BN13" s="308"/>
      <c r="BO13" s="287"/>
      <c r="BP13" s="287" t="s">
        <v>414</v>
      </c>
      <c r="BQ13" s="287" t="s">
        <v>858</v>
      </c>
      <c r="BR13" s="287" t="s">
        <v>412</v>
      </c>
      <c r="BS13" s="287"/>
      <c r="BT13" s="287" t="s">
        <v>414</v>
      </c>
      <c r="BU13" s="287" t="s">
        <v>858</v>
      </c>
      <c r="BV13" s="287" t="s">
        <v>412</v>
      </c>
      <c r="BW13" s="287"/>
      <c r="BX13" s="308"/>
      <c r="BY13" s="287"/>
      <c r="BZ13" s="287" t="s">
        <v>414</v>
      </c>
      <c r="CA13" s="287" t="s">
        <v>858</v>
      </c>
      <c r="CB13" s="287" t="s">
        <v>412</v>
      </c>
      <c r="CC13" s="287"/>
      <c r="CD13" s="287" t="s">
        <v>414</v>
      </c>
      <c r="CE13" s="287" t="s">
        <v>858</v>
      </c>
      <c r="CF13" s="287" t="s">
        <v>412</v>
      </c>
      <c r="CG13" s="287"/>
      <c r="CH13" s="308"/>
      <c r="CI13" s="276"/>
      <c r="CJ13" s="287" t="s">
        <v>414</v>
      </c>
      <c r="CK13" s="287" t="s">
        <v>858</v>
      </c>
      <c r="CL13" s="287" t="s">
        <v>412</v>
      </c>
      <c r="CM13" s="276"/>
      <c r="CN13" s="287" t="s">
        <v>414</v>
      </c>
      <c r="CO13" s="287" t="s">
        <v>858</v>
      </c>
      <c r="CP13" s="287" t="s">
        <v>412</v>
      </c>
      <c r="CQ13" s="287"/>
      <c r="CR13" s="308"/>
      <c r="CS13" s="276"/>
      <c r="CT13" s="287" t="s">
        <v>414</v>
      </c>
      <c r="CU13" s="287" t="s">
        <v>858</v>
      </c>
      <c r="CV13" s="287" t="s">
        <v>412</v>
      </c>
      <c r="CW13" s="276"/>
      <c r="CX13" s="287" t="s">
        <v>414</v>
      </c>
      <c r="CY13" s="287" t="s">
        <v>858</v>
      </c>
      <c r="CZ13" s="287" t="s">
        <v>412</v>
      </c>
      <c r="DA13" s="287"/>
      <c r="DB13" s="308"/>
      <c r="DC13" s="276"/>
      <c r="DD13" s="287" t="s">
        <v>414</v>
      </c>
      <c r="DE13" s="287" t="s">
        <v>858</v>
      </c>
      <c r="DF13" s="287" t="s">
        <v>412</v>
      </c>
      <c r="DG13" s="276"/>
      <c r="DH13" s="287" t="s">
        <v>414</v>
      </c>
      <c r="DI13" s="287" t="s">
        <v>858</v>
      </c>
      <c r="DJ13" s="287" t="s">
        <v>412</v>
      </c>
      <c r="DK13" s="276"/>
      <c r="DL13" s="308"/>
      <c r="DM13" s="276"/>
      <c r="DN13" s="287" t="s">
        <v>414</v>
      </c>
      <c r="DO13" s="287" t="s">
        <v>858</v>
      </c>
      <c r="DP13" s="287" t="s">
        <v>412</v>
      </c>
      <c r="DQ13" s="276"/>
      <c r="DR13" s="287" t="s">
        <v>414</v>
      </c>
      <c r="DS13" s="287" t="s">
        <v>858</v>
      </c>
      <c r="DT13" s="287" t="s">
        <v>412</v>
      </c>
      <c r="DU13" s="276"/>
      <c r="DV13" s="308"/>
      <c r="DW13" s="276"/>
      <c r="DX13" s="287" t="s">
        <v>414</v>
      </c>
      <c r="DY13" s="287" t="s">
        <v>858</v>
      </c>
      <c r="DZ13" s="287" t="s">
        <v>412</v>
      </c>
      <c r="EA13" s="276"/>
      <c r="EB13" s="287" t="s">
        <v>414</v>
      </c>
      <c r="EC13" s="287" t="s">
        <v>858</v>
      </c>
      <c r="ED13" s="287" t="s">
        <v>412</v>
      </c>
      <c r="EE13" s="276"/>
      <c r="EF13" s="308"/>
      <c r="EG13" s="276"/>
      <c r="EH13" s="287" t="s">
        <v>414</v>
      </c>
      <c r="EI13" s="287" t="s">
        <v>858</v>
      </c>
      <c r="EJ13" s="287" t="s">
        <v>412</v>
      </c>
      <c r="EK13" s="276"/>
      <c r="EL13" s="287" t="s">
        <v>414</v>
      </c>
      <c r="EM13" s="287" t="s">
        <v>858</v>
      </c>
      <c r="EN13" s="287" t="s">
        <v>412</v>
      </c>
      <c r="EO13" s="276"/>
      <c r="EP13" s="308"/>
      <c r="EQ13" s="276"/>
      <c r="ER13" s="287" t="s">
        <v>414</v>
      </c>
      <c r="ES13" s="287" t="s">
        <v>858</v>
      </c>
      <c r="ET13" s="287" t="s">
        <v>412</v>
      </c>
      <c r="EU13" s="276"/>
      <c r="EV13" s="287" t="s">
        <v>414</v>
      </c>
      <c r="EW13" s="287" t="s">
        <v>858</v>
      </c>
      <c r="EX13" s="287" t="s">
        <v>412</v>
      </c>
      <c r="EY13" s="276"/>
      <c r="EZ13" s="308"/>
      <c r="FA13" s="276"/>
      <c r="FB13" s="287" t="s">
        <v>414</v>
      </c>
      <c r="FC13" s="287" t="s">
        <v>858</v>
      </c>
      <c r="FD13" s="287" t="s">
        <v>412</v>
      </c>
      <c r="FE13" s="276"/>
      <c r="FF13" s="287" t="s">
        <v>414</v>
      </c>
      <c r="FG13" s="287" t="s">
        <v>858</v>
      </c>
      <c r="FH13" s="287" t="s">
        <v>412</v>
      </c>
      <c r="FI13" s="276"/>
      <c r="FJ13" s="308"/>
      <c r="FK13" s="276"/>
      <c r="FL13" s="287" t="s">
        <v>414</v>
      </c>
      <c r="FM13" s="287" t="s">
        <v>858</v>
      </c>
      <c r="FN13" s="287" t="s">
        <v>412</v>
      </c>
      <c r="FO13" s="276"/>
      <c r="FP13" s="287" t="s">
        <v>414</v>
      </c>
      <c r="FQ13" s="287" t="s">
        <v>858</v>
      </c>
      <c r="FR13" s="287" t="s">
        <v>412</v>
      </c>
      <c r="FS13" s="276"/>
      <c r="FT13" s="308"/>
      <c r="FU13" s="276"/>
      <c r="FV13" s="287" t="s">
        <v>414</v>
      </c>
      <c r="FW13" s="287" t="s">
        <v>858</v>
      </c>
      <c r="FX13" s="287" t="s">
        <v>412</v>
      </c>
      <c r="FY13" s="276"/>
      <c r="FZ13" s="287" t="s">
        <v>414</v>
      </c>
      <c r="GA13" s="287" t="s">
        <v>858</v>
      </c>
      <c r="GB13" s="287" t="s">
        <v>412</v>
      </c>
      <c r="GC13" s="276"/>
      <c r="GD13" s="287" t="s">
        <v>414</v>
      </c>
      <c r="GE13" s="287" t="s">
        <v>858</v>
      </c>
      <c r="GF13" s="287" t="s">
        <v>412</v>
      </c>
      <c r="GG13" s="276"/>
      <c r="GH13" s="308"/>
      <c r="GI13" s="308"/>
      <c r="GJ13" s="287" t="s">
        <v>414</v>
      </c>
      <c r="GK13" s="287" t="s">
        <v>858</v>
      </c>
      <c r="GL13" s="287" t="s">
        <v>412</v>
      </c>
      <c r="GN13" s="276"/>
      <c r="GO13" s="287" t="s">
        <v>414</v>
      </c>
      <c r="GP13" s="287" t="s">
        <v>858</v>
      </c>
      <c r="GQ13" s="287" t="s">
        <v>412</v>
      </c>
      <c r="GR13" s="276"/>
      <c r="GS13" s="308"/>
      <c r="GT13" s="276"/>
      <c r="GU13" s="287" t="s">
        <v>414</v>
      </c>
      <c r="GV13" s="287" t="s">
        <v>858</v>
      </c>
      <c r="GW13" s="287" t="s">
        <v>412</v>
      </c>
      <c r="GX13" s="287"/>
      <c r="GY13" s="287" t="s">
        <v>414</v>
      </c>
      <c r="GZ13" s="287" t="s">
        <v>858</v>
      </c>
      <c r="HA13" s="287" t="s">
        <v>412</v>
      </c>
      <c r="HB13" s="276"/>
      <c r="HC13" s="308"/>
      <c r="HD13" s="276"/>
      <c r="HE13" s="287" t="s">
        <v>414</v>
      </c>
      <c r="HF13" s="287" t="s">
        <v>858</v>
      </c>
      <c r="HG13" s="287" t="s">
        <v>412</v>
      </c>
      <c r="HH13" s="287"/>
      <c r="HI13" s="287" t="s">
        <v>414</v>
      </c>
      <c r="HJ13" s="287" t="s">
        <v>858</v>
      </c>
      <c r="HK13" s="287" t="s">
        <v>412</v>
      </c>
      <c r="HL13" s="276"/>
      <c r="HM13" s="308"/>
      <c r="HN13" s="276"/>
      <c r="HO13" s="287" t="s">
        <v>414</v>
      </c>
      <c r="HP13" s="287" t="s">
        <v>858</v>
      </c>
      <c r="HQ13" s="287" t="s">
        <v>412</v>
      </c>
      <c r="HR13" s="276"/>
      <c r="HS13" s="287" t="s">
        <v>414</v>
      </c>
      <c r="HT13" s="287" t="s">
        <v>858</v>
      </c>
      <c r="HU13" s="287" t="s">
        <v>412</v>
      </c>
      <c r="HV13" s="287"/>
      <c r="HW13" s="287" t="s">
        <v>414</v>
      </c>
      <c r="HX13" s="287" t="s">
        <v>858</v>
      </c>
      <c r="HY13" s="287" t="s">
        <v>412</v>
      </c>
      <c r="HZ13" s="276"/>
      <c r="IA13" s="308"/>
      <c r="IB13" s="276"/>
      <c r="IC13" s="287" t="s">
        <v>414</v>
      </c>
      <c r="ID13" s="287" t="s">
        <v>858</v>
      </c>
      <c r="IE13" s="287" t="s">
        <v>412</v>
      </c>
      <c r="IF13" s="287"/>
      <c r="IG13" s="276"/>
      <c r="IH13" s="287" t="s">
        <v>414</v>
      </c>
      <c r="II13" s="287" t="s">
        <v>858</v>
      </c>
      <c r="IJ13" s="287" t="s">
        <v>412</v>
      </c>
      <c r="IK13" s="276"/>
      <c r="IL13" s="308"/>
      <c r="IM13" s="276"/>
      <c r="IN13" s="308"/>
      <c r="IO13" s="308"/>
      <c r="IP13" s="308"/>
      <c r="IQ13" s="287"/>
      <c r="IR13" s="287"/>
      <c r="IS13" s="287"/>
      <c r="IW13" s="276"/>
      <c r="IX13" s="276"/>
      <c r="IY13" s="276"/>
      <c r="JA13" s="287" t="s">
        <v>414</v>
      </c>
      <c r="JB13" s="287" t="s">
        <v>858</v>
      </c>
      <c r="JC13" s="511" t="s">
        <v>412</v>
      </c>
    </row>
    <row r="14" spans="2:267" ht="15.75">
      <c r="B14" s="308"/>
      <c r="C14" s="308"/>
      <c r="D14" s="290" t="s">
        <v>435</v>
      </c>
      <c r="E14" s="290" t="s">
        <v>376</v>
      </c>
      <c r="F14" s="290" t="s">
        <v>413</v>
      </c>
      <c r="G14" s="276"/>
      <c r="H14" s="290" t="s">
        <v>435</v>
      </c>
      <c r="I14" s="290" t="s">
        <v>376</v>
      </c>
      <c r="J14" s="290" t="s">
        <v>413</v>
      </c>
      <c r="K14" s="308"/>
      <c r="L14" s="308"/>
      <c r="M14" s="308"/>
      <c r="N14" s="290" t="s">
        <v>435</v>
      </c>
      <c r="O14" s="290" t="s">
        <v>376</v>
      </c>
      <c r="P14" s="290" t="s">
        <v>413</v>
      </c>
      <c r="Q14" s="276"/>
      <c r="R14" s="290" t="s">
        <v>435</v>
      </c>
      <c r="S14" s="290" t="s">
        <v>376</v>
      </c>
      <c r="T14" s="290" t="s">
        <v>413</v>
      </c>
      <c r="U14" s="308"/>
      <c r="V14" s="308"/>
      <c r="W14" s="276"/>
      <c r="X14" s="290" t="s">
        <v>435</v>
      </c>
      <c r="Y14" s="290" t="s">
        <v>376</v>
      </c>
      <c r="Z14" s="290" t="s">
        <v>413</v>
      </c>
      <c r="AA14" s="276"/>
      <c r="AB14" s="290" t="s">
        <v>435</v>
      </c>
      <c r="AC14" s="290" t="s">
        <v>376</v>
      </c>
      <c r="AD14" s="290" t="s">
        <v>413</v>
      </c>
      <c r="AE14" s="287"/>
      <c r="AF14" s="308"/>
      <c r="AG14" s="276"/>
      <c r="AH14" s="290" t="s">
        <v>435</v>
      </c>
      <c r="AI14" s="290" t="s">
        <v>376</v>
      </c>
      <c r="AJ14" s="290" t="s">
        <v>413</v>
      </c>
      <c r="AK14" s="276"/>
      <c r="AL14" s="290" t="s">
        <v>435</v>
      </c>
      <c r="AM14" s="290" t="s">
        <v>376</v>
      </c>
      <c r="AN14" s="290" t="s">
        <v>413</v>
      </c>
      <c r="AO14" s="287"/>
      <c r="AP14" s="308"/>
      <c r="AQ14" s="276"/>
      <c r="AR14" s="290" t="s">
        <v>435</v>
      </c>
      <c r="AS14" s="290" t="s">
        <v>376</v>
      </c>
      <c r="AT14" s="290" t="s">
        <v>413</v>
      </c>
      <c r="AU14" s="276"/>
      <c r="AV14" s="290" t="s">
        <v>435</v>
      </c>
      <c r="AW14" s="290" t="s">
        <v>376</v>
      </c>
      <c r="AX14" s="290" t="s">
        <v>413</v>
      </c>
      <c r="AY14" s="287"/>
      <c r="AZ14" s="308"/>
      <c r="BA14" s="276"/>
      <c r="BB14" s="290" t="s">
        <v>435</v>
      </c>
      <c r="BC14" s="290" t="s">
        <v>376</v>
      </c>
      <c r="BD14" s="290" t="s">
        <v>413</v>
      </c>
      <c r="BE14" s="276"/>
      <c r="BF14" s="290"/>
      <c r="BG14" s="290"/>
      <c r="BH14" s="290"/>
      <c r="BI14" s="276"/>
      <c r="BJ14" s="290" t="s">
        <v>435</v>
      </c>
      <c r="BK14" s="290" t="s">
        <v>376</v>
      </c>
      <c r="BL14" s="290" t="s">
        <v>413</v>
      </c>
      <c r="BM14" s="287"/>
      <c r="BN14" s="308"/>
      <c r="BO14" s="287"/>
      <c r="BP14" s="290" t="s">
        <v>435</v>
      </c>
      <c r="BQ14" s="290" t="s">
        <v>376</v>
      </c>
      <c r="BR14" s="290" t="s">
        <v>413</v>
      </c>
      <c r="BS14" s="287"/>
      <c r="BT14" s="290" t="s">
        <v>435</v>
      </c>
      <c r="BU14" s="290" t="s">
        <v>376</v>
      </c>
      <c r="BV14" s="290" t="s">
        <v>413</v>
      </c>
      <c r="BW14" s="287"/>
      <c r="BX14" s="308"/>
      <c r="BY14" s="287"/>
      <c r="BZ14" s="290" t="s">
        <v>435</v>
      </c>
      <c r="CA14" s="290" t="s">
        <v>376</v>
      </c>
      <c r="CB14" s="290" t="s">
        <v>413</v>
      </c>
      <c r="CC14" s="287"/>
      <c r="CD14" s="290" t="s">
        <v>435</v>
      </c>
      <c r="CE14" s="290" t="s">
        <v>376</v>
      </c>
      <c r="CF14" s="290" t="s">
        <v>413</v>
      </c>
      <c r="CG14" s="287"/>
      <c r="CH14" s="308"/>
      <c r="CI14" s="276"/>
      <c r="CJ14" s="290" t="s">
        <v>435</v>
      </c>
      <c r="CK14" s="290" t="s">
        <v>376</v>
      </c>
      <c r="CL14" s="290" t="s">
        <v>413</v>
      </c>
      <c r="CM14" s="276"/>
      <c r="CN14" s="290" t="s">
        <v>435</v>
      </c>
      <c r="CO14" s="290" t="s">
        <v>376</v>
      </c>
      <c r="CP14" s="290" t="s">
        <v>413</v>
      </c>
      <c r="CQ14" s="287"/>
      <c r="CR14" s="308"/>
      <c r="CS14" s="276"/>
      <c r="CT14" s="290" t="s">
        <v>435</v>
      </c>
      <c r="CU14" s="290" t="s">
        <v>376</v>
      </c>
      <c r="CV14" s="290" t="s">
        <v>413</v>
      </c>
      <c r="CW14" s="276"/>
      <c r="CX14" s="290" t="s">
        <v>435</v>
      </c>
      <c r="CY14" s="290" t="s">
        <v>376</v>
      </c>
      <c r="CZ14" s="290" t="s">
        <v>413</v>
      </c>
      <c r="DA14" s="287"/>
      <c r="DB14" s="308"/>
      <c r="DC14" s="276"/>
      <c r="DD14" s="290" t="s">
        <v>435</v>
      </c>
      <c r="DE14" s="290" t="s">
        <v>376</v>
      </c>
      <c r="DF14" s="290" t="s">
        <v>413</v>
      </c>
      <c r="DG14" s="276"/>
      <c r="DH14" s="290" t="s">
        <v>435</v>
      </c>
      <c r="DI14" s="290" t="s">
        <v>376</v>
      </c>
      <c r="DJ14" s="290" t="s">
        <v>413</v>
      </c>
      <c r="DK14" s="276"/>
      <c r="DL14" s="308"/>
      <c r="DM14" s="276"/>
      <c r="DN14" s="290" t="s">
        <v>435</v>
      </c>
      <c r="DO14" s="290" t="s">
        <v>376</v>
      </c>
      <c r="DP14" s="290" t="s">
        <v>413</v>
      </c>
      <c r="DQ14" s="276"/>
      <c r="DR14" s="290" t="s">
        <v>435</v>
      </c>
      <c r="DS14" s="290" t="s">
        <v>376</v>
      </c>
      <c r="DT14" s="290" t="s">
        <v>413</v>
      </c>
      <c r="DU14" s="276"/>
      <c r="DV14" s="308"/>
      <c r="DW14" s="276"/>
      <c r="DX14" s="290" t="s">
        <v>435</v>
      </c>
      <c r="DY14" s="290" t="s">
        <v>376</v>
      </c>
      <c r="DZ14" s="290" t="s">
        <v>413</v>
      </c>
      <c r="EA14" s="276"/>
      <c r="EB14" s="290" t="s">
        <v>435</v>
      </c>
      <c r="EC14" s="290" t="s">
        <v>376</v>
      </c>
      <c r="ED14" s="290" t="s">
        <v>413</v>
      </c>
      <c r="EE14" s="276"/>
      <c r="EF14" s="308"/>
      <c r="EG14" s="276"/>
      <c r="EH14" s="290" t="s">
        <v>435</v>
      </c>
      <c r="EI14" s="290" t="s">
        <v>376</v>
      </c>
      <c r="EJ14" s="290" t="s">
        <v>413</v>
      </c>
      <c r="EK14" s="276"/>
      <c r="EL14" s="290" t="s">
        <v>435</v>
      </c>
      <c r="EM14" s="290" t="s">
        <v>376</v>
      </c>
      <c r="EN14" s="290" t="s">
        <v>413</v>
      </c>
      <c r="EO14" s="276"/>
      <c r="EP14" s="308"/>
      <c r="EQ14" s="276"/>
      <c r="ER14" s="290" t="s">
        <v>435</v>
      </c>
      <c r="ES14" s="290" t="s">
        <v>376</v>
      </c>
      <c r="ET14" s="290" t="s">
        <v>413</v>
      </c>
      <c r="EU14" s="276"/>
      <c r="EV14" s="290" t="s">
        <v>435</v>
      </c>
      <c r="EW14" s="290" t="s">
        <v>376</v>
      </c>
      <c r="EX14" s="290" t="s">
        <v>413</v>
      </c>
      <c r="EY14" s="276"/>
      <c r="EZ14" s="308"/>
      <c r="FA14" s="276"/>
      <c r="FB14" s="290" t="s">
        <v>435</v>
      </c>
      <c r="FC14" s="290" t="s">
        <v>376</v>
      </c>
      <c r="FD14" s="290" t="s">
        <v>413</v>
      </c>
      <c r="FE14" s="276"/>
      <c r="FF14" s="290" t="s">
        <v>435</v>
      </c>
      <c r="FG14" s="290" t="s">
        <v>376</v>
      </c>
      <c r="FH14" s="290" t="s">
        <v>413</v>
      </c>
      <c r="FI14" s="276"/>
      <c r="FJ14" s="308"/>
      <c r="FK14" s="276"/>
      <c r="FL14" s="290" t="s">
        <v>435</v>
      </c>
      <c r="FM14" s="290" t="s">
        <v>376</v>
      </c>
      <c r="FN14" s="290" t="s">
        <v>413</v>
      </c>
      <c r="FO14" s="276"/>
      <c r="FP14" s="290" t="s">
        <v>435</v>
      </c>
      <c r="FQ14" s="290" t="s">
        <v>376</v>
      </c>
      <c r="FR14" s="290" t="s">
        <v>413</v>
      </c>
      <c r="FS14" s="276"/>
      <c r="FT14" s="308"/>
      <c r="FU14" s="276"/>
      <c r="FV14" s="290" t="s">
        <v>435</v>
      </c>
      <c r="FW14" s="290" t="s">
        <v>376</v>
      </c>
      <c r="FX14" s="290" t="s">
        <v>413</v>
      </c>
      <c r="FY14" s="276"/>
      <c r="FZ14" s="290" t="s">
        <v>435</v>
      </c>
      <c r="GA14" s="290" t="s">
        <v>376</v>
      </c>
      <c r="GB14" s="290" t="s">
        <v>413</v>
      </c>
      <c r="GC14" s="276"/>
      <c r="GD14" s="290" t="s">
        <v>435</v>
      </c>
      <c r="GE14" s="290" t="s">
        <v>376</v>
      </c>
      <c r="GF14" s="290" t="s">
        <v>413</v>
      </c>
      <c r="GG14" s="276"/>
      <c r="GH14" s="308"/>
      <c r="GI14" s="308"/>
      <c r="GJ14" s="290" t="s">
        <v>435</v>
      </c>
      <c r="GK14" s="290" t="s">
        <v>376</v>
      </c>
      <c r="GL14" s="290" t="s">
        <v>413</v>
      </c>
      <c r="GN14" s="276"/>
      <c r="GO14" s="290" t="s">
        <v>435</v>
      </c>
      <c r="GP14" s="290" t="s">
        <v>376</v>
      </c>
      <c r="GQ14" s="290" t="s">
        <v>413</v>
      </c>
      <c r="GR14" s="276"/>
      <c r="GS14" s="308"/>
      <c r="GT14" s="276"/>
      <c r="GU14" s="290" t="s">
        <v>435</v>
      </c>
      <c r="GV14" s="290" t="s">
        <v>376</v>
      </c>
      <c r="GW14" s="290" t="s">
        <v>413</v>
      </c>
      <c r="GX14" s="287"/>
      <c r="GY14" s="290" t="s">
        <v>435</v>
      </c>
      <c r="GZ14" s="290" t="s">
        <v>376</v>
      </c>
      <c r="HA14" s="290" t="s">
        <v>413</v>
      </c>
      <c r="HB14" s="276"/>
      <c r="HC14" s="308"/>
      <c r="HD14" s="276"/>
      <c r="HE14" s="290" t="s">
        <v>435</v>
      </c>
      <c r="HF14" s="290" t="s">
        <v>376</v>
      </c>
      <c r="HG14" s="290" t="s">
        <v>413</v>
      </c>
      <c r="HH14" s="287"/>
      <c r="HI14" s="290" t="s">
        <v>435</v>
      </c>
      <c r="HJ14" s="290" t="s">
        <v>376</v>
      </c>
      <c r="HK14" s="290" t="s">
        <v>413</v>
      </c>
      <c r="HL14" s="276"/>
      <c r="HM14" s="308"/>
      <c r="HN14" s="276"/>
      <c r="HO14" s="290" t="s">
        <v>435</v>
      </c>
      <c r="HP14" s="290" t="s">
        <v>376</v>
      </c>
      <c r="HQ14" s="290" t="s">
        <v>413</v>
      </c>
      <c r="HR14" s="276"/>
      <c r="HS14" s="290" t="s">
        <v>435</v>
      </c>
      <c r="HT14" s="290" t="s">
        <v>376</v>
      </c>
      <c r="HU14" s="290" t="s">
        <v>413</v>
      </c>
      <c r="HV14" s="287"/>
      <c r="HW14" s="290" t="s">
        <v>435</v>
      </c>
      <c r="HX14" s="290" t="s">
        <v>376</v>
      </c>
      <c r="HY14" s="290" t="s">
        <v>413</v>
      </c>
      <c r="HZ14" s="276"/>
      <c r="IA14" s="308"/>
      <c r="IB14" s="276"/>
      <c r="IC14" s="290" t="s">
        <v>435</v>
      </c>
      <c r="ID14" s="290" t="s">
        <v>376</v>
      </c>
      <c r="IE14" s="290" t="s">
        <v>413</v>
      </c>
      <c r="IF14" s="287"/>
      <c r="IG14" s="276"/>
      <c r="IH14" s="290" t="s">
        <v>435</v>
      </c>
      <c r="II14" s="290" t="s">
        <v>376</v>
      </c>
      <c r="IJ14" s="290" t="s">
        <v>413</v>
      </c>
      <c r="IK14" s="276"/>
      <c r="IL14" s="308"/>
      <c r="IM14" s="276"/>
      <c r="IN14" s="308"/>
      <c r="IO14" s="308"/>
      <c r="IP14" s="308"/>
      <c r="IQ14" s="287"/>
      <c r="IR14" s="287"/>
      <c r="IS14" s="287"/>
      <c r="IW14" s="276"/>
      <c r="IX14" s="276"/>
      <c r="IY14" s="276"/>
      <c r="JA14" s="290" t="s">
        <v>435</v>
      </c>
      <c r="JB14" s="290" t="s">
        <v>376</v>
      </c>
      <c r="JC14" s="512" t="s">
        <v>413</v>
      </c>
    </row>
    <row r="15" spans="2:267" ht="15.75">
      <c r="B15" s="308" t="s">
        <v>596</v>
      </c>
      <c r="C15" s="308"/>
      <c r="D15" s="276"/>
      <c r="E15" s="276"/>
      <c r="F15" s="276"/>
      <c r="G15" s="276"/>
      <c r="H15" s="276"/>
      <c r="I15" s="276"/>
      <c r="J15" s="276"/>
      <c r="K15" s="308"/>
      <c r="L15" s="308" t="s">
        <v>596</v>
      </c>
      <c r="M15" s="308"/>
      <c r="N15" s="276"/>
      <c r="O15" s="276"/>
      <c r="P15" s="276"/>
      <c r="Q15" s="276"/>
      <c r="R15" s="276"/>
      <c r="S15" s="276"/>
      <c r="T15" s="276"/>
      <c r="U15" s="308"/>
      <c r="V15" s="308" t="s">
        <v>596</v>
      </c>
      <c r="W15" s="276"/>
      <c r="X15" s="276"/>
      <c r="Y15" s="276"/>
      <c r="Z15" s="276"/>
      <c r="AA15" s="276"/>
      <c r="AB15" s="276"/>
      <c r="AC15" s="276"/>
      <c r="AD15" s="276"/>
      <c r="AE15" s="276"/>
      <c r="AF15" s="308" t="s">
        <v>596</v>
      </c>
      <c r="AG15" s="276"/>
      <c r="AH15" s="276"/>
      <c r="AI15" s="276"/>
      <c r="AJ15" s="276"/>
      <c r="AK15" s="276"/>
      <c r="AL15" s="276"/>
      <c r="AM15" s="276"/>
      <c r="AN15" s="276"/>
      <c r="AO15" s="276"/>
      <c r="AP15" s="308" t="s">
        <v>596</v>
      </c>
      <c r="AQ15" s="276"/>
      <c r="AR15" s="276"/>
      <c r="AS15" s="276"/>
      <c r="AT15" s="276"/>
      <c r="AU15" s="276"/>
      <c r="AW15" s="276"/>
      <c r="AX15" s="276"/>
      <c r="AY15" s="276"/>
      <c r="AZ15" s="308" t="s">
        <v>596</v>
      </c>
      <c r="BA15" s="276"/>
      <c r="BD15" s="276"/>
      <c r="BE15" s="276"/>
      <c r="BF15" s="276"/>
      <c r="BG15" s="276"/>
      <c r="BH15" s="276"/>
      <c r="BI15" s="276"/>
      <c r="BL15" s="276"/>
      <c r="BM15" s="276"/>
      <c r="BN15" s="308" t="s">
        <v>596</v>
      </c>
      <c r="BO15" s="276"/>
      <c r="BR15" s="276"/>
      <c r="BS15" s="276"/>
      <c r="BV15" s="276"/>
      <c r="BW15" s="276"/>
      <c r="BX15" s="308" t="s">
        <v>596</v>
      </c>
      <c r="BY15" s="276"/>
      <c r="CB15" s="276"/>
      <c r="CC15" s="276"/>
      <c r="CF15" s="276"/>
      <c r="CG15" s="276"/>
      <c r="CH15" s="308" t="s">
        <v>596</v>
      </c>
      <c r="CI15" s="276"/>
      <c r="CL15" s="276"/>
      <c r="CM15" s="276"/>
      <c r="CP15" s="276"/>
      <c r="CQ15" s="276"/>
      <c r="CR15" s="308" t="s">
        <v>596</v>
      </c>
      <c r="CS15" s="276"/>
      <c r="CV15" s="276"/>
      <c r="CW15" s="276"/>
      <c r="CZ15" s="276"/>
      <c r="DA15" s="276"/>
      <c r="DB15" s="308" t="s">
        <v>596</v>
      </c>
      <c r="DC15" s="276"/>
      <c r="DF15" s="276"/>
      <c r="DG15" s="276"/>
      <c r="DJ15" s="276"/>
      <c r="DK15" s="276"/>
      <c r="DL15" s="308" t="s">
        <v>596</v>
      </c>
      <c r="DM15" s="276"/>
      <c r="DP15" s="276"/>
      <c r="DQ15" s="276"/>
      <c r="DT15" s="276"/>
      <c r="DU15" s="276"/>
      <c r="DV15" s="308" t="s">
        <v>596</v>
      </c>
      <c r="DW15" s="276"/>
      <c r="DZ15" s="276"/>
      <c r="EA15" s="276"/>
      <c r="ED15" s="276"/>
      <c r="EE15" s="276"/>
      <c r="EF15" s="308" t="s">
        <v>596</v>
      </c>
      <c r="EG15" s="276"/>
      <c r="EJ15" s="276"/>
      <c r="EK15" s="276"/>
      <c r="EN15" s="276"/>
      <c r="EO15" s="276"/>
      <c r="EP15" s="308" t="s">
        <v>596</v>
      </c>
      <c r="EQ15" s="276"/>
      <c r="ET15" s="276"/>
      <c r="EU15" s="276"/>
      <c r="EX15" s="276"/>
      <c r="EY15" s="276"/>
      <c r="EZ15" s="308" t="s">
        <v>596</v>
      </c>
      <c r="FA15" s="276"/>
      <c r="FD15" s="276"/>
      <c r="FE15" s="276"/>
      <c r="FH15" s="276"/>
      <c r="FI15" s="276"/>
      <c r="FJ15" s="308" t="s">
        <v>596</v>
      </c>
      <c r="FK15" s="276"/>
      <c r="FN15" s="276"/>
      <c r="FO15" s="276"/>
      <c r="FR15" s="276"/>
      <c r="FS15" s="276"/>
      <c r="FT15" s="308" t="s">
        <v>596</v>
      </c>
      <c r="FU15" s="276"/>
      <c r="FX15" s="276"/>
      <c r="FY15" s="276"/>
      <c r="GB15" s="276"/>
      <c r="GC15" s="276"/>
      <c r="GF15" s="276"/>
      <c r="GG15" s="276"/>
      <c r="GH15" s="308" t="s">
        <v>596</v>
      </c>
      <c r="GI15" s="308"/>
      <c r="GJ15" s="288"/>
      <c r="GK15" s="288"/>
      <c r="GL15" s="276"/>
      <c r="GN15" s="276"/>
      <c r="GQ15" s="276"/>
      <c r="GR15" s="276"/>
      <c r="GS15" s="308" t="s">
        <v>596</v>
      </c>
      <c r="GT15" s="276"/>
      <c r="GW15" s="276"/>
      <c r="GX15" s="276"/>
      <c r="HA15" s="276"/>
      <c r="HB15" s="276"/>
      <c r="HC15" s="308" t="s">
        <v>596</v>
      </c>
      <c r="HD15" s="276"/>
      <c r="HG15" s="276"/>
      <c r="HH15" s="276"/>
      <c r="HI15" s="276"/>
      <c r="HJ15" s="276"/>
      <c r="HK15" s="276"/>
      <c r="HL15" s="276"/>
      <c r="HM15" s="308" t="s">
        <v>596</v>
      </c>
      <c r="HN15" s="276"/>
      <c r="HQ15" s="276"/>
      <c r="HR15" s="276"/>
      <c r="HS15" s="276"/>
      <c r="HT15" s="276"/>
      <c r="HU15" s="276"/>
      <c r="HV15" s="276"/>
      <c r="HY15" s="276"/>
      <c r="HZ15" s="276"/>
      <c r="IA15" s="308" t="s">
        <v>596</v>
      </c>
      <c r="IB15" s="276"/>
      <c r="IE15" s="276"/>
      <c r="IF15" s="276"/>
      <c r="IG15" s="276"/>
      <c r="IJ15" s="276"/>
      <c r="IK15" s="276"/>
      <c r="IL15" s="308" t="s">
        <v>596</v>
      </c>
      <c r="IM15" s="276"/>
      <c r="IN15" s="308"/>
      <c r="IO15" s="308"/>
      <c r="IP15" s="308"/>
      <c r="IQ15" s="276"/>
      <c r="IR15" s="276"/>
      <c r="IS15" s="276"/>
      <c r="IW15" s="276"/>
      <c r="IX15" s="276"/>
      <c r="IY15" s="276"/>
      <c r="JC15" s="513"/>
    </row>
    <row r="16" spans="2:267" ht="15.75">
      <c r="B16" s="276" t="s">
        <v>220</v>
      </c>
      <c r="C16" s="276"/>
      <c r="D16" s="292">
        <f>SUM('SR BUDACT ER'!G18:G20)</f>
        <v>0</v>
      </c>
      <c r="E16" s="292">
        <f>SUM('SR BUDACT ER'!H18:H20)</f>
        <v>0</v>
      </c>
      <c r="F16" s="292">
        <f t="shared" ref="F16:F22" si="0">SUM(E16-D16)</f>
        <v>0</v>
      </c>
      <c r="G16" s="276"/>
      <c r="H16" s="292">
        <f>SUM('SR BUDACT ER'!J18:J20)</f>
        <v>18000</v>
      </c>
      <c r="I16" s="292">
        <f>SUM('SR BUDACT ER'!K18:K20)+'Sys INPUT'!F201</f>
        <v>18860</v>
      </c>
      <c r="J16" s="292">
        <f t="shared" ref="J16:J22" si="1">+SUM(I16-H16)</f>
        <v>860</v>
      </c>
      <c r="K16" s="276"/>
      <c r="L16" s="276" t="s">
        <v>220</v>
      </c>
      <c r="M16" s="276"/>
      <c r="N16" s="292">
        <f>SUM('SR BUDACT ER'!M18:M20)</f>
        <v>225000</v>
      </c>
      <c r="O16" s="292">
        <f>SUM('SR BUDACT ER'!N18:N20)+'Sys INPUT'!G201</f>
        <v>277464</v>
      </c>
      <c r="P16" s="292">
        <f t="shared" ref="P16:P22" si="2">+SUM(O16-N16)</f>
        <v>52464</v>
      </c>
      <c r="Q16" s="276"/>
      <c r="R16" s="292">
        <f>SUM('SR BUDACT ER'!P18:P20)</f>
        <v>387450</v>
      </c>
      <c r="S16" s="292">
        <f>SUM('SR BUDACT ER'!Q18:Q20)+'Sys INPUT'!H201</f>
        <v>383245</v>
      </c>
      <c r="T16" s="292">
        <f t="shared" ref="T16:T22" si="3">+SUM(S16-R16)</f>
        <v>-4205</v>
      </c>
      <c r="U16" s="276"/>
      <c r="V16" s="276" t="s">
        <v>220</v>
      </c>
      <c r="W16" s="276"/>
      <c r="X16" s="292">
        <f>SUM('SR BUDACT ER'!S18:S20)</f>
        <v>116911</v>
      </c>
      <c r="Y16" s="292">
        <f>SUM('SR BUDACT ER'!T18:T20)+'Sys INPUT'!I201</f>
        <v>118035</v>
      </c>
      <c r="Z16" s="292">
        <f t="shared" ref="Z16:Z22" si="4">+SUM(Y16-X16)</f>
        <v>1124</v>
      </c>
      <c r="AA16" s="276"/>
      <c r="AB16" s="292">
        <f>SUM('SR BUDACT ER'!V18:V20)</f>
        <v>3513890</v>
      </c>
      <c r="AC16" s="292">
        <f>SUM('SR BUDACT ER'!W18:W20)+'Sys INPUT'!J201</f>
        <v>3527183</v>
      </c>
      <c r="AD16" s="292">
        <f t="shared" ref="AD16:AD22" si="5">+SUM(AC16-AB16)</f>
        <v>13293</v>
      </c>
      <c r="AE16" s="292"/>
      <c r="AF16" s="276" t="s">
        <v>220</v>
      </c>
      <c r="AG16" s="276"/>
      <c r="AH16" s="292">
        <f>SUM('SR BUDACT ER'!Y18:Y20)</f>
        <v>1875</v>
      </c>
      <c r="AI16" s="292">
        <f>SUM('SR BUDACT ER'!Z18:Z20)+'Sys INPUT'!K201</f>
        <v>1627</v>
      </c>
      <c r="AJ16" s="292">
        <f t="shared" ref="AJ16:AJ22" si="6">+SUM(AI16-AH16)</f>
        <v>-248</v>
      </c>
      <c r="AK16" s="276"/>
      <c r="AL16" s="292">
        <f>SUM('SR BUDACT ER'!AB18:AB20)</f>
        <v>25000</v>
      </c>
      <c r="AM16" s="292">
        <f>SUM('SR BUDACT ER'!AC18:AC20)+'Sys INPUT'!L201</f>
        <v>24961</v>
      </c>
      <c r="AN16" s="292">
        <f t="shared" ref="AN16:AN22" si="7">+SUM(AM16-AL16)</f>
        <v>-39</v>
      </c>
      <c r="AO16" s="292"/>
      <c r="AP16" s="276" t="s">
        <v>220</v>
      </c>
      <c r="AQ16" s="276"/>
      <c r="AR16" s="292">
        <f>SUM('SR BUDACT ER'!AE18:AE20)</f>
        <v>1990099</v>
      </c>
      <c r="AS16" s="292">
        <f>SUM('SR BUDACT ER'!AF18:AF20)+'Sys INPUT'!M201</f>
        <v>1995591</v>
      </c>
      <c r="AT16" s="292">
        <f t="shared" ref="AT16:AT22" si="8">+SUM(AS16-AR16)</f>
        <v>5492</v>
      </c>
      <c r="AU16" s="276"/>
      <c r="AV16" s="292">
        <f>SUM('SR BUDACT ER'!AH18:AH20)</f>
        <v>163017</v>
      </c>
      <c r="AW16" s="292">
        <f>SUM('SR BUDACT ER'!AI18:AI20)+'Sys INPUT'!N201</f>
        <v>164571</v>
      </c>
      <c r="AX16" s="292">
        <f t="shared" ref="AX16:AX22" si="9">+SUM(AW16-AV16)</f>
        <v>1554</v>
      </c>
      <c r="AY16" s="292"/>
      <c r="AZ16" s="276" t="s">
        <v>220</v>
      </c>
      <c r="BA16" s="276"/>
      <c r="BB16" s="292">
        <f>SUM('SR BUDACT ER'!AK18:AK20)</f>
        <v>17726</v>
      </c>
      <c r="BC16" s="292">
        <f>SUM('SR BUDACT ER'!AL18:AL20)+'Sys INPUT'!O201</f>
        <v>17904</v>
      </c>
      <c r="BD16" s="292">
        <f t="shared" ref="BD16:BD22" si="10">+SUM(BC16-BB16)</f>
        <v>178</v>
      </c>
      <c r="BE16" s="276"/>
      <c r="BF16" s="292"/>
      <c r="BG16" s="292"/>
      <c r="BH16" s="292"/>
      <c r="BI16" s="276"/>
      <c r="BJ16" s="292">
        <f>SUM('SR BUDACT ER'!AQ18:AQ20)</f>
        <v>1683000</v>
      </c>
      <c r="BK16" s="292">
        <f>SUM('SR BUDACT ER'!AR18:AR20)+'Sys INPUT'!Q201</f>
        <v>1577156</v>
      </c>
      <c r="BL16" s="292">
        <f t="shared" ref="BL16:BL22" si="11">+SUM(BK16-BJ16)</f>
        <v>-105844</v>
      </c>
      <c r="BM16" s="292"/>
      <c r="BN16" s="276" t="s">
        <v>220</v>
      </c>
      <c r="BO16" s="292"/>
      <c r="BP16" s="292">
        <f>SUM('SR BUDACT ER'!AT18:AT20)</f>
        <v>365810</v>
      </c>
      <c r="BQ16" s="292">
        <f>SUM('SR BUDACT ER'!AU18:AU20)+'Sys INPUT'!R201</f>
        <v>397180</v>
      </c>
      <c r="BR16" s="292">
        <f t="shared" ref="BR16:BR22" si="12">+SUM(BQ16-BP16)</f>
        <v>31370</v>
      </c>
      <c r="BS16" s="292"/>
      <c r="BT16" s="292">
        <f>SUM('SR BUDACT ER'!AW18:AW20)</f>
        <v>870089</v>
      </c>
      <c r="BU16" s="292">
        <f>SUM('SR BUDACT ER'!AX18:AX20)+'Sys INPUT'!S201</f>
        <v>870826</v>
      </c>
      <c r="BV16" s="292">
        <f t="shared" ref="BV16:BV22" si="13">+SUM(BU16-BT16)</f>
        <v>737</v>
      </c>
      <c r="BW16" s="292"/>
      <c r="BX16" s="276" t="s">
        <v>220</v>
      </c>
      <c r="BY16" s="292"/>
      <c r="BZ16" s="292">
        <f>SUM('SR BUDACT ER'!AZ18:AZ20)</f>
        <v>0</v>
      </c>
      <c r="CA16" s="292">
        <f>SUM('SR BUDACT ER'!BA18:BA20)+'Sys INPUT'!T201</f>
        <v>19</v>
      </c>
      <c r="CB16" s="292">
        <f t="shared" ref="CB16:CB22" si="14">+SUM(CA16-BZ16)</f>
        <v>19</v>
      </c>
      <c r="CC16" s="292"/>
      <c r="CD16" s="292">
        <f>SUM('SR BUDACT ER'!BC18:BC20)</f>
        <v>1386260</v>
      </c>
      <c r="CE16" s="292">
        <f>SUM('SR BUDACT ER'!BD18:BD20)+'Sys INPUT'!U201</f>
        <v>1402348</v>
      </c>
      <c r="CF16" s="292">
        <f t="shared" ref="CF16:CF22" si="15">+SUM(CE16-CD16)</f>
        <v>16088</v>
      </c>
      <c r="CG16" s="292"/>
      <c r="CH16" s="276" t="s">
        <v>220</v>
      </c>
      <c r="CI16" s="276"/>
      <c r="CJ16" s="292">
        <f>SUM('SR BUDACT ER'!BF18:BF20)</f>
        <v>179484</v>
      </c>
      <c r="CK16" s="292">
        <f>SUM('SR BUDACT ER'!BG18:BG20)+'Sys INPUT'!V201</f>
        <v>182837</v>
      </c>
      <c r="CL16" s="292">
        <f t="shared" ref="CL16:CL22" si="16">+SUM(CK16-CJ16)</f>
        <v>3353</v>
      </c>
      <c r="CM16" s="276"/>
      <c r="CN16" s="292">
        <f>SUM('SR BUDACT ER'!BI18:BI20)</f>
        <v>225590</v>
      </c>
      <c r="CO16" s="292">
        <f>SUM('SR BUDACT ER'!BJ18:BJ20)+'Sys INPUT'!W201</f>
        <v>229335</v>
      </c>
      <c r="CP16" s="292">
        <f t="shared" ref="CP16:CP22" si="17">+SUM(CO16-CN16)</f>
        <v>3745</v>
      </c>
      <c r="CQ16" s="292"/>
      <c r="CR16" s="276" t="s">
        <v>220</v>
      </c>
      <c r="CS16" s="276"/>
      <c r="CT16" s="292">
        <f>SUM('SR BUDACT ER'!BL18:BL20)</f>
        <v>0</v>
      </c>
      <c r="CU16" s="292">
        <f>SUM('SR BUDACT ER'!BM18:BM20)</f>
        <v>0</v>
      </c>
      <c r="CV16" s="292">
        <f t="shared" ref="CV16:CV22" si="18">+SUM(CU16-CT16)</f>
        <v>0</v>
      </c>
      <c r="CW16" s="276"/>
      <c r="CX16" s="292">
        <f>SUM('SR BUDACT ER'!BO18:BO20)</f>
        <v>0</v>
      </c>
      <c r="CY16" s="292">
        <f>SUM('SR BUDACT ER'!BP18:BP20)</f>
        <v>0</v>
      </c>
      <c r="CZ16" s="292">
        <f t="shared" ref="CZ16:CZ22" si="19">+SUM(CY16-CX16)</f>
        <v>0</v>
      </c>
      <c r="DA16" s="292"/>
      <c r="DB16" s="276" t="s">
        <v>220</v>
      </c>
      <c r="DC16" s="276"/>
      <c r="DD16" s="292">
        <f>SUM('SR BUDACT ER'!BR18:BR20)</f>
        <v>0</v>
      </c>
      <c r="DE16" s="292">
        <f>SUM('SR BUDACT ER'!BS18:BS20)</f>
        <v>0</v>
      </c>
      <c r="DF16" s="292">
        <f t="shared" ref="DF16:DF22" si="20">+SUM(DE16-DD16)</f>
        <v>0</v>
      </c>
      <c r="DG16" s="276"/>
      <c r="DH16" s="292">
        <f>SUM('SR BUDACT ER'!BU18:BU20)</f>
        <v>4363596</v>
      </c>
      <c r="DI16" s="292">
        <f>SUM('SR BUDACT ER'!BV18:BV20)+'Sys INPUT'!AB201</f>
        <v>4408377</v>
      </c>
      <c r="DJ16" s="292">
        <f t="shared" ref="DJ16:DJ22" si="21">+SUM(DI16-DH16)</f>
        <v>44781</v>
      </c>
      <c r="DK16" s="276"/>
      <c r="DL16" s="276" t="s">
        <v>220</v>
      </c>
      <c r="DM16" s="276"/>
      <c r="DN16" s="292">
        <f>SUM('SR BUDACT ER'!BX18:BX20)</f>
        <v>5000</v>
      </c>
      <c r="DO16" s="292">
        <f>SUM('SR BUDACT ER'!BY18:BY20)+'Sys INPUT'!AC201</f>
        <v>43710</v>
      </c>
      <c r="DP16" s="292">
        <f t="shared" ref="DP16:DP22" si="22">+SUM(DO16-DN16)</f>
        <v>38710</v>
      </c>
      <c r="DQ16" s="276"/>
      <c r="DR16" s="292">
        <f>SUM('SR BUDACT ER'!CA18:CA20)</f>
        <v>0</v>
      </c>
      <c r="DS16" s="292">
        <f>SUM('SR BUDACT ER'!CB18:CB20)</f>
        <v>0</v>
      </c>
      <c r="DT16" s="292">
        <f t="shared" ref="DT16:DT22" si="23">+SUM(DS16-DR16)</f>
        <v>0</v>
      </c>
      <c r="DU16" s="276"/>
      <c r="DV16" s="276" t="s">
        <v>220</v>
      </c>
      <c r="DW16" s="276"/>
      <c r="DX16" s="292">
        <f>SUM('SR BUDACT ER'!CD18:CD20)</f>
        <v>0</v>
      </c>
      <c r="DY16" s="292">
        <f>SUM('SR BUDACT ER'!CE18:CE20)</f>
        <v>0</v>
      </c>
      <c r="DZ16" s="292">
        <f t="shared" ref="DZ16:DZ22" si="24">+SUM(DY16-DX16)</f>
        <v>0</v>
      </c>
      <c r="EA16" s="276"/>
      <c r="EB16" s="292">
        <f>SUM('SR BUDACT ER'!CG18:CG20)</f>
        <v>0</v>
      </c>
      <c r="EC16" s="292">
        <f>SUM('SR BUDACT ER'!CH18:CH20)</f>
        <v>0</v>
      </c>
      <c r="ED16" s="292">
        <f t="shared" ref="ED16:ED22" si="25">+SUM(EC16-EB16)</f>
        <v>0</v>
      </c>
      <c r="EE16" s="276"/>
      <c r="EF16" s="276" t="s">
        <v>220</v>
      </c>
      <c r="EG16" s="276"/>
      <c r="EH16" s="292">
        <f>SUM('SR BUDACT ER'!CJ18:CJ20)</f>
        <v>0</v>
      </c>
      <c r="EI16" s="292">
        <f>SUM('SR BUDACT ER'!CK18:CK20)</f>
        <v>0</v>
      </c>
      <c r="EJ16" s="292">
        <f t="shared" ref="EJ16:EJ22" si="26">+SUM(EI16-EH16)</f>
        <v>0</v>
      </c>
      <c r="EK16" s="276"/>
      <c r="EL16" s="292">
        <f>SUM('SR BUDACT ER'!CM18:CM20)</f>
        <v>0</v>
      </c>
      <c r="EM16" s="292">
        <f>SUM('SR BUDACT ER'!CN18:CN20)</f>
        <v>0</v>
      </c>
      <c r="EN16" s="292">
        <f t="shared" ref="EN16:EN22" si="27">+SUM(EM16-EL16)</f>
        <v>0</v>
      </c>
      <c r="EO16" s="276"/>
      <c r="EP16" s="276" t="s">
        <v>220</v>
      </c>
      <c r="EQ16" s="276"/>
      <c r="ER16" s="292">
        <f>SUM('SR BUDACT ER'!CP18:CP20)</f>
        <v>0</v>
      </c>
      <c r="ES16" s="292">
        <f>SUM('SR BUDACT ER'!CQ18:CQ20)</f>
        <v>0</v>
      </c>
      <c r="ET16" s="292">
        <f t="shared" ref="ET16:ET22" si="28">+SUM(ES16-ER16)</f>
        <v>0</v>
      </c>
      <c r="EU16" s="276"/>
      <c r="EV16" s="292">
        <f>SUM('SR BUDACT ER'!CS18:CS20)</f>
        <v>0</v>
      </c>
      <c r="EW16" s="292">
        <f>SUM('SR BUDACT ER'!CT18:CT20)</f>
        <v>0</v>
      </c>
      <c r="EX16" s="292">
        <f t="shared" ref="EX16:EX22" si="29">+SUM(EW16-EV16)</f>
        <v>0</v>
      </c>
      <c r="EY16" s="276"/>
      <c r="EZ16" s="276" t="s">
        <v>220</v>
      </c>
      <c r="FA16" s="276"/>
      <c r="FB16" s="292">
        <f>SUM('SR BUDACT ER'!CV18:CV20)</f>
        <v>0</v>
      </c>
      <c r="FC16" s="292">
        <f>SUM('SR BUDACT ER'!CW18:CW20)</f>
        <v>0</v>
      </c>
      <c r="FD16" s="292">
        <f t="shared" ref="FD16:FD22" si="30">+SUM(FC16-FB16)</f>
        <v>0</v>
      </c>
      <c r="FE16" s="276"/>
      <c r="FF16" s="292">
        <f>SUM('SR BUDACT ER'!CY18:CY20)</f>
        <v>0</v>
      </c>
      <c r="FG16" s="292">
        <f>SUM('SR BUDACT ER'!CZ18:CZ20)</f>
        <v>0</v>
      </c>
      <c r="FH16" s="292">
        <f t="shared" ref="FH16:FH22" si="31">+SUM(FG16-FF16)</f>
        <v>0</v>
      </c>
      <c r="FI16" s="276"/>
      <c r="FJ16" s="276" t="s">
        <v>220</v>
      </c>
      <c r="FK16" s="276"/>
      <c r="FL16" s="292">
        <f>SUM('SR BUDACT ER'!DB18:DB20)</f>
        <v>0</v>
      </c>
      <c r="FM16" s="292">
        <f>SUM('SR BUDACT ER'!DC18:DC20)</f>
        <v>0</v>
      </c>
      <c r="FN16" s="292">
        <f t="shared" ref="FN16:FN22" si="32">+SUM(FM16-FL16)</f>
        <v>0</v>
      </c>
      <c r="FO16" s="276"/>
      <c r="FP16" s="292">
        <f>SUM('SR BUDACT ER'!DE18:DE20)</f>
        <v>0</v>
      </c>
      <c r="FQ16" s="292">
        <f>SUM('SR BUDACT ER'!DF18:DF20)</f>
        <v>0</v>
      </c>
      <c r="FR16" s="292">
        <f t="shared" ref="FR16:FR22" si="33">+SUM(FQ16-FP16)</f>
        <v>0</v>
      </c>
      <c r="FS16" s="276"/>
      <c r="FT16" s="276" t="s">
        <v>220</v>
      </c>
      <c r="FU16" s="276"/>
      <c r="FV16" s="292">
        <f>SUM('SR BUDACT ER'!DH18:DH20)</f>
        <v>0</v>
      </c>
      <c r="FW16" s="292">
        <f>SUM('SR BUDACT ER'!DI18:DI20)</f>
        <v>0</v>
      </c>
      <c r="FX16" s="292">
        <f t="shared" ref="FX16:FX22" si="34">+SUM(FW16-FV16)</f>
        <v>0</v>
      </c>
      <c r="FY16" s="276"/>
      <c r="FZ16" s="292">
        <f>SUM('SR BUDACT ER'!DK18:DK20)</f>
        <v>0</v>
      </c>
      <c r="GA16" s="292">
        <f>SUM('SR BUDACT ER'!DL18:DL20)</f>
        <v>0</v>
      </c>
      <c r="GB16" s="292">
        <f t="shared" ref="GB16:GB22" si="35">+SUM(GA16-FZ16)</f>
        <v>0</v>
      </c>
      <c r="GC16" s="276"/>
      <c r="GD16" s="292">
        <f>SUM('SR BUDACT ER'!DN18:DN20)</f>
        <v>0</v>
      </c>
      <c r="GE16" s="292">
        <f>SUM('SR BUDACT ER'!DO18:DO20)</f>
        <v>0</v>
      </c>
      <c r="GF16" s="292">
        <f t="shared" ref="GF16:GF22" si="36">+SUM(GE16-GD16)</f>
        <v>0</v>
      </c>
      <c r="GG16" s="276"/>
      <c r="GH16" s="276" t="s">
        <v>220</v>
      </c>
      <c r="GI16" s="276"/>
      <c r="GJ16" s="292">
        <f>SUM('SR BUDACT ER'!DQ18:DQ20)</f>
        <v>0</v>
      </c>
      <c r="GK16" s="292">
        <f>SUM('SR BUDACT ER'!DR18:DR20)</f>
        <v>0</v>
      </c>
      <c r="GL16" s="292">
        <f t="shared" ref="GL16:GL22" si="37">+SUM(GK16-GJ16)</f>
        <v>0</v>
      </c>
      <c r="GN16" s="276"/>
      <c r="GO16" s="292">
        <f>SUM('SR BUDACT ER'!DT18:DT20)</f>
        <v>0</v>
      </c>
      <c r="GP16" s="292">
        <f>SUM('SR BUDACT ER'!DU18:DU20)</f>
        <v>0</v>
      </c>
      <c r="GQ16" s="292">
        <f t="shared" ref="GQ16:GQ22" si="38">+SUM(GP16-GO16)</f>
        <v>0</v>
      </c>
      <c r="GR16" s="276"/>
      <c r="GS16" s="276" t="s">
        <v>220</v>
      </c>
      <c r="GT16" s="276"/>
      <c r="GU16" s="292">
        <f>SUM('SR BUDACT ER'!DW18:DW20)</f>
        <v>0</v>
      </c>
      <c r="GV16" s="292">
        <f>SUM('SR BUDACT ER'!DX18:DX20)</f>
        <v>0</v>
      </c>
      <c r="GW16" s="292">
        <f t="shared" ref="GW16:GW22" si="39">+SUM(GV16-GU16)</f>
        <v>0</v>
      </c>
      <c r="GX16" s="292"/>
      <c r="GY16" s="292">
        <f>SUM('SR BUDACT ER'!DZ18:DZ20)</f>
        <v>0</v>
      </c>
      <c r="GZ16" s="292">
        <f>SUM('SR BUDACT ER'!EA18:EA20)</f>
        <v>0</v>
      </c>
      <c r="HA16" s="292">
        <f t="shared" ref="HA16:HA22" si="40">+SUM(GZ16-GY16)</f>
        <v>0</v>
      </c>
      <c r="HB16" s="276"/>
      <c r="HC16" s="276" t="s">
        <v>220</v>
      </c>
      <c r="HD16" s="276"/>
      <c r="HE16" s="292">
        <f>SUM('SR BUDACT ER'!EC18:EC20)</f>
        <v>0</v>
      </c>
      <c r="HF16" s="292">
        <f>SUM('SR BUDACT ER'!ED18:ED20)</f>
        <v>0</v>
      </c>
      <c r="HG16" s="292">
        <f t="shared" ref="HG16:HG22" si="41">+SUM(HF16-HE16)</f>
        <v>0</v>
      </c>
      <c r="HH16" s="292"/>
      <c r="HI16" s="292">
        <f>SUM('SR BUDACT ER'!EI18:EI20)</f>
        <v>0</v>
      </c>
      <c r="HJ16" s="292">
        <f>SUM('SR BUDACT ER'!EJ18:EJ20)</f>
        <v>0</v>
      </c>
      <c r="HK16" s="292">
        <f t="shared" ref="HK16:HK22" si="42">+SUM(HJ16-HI16)</f>
        <v>0</v>
      </c>
      <c r="HL16" s="276"/>
      <c r="HM16" s="276" t="s">
        <v>220</v>
      </c>
      <c r="HN16" s="276"/>
      <c r="HO16" s="292"/>
      <c r="HP16" s="292"/>
      <c r="HQ16" s="292"/>
      <c r="HR16" s="276"/>
      <c r="HS16" s="292">
        <f>SUM('SR BUDACT ER'!EL18:EL20)</f>
        <v>0</v>
      </c>
      <c r="HT16" s="292">
        <f>SUM('SR BUDACT ER'!EM18:EM20)</f>
        <v>0</v>
      </c>
      <c r="HU16" s="292">
        <f t="shared" ref="HU16:HU22" si="43">+SUM(HT16-HS16)</f>
        <v>0</v>
      </c>
      <c r="HV16" s="292"/>
      <c r="HW16" s="292">
        <f>SUM('SR BUDACT ER'!EO18:EO20)</f>
        <v>0</v>
      </c>
      <c r="HX16" s="292">
        <f>SUM('SR BUDACT ER'!EP18:EP20)</f>
        <v>0</v>
      </c>
      <c r="HY16" s="292">
        <f t="shared" ref="HY16:HY22" si="44">+SUM(HX16-HW16)</f>
        <v>0</v>
      </c>
      <c r="HZ16" s="276"/>
      <c r="IA16" s="276" t="s">
        <v>220</v>
      </c>
      <c r="IB16" s="276"/>
      <c r="IC16" s="292">
        <f>SUM('SR BUDACT ER'!ER18:ER20)</f>
        <v>0</v>
      </c>
      <c r="ID16" s="292">
        <f>SUM('SR BUDACT ER'!ES18:ES20)</f>
        <v>0</v>
      </c>
      <c r="IE16" s="292">
        <f t="shared" ref="IE16:IE22" si="45">+SUM(ID16-IC16)</f>
        <v>0</v>
      </c>
      <c r="IF16" s="292"/>
      <c r="IG16" s="276"/>
      <c r="IH16" s="292">
        <f>+D16+H16+N16+R16+X16+AB16+AH16+AL16+AR16+AV16+BB16+BJ16+BP16+BT16+BZ16+CD16+CJ16+CN16+CT16+CX16+DD16+DH16+DN16+DR16+DX16+EB16+EH16+EL16+ER16+EV16+FB16+FF16+FL16+FP16+FV16+FZ16+GD16+GJ16+GO16+GU16+GY16+HE16+HI16+HS16+HW16+IC16</f>
        <v>15537797</v>
      </c>
      <c r="II16" s="292">
        <f>+E16+I16+O16+S16+Y16+AC16+AI16+AM16+AS16+AW16+BC16+BK16+BQ16+BU16+CA16+CE16+CK16+CO16+CU16+CY16+DE16+DI16+DO16+DS16+DY16+EC16+EI16+EM16+ES16+EW16+FC16+FG16+FM16+FQ16+FW16+GA16+GE16+GK16+GP16+GV16+GZ16+HF16+HJ16+HT16+HX16+ID16</f>
        <v>15641229</v>
      </c>
      <c r="IJ16" s="292">
        <f t="shared" ref="IJ16:IJ22" si="46">+SUM(II16-IH16)</f>
        <v>103432</v>
      </c>
      <c r="IK16" s="276"/>
      <c r="IL16" s="276" t="s">
        <v>220</v>
      </c>
      <c r="IM16" s="276"/>
      <c r="IN16" s="308"/>
      <c r="IO16" s="308"/>
      <c r="IP16" s="308"/>
      <c r="IQ16" s="292"/>
      <c r="IR16" s="292"/>
      <c r="IS16" s="292"/>
      <c r="IW16" s="276"/>
      <c r="IX16" s="276"/>
      <c r="IY16" s="276"/>
      <c r="JA16" s="292">
        <f>SUM('SR BUDACT ER'!AN18:AN20)</f>
        <v>0</v>
      </c>
      <c r="JB16" s="292">
        <f>SUM('SR BUDACT ER'!AO18:AO20)+0</f>
        <v>0</v>
      </c>
      <c r="JC16" s="406">
        <f t="shared" ref="JC16:JC22" si="47">+SUM(JB16-JA16)</f>
        <v>0</v>
      </c>
      <c r="JE16" s="288">
        <f t="shared" ref="JE16:JE22" si="48">SUM(D16:IG16)</f>
        <v>31282458</v>
      </c>
      <c r="JF16" s="288">
        <f t="shared" ref="JF16:JF22" si="49">SUM(IH16:IJ16)</f>
        <v>31282458</v>
      </c>
      <c r="JG16" s="288">
        <f>+JF16-JE16</f>
        <v>0</v>
      </c>
    </row>
    <row r="17" spans="2:267" ht="15.75">
      <c r="B17" s="276" t="s">
        <v>468</v>
      </c>
      <c r="C17" s="276"/>
      <c r="D17" s="294">
        <f>SUM('SR BUDACT ER'!G22:G24)</f>
        <v>2280</v>
      </c>
      <c r="E17" s="294">
        <f>SUM('SR BUDACT ER'!H22:H24)+'Sys INPUT'!E201</f>
        <v>2400</v>
      </c>
      <c r="F17" s="294">
        <f t="shared" si="0"/>
        <v>120</v>
      </c>
      <c r="G17" s="276"/>
      <c r="H17" s="294">
        <f>SUM('SR BUDACT ER'!J22:J24)</f>
        <v>0</v>
      </c>
      <c r="I17" s="294">
        <f>SUM('SR BUDACT ER'!K22:K24)</f>
        <v>0</v>
      </c>
      <c r="J17" s="294">
        <f t="shared" si="1"/>
        <v>0</v>
      </c>
      <c r="K17" s="276"/>
      <c r="L17" s="276" t="s">
        <v>468</v>
      </c>
      <c r="M17" s="276"/>
      <c r="N17" s="294">
        <f>SUM('SR BUDACT ER'!M22:M24)</f>
        <v>0</v>
      </c>
      <c r="O17" s="294">
        <f>SUM('SR BUDACT ER'!N22:N24)</f>
        <v>0</v>
      </c>
      <c r="P17" s="294">
        <f t="shared" si="2"/>
        <v>0</v>
      </c>
      <c r="Q17" s="276"/>
      <c r="R17" s="294">
        <f>SUM('SR BUDACT ER'!P22:P24)</f>
        <v>0</v>
      </c>
      <c r="S17" s="294">
        <f>SUM('SR BUDACT ER'!Q22:Q24)</f>
        <v>0</v>
      </c>
      <c r="T17" s="294">
        <f t="shared" si="3"/>
        <v>0</v>
      </c>
      <c r="U17" s="276"/>
      <c r="V17" s="276" t="s">
        <v>468</v>
      </c>
      <c r="W17" s="276"/>
      <c r="X17" s="294">
        <f>SUM('SR BUDACT ER'!S22:S24)</f>
        <v>0</v>
      </c>
      <c r="Y17" s="294">
        <f>SUM('SR BUDACT ER'!T22:T24)</f>
        <v>0</v>
      </c>
      <c r="Z17" s="294">
        <f t="shared" si="4"/>
        <v>0</v>
      </c>
      <c r="AA17" s="276"/>
      <c r="AB17" s="294">
        <f>SUM('SR BUDACT ER'!V22:V24)</f>
        <v>0</v>
      </c>
      <c r="AC17" s="294">
        <f>SUM('SR BUDACT ER'!W22:W24)</f>
        <v>0</v>
      </c>
      <c r="AD17" s="294">
        <f t="shared" si="5"/>
        <v>0</v>
      </c>
      <c r="AE17" s="294"/>
      <c r="AF17" s="276" t="s">
        <v>468</v>
      </c>
      <c r="AG17" s="276"/>
      <c r="AH17" s="294">
        <f>SUM('SR BUDACT ER'!Y22:Y24)</f>
        <v>0</v>
      </c>
      <c r="AI17" s="294">
        <f>SUM('SR BUDACT ER'!Z22:Z24)</f>
        <v>0</v>
      </c>
      <c r="AJ17" s="294">
        <f t="shared" si="6"/>
        <v>0</v>
      </c>
      <c r="AK17" s="276"/>
      <c r="AL17" s="294">
        <f>SUM('SR BUDACT ER'!AB22:AB24)</f>
        <v>0</v>
      </c>
      <c r="AM17" s="294">
        <f>SUM('SR BUDACT ER'!AC22:AC24)</f>
        <v>0</v>
      </c>
      <c r="AN17" s="294">
        <f t="shared" si="7"/>
        <v>0</v>
      </c>
      <c r="AO17" s="294"/>
      <c r="AP17" s="276" t="s">
        <v>468</v>
      </c>
      <c r="AQ17" s="276"/>
      <c r="AR17" s="294">
        <f>SUM('SR BUDACT ER'!AE22:AE24)</f>
        <v>0</v>
      </c>
      <c r="AS17" s="294">
        <f>SUM('SR BUDACT ER'!AF22:AF24)</f>
        <v>0</v>
      </c>
      <c r="AT17" s="294">
        <f t="shared" si="8"/>
        <v>0</v>
      </c>
      <c r="AU17" s="276"/>
      <c r="AV17" s="294">
        <f>SUM('SR BUDACT ER'!AH22:AH24)</f>
        <v>0</v>
      </c>
      <c r="AW17" s="294">
        <f>SUM('SR BUDACT ER'!AI22:AI24)</f>
        <v>0</v>
      </c>
      <c r="AX17" s="294">
        <f t="shared" si="9"/>
        <v>0</v>
      </c>
      <c r="AY17" s="294"/>
      <c r="AZ17" s="276" t="s">
        <v>468</v>
      </c>
      <c r="BA17" s="276"/>
      <c r="BB17" s="294">
        <f>SUM('SR BUDACT ER'!AK22:AK24)</f>
        <v>0</v>
      </c>
      <c r="BC17" s="294">
        <f>SUM('SR BUDACT ER'!AL22:AL24)</f>
        <v>0</v>
      </c>
      <c r="BD17" s="294">
        <f t="shared" si="10"/>
        <v>0</v>
      </c>
      <c r="BE17" s="276"/>
      <c r="BF17" s="294"/>
      <c r="BG17" s="294"/>
      <c r="BH17" s="294"/>
      <c r="BI17" s="276"/>
      <c r="BJ17" s="294">
        <f>SUM('SR BUDACT ER'!AQ22:AQ24)</f>
        <v>0</v>
      </c>
      <c r="BK17" s="294">
        <f>SUM('SR BUDACT ER'!AR22:AR24)</f>
        <v>0</v>
      </c>
      <c r="BL17" s="294">
        <f t="shared" si="11"/>
        <v>0</v>
      </c>
      <c r="BM17" s="294"/>
      <c r="BN17" s="276" t="s">
        <v>468</v>
      </c>
      <c r="BO17" s="294"/>
      <c r="BP17" s="294">
        <f>SUM('SR BUDACT ER'!AT22:AT24)</f>
        <v>0</v>
      </c>
      <c r="BQ17" s="294">
        <f>SUM('SR BUDACT ER'!AU22:AU24)</f>
        <v>0</v>
      </c>
      <c r="BR17" s="294">
        <f t="shared" si="12"/>
        <v>0</v>
      </c>
      <c r="BS17" s="294"/>
      <c r="BT17" s="294">
        <f>SUM('SR BUDACT ER'!AW22:AW24)</f>
        <v>0</v>
      </c>
      <c r="BU17" s="294">
        <f>SUM('SR BUDACT ER'!AX22:AX24)</f>
        <v>0</v>
      </c>
      <c r="BV17" s="294">
        <f t="shared" si="13"/>
        <v>0</v>
      </c>
      <c r="BW17" s="294"/>
      <c r="BX17" s="276" t="s">
        <v>468</v>
      </c>
      <c r="BY17" s="294"/>
      <c r="BZ17" s="294">
        <f>SUM('SR BUDACT ER'!AZ22:AZ24)</f>
        <v>0</v>
      </c>
      <c r="CA17" s="294">
        <f>SUM('SR BUDACT ER'!BA22:BA24)</f>
        <v>0</v>
      </c>
      <c r="CB17" s="294">
        <f t="shared" si="14"/>
        <v>0</v>
      </c>
      <c r="CC17" s="294"/>
      <c r="CD17" s="294">
        <f>SUM('SR BUDACT ER'!BC22:BC24)</f>
        <v>0</v>
      </c>
      <c r="CE17" s="294">
        <f>SUM('SR BUDACT ER'!BD22:BD24)</f>
        <v>0</v>
      </c>
      <c r="CF17" s="294">
        <f t="shared" si="15"/>
        <v>0</v>
      </c>
      <c r="CG17" s="294"/>
      <c r="CH17" s="276" t="s">
        <v>468</v>
      </c>
      <c r="CI17" s="276"/>
      <c r="CJ17" s="294">
        <f>SUM('SR BUDACT ER'!BF22:BF24)</f>
        <v>0</v>
      </c>
      <c r="CK17" s="294">
        <f>SUM('SR BUDACT ER'!BG22:BG24)</f>
        <v>0</v>
      </c>
      <c r="CL17" s="294">
        <f t="shared" si="16"/>
        <v>0</v>
      </c>
      <c r="CM17" s="276"/>
      <c r="CN17" s="294">
        <f>SUM('SR BUDACT ER'!BI22:BI24)</f>
        <v>0</v>
      </c>
      <c r="CO17" s="294">
        <f>SUM('SR BUDACT ER'!BJ22:BJ24)</f>
        <v>0</v>
      </c>
      <c r="CP17" s="294">
        <f t="shared" si="17"/>
        <v>0</v>
      </c>
      <c r="CQ17" s="294"/>
      <c r="CR17" s="276" t="s">
        <v>468</v>
      </c>
      <c r="CS17" s="276"/>
      <c r="CT17" s="294">
        <f>SUM('SR BUDACT ER'!BL22:BL24)</f>
        <v>0</v>
      </c>
      <c r="CU17" s="294">
        <f>SUM('SR BUDACT ER'!BM22:BM24)</f>
        <v>0</v>
      </c>
      <c r="CV17" s="294">
        <f t="shared" si="18"/>
        <v>0</v>
      </c>
      <c r="CW17" s="276"/>
      <c r="CX17" s="294">
        <f>SUM('SR BUDACT ER'!BO22:BO24)</f>
        <v>0</v>
      </c>
      <c r="CY17" s="294">
        <f>SUM('SR BUDACT ER'!BP22:BP24)</f>
        <v>0</v>
      </c>
      <c r="CZ17" s="294">
        <f t="shared" si="19"/>
        <v>0</v>
      </c>
      <c r="DA17" s="294"/>
      <c r="DB17" s="276" t="s">
        <v>468</v>
      </c>
      <c r="DC17" s="276"/>
      <c r="DD17" s="294">
        <f>SUM('SR BUDACT ER'!BR22:BR24)</f>
        <v>0</v>
      </c>
      <c r="DE17" s="294">
        <f>SUM('SR BUDACT ER'!BS22:BS24)</f>
        <v>0</v>
      </c>
      <c r="DF17" s="294">
        <f t="shared" si="20"/>
        <v>0</v>
      </c>
      <c r="DG17" s="276"/>
      <c r="DH17" s="294">
        <f>SUM('SR BUDACT ER'!BU22:BU24)</f>
        <v>0</v>
      </c>
      <c r="DI17" s="294">
        <f>SUM('SR BUDACT ER'!BV22:BV24)</f>
        <v>0</v>
      </c>
      <c r="DJ17" s="294">
        <f t="shared" si="21"/>
        <v>0</v>
      </c>
      <c r="DK17" s="276"/>
      <c r="DL17" s="276" t="s">
        <v>468</v>
      </c>
      <c r="DM17" s="276"/>
      <c r="DN17" s="294">
        <f>SUM('SR BUDACT ER'!BX22:BX24)</f>
        <v>0</v>
      </c>
      <c r="DO17" s="294">
        <f>SUM('SR BUDACT ER'!BY22:BY24)</f>
        <v>0</v>
      </c>
      <c r="DP17" s="294">
        <f t="shared" si="22"/>
        <v>0</v>
      </c>
      <c r="DQ17" s="276"/>
      <c r="DR17" s="294">
        <f>SUM('SR BUDACT ER'!CA22:CA24)</f>
        <v>0</v>
      </c>
      <c r="DS17" s="294">
        <f>SUM('SR BUDACT ER'!CB22:CB24)</f>
        <v>0</v>
      </c>
      <c r="DT17" s="294">
        <f t="shared" si="23"/>
        <v>0</v>
      </c>
      <c r="DU17" s="276"/>
      <c r="DV17" s="276" t="s">
        <v>468</v>
      </c>
      <c r="DW17" s="276"/>
      <c r="DX17" s="294">
        <f>SUM('SR BUDACT ER'!CD22:CD24)</f>
        <v>0</v>
      </c>
      <c r="DY17" s="294">
        <f>SUM('SR BUDACT ER'!CE22:CE24)</f>
        <v>0</v>
      </c>
      <c r="DZ17" s="294">
        <f t="shared" si="24"/>
        <v>0</v>
      </c>
      <c r="EA17" s="276"/>
      <c r="EB17" s="294">
        <f>SUM('SR BUDACT ER'!CG22:CG24)</f>
        <v>0</v>
      </c>
      <c r="EC17" s="294">
        <f>SUM('SR BUDACT ER'!CH22:CH24)</f>
        <v>0</v>
      </c>
      <c r="ED17" s="294">
        <f t="shared" si="25"/>
        <v>0</v>
      </c>
      <c r="EE17" s="276"/>
      <c r="EF17" s="276" t="s">
        <v>468</v>
      </c>
      <c r="EG17" s="276"/>
      <c r="EH17" s="294">
        <f>SUM('SR BUDACT ER'!CJ22:CJ24)</f>
        <v>0</v>
      </c>
      <c r="EI17" s="294">
        <f>SUM('SR BUDACT ER'!CK22:CK24)</f>
        <v>0</v>
      </c>
      <c r="EJ17" s="294">
        <f t="shared" si="26"/>
        <v>0</v>
      </c>
      <c r="EK17" s="276"/>
      <c r="EL17" s="294">
        <f>SUM('SR BUDACT ER'!CM22:CM24)</f>
        <v>0</v>
      </c>
      <c r="EM17" s="294">
        <f>SUM('SR BUDACT ER'!CN22:CN24)</f>
        <v>0</v>
      </c>
      <c r="EN17" s="294">
        <f t="shared" si="27"/>
        <v>0</v>
      </c>
      <c r="EO17" s="276"/>
      <c r="EP17" s="276" t="s">
        <v>468</v>
      </c>
      <c r="EQ17" s="276"/>
      <c r="ER17" s="294">
        <f>SUM('SR BUDACT ER'!CP22:CP24)</f>
        <v>0</v>
      </c>
      <c r="ES17" s="294">
        <f>SUM('SR BUDACT ER'!CQ22:CQ24)</f>
        <v>0</v>
      </c>
      <c r="ET17" s="294">
        <f t="shared" si="28"/>
        <v>0</v>
      </c>
      <c r="EU17" s="276"/>
      <c r="EV17" s="294">
        <f>SUM('SR BUDACT ER'!CS22:CS24)</f>
        <v>0</v>
      </c>
      <c r="EW17" s="294">
        <f>SUM('SR BUDACT ER'!CT22:CT24)</f>
        <v>0</v>
      </c>
      <c r="EX17" s="294">
        <f t="shared" si="29"/>
        <v>0</v>
      </c>
      <c r="EY17" s="276"/>
      <c r="EZ17" s="276" t="s">
        <v>468</v>
      </c>
      <c r="FA17" s="276"/>
      <c r="FB17" s="294">
        <f>SUM('SR BUDACT ER'!CV22:CV24)</f>
        <v>0</v>
      </c>
      <c r="FC17" s="294">
        <f>SUM('SR BUDACT ER'!CW22:CW24)</f>
        <v>0</v>
      </c>
      <c r="FD17" s="294">
        <f t="shared" si="30"/>
        <v>0</v>
      </c>
      <c r="FE17" s="276"/>
      <c r="FF17" s="294">
        <f>SUM('SR BUDACT ER'!CY22:CY24)</f>
        <v>0</v>
      </c>
      <c r="FG17" s="294">
        <f>SUM('SR BUDACT ER'!CZ22:CZ24)</f>
        <v>0</v>
      </c>
      <c r="FH17" s="294">
        <f t="shared" si="31"/>
        <v>0</v>
      </c>
      <c r="FI17" s="276"/>
      <c r="FJ17" s="276" t="s">
        <v>468</v>
      </c>
      <c r="FK17" s="276"/>
      <c r="FL17" s="294">
        <f>SUM('SR BUDACT ER'!DB22:DB24)</f>
        <v>0</v>
      </c>
      <c r="FM17" s="294">
        <f>SUM('SR BUDACT ER'!DC22:DC24)</f>
        <v>0</v>
      </c>
      <c r="FN17" s="294">
        <f t="shared" si="32"/>
        <v>0</v>
      </c>
      <c r="FO17" s="276"/>
      <c r="FP17" s="294">
        <f>SUM('SR BUDACT ER'!DE22:DE24)</f>
        <v>0</v>
      </c>
      <c r="FQ17" s="294">
        <f>SUM('SR BUDACT ER'!DF22:DF24)</f>
        <v>0</v>
      </c>
      <c r="FR17" s="294">
        <f t="shared" si="33"/>
        <v>0</v>
      </c>
      <c r="FS17" s="276"/>
      <c r="FT17" s="276" t="s">
        <v>468</v>
      </c>
      <c r="FU17" s="276"/>
      <c r="FV17" s="294">
        <f>SUM('SR BUDACT ER'!DH22:DH24)</f>
        <v>0</v>
      </c>
      <c r="FW17" s="294">
        <f>SUM('SR BUDACT ER'!DI22:DI24)</f>
        <v>0</v>
      </c>
      <c r="FX17" s="294">
        <f t="shared" si="34"/>
        <v>0</v>
      </c>
      <c r="FY17" s="276"/>
      <c r="FZ17" s="294">
        <f>SUM('SR BUDACT ER'!DK22:DK24)</f>
        <v>0</v>
      </c>
      <c r="GA17" s="294">
        <f>SUM('SR BUDACT ER'!DL22:DL24)</f>
        <v>0</v>
      </c>
      <c r="GB17" s="294">
        <f t="shared" si="35"/>
        <v>0</v>
      </c>
      <c r="GC17" s="276"/>
      <c r="GD17" s="294">
        <f>SUM('SR BUDACT ER'!DN22:DN24)</f>
        <v>0</v>
      </c>
      <c r="GE17" s="294">
        <f>SUM('SR BUDACT ER'!DO22:DO24)</f>
        <v>0</v>
      </c>
      <c r="GF17" s="294">
        <f t="shared" si="36"/>
        <v>0</v>
      </c>
      <c r="GG17" s="276"/>
      <c r="GH17" s="276" t="s">
        <v>468</v>
      </c>
      <c r="GI17" s="276"/>
      <c r="GJ17" s="294">
        <f>SUM('SR BUDACT ER'!DQ22:DQ24)</f>
        <v>0</v>
      </c>
      <c r="GK17" s="294">
        <f>SUM('SR BUDACT ER'!DR22:DR24)</f>
        <v>0</v>
      </c>
      <c r="GL17" s="294">
        <f t="shared" si="37"/>
        <v>0</v>
      </c>
      <c r="GN17" s="276"/>
      <c r="GO17" s="294">
        <f>SUM('SR BUDACT ER'!DT22:DT24)</f>
        <v>0</v>
      </c>
      <c r="GP17" s="294">
        <f>SUM('SR BUDACT ER'!DU22:DU24)</f>
        <v>0</v>
      </c>
      <c r="GQ17" s="294">
        <f t="shared" si="38"/>
        <v>0</v>
      </c>
      <c r="GR17" s="276"/>
      <c r="GS17" s="276" t="s">
        <v>468</v>
      </c>
      <c r="GT17" s="276"/>
      <c r="GU17" s="294">
        <f>SUM('SR BUDACT ER'!DW22:DW24)</f>
        <v>0</v>
      </c>
      <c r="GV17" s="294">
        <f>SUM('SR BUDACT ER'!DX22:DX24)</f>
        <v>0</v>
      </c>
      <c r="GW17" s="294">
        <f t="shared" si="39"/>
        <v>0</v>
      </c>
      <c r="GX17" s="294"/>
      <c r="GY17" s="294">
        <f>SUM('SR BUDACT ER'!DZ22:DZ24)</f>
        <v>0</v>
      </c>
      <c r="GZ17" s="294">
        <f>SUM('SR BUDACT ER'!EA22:EA24)</f>
        <v>0</v>
      </c>
      <c r="HA17" s="294">
        <f t="shared" si="40"/>
        <v>0</v>
      </c>
      <c r="HB17" s="276"/>
      <c r="HC17" s="276" t="s">
        <v>468</v>
      </c>
      <c r="HD17" s="276"/>
      <c r="HE17" s="294">
        <f>SUM('SR BUDACT ER'!EC22:EC24)</f>
        <v>0</v>
      </c>
      <c r="HF17" s="294">
        <f>SUM('SR BUDACT ER'!ED22:ED24)</f>
        <v>0</v>
      </c>
      <c r="HG17" s="294">
        <f t="shared" si="41"/>
        <v>0</v>
      </c>
      <c r="HH17" s="294"/>
      <c r="HI17" s="294">
        <f>SUM('SR BUDACT ER'!EI22:EI24)</f>
        <v>0</v>
      </c>
      <c r="HJ17" s="294">
        <f>SUM('SR BUDACT ER'!EJ22:EJ24)</f>
        <v>0</v>
      </c>
      <c r="HK17" s="294">
        <f t="shared" si="42"/>
        <v>0</v>
      </c>
      <c r="HL17" s="276"/>
      <c r="HM17" s="276" t="s">
        <v>468</v>
      </c>
      <c r="HN17" s="276"/>
      <c r="HO17" s="294"/>
      <c r="HP17" s="294"/>
      <c r="HQ17" s="294"/>
      <c r="HR17" s="276"/>
      <c r="HS17" s="294">
        <f>SUM('SR BUDACT ER'!EL22:EL24)</f>
        <v>0</v>
      </c>
      <c r="HT17" s="294">
        <f>SUM('SR BUDACT ER'!EM22:EM24)</f>
        <v>0</v>
      </c>
      <c r="HU17" s="294">
        <f t="shared" si="43"/>
        <v>0</v>
      </c>
      <c r="HV17" s="294"/>
      <c r="HW17" s="294">
        <f>SUM('SR BUDACT ER'!EO22:EO24)</f>
        <v>0</v>
      </c>
      <c r="HX17" s="294">
        <f>SUM('SR BUDACT ER'!EP22:EP24)</f>
        <v>0</v>
      </c>
      <c r="HY17" s="294">
        <f t="shared" si="44"/>
        <v>0</v>
      </c>
      <c r="HZ17" s="276"/>
      <c r="IA17" s="276" t="s">
        <v>468</v>
      </c>
      <c r="IB17" s="276"/>
      <c r="IC17" s="294">
        <f>SUM('SR BUDACT ER'!ER22:ER24)</f>
        <v>0</v>
      </c>
      <c r="ID17" s="294">
        <f>SUM('SR BUDACT ER'!ES22:ES24)</f>
        <v>0</v>
      </c>
      <c r="IE17" s="294">
        <f t="shared" si="45"/>
        <v>0</v>
      </c>
      <c r="IF17" s="294"/>
      <c r="IG17" s="276"/>
      <c r="IH17" s="294">
        <f>+D17+H17+N17+R17+X17+AB17+AH17+AL17+AR17+AV17+BB17+BJ17+BP17+BT17+BZ17+CD17+CJ17+CN17+CT17+CX17+DD17+DH17+DN17+DR17+DX17+EB17+EH17+EL17+ER17+EV17+FB17+FF17+FL17+FP17+FV17+FZ17+GD17+GJ17+GO17+GU17+GY17+HE17+HI17+HS17+HW17+IC17</f>
        <v>2280</v>
      </c>
      <c r="II17" s="294">
        <f>+E17+I17+O17+S17+Y17+AC17+AI17+AM17+AS17+AW17+BC17+BK17+BQ17+BU17+CA17+CE17+CK17+CO17+CU17+CY17+DE17+DI17+DO17+DS17+DY17+EC17+EI17+EM17+ES17+EW17+FC17+FG17+FM17+FQ17+FW17+GA17+GE17+GK17+GP17+GV17+GZ17+HF17+HJ17+HT17+HX17+ID17</f>
        <v>2400</v>
      </c>
      <c r="IJ17" s="294">
        <f t="shared" si="46"/>
        <v>120</v>
      </c>
      <c r="IK17" s="276"/>
      <c r="IL17" s="276" t="s">
        <v>468</v>
      </c>
      <c r="IM17" s="276"/>
      <c r="IN17" s="308"/>
      <c r="IO17" s="308"/>
      <c r="IP17" s="308"/>
      <c r="IQ17" s="294"/>
      <c r="IR17" s="294"/>
      <c r="IS17" s="294"/>
      <c r="IW17" s="276"/>
      <c r="IX17" s="294"/>
      <c r="IY17" s="294"/>
      <c r="JA17" s="294">
        <f>SUM('SR BUDACT ER'!AN22:AN24)</f>
        <v>0</v>
      </c>
      <c r="JB17" s="294">
        <f>SUM('SR BUDACT ER'!AO22:AO24)</f>
        <v>0</v>
      </c>
      <c r="JC17" s="514">
        <f t="shared" si="47"/>
        <v>0</v>
      </c>
      <c r="JE17" s="288">
        <f t="shared" si="48"/>
        <v>4800</v>
      </c>
      <c r="JF17" s="288">
        <f t="shared" si="49"/>
        <v>4800</v>
      </c>
      <c r="JG17" s="288">
        <f t="shared" ref="JG17:JG22" si="50">+JF17-JE17</f>
        <v>0</v>
      </c>
    </row>
    <row r="18" spans="2:267" ht="15.75">
      <c r="B18" s="276" t="s">
        <v>444</v>
      </c>
      <c r="C18" s="276"/>
      <c r="D18" s="294">
        <f>SUM('SR BUDACT ER'!G27:G40)</f>
        <v>2044053</v>
      </c>
      <c r="E18" s="294">
        <f>SUM('SR BUDACT ER'!H27:H40)</f>
        <v>1556090</v>
      </c>
      <c r="F18" s="294">
        <f t="shared" si="0"/>
        <v>-487963</v>
      </c>
      <c r="G18" s="276"/>
      <c r="H18" s="294">
        <f>SUM('SR BUDACT ER'!J27:J40)</f>
        <v>0</v>
      </c>
      <c r="I18" s="294">
        <f>SUM('SR BUDACT ER'!K27:K40)</f>
        <v>0</v>
      </c>
      <c r="J18" s="294">
        <f t="shared" si="1"/>
        <v>0</v>
      </c>
      <c r="K18" s="276"/>
      <c r="L18" s="276" t="s">
        <v>444</v>
      </c>
      <c r="M18" s="276"/>
      <c r="N18" s="294">
        <f>SUM('SR BUDACT ER'!M27:M40)</f>
        <v>0</v>
      </c>
      <c r="O18" s="294">
        <f>SUM('SR BUDACT ER'!N27:N40)</f>
        <v>0</v>
      </c>
      <c r="P18" s="294">
        <f t="shared" si="2"/>
        <v>0</v>
      </c>
      <c r="Q18" s="276"/>
      <c r="R18" s="294">
        <f>SUM('SR BUDACT ER'!P27:P40)</f>
        <v>0</v>
      </c>
      <c r="S18" s="294">
        <f>SUM('SR BUDACT ER'!Q27:Q40)</f>
        <v>0</v>
      </c>
      <c r="T18" s="294">
        <f t="shared" si="3"/>
        <v>0</v>
      </c>
      <c r="U18" s="276"/>
      <c r="V18" s="276" t="s">
        <v>444</v>
      </c>
      <c r="W18" s="276"/>
      <c r="X18" s="294">
        <f>SUM('SR BUDACT ER'!S27:S40)</f>
        <v>700000</v>
      </c>
      <c r="Y18" s="294">
        <f>SUM('SR BUDACT ER'!T27:T40)+0</f>
        <v>392971</v>
      </c>
      <c r="Z18" s="294">
        <f t="shared" si="4"/>
        <v>-307029</v>
      </c>
      <c r="AA18" s="276"/>
      <c r="AB18" s="294">
        <f>SUM('SR BUDACT ER'!V27:V40)</f>
        <v>652763</v>
      </c>
      <c r="AC18" s="294">
        <f>SUM('SR BUDACT ER'!W27:W40)</f>
        <v>1045460</v>
      </c>
      <c r="AD18" s="294">
        <f t="shared" si="5"/>
        <v>392697</v>
      </c>
      <c r="AE18" s="294"/>
      <c r="AF18" s="276" t="s">
        <v>444</v>
      </c>
      <c r="AG18" s="276"/>
      <c r="AH18" s="294">
        <f>SUM('SR BUDACT ER'!Y27:Y40)</f>
        <v>0</v>
      </c>
      <c r="AI18" s="294">
        <f>SUM('SR BUDACT ER'!Z27:Z40)</f>
        <v>0</v>
      </c>
      <c r="AJ18" s="294">
        <f t="shared" si="6"/>
        <v>0</v>
      </c>
      <c r="AK18" s="276"/>
      <c r="AL18" s="294">
        <f>SUM('SR BUDACT ER'!AB27:AB40)</f>
        <v>0</v>
      </c>
      <c r="AM18" s="294">
        <f>SUM('SR BUDACT ER'!AC27:AC40)</f>
        <v>0</v>
      </c>
      <c r="AN18" s="294">
        <f t="shared" si="7"/>
        <v>0</v>
      </c>
      <c r="AO18" s="294"/>
      <c r="AP18" s="276" t="s">
        <v>444</v>
      </c>
      <c r="AQ18" s="276"/>
      <c r="AR18" s="294">
        <f>SUM('SR BUDACT ER'!AE27:AE40)</f>
        <v>65672</v>
      </c>
      <c r="AS18" s="294">
        <f>SUM('SR BUDACT ER'!AF27:AF40)</f>
        <v>70177</v>
      </c>
      <c r="AT18" s="294">
        <f t="shared" si="8"/>
        <v>4505</v>
      </c>
      <c r="AU18" s="276"/>
      <c r="AV18" s="294">
        <f>SUM('SR BUDACT ER'!AH27:AH40)</f>
        <v>7710</v>
      </c>
      <c r="AW18" s="294">
        <f>SUM('SR BUDACT ER'!AI27:AI40)-0</f>
        <v>10660</v>
      </c>
      <c r="AX18" s="294">
        <f t="shared" si="9"/>
        <v>2950</v>
      </c>
      <c r="AY18" s="294"/>
      <c r="AZ18" s="276" t="s">
        <v>444</v>
      </c>
      <c r="BA18" s="276"/>
      <c r="BB18" s="294">
        <f>SUM('SR BUDACT ER'!AK27:AK40)</f>
        <v>1076</v>
      </c>
      <c r="BC18" s="294">
        <f>SUM('SR BUDACT ER'!AL27:AL40)-0</f>
        <v>1076</v>
      </c>
      <c r="BD18" s="294">
        <f t="shared" si="10"/>
        <v>0</v>
      </c>
      <c r="BE18" s="276"/>
      <c r="BF18" s="294"/>
      <c r="BG18" s="294"/>
      <c r="BH18" s="294"/>
      <c r="BI18" s="276"/>
      <c r="BJ18" s="294">
        <f>SUM('SR BUDACT ER'!AQ27:AQ40)</f>
        <v>0</v>
      </c>
      <c r="BK18" s="294">
        <f>SUM('SR BUDACT ER'!AR27:AR40)</f>
        <v>0</v>
      </c>
      <c r="BL18" s="294">
        <f t="shared" si="11"/>
        <v>0</v>
      </c>
      <c r="BM18" s="294"/>
      <c r="BN18" s="276" t="s">
        <v>444</v>
      </c>
      <c r="BO18" s="294"/>
      <c r="BP18" s="294">
        <f>SUM('SR BUDACT ER'!AT27:AT40)</f>
        <v>26509</v>
      </c>
      <c r="BQ18" s="294">
        <f>SUM('SR BUDACT ER'!AU27:AU40)</f>
        <v>26509</v>
      </c>
      <c r="BR18" s="294">
        <f t="shared" si="12"/>
        <v>0</v>
      </c>
      <c r="BS18" s="294"/>
      <c r="BT18" s="294">
        <f>SUM('SR BUDACT ER'!AW27:AW40)</f>
        <v>42413</v>
      </c>
      <c r="BU18" s="294">
        <f>SUM('SR BUDACT ER'!AX27:AX40)</f>
        <v>42913</v>
      </c>
      <c r="BV18" s="294">
        <f t="shared" si="13"/>
        <v>500</v>
      </c>
      <c r="BW18" s="294"/>
      <c r="BX18" s="276" t="s">
        <v>444</v>
      </c>
      <c r="BY18" s="294"/>
      <c r="BZ18" s="294">
        <f>SUM('SR BUDACT ER'!AZ27:AZ40)</f>
        <v>0</v>
      </c>
      <c r="CA18" s="294">
        <f>SUM('SR BUDACT ER'!BA27:BA40)</f>
        <v>0</v>
      </c>
      <c r="CB18" s="294">
        <f t="shared" si="14"/>
        <v>0</v>
      </c>
      <c r="CC18" s="294"/>
      <c r="CD18" s="294">
        <f>SUM('SR BUDACT ER'!BC27:BC40)</f>
        <v>369434</v>
      </c>
      <c r="CE18" s="294">
        <f>SUM('SR BUDACT ER'!BD27:BD40)</f>
        <v>472557</v>
      </c>
      <c r="CF18" s="294">
        <f t="shared" si="15"/>
        <v>103123</v>
      </c>
      <c r="CG18" s="294"/>
      <c r="CH18" s="276" t="s">
        <v>444</v>
      </c>
      <c r="CI18" s="276"/>
      <c r="CJ18" s="294">
        <f>SUM('SR BUDACT ER'!BF27:BF40)</f>
        <v>0</v>
      </c>
      <c r="CK18" s="294">
        <f>SUM('SR BUDACT ER'!BG27:BG40)+0</f>
        <v>0</v>
      </c>
      <c r="CL18" s="294">
        <f t="shared" si="16"/>
        <v>0</v>
      </c>
      <c r="CM18" s="276"/>
      <c r="CN18" s="294">
        <f>SUM('SR BUDACT ER'!BI27:BI40)</f>
        <v>0</v>
      </c>
      <c r="CO18" s="294">
        <f>SUM('SR BUDACT ER'!BJ27:BJ40)</f>
        <v>0</v>
      </c>
      <c r="CP18" s="294">
        <f t="shared" si="17"/>
        <v>0</v>
      </c>
      <c r="CQ18" s="294"/>
      <c r="CR18" s="276" t="s">
        <v>444</v>
      </c>
      <c r="CS18" s="276"/>
      <c r="CT18" s="294">
        <f>SUM('SR BUDACT ER'!BL27:BL40)</f>
        <v>0</v>
      </c>
      <c r="CU18" s="294">
        <f>SUM('SR BUDACT ER'!BM27:BM40)</f>
        <v>0</v>
      </c>
      <c r="CV18" s="294">
        <f t="shared" si="18"/>
        <v>0</v>
      </c>
      <c r="CW18" s="276"/>
      <c r="CX18" s="294">
        <f>SUM('SR BUDACT ER'!BO27:BO40)</f>
        <v>2000</v>
      </c>
      <c r="CY18" s="294">
        <f>SUM('SR BUDACT ER'!BP27:BP40)</f>
        <v>4490</v>
      </c>
      <c r="CZ18" s="294">
        <f t="shared" si="19"/>
        <v>2490</v>
      </c>
      <c r="DA18" s="294"/>
      <c r="DB18" s="276" t="s">
        <v>444</v>
      </c>
      <c r="DC18" s="276"/>
      <c r="DD18" s="294">
        <f>SUM('SR BUDACT ER'!BR27:BR40)</f>
        <v>0</v>
      </c>
      <c r="DE18" s="294">
        <f>SUM('SR BUDACT ER'!BS27:BS40)</f>
        <v>0</v>
      </c>
      <c r="DF18" s="294">
        <f t="shared" si="20"/>
        <v>0</v>
      </c>
      <c r="DG18" s="276"/>
      <c r="DH18" s="294">
        <f>SUM('SR BUDACT ER'!BU27:BU40)</f>
        <v>497000</v>
      </c>
      <c r="DI18" s="294">
        <f>SUM('SR BUDACT ER'!BV27:BV40)</f>
        <v>452442</v>
      </c>
      <c r="DJ18" s="294">
        <f t="shared" si="21"/>
        <v>-44558</v>
      </c>
      <c r="DK18" s="276"/>
      <c r="DL18" s="276" t="s">
        <v>444</v>
      </c>
      <c r="DM18" s="276"/>
      <c r="DN18" s="294">
        <f>SUM('SR BUDACT ER'!BX27:BX40)</f>
        <v>0</v>
      </c>
      <c r="DO18" s="294">
        <f>SUM('SR BUDACT ER'!BY27:BY40)</f>
        <v>0</v>
      </c>
      <c r="DP18" s="294">
        <f t="shared" si="22"/>
        <v>0</v>
      </c>
      <c r="DQ18" s="276"/>
      <c r="DR18" s="294">
        <f>SUM('SR BUDACT ER'!CA27:CA40)</f>
        <v>0</v>
      </c>
      <c r="DS18" s="294">
        <f>SUM('SR BUDACT ER'!CB27:CB40)</f>
        <v>0</v>
      </c>
      <c r="DT18" s="294">
        <f t="shared" si="23"/>
        <v>0</v>
      </c>
      <c r="DU18" s="276"/>
      <c r="DV18" s="276" t="s">
        <v>444</v>
      </c>
      <c r="DW18" s="276"/>
      <c r="DX18" s="294">
        <f>SUM('SR BUDACT ER'!CD27:CD40)</f>
        <v>28000</v>
      </c>
      <c r="DY18" s="294">
        <f>SUM('SR BUDACT ER'!CE27:CE40)</f>
        <v>25558</v>
      </c>
      <c r="DZ18" s="294">
        <f t="shared" si="24"/>
        <v>-2442</v>
      </c>
      <c r="EA18" s="276"/>
      <c r="EB18" s="294">
        <f>SUM('SR BUDACT ER'!CG27:CG40)</f>
        <v>0</v>
      </c>
      <c r="EC18" s="294">
        <f>SUM('SR BUDACT ER'!CH27:CH40)</f>
        <v>0</v>
      </c>
      <c r="ED18" s="294">
        <f t="shared" si="25"/>
        <v>0</v>
      </c>
      <c r="EE18" s="276"/>
      <c r="EF18" s="276" t="s">
        <v>444</v>
      </c>
      <c r="EG18" s="276"/>
      <c r="EH18" s="294">
        <f>SUM('SR BUDACT ER'!CJ27:CJ40)</f>
        <v>0</v>
      </c>
      <c r="EI18" s="294">
        <f>SUM('SR BUDACT ER'!CK27:CK40)</f>
        <v>0</v>
      </c>
      <c r="EJ18" s="294">
        <f t="shared" si="26"/>
        <v>0</v>
      </c>
      <c r="EK18" s="276"/>
      <c r="EL18" s="294">
        <f>SUM('SR BUDACT ER'!CM27:CM40)</f>
        <v>50000</v>
      </c>
      <c r="EM18" s="294">
        <f>SUM('SR BUDACT ER'!CN27:CN40)-0</f>
        <v>0</v>
      </c>
      <c r="EN18" s="294">
        <f t="shared" si="27"/>
        <v>-50000</v>
      </c>
      <c r="EO18" s="276"/>
      <c r="EP18" s="276" t="s">
        <v>444</v>
      </c>
      <c r="EQ18" s="276"/>
      <c r="ER18" s="294">
        <f>SUM('SR BUDACT ER'!CP27:CP40)</f>
        <v>0</v>
      </c>
      <c r="ES18" s="294">
        <f>SUM('SR BUDACT ER'!CQ27:CQ40)</f>
        <v>0</v>
      </c>
      <c r="ET18" s="294">
        <f t="shared" si="28"/>
        <v>0</v>
      </c>
      <c r="EU18" s="276"/>
      <c r="EV18" s="294">
        <f>SUM('SR BUDACT ER'!CS27:CS40)</f>
        <v>0</v>
      </c>
      <c r="EW18" s="294">
        <f>SUM('SR BUDACT ER'!CT27:CT40)</f>
        <v>0</v>
      </c>
      <c r="EX18" s="294">
        <f t="shared" si="29"/>
        <v>0</v>
      </c>
      <c r="EY18" s="276"/>
      <c r="EZ18" s="276" t="s">
        <v>444</v>
      </c>
      <c r="FA18" s="276"/>
      <c r="FB18" s="294">
        <f>SUM('SR BUDACT ER'!CV27:CV40)</f>
        <v>0</v>
      </c>
      <c r="FC18" s="294">
        <f>SUM('SR BUDACT ER'!CW27:CW40)</f>
        <v>0</v>
      </c>
      <c r="FD18" s="294">
        <f t="shared" si="30"/>
        <v>0</v>
      </c>
      <c r="FE18" s="276"/>
      <c r="FF18" s="294">
        <f>SUM('SR BUDACT ER'!CY27:CY40)</f>
        <v>0</v>
      </c>
      <c r="FG18" s="294">
        <f>SUM('SR BUDACT ER'!CZ27:CZ40)</f>
        <v>0</v>
      </c>
      <c r="FH18" s="294">
        <f t="shared" si="31"/>
        <v>0</v>
      </c>
      <c r="FI18" s="276"/>
      <c r="FJ18" s="276" t="s">
        <v>444</v>
      </c>
      <c r="FK18" s="276"/>
      <c r="FL18" s="294">
        <f>SUM('SR BUDACT ER'!DB27:DB40)</f>
        <v>0</v>
      </c>
      <c r="FM18" s="294">
        <f>SUM('SR BUDACT ER'!DC27:DC40)</f>
        <v>0</v>
      </c>
      <c r="FN18" s="294">
        <f t="shared" si="32"/>
        <v>0</v>
      </c>
      <c r="FO18" s="276"/>
      <c r="FP18" s="294">
        <f>SUM('SR BUDACT ER'!DE27:DE40)</f>
        <v>0</v>
      </c>
      <c r="FQ18" s="294">
        <f>SUM('SR BUDACT ER'!DF27:DF40)</f>
        <v>0</v>
      </c>
      <c r="FR18" s="294">
        <f t="shared" si="33"/>
        <v>0</v>
      </c>
      <c r="FS18" s="276"/>
      <c r="FT18" s="276" t="s">
        <v>444</v>
      </c>
      <c r="FU18" s="276"/>
      <c r="FV18" s="294">
        <f>SUM('SR BUDACT ER'!DH27:DH40)</f>
        <v>0</v>
      </c>
      <c r="FW18" s="294">
        <f>SUM('SR BUDACT ER'!DI27:DI40)</f>
        <v>0</v>
      </c>
      <c r="FX18" s="294">
        <f t="shared" si="34"/>
        <v>0</v>
      </c>
      <c r="FY18" s="276"/>
      <c r="FZ18" s="294">
        <f>SUM('SR BUDACT ER'!DK27:DK40)</f>
        <v>0</v>
      </c>
      <c r="GA18" s="294">
        <f>SUM('SR BUDACT ER'!DL27:DL40)</f>
        <v>0</v>
      </c>
      <c r="GB18" s="294">
        <f t="shared" si="35"/>
        <v>0</v>
      </c>
      <c r="GC18" s="276"/>
      <c r="GD18" s="294">
        <f>SUM('SR BUDACT ER'!DN27:DN40)</f>
        <v>0</v>
      </c>
      <c r="GE18" s="294">
        <f>SUM('SR BUDACT ER'!DO27:DO40)</f>
        <v>0</v>
      </c>
      <c r="GF18" s="294">
        <f t="shared" si="36"/>
        <v>0</v>
      </c>
      <c r="GG18" s="276"/>
      <c r="GH18" s="276" t="s">
        <v>444</v>
      </c>
      <c r="GI18" s="276"/>
      <c r="GJ18" s="294">
        <f>SUM('SR BUDACT ER'!DQ27:DQ40)</f>
        <v>250000</v>
      </c>
      <c r="GK18" s="294">
        <f>SUM('SR BUDACT ER'!DR27:DR40)</f>
        <v>235770</v>
      </c>
      <c r="GL18" s="294">
        <f t="shared" si="37"/>
        <v>-14230</v>
      </c>
      <c r="GN18" s="276"/>
      <c r="GO18" s="294">
        <f>SUM('SR BUDACT ER'!DT27:DT40)</f>
        <v>260000</v>
      </c>
      <c r="GP18" s="294">
        <f>SUM('SR BUDACT ER'!DU27:DU40)+'Sys INPUT'!AS201</f>
        <v>272779</v>
      </c>
      <c r="GQ18" s="294">
        <f t="shared" si="38"/>
        <v>12779</v>
      </c>
      <c r="GR18" s="276"/>
      <c r="GS18" s="276" t="s">
        <v>444</v>
      </c>
      <c r="GT18" s="276"/>
      <c r="GU18" s="294">
        <f>SUM('SR BUDACT ER'!DW27:DW40)</f>
        <v>338609</v>
      </c>
      <c r="GV18" s="294">
        <f>SUM('SR BUDACT ER'!DX27:DX40)</f>
        <v>338610</v>
      </c>
      <c r="GW18" s="294">
        <f t="shared" si="39"/>
        <v>1</v>
      </c>
      <c r="GX18" s="294"/>
      <c r="GY18" s="294">
        <f>SUM('SR BUDACT ER'!DZ27:DZ40)</f>
        <v>244545</v>
      </c>
      <c r="GZ18" s="294">
        <f>SUM('SR BUDACT ER'!EA27:EA40)+'Sys INPUT'!AU201</f>
        <v>310691</v>
      </c>
      <c r="HA18" s="294">
        <f>+SUM(GZ18-GY18)</f>
        <v>66146</v>
      </c>
      <c r="HB18" s="276"/>
      <c r="HC18" s="276" t="s">
        <v>444</v>
      </c>
      <c r="HD18" s="276"/>
      <c r="HE18" s="294">
        <f>SUM('SR BUDACT ER'!EC27:EC40)</f>
        <v>31786</v>
      </c>
      <c r="HF18" s="294">
        <f>SUM('SR BUDACT ER'!ED27:ED40)+0</f>
        <v>0</v>
      </c>
      <c r="HG18" s="294">
        <f t="shared" si="41"/>
        <v>-31786</v>
      </c>
      <c r="HH18" s="294"/>
      <c r="HI18" s="294">
        <f>SUM('SR BUDACT ER'!EI27:EI40)</f>
        <v>0</v>
      </c>
      <c r="HJ18" s="294">
        <f>SUM('SR BUDACT ER'!EJ27:EJ40)+0</f>
        <v>100801</v>
      </c>
      <c r="HK18" s="294">
        <f t="shared" si="42"/>
        <v>100801</v>
      </c>
      <c r="HL18" s="276"/>
      <c r="HM18" s="276" t="s">
        <v>444</v>
      </c>
      <c r="HN18" s="276"/>
      <c r="HO18" s="294"/>
      <c r="HP18" s="294"/>
      <c r="HQ18" s="294"/>
      <c r="HR18" s="276"/>
      <c r="HS18" s="294">
        <f>SUM('SR BUDACT ER'!EL28)</f>
        <v>0</v>
      </c>
      <c r="HT18" s="294">
        <f>+'SR BUDACT ER'!EM28</f>
        <v>0</v>
      </c>
      <c r="HU18" s="294">
        <f t="shared" si="43"/>
        <v>0</v>
      </c>
      <c r="HV18" s="294"/>
      <c r="HW18" s="294">
        <f>SUM('SR BUDACT ER'!EO27:EO40)</f>
        <v>9286</v>
      </c>
      <c r="HX18" s="294">
        <f>SUM('SR BUDACT ER'!EP27:EP40)+'Sys INPUT'!AZ201</f>
        <v>9352</v>
      </c>
      <c r="HY18" s="294">
        <f t="shared" si="44"/>
        <v>66</v>
      </c>
      <c r="HZ18" s="276"/>
      <c r="IA18" s="276" t="s">
        <v>444</v>
      </c>
      <c r="IB18" s="276"/>
      <c r="IC18" s="294">
        <f>SUM('SR BUDACT ER'!ER27:ER40)</f>
        <v>137008</v>
      </c>
      <c r="ID18" s="294">
        <f>SUM('SR BUDACT ER'!ES27:ES40)</f>
        <v>104225</v>
      </c>
      <c r="IE18" s="294">
        <f t="shared" si="45"/>
        <v>-32783</v>
      </c>
      <c r="IF18" s="294"/>
      <c r="IG18" s="276"/>
      <c r="IH18" s="294">
        <f t="shared" ref="IH18:IH22" si="51">+D18+H18+N18+R18+X18+AB18+AH18+AL18+AR18+AV18+BB18+BJ18+BP18+BT18+BZ18+CD18+CJ18+CN18+CT18+CX18+DD18+DH18+DN18+DR18+DX18+EB18+EH18+EL18+ER18+EV18+FB18+FF18+FL18+FP18+FV18+FZ18+GD18+GJ18+GO18+GU18+GY18+HE18+HI18+HS18+HW18+IC18</f>
        <v>5757864</v>
      </c>
      <c r="II18" s="294">
        <f t="shared" ref="II18:II22" si="52">+E18+I18+O18+S18+Y18+AC18+AI18+AM18+AS18+AW18+BC18+BK18+BQ18+BU18+CA18+CE18+CK18+CO18+CU18+CY18+DE18+DI18+DO18+DS18+DY18+EC18+EI18+EM18+ES18+EW18+FC18+FG18+FM18+FQ18+FW18+GA18+GE18+GK18+GP18+GV18+GZ18+HF18+HJ18+HT18+HX18+ID18</f>
        <v>5473131</v>
      </c>
      <c r="IJ18" s="294">
        <f t="shared" si="46"/>
        <v>-284733</v>
      </c>
      <c r="IK18" s="276"/>
      <c r="IL18" s="276" t="s">
        <v>444</v>
      </c>
      <c r="IM18" s="276"/>
      <c r="IN18" s="308"/>
      <c r="IO18" s="308"/>
      <c r="IP18" s="308"/>
      <c r="IQ18" s="294"/>
      <c r="IR18" s="294"/>
      <c r="IS18" s="294"/>
      <c r="IW18" s="276"/>
      <c r="IX18" s="294"/>
      <c r="IY18" s="294"/>
      <c r="JA18" s="294">
        <f>SUM('SR BUDACT ER'!AN27:AN40)</f>
        <v>0</v>
      </c>
      <c r="JB18" s="294">
        <f>SUM('SR BUDACT ER'!AO27:AO40)</f>
        <v>0</v>
      </c>
      <c r="JC18" s="514">
        <f t="shared" si="47"/>
        <v>0</v>
      </c>
      <c r="JE18" s="288">
        <f t="shared" si="48"/>
        <v>10946262</v>
      </c>
      <c r="JF18" s="288">
        <f t="shared" si="49"/>
        <v>10946262</v>
      </c>
      <c r="JG18" s="288">
        <f t="shared" si="50"/>
        <v>0</v>
      </c>
    </row>
    <row r="19" spans="2:267" ht="15.75">
      <c r="B19" s="276" t="s">
        <v>445</v>
      </c>
      <c r="C19" s="276"/>
      <c r="D19" s="294">
        <f>SUM('SR BUDACT ER'!G42:G47)</f>
        <v>30222</v>
      </c>
      <c r="E19" s="294">
        <f>SUM('SR BUDACT ER'!H42:H47)</f>
        <v>22930</v>
      </c>
      <c r="F19" s="294">
        <f t="shared" si="0"/>
        <v>-7292</v>
      </c>
      <c r="G19" s="276"/>
      <c r="H19" s="294">
        <f>SUM('SR BUDACT ER'!J42:J47)</f>
        <v>0</v>
      </c>
      <c r="I19" s="294">
        <f>SUM('SR BUDACT ER'!K42:K47)</f>
        <v>0</v>
      </c>
      <c r="J19" s="294">
        <f t="shared" si="1"/>
        <v>0</v>
      </c>
      <c r="K19" s="276"/>
      <c r="L19" s="276" t="s">
        <v>445</v>
      </c>
      <c r="M19" s="276"/>
      <c r="N19" s="294">
        <f>SUM('SR BUDACT ER'!M42:M47)</f>
        <v>0</v>
      </c>
      <c r="O19" s="294">
        <f>SUM('SR BUDACT ER'!N42:N47)</f>
        <v>0</v>
      </c>
      <c r="P19" s="294">
        <f t="shared" si="2"/>
        <v>0</v>
      </c>
      <c r="Q19" s="276"/>
      <c r="R19" s="294">
        <f>SUM('SR BUDACT ER'!P42:P47)</f>
        <v>0</v>
      </c>
      <c r="S19" s="294">
        <f>SUM('SR BUDACT ER'!Q42:Q47)</f>
        <v>1980</v>
      </c>
      <c r="T19" s="294">
        <f t="shared" si="3"/>
        <v>1980</v>
      </c>
      <c r="U19" s="276"/>
      <c r="V19" s="276" t="s">
        <v>445</v>
      </c>
      <c r="W19" s="276"/>
      <c r="X19" s="294">
        <f>SUM('SR BUDACT ER'!S42:S47)</f>
        <v>0</v>
      </c>
      <c r="Y19" s="294">
        <f>SUM('SR BUDACT ER'!T42:T47)</f>
        <v>0</v>
      </c>
      <c r="Z19" s="294">
        <f t="shared" si="4"/>
        <v>0</v>
      </c>
      <c r="AA19" s="276"/>
      <c r="AB19" s="294">
        <f>SUM('SR BUDACT ER'!V42:V47)</f>
        <v>133430</v>
      </c>
      <c r="AC19" s="294">
        <f>SUM('SR BUDACT ER'!W42:W47)</f>
        <v>93219</v>
      </c>
      <c r="AD19" s="294">
        <f t="shared" si="5"/>
        <v>-40211</v>
      </c>
      <c r="AE19" s="294"/>
      <c r="AF19" s="276" t="s">
        <v>445</v>
      </c>
      <c r="AG19" s="276"/>
      <c r="AH19" s="294">
        <f>SUM('SR BUDACT ER'!Y42:Y47)</f>
        <v>0</v>
      </c>
      <c r="AI19" s="294">
        <f>SUM('SR BUDACT ER'!Z42:Z47)</f>
        <v>0</v>
      </c>
      <c r="AJ19" s="294">
        <f t="shared" si="6"/>
        <v>0</v>
      </c>
      <c r="AK19" s="276"/>
      <c r="AL19" s="294">
        <f>SUM('SR BUDACT ER'!AB42:AB47)</f>
        <v>0</v>
      </c>
      <c r="AM19" s="294">
        <f>SUM('SR BUDACT ER'!AC42:AC47)</f>
        <v>0</v>
      </c>
      <c r="AN19" s="294">
        <f t="shared" si="7"/>
        <v>0</v>
      </c>
      <c r="AO19" s="294"/>
      <c r="AP19" s="276" t="s">
        <v>445</v>
      </c>
      <c r="AQ19" s="276"/>
      <c r="AR19" s="294">
        <f>SUM('SR BUDACT ER'!AE42:AE47)</f>
        <v>70000</v>
      </c>
      <c r="AS19" s="294">
        <f>SUM('SR BUDACT ER'!AF42:AF47)</f>
        <v>79977</v>
      </c>
      <c r="AT19" s="294">
        <f t="shared" si="8"/>
        <v>9977</v>
      </c>
      <c r="AU19" s="276"/>
      <c r="AV19" s="294">
        <f>SUM('SR BUDACT ER'!AH42:AH47)</f>
        <v>0</v>
      </c>
      <c r="AW19" s="294">
        <f>SUM('SR BUDACT ER'!AI42:AI47)</f>
        <v>0</v>
      </c>
      <c r="AX19" s="294">
        <f t="shared" si="9"/>
        <v>0</v>
      </c>
      <c r="AY19" s="294"/>
      <c r="AZ19" s="276" t="s">
        <v>445</v>
      </c>
      <c r="BA19" s="276"/>
      <c r="BB19" s="294">
        <f>SUM('SR BUDACT ER'!AK42:AK47)</f>
        <v>0</v>
      </c>
      <c r="BC19" s="294">
        <f>SUM('SR BUDACT ER'!AL42:AL47)</f>
        <v>0</v>
      </c>
      <c r="BD19" s="294">
        <f t="shared" si="10"/>
        <v>0</v>
      </c>
      <c r="BE19" s="276"/>
      <c r="BF19" s="294"/>
      <c r="BG19" s="294"/>
      <c r="BH19" s="294"/>
      <c r="BI19" s="276"/>
      <c r="BJ19" s="294">
        <f>SUM('SR BUDACT ER'!AQ42:AQ47)</f>
        <v>0</v>
      </c>
      <c r="BK19" s="294">
        <f>SUM('SR BUDACT ER'!AR42:AR47)</f>
        <v>0</v>
      </c>
      <c r="BL19" s="294">
        <f t="shared" si="11"/>
        <v>0</v>
      </c>
      <c r="BM19" s="294"/>
      <c r="BN19" s="276" t="s">
        <v>445</v>
      </c>
      <c r="BO19" s="294"/>
      <c r="BP19" s="294">
        <f>SUM('SR BUDACT ER'!AT42:AT47)</f>
        <v>38400</v>
      </c>
      <c r="BQ19" s="294">
        <f>SUM('SR BUDACT ER'!AU42:AU47)</f>
        <v>31719</v>
      </c>
      <c r="BR19" s="294">
        <f t="shared" si="12"/>
        <v>-6681</v>
      </c>
      <c r="BS19" s="294"/>
      <c r="BT19" s="294">
        <f>SUM('SR BUDACT ER'!AW42:AW47)</f>
        <v>23000</v>
      </c>
      <c r="BU19" s="294">
        <f>SUM('SR BUDACT ER'!AX42:AX47)</f>
        <v>13949</v>
      </c>
      <c r="BV19" s="294">
        <f t="shared" si="13"/>
        <v>-9051</v>
      </c>
      <c r="BW19" s="294"/>
      <c r="BX19" s="276" t="s">
        <v>445</v>
      </c>
      <c r="BY19" s="294"/>
      <c r="BZ19" s="294">
        <f>SUM('SR BUDACT ER'!AZ42:AZ47)</f>
        <v>0</v>
      </c>
      <c r="CA19" s="294">
        <f>SUM('SR BUDACT ER'!BA42:BA47)</f>
        <v>0</v>
      </c>
      <c r="CB19" s="294">
        <f t="shared" si="14"/>
        <v>0</v>
      </c>
      <c r="CC19" s="294"/>
      <c r="CD19" s="294">
        <f>SUM('SR BUDACT ER'!BC42:BC47)</f>
        <v>665358</v>
      </c>
      <c r="CE19" s="294">
        <f>SUM('SR BUDACT ER'!BD42:BD47)</f>
        <v>630381</v>
      </c>
      <c r="CF19" s="294">
        <f t="shared" si="15"/>
        <v>-34977</v>
      </c>
      <c r="CG19" s="294"/>
      <c r="CH19" s="276" t="s">
        <v>445</v>
      </c>
      <c r="CI19" s="276"/>
      <c r="CJ19" s="294">
        <f>SUM('SR BUDACT ER'!BF42:BF47)</f>
        <v>0</v>
      </c>
      <c r="CK19" s="294">
        <f>SUM('SR BUDACT ER'!BG42:BG47)</f>
        <v>0</v>
      </c>
      <c r="CL19" s="294">
        <f t="shared" si="16"/>
        <v>0</v>
      </c>
      <c r="CM19" s="276"/>
      <c r="CN19" s="294">
        <f>SUM('SR BUDACT ER'!BI42:BI47)</f>
        <v>4600</v>
      </c>
      <c r="CO19" s="294">
        <f>SUM('SR BUDACT ER'!BJ42:BJ47)</f>
        <v>3085</v>
      </c>
      <c r="CP19" s="294">
        <f t="shared" si="17"/>
        <v>-1515</v>
      </c>
      <c r="CQ19" s="294"/>
      <c r="CR19" s="276" t="s">
        <v>445</v>
      </c>
      <c r="CS19" s="276"/>
      <c r="CT19" s="294">
        <f>SUM('SR BUDACT ER'!BL42:BL47)</f>
        <v>0</v>
      </c>
      <c r="CU19" s="294">
        <f>SUM('SR BUDACT ER'!BM42:BM47)</f>
        <v>0</v>
      </c>
      <c r="CV19" s="294">
        <f t="shared" si="18"/>
        <v>0</v>
      </c>
      <c r="CW19" s="276"/>
      <c r="CX19" s="294">
        <f>SUM('SR BUDACT ER'!BO42:BO47)</f>
        <v>130800</v>
      </c>
      <c r="CY19" s="294">
        <f>SUM('SR BUDACT ER'!BP42:BP47)+'Sys INPUT'!Z201</f>
        <v>141202</v>
      </c>
      <c r="CZ19" s="294">
        <f t="shared" si="19"/>
        <v>10402</v>
      </c>
      <c r="DA19" s="294"/>
      <c r="DB19" s="276" t="s">
        <v>445</v>
      </c>
      <c r="DC19" s="276"/>
      <c r="DD19" s="294">
        <f>SUM('SR BUDACT ER'!BR42:BR47)</f>
        <v>128500</v>
      </c>
      <c r="DE19" s="294">
        <f>SUM('SR BUDACT ER'!BS42:BS47)+'Sys INPUT'!AA201</f>
        <v>94970</v>
      </c>
      <c r="DF19" s="294">
        <f t="shared" si="20"/>
        <v>-33530</v>
      </c>
      <c r="DG19" s="276"/>
      <c r="DH19" s="294">
        <f>SUM('SR BUDACT ER'!BU42:BU47)</f>
        <v>0</v>
      </c>
      <c r="DI19" s="294">
        <f>SUM('SR BUDACT ER'!BV42:BV47)-0</f>
        <v>0</v>
      </c>
      <c r="DJ19" s="294">
        <f t="shared" si="21"/>
        <v>0</v>
      </c>
      <c r="DK19" s="276"/>
      <c r="DL19" s="276" t="s">
        <v>445</v>
      </c>
      <c r="DM19" s="276"/>
      <c r="DN19" s="294">
        <f>SUM('SR BUDACT ER'!BX42:BX47)</f>
        <v>0</v>
      </c>
      <c r="DO19" s="294">
        <f>SUM('SR BUDACT ER'!BY42:BY47)</f>
        <v>0</v>
      </c>
      <c r="DP19" s="294">
        <f t="shared" si="22"/>
        <v>0</v>
      </c>
      <c r="DQ19" s="276"/>
      <c r="DR19" s="294">
        <f>SUM('SR BUDACT ER'!CA42:CA47)</f>
        <v>0</v>
      </c>
      <c r="DS19" s="294">
        <f>SUM('SR BUDACT ER'!CB42:CB47)</f>
        <v>0</v>
      </c>
      <c r="DT19" s="294">
        <f t="shared" si="23"/>
        <v>0</v>
      </c>
      <c r="DU19" s="276"/>
      <c r="DV19" s="276" t="s">
        <v>445</v>
      </c>
      <c r="DW19" s="276"/>
      <c r="DX19" s="294">
        <f>SUM('SR BUDACT ER'!CD42:CD47)</f>
        <v>0</v>
      </c>
      <c r="DY19" s="294">
        <f>SUM('SR BUDACT ER'!CE42:CE47)</f>
        <v>0</v>
      </c>
      <c r="DZ19" s="294">
        <f t="shared" si="24"/>
        <v>0</v>
      </c>
      <c r="EA19" s="276"/>
      <c r="EB19" s="294">
        <f>SUM('SR BUDACT ER'!CG42:CG47)</f>
        <v>0</v>
      </c>
      <c r="EC19" s="294">
        <f>SUM('SR BUDACT ER'!CH42:CH47)</f>
        <v>0</v>
      </c>
      <c r="ED19" s="294">
        <f t="shared" si="25"/>
        <v>0</v>
      </c>
      <c r="EE19" s="276"/>
      <c r="EF19" s="276" t="s">
        <v>445</v>
      </c>
      <c r="EG19" s="276"/>
      <c r="EH19" s="294">
        <f>SUM('SR BUDACT ER'!CJ42:CJ47)</f>
        <v>0</v>
      </c>
      <c r="EI19" s="294">
        <f>SUM('SR BUDACT ER'!CK42:CK47)</f>
        <v>0</v>
      </c>
      <c r="EJ19" s="294">
        <f t="shared" si="26"/>
        <v>0</v>
      </c>
      <c r="EK19" s="276"/>
      <c r="EL19" s="294">
        <f>SUM('SR BUDACT ER'!CM42:CM47)</f>
        <v>0</v>
      </c>
      <c r="EM19" s="294">
        <f>SUM('SR BUDACT ER'!CN42:CN47)</f>
        <v>0</v>
      </c>
      <c r="EN19" s="294">
        <f t="shared" si="27"/>
        <v>0</v>
      </c>
      <c r="EO19" s="276"/>
      <c r="EP19" s="276" t="s">
        <v>445</v>
      </c>
      <c r="EQ19" s="276"/>
      <c r="ER19" s="294">
        <f>SUM('SR BUDACT ER'!CP42:CP47)</f>
        <v>0</v>
      </c>
      <c r="ES19" s="294">
        <f>SUM('SR BUDACT ER'!CQ42:CQ47)</f>
        <v>0</v>
      </c>
      <c r="ET19" s="294">
        <f t="shared" si="28"/>
        <v>0</v>
      </c>
      <c r="EU19" s="276"/>
      <c r="EV19" s="294">
        <f>SUM('SR BUDACT ER'!CS42:CS47)</f>
        <v>0</v>
      </c>
      <c r="EW19" s="294">
        <f>SUM('SR BUDACT ER'!CT42:CT47)</f>
        <v>0</v>
      </c>
      <c r="EX19" s="294">
        <f t="shared" si="29"/>
        <v>0</v>
      </c>
      <c r="EY19" s="276"/>
      <c r="EZ19" s="276" t="s">
        <v>445</v>
      </c>
      <c r="FA19" s="276"/>
      <c r="FB19" s="294">
        <f>SUM('SR BUDACT ER'!CV42:CV47)</f>
        <v>49897</v>
      </c>
      <c r="FC19" s="294">
        <f>SUM('SR BUDACT ER'!CW42:CW47)+'Sys INPUT'!AK201</f>
        <v>28621</v>
      </c>
      <c r="FD19" s="294">
        <f t="shared" si="30"/>
        <v>-21276</v>
      </c>
      <c r="FE19" s="276"/>
      <c r="FF19" s="294">
        <f>SUM('SR BUDACT ER'!CY42:CY47)</f>
        <v>174151</v>
      </c>
      <c r="FG19" s="294">
        <f>SUM('SR BUDACT ER'!CZ42:CZ47)+'Sys INPUT'!AL201</f>
        <v>184447</v>
      </c>
      <c r="FH19" s="294">
        <f t="shared" si="31"/>
        <v>10296</v>
      </c>
      <c r="FI19" s="276"/>
      <c r="FJ19" s="276" t="s">
        <v>445</v>
      </c>
      <c r="FK19" s="276"/>
      <c r="FL19" s="294">
        <f>SUM('SR BUDACT ER'!DB42:DB47)</f>
        <v>11500</v>
      </c>
      <c r="FM19" s="294">
        <f>SUM('SR BUDACT ER'!DC42:DC47)+'Sys INPUT'!AM201</f>
        <v>14954</v>
      </c>
      <c r="FN19" s="294">
        <f t="shared" si="32"/>
        <v>3454</v>
      </c>
      <c r="FO19" s="276"/>
      <c r="FP19" s="294">
        <f>+'SR BUDACT ER'!DE52</f>
        <v>27200</v>
      </c>
      <c r="FQ19" s="294">
        <f>+'SR BUDACT ER'!DF52+'Sys INPUT'!AN201</f>
        <v>27243</v>
      </c>
      <c r="FR19" s="294">
        <f t="shared" si="33"/>
        <v>43</v>
      </c>
      <c r="FS19" s="276"/>
      <c r="FT19" s="276" t="s">
        <v>445</v>
      </c>
      <c r="FU19" s="276"/>
      <c r="FV19" s="294">
        <f>SUM('SR BUDACT ER'!DH42:DH47)</f>
        <v>0</v>
      </c>
      <c r="FW19" s="294">
        <f>SUM('SR BUDACT ER'!DI42:DI47)</f>
        <v>0</v>
      </c>
      <c r="FX19" s="294">
        <f t="shared" si="34"/>
        <v>0</v>
      </c>
      <c r="FY19" s="276"/>
      <c r="FZ19" s="294">
        <f>SUM('SR BUDACT ER'!DK42:DK47)</f>
        <v>0</v>
      </c>
      <c r="GA19" s="294">
        <f>SUM('SR BUDACT ER'!DL42:DL47)</f>
        <v>0</v>
      </c>
      <c r="GB19" s="294">
        <f t="shared" si="35"/>
        <v>0</v>
      </c>
      <c r="GC19" s="276"/>
      <c r="GD19" s="294">
        <f>SUM('SR BUDACT ER'!DN42:DN47)</f>
        <v>0</v>
      </c>
      <c r="GE19" s="294">
        <f>SUM('SR BUDACT ER'!DO42:DO47)</f>
        <v>0</v>
      </c>
      <c r="GF19" s="294">
        <f t="shared" si="36"/>
        <v>0</v>
      </c>
      <c r="GG19" s="276"/>
      <c r="GH19" s="276" t="s">
        <v>445</v>
      </c>
      <c r="GI19" s="276"/>
      <c r="GJ19" s="294">
        <f>SUM('SR BUDACT ER'!DQ42:DQ47)</f>
        <v>0</v>
      </c>
      <c r="GK19" s="294">
        <f>SUM('SR BUDACT ER'!DR42:DR47)</f>
        <v>0</v>
      </c>
      <c r="GL19" s="294">
        <f t="shared" si="37"/>
        <v>0</v>
      </c>
      <c r="GN19" s="276"/>
      <c r="GO19" s="294">
        <f>SUM('SR BUDACT ER'!DT42:DT47)</f>
        <v>0</v>
      </c>
      <c r="GP19" s="294">
        <f>SUM('SR BUDACT ER'!DU42:DU47)</f>
        <v>0</v>
      </c>
      <c r="GQ19" s="294">
        <f t="shared" si="38"/>
        <v>0</v>
      </c>
      <c r="GR19" s="276"/>
      <c r="GS19" s="276" t="s">
        <v>445</v>
      </c>
      <c r="GT19" s="276"/>
      <c r="GU19" s="294">
        <f>SUM('SR BUDACT ER'!DW42:DW47)</f>
        <v>0</v>
      </c>
      <c r="GV19" s="294">
        <f>SUM('SR BUDACT ER'!DX42:DX47)</f>
        <v>0</v>
      </c>
      <c r="GW19" s="294">
        <f t="shared" si="39"/>
        <v>0</v>
      </c>
      <c r="GX19" s="294"/>
      <c r="GY19" s="294">
        <f>SUM('SR BUDACT ER'!DZ42:DZ47)</f>
        <v>0</v>
      </c>
      <c r="GZ19" s="294">
        <f>SUM('SR BUDACT ER'!EA42:EA47)</f>
        <v>0</v>
      </c>
      <c r="HA19" s="294">
        <f t="shared" si="40"/>
        <v>0</v>
      </c>
      <c r="HB19" s="276"/>
      <c r="HC19" s="276" t="s">
        <v>445</v>
      </c>
      <c r="HD19" s="276"/>
      <c r="HE19" s="294">
        <f>SUM('SR BUDACT ER'!EC42:EC47)</f>
        <v>0</v>
      </c>
      <c r="HF19" s="294">
        <f>SUM('SR BUDACT ER'!ED42:ED47)</f>
        <v>0</v>
      </c>
      <c r="HG19" s="294">
        <f t="shared" si="41"/>
        <v>0</v>
      </c>
      <c r="HH19" s="294"/>
      <c r="HI19" s="294">
        <f>SUM('SR BUDACT ER'!EI42:EI47)</f>
        <v>188726</v>
      </c>
      <c r="HJ19" s="294">
        <f>SUM('SR BUDACT ER'!EJ42:EJ47)+'Sys INPUT'!AX201</f>
        <v>0</v>
      </c>
      <c r="HK19" s="294">
        <f t="shared" si="42"/>
        <v>-188726</v>
      </c>
      <c r="HL19" s="276"/>
      <c r="HM19" s="276" t="s">
        <v>445</v>
      </c>
      <c r="HN19" s="276"/>
      <c r="HO19" s="294"/>
      <c r="HP19" s="294"/>
      <c r="HQ19" s="294"/>
      <c r="HR19" s="276"/>
      <c r="HS19" s="294">
        <f>SUM('SR BUDACT ER'!EL42:EL47)</f>
        <v>0</v>
      </c>
      <c r="HT19" s="294">
        <f>SUM('SR BUDACT ER'!EM42:EM47)+'Sys INPUT'!AY201</f>
        <v>0</v>
      </c>
      <c r="HU19" s="294">
        <f t="shared" si="43"/>
        <v>0</v>
      </c>
      <c r="HV19" s="294"/>
      <c r="HW19" s="294">
        <f>SUM('SR BUDACT ER'!EO42:EO47)</f>
        <v>16093</v>
      </c>
      <c r="HX19" s="294">
        <f>SUM('SR BUDACT ER'!EP42:EP47)</f>
        <v>15000</v>
      </c>
      <c r="HY19" s="294">
        <f t="shared" si="44"/>
        <v>-1093</v>
      </c>
      <c r="HZ19" s="276"/>
      <c r="IA19" s="276" t="s">
        <v>445</v>
      </c>
      <c r="IB19" s="276"/>
      <c r="IC19" s="294">
        <f>SUM('SR BUDACT ER'!ER42:ER47)</f>
        <v>0</v>
      </c>
      <c r="ID19" s="294">
        <f>SUM('SR BUDACT ER'!ES42:ES47)</f>
        <v>0</v>
      </c>
      <c r="IE19" s="294">
        <f t="shared" si="45"/>
        <v>0</v>
      </c>
      <c r="IF19" s="294"/>
      <c r="IG19" s="276"/>
      <c r="IH19" s="294">
        <f t="shared" si="51"/>
        <v>1691877</v>
      </c>
      <c r="II19" s="294">
        <f t="shared" si="52"/>
        <v>1383677</v>
      </c>
      <c r="IJ19" s="294">
        <f t="shared" si="46"/>
        <v>-308200</v>
      </c>
      <c r="IK19" s="276"/>
      <c r="IL19" s="276" t="s">
        <v>445</v>
      </c>
      <c r="IM19" s="276"/>
      <c r="IN19" s="308"/>
      <c r="IO19" s="308"/>
      <c r="IP19" s="308"/>
      <c r="IQ19" s="294"/>
      <c r="IR19" s="294"/>
      <c r="IS19" s="294"/>
      <c r="IW19" s="276"/>
      <c r="IX19" s="294"/>
      <c r="IY19" s="294"/>
      <c r="JA19" s="294">
        <f>SUM('SR BUDACT ER'!AN42:AN47)</f>
        <v>0</v>
      </c>
      <c r="JB19" s="294">
        <f>SUM('SR BUDACT ER'!AO42:AO47)</f>
        <v>0</v>
      </c>
      <c r="JC19" s="514">
        <f t="shared" si="47"/>
        <v>0</v>
      </c>
      <c r="JE19" s="288">
        <f t="shared" si="48"/>
        <v>2767354</v>
      </c>
      <c r="JF19" s="288">
        <f t="shared" si="49"/>
        <v>2767354</v>
      </c>
      <c r="JG19" s="288">
        <f t="shared" si="50"/>
        <v>0</v>
      </c>
    </row>
    <row r="20" spans="2:267" ht="15" customHeight="1">
      <c r="B20" s="276" t="s">
        <v>446</v>
      </c>
      <c r="C20" s="276"/>
      <c r="D20" s="294">
        <f>SUM('SR BUDACT ER'!G49:G50)</f>
        <v>0</v>
      </c>
      <c r="E20" s="294">
        <f>SUM('SR BUDACT ER'!H49:H50)</f>
        <v>0</v>
      </c>
      <c r="F20" s="294">
        <f t="shared" si="0"/>
        <v>0</v>
      </c>
      <c r="G20" s="276"/>
      <c r="H20" s="294">
        <f>SUM('SR BUDACT ER'!J49:J50)</f>
        <v>0</v>
      </c>
      <c r="I20" s="294">
        <f>SUM('SR BUDACT ER'!K49:K50)</f>
        <v>0</v>
      </c>
      <c r="J20" s="294">
        <f t="shared" si="1"/>
        <v>0</v>
      </c>
      <c r="K20" s="276"/>
      <c r="L20" s="276" t="s">
        <v>446</v>
      </c>
      <c r="M20" s="276"/>
      <c r="N20" s="294">
        <f>SUM('SR BUDACT ER'!M49:M50)</f>
        <v>0</v>
      </c>
      <c r="O20" s="294">
        <f>SUM('SR BUDACT ER'!N49:N50)</f>
        <v>0</v>
      </c>
      <c r="P20" s="294">
        <f t="shared" si="2"/>
        <v>0</v>
      </c>
      <c r="Q20" s="276"/>
      <c r="R20" s="294">
        <f>SUM('SR BUDACT ER'!P49:P50)</f>
        <v>0</v>
      </c>
      <c r="S20" s="294">
        <f>SUM('SR BUDACT ER'!Q49:Q50)</f>
        <v>0</v>
      </c>
      <c r="T20" s="294">
        <f t="shared" si="3"/>
        <v>0</v>
      </c>
      <c r="U20" s="276"/>
      <c r="V20" s="276" t="s">
        <v>446</v>
      </c>
      <c r="W20" s="276"/>
      <c r="X20" s="294">
        <f>SUM('SR BUDACT ER'!S49:S50)</f>
        <v>0</v>
      </c>
      <c r="Y20" s="294">
        <f>SUM('SR BUDACT ER'!T49:T50)</f>
        <v>0</v>
      </c>
      <c r="Z20" s="294">
        <f t="shared" si="4"/>
        <v>0</v>
      </c>
      <c r="AA20" s="276"/>
      <c r="AB20" s="294">
        <f>SUM('SR BUDACT ER'!V49:V50)</f>
        <v>0</v>
      </c>
      <c r="AC20" s="294">
        <f>SUM('SR BUDACT ER'!W49:W50)</f>
        <v>0</v>
      </c>
      <c r="AD20" s="294">
        <f t="shared" si="5"/>
        <v>0</v>
      </c>
      <c r="AE20" s="294"/>
      <c r="AF20" s="276" t="s">
        <v>446</v>
      </c>
      <c r="AG20" s="276"/>
      <c r="AH20" s="294">
        <f>SUM('SR BUDACT ER'!Y49:Y50)</f>
        <v>0</v>
      </c>
      <c r="AI20" s="294">
        <f>SUM('SR BUDACT ER'!Z49:Z50)</f>
        <v>0</v>
      </c>
      <c r="AJ20" s="294">
        <f t="shared" si="6"/>
        <v>0</v>
      </c>
      <c r="AK20" s="276"/>
      <c r="AL20" s="294">
        <f>SUM('SR BUDACT ER'!AB49:AB50)</f>
        <v>0</v>
      </c>
      <c r="AM20" s="294">
        <f>SUM('SR BUDACT ER'!AC49:AC50)</f>
        <v>0</v>
      </c>
      <c r="AN20" s="294">
        <f t="shared" si="7"/>
        <v>0</v>
      </c>
      <c r="AO20" s="294"/>
      <c r="AP20" s="276" t="s">
        <v>446</v>
      </c>
      <c r="AQ20" s="276"/>
      <c r="AR20" s="294">
        <f>SUM('SR BUDACT ER'!AE49:AE50)</f>
        <v>15000</v>
      </c>
      <c r="AS20" s="294">
        <f>SUM('SR BUDACT ER'!AF49:AF50)</f>
        <v>18459</v>
      </c>
      <c r="AT20" s="294">
        <f t="shared" si="8"/>
        <v>3459</v>
      </c>
      <c r="AU20" s="276"/>
      <c r="AV20" s="294">
        <f>SUM('SR BUDACT ER'!AH49:AH50)</f>
        <v>0</v>
      </c>
      <c r="AW20" s="294">
        <f>SUM('SR BUDACT ER'!AI49:AI50)</f>
        <v>0</v>
      </c>
      <c r="AX20" s="294">
        <f t="shared" si="9"/>
        <v>0</v>
      </c>
      <c r="AY20" s="294"/>
      <c r="AZ20" s="276" t="s">
        <v>446</v>
      </c>
      <c r="BA20" s="276"/>
      <c r="BB20" s="294">
        <f>SUM('SR BUDACT ER'!AK49:AK50)</f>
        <v>0</v>
      </c>
      <c r="BC20" s="294">
        <f>SUM('SR BUDACT ER'!AL49:AL50)</f>
        <v>0</v>
      </c>
      <c r="BD20" s="294">
        <f t="shared" si="10"/>
        <v>0</v>
      </c>
      <c r="BE20" s="276"/>
      <c r="BF20" s="294"/>
      <c r="BG20" s="294"/>
      <c r="BH20" s="294"/>
      <c r="BI20" s="276"/>
      <c r="BJ20" s="294">
        <f>SUM('SR BUDACT ER'!AQ49:AQ50)</f>
        <v>0</v>
      </c>
      <c r="BK20" s="294">
        <f>SUM('SR BUDACT ER'!AR49:AR50)</f>
        <v>0</v>
      </c>
      <c r="BL20" s="294">
        <f t="shared" si="11"/>
        <v>0</v>
      </c>
      <c r="BM20" s="294"/>
      <c r="BN20" s="276" t="s">
        <v>446</v>
      </c>
      <c r="BO20" s="294"/>
      <c r="BP20" s="294">
        <f>SUM('SR BUDACT ER'!AT49:AT50)</f>
        <v>0</v>
      </c>
      <c r="BQ20" s="294">
        <f>SUM('SR BUDACT ER'!AU49:AU50)</f>
        <v>0</v>
      </c>
      <c r="BR20" s="294">
        <f t="shared" si="12"/>
        <v>0</v>
      </c>
      <c r="BS20" s="294"/>
      <c r="BT20" s="294">
        <f>SUM('SR BUDACT ER'!AW49:AW50)</f>
        <v>0</v>
      </c>
      <c r="BU20" s="294">
        <f>SUM('SR BUDACT ER'!AX49:AX50)</f>
        <v>0</v>
      </c>
      <c r="BV20" s="294">
        <f t="shared" si="13"/>
        <v>0</v>
      </c>
      <c r="BW20" s="294"/>
      <c r="BX20" s="276" t="s">
        <v>446</v>
      </c>
      <c r="BY20" s="294"/>
      <c r="BZ20" s="294">
        <f>SUM('SR BUDACT ER'!AZ49:AZ50)</f>
        <v>0</v>
      </c>
      <c r="CA20" s="294">
        <f>SUM('SR BUDACT ER'!BA49:BA50)</f>
        <v>0</v>
      </c>
      <c r="CB20" s="294">
        <f t="shared" si="14"/>
        <v>0</v>
      </c>
      <c r="CC20" s="294"/>
      <c r="CD20" s="294">
        <f>SUM('SR BUDACT ER'!BC49:BC50)</f>
        <v>5500</v>
      </c>
      <c r="CE20" s="294">
        <f>SUM('SR BUDACT ER'!BD49:BD50)</f>
        <v>5165</v>
      </c>
      <c r="CF20" s="294">
        <f t="shared" si="15"/>
        <v>-335</v>
      </c>
      <c r="CG20" s="294"/>
      <c r="CH20" s="276" t="s">
        <v>446</v>
      </c>
      <c r="CI20" s="276"/>
      <c r="CJ20" s="294">
        <f>SUM('SR BUDACT ER'!BF49:BF50)</f>
        <v>0</v>
      </c>
      <c r="CK20" s="294">
        <f>SUM('SR BUDACT ER'!BG49:BG50)</f>
        <v>0</v>
      </c>
      <c r="CL20" s="294">
        <f t="shared" si="16"/>
        <v>0</v>
      </c>
      <c r="CM20" s="276"/>
      <c r="CN20" s="294">
        <f>SUM('SR BUDACT ER'!BI49:BI50)</f>
        <v>0</v>
      </c>
      <c r="CO20" s="294">
        <f>SUM('SR BUDACT ER'!BJ49:BJ50)</f>
        <v>0</v>
      </c>
      <c r="CP20" s="294">
        <f t="shared" si="17"/>
        <v>0</v>
      </c>
      <c r="CQ20" s="294"/>
      <c r="CR20" s="276" t="s">
        <v>446</v>
      </c>
      <c r="CS20" s="276"/>
      <c r="CT20" s="294">
        <f>SUM('SR BUDACT ER'!BL49:BL50)</f>
        <v>0</v>
      </c>
      <c r="CU20" s="294">
        <f>SUM('SR BUDACT ER'!BM49:BM50)</f>
        <v>0</v>
      </c>
      <c r="CV20" s="294">
        <f t="shared" si="18"/>
        <v>0</v>
      </c>
      <c r="CW20" s="276"/>
      <c r="CX20" s="294">
        <f>SUM('SR BUDACT ER'!BO49:BO50)</f>
        <v>2000</v>
      </c>
      <c r="CY20" s="294">
        <f>SUM('SR BUDACT ER'!BP49:BP50)-0</f>
        <v>4097</v>
      </c>
      <c r="CZ20" s="294">
        <f t="shared" si="19"/>
        <v>2097</v>
      </c>
      <c r="DA20" s="294"/>
      <c r="DB20" s="276" t="s">
        <v>446</v>
      </c>
      <c r="DC20" s="276"/>
      <c r="DD20" s="294">
        <f>SUM('SR BUDACT ER'!BR49:BR50)</f>
        <v>0</v>
      </c>
      <c r="DE20" s="294">
        <f>SUM('SR BUDACT ER'!BS49:BS50)</f>
        <v>0</v>
      </c>
      <c r="DF20" s="294">
        <f t="shared" si="20"/>
        <v>0</v>
      </c>
      <c r="DG20" s="276"/>
      <c r="DH20" s="294">
        <f>SUM('SR BUDACT ER'!BU49:BU50)</f>
        <v>0</v>
      </c>
      <c r="DI20" s="294">
        <f>SUM('SR BUDACT ER'!BV49:BV50)</f>
        <v>0</v>
      </c>
      <c r="DJ20" s="294">
        <f t="shared" si="21"/>
        <v>0</v>
      </c>
      <c r="DK20" s="276"/>
      <c r="DL20" s="276" t="s">
        <v>446</v>
      </c>
      <c r="DM20" s="276"/>
      <c r="DN20" s="294">
        <f>SUM('SR BUDACT ER'!BX49:BX50)</f>
        <v>0</v>
      </c>
      <c r="DO20" s="294">
        <f>SUM('SR BUDACT ER'!BY49:BY50)</f>
        <v>0</v>
      </c>
      <c r="DP20" s="294">
        <f t="shared" si="22"/>
        <v>0</v>
      </c>
      <c r="DQ20" s="276"/>
      <c r="DR20" s="294">
        <f>SUM('SR BUDACT ER'!CA49:CA50)</f>
        <v>0</v>
      </c>
      <c r="DS20" s="294">
        <f>SUM('SR BUDACT ER'!CB49:CB50)</f>
        <v>0</v>
      </c>
      <c r="DT20" s="294">
        <f t="shared" si="23"/>
        <v>0</v>
      </c>
      <c r="DU20" s="276"/>
      <c r="DV20" s="276" t="s">
        <v>446</v>
      </c>
      <c r="DW20" s="276"/>
      <c r="DX20" s="294">
        <f>SUM('SR BUDACT ER'!CD49:CD50)</f>
        <v>0</v>
      </c>
      <c r="DY20" s="294">
        <f>SUM('SR BUDACT ER'!CE49:CE50)</f>
        <v>0</v>
      </c>
      <c r="DZ20" s="294">
        <f t="shared" si="24"/>
        <v>0</v>
      </c>
      <c r="EA20" s="276"/>
      <c r="EB20" s="294">
        <f>SUM('SR BUDACT ER'!CG49:CG50)</f>
        <v>0</v>
      </c>
      <c r="EC20" s="294">
        <f>SUM('SR BUDACT ER'!CH49:CH50)-0</f>
        <v>94</v>
      </c>
      <c r="ED20" s="294">
        <f t="shared" si="25"/>
        <v>94</v>
      </c>
      <c r="EE20" s="276"/>
      <c r="EF20" s="276" t="s">
        <v>446</v>
      </c>
      <c r="EG20" s="276"/>
      <c r="EH20" s="294">
        <f>SUM('SR BUDACT ER'!CJ49:CJ50)</f>
        <v>70000</v>
      </c>
      <c r="EI20" s="294">
        <f>SUM('SR BUDACT ER'!CK49:CK50)+'Sys INPUT'!AG201</f>
        <v>18709</v>
      </c>
      <c r="EJ20" s="294">
        <f t="shared" si="26"/>
        <v>-51291</v>
      </c>
      <c r="EK20" s="276"/>
      <c r="EL20" s="294">
        <f>SUM('SR BUDACT ER'!CM49:CM50)</f>
        <v>0</v>
      </c>
      <c r="EM20" s="294">
        <f>SUM('SR BUDACT ER'!CN49:CN50)</f>
        <v>0</v>
      </c>
      <c r="EN20" s="294">
        <f t="shared" si="27"/>
        <v>0</v>
      </c>
      <c r="EO20" s="276"/>
      <c r="EP20" s="276" t="s">
        <v>446</v>
      </c>
      <c r="EQ20" s="276"/>
      <c r="ER20" s="294">
        <f>SUM('SR BUDACT ER'!CP49:CP50)</f>
        <v>0</v>
      </c>
      <c r="ES20" s="294">
        <f>SUM('SR BUDACT ER'!CQ49:CQ50)</f>
        <v>0</v>
      </c>
      <c r="ET20" s="294">
        <f t="shared" si="28"/>
        <v>0</v>
      </c>
      <c r="EU20" s="276"/>
      <c r="EV20" s="294">
        <f>SUM('SR BUDACT ER'!CS49:CS50)</f>
        <v>0</v>
      </c>
      <c r="EW20" s="294">
        <f>SUM('SR BUDACT ER'!CT49:CT50)</f>
        <v>0</v>
      </c>
      <c r="EX20" s="294">
        <f t="shared" si="29"/>
        <v>0</v>
      </c>
      <c r="EY20" s="276"/>
      <c r="EZ20" s="276" t="s">
        <v>446</v>
      </c>
      <c r="FA20" s="276"/>
      <c r="FB20" s="294">
        <f>SUM('SR BUDACT ER'!CV49:CV50)</f>
        <v>0</v>
      </c>
      <c r="FC20" s="294">
        <f>SUM('SR BUDACT ER'!CW49:CW50)</f>
        <v>0</v>
      </c>
      <c r="FD20" s="294">
        <f t="shared" si="30"/>
        <v>0</v>
      </c>
      <c r="FE20" s="276"/>
      <c r="FF20" s="294">
        <f>SUM('SR BUDACT ER'!CY49:CY50)</f>
        <v>0</v>
      </c>
      <c r="FG20" s="294">
        <f>SUM('SR BUDACT ER'!CZ49:CZ50)</f>
        <v>0</v>
      </c>
      <c r="FH20" s="294">
        <f t="shared" si="31"/>
        <v>0</v>
      </c>
      <c r="FI20" s="276"/>
      <c r="FJ20" s="276" t="s">
        <v>446</v>
      </c>
      <c r="FK20" s="276"/>
      <c r="FL20" s="294">
        <f>SUM('SR BUDACT ER'!DB49:DB50)</f>
        <v>0</v>
      </c>
      <c r="FM20" s="294">
        <f>SUM('SR BUDACT ER'!DC49:DC50)</f>
        <v>0</v>
      </c>
      <c r="FN20" s="294">
        <f t="shared" si="32"/>
        <v>0</v>
      </c>
      <c r="FO20" s="276"/>
      <c r="FP20" s="294">
        <f>SUM('SR BUDACT ER'!DE49:DE50)</f>
        <v>0</v>
      </c>
      <c r="FQ20" s="294">
        <f>SUM('SR BUDACT ER'!DF49:DF50)</f>
        <v>0</v>
      </c>
      <c r="FR20" s="294">
        <f t="shared" si="33"/>
        <v>0</v>
      </c>
      <c r="FS20" s="276"/>
      <c r="FT20" s="276" t="s">
        <v>446</v>
      </c>
      <c r="FU20" s="276"/>
      <c r="FV20" s="294">
        <f>SUM('SR BUDACT ER'!DH49:DH50)</f>
        <v>0</v>
      </c>
      <c r="FW20" s="294">
        <f>SUM('SR BUDACT ER'!DI49:DI50)</f>
        <v>0</v>
      </c>
      <c r="FX20" s="294">
        <f t="shared" si="34"/>
        <v>0</v>
      </c>
      <c r="FY20" s="276"/>
      <c r="FZ20" s="294">
        <f>SUM('SR BUDACT ER'!DK49:DK50)</f>
        <v>0</v>
      </c>
      <c r="GA20" s="294">
        <f>SUM('SR BUDACT ER'!DL49:DL50)</f>
        <v>0</v>
      </c>
      <c r="GB20" s="294">
        <f t="shared" si="35"/>
        <v>0</v>
      </c>
      <c r="GC20" s="276"/>
      <c r="GD20" s="294">
        <f>SUM('SR BUDACT ER'!DN49:DN50)</f>
        <v>0</v>
      </c>
      <c r="GE20" s="294">
        <f>SUM('SR BUDACT ER'!DO49:DO50)</f>
        <v>0</v>
      </c>
      <c r="GF20" s="294">
        <f t="shared" si="36"/>
        <v>0</v>
      </c>
      <c r="GG20" s="276"/>
      <c r="GH20" s="276" t="s">
        <v>446</v>
      </c>
      <c r="GI20" s="276"/>
      <c r="GJ20" s="294">
        <f>SUM('SR BUDACT ER'!DQ49:DQ50)</f>
        <v>0</v>
      </c>
      <c r="GK20" s="294">
        <f>SUM('SR BUDACT ER'!DR49:DR50)</f>
        <v>0</v>
      </c>
      <c r="GL20" s="294">
        <f t="shared" si="37"/>
        <v>0</v>
      </c>
      <c r="GN20" s="276"/>
      <c r="GO20" s="294">
        <f>SUM('SR BUDACT ER'!DT49:DT50)</f>
        <v>0</v>
      </c>
      <c r="GP20" s="294">
        <f>SUM('SR BUDACT ER'!DU49:DU50)</f>
        <v>0</v>
      </c>
      <c r="GQ20" s="294">
        <f t="shared" si="38"/>
        <v>0</v>
      </c>
      <c r="GR20" s="276"/>
      <c r="GS20" s="276" t="s">
        <v>446</v>
      </c>
      <c r="GT20" s="276"/>
      <c r="GU20" s="294">
        <f>SUM('SR BUDACT ER'!DW49:DW50)</f>
        <v>0</v>
      </c>
      <c r="GV20" s="294">
        <f>SUM('SR BUDACT ER'!DX49:DX50)</f>
        <v>0</v>
      </c>
      <c r="GW20" s="294">
        <f t="shared" si="39"/>
        <v>0</v>
      </c>
      <c r="GX20" s="294"/>
      <c r="GY20" s="294">
        <f>SUM('SR BUDACT ER'!DZ49:DZ50)</f>
        <v>0</v>
      </c>
      <c r="GZ20" s="294">
        <f>SUM('SR BUDACT ER'!EA49:EA50)</f>
        <v>0</v>
      </c>
      <c r="HA20" s="294">
        <f t="shared" si="40"/>
        <v>0</v>
      </c>
      <c r="HB20" s="276"/>
      <c r="HC20" s="276" t="s">
        <v>446</v>
      </c>
      <c r="HD20" s="276"/>
      <c r="HE20" s="294">
        <f>SUM('SR BUDACT ER'!EC49:EC50)</f>
        <v>0</v>
      </c>
      <c r="HF20" s="294">
        <f>SUM('SR BUDACT ER'!ED49:ED50)</f>
        <v>0</v>
      </c>
      <c r="HG20" s="294">
        <f t="shared" si="41"/>
        <v>0</v>
      </c>
      <c r="HH20" s="294"/>
      <c r="HI20" s="294">
        <f>SUM('SR BUDACT ER'!EI49:EI50)</f>
        <v>0</v>
      </c>
      <c r="HJ20" s="294">
        <f>SUM('SR BUDACT ER'!EJ49:EJ50)</f>
        <v>0</v>
      </c>
      <c r="HK20" s="294">
        <f t="shared" si="42"/>
        <v>0</v>
      </c>
      <c r="HL20" s="276"/>
      <c r="HM20" s="276" t="s">
        <v>446</v>
      </c>
      <c r="HN20" s="276"/>
      <c r="HO20" s="294"/>
      <c r="HP20" s="294"/>
      <c r="HQ20" s="294"/>
      <c r="HR20" s="276"/>
      <c r="HS20" s="294">
        <f>SUM('SR BUDACT ER'!EL49:EL50)</f>
        <v>0</v>
      </c>
      <c r="HT20" s="294">
        <f>SUM('SR BUDACT ER'!EM49:EM50)</f>
        <v>0</v>
      </c>
      <c r="HU20" s="294">
        <f t="shared" si="43"/>
        <v>0</v>
      </c>
      <c r="HV20" s="294"/>
      <c r="HW20" s="294">
        <f>SUM('SR BUDACT ER'!EO49:EO50)</f>
        <v>0</v>
      </c>
      <c r="HX20" s="294">
        <f>SUM('SR BUDACT ER'!EP49:EP50)</f>
        <v>0</v>
      </c>
      <c r="HY20" s="294">
        <f t="shared" si="44"/>
        <v>0</v>
      </c>
      <c r="HZ20" s="276"/>
      <c r="IA20" s="276" t="s">
        <v>446</v>
      </c>
      <c r="IB20" s="276"/>
      <c r="IC20" s="294">
        <f>SUM('SR BUDACT ER'!ER49:ER50)</f>
        <v>0</v>
      </c>
      <c r="ID20" s="294">
        <f>SUM('SR BUDACT ER'!ES49:ES50)</f>
        <v>0</v>
      </c>
      <c r="IE20" s="294">
        <f t="shared" si="45"/>
        <v>0</v>
      </c>
      <c r="IF20" s="294"/>
      <c r="IG20" s="276"/>
      <c r="IH20" s="294">
        <f t="shared" si="51"/>
        <v>92500</v>
      </c>
      <c r="II20" s="294">
        <f t="shared" si="52"/>
        <v>46524</v>
      </c>
      <c r="IJ20" s="294">
        <f t="shared" si="46"/>
        <v>-45976</v>
      </c>
      <c r="IK20" s="276"/>
      <c r="IL20" s="276" t="s">
        <v>446</v>
      </c>
      <c r="IM20" s="276"/>
      <c r="IN20" s="308"/>
      <c r="IO20" s="308"/>
      <c r="IP20" s="308"/>
      <c r="IQ20" s="294"/>
      <c r="IR20" s="294"/>
      <c r="IS20" s="294"/>
      <c r="IW20" s="276"/>
      <c r="IX20" s="294"/>
      <c r="IY20" s="294"/>
      <c r="JA20" s="294">
        <f>SUM('SR BUDACT ER'!AN49:AN50)</f>
        <v>0</v>
      </c>
      <c r="JB20" s="294">
        <f>SUM('SR BUDACT ER'!AO49:AO50)</f>
        <v>0</v>
      </c>
      <c r="JC20" s="514">
        <f t="shared" si="47"/>
        <v>0</v>
      </c>
      <c r="JE20" s="288">
        <f t="shared" si="48"/>
        <v>93048</v>
      </c>
      <c r="JF20" s="288">
        <f t="shared" si="49"/>
        <v>93048</v>
      </c>
      <c r="JG20" s="288">
        <f t="shared" si="50"/>
        <v>0</v>
      </c>
    </row>
    <row r="21" spans="2:267" ht="15.75">
      <c r="B21" s="276" t="s">
        <v>974</v>
      </c>
      <c r="C21" s="276"/>
      <c r="D21" s="294">
        <f>+'SR BUDACT ER'!G51</f>
        <v>15340</v>
      </c>
      <c r="E21" s="294">
        <f>+'SR BUDACT ER'!H51+0</f>
        <v>17156</v>
      </c>
      <c r="F21" s="294">
        <f t="shared" si="0"/>
        <v>1816</v>
      </c>
      <c r="G21" s="276"/>
      <c r="H21" s="294">
        <f>+'SR BUDACT ER'!J51</f>
        <v>0</v>
      </c>
      <c r="I21" s="294">
        <f>+'SR BUDACT ER'!K51</f>
        <v>0</v>
      </c>
      <c r="J21" s="294">
        <f t="shared" si="1"/>
        <v>0</v>
      </c>
      <c r="K21" s="276"/>
      <c r="L21" s="276" t="s">
        <v>974</v>
      </c>
      <c r="M21" s="276"/>
      <c r="N21" s="294">
        <f>+'SR BUDACT ER'!M51</f>
        <v>0</v>
      </c>
      <c r="O21" s="294">
        <f>+'SR BUDACT ER'!N51</f>
        <v>0</v>
      </c>
      <c r="P21" s="294">
        <f t="shared" si="2"/>
        <v>0</v>
      </c>
      <c r="Q21" s="276"/>
      <c r="R21" s="294">
        <f>+'SR BUDACT ER'!P51</f>
        <v>0</v>
      </c>
      <c r="S21" s="294">
        <f>+'SR BUDACT ER'!Q51-0</f>
        <v>22740</v>
      </c>
      <c r="T21" s="294">
        <f t="shared" si="3"/>
        <v>22740</v>
      </c>
      <c r="U21" s="276"/>
      <c r="V21" s="276" t="s">
        <v>974</v>
      </c>
      <c r="W21" s="276"/>
      <c r="X21" s="294">
        <f>+'SR BUDACT ER'!S51</f>
        <v>50000</v>
      </c>
      <c r="Y21" s="294">
        <f>+'SR BUDACT ER'!T51</f>
        <v>74369</v>
      </c>
      <c r="Z21" s="294">
        <f t="shared" si="4"/>
        <v>24369</v>
      </c>
      <c r="AA21" s="276"/>
      <c r="AB21" s="294">
        <f>+'SR BUDACT ER'!V51</f>
        <v>6000</v>
      </c>
      <c r="AC21" s="294">
        <f>+'SR BUDACT ER'!W51-0</f>
        <v>3218</v>
      </c>
      <c r="AD21" s="294">
        <f t="shared" si="5"/>
        <v>-2782</v>
      </c>
      <c r="AE21" s="294"/>
      <c r="AF21" s="276" t="s">
        <v>974</v>
      </c>
      <c r="AG21" s="276"/>
      <c r="AH21" s="294">
        <f>+'SR BUDACT ER'!Y51</f>
        <v>0</v>
      </c>
      <c r="AI21" s="294">
        <f>+'SR BUDACT ER'!Z51</f>
        <v>0</v>
      </c>
      <c r="AJ21" s="294">
        <f t="shared" si="6"/>
        <v>0</v>
      </c>
      <c r="AK21" s="276"/>
      <c r="AL21" s="294">
        <f>+'SR BUDACT ER'!AB51</f>
        <v>0</v>
      </c>
      <c r="AM21" s="294">
        <f>+'SR BUDACT ER'!AC51</f>
        <v>0</v>
      </c>
      <c r="AN21" s="294">
        <f t="shared" si="7"/>
        <v>0</v>
      </c>
      <c r="AO21" s="294"/>
      <c r="AP21" s="276" t="s">
        <v>974</v>
      </c>
      <c r="AQ21" s="276"/>
      <c r="AR21" s="294">
        <f>+'SR BUDACT ER'!AE51</f>
        <v>7000</v>
      </c>
      <c r="AS21" s="294">
        <f>+'SR BUDACT ER'!AF51+0</f>
        <v>7000</v>
      </c>
      <c r="AT21" s="294">
        <f t="shared" si="8"/>
        <v>0</v>
      </c>
      <c r="AU21" s="276"/>
      <c r="AV21" s="294">
        <f>+'SR BUDACT ER'!AH51</f>
        <v>0</v>
      </c>
      <c r="AW21" s="294">
        <f>+'SR BUDACT ER'!AI51</f>
        <v>0</v>
      </c>
      <c r="AX21" s="294">
        <f t="shared" si="9"/>
        <v>0</v>
      </c>
      <c r="AY21" s="294"/>
      <c r="AZ21" s="276" t="s">
        <v>974</v>
      </c>
      <c r="BA21" s="276"/>
      <c r="BB21" s="294">
        <f>+'SR BUDACT ER'!AK51</f>
        <v>0</v>
      </c>
      <c r="BC21" s="294">
        <f>+'SR BUDACT ER'!AL51</f>
        <v>0</v>
      </c>
      <c r="BD21" s="294">
        <f t="shared" si="10"/>
        <v>0</v>
      </c>
      <c r="BE21" s="276"/>
      <c r="BF21" s="294"/>
      <c r="BG21" s="294"/>
      <c r="BH21" s="294"/>
      <c r="BI21" s="276"/>
      <c r="BJ21" s="294">
        <f>+'SR BUDACT ER'!AQ51</f>
        <v>0</v>
      </c>
      <c r="BK21" s="294">
        <f>+'SR BUDACT ER'!AR51</f>
        <v>0</v>
      </c>
      <c r="BL21" s="294">
        <f t="shared" si="11"/>
        <v>0</v>
      </c>
      <c r="BM21" s="294"/>
      <c r="BN21" s="276" t="s">
        <v>974</v>
      </c>
      <c r="BO21" s="294"/>
      <c r="BP21" s="294">
        <f>+'SR BUDACT ER'!AT51</f>
        <v>0</v>
      </c>
      <c r="BQ21" s="294">
        <f>+'SR BUDACT ER'!AU51</f>
        <v>0</v>
      </c>
      <c r="BR21" s="294">
        <f t="shared" si="12"/>
        <v>0</v>
      </c>
      <c r="BS21" s="294"/>
      <c r="BT21" s="294">
        <f>+'SR BUDACT ER'!AW51</f>
        <v>0</v>
      </c>
      <c r="BU21" s="294">
        <f>+'SR BUDACT ER'!AX51-0</f>
        <v>5150</v>
      </c>
      <c r="BV21" s="294">
        <f t="shared" si="13"/>
        <v>5150</v>
      </c>
      <c r="BW21" s="294"/>
      <c r="BX21" s="276" t="s">
        <v>974</v>
      </c>
      <c r="BY21" s="294"/>
      <c r="BZ21" s="294">
        <f>+'SR BUDACT ER'!AZ51</f>
        <v>0</v>
      </c>
      <c r="CA21" s="294">
        <f>+'SR BUDACT ER'!BA51</f>
        <v>0</v>
      </c>
      <c r="CB21" s="294">
        <f t="shared" si="14"/>
        <v>0</v>
      </c>
      <c r="CC21" s="294"/>
      <c r="CD21" s="294">
        <f>+'SR BUDACT ER'!BC51+10000</f>
        <v>19050</v>
      </c>
      <c r="CE21" s="294">
        <f>+'SR BUDACT ER'!BD51-0</f>
        <v>13452</v>
      </c>
      <c r="CF21" s="294">
        <f t="shared" si="15"/>
        <v>-5598</v>
      </c>
      <c r="CG21" s="294"/>
      <c r="CH21" s="276" t="s">
        <v>974</v>
      </c>
      <c r="CI21" s="276"/>
      <c r="CJ21" s="294">
        <f>+'SR BUDACT ER'!BF51</f>
        <v>0</v>
      </c>
      <c r="CK21" s="294">
        <f>+'SR BUDACT ER'!BG51</f>
        <v>0</v>
      </c>
      <c r="CL21" s="294">
        <f t="shared" si="16"/>
        <v>0</v>
      </c>
      <c r="CM21" s="276"/>
      <c r="CN21" s="294">
        <f>+'SR BUDACT ER'!BI51</f>
        <v>2500</v>
      </c>
      <c r="CO21" s="294">
        <f>+'SR BUDACT ER'!BJ51+0</f>
        <v>1208</v>
      </c>
      <c r="CP21" s="294">
        <f t="shared" si="17"/>
        <v>-1292</v>
      </c>
      <c r="CQ21" s="294"/>
      <c r="CR21" s="276" t="s">
        <v>974</v>
      </c>
      <c r="CS21" s="276"/>
      <c r="CT21" s="294">
        <f>+'SR BUDACT ER'!BL51</f>
        <v>0</v>
      </c>
      <c r="CU21" s="294">
        <f>+'SR BUDACT ER'!BM51</f>
        <v>0</v>
      </c>
      <c r="CV21" s="294">
        <f t="shared" si="18"/>
        <v>0</v>
      </c>
      <c r="CW21" s="276"/>
      <c r="CX21" s="294">
        <f>+'SR BUDACT ER'!BO51</f>
        <v>120000</v>
      </c>
      <c r="CY21" s="294">
        <f>+'SR BUDACT ER'!BP51-0</f>
        <v>150175</v>
      </c>
      <c r="CZ21" s="294">
        <f t="shared" si="19"/>
        <v>30175</v>
      </c>
      <c r="DA21" s="294"/>
      <c r="DB21" s="276" t="s">
        <v>974</v>
      </c>
      <c r="DC21" s="276"/>
      <c r="DD21" s="294">
        <f>+'SR BUDACT ER'!BR51</f>
        <v>0</v>
      </c>
      <c r="DE21" s="294">
        <f>+'SR BUDACT ER'!BS51</f>
        <v>0</v>
      </c>
      <c r="DF21" s="294">
        <f t="shared" si="20"/>
        <v>0</v>
      </c>
      <c r="DG21" s="276"/>
      <c r="DH21" s="294">
        <f>+'SR BUDACT ER'!BU51</f>
        <v>110795</v>
      </c>
      <c r="DI21" s="294">
        <f>+'SR BUDACT ER'!BV51</f>
        <v>395</v>
      </c>
      <c r="DJ21" s="294">
        <f t="shared" si="21"/>
        <v>-110400</v>
      </c>
      <c r="DK21" s="276"/>
      <c r="DL21" s="276" t="s">
        <v>974</v>
      </c>
      <c r="DM21" s="276"/>
      <c r="DN21" s="294">
        <f>+'SR BUDACT ER'!BX51</f>
        <v>0</v>
      </c>
      <c r="DO21" s="294">
        <f>+'SR BUDACT ER'!BY51</f>
        <v>0</v>
      </c>
      <c r="DP21" s="294">
        <f t="shared" si="22"/>
        <v>0</v>
      </c>
      <c r="DQ21" s="276"/>
      <c r="DR21" s="294">
        <f>+'SR BUDACT ER'!CA51</f>
        <v>25523</v>
      </c>
      <c r="DS21" s="294">
        <f>+'SR BUDACT ER'!CB51+'Sys INPUT'!AD201</f>
        <v>33441</v>
      </c>
      <c r="DT21" s="294">
        <f t="shared" si="23"/>
        <v>7918</v>
      </c>
      <c r="DU21" s="276"/>
      <c r="DV21" s="276" t="s">
        <v>974</v>
      </c>
      <c r="DW21" s="276"/>
      <c r="DX21" s="294">
        <f>+'SR BUDACT ER'!CD51</f>
        <v>15000</v>
      </c>
      <c r="DY21" s="294">
        <f>+'SR BUDACT ER'!CE51+'Sys INPUT'!AE201</f>
        <v>16396</v>
      </c>
      <c r="DZ21" s="294">
        <f t="shared" si="24"/>
        <v>1396</v>
      </c>
      <c r="EA21" s="276"/>
      <c r="EB21" s="294">
        <f>+'SR BUDACT ER'!CG51</f>
        <v>0</v>
      </c>
      <c r="EC21" s="294">
        <f>+'SR BUDACT ER'!CH51</f>
        <v>0</v>
      </c>
      <c r="ED21" s="294">
        <f t="shared" si="25"/>
        <v>0</v>
      </c>
      <c r="EE21" s="276"/>
      <c r="EF21" s="276" t="s">
        <v>974</v>
      </c>
      <c r="EG21" s="276"/>
      <c r="EH21" s="294">
        <f>+'SR BUDACT ER'!CJ51</f>
        <v>0</v>
      </c>
      <c r="EI21" s="294">
        <f>+'SR BUDACT ER'!CK51</f>
        <v>0</v>
      </c>
      <c r="EJ21" s="294">
        <f t="shared" si="26"/>
        <v>0</v>
      </c>
      <c r="EK21" s="276"/>
      <c r="EL21" s="294">
        <f>+'SR BUDACT ER'!CM51</f>
        <v>0</v>
      </c>
      <c r="EM21" s="294">
        <f>+'SR BUDACT ER'!CN51</f>
        <v>0</v>
      </c>
      <c r="EN21" s="294">
        <f t="shared" si="27"/>
        <v>0</v>
      </c>
      <c r="EO21" s="276"/>
      <c r="EP21" s="276" t="s">
        <v>974</v>
      </c>
      <c r="EQ21" s="276"/>
      <c r="ER21" s="294">
        <f>+'SR BUDACT ER'!CP51</f>
        <v>0</v>
      </c>
      <c r="ES21" s="294">
        <f>+'SR BUDACT ER'!CQ51</f>
        <v>0</v>
      </c>
      <c r="ET21" s="294">
        <f t="shared" si="28"/>
        <v>0</v>
      </c>
      <c r="EU21" s="276"/>
      <c r="EV21" s="294">
        <f>+'SR BUDACT ER'!CS51</f>
        <v>0</v>
      </c>
      <c r="EW21" s="294">
        <f>+'SR BUDACT ER'!CT51</f>
        <v>0</v>
      </c>
      <c r="EX21" s="294">
        <f t="shared" si="29"/>
        <v>0</v>
      </c>
      <c r="EY21" s="276"/>
      <c r="EZ21" s="276" t="s">
        <v>974</v>
      </c>
      <c r="FA21" s="276"/>
      <c r="FB21" s="294">
        <f>+'SR BUDACT ER'!CV51</f>
        <v>0</v>
      </c>
      <c r="FC21" s="294">
        <f>+'SR BUDACT ER'!CW51-0</f>
        <v>0</v>
      </c>
      <c r="FD21" s="294">
        <f t="shared" si="30"/>
        <v>0</v>
      </c>
      <c r="FE21" s="276"/>
      <c r="FF21" s="294">
        <f>+'SR BUDACT ER'!CY51</f>
        <v>0</v>
      </c>
      <c r="FG21" s="294">
        <f>+'SR BUDACT ER'!CZ51-0</f>
        <v>0</v>
      </c>
      <c r="FH21" s="294">
        <f t="shared" si="31"/>
        <v>0</v>
      </c>
      <c r="FI21" s="276"/>
      <c r="FJ21" s="276" t="s">
        <v>974</v>
      </c>
      <c r="FK21" s="276"/>
      <c r="FL21" s="294">
        <f>+'SR BUDACT ER'!DB51</f>
        <v>0</v>
      </c>
      <c r="FM21" s="294">
        <f>+'SR BUDACT ER'!DC51-0</f>
        <v>0</v>
      </c>
      <c r="FN21" s="294">
        <f t="shared" si="32"/>
        <v>0</v>
      </c>
      <c r="FO21" s="276"/>
      <c r="FP21" s="294">
        <f>+'SR BUDACT ER'!DE51</f>
        <v>0</v>
      </c>
      <c r="FQ21" s="294">
        <f>+'SR BUDACT ER'!DF51-0</f>
        <v>0</v>
      </c>
      <c r="FR21" s="294">
        <f t="shared" si="33"/>
        <v>0</v>
      </c>
      <c r="FS21" s="276"/>
      <c r="FT21" s="276" t="s">
        <v>974</v>
      </c>
      <c r="FU21" s="276"/>
      <c r="FV21" s="294">
        <f>+'SR BUDACT ER'!DH51</f>
        <v>0</v>
      </c>
      <c r="FW21" s="294">
        <f>+'SR BUDACT ER'!DI51-0</f>
        <v>0</v>
      </c>
      <c r="FX21" s="294">
        <f t="shared" si="34"/>
        <v>0</v>
      </c>
      <c r="FY21" s="276"/>
      <c r="FZ21" s="294">
        <f>+'SR BUDACT ER'!DK51</f>
        <v>0</v>
      </c>
      <c r="GA21" s="294">
        <f>+'SR BUDACT ER'!DL51-0</f>
        <v>0</v>
      </c>
      <c r="GB21" s="294">
        <f t="shared" si="35"/>
        <v>0</v>
      </c>
      <c r="GC21" s="276"/>
      <c r="GD21" s="294">
        <f>+'SR BUDACT ER'!DN51</f>
        <v>0</v>
      </c>
      <c r="GE21" s="294">
        <f>+'SR BUDACT ER'!DO51+'Sys INPUT'!AQ201</f>
        <v>147419</v>
      </c>
      <c r="GF21" s="294">
        <f t="shared" si="36"/>
        <v>147419</v>
      </c>
      <c r="GG21" s="276"/>
      <c r="GH21" s="276" t="s">
        <v>974</v>
      </c>
      <c r="GI21" s="276"/>
      <c r="GJ21" s="294">
        <f>+'SR BUDACT ER'!DQ51</f>
        <v>0</v>
      </c>
      <c r="GK21" s="294">
        <f>+'SR BUDACT ER'!DR51</f>
        <v>0</v>
      </c>
      <c r="GL21" s="294">
        <f t="shared" si="37"/>
        <v>0</v>
      </c>
      <c r="GN21" s="276"/>
      <c r="GO21" s="294">
        <f>+'SR BUDACT ER'!DT51</f>
        <v>0</v>
      </c>
      <c r="GP21" s="294">
        <f>+'SR BUDACT ER'!DU51+0</f>
        <v>0</v>
      </c>
      <c r="GQ21" s="294">
        <f t="shared" si="38"/>
        <v>0</v>
      </c>
      <c r="GR21" s="276"/>
      <c r="GS21" s="276" t="s">
        <v>974</v>
      </c>
      <c r="GT21" s="276"/>
      <c r="GU21" s="294">
        <f>+'SR BUDACT ER'!DW51</f>
        <v>0</v>
      </c>
      <c r="GV21" s="294">
        <f>+'SR BUDACT ER'!DX51+0</f>
        <v>0</v>
      </c>
      <c r="GW21" s="294">
        <f t="shared" si="39"/>
        <v>0</v>
      </c>
      <c r="GX21" s="294"/>
      <c r="GY21" s="294">
        <f>+'SR BUDACT ER'!DZ51</f>
        <v>0</v>
      </c>
      <c r="GZ21" s="294">
        <f>+'SR BUDACT ER'!EA51</f>
        <v>0</v>
      </c>
      <c r="HA21" s="294">
        <f t="shared" si="40"/>
        <v>0</v>
      </c>
      <c r="HB21" s="276"/>
      <c r="HC21" s="276" t="s">
        <v>974</v>
      </c>
      <c r="HD21" s="276"/>
      <c r="HE21" s="294">
        <f>+'SR BUDACT ER'!EC51</f>
        <v>0</v>
      </c>
      <c r="HF21" s="294">
        <f>+'SR BUDACT ER'!ED51</f>
        <v>0</v>
      </c>
      <c r="HG21" s="294">
        <f t="shared" si="41"/>
        <v>0</v>
      </c>
      <c r="HH21" s="294"/>
      <c r="HI21" s="294">
        <f>+'SR BUDACT ER'!EI51</f>
        <v>0</v>
      </c>
      <c r="HJ21" s="294">
        <f>+'SR BUDACT ER'!EJ51</f>
        <v>0</v>
      </c>
      <c r="HK21" s="294">
        <f t="shared" si="42"/>
        <v>0</v>
      </c>
      <c r="HL21" s="276"/>
      <c r="HM21" s="276" t="s">
        <v>974</v>
      </c>
      <c r="HN21" s="276"/>
      <c r="HO21" s="294"/>
      <c r="HP21" s="294"/>
      <c r="HQ21" s="294"/>
      <c r="HR21" s="276"/>
      <c r="HS21" s="294">
        <f>+'SR BUDACT ER'!EL51</f>
        <v>0</v>
      </c>
      <c r="HT21" s="294">
        <f>+'SR BUDACT ER'!EM51</f>
        <v>0</v>
      </c>
      <c r="HU21" s="294">
        <f t="shared" si="43"/>
        <v>0</v>
      </c>
      <c r="HV21" s="294"/>
      <c r="HW21" s="294">
        <f>+'SR BUDACT ER'!EO51</f>
        <v>0</v>
      </c>
      <c r="HX21" s="294">
        <f>+'SR BUDACT ER'!EP51</f>
        <v>0</v>
      </c>
      <c r="HY21" s="294">
        <f t="shared" si="44"/>
        <v>0</v>
      </c>
      <c r="HZ21" s="276"/>
      <c r="IA21" s="276" t="s">
        <v>974</v>
      </c>
      <c r="IB21" s="276"/>
      <c r="IC21" s="294">
        <f>+'SR BUDACT ER'!ER51</f>
        <v>0</v>
      </c>
      <c r="ID21" s="294">
        <f>+'SR BUDACT ER'!ES51</f>
        <v>0</v>
      </c>
      <c r="IE21" s="294">
        <f t="shared" si="45"/>
        <v>0</v>
      </c>
      <c r="IF21" s="294"/>
      <c r="IG21" s="276"/>
      <c r="IH21" s="294">
        <f t="shared" si="51"/>
        <v>371208</v>
      </c>
      <c r="II21" s="294">
        <f t="shared" si="52"/>
        <v>492119</v>
      </c>
      <c r="IJ21" s="294">
        <f t="shared" si="46"/>
        <v>120911</v>
      </c>
      <c r="IK21" s="276"/>
      <c r="IL21" s="276" t="s">
        <v>974</v>
      </c>
      <c r="IM21" s="276"/>
      <c r="IN21" s="308"/>
      <c r="IO21" s="308"/>
      <c r="IP21" s="308"/>
      <c r="IQ21" s="294"/>
      <c r="IR21" s="294"/>
      <c r="IS21" s="294"/>
      <c r="IW21" s="276"/>
      <c r="IX21" s="294"/>
      <c r="IY21" s="294"/>
      <c r="JA21" s="294">
        <f>+'SR BUDACT ER'!AN51</f>
        <v>0</v>
      </c>
      <c r="JB21" s="294">
        <f>+'SR BUDACT ER'!AO51</f>
        <v>0</v>
      </c>
      <c r="JC21" s="514">
        <f t="shared" si="47"/>
        <v>0</v>
      </c>
      <c r="JE21" s="288">
        <f t="shared" si="48"/>
        <v>984238</v>
      </c>
      <c r="JF21" s="288">
        <f t="shared" si="49"/>
        <v>984238</v>
      </c>
      <c r="JG21" s="288">
        <f t="shared" si="50"/>
        <v>0</v>
      </c>
    </row>
    <row r="22" spans="2:267" ht="15.75">
      <c r="B22" s="276" t="s">
        <v>947</v>
      </c>
      <c r="C22" s="276"/>
      <c r="D22" s="294">
        <f>+'SR BUDACT ER'!G52</f>
        <v>0</v>
      </c>
      <c r="E22" s="294">
        <f>+'SR BUDACT ER'!H52</f>
        <v>0</v>
      </c>
      <c r="F22" s="294">
        <f t="shared" si="0"/>
        <v>0</v>
      </c>
      <c r="G22" s="276"/>
      <c r="H22" s="294">
        <f>+'SR BUDACT ER'!J52</f>
        <v>0</v>
      </c>
      <c r="I22" s="294">
        <f>+'SR BUDACT ER'!K52</f>
        <v>0</v>
      </c>
      <c r="J22" s="294">
        <f t="shared" si="1"/>
        <v>0</v>
      </c>
      <c r="K22" s="276"/>
      <c r="L22" s="276" t="s">
        <v>947</v>
      </c>
      <c r="M22" s="276"/>
      <c r="N22" s="294">
        <f>+'SR BUDACT ER'!M52</f>
        <v>0</v>
      </c>
      <c r="O22" s="294">
        <f>+'SR BUDACT ER'!N52</f>
        <v>6</v>
      </c>
      <c r="P22" s="294">
        <f t="shared" si="2"/>
        <v>6</v>
      </c>
      <c r="Q22" s="276"/>
      <c r="R22" s="294">
        <f>+'SR BUDACT ER'!P52</f>
        <v>0</v>
      </c>
      <c r="S22" s="294">
        <f>+'SR BUDACT ER'!Q52</f>
        <v>0</v>
      </c>
      <c r="T22" s="294">
        <f t="shared" si="3"/>
        <v>0</v>
      </c>
      <c r="U22" s="276"/>
      <c r="V22" s="276" t="s">
        <v>947</v>
      </c>
      <c r="W22" s="276"/>
      <c r="X22" s="294">
        <f>+'SR BUDACT ER'!S52</f>
        <v>0</v>
      </c>
      <c r="Y22" s="294">
        <f>+'SR BUDACT ER'!T52</f>
        <v>4</v>
      </c>
      <c r="Z22" s="294">
        <f t="shared" si="4"/>
        <v>4</v>
      </c>
      <c r="AA22" s="276"/>
      <c r="AB22" s="294">
        <f>+'SR BUDACT ER'!V52</f>
        <v>2000</v>
      </c>
      <c r="AC22" s="294">
        <f>+'SR BUDACT ER'!W52</f>
        <v>43436</v>
      </c>
      <c r="AD22" s="294">
        <f t="shared" si="5"/>
        <v>41436</v>
      </c>
      <c r="AE22" s="294"/>
      <c r="AF22" s="276" t="s">
        <v>947</v>
      </c>
      <c r="AG22" s="276"/>
      <c r="AH22" s="294">
        <f>+'SR BUDACT ER'!Y52</f>
        <v>0</v>
      </c>
      <c r="AI22" s="294">
        <f>+'SR BUDACT ER'!Z52</f>
        <v>0</v>
      </c>
      <c r="AJ22" s="294">
        <f t="shared" si="6"/>
        <v>0</v>
      </c>
      <c r="AK22" s="276"/>
      <c r="AL22" s="294">
        <f>+'SR BUDACT ER'!AB52</f>
        <v>0</v>
      </c>
      <c r="AM22" s="294">
        <f>+'SR BUDACT ER'!AC52</f>
        <v>0</v>
      </c>
      <c r="AN22" s="294">
        <f t="shared" si="7"/>
        <v>0</v>
      </c>
      <c r="AO22" s="294"/>
      <c r="AP22" s="276" t="s">
        <v>947</v>
      </c>
      <c r="AQ22" s="276"/>
      <c r="AR22" s="294">
        <f>+'SR BUDACT ER'!AE52</f>
        <v>0</v>
      </c>
      <c r="AS22" s="294">
        <f>+'SR BUDACT ER'!AF52</f>
        <v>19</v>
      </c>
      <c r="AT22" s="294">
        <f t="shared" si="8"/>
        <v>19</v>
      </c>
      <c r="AU22" s="276"/>
      <c r="AV22" s="294">
        <f>+'SR BUDACT ER'!AH52</f>
        <v>0</v>
      </c>
      <c r="AW22" s="294">
        <f>+'SR BUDACT ER'!AI52</f>
        <v>5</v>
      </c>
      <c r="AX22" s="294">
        <f t="shared" si="9"/>
        <v>5</v>
      </c>
      <c r="AY22" s="294"/>
      <c r="AZ22" s="276" t="s">
        <v>947</v>
      </c>
      <c r="BA22" s="276"/>
      <c r="BB22" s="294">
        <f>+'SR BUDACT ER'!AK52</f>
        <v>0</v>
      </c>
      <c r="BC22" s="294">
        <f>+'SR BUDACT ER'!AL52</f>
        <v>1</v>
      </c>
      <c r="BD22" s="294">
        <f t="shared" si="10"/>
        <v>1</v>
      </c>
      <c r="BE22" s="276"/>
      <c r="BF22" s="294"/>
      <c r="BG22" s="294"/>
      <c r="BH22" s="294"/>
      <c r="BI22" s="276"/>
      <c r="BJ22" s="294">
        <f>+'SR BUDACT ER'!AQ52</f>
        <v>0</v>
      </c>
      <c r="BK22" s="294">
        <f>+'SR BUDACT ER'!AR52</f>
        <v>52</v>
      </c>
      <c r="BL22" s="294">
        <f t="shared" si="11"/>
        <v>52</v>
      </c>
      <c r="BM22" s="294"/>
      <c r="BN22" s="276" t="s">
        <v>947</v>
      </c>
      <c r="BO22" s="294"/>
      <c r="BP22" s="294">
        <f>+'SR BUDACT ER'!AT52</f>
        <v>20000</v>
      </c>
      <c r="BQ22" s="294">
        <f>+'SR BUDACT ER'!AU52+0</f>
        <v>22984</v>
      </c>
      <c r="BR22" s="294">
        <f t="shared" si="12"/>
        <v>2984</v>
      </c>
      <c r="BS22" s="294"/>
      <c r="BT22" s="294">
        <f>+'SR BUDACT ER'!AW52</f>
        <v>0</v>
      </c>
      <c r="BU22" s="294">
        <f>+'SR BUDACT ER'!AX52</f>
        <v>15</v>
      </c>
      <c r="BV22" s="294">
        <f t="shared" si="13"/>
        <v>15</v>
      </c>
      <c r="BW22" s="294"/>
      <c r="BX22" s="276" t="s">
        <v>947</v>
      </c>
      <c r="BY22" s="294"/>
      <c r="BZ22" s="294">
        <f>+'SR BUDACT ER'!AZ52</f>
        <v>0</v>
      </c>
      <c r="CA22" s="294">
        <f>+'SR BUDACT ER'!BA52</f>
        <v>0</v>
      </c>
      <c r="CB22" s="294">
        <f t="shared" si="14"/>
        <v>0</v>
      </c>
      <c r="CC22" s="294"/>
      <c r="CD22" s="294">
        <f>+'SR BUDACT ER'!BC52</f>
        <v>0</v>
      </c>
      <c r="CE22" s="294">
        <f>+'SR BUDACT ER'!BD52</f>
        <v>42</v>
      </c>
      <c r="CF22" s="294">
        <f t="shared" si="15"/>
        <v>42</v>
      </c>
      <c r="CG22" s="294"/>
      <c r="CH22" s="276" t="s">
        <v>947</v>
      </c>
      <c r="CI22" s="276"/>
      <c r="CJ22" s="294">
        <f>+'SR BUDACT ER'!BF52</f>
        <v>0</v>
      </c>
      <c r="CK22" s="294">
        <f>+'SR BUDACT ER'!BG52</f>
        <v>6</v>
      </c>
      <c r="CL22" s="294">
        <f t="shared" si="16"/>
        <v>6</v>
      </c>
      <c r="CM22" s="276"/>
      <c r="CN22" s="294">
        <f>+'SR BUDACT ER'!BI52</f>
        <v>0</v>
      </c>
      <c r="CO22" s="294">
        <f>+'SR BUDACT ER'!BJ52</f>
        <v>7</v>
      </c>
      <c r="CP22" s="294">
        <f t="shared" si="17"/>
        <v>7</v>
      </c>
      <c r="CQ22" s="294"/>
      <c r="CR22" s="276" t="s">
        <v>947</v>
      </c>
      <c r="CS22" s="276"/>
      <c r="CT22" s="294">
        <f>+'SR BUDACT ER'!BL52</f>
        <v>0</v>
      </c>
      <c r="CU22" s="294">
        <f>+'SR BUDACT ER'!BM52</f>
        <v>0</v>
      </c>
      <c r="CV22" s="294">
        <f t="shared" si="18"/>
        <v>0</v>
      </c>
      <c r="CW22" s="276"/>
      <c r="CX22" s="294">
        <f>+'SR BUDACT ER'!BO52</f>
        <v>0</v>
      </c>
      <c r="CY22" s="294">
        <f>+'SR BUDACT ER'!BP52</f>
        <v>0</v>
      </c>
      <c r="CZ22" s="294">
        <f t="shared" si="19"/>
        <v>0</v>
      </c>
      <c r="DA22" s="294"/>
      <c r="DB22" s="276" t="s">
        <v>947</v>
      </c>
      <c r="DC22" s="276"/>
      <c r="DD22" s="294">
        <f>+'SR BUDACT ER'!BR52</f>
        <v>0</v>
      </c>
      <c r="DE22" s="294">
        <f>+'SR BUDACT ER'!BS52</f>
        <v>0</v>
      </c>
      <c r="DF22" s="294">
        <f t="shared" si="20"/>
        <v>0</v>
      </c>
      <c r="DG22" s="276"/>
      <c r="DH22" s="294">
        <f>+'SR BUDACT ER'!BU52</f>
        <v>0</v>
      </c>
      <c r="DI22" s="294">
        <f>+'SR BUDACT ER'!BV52</f>
        <v>108</v>
      </c>
      <c r="DJ22" s="294">
        <f t="shared" si="21"/>
        <v>108</v>
      </c>
      <c r="DK22" s="276"/>
      <c r="DL22" s="276" t="s">
        <v>947</v>
      </c>
      <c r="DM22" s="276"/>
      <c r="DN22" s="294">
        <f>+'SR BUDACT ER'!BX52</f>
        <v>0</v>
      </c>
      <c r="DO22" s="294">
        <f>+'SR BUDACT ER'!BY52</f>
        <v>0</v>
      </c>
      <c r="DP22" s="294">
        <f t="shared" si="22"/>
        <v>0</v>
      </c>
      <c r="DQ22" s="276"/>
      <c r="DR22" s="294">
        <f>+'SR BUDACT ER'!CA52</f>
        <v>0</v>
      </c>
      <c r="DS22" s="294">
        <f>+'SR BUDACT ER'!CB52</f>
        <v>0</v>
      </c>
      <c r="DT22" s="294">
        <f t="shared" si="23"/>
        <v>0</v>
      </c>
      <c r="DU22" s="276"/>
      <c r="DV22" s="276" t="s">
        <v>947</v>
      </c>
      <c r="DW22" s="276"/>
      <c r="DX22" s="294">
        <f>+'SR BUDACT ER'!CD52</f>
        <v>0</v>
      </c>
      <c r="DY22" s="294">
        <f>+'SR BUDACT ER'!CE52</f>
        <v>0</v>
      </c>
      <c r="DZ22" s="294">
        <f t="shared" si="24"/>
        <v>0</v>
      </c>
      <c r="EA22" s="276"/>
      <c r="EB22" s="294">
        <f>+'SR BUDACT ER'!CG52</f>
        <v>0</v>
      </c>
      <c r="EC22" s="294">
        <f>+'SR BUDACT ER'!CH52</f>
        <v>0</v>
      </c>
      <c r="ED22" s="294">
        <f t="shared" si="25"/>
        <v>0</v>
      </c>
      <c r="EE22" s="276"/>
      <c r="EF22" s="276" t="s">
        <v>947</v>
      </c>
      <c r="EG22" s="276"/>
      <c r="EH22" s="294">
        <f>+'SR BUDACT ER'!CJ52</f>
        <v>0</v>
      </c>
      <c r="EI22" s="294">
        <f>+'SR BUDACT ER'!CK52</f>
        <v>0</v>
      </c>
      <c r="EJ22" s="294">
        <f t="shared" si="26"/>
        <v>0</v>
      </c>
      <c r="EK22" s="276"/>
      <c r="EL22" s="294">
        <f>+'SR BUDACT ER'!CM52</f>
        <v>600</v>
      </c>
      <c r="EM22" s="294">
        <f>+'SR BUDACT ER'!CN52+'Sys INPUT'!AH201</f>
        <v>9564</v>
      </c>
      <c r="EN22" s="294">
        <f t="shared" si="27"/>
        <v>8964</v>
      </c>
      <c r="EO22" s="276"/>
      <c r="EP22" s="276" t="s">
        <v>947</v>
      </c>
      <c r="EQ22" s="276"/>
      <c r="ER22" s="294">
        <f>+'SR BUDACT ER'!CP52</f>
        <v>150</v>
      </c>
      <c r="ES22" s="294">
        <f>+'SR BUDACT ER'!CQ52+'Sys INPUT'!AI201</f>
        <v>977</v>
      </c>
      <c r="ET22" s="294">
        <f t="shared" si="28"/>
        <v>827</v>
      </c>
      <c r="EU22" s="276"/>
      <c r="EV22" s="294">
        <f>+'SR BUDACT ER'!CS52</f>
        <v>0</v>
      </c>
      <c r="EW22" s="294">
        <f>+'SR BUDACT ER'!CT52+'Sys INPUT'!AJ201</f>
        <v>2070</v>
      </c>
      <c r="EX22" s="294">
        <f t="shared" si="29"/>
        <v>2070</v>
      </c>
      <c r="EY22" s="276"/>
      <c r="EZ22" s="276" t="s">
        <v>947</v>
      </c>
      <c r="FA22" s="276"/>
      <c r="FB22" s="294">
        <f>+'SR BUDACT ER'!CV52</f>
        <v>0</v>
      </c>
      <c r="FC22" s="294">
        <f>+'SR BUDACT ER'!CW52</f>
        <v>234</v>
      </c>
      <c r="FD22" s="294">
        <f t="shared" si="30"/>
        <v>234</v>
      </c>
      <c r="FE22" s="276"/>
      <c r="FF22" s="294">
        <f>+'SR BUDACT ER'!CY52</f>
        <v>0</v>
      </c>
      <c r="FG22" s="294">
        <f>+'SR BUDACT ER'!CZ52</f>
        <v>2449</v>
      </c>
      <c r="FH22" s="294">
        <f t="shared" si="31"/>
        <v>2449</v>
      </c>
      <c r="FI22" s="276"/>
      <c r="FJ22" s="276" t="s">
        <v>947</v>
      </c>
      <c r="FK22" s="276"/>
      <c r="FL22" s="294">
        <f>+'SR BUDACT ER'!DB52</f>
        <v>125</v>
      </c>
      <c r="FM22" s="294">
        <f>+'SR BUDACT ER'!DC52</f>
        <v>1624</v>
      </c>
      <c r="FN22" s="294">
        <f t="shared" si="32"/>
        <v>1499</v>
      </c>
      <c r="FO22" s="276"/>
      <c r="FP22" s="294">
        <v>0</v>
      </c>
      <c r="FQ22" s="294">
        <v>0</v>
      </c>
      <c r="FR22" s="294">
        <f t="shared" si="33"/>
        <v>0</v>
      </c>
      <c r="FS22" s="276"/>
      <c r="FT22" s="276" t="s">
        <v>947</v>
      </c>
      <c r="FU22" s="276"/>
      <c r="FV22" s="294">
        <f>+'SR BUDACT ER'!DH52</f>
        <v>0</v>
      </c>
      <c r="FW22" s="294">
        <f>+'SR BUDACT ER'!DI52</f>
        <v>0</v>
      </c>
      <c r="FX22" s="294">
        <f t="shared" si="34"/>
        <v>0</v>
      </c>
      <c r="FY22" s="276"/>
      <c r="FZ22" s="294">
        <f>+'SR BUDACT ER'!DK52</f>
        <v>0</v>
      </c>
      <c r="GA22" s="294">
        <f>+'SR BUDACT ER'!DL52+'Sys INPUT'!AP201</f>
        <v>66678</v>
      </c>
      <c r="GB22" s="294">
        <f t="shared" si="35"/>
        <v>66678</v>
      </c>
      <c r="GC22" s="276"/>
      <c r="GD22" s="294">
        <f>+'SR BUDACT ER'!DN52</f>
        <v>0</v>
      </c>
      <c r="GE22" s="294">
        <f>+'SR BUDACT ER'!DO52</f>
        <v>27901</v>
      </c>
      <c r="GF22" s="294">
        <f t="shared" si="36"/>
        <v>27901</v>
      </c>
      <c r="GG22" s="276"/>
      <c r="GH22" s="276" t="s">
        <v>947</v>
      </c>
      <c r="GI22" s="276"/>
      <c r="GJ22" s="294">
        <f>+'SR BUDACT ER'!DQ52</f>
        <v>0</v>
      </c>
      <c r="GK22" s="294">
        <f>+'SR BUDACT ER'!DR52</f>
        <v>0</v>
      </c>
      <c r="GL22" s="294">
        <f t="shared" si="37"/>
        <v>0</v>
      </c>
      <c r="GN22" s="276"/>
      <c r="GO22" s="294">
        <f>+'SR BUDACT ER'!DT52</f>
        <v>0</v>
      </c>
      <c r="GP22" s="294">
        <f>+'SR BUDACT ER'!DU52</f>
        <v>0</v>
      </c>
      <c r="GQ22" s="294">
        <f t="shared" si="38"/>
        <v>0</v>
      </c>
      <c r="GR22" s="276"/>
      <c r="GS22" s="276" t="s">
        <v>947</v>
      </c>
      <c r="GT22" s="276"/>
      <c r="GU22" s="294">
        <f>+'SR BUDACT ER'!DW52</f>
        <v>0</v>
      </c>
      <c r="GV22" s="294">
        <f>+'SR BUDACT ER'!DX52</f>
        <v>0</v>
      </c>
      <c r="GW22" s="294">
        <f t="shared" si="39"/>
        <v>0</v>
      </c>
      <c r="GX22" s="294"/>
      <c r="GY22" s="294">
        <f>+'SR BUDACT ER'!DZ52</f>
        <v>0</v>
      </c>
      <c r="GZ22" s="294">
        <f>+'SR BUDACT ER'!EA52</f>
        <v>0</v>
      </c>
      <c r="HA22" s="294">
        <f t="shared" si="40"/>
        <v>0</v>
      </c>
      <c r="HB22" s="276"/>
      <c r="HC22" s="276" t="s">
        <v>947</v>
      </c>
      <c r="HD22" s="276"/>
      <c r="HE22" s="294">
        <f>+'SR BUDACT ER'!EC52</f>
        <v>0</v>
      </c>
      <c r="HF22" s="294">
        <f>+'SR BUDACT ER'!ED52</f>
        <v>0</v>
      </c>
      <c r="HG22" s="294">
        <f t="shared" si="41"/>
        <v>0</v>
      </c>
      <c r="HH22" s="294"/>
      <c r="HI22" s="294">
        <f>+'SR BUDACT ER'!EI52</f>
        <v>0</v>
      </c>
      <c r="HJ22" s="294">
        <f>+'SR BUDACT ER'!EJ52</f>
        <v>0</v>
      </c>
      <c r="HK22" s="294">
        <f t="shared" si="42"/>
        <v>0</v>
      </c>
      <c r="HL22" s="276"/>
      <c r="HM22" s="276" t="s">
        <v>947</v>
      </c>
      <c r="HN22" s="276"/>
      <c r="HO22" s="294"/>
      <c r="HP22" s="294"/>
      <c r="HQ22" s="294"/>
      <c r="HR22" s="276"/>
      <c r="HS22" s="294">
        <f>+'SR BUDACT ER'!EL52</f>
        <v>0</v>
      </c>
      <c r="HT22" s="294">
        <f>+'SR BUDACT ER'!EM52</f>
        <v>0</v>
      </c>
      <c r="HU22" s="294">
        <f t="shared" si="43"/>
        <v>0</v>
      </c>
      <c r="HV22" s="294"/>
      <c r="HW22" s="294">
        <f>+'SR BUDACT ER'!EO52</f>
        <v>0</v>
      </c>
      <c r="HX22" s="294">
        <f>+'SR BUDACT ER'!EP52</f>
        <v>0</v>
      </c>
      <c r="HY22" s="294">
        <f t="shared" si="44"/>
        <v>0</v>
      </c>
      <c r="HZ22" s="276"/>
      <c r="IA22" s="276" t="s">
        <v>947</v>
      </c>
      <c r="IB22" s="276"/>
      <c r="IC22" s="294">
        <f>+'SR BUDACT ER'!ER52</f>
        <v>0</v>
      </c>
      <c r="ID22" s="294">
        <f>+'SR BUDACT ER'!ES52</f>
        <v>0</v>
      </c>
      <c r="IE22" s="294">
        <f t="shared" si="45"/>
        <v>0</v>
      </c>
      <c r="IF22" s="294"/>
      <c r="IG22" s="276"/>
      <c r="IH22" s="294">
        <f t="shared" si="51"/>
        <v>22875</v>
      </c>
      <c r="II22" s="294">
        <f t="shared" si="52"/>
        <v>178182</v>
      </c>
      <c r="IJ22" s="294">
        <f t="shared" si="46"/>
        <v>155307</v>
      </c>
      <c r="IK22" s="276"/>
      <c r="IL22" s="276" t="s">
        <v>947</v>
      </c>
      <c r="IM22" s="276"/>
      <c r="IN22" s="308"/>
      <c r="IO22" s="308"/>
      <c r="IP22" s="308"/>
      <c r="IQ22" s="294"/>
      <c r="IR22" s="294"/>
      <c r="IS22" s="294"/>
      <c r="IW22" s="276"/>
      <c r="IX22" s="294"/>
      <c r="IY22" s="294"/>
      <c r="JA22" s="294">
        <f>+'SR BUDACT ER'!AN52</f>
        <v>0</v>
      </c>
      <c r="JB22" s="294">
        <f>+'SR BUDACT ER'!AO52</f>
        <v>0</v>
      </c>
      <c r="JC22" s="514">
        <f t="shared" si="47"/>
        <v>0</v>
      </c>
      <c r="JE22" s="288">
        <f t="shared" si="48"/>
        <v>356364</v>
      </c>
      <c r="JF22" s="288">
        <f t="shared" si="49"/>
        <v>356364</v>
      </c>
      <c r="JG22" s="288">
        <f t="shared" si="50"/>
        <v>0</v>
      </c>
    </row>
    <row r="23" spans="2:267" ht="15.75">
      <c r="B23" s="276"/>
      <c r="C23" s="276"/>
      <c r="D23" s="337"/>
      <c r="E23" s="337"/>
      <c r="F23" s="337"/>
      <c r="G23" s="276"/>
      <c r="H23" s="337"/>
      <c r="I23" s="337"/>
      <c r="J23" s="337"/>
      <c r="K23" s="276"/>
      <c r="L23" s="276"/>
      <c r="M23" s="276"/>
      <c r="N23" s="337"/>
      <c r="O23" s="337"/>
      <c r="P23" s="337"/>
      <c r="Q23" s="276"/>
      <c r="R23" s="337"/>
      <c r="S23" s="337"/>
      <c r="T23" s="337"/>
      <c r="U23" s="276"/>
      <c r="V23" s="276"/>
      <c r="W23" s="276"/>
      <c r="X23" s="337"/>
      <c r="Y23" s="337"/>
      <c r="Z23" s="337"/>
      <c r="AA23" s="276"/>
      <c r="AB23" s="337"/>
      <c r="AC23" s="337"/>
      <c r="AD23" s="337"/>
      <c r="AE23" s="294"/>
      <c r="AF23" s="276"/>
      <c r="AG23" s="276"/>
      <c r="AH23" s="337"/>
      <c r="AI23" s="337"/>
      <c r="AJ23" s="337"/>
      <c r="AK23" s="276"/>
      <c r="AL23" s="337"/>
      <c r="AM23" s="337"/>
      <c r="AN23" s="337"/>
      <c r="AO23" s="294"/>
      <c r="AP23" s="276"/>
      <c r="AQ23" s="276"/>
      <c r="AR23" s="337"/>
      <c r="AS23" s="337"/>
      <c r="AT23" s="337"/>
      <c r="AU23" s="276"/>
      <c r="AV23" s="337"/>
      <c r="AW23" s="337"/>
      <c r="AX23" s="337"/>
      <c r="AY23" s="294"/>
      <c r="AZ23" s="276"/>
      <c r="BA23" s="276"/>
      <c r="BB23" s="337"/>
      <c r="BC23" s="337"/>
      <c r="BD23" s="337"/>
      <c r="BE23" s="276"/>
      <c r="BF23" s="337"/>
      <c r="BG23" s="337"/>
      <c r="BH23" s="337"/>
      <c r="BI23" s="276"/>
      <c r="BJ23" s="337"/>
      <c r="BK23" s="337"/>
      <c r="BL23" s="337"/>
      <c r="BM23" s="294"/>
      <c r="BN23" s="276"/>
      <c r="BO23" s="294"/>
      <c r="BP23" s="337"/>
      <c r="BQ23" s="337"/>
      <c r="BR23" s="337"/>
      <c r="BS23" s="294"/>
      <c r="BT23" s="337"/>
      <c r="BU23" s="337"/>
      <c r="BV23" s="337"/>
      <c r="BW23" s="294"/>
      <c r="BX23" s="276"/>
      <c r="BY23" s="294"/>
      <c r="BZ23" s="337"/>
      <c r="CA23" s="337"/>
      <c r="CB23" s="337"/>
      <c r="CC23" s="294"/>
      <c r="CD23" s="337"/>
      <c r="CE23" s="337"/>
      <c r="CF23" s="337"/>
      <c r="CG23" s="294"/>
      <c r="CH23" s="276"/>
      <c r="CI23" s="276"/>
      <c r="CJ23" s="337"/>
      <c r="CK23" s="337"/>
      <c r="CL23" s="337"/>
      <c r="CM23" s="276"/>
      <c r="CN23" s="337"/>
      <c r="CO23" s="337"/>
      <c r="CP23" s="337"/>
      <c r="CQ23" s="294"/>
      <c r="CR23" s="276"/>
      <c r="CS23" s="276"/>
      <c r="CT23" s="337"/>
      <c r="CU23" s="337"/>
      <c r="CV23" s="337"/>
      <c r="CW23" s="276"/>
      <c r="CX23" s="337"/>
      <c r="CY23" s="337"/>
      <c r="CZ23" s="337"/>
      <c r="DA23" s="294"/>
      <c r="DB23" s="276"/>
      <c r="DC23" s="276"/>
      <c r="DD23" s="337"/>
      <c r="DE23" s="337"/>
      <c r="DF23" s="337"/>
      <c r="DG23" s="276"/>
      <c r="DH23" s="337"/>
      <c r="DI23" s="337"/>
      <c r="DJ23" s="337"/>
      <c r="DK23" s="276"/>
      <c r="DL23" s="276"/>
      <c r="DM23" s="276"/>
      <c r="DN23" s="337"/>
      <c r="DO23" s="337"/>
      <c r="DP23" s="337"/>
      <c r="DQ23" s="276"/>
      <c r="DR23" s="337"/>
      <c r="DS23" s="337"/>
      <c r="DT23" s="337"/>
      <c r="DU23" s="276"/>
      <c r="DV23" s="276"/>
      <c r="DW23" s="276"/>
      <c r="DX23" s="337"/>
      <c r="DY23" s="337"/>
      <c r="DZ23" s="337"/>
      <c r="EA23" s="276"/>
      <c r="EB23" s="337"/>
      <c r="EC23" s="337"/>
      <c r="ED23" s="337"/>
      <c r="EE23" s="276"/>
      <c r="EF23" s="276"/>
      <c r="EG23" s="276"/>
      <c r="EH23" s="337"/>
      <c r="EI23" s="337"/>
      <c r="EJ23" s="337"/>
      <c r="EK23" s="276"/>
      <c r="EL23" s="337"/>
      <c r="EM23" s="337"/>
      <c r="EN23" s="337"/>
      <c r="EO23" s="276"/>
      <c r="EP23" s="276"/>
      <c r="EQ23" s="276"/>
      <c r="ER23" s="337"/>
      <c r="ES23" s="337"/>
      <c r="ET23" s="337"/>
      <c r="EU23" s="276"/>
      <c r="EV23" s="337"/>
      <c r="EW23" s="337"/>
      <c r="EX23" s="337"/>
      <c r="EY23" s="276"/>
      <c r="EZ23" s="276"/>
      <c r="FA23" s="276"/>
      <c r="FB23" s="337"/>
      <c r="FC23" s="337"/>
      <c r="FD23" s="337"/>
      <c r="FE23" s="276"/>
      <c r="FF23" s="337"/>
      <c r="FG23" s="337"/>
      <c r="FH23" s="337"/>
      <c r="FI23" s="276"/>
      <c r="FJ23" s="276"/>
      <c r="FK23" s="276"/>
      <c r="FL23" s="337"/>
      <c r="FM23" s="337"/>
      <c r="FN23" s="337"/>
      <c r="FO23" s="276"/>
      <c r="FP23" s="337"/>
      <c r="FQ23" s="337"/>
      <c r="FR23" s="337"/>
      <c r="FS23" s="276"/>
      <c r="FT23" s="276"/>
      <c r="FU23" s="276"/>
      <c r="FV23" s="337"/>
      <c r="FW23" s="337"/>
      <c r="FX23" s="337"/>
      <c r="FY23" s="276"/>
      <c r="FZ23" s="337"/>
      <c r="GA23" s="337"/>
      <c r="GB23" s="337"/>
      <c r="GC23" s="276"/>
      <c r="GD23" s="337"/>
      <c r="GE23" s="337"/>
      <c r="GF23" s="337"/>
      <c r="GG23" s="276"/>
      <c r="GH23" s="276"/>
      <c r="GI23" s="276"/>
      <c r="GJ23" s="337"/>
      <c r="GK23" s="337"/>
      <c r="GL23" s="337"/>
      <c r="GN23" s="276"/>
      <c r="GO23" s="337"/>
      <c r="GP23" s="337"/>
      <c r="GQ23" s="337"/>
      <c r="GR23" s="276"/>
      <c r="GS23" s="276"/>
      <c r="GT23" s="276"/>
      <c r="GU23" s="337"/>
      <c r="GV23" s="337"/>
      <c r="GW23" s="337"/>
      <c r="GX23" s="294"/>
      <c r="GY23" s="337"/>
      <c r="GZ23" s="337"/>
      <c r="HA23" s="337"/>
      <c r="HB23" s="276"/>
      <c r="HC23" s="276"/>
      <c r="HD23" s="276"/>
      <c r="HE23" s="337"/>
      <c r="HF23" s="337"/>
      <c r="HG23" s="337"/>
      <c r="HH23" s="294"/>
      <c r="HI23" s="337"/>
      <c r="HJ23" s="337"/>
      <c r="HK23" s="337"/>
      <c r="HL23" s="276"/>
      <c r="HM23" s="276"/>
      <c r="HN23" s="276"/>
      <c r="HO23" s="337"/>
      <c r="HP23" s="337"/>
      <c r="HQ23" s="337"/>
      <c r="HR23" s="276"/>
      <c r="HS23" s="337"/>
      <c r="HT23" s="337"/>
      <c r="HU23" s="337"/>
      <c r="HV23" s="294"/>
      <c r="HW23" s="337"/>
      <c r="HX23" s="337"/>
      <c r="HY23" s="337"/>
      <c r="HZ23" s="276"/>
      <c r="IA23" s="276"/>
      <c r="IB23" s="276"/>
      <c r="IC23" s="337"/>
      <c r="ID23" s="337"/>
      <c r="IE23" s="337"/>
      <c r="IF23" s="294"/>
      <c r="IG23" s="276"/>
      <c r="IH23" s="337"/>
      <c r="II23" s="337"/>
      <c r="IJ23" s="337"/>
      <c r="IK23" s="276"/>
      <c r="IL23" s="276"/>
      <c r="IM23" s="276"/>
      <c r="IN23" s="308"/>
      <c r="IO23" s="308"/>
      <c r="IP23" s="308"/>
      <c r="IQ23" s="294"/>
      <c r="IR23" s="294"/>
      <c r="IS23" s="294"/>
      <c r="IW23" s="276"/>
      <c r="IX23" s="294"/>
      <c r="IY23" s="294"/>
      <c r="JA23" s="337"/>
      <c r="JB23" s="337"/>
      <c r="JC23" s="515"/>
    </row>
    <row r="24" spans="2:267" ht="15.75">
      <c r="B24" s="308" t="s">
        <v>1212</v>
      </c>
      <c r="C24" s="308"/>
      <c r="D24" s="301">
        <f>SUM(D16:D23)</f>
        <v>2091895</v>
      </c>
      <c r="E24" s="301">
        <f>SUM(E16:E23)</f>
        <v>1598576</v>
      </c>
      <c r="F24" s="301">
        <f>SUM(F16:F23)</f>
        <v>-493319</v>
      </c>
      <c r="G24" s="276"/>
      <c r="H24" s="301">
        <f>SUM(H16:H23)</f>
        <v>18000</v>
      </c>
      <c r="I24" s="301">
        <f>SUM(I16:I23)</f>
        <v>18860</v>
      </c>
      <c r="J24" s="301">
        <f>SUM(J16:J23)</f>
        <v>860</v>
      </c>
      <c r="K24" s="308"/>
      <c r="L24" s="308" t="s">
        <v>1212</v>
      </c>
      <c r="M24" s="308"/>
      <c r="N24" s="301">
        <f>SUM(N16:N23)</f>
        <v>225000</v>
      </c>
      <c r="O24" s="301">
        <f>SUM(O16:O23)</f>
        <v>277470</v>
      </c>
      <c r="P24" s="301">
        <f>SUM(P16:P23)</f>
        <v>52470</v>
      </c>
      <c r="Q24" s="276"/>
      <c r="R24" s="301">
        <f>SUM(R16:R23)</f>
        <v>387450</v>
      </c>
      <c r="S24" s="301">
        <f>SUM(S16:S23)</f>
        <v>407965</v>
      </c>
      <c r="T24" s="301">
        <f>SUM(T16:T23)</f>
        <v>20515</v>
      </c>
      <c r="U24" s="308"/>
      <c r="V24" s="308" t="s">
        <v>1212</v>
      </c>
      <c r="W24" s="276"/>
      <c r="X24" s="301">
        <f>SUM(X16:X23)</f>
        <v>866911</v>
      </c>
      <c r="Y24" s="301">
        <f>SUM(Y16:Y23)</f>
        <v>585379</v>
      </c>
      <c r="Z24" s="301">
        <f>SUM(Z16:Z23)</f>
        <v>-281532</v>
      </c>
      <c r="AA24" s="276"/>
      <c r="AB24" s="301">
        <f>SUM(AB16:AB23)</f>
        <v>4308083</v>
      </c>
      <c r="AC24" s="301">
        <f>SUM(AC16:AC23)</f>
        <v>4712516</v>
      </c>
      <c r="AD24" s="301">
        <f>SUM(AD16:AD23)</f>
        <v>404433</v>
      </c>
      <c r="AE24" s="300"/>
      <c r="AF24" s="308" t="s">
        <v>1212</v>
      </c>
      <c r="AG24" s="276"/>
      <c r="AH24" s="301">
        <f>SUM(AH16:AH23)</f>
        <v>1875</v>
      </c>
      <c r="AI24" s="301">
        <f>SUM(AI16:AI23)</f>
        <v>1627</v>
      </c>
      <c r="AJ24" s="301">
        <f>SUM(AJ16:AJ23)</f>
        <v>-248</v>
      </c>
      <c r="AK24" s="276"/>
      <c r="AL24" s="301">
        <f>SUM(AL16:AL23)</f>
        <v>25000</v>
      </c>
      <c r="AM24" s="301">
        <f>SUM(AM16:AM23)</f>
        <v>24961</v>
      </c>
      <c r="AN24" s="301">
        <f>SUM(AN16:AN23)</f>
        <v>-39</v>
      </c>
      <c r="AO24" s="300"/>
      <c r="AP24" s="308" t="s">
        <v>1212</v>
      </c>
      <c r="AQ24" s="276"/>
      <c r="AR24" s="301">
        <f>SUM(AR16:AR23)</f>
        <v>2147771</v>
      </c>
      <c r="AS24" s="301">
        <f>SUM(AS16:AS23)</f>
        <v>2171223</v>
      </c>
      <c r="AT24" s="301">
        <f>SUM(AT16:AT23)</f>
        <v>23452</v>
      </c>
      <c r="AU24" s="276"/>
      <c r="AV24" s="301">
        <f>SUM(AV16:AV23)</f>
        <v>170727</v>
      </c>
      <c r="AW24" s="301">
        <f>SUM(AW16:AW23)</f>
        <v>175236</v>
      </c>
      <c r="AX24" s="301">
        <f>SUM(AX16:AX23)</f>
        <v>4509</v>
      </c>
      <c r="AY24" s="300"/>
      <c r="AZ24" s="308" t="s">
        <v>1212</v>
      </c>
      <c r="BA24" s="276"/>
      <c r="BB24" s="301">
        <f>SUM(BB16:BB23)</f>
        <v>18802</v>
      </c>
      <c r="BC24" s="301">
        <f>SUM(BC16:BC23)</f>
        <v>18981</v>
      </c>
      <c r="BD24" s="301">
        <f>SUM(BD16:BD23)</f>
        <v>179</v>
      </c>
      <c r="BE24" s="276"/>
      <c r="BF24" s="301"/>
      <c r="BG24" s="301"/>
      <c r="BH24" s="301"/>
      <c r="BI24" s="276"/>
      <c r="BJ24" s="301">
        <f>SUM(BJ16:BJ23)</f>
        <v>1683000</v>
      </c>
      <c r="BK24" s="301">
        <f>SUM(BK16:BK23)</f>
        <v>1577208</v>
      </c>
      <c r="BL24" s="301">
        <f t="shared" ref="BL24:DF24" si="53">SUM(BL16:BL23)</f>
        <v>-105792</v>
      </c>
      <c r="BM24" s="300"/>
      <c r="BN24" s="308" t="s">
        <v>1212</v>
      </c>
      <c r="BO24" s="300"/>
      <c r="BP24" s="301">
        <f t="shared" si="53"/>
        <v>450719</v>
      </c>
      <c r="BQ24" s="301">
        <f t="shared" si="53"/>
        <v>478392</v>
      </c>
      <c r="BR24" s="301">
        <f t="shared" si="53"/>
        <v>27673</v>
      </c>
      <c r="BS24" s="300"/>
      <c r="BT24" s="301">
        <f t="shared" si="53"/>
        <v>935502</v>
      </c>
      <c r="BU24" s="301">
        <f t="shared" si="53"/>
        <v>932853</v>
      </c>
      <c r="BV24" s="301">
        <f t="shared" si="53"/>
        <v>-2649</v>
      </c>
      <c r="BW24" s="300"/>
      <c r="BX24" s="308" t="s">
        <v>1212</v>
      </c>
      <c r="BY24" s="300"/>
      <c r="BZ24" s="301">
        <f t="shared" si="53"/>
        <v>0</v>
      </c>
      <c r="CA24" s="301">
        <f t="shared" si="53"/>
        <v>19</v>
      </c>
      <c r="CB24" s="301">
        <f t="shared" si="53"/>
        <v>19</v>
      </c>
      <c r="CC24" s="300"/>
      <c r="CD24" s="301">
        <f t="shared" si="53"/>
        <v>2445602</v>
      </c>
      <c r="CE24" s="301">
        <f t="shared" si="53"/>
        <v>2523945</v>
      </c>
      <c r="CF24" s="301">
        <f t="shared" si="53"/>
        <v>78343</v>
      </c>
      <c r="CG24" s="300"/>
      <c r="CH24" s="308" t="s">
        <v>1212</v>
      </c>
      <c r="CI24" s="276"/>
      <c r="CJ24" s="301">
        <f t="shared" si="53"/>
        <v>179484</v>
      </c>
      <c r="CK24" s="301">
        <f t="shared" si="53"/>
        <v>182843</v>
      </c>
      <c r="CL24" s="301">
        <f t="shared" si="53"/>
        <v>3359</v>
      </c>
      <c r="CM24" s="276"/>
      <c r="CN24" s="301">
        <f t="shared" si="53"/>
        <v>232690</v>
      </c>
      <c r="CO24" s="301">
        <f t="shared" si="53"/>
        <v>233635</v>
      </c>
      <c r="CP24" s="301">
        <f t="shared" si="53"/>
        <v>945</v>
      </c>
      <c r="CQ24" s="300"/>
      <c r="CR24" s="308" t="s">
        <v>1212</v>
      </c>
      <c r="CS24" s="276"/>
      <c r="CT24" s="301">
        <f t="shared" si="53"/>
        <v>0</v>
      </c>
      <c r="CU24" s="301">
        <f t="shared" si="53"/>
        <v>0</v>
      </c>
      <c r="CV24" s="301">
        <f t="shared" si="53"/>
        <v>0</v>
      </c>
      <c r="CW24" s="276"/>
      <c r="CX24" s="301">
        <f t="shared" si="53"/>
        <v>254800</v>
      </c>
      <c r="CY24" s="301">
        <f t="shared" si="53"/>
        <v>299964</v>
      </c>
      <c r="CZ24" s="301">
        <f t="shared" si="53"/>
        <v>45164</v>
      </c>
      <c r="DA24" s="300"/>
      <c r="DB24" s="308" t="s">
        <v>1212</v>
      </c>
      <c r="DC24" s="276"/>
      <c r="DD24" s="301">
        <f t="shared" si="53"/>
        <v>128500</v>
      </c>
      <c r="DE24" s="301">
        <f t="shared" si="53"/>
        <v>94970</v>
      </c>
      <c r="DF24" s="301">
        <f t="shared" si="53"/>
        <v>-33530</v>
      </c>
      <c r="DG24" s="276"/>
      <c r="DH24" s="301">
        <f>SUM(DH16:DH23)</f>
        <v>4971391</v>
      </c>
      <c r="DI24" s="301">
        <f>SUM(DI16:DI23)</f>
        <v>4861322</v>
      </c>
      <c r="DJ24" s="301">
        <f>SUM(DJ16:DJ23)</f>
        <v>-110069</v>
      </c>
      <c r="DK24" s="276"/>
      <c r="DL24" s="308" t="s">
        <v>1212</v>
      </c>
      <c r="DM24" s="276"/>
      <c r="DN24" s="301">
        <f>SUM(DN16:DN23)</f>
        <v>5000</v>
      </c>
      <c r="DO24" s="301">
        <f>SUM(DO16:DO23)</f>
        <v>43710</v>
      </c>
      <c r="DP24" s="301">
        <f>SUM(DP16:DP23)</f>
        <v>38710</v>
      </c>
      <c r="DQ24" s="276"/>
      <c r="DR24" s="301">
        <f>SUM(DR16:DR23)</f>
        <v>25523</v>
      </c>
      <c r="DS24" s="301">
        <f>SUM(DS16:DS23)</f>
        <v>33441</v>
      </c>
      <c r="DT24" s="301">
        <f>SUM(DT16:DT23)</f>
        <v>7918</v>
      </c>
      <c r="DU24" s="276"/>
      <c r="DV24" s="308" t="s">
        <v>1212</v>
      </c>
      <c r="DW24" s="276"/>
      <c r="DX24" s="301">
        <f>SUM(DX16:DX23)</f>
        <v>43000</v>
      </c>
      <c r="DY24" s="301">
        <f>SUM(DY16:DY23)</f>
        <v>41954</v>
      </c>
      <c r="DZ24" s="301">
        <f>SUM(DZ16:DZ23)</f>
        <v>-1046</v>
      </c>
      <c r="EA24" s="276"/>
      <c r="EB24" s="301">
        <f>SUM(EB16:EB23)</f>
        <v>0</v>
      </c>
      <c r="EC24" s="301">
        <f>SUM(EC16:EC23)</f>
        <v>94</v>
      </c>
      <c r="ED24" s="301">
        <f>SUM(ED16:ED23)</f>
        <v>94</v>
      </c>
      <c r="EE24" s="276"/>
      <c r="EF24" s="308" t="s">
        <v>1212</v>
      </c>
      <c r="EG24" s="276"/>
      <c r="EH24" s="301">
        <f>SUM(EH16:EH23)</f>
        <v>70000</v>
      </c>
      <c r="EI24" s="301">
        <f>SUM(EI16:EI23)</f>
        <v>18709</v>
      </c>
      <c r="EJ24" s="301">
        <f>SUM(EJ16:EJ23)</f>
        <v>-51291</v>
      </c>
      <c r="EK24" s="276"/>
      <c r="EL24" s="301">
        <f>SUM(EL16:EL23)</f>
        <v>50600</v>
      </c>
      <c r="EM24" s="301">
        <f>SUM(EM16:EM23)</f>
        <v>9564</v>
      </c>
      <c r="EN24" s="301">
        <f>SUM(EN16:EN23)</f>
        <v>-41036</v>
      </c>
      <c r="EO24" s="276"/>
      <c r="EP24" s="308" t="s">
        <v>1212</v>
      </c>
      <c r="EQ24" s="276"/>
      <c r="ER24" s="301">
        <f>SUM(ER16:ER23)</f>
        <v>150</v>
      </c>
      <c r="ES24" s="301">
        <f>SUM(ES16:ES23)</f>
        <v>977</v>
      </c>
      <c r="ET24" s="301">
        <f>SUM(ET16:ET23)</f>
        <v>827</v>
      </c>
      <c r="EU24" s="276"/>
      <c r="EV24" s="301">
        <f>SUM(EV16:EV23)</f>
        <v>0</v>
      </c>
      <c r="EW24" s="301">
        <f>SUM(EW16:EW23)</f>
        <v>2070</v>
      </c>
      <c r="EX24" s="301">
        <f>SUM(EX16:EX23)</f>
        <v>2070</v>
      </c>
      <c r="EY24" s="276"/>
      <c r="EZ24" s="308" t="s">
        <v>1212</v>
      </c>
      <c r="FA24" s="276"/>
      <c r="FB24" s="301">
        <f>SUM(FB16:FB23)</f>
        <v>49897</v>
      </c>
      <c r="FC24" s="301">
        <f>SUM(FC16:FC23)</f>
        <v>28855</v>
      </c>
      <c r="FD24" s="301">
        <f>SUM(FD16:FD23)</f>
        <v>-21042</v>
      </c>
      <c r="FE24" s="276"/>
      <c r="FF24" s="301">
        <f>SUM(FF16:FF23)</f>
        <v>174151</v>
      </c>
      <c r="FG24" s="301">
        <f>SUM(FG16:FG23)</f>
        <v>186896</v>
      </c>
      <c r="FH24" s="301">
        <f>SUM(FH16:FH23)</f>
        <v>12745</v>
      </c>
      <c r="FI24" s="276"/>
      <c r="FJ24" s="308" t="s">
        <v>1212</v>
      </c>
      <c r="FK24" s="276"/>
      <c r="FL24" s="301">
        <f>SUM(FL16:FL23)</f>
        <v>11625</v>
      </c>
      <c r="FM24" s="301">
        <f>SUM(FM16:FM23)</f>
        <v>16578</v>
      </c>
      <c r="FN24" s="301">
        <f>SUM(FN16:FN23)</f>
        <v>4953</v>
      </c>
      <c r="FO24" s="276"/>
      <c r="FP24" s="301">
        <f>SUM(FP16:FP23)</f>
        <v>27200</v>
      </c>
      <c r="FQ24" s="301">
        <f>SUM(FQ16:FQ23)</f>
        <v>27243</v>
      </c>
      <c r="FR24" s="301">
        <f>SUM(FR16:FR23)</f>
        <v>43</v>
      </c>
      <c r="FS24" s="276"/>
      <c r="FT24" s="308" t="s">
        <v>1212</v>
      </c>
      <c r="FU24" s="276"/>
      <c r="FV24" s="301">
        <f>SUM(FV16:FV23)</f>
        <v>0</v>
      </c>
      <c r="FW24" s="301">
        <f>SUM(FW16:FW23)</f>
        <v>0</v>
      </c>
      <c r="FX24" s="301">
        <f>SUM(FX16:FX23)</f>
        <v>0</v>
      </c>
      <c r="FY24" s="276"/>
      <c r="FZ24" s="301">
        <f>SUM(FZ16:FZ23)</f>
        <v>0</v>
      </c>
      <c r="GA24" s="301">
        <f>SUM(GA16:GA23)</f>
        <v>66678</v>
      </c>
      <c r="GB24" s="301">
        <f>SUM(GB16:GB23)</f>
        <v>66678</v>
      </c>
      <c r="GC24" s="276"/>
      <c r="GD24" s="301">
        <f>SUM(GD16:GD23)</f>
        <v>0</v>
      </c>
      <c r="GE24" s="301">
        <f>SUM(GE16:GE23)</f>
        <v>175320</v>
      </c>
      <c r="GF24" s="301">
        <f>SUM(GF16:GF23)</f>
        <v>175320</v>
      </c>
      <c r="GG24" s="276"/>
      <c r="GH24" s="308" t="s">
        <v>1212</v>
      </c>
      <c r="GI24" s="308"/>
      <c r="GJ24" s="301">
        <f>SUM(GJ16:GJ23)</f>
        <v>250000</v>
      </c>
      <c r="GK24" s="301">
        <f>SUM(GK16:GK23)</f>
        <v>235770</v>
      </c>
      <c r="GL24" s="301">
        <f>SUM(GL16:GL23)</f>
        <v>-14230</v>
      </c>
      <c r="GN24" s="276"/>
      <c r="GO24" s="301">
        <f>SUM(GO16:GO23)</f>
        <v>260000</v>
      </c>
      <c r="GP24" s="301">
        <f>SUM(GP16:GP23)</f>
        <v>272779</v>
      </c>
      <c r="GQ24" s="301">
        <f>SUM(GQ16:GQ23)</f>
        <v>12779</v>
      </c>
      <c r="GR24" s="276"/>
      <c r="GS24" s="308" t="s">
        <v>1212</v>
      </c>
      <c r="GT24" s="276"/>
      <c r="GU24" s="301">
        <f>SUM(GU16:GU23)</f>
        <v>338609</v>
      </c>
      <c r="GV24" s="301">
        <f>SUM(GV16:GV23)</f>
        <v>338610</v>
      </c>
      <c r="GW24" s="301">
        <f>SUM(GW16:GW23)</f>
        <v>1</v>
      </c>
      <c r="GX24" s="300"/>
      <c r="GY24" s="301">
        <f>SUM(GY16:GY23)</f>
        <v>244545</v>
      </c>
      <c r="GZ24" s="301">
        <f>SUM(GZ16:GZ23)</f>
        <v>310691</v>
      </c>
      <c r="HA24" s="301">
        <f>SUM(HA16:HA23)</f>
        <v>66146</v>
      </c>
      <c r="HB24" s="276"/>
      <c r="HC24" s="308" t="s">
        <v>1212</v>
      </c>
      <c r="HD24" s="276"/>
      <c r="HE24" s="301">
        <f>SUM(HE16:HE23)</f>
        <v>31786</v>
      </c>
      <c r="HF24" s="301">
        <f>SUM(HF16:HF23)</f>
        <v>0</v>
      </c>
      <c r="HG24" s="301">
        <f>SUM(HG16:HG23)</f>
        <v>-31786</v>
      </c>
      <c r="HH24" s="300"/>
      <c r="HI24" s="301">
        <f>SUM(HI16:HI23)</f>
        <v>188726</v>
      </c>
      <c r="HJ24" s="301">
        <f>SUM(HJ16:HJ23)</f>
        <v>100801</v>
      </c>
      <c r="HK24" s="301">
        <f>SUM(HK16:HK23)</f>
        <v>-87925</v>
      </c>
      <c r="HL24" s="276"/>
      <c r="HM24" s="308" t="s">
        <v>1212</v>
      </c>
      <c r="HN24" s="276"/>
      <c r="HO24" s="301">
        <f>SUM(HO16:HO23)</f>
        <v>0</v>
      </c>
      <c r="HP24" s="301">
        <f>SUM(HP16:HP23)</f>
        <v>0</v>
      </c>
      <c r="HQ24" s="301">
        <f>SUM(HQ16:HQ23)</f>
        <v>0</v>
      </c>
      <c r="HR24" s="276"/>
      <c r="HS24" s="301">
        <f>SUM(HS16:HS23)</f>
        <v>0</v>
      </c>
      <c r="HT24" s="301">
        <f>SUM(HT16:HT23)</f>
        <v>0</v>
      </c>
      <c r="HU24" s="301">
        <f>SUM(HU16:HU23)</f>
        <v>0</v>
      </c>
      <c r="HV24" s="300"/>
      <c r="HW24" s="301">
        <f>SUM(HW16:HW23)</f>
        <v>25379</v>
      </c>
      <c r="HX24" s="301">
        <f>SUM(HX16:HX23)</f>
        <v>24352</v>
      </c>
      <c r="HY24" s="301">
        <f>SUM(HY16:HY23)</f>
        <v>-1027</v>
      </c>
      <c r="HZ24" s="276"/>
      <c r="IA24" s="308" t="s">
        <v>1212</v>
      </c>
      <c r="IB24" s="276"/>
      <c r="IC24" s="301">
        <f>SUM(IC16:IC23)</f>
        <v>137008</v>
      </c>
      <c r="ID24" s="301">
        <f>SUM(ID16:ID23)</f>
        <v>104225</v>
      </c>
      <c r="IE24" s="301">
        <f>SUM(IE16:IE23)</f>
        <v>-32783</v>
      </c>
      <c r="IF24" s="300"/>
      <c r="IG24" s="276"/>
      <c r="IH24" s="301">
        <f>SUM(IH16:IH23)</f>
        <v>23476401</v>
      </c>
      <c r="II24" s="301">
        <f>SUM(II16:II23)</f>
        <v>23217262</v>
      </c>
      <c r="IJ24" s="301">
        <f>SUM(IJ16:IJ23)</f>
        <v>-259139</v>
      </c>
      <c r="IK24" s="276"/>
      <c r="IL24" s="308" t="s">
        <v>1212</v>
      </c>
      <c r="IM24" s="276"/>
      <c r="IN24" s="308"/>
      <c r="IO24" s="308"/>
      <c r="IP24" s="308"/>
      <c r="IQ24" s="300"/>
      <c r="IR24" s="300"/>
      <c r="IS24" s="300"/>
      <c r="IW24" s="276"/>
      <c r="IX24" s="294"/>
      <c r="IY24" s="294"/>
      <c r="JA24" s="301">
        <f>SUM(JA16:JA23)</f>
        <v>0</v>
      </c>
      <c r="JB24" s="301">
        <f>SUM(JB16:JB23)</f>
        <v>0</v>
      </c>
      <c r="JC24" s="516">
        <f>SUM(JC16:JC23)</f>
        <v>0</v>
      </c>
    </row>
    <row r="25" spans="2:267" ht="15.75">
      <c r="B25" s="276"/>
      <c r="C25" s="276"/>
      <c r="D25" s="294"/>
      <c r="E25" s="294"/>
      <c r="F25" s="294"/>
      <c r="G25" s="276"/>
      <c r="H25" s="296"/>
      <c r="I25" s="296"/>
      <c r="J25" s="294"/>
      <c r="K25" s="276"/>
      <c r="L25" s="276"/>
      <c r="M25" s="276"/>
      <c r="N25" s="296"/>
      <c r="O25" s="296"/>
      <c r="P25" s="294"/>
      <c r="Q25" s="276"/>
      <c r="R25" s="296"/>
      <c r="S25" s="296"/>
      <c r="T25" s="294"/>
      <c r="U25" s="276"/>
      <c r="V25" s="276"/>
      <c r="W25" s="276"/>
      <c r="X25" s="296"/>
      <c r="Y25" s="296"/>
      <c r="Z25" s="294"/>
      <c r="AA25" s="276"/>
      <c r="AB25" s="296"/>
      <c r="AC25" s="296"/>
      <c r="AD25" s="294"/>
      <c r="AE25" s="294"/>
      <c r="AF25" s="276"/>
      <c r="AG25" s="276"/>
      <c r="AH25" s="296"/>
      <c r="AI25" s="296"/>
      <c r="AJ25" s="294"/>
      <c r="AK25" s="276"/>
      <c r="AL25" s="296"/>
      <c r="AM25" s="296"/>
      <c r="AN25" s="294"/>
      <c r="AO25" s="294"/>
      <c r="AP25" s="276"/>
      <c r="AQ25" s="276"/>
      <c r="AR25" s="296"/>
      <c r="AS25" s="296"/>
      <c r="AT25" s="294"/>
      <c r="AU25" s="276"/>
      <c r="AV25" s="296"/>
      <c r="AW25" s="296"/>
      <c r="AX25" s="294"/>
      <c r="AY25" s="294"/>
      <c r="AZ25" s="276"/>
      <c r="BA25" s="276"/>
      <c r="BB25" s="296"/>
      <c r="BC25" s="296"/>
      <c r="BD25" s="294"/>
      <c r="BE25" s="276"/>
      <c r="BF25" s="294"/>
      <c r="BG25" s="294"/>
      <c r="BH25" s="294"/>
      <c r="BI25" s="276"/>
      <c r="BJ25" s="296"/>
      <c r="BK25" s="296"/>
      <c r="BL25" s="294"/>
      <c r="BM25" s="294"/>
      <c r="BN25" s="276"/>
      <c r="BO25" s="294"/>
      <c r="BP25" s="296"/>
      <c r="BQ25" s="296"/>
      <c r="BR25" s="294"/>
      <c r="BS25" s="294"/>
      <c r="BT25" s="296"/>
      <c r="BU25" s="296"/>
      <c r="BV25" s="294"/>
      <c r="BW25" s="294"/>
      <c r="BX25" s="276"/>
      <c r="BY25" s="294"/>
      <c r="BZ25" s="296"/>
      <c r="CA25" s="296"/>
      <c r="CB25" s="294"/>
      <c r="CC25" s="294"/>
      <c r="CD25" s="296"/>
      <c r="CE25" s="296"/>
      <c r="CF25" s="294"/>
      <c r="CG25" s="294"/>
      <c r="CH25" s="276"/>
      <c r="CI25" s="276"/>
      <c r="CJ25" s="296"/>
      <c r="CK25" s="296"/>
      <c r="CL25" s="294"/>
      <c r="CM25" s="276"/>
      <c r="CN25" s="296"/>
      <c r="CO25" s="296"/>
      <c r="CP25" s="294"/>
      <c r="CQ25" s="294"/>
      <c r="CR25" s="276"/>
      <c r="CS25" s="276"/>
      <c r="CT25" s="296"/>
      <c r="CU25" s="296"/>
      <c r="CV25" s="294"/>
      <c r="CW25" s="276"/>
      <c r="CX25" s="296"/>
      <c r="CY25" s="296"/>
      <c r="CZ25" s="294"/>
      <c r="DA25" s="294"/>
      <c r="DB25" s="276"/>
      <c r="DC25" s="276"/>
      <c r="DD25" s="296"/>
      <c r="DE25" s="296"/>
      <c r="DF25" s="294"/>
      <c r="DG25" s="276"/>
      <c r="DH25" s="296"/>
      <c r="DI25" s="296"/>
      <c r="DJ25" s="294"/>
      <c r="DK25" s="276"/>
      <c r="DL25" s="276"/>
      <c r="DM25" s="276"/>
      <c r="DN25" s="296"/>
      <c r="DO25" s="296"/>
      <c r="DP25" s="294"/>
      <c r="DQ25" s="276"/>
      <c r="DR25" s="296"/>
      <c r="DS25" s="296"/>
      <c r="DT25" s="294"/>
      <c r="DU25" s="276"/>
      <c r="DV25" s="276"/>
      <c r="DW25" s="276"/>
      <c r="DX25" s="296"/>
      <c r="DY25" s="296"/>
      <c r="DZ25" s="294"/>
      <c r="EA25" s="276"/>
      <c r="EB25" s="296"/>
      <c r="EC25" s="296"/>
      <c r="ED25" s="294"/>
      <c r="EE25" s="276"/>
      <c r="EF25" s="276"/>
      <c r="EG25" s="276"/>
      <c r="EH25" s="296"/>
      <c r="EI25" s="296"/>
      <c r="EJ25" s="294"/>
      <c r="EK25" s="276"/>
      <c r="EL25" s="296"/>
      <c r="EM25" s="296"/>
      <c r="EN25" s="294"/>
      <c r="EO25" s="276"/>
      <c r="EP25" s="276"/>
      <c r="EQ25" s="276"/>
      <c r="ER25" s="296"/>
      <c r="ES25" s="296"/>
      <c r="ET25" s="294"/>
      <c r="EU25" s="276"/>
      <c r="EV25" s="296"/>
      <c r="EW25" s="296"/>
      <c r="EX25" s="294"/>
      <c r="EY25" s="276"/>
      <c r="EZ25" s="276"/>
      <c r="FA25" s="276"/>
      <c r="FB25" s="296"/>
      <c r="FC25" s="296"/>
      <c r="FD25" s="294"/>
      <c r="FE25" s="276"/>
      <c r="FF25" s="296"/>
      <c r="FG25" s="296"/>
      <c r="FH25" s="294"/>
      <c r="FI25" s="276"/>
      <c r="FJ25" s="276"/>
      <c r="FK25" s="276"/>
      <c r="FL25" s="296"/>
      <c r="FM25" s="296"/>
      <c r="FN25" s="294"/>
      <c r="FO25" s="276"/>
      <c r="FP25" s="296"/>
      <c r="FQ25" s="296"/>
      <c r="FR25" s="294"/>
      <c r="FS25" s="276"/>
      <c r="FT25" s="276"/>
      <c r="FU25" s="276"/>
      <c r="FV25" s="296"/>
      <c r="FW25" s="296"/>
      <c r="FX25" s="294"/>
      <c r="FY25" s="276"/>
      <c r="FZ25" s="296"/>
      <c r="GA25" s="296"/>
      <c r="GB25" s="294"/>
      <c r="GC25" s="276"/>
      <c r="GD25" s="296"/>
      <c r="GE25" s="296"/>
      <c r="GF25" s="294"/>
      <c r="GG25" s="276"/>
      <c r="GH25" s="276"/>
      <c r="GI25" s="276"/>
      <c r="GJ25" s="296"/>
      <c r="GK25" s="296"/>
      <c r="GL25" s="294"/>
      <c r="GN25" s="276"/>
      <c r="GO25" s="296"/>
      <c r="GP25" s="296"/>
      <c r="GQ25" s="294"/>
      <c r="GR25" s="276"/>
      <c r="GS25" s="276"/>
      <c r="GT25" s="276"/>
      <c r="GU25" s="296"/>
      <c r="GV25" s="296"/>
      <c r="GW25" s="294"/>
      <c r="GX25" s="294"/>
      <c r="GY25" s="296"/>
      <c r="GZ25" s="296"/>
      <c r="HA25" s="294"/>
      <c r="HB25" s="276"/>
      <c r="HC25" s="276"/>
      <c r="HD25" s="276"/>
      <c r="HE25" s="296"/>
      <c r="HF25" s="296"/>
      <c r="HG25" s="294"/>
      <c r="HH25" s="294"/>
      <c r="HI25" s="296"/>
      <c r="HJ25" s="296"/>
      <c r="HK25" s="294"/>
      <c r="HL25" s="276"/>
      <c r="HM25" s="276"/>
      <c r="HN25" s="276"/>
      <c r="HO25" s="296"/>
      <c r="HP25" s="296"/>
      <c r="HQ25" s="294"/>
      <c r="HR25" s="276"/>
      <c r="HS25" s="296"/>
      <c r="HT25" s="296"/>
      <c r="HU25" s="294"/>
      <c r="HV25" s="294"/>
      <c r="HW25" s="296"/>
      <c r="HX25" s="296"/>
      <c r="HY25" s="294"/>
      <c r="HZ25" s="276"/>
      <c r="IA25" s="276"/>
      <c r="IB25" s="276"/>
      <c r="IC25" s="296"/>
      <c r="ID25" s="296"/>
      <c r="IE25" s="294"/>
      <c r="IF25" s="294"/>
      <c r="IG25" s="276"/>
      <c r="IH25" s="296"/>
      <c r="II25" s="296"/>
      <c r="IJ25" s="296"/>
      <c r="IK25" s="276"/>
      <c r="IL25" s="276"/>
      <c r="IM25" s="276"/>
      <c r="IN25" s="308"/>
      <c r="IO25" s="308"/>
      <c r="IP25" s="308"/>
      <c r="IQ25" s="294"/>
      <c r="IR25" s="294"/>
      <c r="IS25" s="294"/>
      <c r="IW25" s="276"/>
      <c r="IX25" s="294"/>
      <c r="IY25" s="294"/>
      <c r="JA25" s="296"/>
      <c r="JB25" s="296"/>
      <c r="JC25" s="514"/>
    </row>
    <row r="26" spans="2:267" ht="15.75">
      <c r="B26" s="308" t="s">
        <v>202</v>
      </c>
      <c r="C26" s="308"/>
      <c r="D26" s="294"/>
      <c r="E26" s="294"/>
      <c r="F26" s="294"/>
      <c r="G26" s="276"/>
      <c r="H26" s="314"/>
      <c r="I26" s="314"/>
      <c r="J26" s="294"/>
      <c r="K26" s="308"/>
      <c r="L26" s="308" t="s">
        <v>202</v>
      </c>
      <c r="M26" s="308"/>
      <c r="N26" s="314"/>
      <c r="O26" s="314"/>
      <c r="P26" s="294"/>
      <c r="Q26" s="276"/>
      <c r="R26" s="314"/>
      <c r="S26" s="314"/>
      <c r="T26" s="294"/>
      <c r="U26" s="308"/>
      <c r="V26" s="308" t="s">
        <v>202</v>
      </c>
      <c r="W26" s="276"/>
      <c r="X26" s="314"/>
      <c r="Y26" s="314"/>
      <c r="Z26" s="294"/>
      <c r="AA26" s="276"/>
      <c r="AB26" s="314"/>
      <c r="AC26" s="314"/>
      <c r="AD26" s="294"/>
      <c r="AE26" s="294"/>
      <c r="AF26" s="308" t="s">
        <v>202</v>
      </c>
      <c r="AG26" s="276"/>
      <c r="AH26" s="314"/>
      <c r="AI26" s="314"/>
      <c r="AJ26" s="294"/>
      <c r="AK26" s="276"/>
      <c r="AL26" s="314"/>
      <c r="AM26" s="314"/>
      <c r="AN26" s="294"/>
      <c r="AO26" s="294"/>
      <c r="AP26" s="308" t="s">
        <v>202</v>
      </c>
      <c r="AQ26" s="276"/>
      <c r="AR26" s="314"/>
      <c r="AS26" s="314"/>
      <c r="AT26" s="294"/>
      <c r="AU26" s="276"/>
      <c r="AV26" s="314"/>
      <c r="AW26" s="314"/>
      <c r="AX26" s="294"/>
      <c r="AY26" s="294"/>
      <c r="AZ26" s="308" t="s">
        <v>202</v>
      </c>
      <c r="BA26" s="276"/>
      <c r="BB26" s="314"/>
      <c r="BC26" s="314"/>
      <c r="BD26" s="294"/>
      <c r="BE26" s="276"/>
      <c r="BF26" s="294"/>
      <c r="BG26" s="294"/>
      <c r="BH26" s="294"/>
      <c r="BI26" s="276"/>
      <c r="BJ26" s="314"/>
      <c r="BK26" s="314"/>
      <c r="BL26" s="294"/>
      <c r="BM26" s="294"/>
      <c r="BN26" s="308" t="s">
        <v>202</v>
      </c>
      <c r="BO26" s="294"/>
      <c r="BP26" s="314"/>
      <c r="BQ26" s="314"/>
      <c r="BR26" s="294"/>
      <c r="BS26" s="294"/>
      <c r="BT26" s="314"/>
      <c r="BU26" s="314"/>
      <c r="BV26" s="294"/>
      <c r="BW26" s="294"/>
      <c r="BX26" s="308" t="s">
        <v>202</v>
      </c>
      <c r="BY26" s="294"/>
      <c r="BZ26" s="314"/>
      <c r="CA26" s="314"/>
      <c r="CB26" s="294"/>
      <c r="CC26" s="294"/>
      <c r="CD26" s="314"/>
      <c r="CE26" s="314"/>
      <c r="CF26" s="294"/>
      <c r="CG26" s="294"/>
      <c r="CH26" s="308" t="s">
        <v>202</v>
      </c>
      <c r="CI26" s="276"/>
      <c r="CJ26" s="314"/>
      <c r="CK26" s="314"/>
      <c r="CL26" s="294"/>
      <c r="CM26" s="276"/>
      <c r="CN26" s="314"/>
      <c r="CO26" s="314"/>
      <c r="CP26" s="294"/>
      <c r="CQ26" s="294"/>
      <c r="CR26" s="308" t="s">
        <v>202</v>
      </c>
      <c r="CS26" s="276"/>
      <c r="CT26" s="314"/>
      <c r="CU26" s="314"/>
      <c r="CV26" s="294"/>
      <c r="CW26" s="276"/>
      <c r="CX26" s="314"/>
      <c r="CY26" s="314"/>
      <c r="CZ26" s="294"/>
      <c r="DA26" s="294"/>
      <c r="DB26" s="308" t="s">
        <v>202</v>
      </c>
      <c r="DC26" s="276"/>
      <c r="DD26" s="314"/>
      <c r="DE26" s="314"/>
      <c r="DF26" s="294"/>
      <c r="DG26" s="276"/>
      <c r="DH26" s="314"/>
      <c r="DI26" s="314"/>
      <c r="DJ26" s="294"/>
      <c r="DK26" s="276"/>
      <c r="DL26" s="308" t="s">
        <v>202</v>
      </c>
      <c r="DM26" s="276"/>
      <c r="DN26" s="314"/>
      <c r="DO26" s="314"/>
      <c r="DP26" s="294"/>
      <c r="DQ26" s="276"/>
      <c r="DR26" s="314"/>
      <c r="DS26" s="314"/>
      <c r="DT26" s="294"/>
      <c r="DU26" s="276"/>
      <c r="DV26" s="308" t="s">
        <v>202</v>
      </c>
      <c r="DW26" s="276"/>
      <c r="DX26" s="314"/>
      <c r="DY26" s="314"/>
      <c r="DZ26" s="294"/>
      <c r="EA26" s="276"/>
      <c r="EB26" s="314"/>
      <c r="EC26" s="314"/>
      <c r="ED26" s="294"/>
      <c r="EE26" s="276"/>
      <c r="EF26" s="308" t="s">
        <v>202</v>
      </c>
      <c r="EG26" s="276"/>
      <c r="EH26" s="314"/>
      <c r="EI26" s="314"/>
      <c r="EJ26" s="294"/>
      <c r="EK26" s="276"/>
      <c r="EL26" s="314"/>
      <c r="EM26" s="314"/>
      <c r="EN26" s="294"/>
      <c r="EO26" s="276"/>
      <c r="EP26" s="308" t="s">
        <v>202</v>
      </c>
      <c r="EQ26" s="276"/>
      <c r="ER26" s="314"/>
      <c r="ES26" s="314"/>
      <c r="ET26" s="294"/>
      <c r="EU26" s="276"/>
      <c r="EV26" s="314"/>
      <c r="EW26" s="314"/>
      <c r="EX26" s="294"/>
      <c r="EY26" s="276"/>
      <c r="EZ26" s="308" t="s">
        <v>202</v>
      </c>
      <c r="FA26" s="276"/>
      <c r="FB26" s="314"/>
      <c r="FC26" s="314"/>
      <c r="FD26" s="294"/>
      <c r="FE26" s="276"/>
      <c r="FF26" s="314"/>
      <c r="FG26" s="314"/>
      <c r="FH26" s="294"/>
      <c r="FI26" s="276"/>
      <c r="FJ26" s="308" t="s">
        <v>202</v>
      </c>
      <c r="FK26" s="276"/>
      <c r="FL26" s="314"/>
      <c r="FM26" s="314"/>
      <c r="FN26" s="294"/>
      <c r="FO26" s="276"/>
      <c r="FP26" s="314"/>
      <c r="FQ26" s="314"/>
      <c r="FR26" s="294"/>
      <c r="FS26" s="276"/>
      <c r="FT26" s="308" t="s">
        <v>202</v>
      </c>
      <c r="FU26" s="276"/>
      <c r="FV26" s="314"/>
      <c r="FW26" s="314"/>
      <c r="FX26" s="294"/>
      <c r="FY26" s="276"/>
      <c r="FZ26" s="314"/>
      <c r="GA26" s="314"/>
      <c r="GB26" s="294"/>
      <c r="GC26" s="276"/>
      <c r="GD26" s="314"/>
      <c r="GE26" s="314"/>
      <c r="GF26" s="294"/>
      <c r="GG26" s="276"/>
      <c r="GH26" s="308" t="s">
        <v>202</v>
      </c>
      <c r="GI26" s="308"/>
      <c r="GJ26" s="314"/>
      <c r="GK26" s="314"/>
      <c r="GL26" s="294"/>
      <c r="GN26" s="276"/>
      <c r="GO26" s="314"/>
      <c r="GP26" s="314"/>
      <c r="GQ26" s="294"/>
      <c r="GR26" s="276"/>
      <c r="GS26" s="308" t="s">
        <v>202</v>
      </c>
      <c r="GT26" s="276"/>
      <c r="GU26" s="314"/>
      <c r="GV26" s="314"/>
      <c r="GW26" s="294"/>
      <c r="GX26" s="294"/>
      <c r="GY26" s="314"/>
      <c r="GZ26" s="314"/>
      <c r="HA26" s="294"/>
      <c r="HB26" s="276"/>
      <c r="HC26" s="308" t="s">
        <v>202</v>
      </c>
      <c r="HD26" s="276"/>
      <c r="HE26" s="314"/>
      <c r="HF26" s="314"/>
      <c r="HG26" s="294"/>
      <c r="HH26" s="294"/>
      <c r="HI26" s="314"/>
      <c r="HJ26" s="314"/>
      <c r="HK26" s="294"/>
      <c r="HL26" s="276"/>
      <c r="HM26" s="308" t="s">
        <v>202</v>
      </c>
      <c r="HN26" s="276"/>
      <c r="HO26" s="314"/>
      <c r="HP26" s="314"/>
      <c r="HQ26" s="294"/>
      <c r="HR26" s="276"/>
      <c r="HS26" s="314"/>
      <c r="HT26" s="314"/>
      <c r="HU26" s="294"/>
      <c r="HV26" s="294"/>
      <c r="HW26" s="314"/>
      <c r="HX26" s="314"/>
      <c r="HY26" s="294"/>
      <c r="HZ26" s="276"/>
      <c r="IA26" s="308" t="s">
        <v>202</v>
      </c>
      <c r="IB26" s="276"/>
      <c r="IC26" s="314"/>
      <c r="ID26" s="314"/>
      <c r="IE26" s="294"/>
      <c r="IF26" s="294"/>
      <c r="IG26" s="276"/>
      <c r="IH26" s="314"/>
      <c r="II26" s="314"/>
      <c r="IJ26" s="294"/>
      <c r="IK26" s="276"/>
      <c r="IL26" s="308" t="s">
        <v>202</v>
      </c>
      <c r="IM26" s="276"/>
      <c r="IN26" s="308"/>
      <c r="IO26" s="308"/>
      <c r="IP26" s="308"/>
      <c r="IQ26" s="294"/>
      <c r="IR26" s="294"/>
      <c r="IS26" s="294"/>
      <c r="IW26" s="276"/>
      <c r="IX26" s="294"/>
      <c r="IY26" s="294"/>
      <c r="JA26" s="314"/>
      <c r="JB26" s="314"/>
      <c r="JC26" s="514"/>
    </row>
    <row r="27" spans="2:267" ht="15.75">
      <c r="B27" s="276" t="s">
        <v>203</v>
      </c>
      <c r="C27" s="276"/>
      <c r="D27" s="294"/>
      <c r="E27" s="294"/>
      <c r="F27" s="294"/>
      <c r="G27" s="276"/>
      <c r="H27" s="296"/>
      <c r="I27" s="296"/>
      <c r="J27" s="294"/>
      <c r="K27" s="276"/>
      <c r="L27" s="276" t="s">
        <v>203</v>
      </c>
      <c r="M27" s="276"/>
      <c r="N27" s="296"/>
      <c r="O27" s="296"/>
      <c r="P27" s="294"/>
      <c r="Q27" s="276"/>
      <c r="R27" s="296"/>
      <c r="S27" s="296"/>
      <c r="T27" s="294"/>
      <c r="U27" s="276"/>
      <c r="V27" s="276" t="s">
        <v>203</v>
      </c>
      <c r="W27" s="276"/>
      <c r="X27" s="296"/>
      <c r="Y27" s="296"/>
      <c r="Z27" s="294"/>
      <c r="AA27" s="276"/>
      <c r="AB27" s="296"/>
      <c r="AC27" s="296"/>
      <c r="AD27" s="294"/>
      <c r="AE27" s="294"/>
      <c r="AF27" s="276" t="s">
        <v>203</v>
      </c>
      <c r="AG27" s="276"/>
      <c r="AH27" s="296"/>
      <c r="AI27" s="296"/>
      <c r="AJ27" s="294"/>
      <c r="AK27" s="276"/>
      <c r="AL27" s="296"/>
      <c r="AM27" s="296"/>
      <c r="AN27" s="294"/>
      <c r="AO27" s="294"/>
      <c r="AP27" s="276" t="s">
        <v>203</v>
      </c>
      <c r="AQ27" s="276"/>
      <c r="AR27" s="296"/>
      <c r="AS27" s="296"/>
      <c r="AT27" s="294"/>
      <c r="AU27" s="276"/>
      <c r="AV27" s="296"/>
      <c r="AW27" s="296"/>
      <c r="AX27" s="294"/>
      <c r="AY27" s="294"/>
      <c r="AZ27" s="276" t="s">
        <v>203</v>
      </c>
      <c r="BA27" s="276"/>
      <c r="BB27" s="296"/>
      <c r="BC27" s="296"/>
      <c r="BD27" s="294"/>
      <c r="BE27" s="276"/>
      <c r="BF27" s="294"/>
      <c r="BG27" s="294"/>
      <c r="BH27" s="294"/>
      <c r="BI27" s="276"/>
      <c r="BJ27" s="296"/>
      <c r="BK27" s="296"/>
      <c r="BL27" s="294"/>
      <c r="BM27" s="294"/>
      <c r="BN27" s="276" t="s">
        <v>203</v>
      </c>
      <c r="BO27" s="294"/>
      <c r="BP27" s="296"/>
      <c r="BQ27" s="296"/>
      <c r="BR27" s="294"/>
      <c r="BS27" s="294"/>
      <c r="BT27" s="296"/>
      <c r="BU27" s="296"/>
      <c r="BV27" s="294"/>
      <c r="BW27" s="294"/>
      <c r="BX27" s="276" t="s">
        <v>203</v>
      </c>
      <c r="BY27" s="294"/>
      <c r="BZ27" s="296"/>
      <c r="CA27" s="296"/>
      <c r="CB27" s="294"/>
      <c r="CC27" s="294"/>
      <c r="CD27" s="296"/>
      <c r="CE27" s="296"/>
      <c r="CF27" s="294"/>
      <c r="CG27" s="294"/>
      <c r="CH27" s="276" t="s">
        <v>203</v>
      </c>
      <c r="CI27" s="276"/>
      <c r="CJ27" s="296"/>
      <c r="CK27" s="296"/>
      <c r="CL27" s="294"/>
      <c r="CM27" s="276"/>
      <c r="CN27" s="296"/>
      <c r="CO27" s="296"/>
      <c r="CP27" s="294"/>
      <c r="CQ27" s="294"/>
      <c r="CR27" s="276" t="s">
        <v>203</v>
      </c>
      <c r="CS27" s="276"/>
      <c r="CT27" s="296"/>
      <c r="CU27" s="296"/>
      <c r="CV27" s="294"/>
      <c r="CW27" s="276"/>
      <c r="CX27" s="296"/>
      <c r="CY27" s="296"/>
      <c r="CZ27" s="294"/>
      <c r="DA27" s="294"/>
      <c r="DB27" s="276" t="s">
        <v>203</v>
      </c>
      <c r="DC27" s="276"/>
      <c r="DD27" s="296"/>
      <c r="DE27" s="296"/>
      <c r="DF27" s="294"/>
      <c r="DG27" s="276"/>
      <c r="DH27" s="296"/>
      <c r="DI27" s="296"/>
      <c r="DJ27" s="294"/>
      <c r="DK27" s="276"/>
      <c r="DL27" s="276" t="s">
        <v>203</v>
      </c>
      <c r="DM27" s="276"/>
      <c r="DN27" s="296"/>
      <c r="DO27" s="296"/>
      <c r="DP27" s="294"/>
      <c r="DQ27" s="276"/>
      <c r="DR27" s="296"/>
      <c r="DS27" s="296"/>
      <c r="DT27" s="294"/>
      <c r="DU27" s="276"/>
      <c r="DV27" s="276" t="s">
        <v>203</v>
      </c>
      <c r="DW27" s="276"/>
      <c r="DX27" s="296"/>
      <c r="DY27" s="296"/>
      <c r="DZ27" s="294"/>
      <c r="EA27" s="276"/>
      <c r="EB27" s="296"/>
      <c r="EC27" s="296"/>
      <c r="ED27" s="294"/>
      <c r="EE27" s="276"/>
      <c r="EF27" s="276" t="s">
        <v>203</v>
      </c>
      <c r="EG27" s="276"/>
      <c r="EH27" s="296"/>
      <c r="EI27" s="296"/>
      <c r="EJ27" s="294"/>
      <c r="EK27" s="276"/>
      <c r="EL27" s="296"/>
      <c r="EM27" s="296"/>
      <c r="EN27" s="294"/>
      <c r="EO27" s="276"/>
      <c r="EP27" s="276" t="s">
        <v>203</v>
      </c>
      <c r="EQ27" s="276"/>
      <c r="ER27" s="296"/>
      <c r="ES27" s="296"/>
      <c r="ET27" s="294"/>
      <c r="EU27" s="276"/>
      <c r="EV27" s="296"/>
      <c r="EW27" s="296"/>
      <c r="EX27" s="294"/>
      <c r="EY27" s="276"/>
      <c r="EZ27" s="276" t="s">
        <v>203</v>
      </c>
      <c r="FA27" s="276"/>
      <c r="FB27" s="296"/>
      <c r="FC27" s="296"/>
      <c r="FD27" s="294"/>
      <c r="FE27" s="276"/>
      <c r="FF27" s="296"/>
      <c r="FG27" s="296"/>
      <c r="FH27" s="294"/>
      <c r="FI27" s="276"/>
      <c r="FJ27" s="276" t="s">
        <v>203</v>
      </c>
      <c r="FK27" s="276"/>
      <c r="FL27" s="296"/>
      <c r="FM27" s="296"/>
      <c r="FN27" s="294"/>
      <c r="FO27" s="276"/>
      <c r="FP27" s="296"/>
      <c r="FQ27" s="296"/>
      <c r="FR27" s="294"/>
      <c r="FS27" s="276"/>
      <c r="FT27" s="276" t="s">
        <v>203</v>
      </c>
      <c r="FU27" s="276"/>
      <c r="FV27" s="296"/>
      <c r="FW27" s="296"/>
      <c r="FX27" s="294"/>
      <c r="FY27" s="276"/>
      <c r="FZ27" s="296"/>
      <c r="GA27" s="296"/>
      <c r="GB27" s="294"/>
      <c r="GC27" s="276"/>
      <c r="GD27" s="296"/>
      <c r="GE27" s="296"/>
      <c r="GF27" s="294"/>
      <c r="GG27" s="276"/>
      <c r="GH27" s="276" t="s">
        <v>203</v>
      </c>
      <c r="GI27" s="276"/>
      <c r="GJ27" s="296"/>
      <c r="GK27" s="296"/>
      <c r="GL27" s="294"/>
      <c r="GN27" s="276"/>
      <c r="GO27" s="296"/>
      <c r="GP27" s="296"/>
      <c r="GQ27" s="294"/>
      <c r="GR27" s="276"/>
      <c r="GS27" s="276" t="s">
        <v>203</v>
      </c>
      <c r="GT27" s="276"/>
      <c r="GU27" s="296"/>
      <c r="GV27" s="296"/>
      <c r="GW27" s="294"/>
      <c r="GX27" s="294"/>
      <c r="GY27" s="296"/>
      <c r="GZ27" s="296"/>
      <c r="HA27" s="294"/>
      <c r="HB27" s="276"/>
      <c r="HC27" s="276" t="s">
        <v>203</v>
      </c>
      <c r="HD27" s="276"/>
      <c r="HE27" s="296"/>
      <c r="HF27" s="296"/>
      <c r="HG27" s="294"/>
      <c r="HH27" s="294"/>
      <c r="HI27" s="296"/>
      <c r="HJ27" s="296"/>
      <c r="HK27" s="294"/>
      <c r="HL27" s="276"/>
      <c r="HM27" s="276" t="s">
        <v>203</v>
      </c>
      <c r="HN27" s="276"/>
      <c r="HO27" s="296"/>
      <c r="HP27" s="296"/>
      <c r="HQ27" s="294"/>
      <c r="HR27" s="276"/>
      <c r="HS27" s="296"/>
      <c r="HT27" s="296"/>
      <c r="HU27" s="294"/>
      <c r="HV27" s="294"/>
      <c r="HW27" s="296"/>
      <c r="HX27" s="296"/>
      <c r="HY27" s="294"/>
      <c r="HZ27" s="276"/>
      <c r="IA27" s="276" t="s">
        <v>203</v>
      </c>
      <c r="IB27" s="276"/>
      <c r="IC27" s="296"/>
      <c r="ID27" s="296"/>
      <c r="IE27" s="294"/>
      <c r="IF27" s="294"/>
      <c r="IG27" s="276"/>
      <c r="IH27" s="296"/>
      <c r="II27" s="296"/>
      <c r="IJ27" s="294"/>
      <c r="IK27" s="276"/>
      <c r="IL27" s="276" t="s">
        <v>203</v>
      </c>
      <c r="IM27" s="276"/>
      <c r="IN27" s="308"/>
      <c r="IO27" s="308"/>
      <c r="IP27" s="308"/>
      <c r="IQ27" s="294"/>
      <c r="IR27" s="294"/>
      <c r="IS27" s="294"/>
      <c r="IW27" s="276"/>
      <c r="IX27" s="294"/>
      <c r="IY27" s="294"/>
      <c r="JA27" s="296"/>
      <c r="JB27" s="296"/>
      <c r="JC27" s="514"/>
      <c r="JE27" s="288">
        <f t="shared" ref="JE27:JE45" si="54">SUM(D27:IG27)</f>
        <v>0</v>
      </c>
      <c r="JF27" s="288">
        <f t="shared" ref="JF27:JF45" si="55">SUM(IH27:IJ27)</f>
        <v>0</v>
      </c>
      <c r="JG27" s="288">
        <f t="shared" ref="JG27:JG45" si="56">+JF27-JE27</f>
        <v>0</v>
      </c>
    </row>
    <row r="28" spans="2:267" ht="15.75">
      <c r="B28" s="276" t="s">
        <v>204</v>
      </c>
      <c r="C28" s="276"/>
      <c r="D28" s="294"/>
      <c r="E28" s="294"/>
      <c r="F28" s="294"/>
      <c r="G28" s="276"/>
      <c r="H28" s="294"/>
      <c r="I28" s="294"/>
      <c r="J28" s="294"/>
      <c r="K28" s="276"/>
      <c r="L28" s="276" t="s">
        <v>204</v>
      </c>
      <c r="M28" s="276"/>
      <c r="N28" s="294"/>
      <c r="O28" s="294"/>
      <c r="P28" s="294"/>
      <c r="Q28" s="276"/>
      <c r="R28" s="294"/>
      <c r="S28" s="294"/>
      <c r="T28" s="294"/>
      <c r="U28" s="276"/>
      <c r="V28" s="276" t="s">
        <v>204</v>
      </c>
      <c r="W28" s="276"/>
      <c r="X28" s="294"/>
      <c r="Y28" s="294"/>
      <c r="Z28" s="294"/>
      <c r="AA28" s="276"/>
      <c r="AB28" s="294"/>
      <c r="AC28" s="294"/>
      <c r="AD28" s="294"/>
      <c r="AE28" s="294"/>
      <c r="AF28" s="276" t="s">
        <v>204</v>
      </c>
      <c r="AG28" s="276"/>
      <c r="AH28" s="294"/>
      <c r="AI28" s="294"/>
      <c r="AJ28" s="294"/>
      <c r="AK28" s="276"/>
      <c r="AL28" s="294"/>
      <c r="AM28" s="294"/>
      <c r="AN28" s="294"/>
      <c r="AO28" s="294"/>
      <c r="AP28" s="276" t="s">
        <v>204</v>
      </c>
      <c r="AQ28" s="276"/>
      <c r="AR28" s="294"/>
      <c r="AS28" s="294"/>
      <c r="AT28" s="294"/>
      <c r="AU28" s="276"/>
      <c r="AV28" s="294"/>
      <c r="AW28" s="294"/>
      <c r="AX28" s="294"/>
      <c r="AY28" s="294"/>
      <c r="AZ28" s="276" t="s">
        <v>204</v>
      </c>
      <c r="BA28" s="276"/>
      <c r="BB28" s="294"/>
      <c r="BC28" s="294"/>
      <c r="BD28" s="294"/>
      <c r="BE28" s="276"/>
      <c r="BF28" s="294"/>
      <c r="BG28" s="294"/>
      <c r="BH28" s="294"/>
      <c r="BI28" s="276"/>
      <c r="BJ28" s="294"/>
      <c r="BK28" s="294"/>
      <c r="BL28" s="294"/>
      <c r="BM28" s="294"/>
      <c r="BN28" s="276" t="s">
        <v>204</v>
      </c>
      <c r="BO28" s="294"/>
      <c r="BP28" s="294"/>
      <c r="BQ28" s="294"/>
      <c r="BR28" s="294"/>
      <c r="BS28" s="294"/>
      <c r="BT28" s="294"/>
      <c r="BU28" s="294"/>
      <c r="BV28" s="294"/>
      <c r="BW28" s="294"/>
      <c r="BX28" s="276" t="s">
        <v>204</v>
      </c>
      <c r="BY28" s="294"/>
      <c r="BZ28" s="294"/>
      <c r="CA28" s="294"/>
      <c r="CB28" s="294"/>
      <c r="CC28" s="294"/>
      <c r="CD28" s="294"/>
      <c r="CE28" s="294"/>
      <c r="CF28" s="294"/>
      <c r="CG28" s="294"/>
      <c r="CH28" s="276" t="s">
        <v>204</v>
      </c>
      <c r="CI28" s="276"/>
      <c r="CJ28" s="294"/>
      <c r="CK28" s="294"/>
      <c r="CL28" s="294"/>
      <c r="CM28" s="276"/>
      <c r="CN28" s="294"/>
      <c r="CO28" s="294"/>
      <c r="CP28" s="294"/>
      <c r="CQ28" s="294"/>
      <c r="CR28" s="276" t="s">
        <v>204</v>
      </c>
      <c r="CS28" s="276"/>
      <c r="CT28" s="294"/>
      <c r="CU28" s="294"/>
      <c r="CV28" s="294"/>
      <c r="CW28" s="276"/>
      <c r="CX28" s="294"/>
      <c r="CY28" s="294"/>
      <c r="CZ28" s="294"/>
      <c r="DA28" s="294"/>
      <c r="DB28" s="276" t="s">
        <v>204</v>
      </c>
      <c r="DC28" s="276"/>
      <c r="DD28" s="294"/>
      <c r="DE28" s="294"/>
      <c r="DF28" s="294"/>
      <c r="DG28" s="276"/>
      <c r="DH28" s="294"/>
      <c r="DI28" s="294"/>
      <c r="DJ28" s="294"/>
      <c r="DK28" s="276"/>
      <c r="DL28" s="276" t="s">
        <v>204</v>
      </c>
      <c r="DM28" s="276"/>
      <c r="DN28" s="294"/>
      <c r="DO28" s="294"/>
      <c r="DP28" s="294"/>
      <c r="DQ28" s="276"/>
      <c r="DR28" s="294"/>
      <c r="DS28" s="294"/>
      <c r="DT28" s="294"/>
      <c r="DU28" s="276"/>
      <c r="DV28" s="276" t="s">
        <v>204</v>
      </c>
      <c r="DW28" s="276"/>
      <c r="DX28" s="294"/>
      <c r="DY28" s="294"/>
      <c r="DZ28" s="294"/>
      <c r="EA28" s="276"/>
      <c r="EB28" s="294"/>
      <c r="EC28" s="294"/>
      <c r="ED28" s="294"/>
      <c r="EE28" s="276"/>
      <c r="EF28" s="276" t="s">
        <v>204</v>
      </c>
      <c r="EG28" s="276"/>
      <c r="EH28" s="294"/>
      <c r="EI28" s="294"/>
      <c r="EJ28" s="294"/>
      <c r="EK28" s="276"/>
      <c r="EL28" s="294"/>
      <c r="EM28" s="294"/>
      <c r="EN28" s="294"/>
      <c r="EO28" s="276"/>
      <c r="EP28" s="276" t="s">
        <v>204</v>
      </c>
      <c r="EQ28" s="276"/>
      <c r="ER28" s="294"/>
      <c r="ES28" s="294"/>
      <c r="ET28" s="294"/>
      <c r="EU28" s="276"/>
      <c r="EV28" s="294"/>
      <c r="EW28" s="294"/>
      <c r="EX28" s="294"/>
      <c r="EY28" s="276"/>
      <c r="EZ28" s="276" t="s">
        <v>204</v>
      </c>
      <c r="FA28" s="276"/>
      <c r="FB28" s="294"/>
      <c r="FC28" s="294"/>
      <c r="FD28" s="294"/>
      <c r="FE28" s="276"/>
      <c r="FF28" s="294"/>
      <c r="FG28" s="294"/>
      <c r="FH28" s="294"/>
      <c r="FI28" s="276"/>
      <c r="FJ28" s="276" t="s">
        <v>204</v>
      </c>
      <c r="FK28" s="276"/>
      <c r="FL28" s="294"/>
      <c r="FM28" s="294"/>
      <c r="FN28" s="294"/>
      <c r="FO28" s="276"/>
      <c r="FP28" s="294"/>
      <c r="FQ28" s="294"/>
      <c r="FR28" s="294"/>
      <c r="FS28" s="276"/>
      <c r="FT28" s="276" t="s">
        <v>204</v>
      </c>
      <c r="FU28" s="276"/>
      <c r="FV28" s="294"/>
      <c r="FW28" s="294"/>
      <c r="FX28" s="294"/>
      <c r="FY28" s="276"/>
      <c r="FZ28" s="294"/>
      <c r="GA28" s="294"/>
      <c r="GB28" s="294"/>
      <c r="GC28" s="276"/>
      <c r="GD28" s="294"/>
      <c r="GE28" s="294"/>
      <c r="GF28" s="294"/>
      <c r="GG28" s="276"/>
      <c r="GH28" s="276" t="s">
        <v>204</v>
      </c>
      <c r="GI28" s="276"/>
      <c r="GJ28" s="294"/>
      <c r="GK28" s="294"/>
      <c r="GL28" s="294"/>
      <c r="GN28" s="276"/>
      <c r="GO28" s="294"/>
      <c r="GP28" s="294"/>
      <c r="GQ28" s="294"/>
      <c r="GR28" s="276"/>
      <c r="GS28" s="276" t="s">
        <v>204</v>
      </c>
      <c r="GT28" s="276"/>
      <c r="GU28" s="294"/>
      <c r="GV28" s="294"/>
      <c r="GW28" s="294"/>
      <c r="GX28" s="294"/>
      <c r="GY28" s="294"/>
      <c r="GZ28" s="294"/>
      <c r="HA28" s="294"/>
      <c r="HB28" s="276"/>
      <c r="HC28" s="276" t="s">
        <v>204</v>
      </c>
      <c r="HD28" s="276"/>
      <c r="HE28" s="294"/>
      <c r="HF28" s="294"/>
      <c r="HG28" s="294"/>
      <c r="HH28" s="294"/>
      <c r="HI28" s="294"/>
      <c r="HJ28" s="294"/>
      <c r="HK28" s="294"/>
      <c r="HL28" s="276"/>
      <c r="HM28" s="276" t="s">
        <v>204</v>
      </c>
      <c r="HN28" s="276"/>
      <c r="HO28" s="294"/>
      <c r="HP28" s="294"/>
      <c r="HQ28" s="294"/>
      <c r="HR28" s="276"/>
      <c r="HS28" s="294"/>
      <c r="HT28" s="294"/>
      <c r="HU28" s="294"/>
      <c r="HV28" s="294"/>
      <c r="HW28" s="294"/>
      <c r="HX28" s="294"/>
      <c r="HY28" s="294"/>
      <c r="HZ28" s="276"/>
      <c r="IA28" s="276" t="s">
        <v>204</v>
      </c>
      <c r="IB28" s="276"/>
      <c r="IC28" s="294"/>
      <c r="ID28" s="294"/>
      <c r="IE28" s="294"/>
      <c r="IF28" s="294"/>
      <c r="IG28" s="276"/>
      <c r="IH28" s="294"/>
      <c r="II28" s="294"/>
      <c r="IJ28" s="294"/>
      <c r="IK28" s="276"/>
      <c r="IL28" s="276" t="s">
        <v>204</v>
      </c>
      <c r="IM28" s="276"/>
      <c r="IN28" s="308"/>
      <c r="IO28" s="308"/>
      <c r="IP28" s="308"/>
      <c r="IQ28" s="294"/>
      <c r="IR28" s="294"/>
      <c r="IS28" s="294"/>
      <c r="IW28" s="276"/>
      <c r="IX28" s="294"/>
      <c r="IY28" s="294"/>
      <c r="JA28" s="294">
        <f>SUM('SR BUDACT ER'!AN59:AN60)</f>
        <v>0</v>
      </c>
      <c r="JB28" s="294">
        <f>SUM('SR BUDACT ER'!AO59:AO60)</f>
        <v>0</v>
      </c>
      <c r="JC28" s="514">
        <f>SUM(JA28-JB28)</f>
        <v>0</v>
      </c>
      <c r="JE28" s="288">
        <f t="shared" si="54"/>
        <v>0</v>
      </c>
      <c r="JF28" s="288">
        <f t="shared" si="55"/>
        <v>0</v>
      </c>
      <c r="JG28" s="288">
        <f t="shared" si="56"/>
        <v>0</v>
      </c>
    </row>
    <row r="29" spans="2:267" ht="15.75">
      <c r="B29" s="276" t="s">
        <v>767</v>
      </c>
      <c r="C29" s="276"/>
      <c r="D29" s="294">
        <f>'SR BUDACT ER'!G59</f>
        <v>0</v>
      </c>
      <c r="E29" s="294">
        <f>'SR BUDACT ER'!H59</f>
        <v>0</v>
      </c>
      <c r="F29" s="294">
        <f>SUM(D29-E29)</f>
        <v>0</v>
      </c>
      <c r="G29" s="276"/>
      <c r="H29" s="294">
        <f>'SR BUDACT ER'!J59</f>
        <v>0</v>
      </c>
      <c r="I29" s="294">
        <f>'SR BUDACT ER'!K59</f>
        <v>0</v>
      </c>
      <c r="J29" s="294">
        <f>SUM(H29-I29)</f>
        <v>0</v>
      </c>
      <c r="K29" s="276"/>
      <c r="L29" s="276" t="s">
        <v>767</v>
      </c>
      <c r="M29" s="276"/>
      <c r="N29" s="294">
        <f>'SR BUDACT ER'!M59</f>
        <v>0</v>
      </c>
      <c r="O29" s="294">
        <f>'SR BUDACT ER'!N59</f>
        <v>0</v>
      </c>
      <c r="P29" s="294">
        <f>SUM(N29-O29)</f>
        <v>0</v>
      </c>
      <c r="Q29" s="276"/>
      <c r="R29" s="294">
        <f>'SR BUDACT ER'!P59</f>
        <v>0</v>
      </c>
      <c r="S29" s="294">
        <f>'SR BUDACT ER'!Q59</f>
        <v>0</v>
      </c>
      <c r="T29" s="294">
        <f>SUM(R29-S29)</f>
        <v>0</v>
      </c>
      <c r="U29" s="276"/>
      <c r="V29" s="276" t="s">
        <v>767</v>
      </c>
      <c r="W29" s="276"/>
      <c r="X29" s="294">
        <f>'SR BUDACT ER'!S59</f>
        <v>0</v>
      </c>
      <c r="Y29" s="294">
        <f>'SR BUDACT ER'!T59</f>
        <v>0</v>
      </c>
      <c r="Z29" s="294">
        <f>SUM(X29-Y29)</f>
        <v>0</v>
      </c>
      <c r="AA29" s="276"/>
      <c r="AB29" s="294">
        <f>'SR BUDACT ER'!V59</f>
        <v>0</v>
      </c>
      <c r="AC29" s="294">
        <f>'SR BUDACT ER'!W59</f>
        <v>0</v>
      </c>
      <c r="AD29" s="294">
        <f>SUM(AB29-AC29)</f>
        <v>0</v>
      </c>
      <c r="AE29" s="294"/>
      <c r="AF29" s="276" t="s">
        <v>767</v>
      </c>
      <c r="AG29" s="276"/>
      <c r="AH29" s="294">
        <f>'SR BUDACT ER'!Y59</f>
        <v>0</v>
      </c>
      <c r="AI29" s="294">
        <f>'SR BUDACT ER'!Z59</f>
        <v>0</v>
      </c>
      <c r="AJ29" s="294">
        <f>SUM(AH29-AI29)</f>
        <v>0</v>
      </c>
      <c r="AK29" s="276"/>
      <c r="AL29" s="294">
        <f>'SR BUDACT ER'!AB59</f>
        <v>0</v>
      </c>
      <c r="AM29" s="294">
        <f>'SR BUDACT ER'!AC59</f>
        <v>0</v>
      </c>
      <c r="AN29" s="294">
        <f>SUM(AL29-AM29)</f>
        <v>0</v>
      </c>
      <c r="AO29" s="294"/>
      <c r="AP29" s="276" t="s">
        <v>767</v>
      </c>
      <c r="AQ29" s="276"/>
      <c r="AR29" s="294">
        <f>'SR BUDACT ER'!AE59</f>
        <v>1068780</v>
      </c>
      <c r="AS29" s="294">
        <f>'SR BUDACT ER'!AF59</f>
        <v>955136</v>
      </c>
      <c r="AT29" s="294">
        <f>SUM(AR29-AS29)</f>
        <v>113644</v>
      </c>
      <c r="AU29" s="276"/>
      <c r="AV29" s="294">
        <f>'SR BUDACT ER'!AH59</f>
        <v>0</v>
      </c>
      <c r="AW29" s="294">
        <f>'SR BUDACT ER'!AI59</f>
        <v>0</v>
      </c>
      <c r="AX29" s="294">
        <f>SUM(AV29-AW29)</f>
        <v>0</v>
      </c>
      <c r="AY29" s="294"/>
      <c r="AZ29" s="276" t="s">
        <v>767</v>
      </c>
      <c r="BA29" s="276"/>
      <c r="BB29" s="294">
        <f>'SR BUDACT ER'!AK59</f>
        <v>0</v>
      </c>
      <c r="BC29" s="294">
        <f>'SR BUDACT ER'!AL59</f>
        <v>0</v>
      </c>
      <c r="BD29" s="294">
        <f>SUM(BB29-BC29)</f>
        <v>0</v>
      </c>
      <c r="BE29" s="276"/>
      <c r="BF29" s="294"/>
      <c r="BG29" s="294"/>
      <c r="BH29" s="294"/>
      <c r="BI29" s="276"/>
      <c r="BJ29" s="294">
        <f>'SR BUDACT ER'!AQ59</f>
        <v>0</v>
      </c>
      <c r="BK29" s="294">
        <f>'SR BUDACT ER'!AR59</f>
        <v>0</v>
      </c>
      <c r="BL29" s="294">
        <f>SUM(BJ29-BK29)</f>
        <v>0</v>
      </c>
      <c r="BM29" s="294"/>
      <c r="BN29" s="276" t="s">
        <v>767</v>
      </c>
      <c r="BO29" s="294"/>
      <c r="BP29" s="294">
        <f>'SR BUDACT ER'!AT59</f>
        <v>0</v>
      </c>
      <c r="BQ29" s="294">
        <f>'SR BUDACT ER'!AU59</f>
        <v>0</v>
      </c>
      <c r="BR29" s="294">
        <f>SUM(BP29-BQ29)</f>
        <v>0</v>
      </c>
      <c r="BS29" s="294"/>
      <c r="BT29" s="294">
        <f>'SR BUDACT ER'!AW59</f>
        <v>1068755</v>
      </c>
      <c r="BU29" s="294">
        <f>'SR BUDACT ER'!AX59</f>
        <v>824853</v>
      </c>
      <c r="BV29" s="294">
        <f>SUM(BT29-BU29)</f>
        <v>243902</v>
      </c>
      <c r="BW29" s="294"/>
      <c r="BX29" s="276" t="s">
        <v>767</v>
      </c>
      <c r="BY29" s="294"/>
      <c r="BZ29" s="294">
        <f>'SR BUDACT ER'!AZ59</f>
        <v>0</v>
      </c>
      <c r="CA29" s="294">
        <f>'SR BUDACT ER'!BA59</f>
        <v>0</v>
      </c>
      <c r="CB29" s="294">
        <f>SUM(BZ29-CA29)</f>
        <v>0</v>
      </c>
      <c r="CC29" s="294"/>
      <c r="CD29" s="294">
        <f>'SR BUDACT ER'!BC59</f>
        <v>0</v>
      </c>
      <c r="CE29" s="294">
        <f>'SR BUDACT ER'!BD59</f>
        <v>0</v>
      </c>
      <c r="CF29" s="294">
        <f>SUM(CD29-CE29)</f>
        <v>0</v>
      </c>
      <c r="CG29" s="294"/>
      <c r="CH29" s="276" t="s">
        <v>767</v>
      </c>
      <c r="CI29" s="276"/>
      <c r="CJ29" s="294">
        <f>'SR BUDACT ER'!BF59</f>
        <v>0</v>
      </c>
      <c r="CK29" s="294">
        <f>'SR BUDACT ER'!BG59</f>
        <v>0</v>
      </c>
      <c r="CL29" s="294">
        <f>SUM(CJ29-CK29)</f>
        <v>0</v>
      </c>
      <c r="CM29" s="276"/>
      <c r="CN29" s="294">
        <f>'SR BUDACT ER'!BI59</f>
        <v>0</v>
      </c>
      <c r="CO29" s="294">
        <f>'SR BUDACT ER'!BJ59</f>
        <v>0</v>
      </c>
      <c r="CP29" s="294">
        <f>SUM(CN29-CO29)</f>
        <v>0</v>
      </c>
      <c r="CQ29" s="294"/>
      <c r="CR29" s="276" t="s">
        <v>767</v>
      </c>
      <c r="CS29" s="276"/>
      <c r="CT29" s="294">
        <f>'SR BUDACT ER'!BL59</f>
        <v>0</v>
      </c>
      <c r="CU29" s="294">
        <f>'SR BUDACT ER'!BM59</f>
        <v>0</v>
      </c>
      <c r="CV29" s="294">
        <f>SUM(CT29-CU29)</f>
        <v>0</v>
      </c>
      <c r="CW29" s="276"/>
      <c r="CX29" s="294">
        <f>'SR BUDACT ER'!BO59</f>
        <v>0</v>
      </c>
      <c r="CY29" s="294">
        <f>'SR BUDACT ER'!BP59</f>
        <v>0</v>
      </c>
      <c r="CZ29" s="294">
        <f>SUM(CX29-CY29)</f>
        <v>0</v>
      </c>
      <c r="DA29" s="294"/>
      <c r="DB29" s="276" t="s">
        <v>767</v>
      </c>
      <c r="DC29" s="276"/>
      <c r="DD29" s="294">
        <f>'SR BUDACT ER'!BR59</f>
        <v>70819</v>
      </c>
      <c r="DE29" s="294">
        <f>'SR BUDACT ER'!BS59</f>
        <v>70466</v>
      </c>
      <c r="DF29" s="294">
        <f>SUM(DD29-DE29)</f>
        <v>353</v>
      </c>
      <c r="DG29" s="276"/>
      <c r="DH29" s="294">
        <f>'SR BUDACT ER'!BU59</f>
        <v>0</v>
      </c>
      <c r="DI29" s="294">
        <f>'SR BUDACT ER'!BV59</f>
        <v>0</v>
      </c>
      <c r="DJ29" s="294">
        <f>SUM(DH29-DI29)</f>
        <v>0</v>
      </c>
      <c r="DK29" s="276"/>
      <c r="DL29" s="276" t="s">
        <v>767</v>
      </c>
      <c r="DM29" s="276"/>
      <c r="DN29" s="294">
        <f>'SR BUDACT ER'!BX59</f>
        <v>0</v>
      </c>
      <c r="DO29" s="294">
        <f>'SR BUDACT ER'!BY59</f>
        <v>0</v>
      </c>
      <c r="DP29" s="294">
        <f>SUM(DN29-DO29)</f>
        <v>0</v>
      </c>
      <c r="DQ29" s="276"/>
      <c r="DR29" s="294">
        <f>'SR BUDACT ER'!CA59</f>
        <v>0</v>
      </c>
      <c r="DS29" s="294">
        <f>'SR BUDACT ER'!CB59</f>
        <v>0</v>
      </c>
      <c r="DT29" s="294">
        <f>SUM(DR29-DS29)</f>
        <v>0</v>
      </c>
      <c r="DU29" s="276"/>
      <c r="DV29" s="276" t="s">
        <v>767</v>
      </c>
      <c r="DW29" s="276"/>
      <c r="DX29" s="294">
        <f>'SR BUDACT ER'!CD59</f>
        <v>0</v>
      </c>
      <c r="DY29" s="294">
        <f>'SR BUDACT ER'!CE59</f>
        <v>0</v>
      </c>
      <c r="DZ29" s="294">
        <f>SUM(DX29-DY29)</f>
        <v>0</v>
      </c>
      <c r="EA29" s="276"/>
      <c r="EB29" s="294">
        <f>'SR BUDACT ER'!CG59</f>
        <v>0</v>
      </c>
      <c r="EC29" s="294">
        <f>'SR BUDACT ER'!CH59</f>
        <v>0</v>
      </c>
      <c r="ED29" s="294">
        <f>SUM(EB29-EC29)</f>
        <v>0</v>
      </c>
      <c r="EE29" s="276"/>
      <c r="EF29" s="276" t="s">
        <v>767</v>
      </c>
      <c r="EG29" s="276"/>
      <c r="EH29" s="294">
        <f>'SR BUDACT ER'!CJ59</f>
        <v>0</v>
      </c>
      <c r="EI29" s="294">
        <f>'SR BUDACT ER'!CK59</f>
        <v>0</v>
      </c>
      <c r="EJ29" s="294">
        <f>SUM(EH29-EI29)</f>
        <v>0</v>
      </c>
      <c r="EK29" s="276"/>
      <c r="EL29" s="294">
        <f>'SR BUDACT ER'!CM59</f>
        <v>0</v>
      </c>
      <c r="EM29" s="294">
        <f>'SR BUDACT ER'!CN59</f>
        <v>0</v>
      </c>
      <c r="EN29" s="294">
        <f>SUM(EL29-EM29)</f>
        <v>0</v>
      </c>
      <c r="EO29" s="276"/>
      <c r="EP29" s="276" t="s">
        <v>767</v>
      </c>
      <c r="EQ29" s="276"/>
      <c r="ER29" s="294">
        <f>'SR BUDACT ER'!CP59</f>
        <v>0</v>
      </c>
      <c r="ES29" s="294">
        <f>'SR BUDACT ER'!CQ59</f>
        <v>0</v>
      </c>
      <c r="ET29" s="294">
        <f>SUM(ER29-ES29)</f>
        <v>0</v>
      </c>
      <c r="EU29" s="276"/>
      <c r="EV29" s="294">
        <f>'SR BUDACT ER'!CS59</f>
        <v>0</v>
      </c>
      <c r="EW29" s="294">
        <f>'SR BUDACT ER'!CT59</f>
        <v>0</v>
      </c>
      <c r="EX29" s="294">
        <f>SUM(EV29-EW29)</f>
        <v>0</v>
      </c>
      <c r="EY29" s="276"/>
      <c r="EZ29" s="276" t="s">
        <v>767</v>
      </c>
      <c r="FA29" s="276"/>
      <c r="FB29" s="294">
        <f>'SR BUDACT ER'!CV59</f>
        <v>0</v>
      </c>
      <c r="FC29" s="294">
        <f>'SR BUDACT ER'!CW59</f>
        <v>0</v>
      </c>
      <c r="FD29" s="294">
        <f>SUM(FB29-FC29)</f>
        <v>0</v>
      </c>
      <c r="FE29" s="276"/>
      <c r="FF29" s="294">
        <f>'SR BUDACT ER'!CY59</f>
        <v>0</v>
      </c>
      <c r="FG29" s="294">
        <f>'SR BUDACT ER'!CZ59</f>
        <v>0</v>
      </c>
      <c r="FH29" s="294">
        <f>SUM(FF29-FG29)</f>
        <v>0</v>
      </c>
      <c r="FI29" s="276"/>
      <c r="FJ29" s="276" t="s">
        <v>767</v>
      </c>
      <c r="FK29" s="276"/>
      <c r="FL29" s="294">
        <f>'SR BUDACT ER'!DB59</f>
        <v>0</v>
      </c>
      <c r="FM29" s="294">
        <f>'SR BUDACT ER'!DC59</f>
        <v>0</v>
      </c>
      <c r="FN29" s="294">
        <f>SUM(FL29-FM29)</f>
        <v>0</v>
      </c>
      <c r="FO29" s="276"/>
      <c r="FP29" s="294">
        <f>'SR BUDACT ER'!DE59</f>
        <v>0</v>
      </c>
      <c r="FQ29" s="294">
        <f>'SR BUDACT ER'!DF59</f>
        <v>0</v>
      </c>
      <c r="FR29" s="294">
        <f>SUM(FP29-FQ29)</f>
        <v>0</v>
      </c>
      <c r="FS29" s="276"/>
      <c r="FT29" s="276" t="s">
        <v>767</v>
      </c>
      <c r="FU29" s="276"/>
      <c r="FV29" s="294">
        <f>'SR BUDACT ER'!DH59</f>
        <v>0</v>
      </c>
      <c r="FW29" s="294">
        <f>'SR BUDACT ER'!DI59</f>
        <v>0</v>
      </c>
      <c r="FX29" s="294">
        <f>SUM(FV29-FW29)</f>
        <v>0</v>
      </c>
      <c r="FY29" s="276"/>
      <c r="FZ29" s="294">
        <f>'SR BUDACT ER'!DK59</f>
        <v>0</v>
      </c>
      <c r="GA29" s="294">
        <f>'SR BUDACT ER'!DL59</f>
        <v>0</v>
      </c>
      <c r="GB29" s="294">
        <f>SUM(FZ29-GA29)</f>
        <v>0</v>
      </c>
      <c r="GC29" s="276"/>
      <c r="GD29" s="294">
        <f>'SR BUDACT ER'!DN59</f>
        <v>0</v>
      </c>
      <c r="GE29" s="294">
        <f>'SR BUDACT ER'!DO59</f>
        <v>0</v>
      </c>
      <c r="GF29" s="294">
        <f>SUM(GD29-GE29)</f>
        <v>0</v>
      </c>
      <c r="GG29" s="276"/>
      <c r="GH29" s="276" t="s">
        <v>767</v>
      </c>
      <c r="GI29" s="276"/>
      <c r="GJ29" s="294">
        <f>'SR BUDACT ER'!DQ59</f>
        <v>0</v>
      </c>
      <c r="GK29" s="294">
        <f>'SR BUDACT ER'!DR59</f>
        <v>0</v>
      </c>
      <c r="GL29" s="294">
        <f>SUM(GJ29-GK29)</f>
        <v>0</v>
      </c>
      <c r="GN29" s="276"/>
      <c r="GO29" s="294">
        <f>'SR BUDACT ER'!DT59</f>
        <v>0</v>
      </c>
      <c r="GP29" s="294">
        <f>'SR BUDACT ER'!DU59</f>
        <v>0</v>
      </c>
      <c r="GQ29" s="294">
        <f>SUM(GO29-GP29)</f>
        <v>0</v>
      </c>
      <c r="GR29" s="276"/>
      <c r="GS29" s="276" t="s">
        <v>767</v>
      </c>
      <c r="GT29" s="276"/>
      <c r="GU29" s="294">
        <f>'SR BUDACT ER'!DW59</f>
        <v>0</v>
      </c>
      <c r="GV29" s="294">
        <f>'SR BUDACT ER'!DX59</f>
        <v>0</v>
      </c>
      <c r="GW29" s="294">
        <f>SUM(GU29-GV29)</f>
        <v>0</v>
      </c>
      <c r="GX29" s="294"/>
      <c r="GY29" s="294">
        <f>'SR BUDACT ER'!DZ59</f>
        <v>62643</v>
      </c>
      <c r="GZ29" s="294">
        <f>'SR BUDACT ER'!EA59</f>
        <v>63233</v>
      </c>
      <c r="HA29" s="294">
        <f>SUM(GY29-GZ29)</f>
        <v>-590</v>
      </c>
      <c r="HB29" s="276"/>
      <c r="HC29" s="276" t="s">
        <v>767</v>
      </c>
      <c r="HD29" s="276"/>
      <c r="HE29" s="294">
        <f>'SR BUDACT ER'!EC59</f>
        <v>0</v>
      </c>
      <c r="HF29" s="294">
        <f>'SR BUDACT ER'!ED59</f>
        <v>0</v>
      </c>
      <c r="HG29" s="294">
        <f>SUM(HE29-HF29)</f>
        <v>0</v>
      </c>
      <c r="HH29" s="294"/>
      <c r="HI29" s="294">
        <f>'SR BUDACT ER'!EI59</f>
        <v>0</v>
      </c>
      <c r="HJ29" s="294">
        <f>'SR BUDACT ER'!EJ59</f>
        <v>0</v>
      </c>
      <c r="HK29" s="294">
        <f>SUM(HI29-HJ29)</f>
        <v>0</v>
      </c>
      <c r="HL29" s="276"/>
      <c r="HM29" s="276" t="s">
        <v>767</v>
      </c>
      <c r="HN29" s="276"/>
      <c r="HO29" s="294"/>
      <c r="HP29" s="294"/>
      <c r="HQ29" s="294"/>
      <c r="HR29" s="276"/>
      <c r="HS29" s="294">
        <f>'SR BUDACT ER'!EL59</f>
        <v>0</v>
      </c>
      <c r="HT29" s="294">
        <f>'SR BUDACT ER'!EM59</f>
        <v>0</v>
      </c>
      <c r="HU29" s="294">
        <f>SUM(HS29-HT29)</f>
        <v>0</v>
      </c>
      <c r="HV29" s="294"/>
      <c r="HW29" s="294">
        <f>'SR BUDACT ER'!EO59</f>
        <v>0</v>
      </c>
      <c r="HX29" s="294">
        <f>'SR BUDACT ER'!EP59</f>
        <v>0</v>
      </c>
      <c r="HY29" s="294">
        <f>SUM(HW29-HX29)</f>
        <v>0</v>
      </c>
      <c r="HZ29" s="276"/>
      <c r="IA29" s="276" t="s">
        <v>767</v>
      </c>
      <c r="IB29" s="276"/>
      <c r="IC29" s="294">
        <f>'SR BUDACT ER'!ER59</f>
        <v>0</v>
      </c>
      <c r="ID29" s="294">
        <f>'SR BUDACT ER'!ES59</f>
        <v>0</v>
      </c>
      <c r="IE29" s="294">
        <f>SUM(IC29-ID29)</f>
        <v>0</v>
      </c>
      <c r="IF29" s="294"/>
      <c r="IG29" s="276"/>
      <c r="IH29" s="294">
        <f t="shared" ref="IH29:IH30" si="57">+D29+H29+N29+R29+X29+AB29+AH29+AL29+AR29+AV29+BB29+BJ29+BP29+BT29+BZ29+CD29+CJ29+CN29+CT29+CX29+DD29+DH29+DN29+DR29+DX29+EB29+EH29+EL29+ER29+EV29+FB29+FF29+FL29+FP29+FV29+FZ29+GD29+GJ29+GO29+GU29+GY29+HE29+HI29+HS29+HW29+IC29</f>
        <v>2270997</v>
      </c>
      <c r="II29" s="294">
        <f t="shared" ref="II29:II30" si="58">+E29+I29+O29+S29+Y29+AC29+AI29+AM29+AS29+AW29+BC29+BK29+BQ29+BU29+CA29+CE29+CK29+CO29+CU29+CY29+DE29+DI29+DO29+DS29+DY29+EC29+EI29+EM29+ES29+EW29+FC29+FG29+FM29+FQ29+FW29+GA29+GE29+GK29+GP29+GV29+GZ29+HF29+HJ29+HT29+HX29+ID29</f>
        <v>1913688</v>
      </c>
      <c r="IJ29" s="294">
        <f>SUM(IH29-II29)</f>
        <v>357309</v>
      </c>
      <c r="IK29" s="276"/>
      <c r="IL29" s="276" t="s">
        <v>767</v>
      </c>
      <c r="IM29" s="276"/>
      <c r="IN29" s="308"/>
      <c r="IO29" s="308"/>
      <c r="IP29" s="308"/>
      <c r="IQ29" s="294"/>
      <c r="IR29" s="294"/>
      <c r="IS29" s="294"/>
      <c r="IW29" s="276"/>
      <c r="IX29" s="294"/>
      <c r="IY29" s="294"/>
      <c r="JA29" s="294"/>
      <c r="JB29" s="294"/>
      <c r="JC29" s="514"/>
      <c r="JE29" s="288">
        <f t="shared" si="54"/>
        <v>4541994</v>
      </c>
      <c r="JF29" s="288">
        <f t="shared" si="55"/>
        <v>4541994</v>
      </c>
      <c r="JG29" s="288">
        <f t="shared" si="56"/>
        <v>0</v>
      </c>
    </row>
    <row r="30" spans="2:267" ht="15.75">
      <c r="B30" s="276" t="s">
        <v>292</v>
      </c>
      <c r="C30" s="276"/>
      <c r="D30" s="294">
        <f>'SR BUDACT ER'!G60</f>
        <v>0</v>
      </c>
      <c r="E30" s="294">
        <f>'SR BUDACT ER'!H60</f>
        <v>0</v>
      </c>
      <c r="F30" s="294">
        <f>SUM(D30-E30)</f>
        <v>0</v>
      </c>
      <c r="G30" s="276"/>
      <c r="H30" s="294">
        <f>'SR BUDACT ER'!J60</f>
        <v>0</v>
      </c>
      <c r="I30" s="294">
        <f>'SR BUDACT ER'!K60</f>
        <v>0</v>
      </c>
      <c r="J30" s="294">
        <f>SUM(H30-I30)</f>
        <v>0</v>
      </c>
      <c r="K30" s="276"/>
      <c r="L30" s="276" t="s">
        <v>292</v>
      </c>
      <c r="M30" s="276"/>
      <c r="N30" s="294">
        <f>'SR BUDACT ER'!M60</f>
        <v>0</v>
      </c>
      <c r="O30" s="294">
        <f>'SR BUDACT ER'!N60</f>
        <v>0</v>
      </c>
      <c r="P30" s="294">
        <f>SUM(N30-O30)</f>
        <v>0</v>
      </c>
      <c r="Q30" s="276"/>
      <c r="R30" s="294">
        <f>'SR BUDACT ER'!P60</f>
        <v>0</v>
      </c>
      <c r="S30" s="294">
        <f>'SR BUDACT ER'!Q60</f>
        <v>0</v>
      </c>
      <c r="T30" s="294">
        <f>SUM(R30-S30)</f>
        <v>0</v>
      </c>
      <c r="U30" s="276"/>
      <c r="V30" s="276" t="s">
        <v>292</v>
      </c>
      <c r="W30" s="276"/>
      <c r="X30" s="294">
        <f>'SR BUDACT ER'!S60</f>
        <v>0</v>
      </c>
      <c r="Y30" s="294">
        <f>'SR BUDACT ER'!T60</f>
        <v>0</v>
      </c>
      <c r="Z30" s="294">
        <f>SUM(X30-Y30)</f>
        <v>0</v>
      </c>
      <c r="AA30" s="276"/>
      <c r="AB30" s="294">
        <f>'SR BUDACT ER'!V60</f>
        <v>0</v>
      </c>
      <c r="AC30" s="294">
        <f>'SR BUDACT ER'!W60</f>
        <v>0</v>
      </c>
      <c r="AD30" s="294">
        <f>SUM(AB30-AC30)</f>
        <v>0</v>
      </c>
      <c r="AE30" s="294"/>
      <c r="AF30" s="276" t="s">
        <v>292</v>
      </c>
      <c r="AG30" s="276"/>
      <c r="AH30" s="294">
        <f>'SR BUDACT ER'!Y60</f>
        <v>0</v>
      </c>
      <c r="AI30" s="294">
        <f>'SR BUDACT ER'!Z60</f>
        <v>0</v>
      </c>
      <c r="AJ30" s="294">
        <f>SUM(AH30-AI30)</f>
        <v>0</v>
      </c>
      <c r="AK30" s="276"/>
      <c r="AL30" s="294">
        <f>'SR BUDACT ER'!AB60</f>
        <v>0</v>
      </c>
      <c r="AM30" s="294">
        <f>'SR BUDACT ER'!AC60</f>
        <v>0</v>
      </c>
      <c r="AN30" s="294">
        <f>SUM(AL30-AM30)</f>
        <v>0</v>
      </c>
      <c r="AO30" s="294"/>
      <c r="AP30" s="276" t="s">
        <v>292</v>
      </c>
      <c r="AQ30" s="276"/>
      <c r="AR30" s="294">
        <f>'SR BUDACT ER'!AE60</f>
        <v>865826</v>
      </c>
      <c r="AS30" s="294">
        <f>'SR BUDACT ER'!AF60</f>
        <v>789235</v>
      </c>
      <c r="AT30" s="294">
        <f>SUM(AR30-AS30)</f>
        <v>76591</v>
      </c>
      <c r="AU30" s="276"/>
      <c r="AV30" s="294">
        <f>'SR BUDACT ER'!AH60</f>
        <v>0</v>
      </c>
      <c r="AW30" s="294">
        <f>'SR BUDACT ER'!AI60</f>
        <v>0</v>
      </c>
      <c r="AX30" s="294">
        <f>SUM(AV30-AW30)</f>
        <v>0</v>
      </c>
      <c r="AY30" s="294"/>
      <c r="AZ30" s="276" t="s">
        <v>292</v>
      </c>
      <c r="BA30" s="276"/>
      <c r="BB30" s="294">
        <f>'SR BUDACT ER'!AK60</f>
        <v>0</v>
      </c>
      <c r="BC30" s="294">
        <f>'SR BUDACT ER'!AL60</f>
        <v>0</v>
      </c>
      <c r="BD30" s="294">
        <f>SUM(BB30-BC30)</f>
        <v>0</v>
      </c>
      <c r="BE30" s="276"/>
      <c r="BF30" s="294"/>
      <c r="BG30" s="294"/>
      <c r="BH30" s="294"/>
      <c r="BI30" s="276"/>
      <c r="BJ30" s="294">
        <f>'SR BUDACT ER'!AQ60</f>
        <v>0</v>
      </c>
      <c r="BK30" s="294">
        <f>'SR BUDACT ER'!AR60</f>
        <v>0</v>
      </c>
      <c r="BL30" s="294">
        <f>SUM(BJ30-BK30)</f>
        <v>0</v>
      </c>
      <c r="BM30" s="294"/>
      <c r="BN30" s="276" t="s">
        <v>292</v>
      </c>
      <c r="BO30" s="294"/>
      <c r="BP30" s="294">
        <f>'SR BUDACT ER'!AT60</f>
        <v>0</v>
      </c>
      <c r="BQ30" s="294">
        <f>'SR BUDACT ER'!AU60</f>
        <v>0</v>
      </c>
      <c r="BR30" s="294">
        <f>SUM(BP30-BQ30)</f>
        <v>0</v>
      </c>
      <c r="BS30" s="294"/>
      <c r="BT30" s="294">
        <f>'SR BUDACT ER'!AW60</f>
        <v>481781</v>
      </c>
      <c r="BU30" s="294">
        <f>'SR BUDACT ER'!AX60</f>
        <v>238126</v>
      </c>
      <c r="BV30" s="294">
        <f>SUM(BT30-BU30)</f>
        <v>243655</v>
      </c>
      <c r="BW30" s="294"/>
      <c r="BX30" s="276" t="s">
        <v>292</v>
      </c>
      <c r="BY30" s="294"/>
      <c r="BZ30" s="294">
        <f>'SR BUDACT ER'!AZ60</f>
        <v>0</v>
      </c>
      <c r="CA30" s="294">
        <f>'SR BUDACT ER'!BA60</f>
        <v>0</v>
      </c>
      <c r="CB30" s="294">
        <f>SUM(BZ30-CA30)</f>
        <v>0</v>
      </c>
      <c r="CC30" s="294"/>
      <c r="CD30" s="294">
        <f>'SR BUDACT ER'!BC60</f>
        <v>0</v>
      </c>
      <c r="CE30" s="294">
        <f>'SR BUDACT ER'!BD60</f>
        <v>0</v>
      </c>
      <c r="CF30" s="294">
        <f>SUM(CD30-CE30)</f>
        <v>0</v>
      </c>
      <c r="CG30" s="294"/>
      <c r="CH30" s="276" t="s">
        <v>292</v>
      </c>
      <c r="CI30" s="276"/>
      <c r="CJ30" s="294">
        <f>'SR BUDACT ER'!BF60</f>
        <v>0</v>
      </c>
      <c r="CK30" s="294">
        <f>'SR BUDACT ER'!BG60</f>
        <v>0</v>
      </c>
      <c r="CL30" s="294">
        <f>SUM(CJ30-CK30)</f>
        <v>0</v>
      </c>
      <c r="CM30" s="276"/>
      <c r="CN30" s="294">
        <f>'SR BUDACT ER'!BI60</f>
        <v>0</v>
      </c>
      <c r="CO30" s="294">
        <f>'SR BUDACT ER'!BJ60</f>
        <v>0</v>
      </c>
      <c r="CP30" s="294">
        <f>SUM(CN30-CO30)</f>
        <v>0</v>
      </c>
      <c r="CQ30" s="294"/>
      <c r="CR30" s="276" t="s">
        <v>292</v>
      </c>
      <c r="CS30" s="276"/>
      <c r="CT30" s="294">
        <f>'SR BUDACT ER'!BL60</f>
        <v>0</v>
      </c>
      <c r="CU30" s="294">
        <f>'SR BUDACT ER'!BM60</f>
        <v>0</v>
      </c>
      <c r="CV30" s="294">
        <f>SUM(CT30-CU30)</f>
        <v>0</v>
      </c>
      <c r="CW30" s="276"/>
      <c r="CX30" s="294">
        <f>'SR BUDACT ER'!BO60</f>
        <v>0</v>
      </c>
      <c r="CY30" s="294">
        <f>'SR BUDACT ER'!BP60</f>
        <v>0</v>
      </c>
      <c r="CZ30" s="294">
        <f>SUM(CX30-CY30)</f>
        <v>0</v>
      </c>
      <c r="DA30" s="294"/>
      <c r="DB30" s="276" t="s">
        <v>292</v>
      </c>
      <c r="DC30" s="276"/>
      <c r="DD30" s="294">
        <f>'SR BUDACT ER'!BR60</f>
        <v>49730</v>
      </c>
      <c r="DE30" s="294">
        <f>'SR BUDACT ER'!BS60</f>
        <v>37779</v>
      </c>
      <c r="DF30" s="294">
        <f>SUM(DD30-DE30)</f>
        <v>11951</v>
      </c>
      <c r="DG30" s="276"/>
      <c r="DH30" s="294">
        <f>'SR BUDACT ER'!BU60</f>
        <v>0</v>
      </c>
      <c r="DI30" s="294">
        <f>'SR BUDACT ER'!BV60</f>
        <v>0</v>
      </c>
      <c r="DJ30" s="294">
        <f>SUM(DH30-DI30)</f>
        <v>0</v>
      </c>
      <c r="DK30" s="276"/>
      <c r="DL30" s="276" t="s">
        <v>292</v>
      </c>
      <c r="DM30" s="276"/>
      <c r="DN30" s="294">
        <f>'SR BUDACT ER'!BX60</f>
        <v>0</v>
      </c>
      <c r="DO30" s="294">
        <f>'SR BUDACT ER'!BY60</f>
        <v>0</v>
      </c>
      <c r="DP30" s="294">
        <f>SUM(DN30-DO30)</f>
        <v>0</v>
      </c>
      <c r="DQ30" s="276"/>
      <c r="DR30" s="294">
        <f>'SR BUDACT ER'!CA60</f>
        <v>0</v>
      </c>
      <c r="DS30" s="294">
        <f>'SR BUDACT ER'!CB60</f>
        <v>0</v>
      </c>
      <c r="DT30" s="294">
        <f>SUM(DR30-DS30)</f>
        <v>0</v>
      </c>
      <c r="DU30" s="276"/>
      <c r="DV30" s="276" t="s">
        <v>292</v>
      </c>
      <c r="DW30" s="276"/>
      <c r="DX30" s="294">
        <f>'SR BUDACT ER'!CD60</f>
        <v>0</v>
      </c>
      <c r="DY30" s="294">
        <f>'SR BUDACT ER'!CE60</f>
        <v>0</v>
      </c>
      <c r="DZ30" s="294">
        <f>SUM(DX30-DY30)</f>
        <v>0</v>
      </c>
      <c r="EA30" s="276"/>
      <c r="EB30" s="294">
        <f>'SR BUDACT ER'!CG60</f>
        <v>7000</v>
      </c>
      <c r="EC30" s="294">
        <f>'SR BUDACT ER'!CH60-'Sys INPUT'!AF201</f>
        <v>0</v>
      </c>
      <c r="ED30" s="294">
        <f>SUM(EB30-EC30)</f>
        <v>7000</v>
      </c>
      <c r="EE30" s="276"/>
      <c r="EF30" s="276" t="s">
        <v>292</v>
      </c>
      <c r="EG30" s="276"/>
      <c r="EH30" s="294">
        <f>'SR BUDACT ER'!CJ60</f>
        <v>132507</v>
      </c>
      <c r="EI30" s="294">
        <f>'SR BUDACT ER'!CK60</f>
        <v>73060</v>
      </c>
      <c r="EJ30" s="294">
        <f>SUM(EH30-EI30)</f>
        <v>59447</v>
      </c>
      <c r="EK30" s="276"/>
      <c r="EL30" s="294">
        <f>'SR BUDACT ER'!CM60</f>
        <v>102160</v>
      </c>
      <c r="EM30" s="294">
        <f>'SR BUDACT ER'!CN60</f>
        <v>103446</v>
      </c>
      <c r="EN30" s="294">
        <f>SUM(EL30-EM30)</f>
        <v>-1286</v>
      </c>
      <c r="EO30" s="276"/>
      <c r="EP30" s="276" t="s">
        <v>292</v>
      </c>
      <c r="EQ30" s="276"/>
      <c r="ER30" s="294">
        <f>'SR BUDACT ER'!CP60</f>
        <v>0</v>
      </c>
      <c r="ES30" s="294">
        <f>'SR BUDACT ER'!CQ60</f>
        <v>0</v>
      </c>
      <c r="ET30" s="294">
        <f>SUM(ER30-ES30)</f>
        <v>0</v>
      </c>
      <c r="EU30" s="276"/>
      <c r="EV30" s="294">
        <f>'SR BUDACT ER'!CS60</f>
        <v>0</v>
      </c>
      <c r="EW30" s="294">
        <f>'SR BUDACT ER'!CT60</f>
        <v>0</v>
      </c>
      <c r="EX30" s="294">
        <f>SUM(EV30-EW30)</f>
        <v>0</v>
      </c>
      <c r="EY30" s="276"/>
      <c r="EZ30" s="276" t="s">
        <v>292</v>
      </c>
      <c r="FA30" s="276"/>
      <c r="FB30" s="294">
        <f>'SR BUDACT ER'!CV60</f>
        <v>0</v>
      </c>
      <c r="FC30" s="294">
        <f>'SR BUDACT ER'!CW60</f>
        <v>0</v>
      </c>
      <c r="FD30" s="294">
        <f>SUM(FB30-FC30)</f>
        <v>0</v>
      </c>
      <c r="FE30" s="276"/>
      <c r="FF30" s="294">
        <f>'SR BUDACT ER'!CY60</f>
        <v>0</v>
      </c>
      <c r="FG30" s="294">
        <f>'SR BUDACT ER'!CZ60</f>
        <v>0</v>
      </c>
      <c r="FH30" s="294">
        <f>SUM(FF30-FG30)</f>
        <v>0</v>
      </c>
      <c r="FI30" s="276"/>
      <c r="FJ30" s="276" t="s">
        <v>292</v>
      </c>
      <c r="FK30" s="276"/>
      <c r="FL30" s="294">
        <f>'SR BUDACT ER'!DB60</f>
        <v>0</v>
      </c>
      <c r="FM30" s="294">
        <f>'SR BUDACT ER'!DC60</f>
        <v>0</v>
      </c>
      <c r="FN30" s="294">
        <f>SUM(FL30-FM30)</f>
        <v>0</v>
      </c>
      <c r="FO30" s="276"/>
      <c r="FP30" s="294">
        <f>'SR BUDACT ER'!DE60</f>
        <v>0</v>
      </c>
      <c r="FQ30" s="294">
        <f>'SR BUDACT ER'!DF60</f>
        <v>0</v>
      </c>
      <c r="FR30" s="294">
        <f>SUM(FP30-FQ30)</f>
        <v>0</v>
      </c>
      <c r="FS30" s="276"/>
      <c r="FT30" s="276" t="s">
        <v>292</v>
      </c>
      <c r="FU30" s="276"/>
      <c r="FV30" s="294">
        <f>'SR BUDACT ER'!DH60</f>
        <v>0</v>
      </c>
      <c r="FW30" s="294">
        <f>'SR BUDACT ER'!DI60</f>
        <v>0</v>
      </c>
      <c r="FX30" s="294">
        <f>SUM(FV30-FW30)</f>
        <v>0</v>
      </c>
      <c r="FY30" s="276"/>
      <c r="FZ30" s="294">
        <f>'SR BUDACT ER'!DK60</f>
        <v>3413130</v>
      </c>
      <c r="GA30" s="294">
        <f>'SR BUDACT ER'!DL60</f>
        <v>2020387</v>
      </c>
      <c r="GB30" s="294">
        <f>SUM(FZ30-GA30)</f>
        <v>1392743</v>
      </c>
      <c r="GC30" s="276"/>
      <c r="GD30" s="294">
        <f>'SR BUDACT ER'!DN60</f>
        <v>0</v>
      </c>
      <c r="GE30" s="294">
        <f>'SR BUDACT ER'!DO60</f>
        <v>0</v>
      </c>
      <c r="GF30" s="294">
        <f>SUM(GD30-GE30)</f>
        <v>0</v>
      </c>
      <c r="GG30" s="276"/>
      <c r="GH30" s="276" t="s">
        <v>292</v>
      </c>
      <c r="GI30" s="276"/>
      <c r="GJ30" s="294">
        <f>'SR BUDACT ER'!DQ60</f>
        <v>0</v>
      </c>
      <c r="GK30" s="294">
        <f>'SR BUDACT ER'!DR60</f>
        <v>0</v>
      </c>
      <c r="GL30" s="294">
        <f>SUM(GJ30-GK30)</f>
        <v>0</v>
      </c>
      <c r="GN30" s="276"/>
      <c r="GO30" s="294">
        <f>'SR BUDACT ER'!DT60</f>
        <v>0</v>
      </c>
      <c r="GP30" s="294">
        <f>'SR BUDACT ER'!DU60</f>
        <v>0</v>
      </c>
      <c r="GQ30" s="294">
        <f>SUM(GO30-GP30)</f>
        <v>0</v>
      </c>
      <c r="GR30" s="276"/>
      <c r="GS30" s="276" t="s">
        <v>292</v>
      </c>
      <c r="GT30" s="276"/>
      <c r="GU30" s="294">
        <f>'SR BUDACT ER'!DW60</f>
        <v>0</v>
      </c>
      <c r="GV30" s="294">
        <f>'SR BUDACT ER'!DX60</f>
        <v>0</v>
      </c>
      <c r="GW30" s="294">
        <f>SUM(GU30-GV30)</f>
        <v>0</v>
      </c>
      <c r="GX30" s="294"/>
      <c r="GY30" s="294">
        <f>'SR BUDACT ER'!DZ60</f>
        <v>194800</v>
      </c>
      <c r="GZ30" s="294">
        <f>'SR BUDACT ER'!EA60</f>
        <v>186323</v>
      </c>
      <c r="HA30" s="294">
        <f>SUM(GY30-GZ30)</f>
        <v>8477</v>
      </c>
      <c r="HB30" s="276"/>
      <c r="HC30" s="276" t="s">
        <v>292</v>
      </c>
      <c r="HD30" s="276"/>
      <c r="HE30" s="294">
        <f>'SR BUDACT ER'!EC60</f>
        <v>0</v>
      </c>
      <c r="HF30" s="294">
        <f>'SR BUDACT ER'!ED60</f>
        <v>0</v>
      </c>
      <c r="HG30" s="294">
        <f>SUM(HE30-HF30)</f>
        <v>0</v>
      </c>
      <c r="HH30" s="294"/>
      <c r="HI30" s="294">
        <f>'SR BUDACT ER'!EI60</f>
        <v>0</v>
      </c>
      <c r="HJ30" s="294">
        <f>'SR BUDACT ER'!EJ60</f>
        <v>0</v>
      </c>
      <c r="HK30" s="294">
        <f>SUM(HI30-HJ30)</f>
        <v>0</v>
      </c>
      <c r="HL30" s="276"/>
      <c r="HM30" s="276" t="s">
        <v>292</v>
      </c>
      <c r="HN30" s="276"/>
      <c r="HO30" s="294"/>
      <c r="HP30" s="294"/>
      <c r="HQ30" s="294"/>
      <c r="HR30" s="276"/>
      <c r="HS30" s="294">
        <f>'SR BUDACT ER'!EL60</f>
        <v>0</v>
      </c>
      <c r="HT30" s="294">
        <f>'SR BUDACT ER'!EM60</f>
        <v>0</v>
      </c>
      <c r="HU30" s="294">
        <f>SUM(HS30-HT30)</f>
        <v>0</v>
      </c>
      <c r="HV30" s="294"/>
      <c r="HW30" s="294">
        <f>'SR BUDACT ER'!EO60</f>
        <v>0</v>
      </c>
      <c r="HX30" s="294">
        <f>'SR BUDACT ER'!EP60</f>
        <v>0</v>
      </c>
      <c r="HY30" s="294">
        <f>SUM(HW30-HX30)</f>
        <v>0</v>
      </c>
      <c r="HZ30" s="276"/>
      <c r="IA30" s="276" t="s">
        <v>292</v>
      </c>
      <c r="IB30" s="276"/>
      <c r="IC30" s="294">
        <f>'SR BUDACT ER'!ER60</f>
        <v>0</v>
      </c>
      <c r="ID30" s="294">
        <f>'SR BUDACT ER'!ES60</f>
        <v>0</v>
      </c>
      <c r="IE30" s="294">
        <f>SUM(IC30-ID30)</f>
        <v>0</v>
      </c>
      <c r="IF30" s="294"/>
      <c r="IG30" s="276"/>
      <c r="IH30" s="294">
        <f t="shared" si="57"/>
        <v>5246934</v>
      </c>
      <c r="II30" s="294">
        <f t="shared" si="58"/>
        <v>3448356</v>
      </c>
      <c r="IJ30" s="294">
        <f>SUM(IH30-II30)</f>
        <v>1798578</v>
      </c>
      <c r="IK30" s="276"/>
      <c r="IL30" s="276" t="s">
        <v>292</v>
      </c>
      <c r="IM30" s="276"/>
      <c r="IN30" s="308"/>
      <c r="IO30" s="308"/>
      <c r="IP30" s="308"/>
      <c r="IQ30" s="294"/>
      <c r="IR30" s="294"/>
      <c r="IS30" s="294"/>
      <c r="IW30" s="276"/>
      <c r="IX30" s="294"/>
      <c r="IY30" s="294"/>
      <c r="JA30" s="294"/>
      <c r="JB30" s="294"/>
      <c r="JC30" s="514"/>
      <c r="JE30" s="288">
        <f t="shared" si="54"/>
        <v>10493868</v>
      </c>
      <c r="JF30" s="288">
        <f t="shared" si="55"/>
        <v>10493868</v>
      </c>
      <c r="JG30" s="288">
        <f t="shared" si="56"/>
        <v>0</v>
      </c>
    </row>
    <row r="31" spans="2:267" ht="15.75">
      <c r="B31" s="276" t="s">
        <v>205</v>
      </c>
      <c r="C31" s="276"/>
      <c r="D31" s="294"/>
      <c r="E31" s="294"/>
      <c r="F31" s="294"/>
      <c r="G31" s="276"/>
      <c r="H31" s="294"/>
      <c r="I31" s="294"/>
      <c r="J31" s="294"/>
      <c r="K31" s="276"/>
      <c r="L31" s="276" t="s">
        <v>205</v>
      </c>
      <c r="M31" s="276"/>
      <c r="N31" s="294"/>
      <c r="O31" s="294"/>
      <c r="P31" s="294"/>
      <c r="Q31" s="276"/>
      <c r="R31" s="294"/>
      <c r="S31" s="294"/>
      <c r="T31" s="294"/>
      <c r="U31" s="276"/>
      <c r="V31" s="276" t="s">
        <v>205</v>
      </c>
      <c r="W31" s="276"/>
      <c r="X31" s="294"/>
      <c r="Y31" s="294"/>
      <c r="Z31" s="294"/>
      <c r="AA31" s="276"/>
      <c r="AB31" s="294"/>
      <c r="AC31" s="294"/>
      <c r="AD31" s="294"/>
      <c r="AE31" s="294"/>
      <c r="AF31" s="276" t="s">
        <v>205</v>
      </c>
      <c r="AG31" s="276"/>
      <c r="AH31" s="294"/>
      <c r="AI31" s="294"/>
      <c r="AJ31" s="294"/>
      <c r="AK31" s="276"/>
      <c r="AL31" s="294"/>
      <c r="AM31" s="294"/>
      <c r="AN31" s="294"/>
      <c r="AO31" s="294"/>
      <c r="AP31" s="276" t="s">
        <v>205</v>
      </c>
      <c r="AQ31" s="276"/>
      <c r="AR31" s="294"/>
      <c r="AS31" s="294"/>
      <c r="AT31" s="294"/>
      <c r="AU31" s="276"/>
      <c r="AV31" s="294"/>
      <c r="AW31" s="294"/>
      <c r="AX31" s="294"/>
      <c r="AY31" s="294"/>
      <c r="AZ31" s="276" t="s">
        <v>205</v>
      </c>
      <c r="BA31" s="276"/>
      <c r="BB31" s="294"/>
      <c r="BC31" s="294"/>
      <c r="BD31" s="294"/>
      <c r="BE31" s="276"/>
      <c r="BF31" s="294"/>
      <c r="BG31" s="294"/>
      <c r="BH31" s="294"/>
      <c r="BI31" s="276"/>
      <c r="BJ31" s="294"/>
      <c r="BK31" s="294"/>
      <c r="BL31" s="294"/>
      <c r="BM31" s="294"/>
      <c r="BN31" s="276" t="s">
        <v>205</v>
      </c>
      <c r="BO31" s="294"/>
      <c r="BP31" s="294"/>
      <c r="BQ31" s="294"/>
      <c r="BR31" s="294"/>
      <c r="BS31" s="294"/>
      <c r="BT31" s="294"/>
      <c r="BU31" s="294"/>
      <c r="BV31" s="294"/>
      <c r="BW31" s="294"/>
      <c r="BX31" s="276" t="s">
        <v>205</v>
      </c>
      <c r="BY31" s="294"/>
      <c r="BZ31" s="294"/>
      <c r="CA31" s="294"/>
      <c r="CB31" s="294"/>
      <c r="CC31" s="294"/>
      <c r="CD31" s="294"/>
      <c r="CE31" s="294"/>
      <c r="CF31" s="294"/>
      <c r="CG31" s="294"/>
      <c r="CH31" s="276" t="s">
        <v>205</v>
      </c>
      <c r="CI31" s="276"/>
      <c r="CJ31" s="294"/>
      <c r="CK31" s="294"/>
      <c r="CL31" s="294"/>
      <c r="CM31" s="276"/>
      <c r="CN31" s="294"/>
      <c r="CO31" s="294"/>
      <c r="CP31" s="294"/>
      <c r="CQ31" s="294"/>
      <c r="CR31" s="276" t="s">
        <v>205</v>
      </c>
      <c r="CS31" s="276"/>
      <c r="CT31" s="294"/>
      <c r="CU31" s="294"/>
      <c r="CV31" s="294"/>
      <c r="CW31" s="276"/>
      <c r="CX31" s="294"/>
      <c r="CY31" s="294"/>
      <c r="CZ31" s="294"/>
      <c r="DA31" s="294"/>
      <c r="DB31" s="276" t="s">
        <v>205</v>
      </c>
      <c r="DC31" s="276"/>
      <c r="DD31" s="294"/>
      <c r="DE31" s="294"/>
      <c r="DF31" s="294"/>
      <c r="DG31" s="276"/>
      <c r="DH31" s="294"/>
      <c r="DI31" s="294"/>
      <c r="DJ31" s="294"/>
      <c r="DK31" s="276"/>
      <c r="DL31" s="276" t="s">
        <v>205</v>
      </c>
      <c r="DM31" s="276"/>
      <c r="DN31" s="294"/>
      <c r="DO31" s="294"/>
      <c r="DP31" s="294"/>
      <c r="DQ31" s="276"/>
      <c r="DR31" s="294"/>
      <c r="DS31" s="294"/>
      <c r="DT31" s="294"/>
      <c r="DU31" s="276"/>
      <c r="DV31" s="276" t="s">
        <v>205</v>
      </c>
      <c r="DW31" s="276"/>
      <c r="DX31" s="294"/>
      <c r="DY31" s="294"/>
      <c r="DZ31" s="294"/>
      <c r="EA31" s="276"/>
      <c r="EB31" s="294"/>
      <c r="EC31" s="294"/>
      <c r="ED31" s="294"/>
      <c r="EE31" s="276"/>
      <c r="EF31" s="276" t="s">
        <v>205</v>
      </c>
      <c r="EG31" s="276"/>
      <c r="EH31" s="294"/>
      <c r="EI31" s="294"/>
      <c r="EJ31" s="294"/>
      <c r="EK31" s="276"/>
      <c r="EL31" s="294"/>
      <c r="EM31" s="294"/>
      <c r="EN31" s="294"/>
      <c r="EO31" s="276"/>
      <c r="EP31" s="276" t="s">
        <v>205</v>
      </c>
      <c r="EQ31" s="276"/>
      <c r="ER31" s="294"/>
      <c r="ES31" s="294"/>
      <c r="ET31" s="294"/>
      <c r="EU31" s="276"/>
      <c r="EV31" s="294"/>
      <c r="EW31" s="294"/>
      <c r="EX31" s="294"/>
      <c r="EY31" s="276"/>
      <c r="EZ31" s="276" t="s">
        <v>205</v>
      </c>
      <c r="FA31" s="276"/>
      <c r="FB31" s="294"/>
      <c r="FC31" s="294"/>
      <c r="FD31" s="294"/>
      <c r="FE31" s="276"/>
      <c r="FF31" s="294"/>
      <c r="FG31" s="294"/>
      <c r="FH31" s="294"/>
      <c r="FI31" s="276"/>
      <c r="FJ31" s="276" t="s">
        <v>205</v>
      </c>
      <c r="FK31" s="276"/>
      <c r="FL31" s="294"/>
      <c r="FM31" s="294"/>
      <c r="FN31" s="294"/>
      <c r="FO31" s="276"/>
      <c r="FP31" s="294"/>
      <c r="FQ31" s="294"/>
      <c r="FR31" s="294"/>
      <c r="FS31" s="276"/>
      <c r="FT31" s="276" t="s">
        <v>205</v>
      </c>
      <c r="FU31" s="276"/>
      <c r="FV31" s="294"/>
      <c r="FW31" s="294"/>
      <c r="FX31" s="294"/>
      <c r="FY31" s="276"/>
      <c r="FZ31" s="294"/>
      <c r="GA31" s="294"/>
      <c r="GB31" s="294"/>
      <c r="GC31" s="276"/>
      <c r="GD31" s="294"/>
      <c r="GE31" s="294"/>
      <c r="GF31" s="294"/>
      <c r="GG31" s="276"/>
      <c r="GH31" s="276" t="s">
        <v>205</v>
      </c>
      <c r="GI31" s="276"/>
      <c r="GJ31" s="294"/>
      <c r="GK31" s="294"/>
      <c r="GL31" s="294"/>
      <c r="GN31" s="276"/>
      <c r="GO31" s="294"/>
      <c r="GP31" s="294"/>
      <c r="GQ31" s="294"/>
      <c r="GR31" s="276"/>
      <c r="GS31" s="276" t="s">
        <v>205</v>
      </c>
      <c r="GT31" s="276"/>
      <c r="GU31" s="294"/>
      <c r="GV31" s="294"/>
      <c r="GW31" s="294"/>
      <c r="GX31" s="294"/>
      <c r="GY31" s="294"/>
      <c r="GZ31" s="294"/>
      <c r="HA31" s="294"/>
      <c r="HB31" s="276"/>
      <c r="HC31" s="276" t="s">
        <v>205</v>
      </c>
      <c r="HD31" s="276"/>
      <c r="HE31" s="294"/>
      <c r="HF31" s="294"/>
      <c r="HG31" s="294"/>
      <c r="HH31" s="294"/>
      <c r="HI31" s="294"/>
      <c r="HJ31" s="294"/>
      <c r="HK31" s="294"/>
      <c r="HL31" s="276"/>
      <c r="HM31" s="276" t="s">
        <v>205</v>
      </c>
      <c r="HN31" s="276"/>
      <c r="HO31" s="294"/>
      <c r="HP31" s="294"/>
      <c r="HQ31" s="294"/>
      <c r="HR31" s="276"/>
      <c r="HS31" s="294">
        <f>'SR BUDACT ER'!EL61</f>
        <v>0</v>
      </c>
      <c r="HT31" s="294">
        <f>'SR BUDACT ER'!EM61</f>
        <v>0</v>
      </c>
      <c r="HU31" s="294"/>
      <c r="HV31" s="294"/>
      <c r="HW31" s="294"/>
      <c r="HX31" s="294"/>
      <c r="HY31" s="294"/>
      <c r="HZ31" s="276"/>
      <c r="IA31" s="276" t="s">
        <v>205</v>
      </c>
      <c r="IB31" s="276"/>
      <c r="IC31" s="294"/>
      <c r="ID31" s="294"/>
      <c r="IE31" s="294"/>
      <c r="IF31" s="294"/>
      <c r="IG31" s="276"/>
      <c r="IH31" s="294"/>
      <c r="II31" s="294"/>
      <c r="IJ31" s="294"/>
      <c r="IK31" s="276"/>
      <c r="IL31" s="276" t="s">
        <v>205</v>
      </c>
      <c r="IM31" s="276"/>
      <c r="IN31" s="308"/>
      <c r="IO31" s="308"/>
      <c r="IP31" s="308"/>
      <c r="IQ31" s="294"/>
      <c r="IR31" s="294"/>
      <c r="IS31" s="294"/>
      <c r="IW31" s="276"/>
      <c r="IX31" s="294"/>
      <c r="IY31" s="294"/>
      <c r="JA31" s="294">
        <f>SUM('SR BUDACT ER'!AN62:AN63)</f>
        <v>0</v>
      </c>
      <c r="JB31" s="294">
        <f>SUM('SR BUDACT ER'!AO62:AO63)</f>
        <v>0</v>
      </c>
      <c r="JC31" s="514">
        <f>SUM(JA31-JB31)</f>
        <v>0</v>
      </c>
      <c r="JE31" s="288">
        <f t="shared" si="54"/>
        <v>0</v>
      </c>
      <c r="JF31" s="288">
        <f t="shared" si="55"/>
        <v>0</v>
      </c>
      <c r="JG31" s="288">
        <f t="shared" si="56"/>
        <v>0</v>
      </c>
    </row>
    <row r="32" spans="2:267" ht="15.75">
      <c r="B32" s="276" t="s">
        <v>767</v>
      </c>
      <c r="C32" s="276"/>
      <c r="D32" s="294">
        <f>'SR BUDACT ER'!G62</f>
        <v>0</v>
      </c>
      <c r="E32" s="294">
        <f>'SR BUDACT ER'!H62</f>
        <v>0</v>
      </c>
      <c r="F32" s="294">
        <f>SUM(D32-E32)</f>
        <v>0</v>
      </c>
      <c r="G32" s="276"/>
      <c r="H32" s="294">
        <f>'SR BUDACT ER'!J62</f>
        <v>0</v>
      </c>
      <c r="I32" s="294">
        <f>'SR BUDACT ER'!K62</f>
        <v>0</v>
      </c>
      <c r="J32" s="294">
        <f>SUM(H32-I32)</f>
        <v>0</v>
      </c>
      <c r="K32" s="276"/>
      <c r="L32" s="276" t="s">
        <v>767</v>
      </c>
      <c r="M32" s="276"/>
      <c r="N32" s="294">
        <f>'SR BUDACT ER'!M62</f>
        <v>0</v>
      </c>
      <c r="O32" s="294">
        <f>'SR BUDACT ER'!N62</f>
        <v>0</v>
      </c>
      <c r="P32" s="294">
        <f>SUM(N32-O32)</f>
        <v>0</v>
      </c>
      <c r="Q32" s="276"/>
      <c r="R32" s="294">
        <f>'SR BUDACT ER'!P62</f>
        <v>0</v>
      </c>
      <c r="S32" s="294">
        <f>'SR BUDACT ER'!Q62</f>
        <v>0</v>
      </c>
      <c r="T32" s="294">
        <f>SUM(R32-S32)</f>
        <v>0</v>
      </c>
      <c r="U32" s="276"/>
      <c r="V32" s="276" t="s">
        <v>767</v>
      </c>
      <c r="W32" s="276"/>
      <c r="X32" s="294">
        <f>'SR BUDACT ER'!S62</f>
        <v>0</v>
      </c>
      <c r="Y32" s="294">
        <f>'SR BUDACT ER'!T62</f>
        <v>0</v>
      </c>
      <c r="Z32" s="294">
        <f>SUM(X32-Y32)</f>
        <v>0</v>
      </c>
      <c r="AA32" s="276"/>
      <c r="AB32" s="294">
        <f>'SR BUDACT ER'!V62</f>
        <v>0</v>
      </c>
      <c r="AC32" s="294">
        <f>'SR BUDACT ER'!W62</f>
        <v>0</v>
      </c>
      <c r="AD32" s="294">
        <f>SUM(AB32-AC32)</f>
        <v>0</v>
      </c>
      <c r="AE32" s="294"/>
      <c r="AF32" s="276" t="s">
        <v>767</v>
      </c>
      <c r="AG32" s="276"/>
      <c r="AH32" s="294">
        <f>'SR BUDACT ER'!Y62</f>
        <v>0</v>
      </c>
      <c r="AI32" s="294">
        <f>'SR BUDACT ER'!Z62</f>
        <v>0</v>
      </c>
      <c r="AJ32" s="294">
        <f>SUM(AH32-AI32)</f>
        <v>0</v>
      </c>
      <c r="AK32" s="276"/>
      <c r="AL32" s="294">
        <f>'SR BUDACT ER'!AB62</f>
        <v>0</v>
      </c>
      <c r="AM32" s="294">
        <f>'SR BUDACT ER'!AC62</f>
        <v>0</v>
      </c>
      <c r="AN32" s="294">
        <f>SUM(AL32-AM32)</f>
        <v>0</v>
      </c>
      <c r="AO32" s="294"/>
      <c r="AP32" s="276" t="s">
        <v>767</v>
      </c>
      <c r="AQ32" s="276"/>
      <c r="AR32" s="294">
        <f>'SR BUDACT ER'!AE62</f>
        <v>154437</v>
      </c>
      <c r="AS32" s="294">
        <f>'SR BUDACT ER'!AF62</f>
        <v>154563</v>
      </c>
      <c r="AT32" s="294">
        <f>SUM(AR32-AS32)</f>
        <v>-126</v>
      </c>
      <c r="AU32" s="276"/>
      <c r="AV32" s="294">
        <f>'SR BUDACT ER'!AH62</f>
        <v>1500</v>
      </c>
      <c r="AW32" s="294">
        <f>'SR BUDACT ER'!AI62</f>
        <v>658</v>
      </c>
      <c r="AX32" s="294">
        <f>SUM(AV32-AW32)</f>
        <v>842</v>
      </c>
      <c r="AY32" s="294"/>
      <c r="AZ32" s="276" t="s">
        <v>767</v>
      </c>
      <c r="BA32" s="276"/>
      <c r="BB32" s="294">
        <f>'SR BUDACT ER'!AK62</f>
        <v>0</v>
      </c>
      <c r="BC32" s="294">
        <f>'SR BUDACT ER'!AL62</f>
        <v>0</v>
      </c>
      <c r="BD32" s="294">
        <f>SUM(BB32-BC32)</f>
        <v>0</v>
      </c>
      <c r="BE32" s="276"/>
      <c r="BF32" s="294"/>
      <c r="BG32" s="294"/>
      <c r="BH32" s="294"/>
      <c r="BI32" s="276"/>
      <c r="BJ32" s="294">
        <f>'SR BUDACT ER'!AQ62</f>
        <v>0</v>
      </c>
      <c r="BK32" s="294">
        <f>'SR BUDACT ER'!AR62</f>
        <v>0</v>
      </c>
      <c r="BL32" s="294">
        <f>SUM(BJ32-BK32)</f>
        <v>0</v>
      </c>
      <c r="BM32" s="294"/>
      <c r="BN32" s="276" t="s">
        <v>767</v>
      </c>
      <c r="BO32" s="294"/>
      <c r="BP32" s="294">
        <f>'SR BUDACT ER'!AT62</f>
        <v>0</v>
      </c>
      <c r="BQ32" s="294">
        <f>'SR BUDACT ER'!AU62</f>
        <v>0</v>
      </c>
      <c r="BR32" s="294">
        <f>SUM(BP32-BQ32)</f>
        <v>0</v>
      </c>
      <c r="BS32" s="294"/>
      <c r="BT32" s="294">
        <f>'SR BUDACT ER'!AW62</f>
        <v>0</v>
      </c>
      <c r="BU32" s="294">
        <f>'SR BUDACT ER'!AX62</f>
        <v>0</v>
      </c>
      <c r="BV32" s="294">
        <f>SUM(BT32-BU32)</f>
        <v>0</v>
      </c>
      <c r="BW32" s="294"/>
      <c r="BX32" s="276" t="s">
        <v>767</v>
      </c>
      <c r="BY32" s="294"/>
      <c r="BZ32" s="294">
        <f>'SR BUDACT ER'!AZ62</f>
        <v>0</v>
      </c>
      <c r="CA32" s="294">
        <f>'SR BUDACT ER'!BA62</f>
        <v>0</v>
      </c>
      <c r="CB32" s="294">
        <f>SUM(BZ32-CA32)</f>
        <v>0</v>
      </c>
      <c r="CC32" s="294"/>
      <c r="CD32" s="294">
        <f>'SR BUDACT ER'!BC62</f>
        <v>0</v>
      </c>
      <c r="CE32" s="294">
        <f>'SR BUDACT ER'!BD62</f>
        <v>0</v>
      </c>
      <c r="CF32" s="294">
        <f>SUM(CD32-CE32)</f>
        <v>0</v>
      </c>
      <c r="CG32" s="294"/>
      <c r="CH32" s="276" t="s">
        <v>767</v>
      </c>
      <c r="CI32" s="276"/>
      <c r="CJ32" s="294">
        <f>'SR BUDACT ER'!BF62</f>
        <v>0</v>
      </c>
      <c r="CK32" s="294">
        <f>'SR BUDACT ER'!BG62</f>
        <v>0</v>
      </c>
      <c r="CL32" s="294">
        <f>SUM(CJ32-CK32)</f>
        <v>0</v>
      </c>
      <c r="CM32" s="276"/>
      <c r="CN32" s="294">
        <f>'SR BUDACT ER'!BI62</f>
        <v>0</v>
      </c>
      <c r="CO32" s="294">
        <f>'SR BUDACT ER'!BJ62</f>
        <v>0</v>
      </c>
      <c r="CP32" s="294">
        <f>SUM(CN32-CO32)</f>
        <v>0</v>
      </c>
      <c r="CQ32" s="294"/>
      <c r="CR32" s="276" t="s">
        <v>767</v>
      </c>
      <c r="CS32" s="276"/>
      <c r="CT32" s="294">
        <f>'SR BUDACT ER'!BL62</f>
        <v>159460</v>
      </c>
      <c r="CU32" s="294">
        <f>'SR BUDACT ER'!BM62</f>
        <v>132924</v>
      </c>
      <c r="CV32" s="294">
        <f>SUM(CT32-CU32)</f>
        <v>26536</v>
      </c>
      <c r="CW32" s="276"/>
      <c r="CX32" s="294">
        <f>'SR BUDACT ER'!BO62</f>
        <v>0</v>
      </c>
      <c r="CY32" s="294">
        <f>'SR BUDACT ER'!BP62</f>
        <v>0</v>
      </c>
      <c r="CZ32" s="294">
        <f>SUM(CX32-CY32)</f>
        <v>0</v>
      </c>
      <c r="DA32" s="294"/>
      <c r="DB32" s="276" t="s">
        <v>767</v>
      </c>
      <c r="DC32" s="276"/>
      <c r="DD32" s="294">
        <f>'SR BUDACT ER'!BR62</f>
        <v>0</v>
      </c>
      <c r="DE32" s="294">
        <f>'SR BUDACT ER'!BS62</f>
        <v>0</v>
      </c>
      <c r="DF32" s="294">
        <f>SUM(DD32-DE32)</f>
        <v>0</v>
      </c>
      <c r="DG32" s="276"/>
      <c r="DH32" s="294">
        <f>'SR BUDACT ER'!BU62</f>
        <v>3381677</v>
      </c>
      <c r="DI32" s="294">
        <f>'SR BUDACT ER'!BV62</f>
        <v>3299391</v>
      </c>
      <c r="DJ32" s="294">
        <f>SUM(DH32-DI32)</f>
        <v>82286</v>
      </c>
      <c r="DK32" s="276"/>
      <c r="DL32" s="276" t="s">
        <v>767</v>
      </c>
      <c r="DM32" s="276"/>
      <c r="DN32" s="294">
        <f>'SR BUDACT ER'!BX62</f>
        <v>0</v>
      </c>
      <c r="DO32" s="294">
        <f>'SR BUDACT ER'!BY62</f>
        <v>0</v>
      </c>
      <c r="DP32" s="294">
        <f>SUM(DN32-DO32)</f>
        <v>0</v>
      </c>
      <c r="DQ32" s="276"/>
      <c r="DR32" s="294">
        <f>'SR BUDACT ER'!CA62</f>
        <v>0</v>
      </c>
      <c r="DS32" s="294">
        <f>'SR BUDACT ER'!CB62</f>
        <v>0</v>
      </c>
      <c r="DT32" s="294">
        <f>SUM(DR32-DS32)</f>
        <v>0</v>
      </c>
      <c r="DU32" s="276"/>
      <c r="DV32" s="276" t="s">
        <v>767</v>
      </c>
      <c r="DW32" s="276"/>
      <c r="DX32" s="294">
        <f>'SR BUDACT ER'!CD62</f>
        <v>0</v>
      </c>
      <c r="DY32" s="294">
        <f>'SR BUDACT ER'!CE62</f>
        <v>0</v>
      </c>
      <c r="DZ32" s="294">
        <f>SUM(DX32-DY32)</f>
        <v>0</v>
      </c>
      <c r="EA32" s="276"/>
      <c r="EB32" s="294">
        <f>'SR BUDACT ER'!CG62</f>
        <v>0</v>
      </c>
      <c r="EC32" s="294">
        <f>'SR BUDACT ER'!CH62</f>
        <v>0</v>
      </c>
      <c r="ED32" s="294">
        <f>SUM(EB32-EC32)</f>
        <v>0</v>
      </c>
      <c r="EE32" s="276"/>
      <c r="EF32" s="276" t="s">
        <v>767</v>
      </c>
      <c r="EG32" s="276"/>
      <c r="EH32" s="294">
        <f>'SR BUDACT ER'!CJ62</f>
        <v>0</v>
      </c>
      <c r="EI32" s="294">
        <f>'SR BUDACT ER'!CK62</f>
        <v>0</v>
      </c>
      <c r="EJ32" s="294">
        <f>SUM(EH32-EI32)</f>
        <v>0</v>
      </c>
      <c r="EK32" s="276"/>
      <c r="EL32" s="294">
        <f>'SR BUDACT ER'!CM62</f>
        <v>0</v>
      </c>
      <c r="EM32" s="294">
        <f>'SR BUDACT ER'!CN62</f>
        <v>0</v>
      </c>
      <c r="EN32" s="294">
        <f>SUM(EL32-EM32)</f>
        <v>0</v>
      </c>
      <c r="EO32" s="276"/>
      <c r="EP32" s="276" t="s">
        <v>767</v>
      </c>
      <c r="EQ32" s="276"/>
      <c r="ER32" s="294">
        <f>'SR BUDACT ER'!CP62</f>
        <v>0</v>
      </c>
      <c r="ES32" s="294">
        <f>'SR BUDACT ER'!CQ62</f>
        <v>0</v>
      </c>
      <c r="ET32" s="294">
        <f>SUM(ER32-ES32)</f>
        <v>0</v>
      </c>
      <c r="EU32" s="276"/>
      <c r="EV32" s="294">
        <f>'SR BUDACT ER'!CS62</f>
        <v>0</v>
      </c>
      <c r="EW32" s="294">
        <f>'SR BUDACT ER'!CT62</f>
        <v>0</v>
      </c>
      <c r="EX32" s="294">
        <f>SUM(EV32-EW32)</f>
        <v>0</v>
      </c>
      <c r="EY32" s="276"/>
      <c r="EZ32" s="276" t="s">
        <v>767</v>
      </c>
      <c r="FA32" s="276"/>
      <c r="FB32" s="294">
        <f>'SR BUDACT ER'!CV62</f>
        <v>0</v>
      </c>
      <c r="FC32" s="294">
        <f>'SR BUDACT ER'!CW62</f>
        <v>0</v>
      </c>
      <c r="FD32" s="294">
        <f>SUM(FB32-FC32)</f>
        <v>0</v>
      </c>
      <c r="FE32" s="276"/>
      <c r="FF32" s="294">
        <f>'SR BUDACT ER'!CY62</f>
        <v>0</v>
      </c>
      <c r="FG32" s="294">
        <f>'SR BUDACT ER'!CZ62</f>
        <v>0</v>
      </c>
      <c r="FH32" s="294">
        <f>SUM(FF32-FG32)</f>
        <v>0</v>
      </c>
      <c r="FI32" s="276"/>
      <c r="FJ32" s="276" t="s">
        <v>767</v>
      </c>
      <c r="FK32" s="276"/>
      <c r="FL32" s="294">
        <f>'SR BUDACT ER'!DB62</f>
        <v>0</v>
      </c>
      <c r="FM32" s="294">
        <f>'SR BUDACT ER'!DC62</f>
        <v>0</v>
      </c>
      <c r="FN32" s="294">
        <f>SUM(FL32-FM32)</f>
        <v>0</v>
      </c>
      <c r="FO32" s="276"/>
      <c r="FP32" s="294">
        <f>'SR BUDACT ER'!DE62</f>
        <v>0</v>
      </c>
      <c r="FQ32" s="294">
        <f>'SR BUDACT ER'!DF62</f>
        <v>0</v>
      </c>
      <c r="FR32" s="294">
        <f>SUM(FP32-FQ32)</f>
        <v>0</v>
      </c>
      <c r="FS32" s="276"/>
      <c r="FT32" s="276" t="s">
        <v>767</v>
      </c>
      <c r="FU32" s="276"/>
      <c r="FV32" s="294">
        <f>'SR BUDACT ER'!DH62</f>
        <v>0</v>
      </c>
      <c r="FW32" s="294">
        <f>'SR BUDACT ER'!DI62</f>
        <v>0</v>
      </c>
      <c r="FX32" s="294">
        <f>SUM(FV32-FW32)</f>
        <v>0</v>
      </c>
      <c r="FY32" s="276"/>
      <c r="FZ32" s="294">
        <f>'SR BUDACT ER'!DK62</f>
        <v>0</v>
      </c>
      <c r="GA32" s="294">
        <f>'SR BUDACT ER'!DL62</f>
        <v>0</v>
      </c>
      <c r="GB32" s="294">
        <f>SUM(FZ32-GA32)</f>
        <v>0</v>
      </c>
      <c r="GC32" s="276"/>
      <c r="GD32" s="294">
        <f>'SR BUDACT ER'!DN62</f>
        <v>0</v>
      </c>
      <c r="GE32" s="294">
        <f>'SR BUDACT ER'!DO62</f>
        <v>0</v>
      </c>
      <c r="GF32" s="294">
        <f>SUM(GD32-GE32)</f>
        <v>0</v>
      </c>
      <c r="GG32" s="276"/>
      <c r="GH32" s="276" t="s">
        <v>767</v>
      </c>
      <c r="GI32" s="276"/>
      <c r="GJ32" s="294">
        <f>'SR BUDACT ER'!DQ62</f>
        <v>0</v>
      </c>
      <c r="GK32" s="294">
        <f>'SR BUDACT ER'!DR62</f>
        <v>0</v>
      </c>
      <c r="GL32" s="294">
        <f>SUM(GJ32-GK32)</f>
        <v>0</v>
      </c>
      <c r="GN32" s="276"/>
      <c r="GO32" s="294">
        <f>'SR BUDACT ER'!DT62</f>
        <v>0</v>
      </c>
      <c r="GP32" s="294">
        <f>'SR BUDACT ER'!DU62</f>
        <v>0</v>
      </c>
      <c r="GQ32" s="294">
        <f>SUM(GO32-GP32)</f>
        <v>0</v>
      </c>
      <c r="GR32" s="276"/>
      <c r="GS32" s="276" t="s">
        <v>767</v>
      </c>
      <c r="GT32" s="276"/>
      <c r="GU32" s="294">
        <f>'SR BUDACT ER'!DW62</f>
        <v>0</v>
      </c>
      <c r="GV32" s="294">
        <f>'SR BUDACT ER'!DX62</f>
        <v>0</v>
      </c>
      <c r="GW32" s="294">
        <f>SUM(GU32-GV32)</f>
        <v>0</v>
      </c>
      <c r="GX32" s="294"/>
      <c r="GY32" s="294">
        <f>'SR BUDACT ER'!DZ62</f>
        <v>0</v>
      </c>
      <c r="GZ32" s="294">
        <f>'SR BUDACT ER'!EA62</f>
        <v>0</v>
      </c>
      <c r="HA32" s="294">
        <f>SUM(GY32-GZ32)</f>
        <v>0</v>
      </c>
      <c r="HB32" s="276"/>
      <c r="HC32" s="276" t="s">
        <v>767</v>
      </c>
      <c r="HD32" s="276"/>
      <c r="HE32" s="294">
        <f>'SR BUDACT ER'!EC62</f>
        <v>31736</v>
      </c>
      <c r="HF32" s="294">
        <f>'SR BUDACT ER'!ED62</f>
        <v>22045</v>
      </c>
      <c r="HG32" s="294">
        <f>SUM(HE32-HF32)</f>
        <v>9691</v>
      </c>
      <c r="HH32" s="294"/>
      <c r="HI32" s="294">
        <f>'SR BUDACT ER'!EI62</f>
        <v>0</v>
      </c>
      <c r="HJ32" s="294">
        <f>'SR BUDACT ER'!EJ62</f>
        <v>0</v>
      </c>
      <c r="HK32" s="294">
        <f>SUM(HI32-HJ32)</f>
        <v>0</v>
      </c>
      <c r="HL32" s="276"/>
      <c r="HM32" s="276" t="s">
        <v>767</v>
      </c>
      <c r="HN32" s="276"/>
      <c r="HO32" s="294"/>
      <c r="HP32" s="294"/>
      <c r="HQ32" s="294"/>
      <c r="HR32" s="276"/>
      <c r="HS32" s="294">
        <f>'SR BUDACT ER'!EL62</f>
        <v>0</v>
      </c>
      <c r="HT32" s="294">
        <f>'SR BUDACT ER'!EM62</f>
        <v>0</v>
      </c>
      <c r="HU32" s="294">
        <f>SUM(HS32-HT32)</f>
        <v>0</v>
      </c>
      <c r="HV32" s="294"/>
      <c r="HW32" s="294">
        <f>'SR BUDACT ER'!EO62</f>
        <v>0</v>
      </c>
      <c r="HX32" s="294">
        <f>'SR BUDACT ER'!EP62</f>
        <v>0</v>
      </c>
      <c r="HY32" s="294">
        <f>SUM(HW32-HX32)</f>
        <v>0</v>
      </c>
      <c r="HZ32" s="276"/>
      <c r="IA32" s="276" t="s">
        <v>767</v>
      </c>
      <c r="IB32" s="276"/>
      <c r="IC32" s="294">
        <f>'SR BUDACT ER'!ER62</f>
        <v>0</v>
      </c>
      <c r="ID32" s="294">
        <f>'SR BUDACT ER'!ES62</f>
        <v>0</v>
      </c>
      <c r="IE32" s="294">
        <f>SUM(IC32-ID32)</f>
        <v>0</v>
      </c>
      <c r="IF32" s="294"/>
      <c r="IG32" s="276"/>
      <c r="IH32" s="294">
        <f t="shared" ref="IH32:IH33" si="59">+D32+H32+N32+R32+X32+AB32+AH32+AL32+AR32+AV32+BB32+BJ32+BP32+BT32+BZ32+CD32+CJ32+CN32+CT32+CX32+DD32+DH32+DN32+DR32+DX32+EB32+EH32+EL32+ER32+EV32+FB32+FF32+FL32+FP32+FV32+FZ32+GD32+GJ32+GO32+GU32+GY32+HE32+HI32+HS32+HW32+IC32</f>
        <v>3728810</v>
      </c>
      <c r="II32" s="294">
        <f t="shared" ref="II32:II33" si="60">+E32+I32+O32+S32+Y32+AC32+AI32+AM32+AS32+AW32+BC32+BK32+BQ32+BU32+CA32+CE32+CK32+CO32+CU32+CY32+DE32+DI32+DO32+DS32+DY32+EC32+EI32+EM32+ES32+EW32+FC32+FG32+FM32+FQ32+FW32+GA32+GE32+GK32+GP32+GV32+GZ32+HF32+HJ32+HT32+HX32+ID32</f>
        <v>3609581</v>
      </c>
      <c r="IJ32" s="294">
        <f>SUM(IH32-II32)</f>
        <v>119229</v>
      </c>
      <c r="IK32" s="276"/>
      <c r="IL32" s="276" t="s">
        <v>767</v>
      </c>
      <c r="IM32" s="276"/>
      <c r="IN32" s="308"/>
      <c r="IO32" s="308"/>
      <c r="IP32" s="308"/>
      <c r="IQ32" s="294"/>
      <c r="IR32" s="294"/>
      <c r="IS32" s="294"/>
      <c r="IW32" s="276"/>
      <c r="IX32" s="294"/>
      <c r="IY32" s="294"/>
      <c r="JA32" s="294"/>
      <c r="JB32" s="294"/>
      <c r="JC32" s="514"/>
      <c r="JE32" s="288">
        <f t="shared" si="54"/>
        <v>7457620</v>
      </c>
      <c r="JF32" s="288">
        <f t="shared" si="55"/>
        <v>7457620</v>
      </c>
      <c r="JG32" s="288">
        <f t="shared" si="56"/>
        <v>0</v>
      </c>
    </row>
    <row r="33" spans="2:267" ht="15.75">
      <c r="B33" s="276" t="s">
        <v>292</v>
      </c>
      <c r="C33" s="276"/>
      <c r="D33" s="294">
        <f>'SR BUDACT ER'!G63</f>
        <v>0</v>
      </c>
      <c r="E33" s="294">
        <f>'SR BUDACT ER'!H63</f>
        <v>0</v>
      </c>
      <c r="F33" s="294">
        <f>SUM(D33-E33)</f>
        <v>0</v>
      </c>
      <c r="G33" s="276"/>
      <c r="H33" s="294">
        <f>'SR BUDACT ER'!J63</f>
        <v>0</v>
      </c>
      <c r="I33" s="294">
        <f>'SR BUDACT ER'!K63</f>
        <v>0</v>
      </c>
      <c r="J33" s="294">
        <f>SUM(H33-I33)</f>
        <v>0</v>
      </c>
      <c r="K33" s="276"/>
      <c r="L33" s="276" t="s">
        <v>292</v>
      </c>
      <c r="M33" s="276"/>
      <c r="N33" s="294">
        <f>'SR BUDACT ER'!M63</f>
        <v>0</v>
      </c>
      <c r="O33" s="294">
        <f>'SR BUDACT ER'!N63</f>
        <v>0</v>
      </c>
      <c r="P33" s="294">
        <f>SUM(N33-O33)</f>
        <v>0</v>
      </c>
      <c r="Q33" s="276"/>
      <c r="R33" s="294">
        <f>'SR BUDACT ER'!P63</f>
        <v>0</v>
      </c>
      <c r="S33" s="294">
        <f>'SR BUDACT ER'!Q63</f>
        <v>0</v>
      </c>
      <c r="T33" s="294">
        <f>SUM(R33-S33)</f>
        <v>0</v>
      </c>
      <c r="U33" s="276"/>
      <c r="V33" s="276" t="s">
        <v>292</v>
      </c>
      <c r="W33" s="276"/>
      <c r="X33" s="294">
        <f>'SR BUDACT ER'!S63</f>
        <v>591550</v>
      </c>
      <c r="Y33" s="294">
        <f>'SR BUDACT ER'!T63</f>
        <v>253616</v>
      </c>
      <c r="Z33" s="294">
        <f>SUM(X33-Y33)</f>
        <v>337934</v>
      </c>
      <c r="AA33" s="276"/>
      <c r="AB33" s="294">
        <f>'SR BUDACT ER'!V63</f>
        <v>0</v>
      </c>
      <c r="AC33" s="294">
        <f>'SR BUDACT ER'!W63</f>
        <v>0</v>
      </c>
      <c r="AD33" s="294">
        <f>SUM(AB33-AC33)</f>
        <v>0</v>
      </c>
      <c r="AE33" s="294"/>
      <c r="AF33" s="276" t="s">
        <v>292</v>
      </c>
      <c r="AG33" s="276"/>
      <c r="AH33" s="294">
        <f>'SR BUDACT ER'!Y63</f>
        <v>0</v>
      </c>
      <c r="AI33" s="294">
        <f>'SR BUDACT ER'!Z63</f>
        <v>0</v>
      </c>
      <c r="AJ33" s="294">
        <f>SUM(AH33-AI33)</f>
        <v>0</v>
      </c>
      <c r="AK33" s="276"/>
      <c r="AL33" s="294">
        <f>'SR BUDACT ER'!AB63</f>
        <v>0</v>
      </c>
      <c r="AM33" s="294">
        <f>'SR BUDACT ER'!AC63</f>
        <v>0</v>
      </c>
      <c r="AN33" s="294">
        <f>SUM(AL33-AM33)</f>
        <v>0</v>
      </c>
      <c r="AO33" s="294"/>
      <c r="AP33" s="276" t="s">
        <v>292</v>
      </c>
      <c r="AQ33" s="276"/>
      <c r="AR33" s="294">
        <f>'SR BUDACT ER'!AE63</f>
        <v>103060</v>
      </c>
      <c r="AS33" s="294">
        <f>'SR BUDACT ER'!AF63</f>
        <v>212201</v>
      </c>
      <c r="AT33" s="294">
        <f>SUM(AR33-AS33)</f>
        <v>-109141</v>
      </c>
      <c r="AU33" s="276"/>
      <c r="AV33" s="294">
        <f>'SR BUDACT ER'!AH63</f>
        <v>119620</v>
      </c>
      <c r="AW33" s="294">
        <f>'SR BUDACT ER'!AI63</f>
        <v>101303</v>
      </c>
      <c r="AX33" s="294">
        <f>SUM(AV33-AW33)</f>
        <v>18317</v>
      </c>
      <c r="AY33" s="294"/>
      <c r="AZ33" s="276" t="s">
        <v>292</v>
      </c>
      <c r="BA33" s="276"/>
      <c r="BB33" s="294">
        <f>'SR BUDACT ER'!AK63</f>
        <v>0</v>
      </c>
      <c r="BC33" s="294">
        <f>'SR BUDACT ER'!AL63</f>
        <v>0</v>
      </c>
      <c r="BD33" s="294">
        <f>SUM(BB33-BC33)</f>
        <v>0</v>
      </c>
      <c r="BE33" s="276"/>
      <c r="BF33" s="294"/>
      <c r="BG33" s="294"/>
      <c r="BH33" s="294"/>
      <c r="BI33" s="276"/>
      <c r="BJ33" s="294">
        <f>'SR BUDACT ER'!AQ63</f>
        <v>0</v>
      </c>
      <c r="BK33" s="294">
        <f>'SR BUDACT ER'!AR63</f>
        <v>0</v>
      </c>
      <c r="BL33" s="294">
        <f>SUM(BJ33-BK33)</f>
        <v>0</v>
      </c>
      <c r="BM33" s="294"/>
      <c r="BN33" s="276" t="s">
        <v>292</v>
      </c>
      <c r="BO33" s="294"/>
      <c r="BP33" s="294">
        <f>'SR BUDACT ER'!AT63</f>
        <v>0</v>
      </c>
      <c r="BQ33" s="294">
        <f>'SR BUDACT ER'!AU63</f>
        <v>0</v>
      </c>
      <c r="BR33" s="294">
        <f>SUM(BP33-BQ33)</f>
        <v>0</v>
      </c>
      <c r="BS33" s="294"/>
      <c r="BT33" s="294">
        <f>'SR BUDACT ER'!AW63</f>
        <v>0</v>
      </c>
      <c r="BU33" s="294">
        <f>'SR BUDACT ER'!AX63</f>
        <v>0</v>
      </c>
      <c r="BV33" s="294">
        <f>SUM(BT33-BU33)</f>
        <v>0</v>
      </c>
      <c r="BW33" s="294"/>
      <c r="BX33" s="276" t="s">
        <v>292</v>
      </c>
      <c r="BY33" s="294"/>
      <c r="BZ33" s="294">
        <f>'SR BUDACT ER'!AZ63</f>
        <v>0</v>
      </c>
      <c r="CA33" s="294">
        <f>'SR BUDACT ER'!BA63</f>
        <v>0</v>
      </c>
      <c r="CB33" s="294">
        <f>SUM(BZ33-CA33)</f>
        <v>0</v>
      </c>
      <c r="CC33" s="294"/>
      <c r="CD33" s="294">
        <f>'SR BUDACT ER'!BC63</f>
        <v>0</v>
      </c>
      <c r="CE33" s="294">
        <f>'SR BUDACT ER'!BD63</f>
        <v>0</v>
      </c>
      <c r="CF33" s="294">
        <f>SUM(CD33-CE33)</f>
        <v>0</v>
      </c>
      <c r="CG33" s="294"/>
      <c r="CH33" s="276" t="s">
        <v>292</v>
      </c>
      <c r="CI33" s="276"/>
      <c r="CJ33" s="294">
        <f>'SR BUDACT ER'!BF63</f>
        <v>0</v>
      </c>
      <c r="CK33" s="294">
        <f>'SR BUDACT ER'!BG63</f>
        <v>0</v>
      </c>
      <c r="CL33" s="294">
        <f>SUM(CJ33-CK33)</f>
        <v>0</v>
      </c>
      <c r="CM33" s="276"/>
      <c r="CN33" s="294">
        <f>'SR BUDACT ER'!BI63</f>
        <v>0</v>
      </c>
      <c r="CO33" s="294">
        <f>'SR BUDACT ER'!BJ63</f>
        <v>0</v>
      </c>
      <c r="CP33" s="294">
        <f>SUM(CN33-CO33)</f>
        <v>0</v>
      </c>
      <c r="CQ33" s="294"/>
      <c r="CR33" s="276" t="s">
        <v>292</v>
      </c>
      <c r="CS33" s="276"/>
      <c r="CT33" s="294">
        <f>'SR BUDACT ER'!BL63</f>
        <v>178353</v>
      </c>
      <c r="CU33" s="294">
        <f>'SR BUDACT ER'!BM63+'Sys INPUT'!Y201</f>
        <v>169383</v>
      </c>
      <c r="CV33" s="294">
        <f>SUM(CT33-CU33)</f>
        <v>8970</v>
      </c>
      <c r="CW33" s="276"/>
      <c r="CX33" s="294">
        <f>'SR BUDACT ER'!BO63</f>
        <v>325442</v>
      </c>
      <c r="CY33" s="294">
        <f>'SR BUDACT ER'!BP63</f>
        <v>296998</v>
      </c>
      <c r="CZ33" s="294">
        <f>SUM(CX33-CY33)</f>
        <v>28444</v>
      </c>
      <c r="DA33" s="294"/>
      <c r="DB33" s="276" t="s">
        <v>292</v>
      </c>
      <c r="DC33" s="276"/>
      <c r="DD33" s="294">
        <f>'SR BUDACT ER'!BR63</f>
        <v>0</v>
      </c>
      <c r="DE33" s="294">
        <f>'SR BUDACT ER'!BS63</f>
        <v>0</v>
      </c>
      <c r="DF33" s="294">
        <f>SUM(DD33-DE33)</f>
        <v>0</v>
      </c>
      <c r="DG33" s="276"/>
      <c r="DH33" s="294">
        <f>'SR BUDACT ER'!BU63</f>
        <v>1319311</v>
      </c>
      <c r="DI33" s="294">
        <f>'SR BUDACT ER'!BV63</f>
        <v>1112833</v>
      </c>
      <c r="DJ33" s="294">
        <f>SUM(DH33-DI33)</f>
        <v>206478</v>
      </c>
      <c r="DK33" s="276"/>
      <c r="DL33" s="276" t="s">
        <v>292</v>
      </c>
      <c r="DM33" s="276"/>
      <c r="DN33" s="294">
        <f>'SR BUDACT ER'!BX63</f>
        <v>0</v>
      </c>
      <c r="DO33" s="294">
        <f>'SR BUDACT ER'!BY63</f>
        <v>0</v>
      </c>
      <c r="DP33" s="294">
        <f>SUM(DN33-DO33)</f>
        <v>0</v>
      </c>
      <c r="DQ33" s="276"/>
      <c r="DR33" s="294">
        <f>'SR BUDACT ER'!CA63</f>
        <v>0</v>
      </c>
      <c r="DS33" s="294">
        <f>'SR BUDACT ER'!CB63</f>
        <v>0</v>
      </c>
      <c r="DT33" s="294">
        <f>SUM(DR33-DS33)</f>
        <v>0</v>
      </c>
      <c r="DU33" s="276"/>
      <c r="DV33" s="276" t="s">
        <v>292</v>
      </c>
      <c r="DW33" s="276"/>
      <c r="DX33" s="294">
        <f>'SR BUDACT ER'!CD63</f>
        <v>0</v>
      </c>
      <c r="DY33" s="294">
        <f>'SR BUDACT ER'!CE63</f>
        <v>0</v>
      </c>
      <c r="DZ33" s="294">
        <f>SUM(DX33-DY33)</f>
        <v>0</v>
      </c>
      <c r="EA33" s="276"/>
      <c r="EB33" s="294">
        <f>'SR BUDACT ER'!CG63</f>
        <v>0</v>
      </c>
      <c r="EC33" s="294">
        <f>'SR BUDACT ER'!CH63</f>
        <v>0</v>
      </c>
      <c r="ED33" s="294">
        <f>SUM(EB33-EC33)</f>
        <v>0</v>
      </c>
      <c r="EE33" s="276"/>
      <c r="EF33" s="276" t="s">
        <v>292</v>
      </c>
      <c r="EG33" s="276"/>
      <c r="EH33" s="294">
        <f>'SR BUDACT ER'!CJ63</f>
        <v>0</v>
      </c>
      <c r="EI33" s="294">
        <f>'SR BUDACT ER'!CK63</f>
        <v>0</v>
      </c>
      <c r="EJ33" s="294">
        <f>SUM(EH33-EI33)</f>
        <v>0</v>
      </c>
      <c r="EK33" s="276"/>
      <c r="EL33" s="294">
        <f>'SR BUDACT ER'!CM63</f>
        <v>0</v>
      </c>
      <c r="EM33" s="294">
        <f>'SR BUDACT ER'!CN63</f>
        <v>0</v>
      </c>
      <c r="EN33" s="294">
        <f>SUM(EL33-EM33)</f>
        <v>0</v>
      </c>
      <c r="EO33" s="276"/>
      <c r="EP33" s="276" t="s">
        <v>292</v>
      </c>
      <c r="EQ33" s="276"/>
      <c r="ER33" s="294">
        <f>'SR BUDACT ER'!CP63</f>
        <v>0</v>
      </c>
      <c r="ES33" s="294">
        <f>'SR BUDACT ER'!CQ63</f>
        <v>0</v>
      </c>
      <c r="ET33" s="294">
        <f>SUM(ER33-ES33)</f>
        <v>0</v>
      </c>
      <c r="EU33" s="276"/>
      <c r="EV33" s="294">
        <f>'SR BUDACT ER'!CS63</f>
        <v>0</v>
      </c>
      <c r="EW33" s="294">
        <f>'SR BUDACT ER'!CT63</f>
        <v>0</v>
      </c>
      <c r="EX33" s="294">
        <f>SUM(EV33-EW33)</f>
        <v>0</v>
      </c>
      <c r="EY33" s="276"/>
      <c r="EZ33" s="276" t="s">
        <v>292</v>
      </c>
      <c r="FA33" s="276"/>
      <c r="FB33" s="294">
        <f>'SR BUDACT ER'!CV63</f>
        <v>0</v>
      </c>
      <c r="FC33" s="294">
        <f>'SR BUDACT ER'!CW63</f>
        <v>0</v>
      </c>
      <c r="FD33" s="294">
        <f>SUM(FB33-FC33)</f>
        <v>0</v>
      </c>
      <c r="FE33" s="276"/>
      <c r="FF33" s="294">
        <f>'SR BUDACT ER'!CY63</f>
        <v>0</v>
      </c>
      <c r="FG33" s="294">
        <f>'SR BUDACT ER'!CZ63</f>
        <v>0</v>
      </c>
      <c r="FH33" s="294">
        <f>SUM(FF33-FG33)</f>
        <v>0</v>
      </c>
      <c r="FI33" s="276"/>
      <c r="FJ33" s="276" t="s">
        <v>292</v>
      </c>
      <c r="FK33" s="276"/>
      <c r="FL33" s="294">
        <f>'SR BUDACT ER'!DB63</f>
        <v>0</v>
      </c>
      <c r="FM33" s="294">
        <f>'SR BUDACT ER'!DC63</f>
        <v>0</v>
      </c>
      <c r="FN33" s="294">
        <f>SUM(FL33-FM33)</f>
        <v>0</v>
      </c>
      <c r="FO33" s="276"/>
      <c r="FP33" s="294">
        <f>'SR BUDACT ER'!DE63</f>
        <v>0</v>
      </c>
      <c r="FQ33" s="294">
        <f>'SR BUDACT ER'!DF63</f>
        <v>0</v>
      </c>
      <c r="FR33" s="294">
        <f>SUM(FP33-FQ33)</f>
        <v>0</v>
      </c>
      <c r="FS33" s="276"/>
      <c r="FT33" s="276" t="s">
        <v>292</v>
      </c>
      <c r="FU33" s="276"/>
      <c r="FV33" s="294">
        <f>'SR BUDACT ER'!DH63</f>
        <v>0</v>
      </c>
      <c r="FW33" s="294">
        <f>'SR BUDACT ER'!DI63</f>
        <v>0</v>
      </c>
      <c r="FX33" s="294">
        <f>SUM(FV33-FW33)</f>
        <v>0</v>
      </c>
      <c r="FY33" s="276"/>
      <c r="FZ33" s="294">
        <f>'SR BUDACT ER'!DK63</f>
        <v>0</v>
      </c>
      <c r="GA33" s="294">
        <f>'SR BUDACT ER'!DL63</f>
        <v>0</v>
      </c>
      <c r="GB33" s="294">
        <f>SUM(FZ33-GA33)</f>
        <v>0</v>
      </c>
      <c r="GC33" s="276"/>
      <c r="GD33" s="294">
        <f>'SR BUDACT ER'!DN63</f>
        <v>0</v>
      </c>
      <c r="GE33" s="294">
        <f>'SR BUDACT ER'!DO63</f>
        <v>0</v>
      </c>
      <c r="GF33" s="294">
        <f>SUM(GD33-GE33)</f>
        <v>0</v>
      </c>
      <c r="GG33" s="276"/>
      <c r="GH33" s="276" t="s">
        <v>292</v>
      </c>
      <c r="GI33" s="276"/>
      <c r="GJ33" s="294">
        <f>'SR BUDACT ER'!DQ63</f>
        <v>0</v>
      </c>
      <c r="GK33" s="294">
        <f>'SR BUDACT ER'!DR63</f>
        <v>0</v>
      </c>
      <c r="GL33" s="294">
        <f>SUM(GJ33-GK33)</f>
        <v>0</v>
      </c>
      <c r="GN33" s="276"/>
      <c r="GO33" s="294">
        <f>'SR BUDACT ER'!DT63</f>
        <v>0</v>
      </c>
      <c r="GP33" s="294">
        <f>'SR BUDACT ER'!DU63</f>
        <v>0</v>
      </c>
      <c r="GQ33" s="294">
        <f>SUM(GO33-GP33)</f>
        <v>0</v>
      </c>
      <c r="GR33" s="276"/>
      <c r="GS33" s="276" t="s">
        <v>292</v>
      </c>
      <c r="GT33" s="276"/>
      <c r="GU33" s="294">
        <f>'SR BUDACT ER'!DW63</f>
        <v>0</v>
      </c>
      <c r="GV33" s="294">
        <f>'SR BUDACT ER'!DX63</f>
        <v>0</v>
      </c>
      <c r="GW33" s="294">
        <f>SUM(GU33-GV33)</f>
        <v>0</v>
      </c>
      <c r="GX33" s="294"/>
      <c r="GY33" s="294">
        <f>'SR BUDACT ER'!DZ63</f>
        <v>0</v>
      </c>
      <c r="GZ33" s="294">
        <f>'SR BUDACT ER'!EA63</f>
        <v>0</v>
      </c>
      <c r="HA33" s="294">
        <f>SUM(GY33-GZ33)</f>
        <v>0</v>
      </c>
      <c r="HB33" s="276"/>
      <c r="HC33" s="276" t="s">
        <v>292</v>
      </c>
      <c r="HD33" s="276"/>
      <c r="HE33" s="294">
        <f>'SR BUDACT ER'!EC63</f>
        <v>0</v>
      </c>
      <c r="HF33" s="294">
        <f>'SR BUDACT ER'!ED63</f>
        <v>0</v>
      </c>
      <c r="HG33" s="294">
        <f>SUM(HE33-HF33)</f>
        <v>0</v>
      </c>
      <c r="HH33" s="294"/>
      <c r="HI33" s="294">
        <f>'SR BUDACT ER'!EI63</f>
        <v>100000</v>
      </c>
      <c r="HJ33" s="294">
        <f>'SR BUDACT ER'!EJ63</f>
        <v>50045</v>
      </c>
      <c r="HK33" s="294">
        <f>SUM(HI33-HJ33)</f>
        <v>49955</v>
      </c>
      <c r="HL33" s="276"/>
      <c r="HM33" s="276" t="s">
        <v>292</v>
      </c>
      <c r="HN33" s="276"/>
      <c r="HO33" s="294"/>
      <c r="HP33" s="294"/>
      <c r="HQ33" s="294"/>
      <c r="HR33" s="276"/>
      <c r="HS33" s="294">
        <f>'SR BUDACT ER'!EL63</f>
        <v>0</v>
      </c>
      <c r="HT33" s="294">
        <f>'SR BUDACT ER'!EM63</f>
        <v>0</v>
      </c>
      <c r="HU33" s="294">
        <f>SUM(HS33-HT33)</f>
        <v>0</v>
      </c>
      <c r="HV33" s="294"/>
      <c r="HW33" s="294">
        <f>'SR BUDACT ER'!EO63</f>
        <v>0</v>
      </c>
      <c r="HX33" s="294">
        <f>'SR BUDACT ER'!EP63</f>
        <v>0</v>
      </c>
      <c r="HY33" s="294">
        <f>SUM(HW33-HX33)</f>
        <v>0</v>
      </c>
      <c r="HZ33" s="276"/>
      <c r="IA33" s="276" t="s">
        <v>292</v>
      </c>
      <c r="IB33" s="276"/>
      <c r="IC33" s="294">
        <f>'SR BUDACT ER'!ER63</f>
        <v>87008</v>
      </c>
      <c r="ID33" s="294">
        <f>'SR BUDACT ER'!ES63+'Sys INPUT'!BA201</f>
        <v>87008</v>
      </c>
      <c r="IE33" s="294">
        <f>SUM(IC33-ID33)</f>
        <v>0</v>
      </c>
      <c r="IF33" s="294"/>
      <c r="IG33" s="276"/>
      <c r="IH33" s="294">
        <f t="shared" si="59"/>
        <v>2824344</v>
      </c>
      <c r="II33" s="294">
        <f t="shared" si="60"/>
        <v>2283387</v>
      </c>
      <c r="IJ33" s="294">
        <f>SUM(IH33-II33)</f>
        <v>540957</v>
      </c>
      <c r="IK33" s="276"/>
      <c r="IL33" s="276" t="s">
        <v>292</v>
      </c>
      <c r="IM33" s="276"/>
      <c r="IN33" s="308"/>
      <c r="IO33" s="308"/>
      <c r="IP33" s="308"/>
      <c r="IQ33" s="294"/>
      <c r="IR33" s="294"/>
      <c r="IS33" s="294"/>
      <c r="IW33" s="276"/>
      <c r="IX33" s="294"/>
      <c r="IY33" s="294"/>
      <c r="JA33" s="294"/>
      <c r="JB33" s="294"/>
      <c r="JC33" s="514"/>
      <c r="JE33" s="288">
        <f t="shared" si="54"/>
        <v>5648688</v>
      </c>
      <c r="JF33" s="288">
        <f t="shared" si="55"/>
        <v>5648688</v>
      </c>
      <c r="JG33" s="288">
        <f t="shared" si="56"/>
        <v>0</v>
      </c>
    </row>
    <row r="34" spans="2:267" ht="15.75">
      <c r="B34" s="276" t="s">
        <v>206</v>
      </c>
      <c r="C34" s="276"/>
      <c r="D34" s="294"/>
      <c r="E34" s="294"/>
      <c r="F34" s="294"/>
      <c r="G34" s="276"/>
      <c r="H34" s="294"/>
      <c r="I34" s="294"/>
      <c r="J34" s="294"/>
      <c r="K34" s="276"/>
      <c r="L34" s="276" t="s">
        <v>206</v>
      </c>
      <c r="M34" s="276"/>
      <c r="N34" s="294"/>
      <c r="O34" s="294"/>
      <c r="P34" s="294"/>
      <c r="Q34" s="276"/>
      <c r="R34" s="294"/>
      <c r="S34" s="294"/>
      <c r="T34" s="294"/>
      <c r="U34" s="276"/>
      <c r="V34" s="276" t="s">
        <v>206</v>
      </c>
      <c r="W34" s="276"/>
      <c r="X34" s="294"/>
      <c r="Y34" s="294"/>
      <c r="Z34" s="294"/>
      <c r="AA34" s="276"/>
      <c r="AB34" s="294"/>
      <c r="AC34" s="294"/>
      <c r="AD34" s="294"/>
      <c r="AE34" s="294"/>
      <c r="AF34" s="276" t="s">
        <v>206</v>
      </c>
      <c r="AG34" s="276"/>
      <c r="AH34" s="294"/>
      <c r="AI34" s="294"/>
      <c r="AJ34" s="294"/>
      <c r="AK34" s="276"/>
      <c r="AL34" s="294"/>
      <c r="AM34" s="294"/>
      <c r="AN34" s="294"/>
      <c r="AO34" s="294"/>
      <c r="AP34" s="276" t="s">
        <v>206</v>
      </c>
      <c r="AQ34" s="276"/>
      <c r="AR34" s="294"/>
      <c r="AS34" s="294"/>
      <c r="AT34" s="294"/>
      <c r="AU34" s="276"/>
      <c r="AV34" s="294"/>
      <c r="AW34" s="294"/>
      <c r="AX34" s="294"/>
      <c r="AY34" s="294"/>
      <c r="AZ34" s="276" t="s">
        <v>206</v>
      </c>
      <c r="BA34" s="276"/>
      <c r="BB34" s="294"/>
      <c r="BC34" s="294"/>
      <c r="BD34" s="294"/>
      <c r="BE34" s="276"/>
      <c r="BF34" s="294"/>
      <c r="BG34" s="294"/>
      <c r="BH34" s="294"/>
      <c r="BI34" s="276"/>
      <c r="BJ34" s="294"/>
      <c r="BK34" s="294"/>
      <c r="BL34" s="294"/>
      <c r="BM34" s="294"/>
      <c r="BN34" s="276" t="s">
        <v>206</v>
      </c>
      <c r="BO34" s="294"/>
      <c r="BP34" s="294"/>
      <c r="BQ34" s="294"/>
      <c r="BR34" s="294"/>
      <c r="BS34" s="294"/>
      <c r="BT34" s="294"/>
      <c r="BU34" s="294"/>
      <c r="BV34" s="294"/>
      <c r="BW34" s="294"/>
      <c r="BX34" s="276" t="s">
        <v>206</v>
      </c>
      <c r="BY34" s="294"/>
      <c r="BZ34" s="294"/>
      <c r="CA34" s="294"/>
      <c r="CB34" s="294"/>
      <c r="CC34" s="294"/>
      <c r="CD34" s="294"/>
      <c r="CE34" s="294"/>
      <c r="CF34" s="294"/>
      <c r="CG34" s="294"/>
      <c r="CH34" s="276" t="s">
        <v>206</v>
      </c>
      <c r="CI34" s="276"/>
      <c r="CJ34" s="294"/>
      <c r="CK34" s="294"/>
      <c r="CL34" s="294"/>
      <c r="CM34" s="276"/>
      <c r="CN34" s="294"/>
      <c r="CO34" s="294"/>
      <c r="CP34" s="294"/>
      <c r="CQ34" s="294"/>
      <c r="CR34" s="276" t="s">
        <v>206</v>
      </c>
      <c r="CS34" s="276"/>
      <c r="CT34" s="294"/>
      <c r="CU34" s="294"/>
      <c r="CV34" s="294"/>
      <c r="CW34" s="276"/>
      <c r="CX34" s="294"/>
      <c r="CY34" s="294"/>
      <c r="CZ34" s="294"/>
      <c r="DA34" s="294"/>
      <c r="DB34" s="276" t="s">
        <v>206</v>
      </c>
      <c r="DC34" s="276"/>
      <c r="DD34" s="294"/>
      <c r="DE34" s="294"/>
      <c r="DF34" s="294"/>
      <c r="DG34" s="276"/>
      <c r="DH34" s="294"/>
      <c r="DI34" s="294"/>
      <c r="DJ34" s="294"/>
      <c r="DK34" s="276"/>
      <c r="DL34" s="276" t="s">
        <v>206</v>
      </c>
      <c r="DM34" s="276"/>
      <c r="DN34" s="294"/>
      <c r="DO34" s="294"/>
      <c r="DP34" s="294"/>
      <c r="DQ34" s="276"/>
      <c r="DR34" s="294"/>
      <c r="DS34" s="294"/>
      <c r="DT34" s="294"/>
      <c r="DU34" s="276"/>
      <c r="DV34" s="276" t="s">
        <v>206</v>
      </c>
      <c r="DW34" s="276"/>
      <c r="DX34" s="294"/>
      <c r="DY34" s="294"/>
      <c r="DZ34" s="294"/>
      <c r="EA34" s="276"/>
      <c r="EB34" s="294"/>
      <c r="EC34" s="294"/>
      <c r="ED34" s="294"/>
      <c r="EE34" s="276"/>
      <c r="EF34" s="276" t="s">
        <v>206</v>
      </c>
      <c r="EG34" s="276"/>
      <c r="EH34" s="294"/>
      <c r="EI34" s="294"/>
      <c r="EJ34" s="294"/>
      <c r="EK34" s="276"/>
      <c r="EL34" s="294"/>
      <c r="EM34" s="294"/>
      <c r="EN34" s="294"/>
      <c r="EO34" s="276"/>
      <c r="EP34" s="276" t="s">
        <v>206</v>
      </c>
      <c r="EQ34" s="276"/>
      <c r="ER34" s="294"/>
      <c r="ES34" s="294"/>
      <c r="ET34" s="294"/>
      <c r="EU34" s="276"/>
      <c r="EV34" s="294"/>
      <c r="EW34" s="294"/>
      <c r="EX34" s="294"/>
      <c r="EY34" s="276"/>
      <c r="EZ34" s="276" t="s">
        <v>206</v>
      </c>
      <c r="FA34" s="276"/>
      <c r="FB34" s="294"/>
      <c r="FC34" s="294"/>
      <c r="FD34" s="294"/>
      <c r="FE34" s="276"/>
      <c r="FF34" s="294"/>
      <c r="FG34" s="294"/>
      <c r="FH34" s="294"/>
      <c r="FI34" s="276"/>
      <c r="FJ34" s="276" t="s">
        <v>206</v>
      </c>
      <c r="FK34" s="276"/>
      <c r="FL34" s="294"/>
      <c r="FM34" s="294"/>
      <c r="FN34" s="294"/>
      <c r="FO34" s="276"/>
      <c r="FP34" s="294"/>
      <c r="FQ34" s="294"/>
      <c r="FR34" s="294"/>
      <c r="FS34" s="276"/>
      <c r="FT34" s="276" t="s">
        <v>206</v>
      </c>
      <c r="FU34" s="276"/>
      <c r="FV34" s="294"/>
      <c r="FW34" s="294"/>
      <c r="FX34" s="294"/>
      <c r="FY34" s="276"/>
      <c r="FZ34" s="294"/>
      <c r="GA34" s="294"/>
      <c r="GB34" s="294"/>
      <c r="GC34" s="276"/>
      <c r="GD34" s="294"/>
      <c r="GE34" s="294"/>
      <c r="GF34" s="294"/>
      <c r="GG34" s="276"/>
      <c r="GH34" s="276" t="s">
        <v>206</v>
      </c>
      <c r="GI34" s="276"/>
      <c r="GJ34" s="294"/>
      <c r="GK34" s="294"/>
      <c r="GL34" s="294"/>
      <c r="GN34" s="276"/>
      <c r="GO34" s="294"/>
      <c r="GP34" s="294"/>
      <c r="GQ34" s="294"/>
      <c r="GR34" s="276"/>
      <c r="GS34" s="276" t="s">
        <v>206</v>
      </c>
      <c r="GT34" s="276"/>
      <c r="GU34" s="294"/>
      <c r="GV34" s="294"/>
      <c r="GW34" s="294"/>
      <c r="GX34" s="294"/>
      <c r="GY34" s="294"/>
      <c r="GZ34" s="294"/>
      <c r="HA34" s="294"/>
      <c r="HB34" s="276"/>
      <c r="HC34" s="276" t="s">
        <v>206</v>
      </c>
      <c r="HD34" s="276"/>
      <c r="HE34" s="294"/>
      <c r="HF34" s="294"/>
      <c r="HG34" s="294"/>
      <c r="HH34" s="294"/>
      <c r="HI34" s="294"/>
      <c r="HJ34" s="294"/>
      <c r="HK34" s="294"/>
      <c r="HL34" s="276"/>
      <c r="HM34" s="276" t="s">
        <v>206</v>
      </c>
      <c r="HN34" s="276"/>
      <c r="HO34" s="294"/>
      <c r="HP34" s="294"/>
      <c r="HQ34" s="294"/>
      <c r="HR34" s="276"/>
      <c r="HS34" s="294">
        <f>'SR BUDACT ER'!EL64</f>
        <v>0</v>
      </c>
      <c r="HT34" s="294">
        <f>'SR BUDACT ER'!EM64</f>
        <v>0</v>
      </c>
      <c r="HU34" s="294"/>
      <c r="HV34" s="294"/>
      <c r="HW34" s="294"/>
      <c r="HX34" s="294"/>
      <c r="HY34" s="294"/>
      <c r="HZ34" s="276"/>
      <c r="IA34" s="276" t="s">
        <v>206</v>
      </c>
      <c r="IB34" s="276"/>
      <c r="IC34" s="294"/>
      <c r="ID34" s="294"/>
      <c r="IE34" s="294"/>
      <c r="IF34" s="294"/>
      <c r="IG34" s="276"/>
      <c r="IH34" s="294"/>
      <c r="II34" s="294"/>
      <c r="IJ34" s="294"/>
      <c r="IK34" s="276"/>
      <c r="IL34" s="276" t="s">
        <v>206</v>
      </c>
      <c r="IM34" s="276"/>
      <c r="IN34" s="308"/>
      <c r="IO34" s="308"/>
      <c r="IP34" s="308"/>
      <c r="IQ34" s="294"/>
      <c r="IR34" s="294"/>
      <c r="IS34" s="294"/>
      <c r="IW34" s="276"/>
      <c r="IX34" s="294"/>
      <c r="IY34" s="294"/>
      <c r="JA34" s="294">
        <f>SUM('SR BUDACT ER'!AN65:AN66)</f>
        <v>0</v>
      </c>
      <c r="JB34" s="294">
        <f>SUM('SR BUDACT ER'!AO65:AO66)</f>
        <v>0</v>
      </c>
      <c r="JC34" s="514">
        <f>SUM(JA34-JB34)</f>
        <v>0</v>
      </c>
      <c r="JE34" s="288">
        <f t="shared" si="54"/>
        <v>0</v>
      </c>
      <c r="JF34" s="288">
        <f t="shared" si="55"/>
        <v>0</v>
      </c>
      <c r="JG34" s="288">
        <f t="shared" si="56"/>
        <v>0</v>
      </c>
    </row>
    <row r="35" spans="2:267" ht="15.75">
      <c r="B35" s="276" t="s">
        <v>767</v>
      </c>
      <c r="C35" s="276"/>
      <c r="D35" s="294">
        <f>'SR BUDACT ER'!G65</f>
        <v>0</v>
      </c>
      <c r="E35" s="294">
        <f>'SR BUDACT ER'!H65</f>
        <v>0</v>
      </c>
      <c r="F35" s="294">
        <f>SUM(D35-E35)</f>
        <v>0</v>
      </c>
      <c r="G35" s="276"/>
      <c r="H35" s="294">
        <f>'SR BUDACT ER'!J65</f>
        <v>0</v>
      </c>
      <c r="I35" s="294">
        <f>'SR BUDACT ER'!K65</f>
        <v>0</v>
      </c>
      <c r="J35" s="294">
        <f>SUM(H35-I35)</f>
        <v>0</v>
      </c>
      <c r="K35" s="276"/>
      <c r="L35" s="276" t="s">
        <v>767</v>
      </c>
      <c r="M35" s="276"/>
      <c r="N35" s="294">
        <f>'SR BUDACT ER'!M65</f>
        <v>0</v>
      </c>
      <c r="O35" s="294">
        <f>'SR BUDACT ER'!N65</f>
        <v>0</v>
      </c>
      <c r="P35" s="294">
        <f>SUM(N35-O35)</f>
        <v>0</v>
      </c>
      <c r="Q35" s="276"/>
      <c r="R35" s="294">
        <f>'SR BUDACT ER'!P65</f>
        <v>0</v>
      </c>
      <c r="S35" s="294">
        <f>'SR BUDACT ER'!Q65</f>
        <v>0</v>
      </c>
      <c r="T35" s="294">
        <f>SUM(R35-S35)</f>
        <v>0</v>
      </c>
      <c r="U35" s="276"/>
      <c r="V35" s="276" t="s">
        <v>767</v>
      </c>
      <c r="W35" s="276"/>
      <c r="X35" s="294">
        <f>'SR BUDACT ER'!S65</f>
        <v>0</v>
      </c>
      <c r="Y35" s="294">
        <f>'SR BUDACT ER'!T65</f>
        <v>0</v>
      </c>
      <c r="Z35" s="294">
        <f>SUM(X35-Y35)</f>
        <v>0</v>
      </c>
      <c r="AA35" s="276"/>
      <c r="AB35" s="294">
        <f>'SR BUDACT ER'!V65</f>
        <v>1581233</v>
      </c>
      <c r="AC35" s="294">
        <f>'SR BUDACT ER'!W65</f>
        <v>1470844</v>
      </c>
      <c r="AD35" s="294">
        <f>SUM(AB35-AC35)</f>
        <v>110389</v>
      </c>
      <c r="AE35" s="294"/>
      <c r="AF35" s="276" t="s">
        <v>767</v>
      </c>
      <c r="AG35" s="276"/>
      <c r="AH35" s="294">
        <f>'SR BUDACT ER'!Y65</f>
        <v>0</v>
      </c>
      <c r="AI35" s="294">
        <f>'SR BUDACT ER'!Z65</f>
        <v>0</v>
      </c>
      <c r="AJ35" s="294">
        <f>SUM(AH35-AI35)</f>
        <v>0</v>
      </c>
      <c r="AK35" s="276"/>
      <c r="AL35" s="294">
        <f>'SR BUDACT ER'!AB65</f>
        <v>0</v>
      </c>
      <c r="AM35" s="294">
        <f>'SR BUDACT ER'!AC65</f>
        <v>0</v>
      </c>
      <c r="AN35" s="294">
        <f>SUM(AL35-AM35)</f>
        <v>0</v>
      </c>
      <c r="AO35" s="294"/>
      <c r="AP35" s="276" t="s">
        <v>767</v>
      </c>
      <c r="AQ35" s="276"/>
      <c r="AR35" s="294">
        <f>'SR BUDACT ER'!AE65</f>
        <v>0</v>
      </c>
      <c r="AS35" s="294">
        <f>'SR BUDACT ER'!AF65</f>
        <v>0</v>
      </c>
      <c r="AT35" s="294">
        <f>SUM(AR35-AS35)</f>
        <v>0</v>
      </c>
      <c r="AU35" s="276"/>
      <c r="AV35" s="294">
        <f>'SR BUDACT ER'!AH65</f>
        <v>0</v>
      </c>
      <c r="AW35" s="294">
        <f>'SR BUDACT ER'!AI65</f>
        <v>0</v>
      </c>
      <c r="AX35" s="294">
        <f>SUM(AV35-AW35)</f>
        <v>0</v>
      </c>
      <c r="AY35" s="294"/>
      <c r="AZ35" s="276" t="s">
        <v>767</v>
      </c>
      <c r="BA35" s="276"/>
      <c r="BB35" s="294">
        <f>'SR BUDACT ER'!AK65</f>
        <v>0</v>
      </c>
      <c r="BC35" s="294">
        <f>'SR BUDACT ER'!AL65</f>
        <v>0</v>
      </c>
      <c r="BD35" s="294">
        <f>SUM(BB35-BC35)</f>
        <v>0</v>
      </c>
      <c r="BE35" s="276"/>
      <c r="BF35" s="294"/>
      <c r="BG35" s="294"/>
      <c r="BH35" s="294"/>
      <c r="BI35" s="276"/>
      <c r="BJ35" s="294">
        <f>'SR BUDACT ER'!AQ65</f>
        <v>0</v>
      </c>
      <c r="BK35" s="294">
        <f>'SR BUDACT ER'!AR65</f>
        <v>0</v>
      </c>
      <c r="BL35" s="294">
        <f>SUM(BJ35-BK35)</f>
        <v>0</v>
      </c>
      <c r="BM35" s="294"/>
      <c r="BN35" s="276" t="s">
        <v>767</v>
      </c>
      <c r="BO35" s="294"/>
      <c r="BP35" s="294">
        <f>'SR BUDACT ER'!AT65</f>
        <v>270065</v>
      </c>
      <c r="BQ35" s="294">
        <f>'SR BUDACT ER'!AU65</f>
        <v>204627</v>
      </c>
      <c r="BR35" s="294">
        <f>SUM(BP35-BQ35)</f>
        <v>65438</v>
      </c>
      <c r="BS35" s="294"/>
      <c r="BT35" s="294">
        <f>'SR BUDACT ER'!AW65</f>
        <v>0</v>
      </c>
      <c r="BU35" s="294">
        <f>'SR BUDACT ER'!AX65</f>
        <v>0</v>
      </c>
      <c r="BV35" s="294">
        <f>SUM(BT35-BU35)</f>
        <v>0</v>
      </c>
      <c r="BW35" s="294"/>
      <c r="BX35" s="276" t="s">
        <v>767</v>
      </c>
      <c r="BY35" s="294"/>
      <c r="BZ35" s="294">
        <f>'SR BUDACT ER'!AZ65</f>
        <v>0</v>
      </c>
      <c r="CA35" s="294">
        <f>'SR BUDACT ER'!BA65</f>
        <v>0</v>
      </c>
      <c r="CB35" s="294">
        <f>SUM(BZ35-CA35)</f>
        <v>0</v>
      </c>
      <c r="CC35" s="294"/>
      <c r="CD35" s="294">
        <f>'SR BUDACT ER'!BC65</f>
        <v>0</v>
      </c>
      <c r="CE35" s="294">
        <f>'SR BUDACT ER'!BD65</f>
        <v>0</v>
      </c>
      <c r="CF35" s="294">
        <f>SUM(CD35-CE35)</f>
        <v>0</v>
      </c>
      <c r="CG35" s="294"/>
      <c r="CH35" s="276" t="s">
        <v>767</v>
      </c>
      <c r="CI35" s="276"/>
      <c r="CJ35" s="294">
        <f>'SR BUDACT ER'!BF65</f>
        <v>0</v>
      </c>
      <c r="CK35" s="294">
        <f>'SR BUDACT ER'!BG65</f>
        <v>0</v>
      </c>
      <c r="CL35" s="294">
        <f>SUM(CJ35-CK35)</f>
        <v>0</v>
      </c>
      <c r="CM35" s="276"/>
      <c r="CN35" s="294">
        <f>'SR BUDACT ER'!BI65</f>
        <v>0</v>
      </c>
      <c r="CO35" s="294">
        <f>'SR BUDACT ER'!BJ65</f>
        <v>0</v>
      </c>
      <c r="CP35" s="294">
        <f>SUM(CN35-CO35)</f>
        <v>0</v>
      </c>
      <c r="CQ35" s="294"/>
      <c r="CR35" s="276" t="s">
        <v>767</v>
      </c>
      <c r="CS35" s="276"/>
      <c r="CT35" s="294">
        <f>'SR BUDACT ER'!BL65</f>
        <v>0</v>
      </c>
      <c r="CU35" s="294">
        <f>'SR BUDACT ER'!BM65</f>
        <v>0</v>
      </c>
      <c r="CV35" s="294">
        <f>SUM(CT35-CU35)</f>
        <v>0</v>
      </c>
      <c r="CW35" s="276"/>
      <c r="CX35" s="294">
        <f>'SR BUDACT ER'!BO65</f>
        <v>0</v>
      </c>
      <c r="CY35" s="294">
        <f>'SR BUDACT ER'!BP65</f>
        <v>0</v>
      </c>
      <c r="CZ35" s="294">
        <f>SUM(CX35-CY35)</f>
        <v>0</v>
      </c>
      <c r="DA35" s="294"/>
      <c r="DB35" s="276" t="s">
        <v>767</v>
      </c>
      <c r="DC35" s="276"/>
      <c r="DD35" s="294">
        <f>'SR BUDACT ER'!BR65</f>
        <v>0</v>
      </c>
      <c r="DE35" s="294">
        <f>'SR BUDACT ER'!BS65</f>
        <v>0</v>
      </c>
      <c r="DF35" s="294">
        <f>SUM(DD35-DE35)</f>
        <v>0</v>
      </c>
      <c r="DG35" s="276"/>
      <c r="DH35" s="294">
        <f>'SR BUDACT ER'!BU65</f>
        <v>0</v>
      </c>
      <c r="DI35" s="294">
        <f>'SR BUDACT ER'!BV65</f>
        <v>0</v>
      </c>
      <c r="DJ35" s="294">
        <f>SUM(DH35-DI35)</f>
        <v>0</v>
      </c>
      <c r="DK35" s="276"/>
      <c r="DL35" s="276" t="s">
        <v>767</v>
      </c>
      <c r="DM35" s="276"/>
      <c r="DN35" s="294">
        <f>'SR BUDACT ER'!BX65</f>
        <v>0</v>
      </c>
      <c r="DO35" s="294">
        <f>'SR BUDACT ER'!BY65</f>
        <v>0</v>
      </c>
      <c r="DP35" s="294">
        <f>SUM(DN35-DO35)</f>
        <v>0</v>
      </c>
      <c r="DQ35" s="276"/>
      <c r="DR35" s="294">
        <f>'SR BUDACT ER'!CA65</f>
        <v>0</v>
      </c>
      <c r="DS35" s="294">
        <f>'SR BUDACT ER'!CB65</f>
        <v>0</v>
      </c>
      <c r="DT35" s="294">
        <f>SUM(DR35-DS35)</f>
        <v>0</v>
      </c>
      <c r="DU35" s="276"/>
      <c r="DV35" s="276" t="s">
        <v>767</v>
      </c>
      <c r="DW35" s="276"/>
      <c r="DX35" s="294">
        <f>'SR BUDACT ER'!CD65</f>
        <v>0</v>
      </c>
      <c r="DY35" s="294">
        <f>'SR BUDACT ER'!CE65</f>
        <v>0</v>
      </c>
      <c r="DZ35" s="294">
        <f>SUM(DX35-DY35)</f>
        <v>0</v>
      </c>
      <c r="EA35" s="276"/>
      <c r="EB35" s="294">
        <f>'SR BUDACT ER'!CG65</f>
        <v>0</v>
      </c>
      <c r="EC35" s="294">
        <f>'SR BUDACT ER'!CH65</f>
        <v>0</v>
      </c>
      <c r="ED35" s="294">
        <f>SUM(EB35-EC35)</f>
        <v>0</v>
      </c>
      <c r="EE35" s="276"/>
      <c r="EF35" s="276" t="s">
        <v>767</v>
      </c>
      <c r="EG35" s="276"/>
      <c r="EH35" s="294">
        <f>'SR BUDACT ER'!CJ65</f>
        <v>0</v>
      </c>
      <c r="EI35" s="294">
        <f>'SR BUDACT ER'!CK65</f>
        <v>0</v>
      </c>
      <c r="EJ35" s="294">
        <f>SUM(EH35-EI35)</f>
        <v>0</v>
      </c>
      <c r="EK35" s="276"/>
      <c r="EL35" s="294">
        <f>'SR BUDACT ER'!CM65</f>
        <v>0</v>
      </c>
      <c r="EM35" s="294">
        <f>'SR BUDACT ER'!CN65</f>
        <v>0</v>
      </c>
      <c r="EN35" s="294">
        <f>SUM(EL35-EM35)</f>
        <v>0</v>
      </c>
      <c r="EO35" s="276"/>
      <c r="EP35" s="276" t="s">
        <v>767</v>
      </c>
      <c r="EQ35" s="276"/>
      <c r="ER35" s="294">
        <f>'SR BUDACT ER'!CP65</f>
        <v>0</v>
      </c>
      <c r="ES35" s="294">
        <f>'SR BUDACT ER'!CQ65</f>
        <v>0</v>
      </c>
      <c r="ET35" s="294">
        <f>SUM(ER35-ES35)</f>
        <v>0</v>
      </c>
      <c r="EU35" s="276"/>
      <c r="EV35" s="294">
        <f>'SR BUDACT ER'!CS65</f>
        <v>0</v>
      </c>
      <c r="EW35" s="294">
        <f>'SR BUDACT ER'!CT65</f>
        <v>0</v>
      </c>
      <c r="EX35" s="294">
        <f>SUM(EV35-EW35)</f>
        <v>0</v>
      </c>
      <c r="EY35" s="276"/>
      <c r="EZ35" s="276" t="s">
        <v>767</v>
      </c>
      <c r="FA35" s="276"/>
      <c r="FB35" s="294">
        <f>'SR BUDACT ER'!CV65</f>
        <v>0</v>
      </c>
      <c r="FC35" s="294">
        <f>'SR BUDACT ER'!CW65</f>
        <v>0</v>
      </c>
      <c r="FD35" s="294">
        <f>SUM(FB35-FC35)</f>
        <v>0</v>
      </c>
      <c r="FE35" s="276"/>
      <c r="FF35" s="294">
        <f>'SR BUDACT ER'!CY65</f>
        <v>0</v>
      </c>
      <c r="FG35" s="294">
        <f>'SR BUDACT ER'!CZ65</f>
        <v>0</v>
      </c>
      <c r="FH35" s="294">
        <f>SUM(FF35-FG35)</f>
        <v>0</v>
      </c>
      <c r="FI35" s="276"/>
      <c r="FJ35" s="276" t="s">
        <v>767</v>
      </c>
      <c r="FK35" s="276"/>
      <c r="FL35" s="294">
        <f>'SR BUDACT ER'!DB65</f>
        <v>0</v>
      </c>
      <c r="FM35" s="294">
        <f>'SR BUDACT ER'!DC65</f>
        <v>0</v>
      </c>
      <c r="FN35" s="294">
        <f>SUM(FL35-FM35)</f>
        <v>0</v>
      </c>
      <c r="FO35" s="276"/>
      <c r="FP35" s="294">
        <f>'SR BUDACT ER'!DE65</f>
        <v>0</v>
      </c>
      <c r="FQ35" s="294">
        <f>'SR BUDACT ER'!DF65</f>
        <v>0</v>
      </c>
      <c r="FR35" s="294">
        <f>SUM(FP35-FQ35)</f>
        <v>0</v>
      </c>
      <c r="FS35" s="276"/>
      <c r="FT35" s="276" t="s">
        <v>767</v>
      </c>
      <c r="FU35" s="276"/>
      <c r="FV35" s="294">
        <f>'SR BUDACT ER'!DH65</f>
        <v>0</v>
      </c>
      <c r="FW35" s="294">
        <f>'SR BUDACT ER'!DI65</f>
        <v>0</v>
      </c>
      <c r="FX35" s="294">
        <f>SUM(FV35-FW35)</f>
        <v>0</v>
      </c>
      <c r="FY35" s="276"/>
      <c r="FZ35" s="294">
        <f>'SR BUDACT ER'!DK65</f>
        <v>0</v>
      </c>
      <c r="GA35" s="294">
        <f>'SR BUDACT ER'!DL65</f>
        <v>0</v>
      </c>
      <c r="GB35" s="294">
        <f>SUM(FZ35-GA35)</f>
        <v>0</v>
      </c>
      <c r="GC35" s="276"/>
      <c r="GD35" s="294">
        <f>'SR BUDACT ER'!DN65</f>
        <v>0</v>
      </c>
      <c r="GE35" s="294">
        <f>'SR BUDACT ER'!DO65</f>
        <v>0</v>
      </c>
      <c r="GF35" s="294">
        <f>SUM(GD35-GE35)</f>
        <v>0</v>
      </c>
      <c r="GG35" s="276"/>
      <c r="GH35" s="276" t="s">
        <v>767</v>
      </c>
      <c r="GI35" s="276"/>
      <c r="GJ35" s="294">
        <f>'SR BUDACT ER'!DQ65</f>
        <v>0</v>
      </c>
      <c r="GK35" s="294">
        <f>'SR BUDACT ER'!DR65</f>
        <v>0</v>
      </c>
      <c r="GL35" s="294">
        <f>SUM(GJ35-GK35)</f>
        <v>0</v>
      </c>
      <c r="GN35" s="276"/>
      <c r="GO35" s="294">
        <f>'SR BUDACT ER'!DT65</f>
        <v>0</v>
      </c>
      <c r="GP35" s="294">
        <f>'SR BUDACT ER'!DU65</f>
        <v>0</v>
      </c>
      <c r="GQ35" s="294">
        <f>SUM(GO35-GP35)</f>
        <v>0</v>
      </c>
      <c r="GR35" s="276"/>
      <c r="GS35" s="276" t="s">
        <v>767</v>
      </c>
      <c r="GT35" s="276"/>
      <c r="GU35" s="294">
        <f>'SR BUDACT ER'!DW65</f>
        <v>0</v>
      </c>
      <c r="GV35" s="294">
        <f>'SR BUDACT ER'!DX65</f>
        <v>0</v>
      </c>
      <c r="GW35" s="294">
        <f>SUM(GU35-GV35)</f>
        <v>0</v>
      </c>
      <c r="GX35" s="294"/>
      <c r="GY35" s="294">
        <f>'SR BUDACT ER'!DZ65</f>
        <v>0</v>
      </c>
      <c r="GZ35" s="294">
        <f>'SR BUDACT ER'!EA65</f>
        <v>0</v>
      </c>
      <c r="HA35" s="294">
        <f>SUM(GY35-GZ35)</f>
        <v>0</v>
      </c>
      <c r="HB35" s="276"/>
      <c r="HC35" s="276" t="s">
        <v>767</v>
      </c>
      <c r="HD35" s="276"/>
      <c r="HE35" s="294">
        <f>'SR BUDACT ER'!EC65</f>
        <v>0</v>
      </c>
      <c r="HF35" s="294">
        <f>'SR BUDACT ER'!ED65</f>
        <v>0</v>
      </c>
      <c r="HG35" s="294">
        <f>SUM(HE35-HF35)</f>
        <v>0</v>
      </c>
      <c r="HH35" s="294"/>
      <c r="HI35" s="294">
        <f>'SR BUDACT ER'!EI65</f>
        <v>0</v>
      </c>
      <c r="HJ35" s="294">
        <f>'SR BUDACT ER'!EJ65</f>
        <v>0</v>
      </c>
      <c r="HK35" s="294">
        <f>SUM(HI35-HJ35)</f>
        <v>0</v>
      </c>
      <c r="HL35" s="276"/>
      <c r="HM35" s="276" t="s">
        <v>767</v>
      </c>
      <c r="HN35" s="276"/>
      <c r="HO35" s="294"/>
      <c r="HP35" s="294"/>
      <c r="HQ35" s="294"/>
      <c r="HR35" s="276"/>
      <c r="HS35" s="294">
        <f>'SR BUDACT ER'!EL65</f>
        <v>0</v>
      </c>
      <c r="HT35" s="294">
        <f>'SR BUDACT ER'!EM65</f>
        <v>0</v>
      </c>
      <c r="HU35" s="294">
        <f>SUM(HS35-HT35)</f>
        <v>0</v>
      </c>
      <c r="HV35" s="294"/>
      <c r="HW35" s="294">
        <f>'SR BUDACT ER'!EO65</f>
        <v>0</v>
      </c>
      <c r="HX35" s="294">
        <f>'SR BUDACT ER'!EP65</f>
        <v>0</v>
      </c>
      <c r="HY35" s="294">
        <f>SUM(HW35-HX35)</f>
        <v>0</v>
      </c>
      <c r="HZ35" s="276"/>
      <c r="IA35" s="276" t="s">
        <v>767</v>
      </c>
      <c r="IB35" s="276"/>
      <c r="IC35" s="294">
        <f>'SR BUDACT ER'!ER65</f>
        <v>0</v>
      </c>
      <c r="ID35" s="294">
        <f>'SR BUDACT ER'!ES65</f>
        <v>0</v>
      </c>
      <c r="IE35" s="294">
        <f>SUM(IC35-ID35)</f>
        <v>0</v>
      </c>
      <c r="IF35" s="294"/>
      <c r="IG35" s="276"/>
      <c r="IH35" s="294">
        <f t="shared" ref="IH35:IH36" si="61">+D35+H35+N35+R35+X35+AB35+AH35+AL35+AR35+AV35+BB35+BJ35+BP35+BT35+BZ35+CD35+CJ35+CN35+CT35+CX35+DD35+DH35+DN35+DR35+DX35+EB35+EH35+EL35+ER35+EV35+FB35+FF35+FL35+FP35+FV35+FZ35+GD35+GJ35+GO35+GU35+GY35+HE35+HI35+HS35+HW35+IC35</f>
        <v>1851298</v>
      </c>
      <c r="II35" s="294">
        <f t="shared" ref="II35:II36" si="62">+E35+I35+O35+S35+Y35+AC35+AI35+AM35+AS35+AW35+BC35+BK35+BQ35+BU35+CA35+CE35+CK35+CO35+CU35+CY35+DE35+DI35+DO35+DS35+DY35+EC35+EI35+EM35+ES35+EW35+FC35+FG35+FM35+FQ35+FW35+GA35+GE35+GK35+GP35+GV35+GZ35+HF35+HJ35+HT35+HX35+ID35</f>
        <v>1675471</v>
      </c>
      <c r="IJ35" s="294">
        <f>SUM(IH35-II35)</f>
        <v>175827</v>
      </c>
      <c r="IK35" s="276"/>
      <c r="IL35" s="276" t="s">
        <v>767</v>
      </c>
      <c r="IM35" s="276"/>
      <c r="IN35" s="308"/>
      <c r="IO35" s="308"/>
      <c r="IP35" s="308"/>
      <c r="IQ35" s="294"/>
      <c r="IR35" s="294"/>
      <c r="IS35" s="294"/>
      <c r="IW35" s="276"/>
      <c r="IX35" s="294"/>
      <c r="IY35" s="294"/>
      <c r="JA35" s="294"/>
      <c r="JB35" s="294"/>
      <c r="JC35" s="514"/>
      <c r="JE35" s="288">
        <f t="shared" si="54"/>
        <v>3702596</v>
      </c>
      <c r="JF35" s="288">
        <f t="shared" si="55"/>
        <v>3702596</v>
      </c>
      <c r="JG35" s="288">
        <f t="shared" si="56"/>
        <v>0</v>
      </c>
    </row>
    <row r="36" spans="2:267" ht="15.75">
      <c r="B36" s="276" t="s">
        <v>292</v>
      </c>
      <c r="C36" s="276"/>
      <c r="D36" s="294">
        <f>'SR BUDACT ER'!G66</f>
        <v>0</v>
      </c>
      <c r="E36" s="294">
        <f>'SR BUDACT ER'!H66</f>
        <v>0</v>
      </c>
      <c r="F36" s="294">
        <f>SUM(D36-E36)</f>
        <v>0</v>
      </c>
      <c r="G36" s="276"/>
      <c r="H36" s="294">
        <f>'SR BUDACT ER'!J66</f>
        <v>0</v>
      </c>
      <c r="I36" s="294">
        <f>'SR BUDACT ER'!K66</f>
        <v>0</v>
      </c>
      <c r="J36" s="294">
        <f>SUM(H36-I36)</f>
        <v>0</v>
      </c>
      <c r="K36" s="276"/>
      <c r="L36" s="276" t="s">
        <v>292</v>
      </c>
      <c r="M36" s="276"/>
      <c r="N36" s="294">
        <f>'SR BUDACT ER'!M66</f>
        <v>0</v>
      </c>
      <c r="O36" s="294">
        <f>'SR BUDACT ER'!N66</f>
        <v>0</v>
      </c>
      <c r="P36" s="294">
        <f>SUM(N36-O36)</f>
        <v>0</v>
      </c>
      <c r="Q36" s="276"/>
      <c r="R36" s="294">
        <f>'SR BUDACT ER'!P66</f>
        <v>0</v>
      </c>
      <c r="S36" s="294">
        <f>'SR BUDACT ER'!Q66</f>
        <v>0</v>
      </c>
      <c r="T36" s="294">
        <f>SUM(R36-S36)</f>
        <v>0</v>
      </c>
      <c r="U36" s="276"/>
      <c r="V36" s="276" t="s">
        <v>292</v>
      </c>
      <c r="W36" s="276"/>
      <c r="X36" s="294">
        <f>'SR BUDACT ER'!S66</f>
        <v>0</v>
      </c>
      <c r="Y36" s="294">
        <f>'SR BUDACT ER'!T66</f>
        <v>0</v>
      </c>
      <c r="Z36" s="294">
        <f>SUM(X36-Y36)</f>
        <v>0</v>
      </c>
      <c r="AA36" s="276"/>
      <c r="AB36" s="294">
        <f>'SR BUDACT ER'!V66</f>
        <v>1425843</v>
      </c>
      <c r="AC36" s="294">
        <f>'SR BUDACT ER'!W66</f>
        <v>1459036</v>
      </c>
      <c r="AD36" s="294">
        <f>SUM(AB36-AC36)</f>
        <v>-33193</v>
      </c>
      <c r="AE36" s="294"/>
      <c r="AF36" s="276" t="s">
        <v>292</v>
      </c>
      <c r="AG36" s="276"/>
      <c r="AH36" s="294">
        <f>'SR BUDACT ER'!Y66</f>
        <v>0</v>
      </c>
      <c r="AI36" s="294">
        <f>'SR BUDACT ER'!Z66</f>
        <v>0</v>
      </c>
      <c r="AJ36" s="294">
        <f>SUM(AH36-AI36)</f>
        <v>0</v>
      </c>
      <c r="AK36" s="276"/>
      <c r="AL36" s="294">
        <f>'SR BUDACT ER'!AB66</f>
        <v>0</v>
      </c>
      <c r="AM36" s="294">
        <f>'SR BUDACT ER'!AC66</f>
        <v>0</v>
      </c>
      <c r="AN36" s="294">
        <f>SUM(AL36-AM36)</f>
        <v>0</v>
      </c>
      <c r="AO36" s="294"/>
      <c r="AP36" s="276" t="s">
        <v>292</v>
      </c>
      <c r="AQ36" s="276"/>
      <c r="AR36" s="294">
        <f>'SR BUDACT ER'!AE66</f>
        <v>0</v>
      </c>
      <c r="AS36" s="294">
        <f>'SR BUDACT ER'!AF66</f>
        <v>0</v>
      </c>
      <c r="AT36" s="294">
        <f>SUM(AR36-AS36)</f>
        <v>0</v>
      </c>
      <c r="AU36" s="276"/>
      <c r="AV36" s="294">
        <f>'SR BUDACT ER'!AH66</f>
        <v>0</v>
      </c>
      <c r="AW36" s="294">
        <f>'SR BUDACT ER'!AI66</f>
        <v>0</v>
      </c>
      <c r="AX36" s="294">
        <f>SUM(AV36-AW36)</f>
        <v>0</v>
      </c>
      <c r="AY36" s="294"/>
      <c r="AZ36" s="276" t="s">
        <v>292</v>
      </c>
      <c r="BA36" s="276"/>
      <c r="BB36" s="294">
        <f>'SR BUDACT ER'!AK66</f>
        <v>0</v>
      </c>
      <c r="BC36" s="294">
        <f>'SR BUDACT ER'!AL66</f>
        <v>0</v>
      </c>
      <c r="BD36" s="294">
        <f>SUM(BB36-BC36)</f>
        <v>0</v>
      </c>
      <c r="BE36" s="276"/>
      <c r="BF36" s="294"/>
      <c r="BG36" s="294"/>
      <c r="BH36" s="294"/>
      <c r="BI36" s="276"/>
      <c r="BJ36" s="294">
        <f>'SR BUDACT ER'!AQ66</f>
        <v>0</v>
      </c>
      <c r="BK36" s="294">
        <f>'SR BUDACT ER'!AR66</f>
        <v>0</v>
      </c>
      <c r="BL36" s="294">
        <f>SUM(BJ36-BK36)</f>
        <v>0</v>
      </c>
      <c r="BM36" s="294"/>
      <c r="BN36" s="276" t="s">
        <v>292</v>
      </c>
      <c r="BO36" s="294"/>
      <c r="BP36" s="294">
        <f>'SR BUDACT ER'!AT66</f>
        <v>204602</v>
      </c>
      <c r="BQ36" s="294">
        <f>'SR BUDACT ER'!AU66</f>
        <v>103036</v>
      </c>
      <c r="BR36" s="294">
        <f>SUM(BP36-BQ36)</f>
        <v>101566</v>
      </c>
      <c r="BS36" s="294"/>
      <c r="BT36" s="294">
        <f>'SR BUDACT ER'!AW66</f>
        <v>0</v>
      </c>
      <c r="BU36" s="294">
        <f>'SR BUDACT ER'!AX66</f>
        <v>0</v>
      </c>
      <c r="BV36" s="294">
        <f>SUM(BT36-BU36)</f>
        <v>0</v>
      </c>
      <c r="BW36" s="294"/>
      <c r="BX36" s="276" t="s">
        <v>292</v>
      </c>
      <c r="BY36" s="294"/>
      <c r="BZ36" s="294">
        <f>'SR BUDACT ER'!AZ66</f>
        <v>0</v>
      </c>
      <c r="CA36" s="294">
        <f>'SR BUDACT ER'!BA66</f>
        <v>0</v>
      </c>
      <c r="CB36" s="294">
        <f>SUM(BZ36-CA36)</f>
        <v>0</v>
      </c>
      <c r="CC36" s="294"/>
      <c r="CD36" s="294">
        <f>'SR BUDACT ER'!BC66</f>
        <v>0</v>
      </c>
      <c r="CE36" s="294">
        <f>'SR BUDACT ER'!BD66</f>
        <v>0</v>
      </c>
      <c r="CF36" s="294">
        <f>SUM(CD36-CE36)</f>
        <v>0</v>
      </c>
      <c r="CG36" s="294"/>
      <c r="CH36" s="276" t="s">
        <v>292</v>
      </c>
      <c r="CI36" s="276"/>
      <c r="CJ36" s="294">
        <f>'SR BUDACT ER'!BF66</f>
        <v>0</v>
      </c>
      <c r="CK36" s="294">
        <f>'SR BUDACT ER'!BG66</f>
        <v>0</v>
      </c>
      <c r="CL36" s="294">
        <f>SUM(CJ36-CK36)</f>
        <v>0</v>
      </c>
      <c r="CM36" s="276"/>
      <c r="CN36" s="294">
        <f>'SR BUDACT ER'!BI66</f>
        <v>0</v>
      </c>
      <c r="CO36" s="294">
        <f>'SR BUDACT ER'!BJ66</f>
        <v>0</v>
      </c>
      <c r="CP36" s="294">
        <f>SUM(CN36-CO36)</f>
        <v>0</v>
      </c>
      <c r="CQ36" s="294"/>
      <c r="CR36" s="276" t="s">
        <v>292</v>
      </c>
      <c r="CS36" s="276"/>
      <c r="CT36" s="294">
        <f>'SR BUDACT ER'!BL66</f>
        <v>0</v>
      </c>
      <c r="CU36" s="294">
        <f>'SR BUDACT ER'!BM66</f>
        <v>0</v>
      </c>
      <c r="CV36" s="294">
        <f>SUM(CT36-CU36)</f>
        <v>0</v>
      </c>
      <c r="CW36" s="276"/>
      <c r="CX36" s="294">
        <f>'SR BUDACT ER'!BO66</f>
        <v>0</v>
      </c>
      <c r="CY36" s="294">
        <f>'SR BUDACT ER'!BP66</f>
        <v>0</v>
      </c>
      <c r="CZ36" s="294">
        <f>SUM(CX36-CY36)</f>
        <v>0</v>
      </c>
      <c r="DA36" s="294"/>
      <c r="DB36" s="276" t="s">
        <v>292</v>
      </c>
      <c r="DC36" s="276"/>
      <c r="DD36" s="294">
        <f>'SR BUDACT ER'!BR66</f>
        <v>0</v>
      </c>
      <c r="DE36" s="294">
        <f>'SR BUDACT ER'!BS66</f>
        <v>0</v>
      </c>
      <c r="DF36" s="294">
        <f>SUM(DD36-DE36)</f>
        <v>0</v>
      </c>
      <c r="DG36" s="276"/>
      <c r="DH36" s="294">
        <f>'SR BUDACT ER'!BU66</f>
        <v>0</v>
      </c>
      <c r="DI36" s="294">
        <f>'SR BUDACT ER'!BV66</f>
        <v>0</v>
      </c>
      <c r="DJ36" s="294">
        <f>SUM(DH36-DI36)</f>
        <v>0</v>
      </c>
      <c r="DK36" s="276"/>
      <c r="DL36" s="276" t="s">
        <v>292</v>
      </c>
      <c r="DM36" s="276"/>
      <c r="DN36" s="294">
        <f>'SR BUDACT ER'!BX66</f>
        <v>0</v>
      </c>
      <c r="DO36" s="294">
        <f>'SR BUDACT ER'!BY66</f>
        <v>0</v>
      </c>
      <c r="DP36" s="294">
        <f>SUM(DN36-DO36)</f>
        <v>0</v>
      </c>
      <c r="DQ36" s="276"/>
      <c r="DR36" s="294">
        <f>'SR BUDACT ER'!CA66</f>
        <v>0</v>
      </c>
      <c r="DS36" s="294">
        <f>'SR BUDACT ER'!CB66</f>
        <v>0</v>
      </c>
      <c r="DT36" s="294">
        <f>SUM(DR36-DS36)</f>
        <v>0</v>
      </c>
      <c r="DU36" s="276"/>
      <c r="DV36" s="276" t="s">
        <v>292</v>
      </c>
      <c r="DW36" s="276"/>
      <c r="DX36" s="294">
        <f>'SR BUDACT ER'!CD66</f>
        <v>0</v>
      </c>
      <c r="DY36" s="294">
        <f>'SR BUDACT ER'!CE66</f>
        <v>0</v>
      </c>
      <c r="DZ36" s="294">
        <f>SUM(DX36-DY36)</f>
        <v>0</v>
      </c>
      <c r="EA36" s="276"/>
      <c r="EB36" s="294">
        <f>'SR BUDACT ER'!CG66</f>
        <v>0</v>
      </c>
      <c r="EC36" s="294">
        <f>'SR BUDACT ER'!CH66</f>
        <v>0</v>
      </c>
      <c r="ED36" s="294">
        <f>SUM(EB36-EC36)</f>
        <v>0</v>
      </c>
      <c r="EE36" s="276"/>
      <c r="EF36" s="276" t="s">
        <v>292</v>
      </c>
      <c r="EG36" s="276"/>
      <c r="EH36" s="294">
        <f>'SR BUDACT ER'!CJ66</f>
        <v>0</v>
      </c>
      <c r="EI36" s="294">
        <f>'SR BUDACT ER'!CK66</f>
        <v>0</v>
      </c>
      <c r="EJ36" s="294">
        <f>SUM(EH36-EI36)</f>
        <v>0</v>
      </c>
      <c r="EK36" s="276"/>
      <c r="EL36" s="294">
        <f>'SR BUDACT ER'!CM66</f>
        <v>0</v>
      </c>
      <c r="EM36" s="294">
        <f>'SR BUDACT ER'!CN66</f>
        <v>0</v>
      </c>
      <c r="EN36" s="294">
        <f>SUM(EL36-EM36)</f>
        <v>0</v>
      </c>
      <c r="EO36" s="276"/>
      <c r="EP36" s="276" t="s">
        <v>292</v>
      </c>
      <c r="EQ36" s="276"/>
      <c r="ER36" s="294">
        <f>'SR BUDACT ER'!CP66</f>
        <v>0</v>
      </c>
      <c r="ES36" s="294">
        <f>'SR BUDACT ER'!CQ66</f>
        <v>0</v>
      </c>
      <c r="ET36" s="294">
        <f>SUM(ER36-ES36)</f>
        <v>0</v>
      </c>
      <c r="EU36" s="276"/>
      <c r="EV36" s="294">
        <f>'SR BUDACT ER'!CS66</f>
        <v>0</v>
      </c>
      <c r="EW36" s="294">
        <f>'SR BUDACT ER'!CT66</f>
        <v>0</v>
      </c>
      <c r="EX36" s="294">
        <f>SUM(EV36-EW36)</f>
        <v>0</v>
      </c>
      <c r="EY36" s="276"/>
      <c r="EZ36" s="276" t="s">
        <v>292</v>
      </c>
      <c r="FA36" s="276"/>
      <c r="FB36" s="294">
        <f>'SR BUDACT ER'!CV66</f>
        <v>54897</v>
      </c>
      <c r="FC36" s="294">
        <f>'SR BUDACT ER'!CW66</f>
        <v>54897</v>
      </c>
      <c r="FD36" s="294">
        <f>SUM(FB36-FC36)</f>
        <v>0</v>
      </c>
      <c r="FE36" s="276"/>
      <c r="FF36" s="294">
        <f>'SR BUDACT ER'!CY66</f>
        <v>204151</v>
      </c>
      <c r="FG36" s="294">
        <f>'SR BUDACT ER'!CZ66</f>
        <v>204151</v>
      </c>
      <c r="FH36" s="294">
        <f>SUM(FF36-FG36)</f>
        <v>0</v>
      </c>
      <c r="FI36" s="276"/>
      <c r="FJ36" s="276" t="s">
        <v>292</v>
      </c>
      <c r="FK36" s="276"/>
      <c r="FL36" s="294">
        <f>'SR BUDACT ER'!DB66</f>
        <v>60000</v>
      </c>
      <c r="FM36" s="294">
        <f>'SR BUDACT ER'!DC66</f>
        <v>35072</v>
      </c>
      <c r="FN36" s="294">
        <f>SUM(FL36-FM36)</f>
        <v>24928</v>
      </c>
      <c r="FO36" s="276"/>
      <c r="FP36" s="294">
        <f>'SR BUDACT ER'!DE66</f>
        <v>0</v>
      </c>
      <c r="FQ36" s="294">
        <f>'SR BUDACT ER'!DF66</f>
        <v>0</v>
      </c>
      <c r="FR36" s="294">
        <f>SUM(FP36-FQ36)</f>
        <v>0</v>
      </c>
      <c r="FS36" s="276"/>
      <c r="FT36" s="276" t="s">
        <v>292</v>
      </c>
      <c r="FU36" s="276"/>
      <c r="FV36" s="294">
        <f>'SR BUDACT ER'!DH66</f>
        <v>0</v>
      </c>
      <c r="FW36" s="294">
        <f>'SR BUDACT ER'!DI66</f>
        <v>0</v>
      </c>
      <c r="FX36" s="294">
        <f>SUM(FV36-FW36)</f>
        <v>0</v>
      </c>
      <c r="FY36" s="276"/>
      <c r="FZ36" s="294">
        <f>'SR BUDACT ER'!DK66</f>
        <v>0</v>
      </c>
      <c r="GA36" s="294">
        <f>'SR BUDACT ER'!DL66</f>
        <v>0</v>
      </c>
      <c r="GB36" s="294">
        <f>SUM(FZ36-GA36)</f>
        <v>0</v>
      </c>
      <c r="GC36" s="276"/>
      <c r="GD36" s="294">
        <f>'SR BUDACT ER'!DN66</f>
        <v>0</v>
      </c>
      <c r="GE36" s="294">
        <f>'SR BUDACT ER'!DO66</f>
        <v>0</v>
      </c>
      <c r="GF36" s="294">
        <f>SUM(GD36-GE36)</f>
        <v>0</v>
      </c>
      <c r="GG36" s="276"/>
      <c r="GH36" s="276" t="s">
        <v>292</v>
      </c>
      <c r="GI36" s="276"/>
      <c r="GJ36" s="294">
        <f>'SR BUDACT ER'!DQ66</f>
        <v>0</v>
      </c>
      <c r="GK36" s="294">
        <f>'SR BUDACT ER'!DR66</f>
        <v>0</v>
      </c>
      <c r="GL36" s="294">
        <f>SUM(GJ36-GK36)</f>
        <v>0</v>
      </c>
      <c r="GN36" s="276"/>
      <c r="GO36" s="294">
        <f>'SR BUDACT ER'!DT66</f>
        <v>264887</v>
      </c>
      <c r="GP36" s="294">
        <f>'SR BUDACT ER'!DU66</f>
        <v>187603</v>
      </c>
      <c r="GQ36" s="294">
        <f>SUM(GO36-GP36)</f>
        <v>77284</v>
      </c>
      <c r="GR36" s="276"/>
      <c r="GS36" s="276" t="s">
        <v>292</v>
      </c>
      <c r="GT36" s="276"/>
      <c r="GU36" s="294">
        <f>'SR BUDACT ER'!DW66</f>
        <v>0</v>
      </c>
      <c r="GV36" s="294">
        <f>'SR BUDACT ER'!DX66</f>
        <v>0</v>
      </c>
      <c r="GW36" s="294">
        <f>SUM(GU36-GV36)</f>
        <v>0</v>
      </c>
      <c r="GX36" s="294"/>
      <c r="GY36" s="294">
        <f>'SR BUDACT ER'!DZ66</f>
        <v>0</v>
      </c>
      <c r="GZ36" s="294">
        <f>'SR BUDACT ER'!EA66</f>
        <v>0</v>
      </c>
      <c r="HA36" s="294">
        <f>SUM(GY36-GZ36)</f>
        <v>0</v>
      </c>
      <c r="HB36" s="276"/>
      <c r="HC36" s="276" t="s">
        <v>292</v>
      </c>
      <c r="HD36" s="276"/>
      <c r="HE36" s="294">
        <f>'SR BUDACT ER'!EC66</f>
        <v>0</v>
      </c>
      <c r="HF36" s="294">
        <f>'SR BUDACT ER'!ED66</f>
        <v>0</v>
      </c>
      <c r="HG36" s="294">
        <f>SUM(HE36-HF36)</f>
        <v>0</v>
      </c>
      <c r="HH36" s="294"/>
      <c r="HI36" s="294">
        <f>'SR BUDACT ER'!EI66</f>
        <v>0</v>
      </c>
      <c r="HJ36" s="294">
        <f>'SR BUDACT ER'!EJ66</f>
        <v>0</v>
      </c>
      <c r="HK36" s="294">
        <f>SUM(HI36-HJ36)</f>
        <v>0</v>
      </c>
      <c r="HL36" s="276"/>
      <c r="HM36" s="276" t="s">
        <v>292</v>
      </c>
      <c r="HN36" s="276"/>
      <c r="HO36" s="294"/>
      <c r="HP36" s="294"/>
      <c r="HQ36" s="294"/>
      <c r="HR36" s="276"/>
      <c r="HS36" s="294">
        <f>'SR BUDACT ER'!EL66</f>
        <v>0</v>
      </c>
      <c r="HT36" s="294">
        <f>'SR BUDACT ER'!EM66</f>
        <v>0</v>
      </c>
      <c r="HU36" s="294">
        <f>SUM(HS36-HT36)</f>
        <v>0</v>
      </c>
      <c r="HV36" s="294"/>
      <c r="HW36" s="294">
        <f>'SR BUDACT ER'!EO66</f>
        <v>41093</v>
      </c>
      <c r="HX36" s="294">
        <f>'SR BUDACT ER'!EP66</f>
        <v>41093</v>
      </c>
      <c r="HY36" s="294">
        <f>SUM(HW36-HX36)</f>
        <v>0</v>
      </c>
      <c r="HZ36" s="276"/>
      <c r="IA36" s="276" t="s">
        <v>292</v>
      </c>
      <c r="IB36" s="276"/>
      <c r="IC36" s="294">
        <f>'SR BUDACT ER'!ER66</f>
        <v>0</v>
      </c>
      <c r="ID36" s="294">
        <f>'SR BUDACT ER'!ES66</f>
        <v>0</v>
      </c>
      <c r="IE36" s="294">
        <f>SUM(IC36-ID36)</f>
        <v>0</v>
      </c>
      <c r="IF36" s="294"/>
      <c r="IG36" s="276"/>
      <c r="IH36" s="294">
        <f t="shared" si="61"/>
        <v>2255473</v>
      </c>
      <c r="II36" s="294">
        <f t="shared" si="62"/>
        <v>2084888</v>
      </c>
      <c r="IJ36" s="294">
        <f>SUM(IH36-II36)</f>
        <v>170585</v>
      </c>
      <c r="IK36" s="276"/>
      <c r="IL36" s="276" t="s">
        <v>292</v>
      </c>
      <c r="IM36" s="276"/>
      <c r="IN36" s="308"/>
      <c r="IO36" s="308"/>
      <c r="IP36" s="308"/>
      <c r="IQ36" s="294"/>
      <c r="IR36" s="294"/>
      <c r="IS36" s="294"/>
      <c r="IW36" s="276"/>
      <c r="IX36" s="294"/>
      <c r="IY36" s="294"/>
      <c r="JA36" s="294"/>
      <c r="JB36" s="294"/>
      <c r="JC36" s="514"/>
      <c r="JE36" s="288">
        <f t="shared" si="54"/>
        <v>4510946</v>
      </c>
      <c r="JF36" s="288">
        <f t="shared" si="55"/>
        <v>4510946</v>
      </c>
      <c r="JG36" s="288">
        <f t="shared" si="56"/>
        <v>0</v>
      </c>
    </row>
    <row r="37" spans="2:267" ht="15.75">
      <c r="B37" s="276" t="s">
        <v>207</v>
      </c>
      <c r="C37" s="276"/>
      <c r="D37" s="294"/>
      <c r="E37" s="294"/>
      <c r="F37" s="294"/>
      <c r="G37" s="276"/>
      <c r="H37" s="294"/>
      <c r="I37" s="294"/>
      <c r="J37" s="294"/>
      <c r="K37" s="276"/>
      <c r="L37" s="276" t="s">
        <v>207</v>
      </c>
      <c r="M37" s="276"/>
      <c r="N37" s="294"/>
      <c r="O37" s="294"/>
      <c r="P37" s="294"/>
      <c r="Q37" s="276"/>
      <c r="R37" s="294"/>
      <c r="S37" s="294"/>
      <c r="T37" s="294"/>
      <c r="U37" s="276"/>
      <c r="V37" s="276" t="s">
        <v>207</v>
      </c>
      <c r="W37" s="276"/>
      <c r="X37" s="294"/>
      <c r="Y37" s="294"/>
      <c r="Z37" s="294"/>
      <c r="AA37" s="276"/>
      <c r="AB37" s="294"/>
      <c r="AC37" s="294"/>
      <c r="AD37" s="294"/>
      <c r="AE37" s="294"/>
      <c r="AF37" s="276" t="s">
        <v>207</v>
      </c>
      <c r="AG37" s="276"/>
      <c r="AH37" s="294"/>
      <c r="AI37" s="294"/>
      <c r="AJ37" s="294"/>
      <c r="AK37" s="276"/>
      <c r="AL37" s="294"/>
      <c r="AM37" s="294"/>
      <c r="AN37" s="294"/>
      <c r="AO37" s="294"/>
      <c r="AP37" s="276" t="s">
        <v>207</v>
      </c>
      <c r="AQ37" s="276"/>
      <c r="AR37" s="294"/>
      <c r="AS37" s="294"/>
      <c r="AT37" s="294"/>
      <c r="AU37" s="276"/>
      <c r="AV37" s="294"/>
      <c r="AW37" s="294"/>
      <c r="AX37" s="294"/>
      <c r="AY37" s="294"/>
      <c r="AZ37" s="276" t="s">
        <v>207</v>
      </c>
      <c r="BA37" s="276"/>
      <c r="BB37" s="294"/>
      <c r="BC37" s="294"/>
      <c r="BD37" s="294"/>
      <c r="BE37" s="276"/>
      <c r="BF37" s="294"/>
      <c r="BG37" s="294"/>
      <c r="BH37" s="294"/>
      <c r="BI37" s="276"/>
      <c r="BJ37" s="294"/>
      <c r="BK37" s="294"/>
      <c r="BL37" s="294"/>
      <c r="BM37" s="294"/>
      <c r="BN37" s="276" t="s">
        <v>207</v>
      </c>
      <c r="BO37" s="294"/>
      <c r="BP37" s="294"/>
      <c r="BQ37" s="294"/>
      <c r="BR37" s="294"/>
      <c r="BS37" s="294"/>
      <c r="BT37" s="294"/>
      <c r="BU37" s="294"/>
      <c r="BV37" s="294"/>
      <c r="BW37" s="294"/>
      <c r="BX37" s="276" t="s">
        <v>207</v>
      </c>
      <c r="BY37" s="294"/>
      <c r="BZ37" s="294"/>
      <c r="CA37" s="294"/>
      <c r="CB37" s="294"/>
      <c r="CC37" s="294"/>
      <c r="CD37" s="294"/>
      <c r="CE37" s="294"/>
      <c r="CF37" s="294"/>
      <c r="CG37" s="294"/>
      <c r="CH37" s="276" t="s">
        <v>207</v>
      </c>
      <c r="CI37" s="276"/>
      <c r="CJ37" s="294"/>
      <c r="CK37" s="294"/>
      <c r="CL37" s="294"/>
      <c r="CM37" s="276"/>
      <c r="CN37" s="294"/>
      <c r="CO37" s="294"/>
      <c r="CP37" s="294"/>
      <c r="CQ37" s="294"/>
      <c r="CR37" s="276" t="s">
        <v>207</v>
      </c>
      <c r="CS37" s="276"/>
      <c r="CT37" s="294"/>
      <c r="CU37" s="294"/>
      <c r="CV37" s="294"/>
      <c r="CW37" s="276"/>
      <c r="CX37" s="294"/>
      <c r="CY37" s="294"/>
      <c r="CZ37" s="294"/>
      <c r="DA37" s="294"/>
      <c r="DB37" s="276" t="s">
        <v>207</v>
      </c>
      <c r="DC37" s="276"/>
      <c r="DD37" s="294"/>
      <c r="DE37" s="294"/>
      <c r="DF37" s="294"/>
      <c r="DG37" s="276"/>
      <c r="DH37" s="294"/>
      <c r="DI37" s="294"/>
      <c r="DJ37" s="294"/>
      <c r="DK37" s="276"/>
      <c r="DL37" s="276" t="s">
        <v>207</v>
      </c>
      <c r="DM37" s="276"/>
      <c r="DN37" s="294"/>
      <c r="DO37" s="294"/>
      <c r="DP37" s="294"/>
      <c r="DQ37" s="276"/>
      <c r="DR37" s="294"/>
      <c r="DS37" s="294"/>
      <c r="DT37" s="294"/>
      <c r="DU37" s="276"/>
      <c r="DV37" s="276" t="s">
        <v>207</v>
      </c>
      <c r="DW37" s="276"/>
      <c r="DX37" s="294"/>
      <c r="DY37" s="294"/>
      <c r="DZ37" s="294"/>
      <c r="EA37" s="276"/>
      <c r="EB37" s="294"/>
      <c r="EC37" s="294"/>
      <c r="ED37" s="294"/>
      <c r="EE37" s="276"/>
      <c r="EF37" s="276" t="s">
        <v>207</v>
      </c>
      <c r="EG37" s="276"/>
      <c r="EH37" s="294"/>
      <c r="EI37" s="294"/>
      <c r="EJ37" s="294"/>
      <c r="EK37" s="276"/>
      <c r="EL37" s="294"/>
      <c r="EM37" s="294"/>
      <c r="EN37" s="294"/>
      <c r="EO37" s="276"/>
      <c r="EP37" s="276" t="s">
        <v>207</v>
      </c>
      <c r="EQ37" s="276"/>
      <c r="ER37" s="294"/>
      <c r="ES37" s="294"/>
      <c r="ET37" s="294"/>
      <c r="EU37" s="276"/>
      <c r="EV37" s="294"/>
      <c r="EW37" s="294"/>
      <c r="EX37" s="294"/>
      <c r="EY37" s="276"/>
      <c r="EZ37" s="276" t="s">
        <v>207</v>
      </c>
      <c r="FA37" s="276"/>
      <c r="FB37" s="294"/>
      <c r="FC37" s="294"/>
      <c r="FD37" s="294"/>
      <c r="FE37" s="276"/>
      <c r="FF37" s="294"/>
      <c r="FG37" s="294"/>
      <c r="FH37" s="294"/>
      <c r="FI37" s="276"/>
      <c r="FJ37" s="276" t="s">
        <v>207</v>
      </c>
      <c r="FK37" s="276"/>
      <c r="FL37" s="294"/>
      <c r="FM37" s="294"/>
      <c r="FN37" s="294"/>
      <c r="FO37" s="276"/>
      <c r="FP37" s="294"/>
      <c r="FQ37" s="294"/>
      <c r="FR37" s="294"/>
      <c r="FS37" s="276"/>
      <c r="FT37" s="276" t="s">
        <v>207</v>
      </c>
      <c r="FU37" s="276"/>
      <c r="FV37" s="294"/>
      <c r="FW37" s="294"/>
      <c r="FX37" s="294"/>
      <c r="FY37" s="276"/>
      <c r="FZ37" s="294"/>
      <c r="GA37" s="294"/>
      <c r="GB37" s="294"/>
      <c r="GC37" s="276"/>
      <c r="GD37" s="294"/>
      <c r="GE37" s="294"/>
      <c r="GF37" s="294"/>
      <c r="GG37" s="276"/>
      <c r="GH37" s="276" t="s">
        <v>207</v>
      </c>
      <c r="GI37" s="276"/>
      <c r="GJ37" s="294"/>
      <c r="GK37" s="294"/>
      <c r="GL37" s="294"/>
      <c r="GN37" s="276"/>
      <c r="GO37" s="294"/>
      <c r="GP37" s="294"/>
      <c r="GQ37" s="294"/>
      <c r="GR37" s="276"/>
      <c r="GS37" s="276" t="s">
        <v>207</v>
      </c>
      <c r="GT37" s="276"/>
      <c r="GU37" s="294"/>
      <c r="GV37" s="294"/>
      <c r="GW37" s="294"/>
      <c r="GX37" s="294"/>
      <c r="GY37" s="294"/>
      <c r="GZ37" s="294"/>
      <c r="HA37" s="294"/>
      <c r="HB37" s="276"/>
      <c r="HC37" s="276" t="s">
        <v>207</v>
      </c>
      <c r="HD37" s="276"/>
      <c r="HE37" s="294"/>
      <c r="HF37" s="294"/>
      <c r="HG37" s="294"/>
      <c r="HH37" s="294"/>
      <c r="HI37" s="294"/>
      <c r="HJ37" s="294"/>
      <c r="HK37" s="294"/>
      <c r="HL37" s="276"/>
      <c r="HM37" s="276" t="s">
        <v>207</v>
      </c>
      <c r="HN37" s="276"/>
      <c r="HO37" s="294"/>
      <c r="HP37" s="294"/>
      <c r="HQ37" s="294"/>
      <c r="HR37" s="276"/>
      <c r="HS37" s="294">
        <f>'SR BUDACT ER'!EL67</f>
        <v>0</v>
      </c>
      <c r="HT37" s="294">
        <f>'SR BUDACT ER'!EM67</f>
        <v>0</v>
      </c>
      <c r="HU37" s="294"/>
      <c r="HV37" s="294"/>
      <c r="HW37" s="294"/>
      <c r="HX37" s="294"/>
      <c r="HY37" s="294"/>
      <c r="HZ37" s="276"/>
      <c r="IA37" s="276" t="s">
        <v>207</v>
      </c>
      <c r="IB37" s="276"/>
      <c r="IC37" s="294"/>
      <c r="ID37" s="294"/>
      <c r="IE37" s="294"/>
      <c r="IF37" s="294"/>
      <c r="IG37" s="276"/>
      <c r="IH37" s="294"/>
      <c r="II37" s="294"/>
      <c r="IJ37" s="294"/>
      <c r="IK37" s="276"/>
      <c r="IL37" s="276" t="s">
        <v>207</v>
      </c>
      <c r="IM37" s="276"/>
      <c r="IN37" s="308"/>
      <c r="IO37" s="308"/>
      <c r="IP37" s="308"/>
      <c r="IQ37" s="294"/>
      <c r="IR37" s="294"/>
      <c r="IS37" s="294"/>
      <c r="IW37" s="276"/>
      <c r="IX37" s="294"/>
      <c r="IY37" s="294"/>
      <c r="JA37" s="294">
        <f>SUM('SR BUDACT ER'!AN68:AN69)</f>
        <v>0</v>
      </c>
      <c r="JB37" s="294">
        <f>SUM('SR BUDACT ER'!AO68:AO69)</f>
        <v>0</v>
      </c>
      <c r="JC37" s="514">
        <f>SUM(JA37-JB37)</f>
        <v>0</v>
      </c>
      <c r="JE37" s="288">
        <f t="shared" si="54"/>
        <v>0</v>
      </c>
      <c r="JF37" s="288">
        <f t="shared" si="55"/>
        <v>0</v>
      </c>
      <c r="JG37" s="288">
        <f t="shared" si="56"/>
        <v>0</v>
      </c>
    </row>
    <row r="38" spans="2:267" ht="15.75">
      <c r="B38" s="276" t="s">
        <v>767</v>
      </c>
      <c r="C38" s="276"/>
      <c r="D38" s="294">
        <f>'SR BUDACT ER'!G68</f>
        <v>2198603</v>
      </c>
      <c r="E38" s="294">
        <f>'SR BUDACT ER'!H68</f>
        <v>1983492</v>
      </c>
      <c r="F38" s="294">
        <f>SUM(D38-E38)</f>
        <v>215111</v>
      </c>
      <c r="G38" s="276"/>
      <c r="H38" s="294">
        <f>'SR BUDACT ER'!J68</f>
        <v>0</v>
      </c>
      <c r="I38" s="294">
        <f>'SR BUDACT ER'!K68</f>
        <v>0</v>
      </c>
      <c r="J38" s="294">
        <f>SUM(H38-I38)</f>
        <v>0</v>
      </c>
      <c r="K38" s="276"/>
      <c r="L38" s="276" t="s">
        <v>767</v>
      </c>
      <c r="M38" s="276"/>
      <c r="N38" s="294">
        <f>'SR BUDACT ER'!M68</f>
        <v>0</v>
      </c>
      <c r="O38" s="294">
        <f>'SR BUDACT ER'!N68</f>
        <v>0</v>
      </c>
      <c r="P38" s="294">
        <f>SUM(N38-O38)</f>
        <v>0</v>
      </c>
      <c r="Q38" s="276"/>
      <c r="R38" s="294">
        <f>'SR BUDACT ER'!P68</f>
        <v>360326</v>
      </c>
      <c r="S38" s="294">
        <f>'SR BUDACT ER'!Q68</f>
        <v>253052</v>
      </c>
      <c r="T38" s="294">
        <f>SUM(R38-S38)</f>
        <v>107274</v>
      </c>
      <c r="U38" s="276"/>
      <c r="V38" s="276" t="s">
        <v>767</v>
      </c>
      <c r="W38" s="276"/>
      <c r="X38" s="294">
        <f>'SR BUDACT ER'!S68</f>
        <v>86886</v>
      </c>
      <c r="Y38" s="294">
        <f>'SR BUDACT ER'!T68</f>
        <v>86492</v>
      </c>
      <c r="Z38" s="294">
        <f>SUM(X38-Y38)</f>
        <v>394</v>
      </c>
      <c r="AA38" s="276"/>
      <c r="AB38" s="294">
        <f>'SR BUDACT ER'!V68</f>
        <v>0</v>
      </c>
      <c r="AC38" s="294">
        <f>'SR BUDACT ER'!W68</f>
        <v>0</v>
      </c>
      <c r="AD38" s="294">
        <f>SUM(AB38-AC38)</f>
        <v>0</v>
      </c>
      <c r="AE38" s="294"/>
      <c r="AF38" s="276" t="s">
        <v>767</v>
      </c>
      <c r="AG38" s="276"/>
      <c r="AH38" s="294">
        <f>'SR BUDACT ER'!Y68</f>
        <v>0</v>
      </c>
      <c r="AI38" s="294">
        <f>'SR BUDACT ER'!Z68</f>
        <v>0</v>
      </c>
      <c r="AJ38" s="294">
        <f>SUM(AH38-AI38)</f>
        <v>0</v>
      </c>
      <c r="AK38" s="276"/>
      <c r="AL38" s="294">
        <f>'SR BUDACT ER'!AB68</f>
        <v>0</v>
      </c>
      <c r="AM38" s="294">
        <f>'SR BUDACT ER'!AC68</f>
        <v>0</v>
      </c>
      <c r="AN38" s="294">
        <f>SUM(AL38-AM38)</f>
        <v>0</v>
      </c>
      <c r="AO38" s="294"/>
      <c r="AP38" s="276" t="s">
        <v>767</v>
      </c>
      <c r="AQ38" s="276"/>
      <c r="AR38" s="294">
        <f>'SR BUDACT ER'!AE68</f>
        <v>0</v>
      </c>
      <c r="AS38" s="294">
        <f>'SR BUDACT ER'!AF68</f>
        <v>0</v>
      </c>
      <c r="AT38" s="294">
        <f>SUM(AR38-AS38)</f>
        <v>0</v>
      </c>
      <c r="AU38" s="276"/>
      <c r="AV38" s="294">
        <f>'SR BUDACT ER'!AH68</f>
        <v>0</v>
      </c>
      <c r="AW38" s="294">
        <f>'SR BUDACT ER'!AI68</f>
        <v>0</v>
      </c>
      <c r="AX38" s="294">
        <f>SUM(AV38-AW38)</f>
        <v>0</v>
      </c>
      <c r="AY38" s="294"/>
      <c r="AZ38" s="276" t="s">
        <v>767</v>
      </c>
      <c r="BA38" s="276"/>
      <c r="BB38" s="294">
        <f>'SR BUDACT ER'!AK68</f>
        <v>0</v>
      </c>
      <c r="BC38" s="294">
        <f>'SR BUDACT ER'!AL68</f>
        <v>0</v>
      </c>
      <c r="BD38" s="294">
        <f>SUM(BB38-BC38)</f>
        <v>0</v>
      </c>
      <c r="BE38" s="276"/>
      <c r="BF38" s="294"/>
      <c r="BG38" s="294"/>
      <c r="BH38" s="294"/>
      <c r="BI38" s="276"/>
      <c r="BJ38" s="294">
        <f>'SR BUDACT ER'!AQ68</f>
        <v>0</v>
      </c>
      <c r="BK38" s="294">
        <f>'SR BUDACT ER'!AR68</f>
        <v>0</v>
      </c>
      <c r="BL38" s="294">
        <f>SUM(BJ38-BK38)</f>
        <v>0</v>
      </c>
      <c r="BM38" s="294"/>
      <c r="BN38" s="276" t="s">
        <v>767</v>
      </c>
      <c r="BO38" s="294"/>
      <c r="BP38" s="294">
        <f>'SR BUDACT ER'!AT68</f>
        <v>0</v>
      </c>
      <c r="BQ38" s="294">
        <f>'SR BUDACT ER'!AU68</f>
        <v>0</v>
      </c>
      <c r="BR38" s="294">
        <f>SUM(BP38-BQ38)</f>
        <v>0</v>
      </c>
      <c r="BS38" s="294"/>
      <c r="BT38" s="294">
        <f>'SR BUDACT ER'!AW68</f>
        <v>0</v>
      </c>
      <c r="BU38" s="294">
        <f>'SR BUDACT ER'!AX68</f>
        <v>0</v>
      </c>
      <c r="BV38" s="294">
        <f>SUM(BT38-BU38)</f>
        <v>0</v>
      </c>
      <c r="BW38" s="294"/>
      <c r="BX38" s="276" t="s">
        <v>767</v>
      </c>
      <c r="BY38" s="294"/>
      <c r="BZ38" s="294">
        <f>'SR BUDACT ER'!AZ68</f>
        <v>0</v>
      </c>
      <c r="CA38" s="294">
        <f>'SR BUDACT ER'!BA68</f>
        <v>0</v>
      </c>
      <c r="CB38" s="294">
        <f>SUM(BZ38-CA38)</f>
        <v>0</v>
      </c>
      <c r="CC38" s="294"/>
      <c r="CD38" s="294">
        <f>'SR BUDACT ER'!BC68</f>
        <v>1630836</v>
      </c>
      <c r="CE38" s="294">
        <f>'SR BUDACT ER'!BD68</f>
        <v>1567763</v>
      </c>
      <c r="CF38" s="294">
        <f>SUM(CD38-CE38)</f>
        <v>63073</v>
      </c>
      <c r="CG38" s="294"/>
      <c r="CH38" s="276" t="s">
        <v>767</v>
      </c>
      <c r="CI38" s="276"/>
      <c r="CJ38" s="294">
        <f>'SR BUDACT ER'!BF68</f>
        <v>0</v>
      </c>
      <c r="CK38" s="294">
        <f>'SR BUDACT ER'!BG68</f>
        <v>0</v>
      </c>
      <c r="CL38" s="294">
        <f>SUM(CJ38-CK38)</f>
        <v>0</v>
      </c>
      <c r="CM38" s="276"/>
      <c r="CN38" s="294">
        <f>'SR BUDACT ER'!BI68</f>
        <v>0</v>
      </c>
      <c r="CO38" s="294">
        <f>'SR BUDACT ER'!BJ68</f>
        <v>0</v>
      </c>
      <c r="CP38" s="294">
        <f>SUM(CN38-CO38)</f>
        <v>0</v>
      </c>
      <c r="CQ38" s="294"/>
      <c r="CR38" s="276" t="s">
        <v>767</v>
      </c>
      <c r="CS38" s="276"/>
      <c r="CT38" s="294">
        <f>'SR BUDACT ER'!BL68</f>
        <v>0</v>
      </c>
      <c r="CU38" s="294">
        <f>'SR BUDACT ER'!BM68</f>
        <v>0</v>
      </c>
      <c r="CV38" s="294">
        <f>SUM(CT38-CU38)</f>
        <v>0</v>
      </c>
      <c r="CW38" s="276"/>
      <c r="CX38" s="294">
        <f>'SR BUDACT ER'!BO68</f>
        <v>0</v>
      </c>
      <c r="CY38" s="294">
        <f>'SR BUDACT ER'!BP68</f>
        <v>0</v>
      </c>
      <c r="CZ38" s="294">
        <f>SUM(CX38-CY38)</f>
        <v>0</v>
      </c>
      <c r="DA38" s="294"/>
      <c r="DB38" s="276" t="s">
        <v>767</v>
      </c>
      <c r="DC38" s="276"/>
      <c r="DD38" s="294">
        <f>'SR BUDACT ER'!BR68</f>
        <v>0</v>
      </c>
      <c r="DE38" s="294">
        <f>'SR BUDACT ER'!BS68</f>
        <v>0</v>
      </c>
      <c r="DF38" s="294">
        <f>SUM(DD38-DE38)</f>
        <v>0</v>
      </c>
      <c r="DG38" s="276"/>
      <c r="DH38" s="294">
        <f>'SR BUDACT ER'!BU68</f>
        <v>0</v>
      </c>
      <c r="DI38" s="294">
        <f>'SR BUDACT ER'!BV68</f>
        <v>0</v>
      </c>
      <c r="DJ38" s="294">
        <f>SUM(DH38-DI38)</f>
        <v>0</v>
      </c>
      <c r="DK38" s="276"/>
      <c r="DL38" s="276" t="s">
        <v>767</v>
      </c>
      <c r="DM38" s="276"/>
      <c r="DN38" s="294">
        <f>'SR BUDACT ER'!BX68</f>
        <v>0</v>
      </c>
      <c r="DO38" s="294">
        <f>'SR BUDACT ER'!BY68</f>
        <v>0</v>
      </c>
      <c r="DP38" s="294">
        <f>SUM(DN38-DO38)</f>
        <v>0</v>
      </c>
      <c r="DQ38" s="276"/>
      <c r="DR38" s="294">
        <f>'SR BUDACT ER'!CA68</f>
        <v>0</v>
      </c>
      <c r="DS38" s="294">
        <f>'SR BUDACT ER'!CB68</f>
        <v>0</v>
      </c>
      <c r="DT38" s="294">
        <f>SUM(DR38-DS38)</f>
        <v>0</v>
      </c>
      <c r="DU38" s="276"/>
      <c r="DV38" s="276" t="s">
        <v>767</v>
      </c>
      <c r="DW38" s="276"/>
      <c r="DX38" s="294">
        <f>'SR BUDACT ER'!CD68</f>
        <v>0</v>
      </c>
      <c r="DY38" s="294">
        <f>'SR BUDACT ER'!CE68</f>
        <v>0</v>
      </c>
      <c r="DZ38" s="294">
        <f>SUM(DX38-DY38)</f>
        <v>0</v>
      </c>
      <c r="EA38" s="276"/>
      <c r="EB38" s="294">
        <f>'SR BUDACT ER'!CG68</f>
        <v>0</v>
      </c>
      <c r="EC38" s="294">
        <f>'SR BUDACT ER'!CH68</f>
        <v>0</v>
      </c>
      <c r="ED38" s="294">
        <f>SUM(EB38-EC38)</f>
        <v>0</v>
      </c>
      <c r="EE38" s="276"/>
      <c r="EF38" s="276" t="s">
        <v>767</v>
      </c>
      <c r="EG38" s="276"/>
      <c r="EH38" s="294">
        <f>'SR BUDACT ER'!CJ68</f>
        <v>0</v>
      </c>
      <c r="EI38" s="294">
        <f>'SR BUDACT ER'!CK68</f>
        <v>0</v>
      </c>
      <c r="EJ38" s="294">
        <f>SUM(EH38-EI38)</f>
        <v>0</v>
      </c>
      <c r="EK38" s="276"/>
      <c r="EL38" s="294">
        <f>'SR BUDACT ER'!CM68</f>
        <v>0</v>
      </c>
      <c r="EM38" s="294">
        <f>'SR BUDACT ER'!CN68</f>
        <v>0</v>
      </c>
      <c r="EN38" s="294">
        <f>SUM(EL38-EM38)</f>
        <v>0</v>
      </c>
      <c r="EO38" s="276"/>
      <c r="EP38" s="276" t="s">
        <v>767</v>
      </c>
      <c r="EQ38" s="276"/>
      <c r="ER38" s="294">
        <f>'SR BUDACT ER'!CP68</f>
        <v>0</v>
      </c>
      <c r="ES38" s="294">
        <f>'SR BUDACT ER'!CQ68</f>
        <v>0</v>
      </c>
      <c r="ET38" s="294">
        <f>SUM(ER38-ES38)</f>
        <v>0</v>
      </c>
      <c r="EU38" s="276"/>
      <c r="EV38" s="294">
        <f>'SR BUDACT ER'!CS68</f>
        <v>0</v>
      </c>
      <c r="EW38" s="294">
        <f>'SR BUDACT ER'!CT68</f>
        <v>0</v>
      </c>
      <c r="EX38" s="294">
        <f>SUM(EV38-EW38)</f>
        <v>0</v>
      </c>
      <c r="EY38" s="276"/>
      <c r="EZ38" s="276" t="s">
        <v>767</v>
      </c>
      <c r="FA38" s="276"/>
      <c r="FB38" s="294">
        <f>'SR BUDACT ER'!CV68</f>
        <v>0</v>
      </c>
      <c r="FC38" s="294">
        <f>'SR BUDACT ER'!CW68</f>
        <v>0</v>
      </c>
      <c r="FD38" s="294">
        <f>SUM(FB38-FC38)</f>
        <v>0</v>
      </c>
      <c r="FE38" s="276"/>
      <c r="FF38" s="294">
        <f>'SR BUDACT ER'!CY68</f>
        <v>0</v>
      </c>
      <c r="FG38" s="294">
        <f>'SR BUDACT ER'!CZ68</f>
        <v>0</v>
      </c>
      <c r="FH38" s="294">
        <f>SUM(FF38-FG38)</f>
        <v>0</v>
      </c>
      <c r="FI38" s="276"/>
      <c r="FJ38" s="276" t="s">
        <v>767</v>
      </c>
      <c r="FK38" s="276"/>
      <c r="FL38" s="294">
        <f>'SR BUDACT ER'!DB68</f>
        <v>0</v>
      </c>
      <c r="FM38" s="294">
        <f>'SR BUDACT ER'!DC68</f>
        <v>0</v>
      </c>
      <c r="FN38" s="294">
        <f>SUM(FL38-FM38)</f>
        <v>0</v>
      </c>
      <c r="FO38" s="276"/>
      <c r="FP38" s="294">
        <f>'SR BUDACT ER'!DE68</f>
        <v>0</v>
      </c>
      <c r="FQ38" s="294">
        <f>'SR BUDACT ER'!DF68</f>
        <v>0</v>
      </c>
      <c r="FR38" s="294">
        <f>SUM(FP38-FQ38)</f>
        <v>0</v>
      </c>
      <c r="FS38" s="276"/>
      <c r="FT38" s="276" t="s">
        <v>767</v>
      </c>
      <c r="FU38" s="276"/>
      <c r="FV38" s="294">
        <f>'SR BUDACT ER'!DH68</f>
        <v>0</v>
      </c>
      <c r="FW38" s="294">
        <f>'SR BUDACT ER'!DI68</f>
        <v>0</v>
      </c>
      <c r="FX38" s="294">
        <f>SUM(FV38-FW38)</f>
        <v>0</v>
      </c>
      <c r="FY38" s="276"/>
      <c r="FZ38" s="294">
        <f>'SR BUDACT ER'!DK68</f>
        <v>0</v>
      </c>
      <c r="GA38" s="294">
        <f>'SR BUDACT ER'!DL68</f>
        <v>0</v>
      </c>
      <c r="GB38" s="294">
        <f>SUM(FZ38-GA38)</f>
        <v>0</v>
      </c>
      <c r="GC38" s="276"/>
      <c r="GD38" s="294">
        <f>'SR BUDACT ER'!DN68</f>
        <v>0</v>
      </c>
      <c r="GE38" s="294">
        <f>'SR BUDACT ER'!DO68</f>
        <v>0</v>
      </c>
      <c r="GF38" s="294">
        <f>SUM(GD38-GE38)</f>
        <v>0</v>
      </c>
      <c r="GG38" s="276"/>
      <c r="GH38" s="276" t="s">
        <v>767</v>
      </c>
      <c r="GI38" s="276"/>
      <c r="GJ38" s="294">
        <f>'SR BUDACT ER'!DQ68</f>
        <v>0</v>
      </c>
      <c r="GK38" s="294">
        <f>'SR BUDACT ER'!DR68</f>
        <v>0</v>
      </c>
      <c r="GL38" s="294">
        <f>SUM(GJ38-GK38)</f>
        <v>0</v>
      </c>
      <c r="GN38" s="276"/>
      <c r="GO38" s="294">
        <f>'SR BUDACT ER'!DT68</f>
        <v>0</v>
      </c>
      <c r="GP38" s="294">
        <f>'SR BUDACT ER'!DU68</f>
        <v>0</v>
      </c>
      <c r="GQ38" s="294">
        <f>SUM(GO38-GP38)</f>
        <v>0</v>
      </c>
      <c r="GR38" s="276"/>
      <c r="GS38" s="276" t="s">
        <v>767</v>
      </c>
      <c r="GT38" s="276"/>
      <c r="GU38" s="294">
        <f>'SR BUDACT ER'!DW68</f>
        <v>0</v>
      </c>
      <c r="GV38" s="294">
        <f>'SR BUDACT ER'!DX68</f>
        <v>0</v>
      </c>
      <c r="GW38" s="294">
        <f>SUM(GU38-GV38)</f>
        <v>0</v>
      </c>
      <c r="GX38" s="294"/>
      <c r="GY38" s="294">
        <f>'SR BUDACT ER'!DZ68</f>
        <v>0</v>
      </c>
      <c r="GZ38" s="294">
        <f>'SR BUDACT ER'!EA68</f>
        <v>0</v>
      </c>
      <c r="HA38" s="294">
        <f>SUM(GY38-GZ38)</f>
        <v>0</v>
      </c>
      <c r="HB38" s="276"/>
      <c r="HC38" s="276" t="s">
        <v>767</v>
      </c>
      <c r="HD38" s="276"/>
      <c r="HE38" s="294">
        <f>'SR BUDACT ER'!EC68</f>
        <v>0</v>
      </c>
      <c r="HF38" s="294">
        <f>'SR BUDACT ER'!ED68</f>
        <v>0</v>
      </c>
      <c r="HG38" s="294">
        <f>SUM(HE38-HF38)</f>
        <v>0</v>
      </c>
      <c r="HH38" s="294"/>
      <c r="HI38" s="294">
        <f>'SR BUDACT ER'!EI68</f>
        <v>0</v>
      </c>
      <c r="HJ38" s="294">
        <f>'SR BUDACT ER'!EJ68</f>
        <v>0</v>
      </c>
      <c r="HK38" s="294">
        <f>SUM(HI38-HJ38)</f>
        <v>0</v>
      </c>
      <c r="HL38" s="276"/>
      <c r="HM38" s="276" t="s">
        <v>767</v>
      </c>
      <c r="HN38" s="276"/>
      <c r="HO38" s="294"/>
      <c r="HP38" s="294"/>
      <c r="HQ38" s="294"/>
      <c r="HR38" s="276"/>
      <c r="HS38" s="294">
        <f>'SR BUDACT ER'!EL68</f>
        <v>0</v>
      </c>
      <c r="HT38" s="294">
        <f>'SR BUDACT ER'!EM68</f>
        <v>0</v>
      </c>
      <c r="HU38" s="294">
        <f>SUM(HS38-HT38)</f>
        <v>0</v>
      </c>
      <c r="HV38" s="294"/>
      <c r="HW38" s="294">
        <f>'SR BUDACT ER'!EO68</f>
        <v>0</v>
      </c>
      <c r="HX38" s="294">
        <f>'SR BUDACT ER'!EP68</f>
        <v>0</v>
      </c>
      <c r="HY38" s="294">
        <f>SUM(HW38-HX38)</f>
        <v>0</v>
      </c>
      <c r="HZ38" s="276"/>
      <c r="IA38" s="276" t="s">
        <v>767</v>
      </c>
      <c r="IB38" s="276"/>
      <c r="IC38" s="294">
        <f>'SR BUDACT ER'!ER68</f>
        <v>0</v>
      </c>
      <c r="ID38" s="294">
        <f>'SR BUDACT ER'!ES68</f>
        <v>0</v>
      </c>
      <c r="IE38" s="294">
        <f>SUM(IC38-ID38)</f>
        <v>0</v>
      </c>
      <c r="IF38" s="294"/>
      <c r="IG38" s="276"/>
      <c r="IH38" s="294">
        <f t="shared" ref="IH38:IH39" si="63">+D38+H38+N38+R38+X38+AB38+AH38+AL38+AR38+AV38+BB38+BJ38+BP38+BT38+BZ38+CD38+CJ38+CN38+CT38+CX38+DD38+DH38+DN38+DR38+DX38+EB38+EH38+EL38+ER38+EV38+FB38+FF38+FL38+FP38+FV38+FZ38+GD38+GJ38+GO38+GU38+GY38+HE38+HI38+HS38+HW38+IC38</f>
        <v>4276651</v>
      </c>
      <c r="II38" s="294">
        <f t="shared" ref="II38:II39" si="64">+E38+I38+O38+S38+Y38+AC38+AI38+AM38+AS38+AW38+BC38+BK38+BQ38+BU38+CA38+CE38+CK38+CO38+CU38+CY38+DE38+DI38+DO38+DS38+DY38+EC38+EI38+EM38+ES38+EW38+FC38+FG38+FM38+FQ38+FW38+GA38+GE38+GK38+GP38+GV38+GZ38+HF38+HJ38+HT38+HX38+ID38</f>
        <v>3890799</v>
      </c>
      <c r="IJ38" s="294">
        <f>SUM(IH38-II38)</f>
        <v>385852</v>
      </c>
      <c r="IK38" s="276"/>
      <c r="IL38" s="276" t="s">
        <v>767</v>
      </c>
      <c r="IM38" s="276"/>
      <c r="IN38" s="308"/>
      <c r="IO38" s="308"/>
      <c r="IP38" s="308"/>
      <c r="IQ38" s="294"/>
      <c r="IR38" s="294"/>
      <c r="IS38" s="294"/>
      <c r="IW38" s="276"/>
      <c r="IX38" s="294"/>
      <c r="IY38" s="294"/>
      <c r="JA38" s="294"/>
      <c r="JB38" s="294"/>
      <c r="JC38" s="514"/>
      <c r="JE38" s="288">
        <f t="shared" si="54"/>
        <v>8553302</v>
      </c>
      <c r="JF38" s="288">
        <f t="shared" si="55"/>
        <v>8553302</v>
      </c>
      <c r="JG38" s="288">
        <f t="shared" si="56"/>
        <v>0</v>
      </c>
    </row>
    <row r="39" spans="2:267" ht="15.75">
      <c r="B39" s="276" t="s">
        <v>292</v>
      </c>
      <c r="C39" s="276"/>
      <c r="D39" s="294">
        <f>'SR BUDACT ER'!G69</f>
        <v>866791</v>
      </c>
      <c r="E39" s="294">
        <f>'SR BUDACT ER'!H69</f>
        <v>740759</v>
      </c>
      <c r="F39" s="294">
        <f>SUM(D39-E39)</f>
        <v>126032</v>
      </c>
      <c r="G39" s="276"/>
      <c r="H39" s="294">
        <f>'SR BUDACT ER'!J69</f>
        <v>20799</v>
      </c>
      <c r="I39" s="294">
        <f>'SR BUDACT ER'!K69</f>
        <v>20799</v>
      </c>
      <c r="J39" s="294">
        <f>SUM(H39-I39)</f>
        <v>0</v>
      </c>
      <c r="K39" s="276"/>
      <c r="L39" s="276" t="s">
        <v>292</v>
      </c>
      <c r="M39" s="276"/>
      <c r="N39" s="294">
        <f>'SR BUDACT ER'!M69</f>
        <v>232157</v>
      </c>
      <c r="O39" s="294">
        <f>'SR BUDACT ER'!N69</f>
        <v>232157</v>
      </c>
      <c r="P39" s="294">
        <f>SUM(N39-O39)</f>
        <v>0</v>
      </c>
      <c r="Q39" s="276"/>
      <c r="R39" s="294">
        <f>'SR BUDACT ER'!P69</f>
        <v>186606</v>
      </c>
      <c r="S39" s="294">
        <f>'SR BUDACT ER'!Q69</f>
        <v>109097</v>
      </c>
      <c r="T39" s="294">
        <f>SUM(R39-S39)</f>
        <v>77509</v>
      </c>
      <c r="U39" s="276"/>
      <c r="V39" s="276" t="s">
        <v>292</v>
      </c>
      <c r="W39" s="276"/>
      <c r="X39" s="294">
        <f>'SR BUDACT ER'!S69</f>
        <v>6488</v>
      </c>
      <c r="Y39" s="294">
        <f>'SR BUDACT ER'!T69</f>
        <v>3805</v>
      </c>
      <c r="Z39" s="294">
        <f>SUM(X39-Y39)</f>
        <v>2683</v>
      </c>
      <c r="AA39" s="276"/>
      <c r="AB39" s="294">
        <f>'SR BUDACT ER'!V69</f>
        <v>0</v>
      </c>
      <c r="AC39" s="294">
        <f>'SR BUDACT ER'!W69</f>
        <v>0</v>
      </c>
      <c r="AD39" s="294">
        <f>SUM(AB39-AC39)</f>
        <v>0</v>
      </c>
      <c r="AE39" s="294"/>
      <c r="AF39" s="276" t="s">
        <v>292</v>
      </c>
      <c r="AG39" s="276"/>
      <c r="AH39" s="294">
        <f>'SR BUDACT ER'!Y69</f>
        <v>1875</v>
      </c>
      <c r="AI39" s="294">
        <f>'SR BUDACT ER'!Z69</f>
        <v>398</v>
      </c>
      <c r="AJ39" s="294">
        <f>SUM(AH39-AI39)</f>
        <v>1477</v>
      </c>
      <c r="AK39" s="276"/>
      <c r="AL39" s="294">
        <f>'SR BUDACT ER'!AB69</f>
        <v>24875</v>
      </c>
      <c r="AM39" s="294">
        <f>'SR BUDACT ER'!AC69</f>
        <v>11806</v>
      </c>
      <c r="AN39" s="294">
        <f>SUM(AL39-AM39)</f>
        <v>13069</v>
      </c>
      <c r="AO39" s="294"/>
      <c r="AP39" s="276" t="s">
        <v>292</v>
      </c>
      <c r="AQ39" s="276"/>
      <c r="AR39" s="294">
        <f>'SR BUDACT ER'!AE69</f>
        <v>0</v>
      </c>
      <c r="AS39" s="294">
        <f>'SR BUDACT ER'!AF69</f>
        <v>0</v>
      </c>
      <c r="AT39" s="294">
        <f>SUM(AR39-AS39)</f>
        <v>0</v>
      </c>
      <c r="AU39" s="276"/>
      <c r="AV39" s="294">
        <f>'SR BUDACT ER'!AH69</f>
        <v>0</v>
      </c>
      <c r="AW39" s="294">
        <f>'SR BUDACT ER'!AI69</f>
        <v>0</v>
      </c>
      <c r="AX39" s="294">
        <f>SUM(AV39-AW39)</f>
        <v>0</v>
      </c>
      <c r="AY39" s="294"/>
      <c r="AZ39" s="276" t="s">
        <v>292</v>
      </c>
      <c r="BA39" s="276"/>
      <c r="BB39" s="294">
        <f>'SR BUDACT ER'!AK69</f>
        <v>0</v>
      </c>
      <c r="BC39" s="294">
        <f>'SR BUDACT ER'!AL69</f>
        <v>0</v>
      </c>
      <c r="BD39" s="294">
        <f>SUM(BB39-BC39)</f>
        <v>0</v>
      </c>
      <c r="BE39" s="276"/>
      <c r="BF39" s="294"/>
      <c r="BG39" s="294"/>
      <c r="BH39" s="294"/>
      <c r="BI39" s="276"/>
      <c r="BJ39" s="294">
        <f>'SR BUDACT ER'!AQ69</f>
        <v>0</v>
      </c>
      <c r="BK39" s="294">
        <f>'SR BUDACT ER'!AR69</f>
        <v>0</v>
      </c>
      <c r="BL39" s="294">
        <f>SUM(BJ39-BK39)</f>
        <v>0</v>
      </c>
      <c r="BM39" s="294"/>
      <c r="BN39" s="276" t="s">
        <v>292</v>
      </c>
      <c r="BO39" s="294"/>
      <c r="BP39" s="294">
        <f>'SR BUDACT ER'!AT69</f>
        <v>0</v>
      </c>
      <c r="BQ39" s="294">
        <f>'SR BUDACT ER'!AU69</f>
        <v>0</v>
      </c>
      <c r="BR39" s="294">
        <f>SUM(BP39-BQ39)</f>
        <v>0</v>
      </c>
      <c r="BS39" s="294"/>
      <c r="BT39" s="294">
        <f>'SR BUDACT ER'!AW69</f>
        <v>0</v>
      </c>
      <c r="BU39" s="294">
        <f>'SR BUDACT ER'!AX69</f>
        <v>0</v>
      </c>
      <c r="BV39" s="294">
        <f>SUM(BT39-BU39)</f>
        <v>0</v>
      </c>
      <c r="BW39" s="294"/>
      <c r="BX39" s="276" t="s">
        <v>292</v>
      </c>
      <c r="BY39" s="294"/>
      <c r="BZ39" s="294">
        <f>'SR BUDACT ER'!AZ69</f>
        <v>0</v>
      </c>
      <c r="CA39" s="294">
        <f>'SR BUDACT ER'!BA69</f>
        <v>0</v>
      </c>
      <c r="CB39" s="294">
        <f>SUM(BZ39-CA39)</f>
        <v>0</v>
      </c>
      <c r="CC39" s="294"/>
      <c r="CD39" s="294">
        <f>'SR BUDACT ER'!BC69</f>
        <v>975108</v>
      </c>
      <c r="CE39" s="294">
        <f>'SR BUDACT ER'!BD69</f>
        <v>1042964</v>
      </c>
      <c r="CF39" s="294">
        <f>SUM(CD39-CE39)</f>
        <v>-67856</v>
      </c>
      <c r="CG39" s="294"/>
      <c r="CH39" s="276" t="s">
        <v>292</v>
      </c>
      <c r="CI39" s="276"/>
      <c r="CJ39" s="294">
        <f>'SR BUDACT ER'!BF69</f>
        <v>0</v>
      </c>
      <c r="CK39" s="294">
        <f>'SR BUDACT ER'!BG69</f>
        <v>0</v>
      </c>
      <c r="CL39" s="294">
        <f>SUM(CJ39-CK39)</f>
        <v>0</v>
      </c>
      <c r="CM39" s="276"/>
      <c r="CN39" s="294">
        <f>'SR BUDACT ER'!BI69</f>
        <v>0</v>
      </c>
      <c r="CO39" s="294">
        <f>'SR BUDACT ER'!BJ69</f>
        <v>0</v>
      </c>
      <c r="CP39" s="294">
        <f>SUM(CN39-CO39)</f>
        <v>0</v>
      </c>
      <c r="CQ39" s="294"/>
      <c r="CR39" s="276" t="s">
        <v>292</v>
      </c>
      <c r="CS39" s="276"/>
      <c r="CT39" s="294">
        <f>'SR BUDACT ER'!BL69</f>
        <v>0</v>
      </c>
      <c r="CU39" s="294">
        <f>'SR BUDACT ER'!BM69</f>
        <v>0</v>
      </c>
      <c r="CV39" s="294">
        <f>SUM(CT39-CU39)</f>
        <v>0</v>
      </c>
      <c r="CW39" s="276"/>
      <c r="CX39" s="294">
        <f>'SR BUDACT ER'!BO69</f>
        <v>0</v>
      </c>
      <c r="CY39" s="294">
        <f>'SR BUDACT ER'!BP69</f>
        <v>0</v>
      </c>
      <c r="CZ39" s="294">
        <f>SUM(CX39-CY39)</f>
        <v>0</v>
      </c>
      <c r="DA39" s="294"/>
      <c r="DB39" s="276" t="s">
        <v>292</v>
      </c>
      <c r="DC39" s="276"/>
      <c r="DD39" s="294">
        <f>'SR BUDACT ER'!BR69</f>
        <v>0</v>
      </c>
      <c r="DE39" s="294">
        <f>'SR BUDACT ER'!BS69</f>
        <v>0</v>
      </c>
      <c r="DF39" s="294">
        <f>SUM(DD39-DE39)</f>
        <v>0</v>
      </c>
      <c r="DG39" s="276"/>
      <c r="DH39" s="294">
        <f>'SR BUDACT ER'!BU69</f>
        <v>0</v>
      </c>
      <c r="DI39" s="294">
        <f>'SR BUDACT ER'!BV69</f>
        <v>0</v>
      </c>
      <c r="DJ39" s="294">
        <f>SUM(DH39-DI39)</f>
        <v>0</v>
      </c>
      <c r="DK39" s="276"/>
      <c r="DL39" s="276" t="s">
        <v>292</v>
      </c>
      <c r="DM39" s="276"/>
      <c r="DN39" s="294">
        <f>'SR BUDACT ER'!BX69</f>
        <v>0</v>
      </c>
      <c r="DO39" s="294">
        <f>'SR BUDACT ER'!BY69</f>
        <v>0</v>
      </c>
      <c r="DP39" s="294">
        <f>SUM(DN39-DO39)</f>
        <v>0</v>
      </c>
      <c r="DQ39" s="276"/>
      <c r="DR39" s="294">
        <f>'SR BUDACT ER'!CA69</f>
        <v>0</v>
      </c>
      <c r="DS39" s="294">
        <f>'SR BUDACT ER'!CB69</f>
        <v>0</v>
      </c>
      <c r="DT39" s="294">
        <f>SUM(DR39-DS39)</f>
        <v>0</v>
      </c>
      <c r="DU39" s="276"/>
      <c r="DV39" s="276" t="s">
        <v>292</v>
      </c>
      <c r="DW39" s="276"/>
      <c r="DX39" s="294">
        <f>'SR BUDACT ER'!CD69</f>
        <v>63292</v>
      </c>
      <c r="DY39" s="294">
        <f>'SR BUDACT ER'!CE69</f>
        <v>36352</v>
      </c>
      <c r="DZ39" s="294">
        <f>SUM(DX39-DY39)</f>
        <v>26940</v>
      </c>
      <c r="EA39" s="276"/>
      <c r="EB39" s="294">
        <f>'SR BUDACT ER'!CG69</f>
        <v>0</v>
      </c>
      <c r="EC39" s="294">
        <f>'SR BUDACT ER'!CH69</f>
        <v>0</v>
      </c>
      <c r="ED39" s="294">
        <f>SUM(EB39-EC39)</f>
        <v>0</v>
      </c>
      <c r="EE39" s="276"/>
      <c r="EF39" s="276" t="s">
        <v>292</v>
      </c>
      <c r="EG39" s="276"/>
      <c r="EH39" s="294">
        <f>'SR BUDACT ER'!CJ69</f>
        <v>0</v>
      </c>
      <c r="EI39" s="294">
        <f>'SR BUDACT ER'!CK69</f>
        <v>0</v>
      </c>
      <c r="EJ39" s="294">
        <f>SUM(EH39-EI39)</f>
        <v>0</v>
      </c>
      <c r="EK39" s="276"/>
      <c r="EL39" s="294">
        <f>'SR BUDACT ER'!CM69</f>
        <v>0</v>
      </c>
      <c r="EM39" s="294">
        <f>'SR BUDACT ER'!CN69</f>
        <v>0</v>
      </c>
      <c r="EN39" s="294">
        <f>SUM(EL39-EM39)</f>
        <v>0</v>
      </c>
      <c r="EO39" s="276"/>
      <c r="EP39" s="276" t="s">
        <v>292</v>
      </c>
      <c r="EQ39" s="276"/>
      <c r="ER39" s="294">
        <f>'SR BUDACT ER'!CP69</f>
        <v>0</v>
      </c>
      <c r="ES39" s="294">
        <f>'SR BUDACT ER'!CQ69</f>
        <v>0</v>
      </c>
      <c r="ET39" s="294">
        <f>SUM(ER39-ES39)</f>
        <v>0</v>
      </c>
      <c r="EU39" s="276"/>
      <c r="EV39" s="294">
        <f>'SR BUDACT ER'!CS69</f>
        <v>0</v>
      </c>
      <c r="EW39" s="294">
        <f>'SR BUDACT ER'!CT69</f>
        <v>0</v>
      </c>
      <c r="EX39" s="294">
        <f>SUM(EV39-EW39)</f>
        <v>0</v>
      </c>
      <c r="EY39" s="276"/>
      <c r="EZ39" s="276" t="s">
        <v>292</v>
      </c>
      <c r="FA39" s="276"/>
      <c r="FB39" s="294">
        <f>'SR BUDACT ER'!CV69</f>
        <v>0</v>
      </c>
      <c r="FC39" s="294">
        <f>'SR BUDACT ER'!CW69</f>
        <v>0</v>
      </c>
      <c r="FD39" s="294">
        <f>SUM(FB39-FC39)</f>
        <v>0</v>
      </c>
      <c r="FE39" s="276"/>
      <c r="FF39" s="294">
        <f>'SR BUDACT ER'!CY69</f>
        <v>0</v>
      </c>
      <c r="FG39" s="294">
        <f>'SR BUDACT ER'!CZ69</f>
        <v>0</v>
      </c>
      <c r="FH39" s="294">
        <f>SUM(FF39-FG39)</f>
        <v>0</v>
      </c>
      <c r="FI39" s="276"/>
      <c r="FJ39" s="276" t="s">
        <v>292</v>
      </c>
      <c r="FK39" s="276"/>
      <c r="FL39" s="294">
        <f>'SR BUDACT ER'!DB69</f>
        <v>0</v>
      </c>
      <c r="FM39" s="294">
        <f>'SR BUDACT ER'!DC69</f>
        <v>0</v>
      </c>
      <c r="FN39" s="294">
        <f>SUM(FL39-FM39)</f>
        <v>0</v>
      </c>
      <c r="FO39" s="276"/>
      <c r="FP39" s="294">
        <f>'SR BUDACT ER'!DE69</f>
        <v>100000</v>
      </c>
      <c r="FQ39" s="294">
        <f>'SR BUDACT ER'!DF69</f>
        <v>52642</v>
      </c>
      <c r="FR39" s="294">
        <f>SUM(FP39-FQ39)</f>
        <v>47358</v>
      </c>
      <c r="FS39" s="276"/>
      <c r="FT39" s="276" t="s">
        <v>292</v>
      </c>
      <c r="FU39" s="276"/>
      <c r="FV39" s="294">
        <f>'SR BUDACT ER'!DH69</f>
        <v>0</v>
      </c>
      <c r="FW39" s="294">
        <f>'SR BUDACT ER'!DI69</f>
        <v>0</v>
      </c>
      <c r="FX39" s="294">
        <f>SUM(FV39-FW39)</f>
        <v>0</v>
      </c>
      <c r="FY39" s="276"/>
      <c r="FZ39" s="294">
        <f>'SR BUDACT ER'!DK69</f>
        <v>0</v>
      </c>
      <c r="GA39" s="294">
        <f>'SR BUDACT ER'!DL69</f>
        <v>0</v>
      </c>
      <c r="GB39" s="294">
        <f>SUM(FZ39-GA39)</f>
        <v>0</v>
      </c>
      <c r="GC39" s="276"/>
      <c r="GD39" s="294">
        <f>'SR BUDACT ER'!DN69</f>
        <v>0</v>
      </c>
      <c r="GE39" s="294">
        <f>'SR BUDACT ER'!DO69</f>
        <v>0</v>
      </c>
      <c r="GF39" s="294">
        <f>SUM(GD39-GE39)</f>
        <v>0</v>
      </c>
      <c r="GG39" s="276"/>
      <c r="GH39" s="276" t="s">
        <v>292</v>
      </c>
      <c r="GI39" s="276"/>
      <c r="GJ39" s="294">
        <f>'SR BUDACT ER'!DQ69</f>
        <v>250000</v>
      </c>
      <c r="GK39" s="294">
        <f>'SR BUDACT ER'!DR69</f>
        <v>235770</v>
      </c>
      <c r="GL39" s="294">
        <f>SUM(GJ39-GK39)</f>
        <v>14230</v>
      </c>
      <c r="GN39" s="276"/>
      <c r="GO39" s="294">
        <f>'SR BUDACT ER'!DT69</f>
        <v>0</v>
      </c>
      <c r="GP39" s="294">
        <f>'SR BUDACT ER'!DU69</f>
        <v>0</v>
      </c>
      <c r="GQ39" s="294">
        <f>SUM(GO39-GP39)</f>
        <v>0</v>
      </c>
      <c r="GR39" s="276"/>
      <c r="GS39" s="276" t="s">
        <v>292</v>
      </c>
      <c r="GT39" s="276"/>
      <c r="GU39" s="294">
        <f>'SR BUDACT ER'!DW69</f>
        <v>0</v>
      </c>
      <c r="GV39" s="294">
        <f>'SR BUDACT ER'!DX69</f>
        <v>0</v>
      </c>
      <c r="GW39" s="294">
        <f>SUM(GU39-GV39)</f>
        <v>0</v>
      </c>
      <c r="GX39" s="294"/>
      <c r="GY39" s="294">
        <f>'SR BUDACT ER'!DZ69</f>
        <v>0</v>
      </c>
      <c r="GZ39" s="294">
        <f>'SR BUDACT ER'!EA69</f>
        <v>0</v>
      </c>
      <c r="HA39" s="294">
        <f>SUM(GY39-GZ39)</f>
        <v>0</v>
      </c>
      <c r="HB39" s="276"/>
      <c r="HC39" s="276" t="s">
        <v>292</v>
      </c>
      <c r="HD39" s="276"/>
      <c r="HE39" s="294">
        <f>'SR BUDACT ER'!EC69</f>
        <v>0</v>
      </c>
      <c r="HF39" s="294">
        <f>'SR BUDACT ER'!ED69</f>
        <v>0</v>
      </c>
      <c r="HG39" s="294">
        <f>SUM(HE39-HF39)</f>
        <v>0</v>
      </c>
      <c r="HH39" s="294"/>
      <c r="HI39" s="294">
        <f>'SR BUDACT ER'!EI69</f>
        <v>0</v>
      </c>
      <c r="HJ39" s="294">
        <f>'SR BUDACT ER'!EJ69</f>
        <v>0</v>
      </c>
      <c r="HK39" s="294">
        <f>SUM(HI39-HJ39)</f>
        <v>0</v>
      </c>
      <c r="HL39" s="276"/>
      <c r="HM39" s="276" t="s">
        <v>292</v>
      </c>
      <c r="HN39" s="276"/>
      <c r="HO39" s="294"/>
      <c r="HP39" s="294"/>
      <c r="HQ39" s="294"/>
      <c r="HR39" s="276"/>
      <c r="HS39" s="294">
        <f>'SR BUDACT ER'!EL69</f>
        <v>0</v>
      </c>
      <c r="HT39" s="294">
        <f>'SR BUDACT ER'!EM69</f>
        <v>0</v>
      </c>
      <c r="HU39" s="294">
        <f>SUM(HS39-HT39)</f>
        <v>0</v>
      </c>
      <c r="HV39" s="294"/>
      <c r="HW39" s="294">
        <f>'SR BUDACT ER'!EO69</f>
        <v>0</v>
      </c>
      <c r="HX39" s="294">
        <f>'SR BUDACT ER'!EP69</f>
        <v>0</v>
      </c>
      <c r="HY39" s="294">
        <f>SUM(HW39-HX39)</f>
        <v>0</v>
      </c>
      <c r="HZ39" s="276"/>
      <c r="IA39" s="276" t="s">
        <v>292</v>
      </c>
      <c r="IB39" s="276"/>
      <c r="IC39" s="294">
        <f>'SR BUDACT ER'!ER69</f>
        <v>0</v>
      </c>
      <c r="ID39" s="294">
        <f>'SR BUDACT ER'!ES69</f>
        <v>0</v>
      </c>
      <c r="IE39" s="294">
        <f>SUM(IC39-ID39)</f>
        <v>0</v>
      </c>
      <c r="IF39" s="294"/>
      <c r="IG39" s="276"/>
      <c r="IH39" s="294">
        <f t="shared" si="63"/>
        <v>2727991</v>
      </c>
      <c r="II39" s="294">
        <f t="shared" si="64"/>
        <v>2486549</v>
      </c>
      <c r="IJ39" s="294">
        <f>SUM(IH39-II39)</f>
        <v>241442</v>
      </c>
      <c r="IK39" s="276"/>
      <c r="IL39" s="276" t="s">
        <v>292</v>
      </c>
      <c r="IM39" s="276"/>
      <c r="IN39" s="308"/>
      <c r="IO39" s="308"/>
      <c r="IP39" s="308"/>
      <c r="IQ39" s="294"/>
      <c r="IR39" s="294"/>
      <c r="IS39" s="294"/>
      <c r="IW39" s="276"/>
      <c r="IX39" s="294"/>
      <c r="IY39" s="294"/>
      <c r="JA39" s="294"/>
      <c r="JB39" s="294"/>
      <c r="JC39" s="514"/>
      <c r="JE39" s="288">
        <f t="shared" si="54"/>
        <v>5455982</v>
      </c>
      <c r="JF39" s="288">
        <f t="shared" si="55"/>
        <v>5455982</v>
      </c>
      <c r="JG39" s="288">
        <f t="shared" si="56"/>
        <v>0</v>
      </c>
    </row>
    <row r="40" spans="2:267" ht="15.75">
      <c r="B40" s="276" t="s">
        <v>350</v>
      </c>
      <c r="C40" s="276"/>
      <c r="D40" s="294"/>
      <c r="E40" s="294"/>
      <c r="F40" s="294"/>
      <c r="G40" s="276"/>
      <c r="H40" s="294"/>
      <c r="I40" s="294"/>
      <c r="J40" s="294"/>
      <c r="K40" s="276"/>
      <c r="L40" s="276" t="s">
        <v>350</v>
      </c>
      <c r="M40" s="276"/>
      <c r="N40" s="294"/>
      <c r="O40" s="294"/>
      <c r="P40" s="294"/>
      <c r="Q40" s="276"/>
      <c r="R40" s="294"/>
      <c r="S40" s="294"/>
      <c r="T40" s="294"/>
      <c r="U40" s="276"/>
      <c r="V40" s="276" t="s">
        <v>350</v>
      </c>
      <c r="W40" s="276"/>
      <c r="X40" s="294"/>
      <c r="Y40" s="294"/>
      <c r="Z40" s="294"/>
      <c r="AA40" s="276"/>
      <c r="AB40" s="294"/>
      <c r="AC40" s="294"/>
      <c r="AD40" s="294"/>
      <c r="AE40" s="294"/>
      <c r="AF40" s="276" t="s">
        <v>350</v>
      </c>
      <c r="AG40" s="276"/>
      <c r="AH40" s="294"/>
      <c r="AI40" s="294"/>
      <c r="AJ40" s="294"/>
      <c r="AK40" s="276"/>
      <c r="AL40" s="294"/>
      <c r="AM40" s="294"/>
      <c r="AN40" s="294"/>
      <c r="AO40" s="294"/>
      <c r="AP40" s="276" t="s">
        <v>350</v>
      </c>
      <c r="AQ40" s="276"/>
      <c r="AR40" s="294"/>
      <c r="AS40" s="294"/>
      <c r="AT40" s="294"/>
      <c r="AU40" s="276"/>
      <c r="AV40" s="294"/>
      <c r="AW40" s="294"/>
      <c r="AX40" s="294"/>
      <c r="AY40" s="294"/>
      <c r="AZ40" s="276" t="s">
        <v>350</v>
      </c>
      <c r="BA40" s="276"/>
      <c r="BB40" s="294"/>
      <c r="BC40" s="294"/>
      <c r="BD40" s="294"/>
      <c r="BE40" s="276"/>
      <c r="BF40" s="294"/>
      <c r="BG40" s="294"/>
      <c r="BH40" s="294"/>
      <c r="BI40" s="276"/>
      <c r="BJ40" s="294"/>
      <c r="BK40" s="294"/>
      <c r="BL40" s="294"/>
      <c r="BM40" s="294"/>
      <c r="BN40" s="276" t="s">
        <v>350</v>
      </c>
      <c r="BO40" s="294"/>
      <c r="BP40" s="294"/>
      <c r="BQ40" s="294"/>
      <c r="BR40" s="294"/>
      <c r="BS40" s="294"/>
      <c r="BT40" s="294"/>
      <c r="BU40" s="294"/>
      <c r="BV40" s="294"/>
      <c r="BW40" s="294"/>
      <c r="BX40" s="276" t="s">
        <v>350</v>
      </c>
      <c r="BY40" s="294"/>
      <c r="BZ40" s="294"/>
      <c r="CA40" s="294"/>
      <c r="CB40" s="294"/>
      <c r="CC40" s="294"/>
      <c r="CD40" s="294"/>
      <c r="CE40" s="294"/>
      <c r="CF40" s="294"/>
      <c r="CG40" s="294"/>
      <c r="CH40" s="276" t="s">
        <v>350</v>
      </c>
      <c r="CI40" s="276"/>
      <c r="CJ40" s="294"/>
      <c r="CK40" s="294"/>
      <c r="CL40" s="294"/>
      <c r="CM40" s="276"/>
      <c r="CN40" s="294"/>
      <c r="CO40" s="294"/>
      <c r="CP40" s="294"/>
      <c r="CQ40" s="294"/>
      <c r="CR40" s="276" t="s">
        <v>350</v>
      </c>
      <c r="CS40" s="276"/>
      <c r="CT40" s="294"/>
      <c r="CU40" s="294"/>
      <c r="CV40" s="294"/>
      <c r="CW40" s="276"/>
      <c r="CX40" s="294"/>
      <c r="CY40" s="294"/>
      <c r="CZ40" s="294"/>
      <c r="DA40" s="294"/>
      <c r="DB40" s="276" t="s">
        <v>350</v>
      </c>
      <c r="DC40" s="276"/>
      <c r="DD40" s="294"/>
      <c r="DE40" s="294"/>
      <c r="DF40" s="294"/>
      <c r="DG40" s="276"/>
      <c r="DH40" s="294"/>
      <c r="DI40" s="294"/>
      <c r="DJ40" s="294"/>
      <c r="DK40" s="276"/>
      <c r="DL40" s="276" t="s">
        <v>350</v>
      </c>
      <c r="DM40" s="276"/>
      <c r="DN40" s="294"/>
      <c r="DO40" s="294"/>
      <c r="DP40" s="294"/>
      <c r="DQ40" s="276"/>
      <c r="DR40" s="294"/>
      <c r="DS40" s="294"/>
      <c r="DT40" s="294"/>
      <c r="DU40" s="276"/>
      <c r="DV40" s="276" t="s">
        <v>350</v>
      </c>
      <c r="DW40" s="276"/>
      <c r="DX40" s="294"/>
      <c r="DY40" s="294"/>
      <c r="DZ40" s="294"/>
      <c r="EA40" s="276"/>
      <c r="EB40" s="294"/>
      <c r="EC40" s="294"/>
      <c r="ED40" s="294"/>
      <c r="EE40" s="276"/>
      <c r="EF40" s="276" t="s">
        <v>350</v>
      </c>
      <c r="EG40" s="276"/>
      <c r="EH40" s="294"/>
      <c r="EI40" s="294"/>
      <c r="EJ40" s="294"/>
      <c r="EK40" s="276"/>
      <c r="EL40" s="294"/>
      <c r="EM40" s="294"/>
      <c r="EN40" s="294"/>
      <c r="EO40" s="276"/>
      <c r="EP40" s="276" t="s">
        <v>350</v>
      </c>
      <c r="EQ40" s="276"/>
      <c r="ER40" s="294"/>
      <c r="ES40" s="294"/>
      <c r="ET40" s="294"/>
      <c r="EU40" s="276"/>
      <c r="EV40" s="294"/>
      <c r="EW40" s="294"/>
      <c r="EX40" s="294"/>
      <c r="EY40" s="276"/>
      <c r="EZ40" s="276" t="s">
        <v>350</v>
      </c>
      <c r="FA40" s="276"/>
      <c r="FB40" s="294"/>
      <c r="FC40" s="294"/>
      <c r="FD40" s="294"/>
      <c r="FE40" s="276"/>
      <c r="FF40" s="294"/>
      <c r="FG40" s="294"/>
      <c r="FH40" s="294"/>
      <c r="FI40" s="276"/>
      <c r="FJ40" s="276" t="s">
        <v>350</v>
      </c>
      <c r="FK40" s="276"/>
      <c r="FL40" s="294"/>
      <c r="FM40" s="294"/>
      <c r="FN40" s="294"/>
      <c r="FO40" s="276"/>
      <c r="FP40" s="294"/>
      <c r="FQ40" s="294"/>
      <c r="FR40" s="294"/>
      <c r="FS40" s="276"/>
      <c r="FT40" s="276" t="s">
        <v>350</v>
      </c>
      <c r="FU40" s="276"/>
      <c r="FV40" s="294"/>
      <c r="FW40" s="294"/>
      <c r="FX40" s="294"/>
      <c r="FY40" s="276"/>
      <c r="FZ40" s="294"/>
      <c r="GA40" s="294"/>
      <c r="GB40" s="294"/>
      <c r="GC40" s="276"/>
      <c r="GD40" s="294"/>
      <c r="GE40" s="294"/>
      <c r="GF40" s="294"/>
      <c r="GG40" s="276"/>
      <c r="GH40" s="276" t="s">
        <v>350</v>
      </c>
      <c r="GI40" s="276"/>
      <c r="GJ40" s="294"/>
      <c r="GK40" s="294"/>
      <c r="GL40" s="294"/>
      <c r="GN40" s="276"/>
      <c r="GO40" s="294"/>
      <c r="GP40" s="294"/>
      <c r="GQ40" s="294"/>
      <c r="GR40" s="276"/>
      <c r="GS40" s="276" t="s">
        <v>350</v>
      </c>
      <c r="GT40" s="276"/>
      <c r="GU40" s="294"/>
      <c r="GV40" s="294"/>
      <c r="GW40" s="294"/>
      <c r="GX40" s="294"/>
      <c r="GY40" s="294"/>
      <c r="GZ40" s="294"/>
      <c r="HA40" s="294"/>
      <c r="HB40" s="276"/>
      <c r="HC40" s="276" t="s">
        <v>350</v>
      </c>
      <c r="HD40" s="276"/>
      <c r="HE40" s="294"/>
      <c r="HF40" s="294"/>
      <c r="HG40" s="294"/>
      <c r="HH40" s="294"/>
      <c r="HI40" s="294"/>
      <c r="HJ40" s="294"/>
      <c r="HK40" s="294"/>
      <c r="HL40" s="276"/>
      <c r="HM40" s="276" t="s">
        <v>350</v>
      </c>
      <c r="HN40" s="276"/>
      <c r="HO40" s="294"/>
      <c r="HP40" s="294"/>
      <c r="HQ40" s="294"/>
      <c r="HR40" s="276"/>
      <c r="HS40" s="294">
        <f>'SR BUDACT ER'!EL70</f>
        <v>0</v>
      </c>
      <c r="HT40" s="294">
        <f>'SR BUDACT ER'!EM70</f>
        <v>0</v>
      </c>
      <c r="HU40" s="294"/>
      <c r="HV40" s="294"/>
      <c r="HW40" s="294"/>
      <c r="HX40" s="294"/>
      <c r="HY40" s="294"/>
      <c r="HZ40" s="276"/>
      <c r="IA40" s="276" t="s">
        <v>350</v>
      </c>
      <c r="IB40" s="276"/>
      <c r="IC40" s="294"/>
      <c r="ID40" s="294"/>
      <c r="IE40" s="294"/>
      <c r="IF40" s="294"/>
      <c r="IG40" s="276"/>
      <c r="IH40" s="294"/>
      <c r="II40" s="294"/>
      <c r="IJ40" s="294"/>
      <c r="IK40" s="276"/>
      <c r="IL40" s="276" t="s">
        <v>350</v>
      </c>
      <c r="IM40" s="276"/>
      <c r="IN40" s="308"/>
      <c r="IO40" s="308"/>
      <c r="IP40" s="308"/>
      <c r="IQ40" s="294"/>
      <c r="IR40" s="294"/>
      <c r="IS40" s="294"/>
      <c r="IW40" s="276"/>
      <c r="IX40" s="294"/>
      <c r="IY40" s="294"/>
      <c r="JA40" s="294">
        <f>SUM('SR BUDACT ER'!AN71:AN72)</f>
        <v>0</v>
      </c>
      <c r="JB40" s="294">
        <f>SUM('SR BUDACT ER'!AO71:AO72)</f>
        <v>0</v>
      </c>
      <c r="JC40" s="514">
        <f>SUM(JA40-JB40)</f>
        <v>0</v>
      </c>
      <c r="JE40" s="288">
        <f t="shared" si="54"/>
        <v>0</v>
      </c>
      <c r="JF40" s="288">
        <f t="shared" si="55"/>
        <v>0</v>
      </c>
      <c r="JG40" s="288">
        <f t="shared" si="56"/>
        <v>0</v>
      </c>
    </row>
    <row r="41" spans="2:267" ht="15.75">
      <c r="B41" s="276" t="s">
        <v>767</v>
      </c>
      <c r="C41" s="276"/>
      <c r="D41" s="294">
        <f>'SR BUDACT ER'!G71</f>
        <v>0</v>
      </c>
      <c r="E41" s="294">
        <f>'SR BUDACT ER'!H71</f>
        <v>0</v>
      </c>
      <c r="F41" s="294">
        <f>SUM(D41-E41)</f>
        <v>0</v>
      </c>
      <c r="G41" s="276"/>
      <c r="H41" s="294">
        <f>'SR BUDACT ER'!J71</f>
        <v>0</v>
      </c>
      <c r="I41" s="294">
        <f>'SR BUDACT ER'!K71</f>
        <v>0</v>
      </c>
      <c r="J41" s="294">
        <f>SUM(H41-I41)</f>
        <v>0</v>
      </c>
      <c r="K41" s="276"/>
      <c r="L41" s="276" t="s">
        <v>767</v>
      </c>
      <c r="M41" s="276"/>
      <c r="N41" s="294">
        <f>'SR BUDACT ER'!M71</f>
        <v>0</v>
      </c>
      <c r="O41" s="294">
        <f>'SR BUDACT ER'!N71</f>
        <v>0</v>
      </c>
      <c r="P41" s="294">
        <f>SUM(N41-O41)</f>
        <v>0</v>
      </c>
      <c r="Q41" s="276"/>
      <c r="R41" s="294">
        <f>'SR BUDACT ER'!P71</f>
        <v>0</v>
      </c>
      <c r="S41" s="294">
        <f>'SR BUDACT ER'!Q71</f>
        <v>0</v>
      </c>
      <c r="T41" s="294">
        <f>SUM(R41-S41)</f>
        <v>0</v>
      </c>
      <c r="U41" s="276"/>
      <c r="V41" s="276" t="s">
        <v>767</v>
      </c>
      <c r="W41" s="276"/>
      <c r="X41" s="294">
        <f>'SR BUDACT ER'!S71</f>
        <v>0</v>
      </c>
      <c r="Y41" s="294">
        <f>'SR BUDACT ER'!T71</f>
        <v>0</v>
      </c>
      <c r="Z41" s="294">
        <f>SUM(X41-Y41)</f>
        <v>0</v>
      </c>
      <c r="AA41" s="276"/>
      <c r="AB41" s="294">
        <f>'SR BUDACT ER'!V71</f>
        <v>0</v>
      </c>
      <c r="AC41" s="294">
        <f>'SR BUDACT ER'!W71</f>
        <v>0</v>
      </c>
      <c r="AD41" s="294">
        <f>SUM(AB41-AC41)</f>
        <v>0</v>
      </c>
      <c r="AE41" s="294"/>
      <c r="AF41" s="276" t="s">
        <v>767</v>
      </c>
      <c r="AG41" s="276"/>
      <c r="AH41" s="294">
        <f>'SR BUDACT ER'!Y71</f>
        <v>0</v>
      </c>
      <c r="AI41" s="294">
        <f>'SR BUDACT ER'!Z71</f>
        <v>0</v>
      </c>
      <c r="AJ41" s="294">
        <f>SUM(AH41-AI41)</f>
        <v>0</v>
      </c>
      <c r="AK41" s="276"/>
      <c r="AL41" s="294">
        <f>'SR BUDACT ER'!AB71</f>
        <v>0</v>
      </c>
      <c r="AM41" s="294">
        <f>'SR BUDACT ER'!AC71</f>
        <v>0</v>
      </c>
      <c r="AN41" s="294">
        <f>SUM(AL41-AM41)</f>
        <v>0</v>
      </c>
      <c r="AO41" s="294"/>
      <c r="AP41" s="276" t="s">
        <v>767</v>
      </c>
      <c r="AQ41" s="276"/>
      <c r="AR41" s="294">
        <f>'SR BUDACT ER'!AE71</f>
        <v>0</v>
      </c>
      <c r="AS41" s="294">
        <f>'SR BUDACT ER'!AF71</f>
        <v>0</v>
      </c>
      <c r="AT41" s="294">
        <f>SUM(AR41-AS41)</f>
        <v>0</v>
      </c>
      <c r="AU41" s="276"/>
      <c r="AV41" s="294">
        <f>'SR BUDACT ER'!AH71</f>
        <v>0</v>
      </c>
      <c r="AW41" s="294">
        <f>'SR BUDACT ER'!AI71</f>
        <v>0</v>
      </c>
      <c r="AX41" s="294">
        <f>SUM(AV41-AW41)</f>
        <v>0</v>
      </c>
      <c r="AY41" s="294"/>
      <c r="AZ41" s="276" t="s">
        <v>767</v>
      </c>
      <c r="BA41" s="276"/>
      <c r="BB41" s="294">
        <f>'SR BUDACT ER'!AK71</f>
        <v>0</v>
      </c>
      <c r="BC41" s="294">
        <f>'SR BUDACT ER'!AL71</f>
        <v>0</v>
      </c>
      <c r="BD41" s="294">
        <f>SUM(BB41-BC41)</f>
        <v>0</v>
      </c>
      <c r="BE41" s="276"/>
      <c r="BF41" s="294"/>
      <c r="BG41" s="294"/>
      <c r="BH41" s="294"/>
      <c r="BI41" s="276"/>
      <c r="BJ41" s="294">
        <f>'SR BUDACT ER'!AQ71</f>
        <v>0</v>
      </c>
      <c r="BK41" s="294">
        <f>'SR BUDACT ER'!AR71</f>
        <v>0</v>
      </c>
      <c r="BL41" s="294">
        <f>SUM(BJ41-BK41)</f>
        <v>0</v>
      </c>
      <c r="BM41" s="294"/>
      <c r="BN41" s="276" t="s">
        <v>767</v>
      </c>
      <c r="BO41" s="294"/>
      <c r="BP41" s="294">
        <f>'SR BUDACT ER'!AT71</f>
        <v>0</v>
      </c>
      <c r="BQ41" s="294">
        <f>'SR BUDACT ER'!AU71</f>
        <v>0</v>
      </c>
      <c r="BR41" s="294">
        <f>SUM(BP41-BQ41)</f>
        <v>0</v>
      </c>
      <c r="BS41" s="294"/>
      <c r="BT41" s="294">
        <f>'SR BUDACT ER'!AW71</f>
        <v>0</v>
      </c>
      <c r="BU41" s="294">
        <f>'SR BUDACT ER'!AX71</f>
        <v>0</v>
      </c>
      <c r="BV41" s="294">
        <f>SUM(BT41-BU41)</f>
        <v>0</v>
      </c>
      <c r="BW41" s="294"/>
      <c r="BX41" s="276" t="s">
        <v>767</v>
      </c>
      <c r="BY41" s="294"/>
      <c r="BZ41" s="294">
        <f>'SR BUDACT ER'!AZ71</f>
        <v>0</v>
      </c>
      <c r="CA41" s="294">
        <f>'SR BUDACT ER'!BA71</f>
        <v>0</v>
      </c>
      <c r="CB41" s="294">
        <f>SUM(BZ41-CA41)</f>
        <v>0</v>
      </c>
      <c r="CC41" s="294"/>
      <c r="CD41" s="294">
        <f>'SR BUDACT ER'!BC71</f>
        <v>0</v>
      </c>
      <c r="CE41" s="294">
        <f>'SR BUDACT ER'!BD71</f>
        <v>0</v>
      </c>
      <c r="CF41" s="294">
        <f>SUM(CD41-CE41)</f>
        <v>0</v>
      </c>
      <c r="CG41" s="294"/>
      <c r="CH41" s="276" t="s">
        <v>767</v>
      </c>
      <c r="CI41" s="276"/>
      <c r="CJ41" s="294">
        <f>'SR BUDACT ER'!BF71</f>
        <v>0</v>
      </c>
      <c r="CK41" s="294">
        <f>'SR BUDACT ER'!BG71</f>
        <v>0</v>
      </c>
      <c r="CL41" s="294">
        <f>SUM(CJ41-CK41)</f>
        <v>0</v>
      </c>
      <c r="CM41" s="276"/>
      <c r="CN41" s="294">
        <f>'SR BUDACT ER'!BI71</f>
        <v>64258</v>
      </c>
      <c r="CO41" s="294">
        <f>'SR BUDACT ER'!BJ71</f>
        <v>61020</v>
      </c>
      <c r="CP41" s="294">
        <f>SUM(CN41-CO41)</f>
        <v>3238</v>
      </c>
      <c r="CQ41" s="294"/>
      <c r="CR41" s="276" t="s">
        <v>767</v>
      </c>
      <c r="CS41" s="276"/>
      <c r="CT41" s="294">
        <f>'SR BUDACT ER'!BL71</f>
        <v>0</v>
      </c>
      <c r="CU41" s="294">
        <f>'SR BUDACT ER'!BM71</f>
        <v>0</v>
      </c>
      <c r="CV41" s="294">
        <f>SUM(CT41-CU41)</f>
        <v>0</v>
      </c>
      <c r="CW41" s="276"/>
      <c r="CX41" s="294">
        <f>'SR BUDACT ER'!BO71</f>
        <v>0</v>
      </c>
      <c r="CY41" s="294">
        <f>'SR BUDACT ER'!BP71</f>
        <v>0</v>
      </c>
      <c r="CZ41" s="294">
        <f>SUM(CX41-CY41)</f>
        <v>0</v>
      </c>
      <c r="DA41" s="294"/>
      <c r="DB41" s="276" t="s">
        <v>767</v>
      </c>
      <c r="DC41" s="276"/>
      <c r="DD41" s="294">
        <f>'SR BUDACT ER'!BR71</f>
        <v>0</v>
      </c>
      <c r="DE41" s="294">
        <f>'SR BUDACT ER'!BS71</f>
        <v>0</v>
      </c>
      <c r="DF41" s="294">
        <f>SUM(DD41-DE41)</f>
        <v>0</v>
      </c>
      <c r="DG41" s="276"/>
      <c r="DH41" s="294">
        <f>'SR BUDACT ER'!BU71</f>
        <v>0</v>
      </c>
      <c r="DI41" s="294">
        <f>'SR BUDACT ER'!BV71</f>
        <v>0</v>
      </c>
      <c r="DJ41" s="294">
        <f>SUM(DH41-DI41)</f>
        <v>0</v>
      </c>
      <c r="DK41" s="276"/>
      <c r="DL41" s="276" t="s">
        <v>767</v>
      </c>
      <c r="DM41" s="276"/>
      <c r="DN41" s="294">
        <f>'SR BUDACT ER'!BX71</f>
        <v>0</v>
      </c>
      <c r="DO41" s="294">
        <f>'SR BUDACT ER'!BY71</f>
        <v>0</v>
      </c>
      <c r="DP41" s="294">
        <f>SUM(DN41-DO41)</f>
        <v>0</v>
      </c>
      <c r="DQ41" s="276"/>
      <c r="DR41" s="294">
        <f>'SR BUDACT ER'!CA71</f>
        <v>0</v>
      </c>
      <c r="DS41" s="294">
        <f>'SR BUDACT ER'!CB71</f>
        <v>0</v>
      </c>
      <c r="DT41" s="294">
        <f>SUM(DR41-DS41)</f>
        <v>0</v>
      </c>
      <c r="DU41" s="276"/>
      <c r="DV41" s="276" t="s">
        <v>767</v>
      </c>
      <c r="DW41" s="276"/>
      <c r="DX41" s="294">
        <f>'SR BUDACT ER'!CD71</f>
        <v>0</v>
      </c>
      <c r="DY41" s="294">
        <f>'SR BUDACT ER'!CE71</f>
        <v>0</v>
      </c>
      <c r="DZ41" s="294">
        <f>SUM(DX41-DY41)</f>
        <v>0</v>
      </c>
      <c r="EA41" s="276"/>
      <c r="EB41" s="294">
        <f>'SR BUDACT ER'!CG71</f>
        <v>0</v>
      </c>
      <c r="EC41" s="294">
        <f>'SR BUDACT ER'!CH71</f>
        <v>0</v>
      </c>
      <c r="ED41" s="294">
        <f>SUM(EB41-EC41)</f>
        <v>0</v>
      </c>
      <c r="EE41" s="276"/>
      <c r="EF41" s="276" t="s">
        <v>767</v>
      </c>
      <c r="EG41" s="276"/>
      <c r="EH41" s="294">
        <f>'SR BUDACT ER'!CJ71</f>
        <v>0</v>
      </c>
      <c r="EI41" s="294">
        <f>'SR BUDACT ER'!CK71</f>
        <v>0</v>
      </c>
      <c r="EJ41" s="294">
        <f>SUM(EH41-EI41)</f>
        <v>0</v>
      </c>
      <c r="EK41" s="276"/>
      <c r="EL41" s="294">
        <f>'SR BUDACT ER'!CM71</f>
        <v>0</v>
      </c>
      <c r="EM41" s="294">
        <f>'SR BUDACT ER'!CN71</f>
        <v>0</v>
      </c>
      <c r="EN41" s="294">
        <f>SUM(EL41-EM41)</f>
        <v>0</v>
      </c>
      <c r="EO41" s="276"/>
      <c r="EP41" s="276" t="s">
        <v>767</v>
      </c>
      <c r="EQ41" s="276"/>
      <c r="ER41" s="294">
        <f>'SR BUDACT ER'!CP71</f>
        <v>0</v>
      </c>
      <c r="ES41" s="294">
        <f>'SR BUDACT ER'!CQ71</f>
        <v>0</v>
      </c>
      <c r="ET41" s="294">
        <f>SUM(ER41-ES41)</f>
        <v>0</v>
      </c>
      <c r="EU41" s="276"/>
      <c r="EV41" s="294">
        <f>'SR BUDACT ER'!CS71</f>
        <v>0</v>
      </c>
      <c r="EW41" s="294">
        <f>'SR BUDACT ER'!CT71</f>
        <v>0</v>
      </c>
      <c r="EX41" s="294">
        <f>SUM(EV41-EW41)</f>
        <v>0</v>
      </c>
      <c r="EY41" s="276"/>
      <c r="EZ41" s="276" t="s">
        <v>767</v>
      </c>
      <c r="FA41" s="276"/>
      <c r="FB41" s="294">
        <f>'SR BUDACT ER'!CV71</f>
        <v>0</v>
      </c>
      <c r="FC41" s="294">
        <f>'SR BUDACT ER'!CW71</f>
        <v>0</v>
      </c>
      <c r="FD41" s="294">
        <f>SUM(FB41-FC41)</f>
        <v>0</v>
      </c>
      <c r="FE41" s="276"/>
      <c r="FF41" s="294">
        <f>'SR BUDACT ER'!CY71</f>
        <v>0</v>
      </c>
      <c r="FG41" s="294">
        <f>'SR BUDACT ER'!CZ71</f>
        <v>0</v>
      </c>
      <c r="FH41" s="294">
        <f>SUM(FF41-FG41)</f>
        <v>0</v>
      </c>
      <c r="FI41" s="276"/>
      <c r="FJ41" s="276" t="s">
        <v>767</v>
      </c>
      <c r="FK41" s="276"/>
      <c r="FL41" s="294">
        <f>'SR BUDACT ER'!DB71</f>
        <v>0</v>
      </c>
      <c r="FM41" s="294">
        <f>'SR BUDACT ER'!DC71</f>
        <v>0</v>
      </c>
      <c r="FN41" s="294">
        <f>SUM(FL41-FM41)</f>
        <v>0</v>
      </c>
      <c r="FO41" s="276"/>
      <c r="FP41" s="294">
        <f>'SR BUDACT ER'!DE71</f>
        <v>0</v>
      </c>
      <c r="FQ41" s="294">
        <f>'SR BUDACT ER'!DF71</f>
        <v>0</v>
      </c>
      <c r="FR41" s="294">
        <f>SUM(FP41-FQ41)</f>
        <v>0</v>
      </c>
      <c r="FS41" s="276"/>
      <c r="FT41" s="276" t="s">
        <v>767</v>
      </c>
      <c r="FU41" s="276"/>
      <c r="FV41" s="294">
        <f>'SR BUDACT ER'!DH71</f>
        <v>0</v>
      </c>
      <c r="FW41" s="294">
        <f>'SR BUDACT ER'!DI71</f>
        <v>0</v>
      </c>
      <c r="FX41" s="294">
        <f>SUM(FV41-FW41)</f>
        <v>0</v>
      </c>
      <c r="FY41" s="276"/>
      <c r="FZ41" s="294">
        <f>'SR BUDACT ER'!DK71</f>
        <v>0</v>
      </c>
      <c r="GA41" s="294">
        <f>'SR BUDACT ER'!DL71</f>
        <v>0</v>
      </c>
      <c r="GB41" s="294">
        <f>SUM(FZ41-GA41)</f>
        <v>0</v>
      </c>
      <c r="GC41" s="276"/>
      <c r="GD41" s="294">
        <f>'SR BUDACT ER'!DN71</f>
        <v>0</v>
      </c>
      <c r="GE41" s="294">
        <f>'SR BUDACT ER'!DO71</f>
        <v>0</v>
      </c>
      <c r="GF41" s="294">
        <f>SUM(GD41-GE41)</f>
        <v>0</v>
      </c>
      <c r="GG41" s="276"/>
      <c r="GH41" s="276" t="s">
        <v>767</v>
      </c>
      <c r="GI41" s="276"/>
      <c r="GJ41" s="294">
        <f>'SR BUDACT ER'!DQ71</f>
        <v>0</v>
      </c>
      <c r="GK41" s="294">
        <f>'SR BUDACT ER'!DR71</f>
        <v>0</v>
      </c>
      <c r="GL41" s="294">
        <f>SUM(GJ41-GK41)</f>
        <v>0</v>
      </c>
      <c r="GN41" s="276"/>
      <c r="GO41" s="294">
        <f>'SR BUDACT ER'!DT71</f>
        <v>0</v>
      </c>
      <c r="GP41" s="294">
        <f>'SR BUDACT ER'!DU71</f>
        <v>0</v>
      </c>
      <c r="GQ41" s="294">
        <f>SUM(GO41-GP41)</f>
        <v>0</v>
      </c>
      <c r="GR41" s="276"/>
      <c r="GS41" s="276" t="s">
        <v>767</v>
      </c>
      <c r="GT41" s="276"/>
      <c r="GU41" s="294">
        <f>'SR BUDACT ER'!DW71</f>
        <v>0</v>
      </c>
      <c r="GV41" s="294">
        <f>'SR BUDACT ER'!DX71</f>
        <v>0</v>
      </c>
      <c r="GW41" s="294">
        <f>SUM(GU41-GV41)</f>
        <v>0</v>
      </c>
      <c r="GX41" s="294"/>
      <c r="GY41" s="294">
        <f>'SR BUDACT ER'!DZ71</f>
        <v>0</v>
      </c>
      <c r="GZ41" s="294">
        <f>'SR BUDACT ER'!EA71</f>
        <v>0</v>
      </c>
      <c r="HA41" s="294">
        <f>SUM(GY41-GZ41)</f>
        <v>0</v>
      </c>
      <c r="HB41" s="276"/>
      <c r="HC41" s="276" t="s">
        <v>767</v>
      </c>
      <c r="HD41" s="276"/>
      <c r="HE41" s="294">
        <f>'SR BUDACT ER'!EC71</f>
        <v>0</v>
      </c>
      <c r="HF41" s="294">
        <f>'SR BUDACT ER'!ED71</f>
        <v>0</v>
      </c>
      <c r="HG41" s="294">
        <f>SUM(HE41-HF41)</f>
        <v>0</v>
      </c>
      <c r="HH41" s="294"/>
      <c r="HI41" s="294">
        <f>'SR BUDACT ER'!EI71</f>
        <v>0</v>
      </c>
      <c r="HJ41" s="294">
        <f>'SR BUDACT ER'!EJ71</f>
        <v>0</v>
      </c>
      <c r="HK41" s="294">
        <f>SUM(HI41-HJ41)</f>
        <v>0</v>
      </c>
      <c r="HL41" s="276"/>
      <c r="HM41" s="276" t="s">
        <v>767</v>
      </c>
      <c r="HN41" s="276"/>
      <c r="HO41" s="294"/>
      <c r="HP41" s="294"/>
      <c r="HQ41" s="294"/>
      <c r="HR41" s="276"/>
      <c r="HS41" s="294">
        <f>'SR BUDACT ER'!EL71</f>
        <v>0</v>
      </c>
      <c r="HT41" s="294">
        <f>'SR BUDACT ER'!EM71</f>
        <v>0</v>
      </c>
      <c r="HU41" s="294">
        <f>SUM(HS41-HT41)</f>
        <v>0</v>
      </c>
      <c r="HV41" s="294"/>
      <c r="HW41" s="294">
        <f>'SR BUDACT ER'!EO71</f>
        <v>0</v>
      </c>
      <c r="HX41" s="294">
        <f>'SR BUDACT ER'!EP71</f>
        <v>0</v>
      </c>
      <c r="HY41" s="294">
        <f>SUM(HW41-HX41)</f>
        <v>0</v>
      </c>
      <c r="HZ41" s="276"/>
      <c r="IA41" s="276" t="s">
        <v>767</v>
      </c>
      <c r="IB41" s="276"/>
      <c r="IC41" s="294">
        <f>'SR BUDACT ER'!ER71</f>
        <v>0</v>
      </c>
      <c r="ID41" s="294">
        <f>'SR BUDACT ER'!ES71</f>
        <v>0</v>
      </c>
      <c r="IE41" s="294">
        <f>SUM(IC41-ID41)</f>
        <v>0</v>
      </c>
      <c r="IF41" s="294"/>
      <c r="IG41" s="276"/>
      <c r="IH41" s="294">
        <f t="shared" ref="IH41:IH42" si="65">+D41+H41+N41+R41+X41+AB41+AH41+AL41+AR41+AV41+BB41+BJ41+BP41+BT41+BZ41+CD41+CJ41+CN41+CT41+CX41+DD41+DH41+DN41+DR41+DX41+EB41+EH41+EL41+ER41+EV41+FB41+FF41+FL41+FP41+FV41+FZ41+GD41+GJ41+GO41+GU41+GY41+HE41+HI41+HS41+HW41+IC41</f>
        <v>64258</v>
      </c>
      <c r="II41" s="294">
        <f t="shared" ref="II41:II42" si="66">+E41+I41+O41+S41+Y41+AC41+AI41+AM41+AS41+AW41+BC41+BK41+BQ41+BU41+CA41+CE41+CK41+CO41+CU41+CY41+DE41+DI41+DO41+DS41+DY41+EC41+EI41+EM41+ES41+EW41+FC41+FG41+FM41+FQ41+FW41+GA41+GE41+GK41+GP41+GV41+GZ41+HF41+HJ41+HT41+HX41+ID41</f>
        <v>61020</v>
      </c>
      <c r="IJ41" s="294">
        <f>SUM(IH41-II41)</f>
        <v>3238</v>
      </c>
      <c r="IK41" s="276"/>
      <c r="IL41" s="276" t="s">
        <v>767</v>
      </c>
      <c r="IM41" s="276"/>
      <c r="IN41" s="308"/>
      <c r="IO41" s="308"/>
      <c r="IP41" s="308"/>
      <c r="IQ41" s="294"/>
      <c r="IR41" s="294"/>
      <c r="IS41" s="294"/>
      <c r="IW41" s="276"/>
      <c r="IX41" s="294"/>
      <c r="IY41" s="294"/>
      <c r="JA41" s="294"/>
      <c r="JB41" s="294"/>
      <c r="JC41" s="514"/>
      <c r="JE41" s="288">
        <f t="shared" si="54"/>
        <v>128516</v>
      </c>
      <c r="JF41" s="288">
        <f t="shared" si="55"/>
        <v>128516</v>
      </c>
      <c r="JG41" s="288">
        <f t="shared" si="56"/>
        <v>0</v>
      </c>
    </row>
    <row r="42" spans="2:267" ht="15.75">
      <c r="B42" s="276" t="s">
        <v>292</v>
      </c>
      <c r="C42" s="276"/>
      <c r="D42" s="294">
        <f>'SR BUDACT ER'!G72</f>
        <v>0</v>
      </c>
      <c r="E42" s="294">
        <f>'SR BUDACT ER'!H72</f>
        <v>0</v>
      </c>
      <c r="F42" s="294">
        <f>SUM(D42-E42)</f>
        <v>0</v>
      </c>
      <c r="G42" s="276"/>
      <c r="H42" s="294">
        <f>'SR BUDACT ER'!J72</f>
        <v>0</v>
      </c>
      <c r="I42" s="294">
        <f>'SR BUDACT ER'!K72</f>
        <v>0</v>
      </c>
      <c r="J42" s="294">
        <f>SUM(H42-I42)</f>
        <v>0</v>
      </c>
      <c r="K42" s="276"/>
      <c r="L42" s="276" t="s">
        <v>292</v>
      </c>
      <c r="M42" s="276"/>
      <c r="N42" s="294">
        <f>'SR BUDACT ER'!M72</f>
        <v>0</v>
      </c>
      <c r="O42" s="294">
        <f>'SR BUDACT ER'!N72</f>
        <v>0</v>
      </c>
      <c r="P42" s="294">
        <f>SUM(N42-O42)</f>
        <v>0</v>
      </c>
      <c r="Q42" s="276"/>
      <c r="R42" s="294">
        <f>'SR BUDACT ER'!P72</f>
        <v>0</v>
      </c>
      <c r="S42" s="294">
        <f>'SR BUDACT ER'!Q72</f>
        <v>0</v>
      </c>
      <c r="T42" s="294">
        <f>SUM(R42-S42)</f>
        <v>0</v>
      </c>
      <c r="U42" s="276"/>
      <c r="V42" s="276" t="s">
        <v>292</v>
      </c>
      <c r="W42" s="276"/>
      <c r="X42" s="294">
        <f>'SR BUDACT ER'!S72</f>
        <v>0</v>
      </c>
      <c r="Y42" s="294">
        <f>'SR BUDACT ER'!T72</f>
        <v>0</v>
      </c>
      <c r="Z42" s="294">
        <f>SUM(X42-Y42)</f>
        <v>0</v>
      </c>
      <c r="AA42" s="276"/>
      <c r="AB42" s="294">
        <f>'SR BUDACT ER'!V72</f>
        <v>0</v>
      </c>
      <c r="AC42" s="294">
        <f>'SR BUDACT ER'!W72</f>
        <v>0</v>
      </c>
      <c r="AD42" s="294">
        <f>SUM(AB42-AC42)</f>
        <v>0</v>
      </c>
      <c r="AE42" s="294"/>
      <c r="AF42" s="276" t="s">
        <v>292</v>
      </c>
      <c r="AG42" s="276"/>
      <c r="AH42" s="294">
        <f>'SR BUDACT ER'!Y72</f>
        <v>0</v>
      </c>
      <c r="AI42" s="294">
        <f>'SR BUDACT ER'!Z72</f>
        <v>0</v>
      </c>
      <c r="AJ42" s="294">
        <f>SUM(AH42-AI42)</f>
        <v>0</v>
      </c>
      <c r="AK42" s="276"/>
      <c r="AL42" s="294">
        <f>'SR BUDACT ER'!AB72</f>
        <v>0</v>
      </c>
      <c r="AM42" s="294">
        <f>'SR BUDACT ER'!AC72</f>
        <v>0</v>
      </c>
      <c r="AN42" s="294">
        <f>SUM(AL42-AM42)</f>
        <v>0</v>
      </c>
      <c r="AO42" s="294"/>
      <c r="AP42" s="276" t="s">
        <v>292</v>
      </c>
      <c r="AQ42" s="276"/>
      <c r="AR42" s="294">
        <f>'SR BUDACT ER'!AE72</f>
        <v>0</v>
      </c>
      <c r="AS42" s="294">
        <f>'SR BUDACT ER'!AF72</f>
        <v>0</v>
      </c>
      <c r="AT42" s="294">
        <f>SUM(AR42-AS42)</f>
        <v>0</v>
      </c>
      <c r="AU42" s="276"/>
      <c r="AV42" s="294">
        <f>'SR BUDACT ER'!AH72</f>
        <v>0</v>
      </c>
      <c r="AW42" s="294">
        <f>'SR BUDACT ER'!AI72</f>
        <v>0</v>
      </c>
      <c r="AX42" s="294">
        <f>SUM(AV42-AW42)</f>
        <v>0</v>
      </c>
      <c r="AY42" s="294"/>
      <c r="AZ42" s="276" t="s">
        <v>292</v>
      </c>
      <c r="BA42" s="276"/>
      <c r="BB42" s="294">
        <f>'SR BUDACT ER'!AK72</f>
        <v>0</v>
      </c>
      <c r="BC42" s="294">
        <f>'SR BUDACT ER'!AL72</f>
        <v>0</v>
      </c>
      <c r="BD42" s="294">
        <f>SUM(BB42-BC42)</f>
        <v>0</v>
      </c>
      <c r="BE42" s="276"/>
      <c r="BF42" s="294"/>
      <c r="BG42" s="294"/>
      <c r="BH42" s="294"/>
      <c r="BI42" s="276"/>
      <c r="BJ42" s="294">
        <f>'SR BUDACT ER'!AQ72+0</f>
        <v>0</v>
      </c>
      <c r="BK42" s="294">
        <f>'SR BUDACT ER'!AR72+0</f>
        <v>0</v>
      </c>
      <c r="BL42" s="294">
        <f>SUM(BJ42-BK42)</f>
        <v>0</v>
      </c>
      <c r="BM42" s="294"/>
      <c r="BN42" s="276" t="s">
        <v>292</v>
      </c>
      <c r="BO42" s="294"/>
      <c r="BP42" s="294">
        <f>'SR BUDACT ER'!AT72</f>
        <v>0</v>
      </c>
      <c r="BQ42" s="294">
        <f>'SR BUDACT ER'!AU72</f>
        <v>0</v>
      </c>
      <c r="BR42" s="294">
        <f>SUM(BP42-BQ42)</f>
        <v>0</v>
      </c>
      <c r="BS42" s="294"/>
      <c r="BT42" s="294">
        <f>'SR BUDACT ER'!AW72</f>
        <v>0</v>
      </c>
      <c r="BU42" s="294">
        <f>'SR BUDACT ER'!AX72</f>
        <v>0</v>
      </c>
      <c r="BV42" s="294">
        <f>SUM(BT42-BU42)</f>
        <v>0</v>
      </c>
      <c r="BW42" s="294"/>
      <c r="BX42" s="276" t="s">
        <v>292</v>
      </c>
      <c r="BY42" s="294"/>
      <c r="BZ42" s="294">
        <f>'SR BUDACT ER'!AZ72</f>
        <v>0</v>
      </c>
      <c r="CA42" s="294">
        <f>'SR BUDACT ER'!BA72</f>
        <v>0</v>
      </c>
      <c r="CB42" s="294">
        <f>SUM(BZ42-CA42)</f>
        <v>0</v>
      </c>
      <c r="CC42" s="294"/>
      <c r="CD42" s="294">
        <f>'SR BUDACT ER'!BC72</f>
        <v>0</v>
      </c>
      <c r="CE42" s="294">
        <f>'SR BUDACT ER'!BD72</f>
        <v>0</v>
      </c>
      <c r="CF42" s="294">
        <f>SUM(CD42-CE42)</f>
        <v>0</v>
      </c>
      <c r="CG42" s="294"/>
      <c r="CH42" s="276" t="s">
        <v>292</v>
      </c>
      <c r="CI42" s="276"/>
      <c r="CJ42" s="294">
        <f>'SR BUDACT ER'!BF72</f>
        <v>177468</v>
      </c>
      <c r="CK42" s="294">
        <f>'SR BUDACT ER'!BG72</f>
        <v>177468</v>
      </c>
      <c r="CL42" s="294">
        <f>SUM(CJ42-CK42)</f>
        <v>0</v>
      </c>
      <c r="CM42" s="276"/>
      <c r="CN42" s="294">
        <f>'SR BUDACT ER'!BI72</f>
        <v>329595</v>
      </c>
      <c r="CO42" s="294">
        <f>'SR BUDACT ER'!BJ72</f>
        <v>165001</v>
      </c>
      <c r="CP42" s="294">
        <f>SUM(CN42-CO42)</f>
        <v>164594</v>
      </c>
      <c r="CQ42" s="294"/>
      <c r="CR42" s="276" t="s">
        <v>292</v>
      </c>
      <c r="CS42" s="276"/>
      <c r="CT42" s="294">
        <f>'SR BUDACT ER'!BL72</f>
        <v>0</v>
      </c>
      <c r="CU42" s="294">
        <f>'SR BUDACT ER'!BM72</f>
        <v>0</v>
      </c>
      <c r="CV42" s="294">
        <f>SUM(CT42-CU42)</f>
        <v>0</v>
      </c>
      <c r="CW42" s="276"/>
      <c r="CX42" s="294">
        <f>'SR BUDACT ER'!BO72</f>
        <v>0</v>
      </c>
      <c r="CY42" s="294">
        <f>'SR BUDACT ER'!BP72</f>
        <v>0</v>
      </c>
      <c r="CZ42" s="294">
        <f>SUM(CX42-CY42)</f>
        <v>0</v>
      </c>
      <c r="DA42" s="294"/>
      <c r="DB42" s="276" t="s">
        <v>292</v>
      </c>
      <c r="DC42" s="276"/>
      <c r="DD42" s="294">
        <f>'SR BUDACT ER'!BR72</f>
        <v>0</v>
      </c>
      <c r="DE42" s="294">
        <f>'SR BUDACT ER'!BS72</f>
        <v>0</v>
      </c>
      <c r="DF42" s="294">
        <f>SUM(DD42-DE42)</f>
        <v>0</v>
      </c>
      <c r="DG42" s="276"/>
      <c r="DH42" s="294">
        <f>'SR BUDACT ER'!BU72</f>
        <v>0</v>
      </c>
      <c r="DI42" s="294">
        <f>'SR BUDACT ER'!BV72</f>
        <v>0</v>
      </c>
      <c r="DJ42" s="294">
        <f>SUM(DH42-DI42)</f>
        <v>0</v>
      </c>
      <c r="DK42" s="276"/>
      <c r="DL42" s="276" t="s">
        <v>292</v>
      </c>
      <c r="DM42" s="276"/>
      <c r="DN42" s="294">
        <f>'SR BUDACT ER'!BX72</f>
        <v>0</v>
      </c>
      <c r="DO42" s="294">
        <f>'SR BUDACT ER'!BY72</f>
        <v>0</v>
      </c>
      <c r="DP42" s="294">
        <f>SUM(DN42-DO42)</f>
        <v>0</v>
      </c>
      <c r="DQ42" s="276"/>
      <c r="DR42" s="294">
        <f>'SR BUDACT ER'!CA72</f>
        <v>0</v>
      </c>
      <c r="DS42" s="294">
        <f>'SR BUDACT ER'!CB72</f>
        <v>0</v>
      </c>
      <c r="DT42" s="294">
        <f>SUM(DR42-DS42)</f>
        <v>0</v>
      </c>
      <c r="DU42" s="276"/>
      <c r="DV42" s="276" t="s">
        <v>292</v>
      </c>
      <c r="DW42" s="276"/>
      <c r="DX42" s="294">
        <f>'SR BUDACT ER'!CD72</f>
        <v>0</v>
      </c>
      <c r="DY42" s="294">
        <f>'SR BUDACT ER'!CE72</f>
        <v>0</v>
      </c>
      <c r="DZ42" s="294">
        <f>SUM(DX42-DY42)</f>
        <v>0</v>
      </c>
      <c r="EA42" s="276"/>
      <c r="EB42" s="294">
        <f>'SR BUDACT ER'!CG72</f>
        <v>0</v>
      </c>
      <c r="EC42" s="294">
        <f>'SR BUDACT ER'!CH72</f>
        <v>0</v>
      </c>
      <c r="ED42" s="294">
        <f>SUM(EB42-EC42)</f>
        <v>0</v>
      </c>
      <c r="EE42" s="276"/>
      <c r="EF42" s="276" t="s">
        <v>292</v>
      </c>
      <c r="EG42" s="276"/>
      <c r="EH42" s="294">
        <f>'SR BUDACT ER'!CJ72</f>
        <v>0</v>
      </c>
      <c r="EI42" s="294">
        <f>'SR BUDACT ER'!CK72</f>
        <v>0</v>
      </c>
      <c r="EJ42" s="294">
        <f>SUM(EH42-EI42)</f>
        <v>0</v>
      </c>
      <c r="EK42" s="276"/>
      <c r="EL42" s="294">
        <f>'SR BUDACT ER'!CM72</f>
        <v>0</v>
      </c>
      <c r="EM42" s="294">
        <f>'SR BUDACT ER'!CN72</f>
        <v>0</v>
      </c>
      <c r="EN42" s="294">
        <f>SUM(EL42-EM42)</f>
        <v>0</v>
      </c>
      <c r="EO42" s="276"/>
      <c r="EP42" s="276" t="s">
        <v>292</v>
      </c>
      <c r="EQ42" s="276"/>
      <c r="ER42" s="294">
        <f>'SR BUDACT ER'!CP72</f>
        <v>25000</v>
      </c>
      <c r="ES42" s="294">
        <f>'SR BUDACT ER'!CQ72</f>
        <v>25000</v>
      </c>
      <c r="ET42" s="294">
        <f>SUM(ER42-ES42)</f>
        <v>0</v>
      </c>
      <c r="EU42" s="276"/>
      <c r="EV42" s="294">
        <f>'SR BUDACT ER'!CS72</f>
        <v>0</v>
      </c>
      <c r="EW42" s="294">
        <f>'SR BUDACT ER'!CT72</f>
        <v>0</v>
      </c>
      <c r="EX42" s="294">
        <f>SUM(EV42-EW42)</f>
        <v>0</v>
      </c>
      <c r="EY42" s="276"/>
      <c r="EZ42" s="276" t="s">
        <v>292</v>
      </c>
      <c r="FA42" s="276"/>
      <c r="FB42" s="294">
        <f>'SR BUDACT ER'!CV72</f>
        <v>0</v>
      </c>
      <c r="FC42" s="294">
        <f>'SR BUDACT ER'!CW72</f>
        <v>0</v>
      </c>
      <c r="FD42" s="294">
        <f>SUM(FB42-FC42)</f>
        <v>0</v>
      </c>
      <c r="FE42" s="276"/>
      <c r="FF42" s="294">
        <f>'SR BUDACT ER'!CY72</f>
        <v>0</v>
      </c>
      <c r="FG42" s="294">
        <f>'SR BUDACT ER'!CZ72</f>
        <v>0</v>
      </c>
      <c r="FH42" s="294">
        <f>SUM(FF42-FG42)</f>
        <v>0</v>
      </c>
      <c r="FI42" s="276"/>
      <c r="FJ42" s="276" t="s">
        <v>292</v>
      </c>
      <c r="FK42" s="276"/>
      <c r="FL42" s="294">
        <f>'SR BUDACT ER'!DB72</f>
        <v>0</v>
      </c>
      <c r="FM42" s="294">
        <f>'SR BUDACT ER'!DC72</f>
        <v>0</v>
      </c>
      <c r="FN42" s="294">
        <f>SUM(FL42-FM42)</f>
        <v>0</v>
      </c>
      <c r="FO42" s="276"/>
      <c r="FP42" s="294">
        <f>'SR BUDACT ER'!DE72</f>
        <v>0</v>
      </c>
      <c r="FQ42" s="294">
        <f>'SR BUDACT ER'!DF72</f>
        <v>0</v>
      </c>
      <c r="FR42" s="294">
        <f>SUM(FP42-FQ42)</f>
        <v>0</v>
      </c>
      <c r="FS42" s="276"/>
      <c r="FT42" s="276" t="s">
        <v>292</v>
      </c>
      <c r="FU42" s="276"/>
      <c r="FV42" s="294">
        <f>'SR BUDACT ER'!DH72</f>
        <v>0</v>
      </c>
      <c r="FW42" s="294">
        <f>'SR BUDACT ER'!DI72</f>
        <v>0</v>
      </c>
      <c r="FX42" s="294">
        <f>SUM(FV42-FW42)</f>
        <v>0</v>
      </c>
      <c r="FY42" s="276"/>
      <c r="FZ42" s="294">
        <f>'SR BUDACT ER'!DK72</f>
        <v>0</v>
      </c>
      <c r="GA42" s="294">
        <f>'SR BUDACT ER'!DL72</f>
        <v>0</v>
      </c>
      <c r="GB42" s="294">
        <f>SUM(FZ42-GA42)</f>
        <v>0</v>
      </c>
      <c r="GC42" s="276"/>
      <c r="GD42" s="294">
        <f>'SR BUDACT ER'!DN72</f>
        <v>0</v>
      </c>
      <c r="GE42" s="294">
        <f>'SR BUDACT ER'!DO72</f>
        <v>0</v>
      </c>
      <c r="GF42" s="294">
        <f>SUM(GD42-GE42)</f>
        <v>0</v>
      </c>
      <c r="GG42" s="276"/>
      <c r="GH42" s="276" t="s">
        <v>292</v>
      </c>
      <c r="GI42" s="276"/>
      <c r="GJ42" s="294">
        <f>'SR BUDACT ER'!DQ72</f>
        <v>0</v>
      </c>
      <c r="GK42" s="294">
        <f>'SR BUDACT ER'!DR72</f>
        <v>0</v>
      </c>
      <c r="GL42" s="294">
        <f>SUM(GJ42-GK42)</f>
        <v>0</v>
      </c>
      <c r="GN42" s="276"/>
      <c r="GO42" s="294">
        <f>'SR BUDACT ER'!DT72</f>
        <v>0</v>
      </c>
      <c r="GP42" s="294">
        <f>'SR BUDACT ER'!DU72</f>
        <v>0</v>
      </c>
      <c r="GQ42" s="294">
        <f>SUM(GO42-GP42)</f>
        <v>0</v>
      </c>
      <c r="GR42" s="276"/>
      <c r="GS42" s="276" t="s">
        <v>292</v>
      </c>
      <c r="GT42" s="276"/>
      <c r="GU42" s="294">
        <f>'SR BUDACT ER'!DW72</f>
        <v>0</v>
      </c>
      <c r="GV42" s="294">
        <f>'SR BUDACT ER'!DX72</f>
        <v>0</v>
      </c>
      <c r="GW42" s="294">
        <f>SUM(GU42-GV42)</f>
        <v>0</v>
      </c>
      <c r="GX42" s="294"/>
      <c r="GY42" s="294">
        <f>'SR BUDACT ER'!DZ72</f>
        <v>0</v>
      </c>
      <c r="GZ42" s="294">
        <f>'SR BUDACT ER'!EA72</f>
        <v>0</v>
      </c>
      <c r="HA42" s="294">
        <f>SUM(GY42-GZ42)</f>
        <v>0</v>
      </c>
      <c r="HB42" s="276"/>
      <c r="HC42" s="276" t="s">
        <v>292</v>
      </c>
      <c r="HD42" s="276"/>
      <c r="HE42" s="294">
        <f>'SR BUDACT ER'!EC72</f>
        <v>0</v>
      </c>
      <c r="HF42" s="294">
        <f>'SR BUDACT ER'!ED72</f>
        <v>0</v>
      </c>
      <c r="HG42" s="294">
        <f>SUM(HE42-HF42)</f>
        <v>0</v>
      </c>
      <c r="HH42" s="294"/>
      <c r="HI42" s="294">
        <f>'SR BUDACT ER'!EI72</f>
        <v>0</v>
      </c>
      <c r="HJ42" s="294">
        <f>'SR BUDACT ER'!EJ72</f>
        <v>0</v>
      </c>
      <c r="HK42" s="294">
        <f>SUM(HI42-HJ42)</f>
        <v>0</v>
      </c>
      <c r="HL42" s="276"/>
      <c r="HM42" s="276" t="s">
        <v>292</v>
      </c>
      <c r="HN42" s="276"/>
      <c r="HO42" s="294"/>
      <c r="HP42" s="294"/>
      <c r="HQ42" s="294"/>
      <c r="HR42" s="276"/>
      <c r="HS42" s="294">
        <f>'SR BUDACT ER'!EL72</f>
        <v>0</v>
      </c>
      <c r="HT42" s="294">
        <f>'SR BUDACT ER'!EM72</f>
        <v>0</v>
      </c>
      <c r="HU42" s="294">
        <f>SUM(HS42-HT42)</f>
        <v>0</v>
      </c>
      <c r="HV42" s="294"/>
      <c r="HW42" s="294">
        <f>'SR BUDACT ER'!EO72</f>
        <v>0</v>
      </c>
      <c r="HX42" s="294">
        <f>'SR BUDACT ER'!EP72</f>
        <v>0</v>
      </c>
      <c r="HY42" s="294">
        <f>SUM(HW42-HX42)</f>
        <v>0</v>
      </c>
      <c r="HZ42" s="276"/>
      <c r="IA42" s="276" t="s">
        <v>292</v>
      </c>
      <c r="IB42" s="276"/>
      <c r="IC42" s="294">
        <f>'SR BUDACT ER'!ER72</f>
        <v>0</v>
      </c>
      <c r="ID42" s="294">
        <f>'SR BUDACT ER'!ES72</f>
        <v>0</v>
      </c>
      <c r="IE42" s="294">
        <f>SUM(IC42-ID42)</f>
        <v>0</v>
      </c>
      <c r="IF42" s="294"/>
      <c r="IG42" s="276"/>
      <c r="IH42" s="294">
        <f t="shared" si="65"/>
        <v>532063</v>
      </c>
      <c r="II42" s="294">
        <f t="shared" si="66"/>
        <v>367469</v>
      </c>
      <c r="IJ42" s="294">
        <f>SUM(IH42-II42)</f>
        <v>164594</v>
      </c>
      <c r="IK42" s="276"/>
      <c r="IL42" s="276" t="s">
        <v>292</v>
      </c>
      <c r="IM42" s="276"/>
      <c r="IN42" s="308"/>
      <c r="IO42" s="308"/>
      <c r="IP42" s="308"/>
      <c r="IQ42" s="294"/>
      <c r="IR42" s="294"/>
      <c r="IS42" s="294"/>
      <c r="IW42" s="276"/>
      <c r="IX42" s="294"/>
      <c r="IY42" s="294"/>
      <c r="JA42" s="294"/>
      <c r="JB42" s="294"/>
      <c r="JC42" s="514"/>
      <c r="JE42" s="288">
        <f t="shared" si="54"/>
        <v>1064126</v>
      </c>
      <c r="JF42" s="288">
        <f t="shared" si="55"/>
        <v>1064126</v>
      </c>
      <c r="JG42" s="288">
        <f t="shared" si="56"/>
        <v>0</v>
      </c>
    </row>
    <row r="43" spans="2:267" ht="15.75">
      <c r="B43" s="276" t="s">
        <v>351</v>
      </c>
      <c r="C43" s="276"/>
      <c r="D43" s="294"/>
      <c r="E43" s="294"/>
      <c r="F43" s="294"/>
      <c r="G43" s="276"/>
      <c r="H43" s="294"/>
      <c r="I43" s="294"/>
      <c r="J43" s="294"/>
      <c r="K43" s="276"/>
      <c r="L43" s="276" t="s">
        <v>351</v>
      </c>
      <c r="M43" s="276"/>
      <c r="N43" s="294"/>
      <c r="O43" s="294"/>
      <c r="P43" s="294"/>
      <c r="Q43" s="276"/>
      <c r="R43" s="294"/>
      <c r="S43" s="294"/>
      <c r="T43" s="294"/>
      <c r="U43" s="276"/>
      <c r="V43" s="276" t="s">
        <v>351</v>
      </c>
      <c r="W43" s="276"/>
      <c r="X43" s="294"/>
      <c r="Y43" s="294"/>
      <c r="Z43" s="294"/>
      <c r="AA43" s="276"/>
      <c r="AB43" s="294"/>
      <c r="AC43" s="294"/>
      <c r="AD43" s="294"/>
      <c r="AE43" s="294"/>
      <c r="AF43" s="276" t="s">
        <v>351</v>
      </c>
      <c r="AG43" s="276"/>
      <c r="AH43" s="294"/>
      <c r="AI43" s="294"/>
      <c r="AJ43" s="294"/>
      <c r="AK43" s="276"/>
      <c r="AL43" s="294"/>
      <c r="AM43" s="294"/>
      <c r="AN43" s="294"/>
      <c r="AO43" s="294"/>
      <c r="AP43" s="276" t="s">
        <v>351</v>
      </c>
      <c r="AQ43" s="276"/>
      <c r="AR43" s="294"/>
      <c r="AS43" s="294"/>
      <c r="AT43" s="294"/>
      <c r="AU43" s="276"/>
      <c r="AV43" s="294"/>
      <c r="AW43" s="294"/>
      <c r="AX43" s="294"/>
      <c r="AY43" s="294"/>
      <c r="AZ43" s="276" t="s">
        <v>351</v>
      </c>
      <c r="BA43" s="276"/>
      <c r="BB43" s="294"/>
      <c r="BC43" s="294"/>
      <c r="BD43" s="294"/>
      <c r="BE43" s="276"/>
      <c r="BF43" s="294"/>
      <c r="BG43" s="294"/>
      <c r="BH43" s="294"/>
      <c r="BI43" s="276"/>
      <c r="BJ43" s="294"/>
      <c r="BK43" s="294"/>
      <c r="BL43" s="294"/>
      <c r="BM43" s="294"/>
      <c r="BN43" s="276" t="s">
        <v>351</v>
      </c>
      <c r="BO43" s="294"/>
      <c r="BP43" s="294"/>
      <c r="BQ43" s="294"/>
      <c r="BR43" s="294"/>
      <c r="BS43" s="294"/>
      <c r="BT43" s="294"/>
      <c r="BU43" s="294"/>
      <c r="BV43" s="294"/>
      <c r="BW43" s="294"/>
      <c r="BX43" s="276" t="s">
        <v>351</v>
      </c>
      <c r="BY43" s="294"/>
      <c r="BZ43" s="294"/>
      <c r="CA43" s="294"/>
      <c r="CB43" s="294"/>
      <c r="CC43" s="294"/>
      <c r="CD43" s="294"/>
      <c r="CE43" s="294"/>
      <c r="CF43" s="294"/>
      <c r="CG43" s="294"/>
      <c r="CH43" s="276" t="s">
        <v>351</v>
      </c>
      <c r="CI43" s="276"/>
      <c r="CJ43" s="294"/>
      <c r="CK43" s="294"/>
      <c r="CL43" s="294"/>
      <c r="CM43" s="276"/>
      <c r="CN43" s="294"/>
      <c r="CO43" s="294"/>
      <c r="CP43" s="294"/>
      <c r="CQ43" s="294"/>
      <c r="CR43" s="276" t="s">
        <v>351</v>
      </c>
      <c r="CS43" s="276"/>
      <c r="CT43" s="294"/>
      <c r="CU43" s="294"/>
      <c r="CV43" s="294"/>
      <c r="CW43" s="276"/>
      <c r="CX43" s="294"/>
      <c r="CY43" s="294"/>
      <c r="CZ43" s="294"/>
      <c r="DA43" s="294"/>
      <c r="DB43" s="276" t="s">
        <v>351</v>
      </c>
      <c r="DC43" s="276"/>
      <c r="DD43" s="294"/>
      <c r="DE43" s="294"/>
      <c r="DF43" s="294"/>
      <c r="DG43" s="276"/>
      <c r="DH43" s="294"/>
      <c r="DI43" s="294"/>
      <c r="DJ43" s="294"/>
      <c r="DK43" s="276"/>
      <c r="DL43" s="276" t="s">
        <v>351</v>
      </c>
      <c r="DM43" s="276"/>
      <c r="DN43" s="294"/>
      <c r="DO43" s="294"/>
      <c r="DP43" s="294"/>
      <c r="DQ43" s="276"/>
      <c r="DR43" s="294"/>
      <c r="DS43" s="294"/>
      <c r="DT43" s="294"/>
      <c r="DU43" s="276"/>
      <c r="DV43" s="276" t="s">
        <v>351</v>
      </c>
      <c r="DW43" s="276"/>
      <c r="DX43" s="294"/>
      <c r="DY43" s="294"/>
      <c r="DZ43" s="294"/>
      <c r="EA43" s="276"/>
      <c r="EB43" s="294"/>
      <c r="EC43" s="294"/>
      <c r="ED43" s="294"/>
      <c r="EE43" s="276"/>
      <c r="EF43" s="276" t="s">
        <v>351</v>
      </c>
      <c r="EG43" s="276"/>
      <c r="EH43" s="294"/>
      <c r="EI43" s="294"/>
      <c r="EJ43" s="294"/>
      <c r="EK43" s="276"/>
      <c r="EL43" s="294"/>
      <c r="EM43" s="294"/>
      <c r="EN43" s="294"/>
      <c r="EO43" s="276"/>
      <c r="EP43" s="276" t="s">
        <v>351</v>
      </c>
      <c r="EQ43" s="276"/>
      <c r="ER43" s="294"/>
      <c r="ES43" s="294"/>
      <c r="ET43" s="294"/>
      <c r="EU43" s="276"/>
      <c r="EV43" s="294"/>
      <c r="EW43" s="294"/>
      <c r="EX43" s="294"/>
      <c r="EY43" s="276"/>
      <c r="EZ43" s="276" t="s">
        <v>351</v>
      </c>
      <c r="FA43" s="276"/>
      <c r="FB43" s="294"/>
      <c r="FC43" s="294"/>
      <c r="FD43" s="294"/>
      <c r="FE43" s="276"/>
      <c r="FF43" s="294"/>
      <c r="FG43" s="294"/>
      <c r="FH43" s="294"/>
      <c r="FI43" s="276"/>
      <c r="FJ43" s="276" t="s">
        <v>351</v>
      </c>
      <c r="FK43" s="276"/>
      <c r="FL43" s="294"/>
      <c r="FM43" s="294"/>
      <c r="FN43" s="294"/>
      <c r="FO43" s="276"/>
      <c r="FP43" s="294"/>
      <c r="FQ43" s="294"/>
      <c r="FR43" s="294"/>
      <c r="FS43" s="276"/>
      <c r="FT43" s="276" t="s">
        <v>351</v>
      </c>
      <c r="FU43" s="276"/>
      <c r="FV43" s="294"/>
      <c r="FW43" s="294"/>
      <c r="FX43" s="294"/>
      <c r="FY43" s="276"/>
      <c r="FZ43" s="294"/>
      <c r="GA43" s="294"/>
      <c r="GB43" s="294"/>
      <c r="GC43" s="276"/>
      <c r="GD43" s="294"/>
      <c r="GE43" s="294"/>
      <c r="GF43" s="294"/>
      <c r="GG43" s="276"/>
      <c r="GH43" s="276" t="s">
        <v>351</v>
      </c>
      <c r="GI43" s="276"/>
      <c r="GJ43" s="294"/>
      <c r="GK43" s="294"/>
      <c r="GL43" s="294"/>
      <c r="GN43" s="276"/>
      <c r="GO43" s="294"/>
      <c r="GP43" s="294"/>
      <c r="GQ43" s="294"/>
      <c r="GR43" s="276"/>
      <c r="GS43" s="276" t="s">
        <v>351</v>
      </c>
      <c r="GT43" s="276"/>
      <c r="GU43" s="294"/>
      <c r="GV43" s="294"/>
      <c r="GW43" s="294"/>
      <c r="GX43" s="294"/>
      <c r="GY43" s="294"/>
      <c r="GZ43" s="294"/>
      <c r="HA43" s="294"/>
      <c r="HB43" s="276"/>
      <c r="HC43" s="276" t="s">
        <v>351</v>
      </c>
      <c r="HD43" s="276"/>
      <c r="HE43" s="294"/>
      <c r="HF43" s="294"/>
      <c r="HG43" s="294"/>
      <c r="HH43" s="294"/>
      <c r="HI43" s="294"/>
      <c r="HJ43" s="294"/>
      <c r="HK43" s="294"/>
      <c r="HL43" s="276"/>
      <c r="HM43" s="276" t="s">
        <v>351</v>
      </c>
      <c r="HN43" s="276"/>
      <c r="HO43" s="294"/>
      <c r="HP43" s="294"/>
      <c r="HQ43" s="294"/>
      <c r="HR43" s="276"/>
      <c r="HS43" s="294">
        <f>'SR BUDACT ER'!EL73</f>
        <v>0</v>
      </c>
      <c r="HT43" s="294">
        <f>'SR BUDACT ER'!EM73</f>
        <v>0</v>
      </c>
      <c r="HU43" s="294"/>
      <c r="HV43" s="294"/>
      <c r="HW43" s="294"/>
      <c r="HX43" s="294"/>
      <c r="HY43" s="294"/>
      <c r="HZ43" s="276"/>
      <c r="IA43" s="276" t="s">
        <v>351</v>
      </c>
      <c r="IB43" s="276"/>
      <c r="IC43" s="294"/>
      <c r="ID43" s="294"/>
      <c r="IE43" s="294"/>
      <c r="IF43" s="294"/>
      <c r="IG43" s="276"/>
      <c r="IH43" s="294"/>
      <c r="II43" s="294"/>
      <c r="IJ43" s="294"/>
      <c r="IK43" s="276"/>
      <c r="IL43" s="276" t="s">
        <v>351</v>
      </c>
      <c r="IM43" s="276"/>
      <c r="IN43" s="308"/>
      <c r="IO43" s="308"/>
      <c r="IP43" s="308"/>
      <c r="IQ43" s="294"/>
      <c r="IR43" s="294"/>
      <c r="IS43" s="294"/>
      <c r="IW43" s="276"/>
      <c r="IX43" s="294"/>
      <c r="IY43" s="294"/>
      <c r="JA43" s="294">
        <f>SUM('SR BUDACT ER'!AN74:AN75)</f>
        <v>0</v>
      </c>
      <c r="JB43" s="294">
        <f>SUM('SR BUDACT ER'!AO74:AO75)</f>
        <v>0</v>
      </c>
      <c r="JC43" s="514">
        <f>SUM(JA43-JB43)</f>
        <v>0</v>
      </c>
      <c r="JE43" s="288">
        <f t="shared" si="54"/>
        <v>0</v>
      </c>
      <c r="JF43" s="288">
        <f t="shared" si="55"/>
        <v>0</v>
      </c>
      <c r="JG43" s="288">
        <f t="shared" si="56"/>
        <v>0</v>
      </c>
    </row>
    <row r="44" spans="2:267" ht="15.75">
      <c r="B44" s="276" t="s">
        <v>767</v>
      </c>
      <c r="C44" s="276"/>
      <c r="D44" s="294">
        <f>'SR BUDACT ER'!G74</f>
        <v>0</v>
      </c>
      <c r="E44" s="294">
        <f>'SR BUDACT ER'!H74</f>
        <v>0</v>
      </c>
      <c r="F44" s="294">
        <f>SUM(D44-E44)</f>
        <v>0</v>
      </c>
      <c r="G44" s="276"/>
      <c r="H44" s="294">
        <f>'SR BUDACT ER'!J74</f>
        <v>0</v>
      </c>
      <c r="I44" s="294">
        <f>'SR BUDACT ER'!K74</f>
        <v>0</v>
      </c>
      <c r="J44" s="294">
        <f>SUM(H44-I44)</f>
        <v>0</v>
      </c>
      <c r="K44" s="276"/>
      <c r="L44" s="276" t="s">
        <v>767</v>
      </c>
      <c r="M44" s="276"/>
      <c r="N44" s="294">
        <f>'SR BUDACT ER'!M74</f>
        <v>0</v>
      </c>
      <c r="O44" s="294">
        <f>'SR BUDACT ER'!N74</f>
        <v>0</v>
      </c>
      <c r="P44" s="294">
        <f>SUM(N44-O44)</f>
        <v>0</v>
      </c>
      <c r="Q44" s="276"/>
      <c r="R44" s="294">
        <f>'SR BUDACT ER'!P74</f>
        <v>0</v>
      </c>
      <c r="S44" s="294">
        <f>'SR BUDACT ER'!Q74</f>
        <v>0</v>
      </c>
      <c r="T44" s="294">
        <f>SUM(R44-S44)</f>
        <v>0</v>
      </c>
      <c r="U44" s="276"/>
      <c r="V44" s="276" t="s">
        <v>767</v>
      </c>
      <c r="W44" s="276"/>
      <c r="X44" s="294">
        <f>'SR BUDACT ER'!S74</f>
        <v>0</v>
      </c>
      <c r="Y44" s="294">
        <f>'SR BUDACT ER'!T74</f>
        <v>0</v>
      </c>
      <c r="Z44" s="294">
        <f>SUM(X44-Y44)</f>
        <v>0</v>
      </c>
      <c r="AA44" s="276"/>
      <c r="AB44" s="294">
        <f>'SR BUDACT ER'!V74</f>
        <v>0</v>
      </c>
      <c r="AC44" s="294">
        <f>'SR BUDACT ER'!W74</f>
        <v>0</v>
      </c>
      <c r="AD44" s="294">
        <f>SUM(AB44-AC44)</f>
        <v>0</v>
      </c>
      <c r="AE44" s="294"/>
      <c r="AF44" s="276" t="s">
        <v>767</v>
      </c>
      <c r="AG44" s="276"/>
      <c r="AH44" s="294">
        <f>'SR BUDACT ER'!Y74</f>
        <v>0</v>
      </c>
      <c r="AI44" s="294">
        <f>'SR BUDACT ER'!Z74</f>
        <v>0</v>
      </c>
      <c r="AJ44" s="294">
        <f>SUM(AH44-AI44)</f>
        <v>0</v>
      </c>
      <c r="AK44" s="276"/>
      <c r="AL44" s="294">
        <f>'SR BUDACT ER'!AB74</f>
        <v>0</v>
      </c>
      <c r="AM44" s="294">
        <f>'SR BUDACT ER'!AC74</f>
        <v>0</v>
      </c>
      <c r="AN44" s="294">
        <f>SUM(AL44-AM44)</f>
        <v>0</v>
      </c>
      <c r="AO44" s="294"/>
      <c r="AP44" s="276" t="s">
        <v>767</v>
      </c>
      <c r="AQ44" s="276"/>
      <c r="AR44" s="294">
        <f>'SR BUDACT ER'!AE74</f>
        <v>0</v>
      </c>
      <c r="AS44" s="294">
        <f>'SR BUDACT ER'!AF74</f>
        <v>0</v>
      </c>
      <c r="AT44" s="294">
        <f>SUM(AR44-AS44)</f>
        <v>0</v>
      </c>
      <c r="AU44" s="276"/>
      <c r="AV44" s="294">
        <f>'SR BUDACT ER'!AH74</f>
        <v>0</v>
      </c>
      <c r="AW44" s="294">
        <f>'SR BUDACT ER'!AI74</f>
        <v>0</v>
      </c>
      <c r="AX44" s="294">
        <f>SUM(AV44-AW44)</f>
        <v>0</v>
      </c>
      <c r="AY44" s="294"/>
      <c r="AZ44" s="276" t="s">
        <v>767</v>
      </c>
      <c r="BA44" s="276"/>
      <c r="BB44" s="294">
        <f>'SR BUDACT ER'!AK74</f>
        <v>0</v>
      </c>
      <c r="BC44" s="294">
        <f>'SR BUDACT ER'!AL74</f>
        <v>4</v>
      </c>
      <c r="BD44" s="294">
        <f>SUM(BB44-BC44)</f>
        <v>-4</v>
      </c>
      <c r="BE44" s="276"/>
      <c r="BF44" s="294"/>
      <c r="BG44" s="294"/>
      <c r="BH44" s="294"/>
      <c r="BI44" s="276"/>
      <c r="BJ44" s="294">
        <f>'SR BUDACT ER'!AQ74</f>
        <v>0</v>
      </c>
      <c r="BK44" s="294">
        <f>'SR BUDACT ER'!AR74</f>
        <v>0</v>
      </c>
      <c r="BL44" s="294">
        <f>SUM(BJ44-BK44)</f>
        <v>0</v>
      </c>
      <c r="BM44" s="294"/>
      <c r="BN44" s="276" t="s">
        <v>767</v>
      </c>
      <c r="BO44" s="294"/>
      <c r="BP44" s="294">
        <f>'SR BUDACT ER'!AT74</f>
        <v>0</v>
      </c>
      <c r="BQ44" s="294">
        <f>'SR BUDACT ER'!AU74</f>
        <v>0</v>
      </c>
      <c r="BR44" s="294">
        <f>SUM(BP44-BQ44)</f>
        <v>0</v>
      </c>
      <c r="BS44" s="294"/>
      <c r="BT44" s="294">
        <f>'SR BUDACT ER'!AW74</f>
        <v>0</v>
      </c>
      <c r="BU44" s="294">
        <f>'SR BUDACT ER'!AX74</f>
        <v>0</v>
      </c>
      <c r="BV44" s="294">
        <f>SUM(BT44-BU44)</f>
        <v>0</v>
      </c>
      <c r="BW44" s="294"/>
      <c r="BX44" s="276" t="s">
        <v>767</v>
      </c>
      <c r="BY44" s="294"/>
      <c r="BZ44" s="294">
        <f>'SR BUDACT ER'!AZ74</f>
        <v>0</v>
      </c>
      <c r="CA44" s="294">
        <f>'SR BUDACT ER'!BA74</f>
        <v>0</v>
      </c>
      <c r="CB44" s="294">
        <f>SUM(BZ44-CA44)</f>
        <v>0</v>
      </c>
      <c r="CC44" s="294"/>
      <c r="CD44" s="294">
        <f>'SR BUDACT ER'!BC74</f>
        <v>0</v>
      </c>
      <c r="CE44" s="294">
        <f>'SR BUDACT ER'!BD74</f>
        <v>0</v>
      </c>
      <c r="CF44" s="294">
        <f>SUM(CD44-CE44)</f>
        <v>0</v>
      </c>
      <c r="CG44" s="294"/>
      <c r="CH44" s="276" t="s">
        <v>767</v>
      </c>
      <c r="CI44" s="276"/>
      <c r="CJ44" s="294">
        <f>'SR BUDACT ER'!BF74</f>
        <v>0</v>
      </c>
      <c r="CK44" s="294">
        <f>'SR BUDACT ER'!BG74</f>
        <v>0</v>
      </c>
      <c r="CL44" s="294">
        <f>SUM(CJ44-CK44)</f>
        <v>0</v>
      </c>
      <c r="CM44" s="276"/>
      <c r="CN44" s="294">
        <f>'SR BUDACT ER'!BI74</f>
        <v>0</v>
      </c>
      <c r="CO44" s="294">
        <f>'SR BUDACT ER'!BJ74</f>
        <v>0</v>
      </c>
      <c r="CP44" s="294">
        <f>SUM(CN44-CO44)</f>
        <v>0</v>
      </c>
      <c r="CQ44" s="294"/>
      <c r="CR44" s="276" t="s">
        <v>767</v>
      </c>
      <c r="CS44" s="276"/>
      <c r="CT44" s="294">
        <f>'SR BUDACT ER'!BL74</f>
        <v>0</v>
      </c>
      <c r="CU44" s="294">
        <f>'SR BUDACT ER'!BM74</f>
        <v>0</v>
      </c>
      <c r="CV44" s="294">
        <f>SUM(CT44-CU44)</f>
        <v>0</v>
      </c>
      <c r="CW44" s="276"/>
      <c r="CX44" s="294">
        <f>'SR BUDACT ER'!BO74</f>
        <v>0</v>
      </c>
      <c r="CY44" s="294">
        <f>'SR BUDACT ER'!BP74</f>
        <v>0</v>
      </c>
      <c r="CZ44" s="294">
        <f>SUM(CX44-CY44)</f>
        <v>0</v>
      </c>
      <c r="DA44" s="294"/>
      <c r="DB44" s="276" t="s">
        <v>767</v>
      </c>
      <c r="DC44" s="276"/>
      <c r="DD44" s="294">
        <f>'SR BUDACT ER'!BR74</f>
        <v>0</v>
      </c>
      <c r="DE44" s="294">
        <f>'SR BUDACT ER'!BS74</f>
        <v>0</v>
      </c>
      <c r="DF44" s="294">
        <f>SUM(DD44-DE44)</f>
        <v>0</v>
      </c>
      <c r="DG44" s="276"/>
      <c r="DH44" s="294">
        <f>'SR BUDACT ER'!BU74</f>
        <v>0</v>
      </c>
      <c r="DI44" s="294">
        <f>'SR BUDACT ER'!BV74</f>
        <v>0</v>
      </c>
      <c r="DJ44" s="294">
        <f>SUM(DH44-DI44)</f>
        <v>0</v>
      </c>
      <c r="DK44" s="276"/>
      <c r="DL44" s="276" t="s">
        <v>767</v>
      </c>
      <c r="DM44" s="276"/>
      <c r="DN44" s="294">
        <f>'SR BUDACT ER'!BX74</f>
        <v>0</v>
      </c>
      <c r="DO44" s="294">
        <f>'SR BUDACT ER'!BY74</f>
        <v>0</v>
      </c>
      <c r="DP44" s="294">
        <f>SUM(DN44-DO44)</f>
        <v>0</v>
      </c>
      <c r="DQ44" s="276"/>
      <c r="DR44" s="294">
        <f>'SR BUDACT ER'!CA74</f>
        <v>0</v>
      </c>
      <c r="DS44" s="294">
        <f>'SR BUDACT ER'!CB74</f>
        <v>4687</v>
      </c>
      <c r="DT44" s="294">
        <f>SUM(DR44-DS44)</f>
        <v>-4687</v>
      </c>
      <c r="DU44" s="276"/>
      <c r="DV44" s="276" t="s">
        <v>767</v>
      </c>
      <c r="DW44" s="276"/>
      <c r="DX44" s="294">
        <f>'SR BUDACT ER'!CD74</f>
        <v>0</v>
      </c>
      <c r="DY44" s="294">
        <f>'SR BUDACT ER'!CE74</f>
        <v>0</v>
      </c>
      <c r="DZ44" s="294">
        <f>SUM(DX44-DY44)</f>
        <v>0</v>
      </c>
      <c r="EA44" s="276"/>
      <c r="EB44" s="294">
        <f>'SR BUDACT ER'!CG74</f>
        <v>0</v>
      </c>
      <c r="EC44" s="294">
        <f>'SR BUDACT ER'!CH74</f>
        <v>0</v>
      </c>
      <c r="ED44" s="294">
        <f>SUM(EB44-EC44)</f>
        <v>0</v>
      </c>
      <c r="EE44" s="276"/>
      <c r="EF44" s="276" t="s">
        <v>767</v>
      </c>
      <c r="EG44" s="276"/>
      <c r="EH44" s="294">
        <f>'SR BUDACT ER'!CJ74</f>
        <v>0</v>
      </c>
      <c r="EI44" s="294">
        <f>'SR BUDACT ER'!CK74</f>
        <v>0</v>
      </c>
      <c r="EJ44" s="294">
        <f>SUM(EH44-EI44)</f>
        <v>0</v>
      </c>
      <c r="EK44" s="276"/>
      <c r="EL44" s="294">
        <f>'SR BUDACT ER'!CM74</f>
        <v>0</v>
      </c>
      <c r="EM44" s="294">
        <f>'SR BUDACT ER'!CN74</f>
        <v>0</v>
      </c>
      <c r="EN44" s="294">
        <f>SUM(EL44-EM44)</f>
        <v>0</v>
      </c>
      <c r="EO44" s="276"/>
      <c r="EP44" s="276" t="s">
        <v>767</v>
      </c>
      <c r="EQ44" s="276"/>
      <c r="ER44" s="294">
        <f>'SR BUDACT ER'!CP74</f>
        <v>0</v>
      </c>
      <c r="ES44" s="294">
        <f>'SR BUDACT ER'!CQ74</f>
        <v>0</v>
      </c>
      <c r="ET44" s="294">
        <f>SUM(ER44-ES44)</f>
        <v>0</v>
      </c>
      <c r="EU44" s="276"/>
      <c r="EV44" s="294">
        <f>'SR BUDACT ER'!CS74</f>
        <v>0</v>
      </c>
      <c r="EW44" s="294">
        <f>'SR BUDACT ER'!CT74</f>
        <v>0</v>
      </c>
      <c r="EX44" s="294">
        <f>SUM(EV44-EW44)</f>
        <v>0</v>
      </c>
      <c r="EY44" s="276"/>
      <c r="EZ44" s="276" t="s">
        <v>767</v>
      </c>
      <c r="FA44" s="276"/>
      <c r="FB44" s="294">
        <f>'SR BUDACT ER'!CV74</f>
        <v>0</v>
      </c>
      <c r="FC44" s="294">
        <f>'SR BUDACT ER'!CW74</f>
        <v>0</v>
      </c>
      <c r="FD44" s="294">
        <f>SUM(FB44-FC44)</f>
        <v>0</v>
      </c>
      <c r="FE44" s="276"/>
      <c r="FF44" s="294">
        <f>'SR BUDACT ER'!CY74</f>
        <v>0</v>
      </c>
      <c r="FG44" s="294">
        <f>'SR BUDACT ER'!CZ74</f>
        <v>0</v>
      </c>
      <c r="FH44" s="294">
        <f>SUM(FF44-FG44)</f>
        <v>0</v>
      </c>
      <c r="FI44" s="276"/>
      <c r="FJ44" s="276" t="s">
        <v>767</v>
      </c>
      <c r="FK44" s="276"/>
      <c r="FL44" s="294">
        <f>'SR BUDACT ER'!DB74</f>
        <v>0</v>
      </c>
      <c r="FM44" s="294">
        <f>'SR BUDACT ER'!DC74</f>
        <v>0</v>
      </c>
      <c r="FN44" s="294">
        <f>SUM(FL44-FM44)</f>
        <v>0</v>
      </c>
      <c r="FO44" s="276"/>
      <c r="FP44" s="294">
        <f>'SR BUDACT ER'!DE74</f>
        <v>0</v>
      </c>
      <c r="FQ44" s="294">
        <f>'SR BUDACT ER'!DF74</f>
        <v>0</v>
      </c>
      <c r="FR44" s="294">
        <f>SUM(FP44-FQ44)</f>
        <v>0</v>
      </c>
      <c r="FS44" s="276"/>
      <c r="FT44" s="276" t="s">
        <v>767</v>
      </c>
      <c r="FU44" s="276"/>
      <c r="FV44" s="294">
        <f>'SR BUDACT ER'!DH74</f>
        <v>0</v>
      </c>
      <c r="FW44" s="294">
        <f>'SR BUDACT ER'!DI74</f>
        <v>0</v>
      </c>
      <c r="FX44" s="294">
        <f>SUM(FV44-FW44)</f>
        <v>0</v>
      </c>
      <c r="FY44" s="276"/>
      <c r="FZ44" s="294">
        <f>'SR BUDACT ER'!DK74</f>
        <v>0</v>
      </c>
      <c r="GA44" s="294">
        <f>'SR BUDACT ER'!DL74</f>
        <v>0</v>
      </c>
      <c r="GB44" s="294">
        <f>SUM(FZ44-GA44)</f>
        <v>0</v>
      </c>
      <c r="GC44" s="276"/>
      <c r="GD44" s="294">
        <f>'SR BUDACT ER'!DN74</f>
        <v>0</v>
      </c>
      <c r="GE44" s="294">
        <f>'SR BUDACT ER'!DO74</f>
        <v>0</v>
      </c>
      <c r="GF44" s="294">
        <f>SUM(GD44-GE44)</f>
        <v>0</v>
      </c>
      <c r="GG44" s="276"/>
      <c r="GH44" s="276" t="s">
        <v>767</v>
      </c>
      <c r="GI44" s="276"/>
      <c r="GJ44" s="294">
        <f>'SR BUDACT ER'!DQ74</f>
        <v>0</v>
      </c>
      <c r="GK44" s="294">
        <f>'SR BUDACT ER'!DR74</f>
        <v>0</v>
      </c>
      <c r="GL44" s="294">
        <f>SUM(GJ44-GK44)</f>
        <v>0</v>
      </c>
      <c r="GN44" s="276"/>
      <c r="GO44" s="294">
        <f>'SR BUDACT ER'!DT74</f>
        <v>0</v>
      </c>
      <c r="GP44" s="294">
        <f>'SR BUDACT ER'!DU74</f>
        <v>0</v>
      </c>
      <c r="GQ44" s="294">
        <f>SUM(GO44-GP44)</f>
        <v>0</v>
      </c>
      <c r="GR44" s="276"/>
      <c r="GS44" s="276" t="s">
        <v>767</v>
      </c>
      <c r="GT44" s="276"/>
      <c r="GU44" s="294">
        <f>'SR BUDACT ER'!DW74</f>
        <v>0</v>
      </c>
      <c r="GV44" s="294">
        <f>'SR BUDACT ER'!DX74</f>
        <v>0</v>
      </c>
      <c r="GW44" s="294">
        <f>SUM(GU44-GV44)</f>
        <v>0</v>
      </c>
      <c r="GX44" s="294"/>
      <c r="GY44" s="294">
        <f>'SR BUDACT ER'!DZ74</f>
        <v>0</v>
      </c>
      <c r="GZ44" s="294">
        <f>'SR BUDACT ER'!EA74</f>
        <v>0</v>
      </c>
      <c r="HA44" s="294">
        <f>SUM(GY44-GZ44)</f>
        <v>0</v>
      </c>
      <c r="HB44" s="276"/>
      <c r="HC44" s="276" t="s">
        <v>767</v>
      </c>
      <c r="HD44" s="276"/>
      <c r="HE44" s="294">
        <f>'SR BUDACT ER'!EC74</f>
        <v>0</v>
      </c>
      <c r="HF44" s="294">
        <f>'SR BUDACT ER'!ED74</f>
        <v>0</v>
      </c>
      <c r="HG44" s="294">
        <f>SUM(HE44-HF44)</f>
        <v>0</v>
      </c>
      <c r="HH44" s="294"/>
      <c r="HI44" s="294">
        <f>'SR BUDACT ER'!EI74</f>
        <v>0</v>
      </c>
      <c r="HJ44" s="294">
        <f>'SR BUDACT ER'!EJ74</f>
        <v>0</v>
      </c>
      <c r="HK44" s="294">
        <f>SUM(HI44-HJ44)</f>
        <v>0</v>
      </c>
      <c r="HL44" s="276"/>
      <c r="HM44" s="276" t="s">
        <v>767</v>
      </c>
      <c r="HN44" s="276"/>
      <c r="HO44" s="294"/>
      <c r="HP44" s="294"/>
      <c r="HQ44" s="294"/>
      <c r="HR44" s="276"/>
      <c r="HS44" s="294">
        <f>'SR BUDACT ER'!EL74</f>
        <v>0</v>
      </c>
      <c r="HT44" s="294">
        <f>'SR BUDACT ER'!EM74</f>
        <v>0</v>
      </c>
      <c r="HU44" s="294">
        <f>SUM(HS44-HT44)</f>
        <v>0</v>
      </c>
      <c r="HV44" s="294"/>
      <c r="HW44" s="294">
        <f>'SR BUDACT ER'!EO74</f>
        <v>0</v>
      </c>
      <c r="HX44" s="294">
        <f>'SR BUDACT ER'!EP74</f>
        <v>0</v>
      </c>
      <c r="HY44" s="294">
        <f>SUM(HW44-HX44)</f>
        <v>0</v>
      </c>
      <c r="HZ44" s="276"/>
      <c r="IA44" s="276" t="s">
        <v>767</v>
      </c>
      <c r="IB44" s="276"/>
      <c r="IC44" s="294">
        <f>'SR BUDACT ER'!ER74</f>
        <v>0</v>
      </c>
      <c r="ID44" s="294">
        <f>'SR BUDACT ER'!ES74</f>
        <v>0</v>
      </c>
      <c r="IE44" s="294">
        <f>SUM(IC44-ID44)</f>
        <v>0</v>
      </c>
      <c r="IF44" s="294"/>
      <c r="IG44" s="276"/>
      <c r="IH44" s="294">
        <f t="shared" ref="IH44:IH47" si="67">+D44+H44+N44+R44+X44+AB44+AH44+AL44+AR44+AV44+BB44+BJ44+BP44+BT44+BZ44+CD44+CJ44+CN44+CT44+CX44+DD44+DH44+DN44+DR44+DX44+EB44+EH44+EL44+ER44+EV44+FB44+FF44+FL44+FP44+FV44+FZ44+GD44+GJ44+GO44+GU44+GY44+HE44+HI44+HS44+HW44+IC44</f>
        <v>0</v>
      </c>
      <c r="II44" s="294">
        <f t="shared" ref="II44:II47" si="68">+E44+I44+O44+S44+Y44+AC44+AI44+AM44+AS44+AW44+BC44+BK44+BQ44+BU44+CA44+CE44+CK44+CO44+CU44+CY44+DE44+DI44+DO44+DS44+DY44+EC44+EI44+EM44+ES44+EW44+FC44+FG44+FM44+FQ44+FW44+GA44+GE44+GK44+GP44+GV44+GZ44+HF44+HJ44+HT44+HX44+ID44</f>
        <v>4691</v>
      </c>
      <c r="IJ44" s="294">
        <f>SUM(IH44-II44)</f>
        <v>-4691</v>
      </c>
      <c r="IK44" s="276"/>
      <c r="IL44" s="276" t="s">
        <v>767</v>
      </c>
      <c r="IM44" s="276"/>
      <c r="IN44" s="308"/>
      <c r="IO44" s="308"/>
      <c r="IP44" s="308"/>
      <c r="IQ44" s="294"/>
      <c r="IR44" s="294"/>
      <c r="IS44" s="294"/>
      <c r="IW44" s="276"/>
      <c r="IX44" s="294"/>
      <c r="IY44" s="294"/>
      <c r="JA44" s="294"/>
      <c r="JB44" s="294"/>
      <c r="JC44" s="514"/>
      <c r="JE44" s="288">
        <f t="shared" si="54"/>
        <v>0</v>
      </c>
      <c r="JF44" s="288">
        <f t="shared" si="55"/>
        <v>0</v>
      </c>
      <c r="JG44" s="288">
        <f t="shared" si="56"/>
        <v>0</v>
      </c>
    </row>
    <row r="45" spans="2:267" ht="15.75">
      <c r="B45" s="276" t="s">
        <v>292</v>
      </c>
      <c r="C45" s="276"/>
      <c r="D45" s="294">
        <f>'SR BUDACT ER'!G75</f>
        <v>0</v>
      </c>
      <c r="E45" s="294">
        <f>'SR BUDACT ER'!H75</f>
        <v>0</v>
      </c>
      <c r="F45" s="294">
        <f>SUM(D45-E45)</f>
        <v>0</v>
      </c>
      <c r="G45" s="276"/>
      <c r="H45" s="294">
        <f>'SR BUDACT ER'!J75</f>
        <v>0</v>
      </c>
      <c r="I45" s="294">
        <f>'SR BUDACT ER'!K75</f>
        <v>0</v>
      </c>
      <c r="J45" s="294">
        <f>SUM(H45-I45)</f>
        <v>0</v>
      </c>
      <c r="K45" s="276"/>
      <c r="L45" s="276" t="s">
        <v>292</v>
      </c>
      <c r="M45" s="276"/>
      <c r="N45" s="294">
        <f>'SR BUDACT ER'!M75</f>
        <v>0</v>
      </c>
      <c r="O45" s="294">
        <f>'SR BUDACT ER'!N75</f>
        <v>0</v>
      </c>
      <c r="P45" s="294">
        <f>SUM(N45-O45)</f>
        <v>0</v>
      </c>
      <c r="Q45" s="276"/>
      <c r="R45" s="294">
        <f>'SR BUDACT ER'!P75</f>
        <v>0</v>
      </c>
      <c r="S45" s="294">
        <f>'SR BUDACT ER'!Q75</f>
        <v>0</v>
      </c>
      <c r="T45" s="294">
        <f>SUM(R45-S45)</f>
        <v>0</v>
      </c>
      <c r="U45" s="276"/>
      <c r="V45" s="276" t="s">
        <v>292</v>
      </c>
      <c r="W45" s="276"/>
      <c r="X45" s="294">
        <f>'SR BUDACT ER'!S75</f>
        <v>0</v>
      </c>
      <c r="Y45" s="294">
        <f>'SR BUDACT ER'!T75</f>
        <v>0</v>
      </c>
      <c r="Z45" s="294">
        <f>SUM(X45-Y45)</f>
        <v>0</v>
      </c>
      <c r="AA45" s="276"/>
      <c r="AB45" s="294">
        <f>'SR BUDACT ER'!V75</f>
        <v>0</v>
      </c>
      <c r="AC45" s="294">
        <f>'SR BUDACT ER'!W75</f>
        <v>0</v>
      </c>
      <c r="AD45" s="294">
        <f>SUM(AB45-AC45)</f>
        <v>0</v>
      </c>
      <c r="AE45" s="294"/>
      <c r="AF45" s="276" t="s">
        <v>292</v>
      </c>
      <c r="AG45" s="276"/>
      <c r="AH45" s="294">
        <f>'SR BUDACT ER'!Y75</f>
        <v>0</v>
      </c>
      <c r="AI45" s="294">
        <f>'SR BUDACT ER'!Z75</f>
        <v>0</v>
      </c>
      <c r="AJ45" s="294">
        <f>SUM(AH45-AI45)</f>
        <v>0</v>
      </c>
      <c r="AK45" s="276"/>
      <c r="AL45" s="294">
        <f>'SR BUDACT ER'!AB75</f>
        <v>0</v>
      </c>
      <c r="AM45" s="294">
        <f>'SR BUDACT ER'!AC75</f>
        <v>0</v>
      </c>
      <c r="AN45" s="294">
        <f>SUM(AL45-AM45)</f>
        <v>0</v>
      </c>
      <c r="AO45" s="294"/>
      <c r="AP45" s="276" t="s">
        <v>292</v>
      </c>
      <c r="AQ45" s="276"/>
      <c r="AR45" s="294">
        <f>'SR BUDACT ER'!AE75</f>
        <v>0</v>
      </c>
      <c r="AS45" s="294">
        <f>'SR BUDACT ER'!AF75</f>
        <v>0</v>
      </c>
      <c r="AT45" s="294">
        <f>SUM(AR45-AS45)</f>
        <v>0</v>
      </c>
      <c r="AU45" s="276"/>
      <c r="AV45" s="294">
        <f>'SR BUDACT ER'!AH75</f>
        <v>0</v>
      </c>
      <c r="AW45" s="294">
        <f>'SR BUDACT ER'!AI75</f>
        <v>0</v>
      </c>
      <c r="AX45" s="294">
        <f>SUM(AV45-AW45)</f>
        <v>0</v>
      </c>
      <c r="AY45" s="294"/>
      <c r="AZ45" s="276" t="s">
        <v>292</v>
      </c>
      <c r="BA45" s="276"/>
      <c r="BB45" s="294">
        <f>'SR BUDACT ER'!AK75</f>
        <v>67792</v>
      </c>
      <c r="BC45" s="294">
        <f>'SR BUDACT ER'!AL75</f>
        <v>44398</v>
      </c>
      <c r="BD45" s="294">
        <f>SUM(BB45-BC45)</f>
        <v>23394</v>
      </c>
      <c r="BE45" s="276"/>
      <c r="BF45" s="294"/>
      <c r="BG45" s="294"/>
      <c r="BH45" s="294"/>
      <c r="BI45" s="276"/>
      <c r="BJ45" s="294">
        <f>'SR BUDACT ER'!AQ75</f>
        <v>0</v>
      </c>
      <c r="BK45" s="294">
        <f>'SR BUDACT ER'!AR75</f>
        <v>0</v>
      </c>
      <c r="BL45" s="294">
        <f>SUM(BJ45-BK45)</f>
        <v>0</v>
      </c>
      <c r="BM45" s="294"/>
      <c r="BN45" s="276" t="s">
        <v>292</v>
      </c>
      <c r="BO45" s="294"/>
      <c r="BP45" s="294">
        <f>'SR BUDACT ER'!AT75</f>
        <v>0</v>
      </c>
      <c r="BQ45" s="294">
        <f>'SR BUDACT ER'!AU75</f>
        <v>0</v>
      </c>
      <c r="BR45" s="294">
        <f>SUM(BP45-BQ45)</f>
        <v>0</v>
      </c>
      <c r="BS45" s="294"/>
      <c r="BT45" s="294">
        <f>'SR BUDACT ER'!AW75</f>
        <v>0</v>
      </c>
      <c r="BU45" s="294">
        <f>'SR BUDACT ER'!AX75</f>
        <v>0</v>
      </c>
      <c r="BV45" s="294">
        <f>SUM(BT45-BU45)</f>
        <v>0</v>
      </c>
      <c r="BW45" s="294"/>
      <c r="BX45" s="276" t="s">
        <v>292</v>
      </c>
      <c r="BY45" s="294"/>
      <c r="BZ45" s="294">
        <f>'SR BUDACT ER'!AZ75</f>
        <v>0</v>
      </c>
      <c r="CA45" s="294">
        <f>'SR BUDACT ER'!BA75</f>
        <v>0</v>
      </c>
      <c r="CB45" s="294">
        <f>SUM(BZ45-CA45)</f>
        <v>0</v>
      </c>
      <c r="CC45" s="294"/>
      <c r="CD45" s="294">
        <f>'SR BUDACT ER'!BC75</f>
        <v>0</v>
      </c>
      <c r="CE45" s="294">
        <f>'SR BUDACT ER'!BD75</f>
        <v>0</v>
      </c>
      <c r="CF45" s="294">
        <f>SUM(CD45-CE45)</f>
        <v>0</v>
      </c>
      <c r="CG45" s="294"/>
      <c r="CH45" s="276" t="s">
        <v>292</v>
      </c>
      <c r="CI45" s="276"/>
      <c r="CJ45" s="294">
        <f>'SR BUDACT ER'!BF75</f>
        <v>0</v>
      </c>
      <c r="CK45" s="294">
        <f>'SR BUDACT ER'!BG75</f>
        <v>0</v>
      </c>
      <c r="CL45" s="294">
        <f>SUM(CJ45-CK45)</f>
        <v>0</v>
      </c>
      <c r="CM45" s="276"/>
      <c r="CN45" s="294">
        <f>'SR BUDACT ER'!BI75</f>
        <v>0</v>
      </c>
      <c r="CO45" s="294">
        <f>'SR BUDACT ER'!BJ75</f>
        <v>0</v>
      </c>
      <c r="CP45" s="294">
        <f>SUM(CN45-CO45)</f>
        <v>0</v>
      </c>
      <c r="CQ45" s="294"/>
      <c r="CR45" s="276" t="s">
        <v>292</v>
      </c>
      <c r="CS45" s="276"/>
      <c r="CT45" s="294">
        <f>'SR BUDACT ER'!BL75</f>
        <v>0</v>
      </c>
      <c r="CU45" s="294">
        <f>'SR BUDACT ER'!BM75</f>
        <v>0</v>
      </c>
      <c r="CV45" s="294">
        <f>SUM(CT45-CU45)</f>
        <v>0</v>
      </c>
      <c r="CW45" s="276"/>
      <c r="CX45" s="294">
        <f>'SR BUDACT ER'!BO75</f>
        <v>0</v>
      </c>
      <c r="CY45" s="294">
        <f>'SR BUDACT ER'!BP75</f>
        <v>0</v>
      </c>
      <c r="CZ45" s="294">
        <f>SUM(CX45-CY45)</f>
        <v>0</v>
      </c>
      <c r="DA45" s="294"/>
      <c r="DB45" s="276" t="s">
        <v>292</v>
      </c>
      <c r="DC45" s="276"/>
      <c r="DD45" s="294">
        <f>'SR BUDACT ER'!BR75</f>
        <v>0</v>
      </c>
      <c r="DE45" s="294">
        <f>'SR BUDACT ER'!BS75</f>
        <v>0</v>
      </c>
      <c r="DF45" s="294">
        <f>SUM(DD45-DE45)</f>
        <v>0</v>
      </c>
      <c r="DG45" s="276"/>
      <c r="DH45" s="294">
        <f>'SR BUDACT ER'!BU75</f>
        <v>0</v>
      </c>
      <c r="DI45" s="294">
        <f>'SR BUDACT ER'!BV75</f>
        <v>0</v>
      </c>
      <c r="DJ45" s="294">
        <f>SUM(DH45-DI45)</f>
        <v>0</v>
      </c>
      <c r="DK45" s="276"/>
      <c r="DL45" s="276" t="s">
        <v>292</v>
      </c>
      <c r="DM45" s="276"/>
      <c r="DN45" s="294">
        <f>'SR BUDACT ER'!BX75</f>
        <v>100000</v>
      </c>
      <c r="DO45" s="294">
        <f>'SR BUDACT ER'!BY75</f>
        <v>0</v>
      </c>
      <c r="DP45" s="294">
        <f>SUM(DN45-DO45)</f>
        <v>100000</v>
      </c>
      <c r="DQ45" s="276"/>
      <c r="DR45" s="294">
        <f>'SR BUDACT ER'!CA75</f>
        <v>25100</v>
      </c>
      <c r="DS45" s="294">
        <f>'SR BUDACT ER'!CB75</f>
        <v>20413</v>
      </c>
      <c r="DT45" s="294">
        <f>SUM(DR45-DS45)</f>
        <v>4687</v>
      </c>
      <c r="DU45" s="276"/>
      <c r="DV45" s="276" t="s">
        <v>292</v>
      </c>
      <c r="DW45" s="276"/>
      <c r="DX45" s="294">
        <f>'SR BUDACT ER'!CD75</f>
        <v>0</v>
      </c>
      <c r="DY45" s="294">
        <f>'SR BUDACT ER'!CE75</f>
        <v>0</v>
      </c>
      <c r="DZ45" s="294">
        <f>SUM(DX45-DY45)</f>
        <v>0</v>
      </c>
      <c r="EA45" s="276"/>
      <c r="EB45" s="294">
        <f>'SR BUDACT ER'!CG75</f>
        <v>0</v>
      </c>
      <c r="EC45" s="294">
        <f>'SR BUDACT ER'!CH75</f>
        <v>0</v>
      </c>
      <c r="ED45" s="294">
        <f>SUM(EB45-EC45)</f>
        <v>0</v>
      </c>
      <c r="EE45" s="276"/>
      <c r="EF45" s="276" t="s">
        <v>292</v>
      </c>
      <c r="EG45" s="276"/>
      <c r="EH45" s="294">
        <f>'SR BUDACT ER'!CJ75</f>
        <v>0</v>
      </c>
      <c r="EI45" s="294">
        <f>'SR BUDACT ER'!CK75</f>
        <v>0</v>
      </c>
      <c r="EJ45" s="294">
        <f>SUM(EH45-EI45)</f>
        <v>0</v>
      </c>
      <c r="EK45" s="276"/>
      <c r="EL45" s="294">
        <f>'SR BUDACT ER'!CM75</f>
        <v>0</v>
      </c>
      <c r="EM45" s="294">
        <f>'SR BUDACT ER'!CN75</f>
        <v>0</v>
      </c>
      <c r="EN45" s="294">
        <f>SUM(EL45-EM45)</f>
        <v>0</v>
      </c>
      <c r="EO45" s="276"/>
      <c r="EP45" s="276" t="s">
        <v>292</v>
      </c>
      <c r="EQ45" s="276"/>
      <c r="ER45" s="294">
        <f>'SR BUDACT ER'!CP75</f>
        <v>0</v>
      </c>
      <c r="ES45" s="294">
        <f>'SR BUDACT ER'!CQ75</f>
        <v>0</v>
      </c>
      <c r="ET45" s="294">
        <f>SUM(ER45-ES45)</f>
        <v>0</v>
      </c>
      <c r="EU45" s="276"/>
      <c r="EV45" s="294">
        <f>'SR BUDACT ER'!CS75</f>
        <v>0</v>
      </c>
      <c r="EW45" s="294">
        <f>'SR BUDACT ER'!CT75</f>
        <v>0</v>
      </c>
      <c r="EX45" s="294">
        <f>SUM(EV45-EW45)</f>
        <v>0</v>
      </c>
      <c r="EY45" s="276"/>
      <c r="EZ45" s="276" t="s">
        <v>292</v>
      </c>
      <c r="FA45" s="276"/>
      <c r="FB45" s="294">
        <f>'SR BUDACT ER'!CV75</f>
        <v>0</v>
      </c>
      <c r="FC45" s="294">
        <f>'SR BUDACT ER'!CW75</f>
        <v>0</v>
      </c>
      <c r="FD45" s="294">
        <f>SUM(FB45-FC45)</f>
        <v>0</v>
      </c>
      <c r="FE45" s="276"/>
      <c r="FF45" s="294">
        <f>'SR BUDACT ER'!CY75</f>
        <v>0</v>
      </c>
      <c r="FG45" s="294">
        <f>'SR BUDACT ER'!CZ75</f>
        <v>0</v>
      </c>
      <c r="FH45" s="294">
        <f>SUM(FF45-FG45)</f>
        <v>0</v>
      </c>
      <c r="FI45" s="276"/>
      <c r="FJ45" s="276" t="s">
        <v>292</v>
      </c>
      <c r="FK45" s="276"/>
      <c r="FL45" s="294">
        <f>'SR BUDACT ER'!DB75</f>
        <v>0</v>
      </c>
      <c r="FM45" s="294">
        <f>'SR BUDACT ER'!DC75</f>
        <v>0</v>
      </c>
      <c r="FN45" s="294">
        <f>SUM(FL45-FM45)</f>
        <v>0</v>
      </c>
      <c r="FO45" s="276"/>
      <c r="FP45" s="294">
        <f>'SR BUDACT ER'!DE75</f>
        <v>0</v>
      </c>
      <c r="FQ45" s="294">
        <f>'SR BUDACT ER'!DF75</f>
        <v>0</v>
      </c>
      <c r="FR45" s="294">
        <f>SUM(FP45-FQ45)</f>
        <v>0</v>
      </c>
      <c r="FS45" s="276"/>
      <c r="FT45" s="276" t="s">
        <v>292</v>
      </c>
      <c r="FU45" s="276"/>
      <c r="FV45" s="294">
        <f>'SR BUDACT ER'!DH75</f>
        <v>0</v>
      </c>
      <c r="FW45" s="294">
        <f>'SR BUDACT ER'!DI75</f>
        <v>0</v>
      </c>
      <c r="FX45" s="294">
        <f>SUM(FV45-FW45)</f>
        <v>0</v>
      </c>
      <c r="FY45" s="276"/>
      <c r="FZ45" s="294">
        <f>'SR BUDACT ER'!DK75</f>
        <v>0</v>
      </c>
      <c r="GA45" s="294">
        <f>'SR BUDACT ER'!DL75</f>
        <v>0</v>
      </c>
      <c r="GB45" s="294">
        <f>SUM(FZ45-GA45)</f>
        <v>0</v>
      </c>
      <c r="GC45" s="276"/>
      <c r="GD45" s="294">
        <f>'SR BUDACT ER'!DN75</f>
        <v>0</v>
      </c>
      <c r="GE45" s="294">
        <f>'SR BUDACT ER'!DO75</f>
        <v>0</v>
      </c>
      <c r="GF45" s="294">
        <f>SUM(GD45-GE45)</f>
        <v>0</v>
      </c>
      <c r="GG45" s="276"/>
      <c r="GH45" s="276" t="s">
        <v>292</v>
      </c>
      <c r="GI45" s="276"/>
      <c r="GJ45" s="294">
        <f>'SR BUDACT ER'!DQ75</f>
        <v>0</v>
      </c>
      <c r="GK45" s="294">
        <f>'SR BUDACT ER'!DR75</f>
        <v>0</v>
      </c>
      <c r="GL45" s="294">
        <f>SUM(GJ45-GK45)</f>
        <v>0</v>
      </c>
      <c r="GN45" s="276"/>
      <c r="GO45" s="294">
        <f>'SR BUDACT ER'!DT75</f>
        <v>0</v>
      </c>
      <c r="GP45" s="294">
        <f>'SR BUDACT ER'!DU75</f>
        <v>0</v>
      </c>
      <c r="GQ45" s="294">
        <f>SUM(GO45-GP45)</f>
        <v>0</v>
      </c>
      <c r="GR45" s="276"/>
      <c r="GS45" s="276" t="s">
        <v>292</v>
      </c>
      <c r="GT45" s="276"/>
      <c r="GU45" s="294">
        <f>'SR BUDACT ER'!DW75</f>
        <v>0</v>
      </c>
      <c r="GV45" s="294">
        <f>'SR BUDACT ER'!DX75</f>
        <v>0</v>
      </c>
      <c r="GW45" s="294">
        <f>SUM(GU45-GV45)</f>
        <v>0</v>
      </c>
      <c r="GX45" s="294"/>
      <c r="GY45" s="294">
        <f>'SR BUDACT ER'!DZ75</f>
        <v>0</v>
      </c>
      <c r="GZ45" s="294">
        <f>'SR BUDACT ER'!EA75</f>
        <v>0</v>
      </c>
      <c r="HA45" s="294">
        <f>SUM(GY45-GZ45)</f>
        <v>0</v>
      </c>
      <c r="HB45" s="276"/>
      <c r="HC45" s="276" t="s">
        <v>292</v>
      </c>
      <c r="HD45" s="276"/>
      <c r="HE45" s="294">
        <f>'SR BUDACT ER'!EC75</f>
        <v>0</v>
      </c>
      <c r="HF45" s="294">
        <f>'SR BUDACT ER'!ED75</f>
        <v>0</v>
      </c>
      <c r="HG45" s="294">
        <f>SUM(HE45-HF45)</f>
        <v>0</v>
      </c>
      <c r="HH45" s="294"/>
      <c r="HI45" s="294">
        <f>'SR BUDACT ER'!EI75</f>
        <v>0</v>
      </c>
      <c r="HJ45" s="294">
        <f>'SR BUDACT ER'!EJ75</f>
        <v>0</v>
      </c>
      <c r="HK45" s="294">
        <f>SUM(HI45-HJ45)</f>
        <v>0</v>
      </c>
      <c r="HL45" s="276"/>
      <c r="HM45" s="276" t="s">
        <v>292</v>
      </c>
      <c r="HN45" s="276"/>
      <c r="HO45" s="294"/>
      <c r="HP45" s="294"/>
      <c r="HQ45" s="294"/>
      <c r="HR45" s="276"/>
      <c r="HS45" s="294">
        <f>'SR BUDACT ER'!EL75</f>
        <v>0</v>
      </c>
      <c r="HT45" s="294">
        <f>'SR BUDACT ER'!EM75</f>
        <v>0</v>
      </c>
      <c r="HU45" s="294">
        <f>SUM(HS45-HT45)</f>
        <v>0</v>
      </c>
      <c r="HV45" s="294"/>
      <c r="HW45" s="294">
        <f>'SR BUDACT ER'!EO75</f>
        <v>0</v>
      </c>
      <c r="HX45" s="294">
        <f>'SR BUDACT ER'!EP75</f>
        <v>0</v>
      </c>
      <c r="HY45" s="294">
        <f>SUM(HW45-HX45)</f>
        <v>0</v>
      </c>
      <c r="HZ45" s="276"/>
      <c r="IA45" s="276" t="s">
        <v>292</v>
      </c>
      <c r="IB45" s="276"/>
      <c r="IC45" s="294">
        <f>'SR BUDACT ER'!ER75</f>
        <v>0</v>
      </c>
      <c r="ID45" s="294">
        <f>'SR BUDACT ER'!ES75</f>
        <v>0</v>
      </c>
      <c r="IE45" s="294">
        <f>SUM(IC45-ID45)</f>
        <v>0</v>
      </c>
      <c r="IF45" s="294"/>
      <c r="IG45" s="276"/>
      <c r="IH45" s="294">
        <f t="shared" si="67"/>
        <v>192892</v>
      </c>
      <c r="II45" s="294">
        <f t="shared" si="68"/>
        <v>64811</v>
      </c>
      <c r="IJ45" s="294">
        <f>SUM(IH45-II45)</f>
        <v>128081</v>
      </c>
      <c r="IK45" s="276"/>
      <c r="IL45" s="276" t="s">
        <v>292</v>
      </c>
      <c r="IM45" s="276"/>
      <c r="IN45" s="308"/>
      <c r="IO45" s="308"/>
      <c r="IP45" s="308"/>
      <c r="IQ45" s="294"/>
      <c r="IR45" s="294"/>
      <c r="IS45" s="294"/>
      <c r="IW45" s="276"/>
      <c r="IX45" s="294"/>
      <c r="IY45" s="294"/>
      <c r="JA45" s="294"/>
      <c r="JB45" s="294"/>
      <c r="JC45" s="514"/>
      <c r="JE45" s="288">
        <f t="shared" si="54"/>
        <v>385784</v>
      </c>
      <c r="JF45" s="288">
        <f t="shared" si="55"/>
        <v>385784</v>
      </c>
      <c r="JG45" s="288">
        <f t="shared" si="56"/>
        <v>0</v>
      </c>
    </row>
    <row r="46" spans="2:267" ht="15.75" hidden="1" customHeight="1">
      <c r="B46" s="276" t="s">
        <v>352</v>
      </c>
      <c r="C46" s="276"/>
      <c r="D46" s="294">
        <f>SUM('SR BUDACT ER'!G77:G78)</f>
        <v>0</v>
      </c>
      <c r="E46" s="294">
        <f>SUM('SR BUDACT ER'!H77:H78)</f>
        <v>0</v>
      </c>
      <c r="F46" s="294">
        <f>SUM(D46-E46)</f>
        <v>0</v>
      </c>
      <c r="G46" s="276"/>
      <c r="H46" s="294">
        <f>SUM('SR BUDACT ER'!J77:J78)</f>
        <v>0</v>
      </c>
      <c r="I46" s="294">
        <f>SUM('SR BUDACT ER'!K77:K78)</f>
        <v>0</v>
      </c>
      <c r="J46" s="294">
        <f>SUM(H46-I46)</f>
        <v>0</v>
      </c>
      <c r="K46" s="276"/>
      <c r="L46" s="276" t="s">
        <v>352</v>
      </c>
      <c r="M46" s="276"/>
      <c r="N46" s="294">
        <f>SUM('SR BUDACT ER'!M77:M78)</f>
        <v>0</v>
      </c>
      <c r="O46" s="294">
        <f>SUM('SR BUDACT ER'!N77:N78)</f>
        <v>0</v>
      </c>
      <c r="P46" s="294">
        <f>SUM(N46-O46)</f>
        <v>0</v>
      </c>
      <c r="Q46" s="276"/>
      <c r="R46" s="294">
        <f>SUM('SR BUDACT ER'!P77:P78)</f>
        <v>0</v>
      </c>
      <c r="S46" s="294">
        <f>SUM('SR BUDACT ER'!Q77:Q78)</f>
        <v>0</v>
      </c>
      <c r="T46" s="294">
        <f>SUM(R46-S46)</f>
        <v>0</v>
      </c>
      <c r="U46" s="276"/>
      <c r="V46" s="276" t="s">
        <v>352</v>
      </c>
      <c r="W46" s="276"/>
      <c r="X46" s="294">
        <f>SUM('SR BUDACT ER'!S77:S78)</f>
        <v>0</v>
      </c>
      <c r="Y46" s="294">
        <f>SUM('SR BUDACT ER'!T77:T78)</f>
        <v>0</v>
      </c>
      <c r="Z46" s="294">
        <f>SUM(X46-Y46)</f>
        <v>0</v>
      </c>
      <c r="AA46" s="276"/>
      <c r="AB46" s="294">
        <f>SUM('SR BUDACT ER'!V77:V78)</f>
        <v>0</v>
      </c>
      <c r="AC46" s="294">
        <f>SUM('SR BUDACT ER'!W77:W78)</f>
        <v>0</v>
      </c>
      <c r="AD46" s="294">
        <f>SUM(AB46-AC46)</f>
        <v>0</v>
      </c>
      <c r="AE46" s="294"/>
      <c r="AF46" s="276" t="s">
        <v>352</v>
      </c>
      <c r="AG46" s="276"/>
      <c r="AH46" s="294">
        <f>SUM('SR BUDACT ER'!Y77:Y78)</f>
        <v>0</v>
      </c>
      <c r="AI46" s="294">
        <f>SUM('SR BUDACT ER'!Z77:Z78)</f>
        <v>0</v>
      </c>
      <c r="AJ46" s="294">
        <f>SUM(AH46-AI46)</f>
        <v>0</v>
      </c>
      <c r="AK46" s="276"/>
      <c r="AL46" s="294">
        <f>SUM('SR BUDACT ER'!AB77:AB78)</f>
        <v>0</v>
      </c>
      <c r="AM46" s="294">
        <f>SUM('SR BUDACT ER'!AC77:AC78)</f>
        <v>0</v>
      </c>
      <c r="AN46" s="294">
        <f>SUM(AL46-AM46)</f>
        <v>0</v>
      </c>
      <c r="AO46" s="294"/>
      <c r="AP46" s="276" t="s">
        <v>352</v>
      </c>
      <c r="AQ46" s="276"/>
      <c r="AR46" s="294">
        <f>SUM('SR BUDACT ER'!AE77:AE78)</f>
        <v>0</v>
      </c>
      <c r="AS46" s="294">
        <f>SUM('SR BUDACT ER'!AF77:AF78)</f>
        <v>0</v>
      </c>
      <c r="AT46" s="294">
        <f>SUM(AR46-AS46)</f>
        <v>0</v>
      </c>
      <c r="AU46" s="276"/>
      <c r="AV46" s="294">
        <f>SUM('SR BUDACT ER'!AH77:AH78)</f>
        <v>0</v>
      </c>
      <c r="AW46" s="294">
        <f>SUM('SR BUDACT ER'!AI77:AI78)</f>
        <v>0</v>
      </c>
      <c r="AX46" s="294">
        <f>SUM(AV46-AW46)</f>
        <v>0</v>
      </c>
      <c r="AY46" s="294"/>
      <c r="AZ46" s="276" t="s">
        <v>352</v>
      </c>
      <c r="BA46" s="276"/>
      <c r="BB46" s="294">
        <f>SUM('SR BUDACT ER'!AK77:AK78)</f>
        <v>0</v>
      </c>
      <c r="BC46" s="294">
        <f>SUM('SR BUDACT ER'!AL77:AL78)</f>
        <v>0</v>
      </c>
      <c r="BD46" s="294">
        <f>SUM(BB46-BC46)</f>
        <v>0</v>
      </c>
      <c r="BE46" s="276"/>
      <c r="BF46" s="294"/>
      <c r="BG46" s="294"/>
      <c r="BH46" s="294"/>
      <c r="BI46" s="276"/>
      <c r="BJ46" s="294">
        <f>SUM('SR BUDACT ER'!AQ77:AQ78)</f>
        <v>0</v>
      </c>
      <c r="BK46" s="294">
        <f>SUM('SR BUDACT ER'!AR77:AR78)</f>
        <v>0</v>
      </c>
      <c r="BL46" s="294">
        <f>SUM(BJ46-BK46)</f>
        <v>0</v>
      </c>
      <c r="BM46" s="294"/>
      <c r="BN46" s="276" t="s">
        <v>352</v>
      </c>
      <c r="BO46" s="294"/>
      <c r="BP46" s="294">
        <f>SUM('SR BUDACT ER'!AT77:AT78)</f>
        <v>0</v>
      </c>
      <c r="BQ46" s="294">
        <f>SUM('SR BUDACT ER'!AU77:AU78)</f>
        <v>0</v>
      </c>
      <c r="BR46" s="294">
        <f>SUM(BP46-BQ46)</f>
        <v>0</v>
      </c>
      <c r="BS46" s="294"/>
      <c r="BT46" s="294">
        <f>SUM('SR BUDACT ER'!AW77:AW78)</f>
        <v>0</v>
      </c>
      <c r="BU46" s="294">
        <f>SUM('SR BUDACT ER'!AX77:AX78)</f>
        <v>0</v>
      </c>
      <c r="BV46" s="294">
        <f>SUM(BT46-BU46)</f>
        <v>0</v>
      </c>
      <c r="BW46" s="294"/>
      <c r="BX46" s="276" t="s">
        <v>352</v>
      </c>
      <c r="BY46" s="294"/>
      <c r="BZ46" s="294">
        <f>SUM('SR BUDACT ER'!AZ77:AZ78)</f>
        <v>0</v>
      </c>
      <c r="CA46" s="294">
        <f>SUM('SR BUDACT ER'!BA77:BA78)</f>
        <v>0</v>
      </c>
      <c r="CB46" s="294">
        <f>SUM(BZ46-CA46)</f>
        <v>0</v>
      </c>
      <c r="CC46" s="294"/>
      <c r="CD46" s="294">
        <f>SUM('SR BUDACT ER'!BC77:BC78)</f>
        <v>0</v>
      </c>
      <c r="CE46" s="294">
        <f>SUM('SR BUDACT ER'!BD77:BD78)</f>
        <v>0</v>
      </c>
      <c r="CF46" s="294">
        <f>SUM(CD46-CE46)</f>
        <v>0</v>
      </c>
      <c r="CG46" s="294"/>
      <c r="CH46" s="276" t="s">
        <v>352</v>
      </c>
      <c r="CI46" s="276"/>
      <c r="CJ46" s="294">
        <f>SUM('SR BUDACT ER'!BF77:BF78)</f>
        <v>0</v>
      </c>
      <c r="CK46" s="294">
        <f>SUM('SR BUDACT ER'!BG77:BG78)</f>
        <v>0</v>
      </c>
      <c r="CL46" s="294">
        <f>SUM(CJ46-CK46)</f>
        <v>0</v>
      </c>
      <c r="CM46" s="276"/>
      <c r="CN46" s="294">
        <f>SUM('SR BUDACT ER'!BI77:BI78)</f>
        <v>0</v>
      </c>
      <c r="CO46" s="294">
        <f>SUM('SR BUDACT ER'!BJ77:BJ78)</f>
        <v>0</v>
      </c>
      <c r="CP46" s="294">
        <f>SUM(CN46-CO46)</f>
        <v>0</v>
      </c>
      <c r="CQ46" s="294"/>
      <c r="CR46" s="276" t="s">
        <v>352</v>
      </c>
      <c r="CS46" s="276"/>
      <c r="CT46" s="294">
        <f>SUM('SR BUDACT ER'!BL77:BL78)</f>
        <v>0</v>
      </c>
      <c r="CU46" s="294">
        <f>SUM('SR BUDACT ER'!BM77:BM78)</f>
        <v>0</v>
      </c>
      <c r="CV46" s="294">
        <f>SUM(CT46-CU46)</f>
        <v>0</v>
      </c>
      <c r="CW46" s="276"/>
      <c r="CX46" s="294">
        <f>SUM('SR BUDACT ER'!BO77:BO78)</f>
        <v>0</v>
      </c>
      <c r="CY46" s="294">
        <f>SUM('SR BUDACT ER'!BP77:BP78)</f>
        <v>0</v>
      </c>
      <c r="CZ46" s="294">
        <f>SUM(CX46-CY46)</f>
        <v>0</v>
      </c>
      <c r="DA46" s="294"/>
      <c r="DB46" s="276" t="s">
        <v>352</v>
      </c>
      <c r="DC46" s="276"/>
      <c r="DD46" s="294">
        <f>SUM('SR BUDACT ER'!BR77:BR78)</f>
        <v>0</v>
      </c>
      <c r="DE46" s="294">
        <f>SUM('SR BUDACT ER'!BS77:BS78)</f>
        <v>0</v>
      </c>
      <c r="DF46" s="294">
        <f>SUM(DD46-DE46)</f>
        <v>0</v>
      </c>
      <c r="DG46" s="276"/>
      <c r="DH46" s="294">
        <f>SUM('SR BUDACT ER'!BU77:BU78)</f>
        <v>0</v>
      </c>
      <c r="DI46" s="294">
        <f>SUM('SR BUDACT ER'!BV77:BV78)</f>
        <v>0</v>
      </c>
      <c r="DJ46" s="294">
        <f>SUM(DH46-DI46)</f>
        <v>0</v>
      </c>
      <c r="DK46" s="276"/>
      <c r="DL46" s="276" t="s">
        <v>352</v>
      </c>
      <c r="DM46" s="276"/>
      <c r="DN46" s="294">
        <f>SUM('SR BUDACT ER'!BX77:BX78)</f>
        <v>0</v>
      </c>
      <c r="DO46" s="294">
        <f>SUM('SR BUDACT ER'!BY77:BY78)</f>
        <v>0</v>
      </c>
      <c r="DP46" s="294">
        <f>SUM(DN46-DO46)</f>
        <v>0</v>
      </c>
      <c r="DQ46" s="276"/>
      <c r="DR46" s="294">
        <f>SUM('SR BUDACT ER'!CA77:CA78)</f>
        <v>0</v>
      </c>
      <c r="DS46" s="294">
        <f>SUM('SR BUDACT ER'!CB77:CB78)</f>
        <v>0</v>
      </c>
      <c r="DT46" s="294">
        <f>SUM(DR46-DS46)</f>
        <v>0</v>
      </c>
      <c r="DU46" s="276"/>
      <c r="DV46" s="276" t="s">
        <v>352</v>
      </c>
      <c r="DW46" s="276"/>
      <c r="DX46" s="294">
        <f>SUM('SR BUDACT ER'!CD77:CD78)</f>
        <v>0</v>
      </c>
      <c r="DY46" s="294">
        <f>SUM('SR BUDACT ER'!CE77:CE78)</f>
        <v>0</v>
      </c>
      <c r="DZ46" s="294">
        <f>SUM(DX46-DY46)</f>
        <v>0</v>
      </c>
      <c r="EA46" s="276"/>
      <c r="EB46" s="294">
        <f>SUM('SR BUDACT ER'!CG77:CG78)</f>
        <v>0</v>
      </c>
      <c r="EC46" s="294">
        <f>SUM('SR BUDACT ER'!CH77:CH78)</f>
        <v>0</v>
      </c>
      <c r="ED46" s="294">
        <f>SUM(EB46-EC46)</f>
        <v>0</v>
      </c>
      <c r="EE46" s="276"/>
      <c r="EF46" s="276" t="s">
        <v>352</v>
      </c>
      <c r="EG46" s="276"/>
      <c r="EH46" s="294">
        <f>SUM('SR BUDACT ER'!CJ77:CJ78)</f>
        <v>0</v>
      </c>
      <c r="EI46" s="294">
        <f>SUM('SR BUDACT ER'!CK77:CK78)</f>
        <v>0</v>
      </c>
      <c r="EJ46" s="294">
        <f>SUM(EH46-EI46)</f>
        <v>0</v>
      </c>
      <c r="EK46" s="276"/>
      <c r="EL46" s="294">
        <f>SUM('SR BUDACT ER'!CM77:CM78)</f>
        <v>0</v>
      </c>
      <c r="EM46" s="294">
        <f>SUM('SR BUDACT ER'!CN77:CN78)</f>
        <v>0</v>
      </c>
      <c r="EN46" s="294">
        <f>SUM(EL46-EM46)</f>
        <v>0</v>
      </c>
      <c r="EO46" s="276"/>
      <c r="EP46" s="276" t="s">
        <v>352</v>
      </c>
      <c r="EQ46" s="276"/>
      <c r="ER46" s="294">
        <f>SUM('SR BUDACT ER'!CP77:CP78)</f>
        <v>0</v>
      </c>
      <c r="ES46" s="294">
        <f>SUM('SR BUDACT ER'!CQ77:CQ78)</f>
        <v>0</v>
      </c>
      <c r="ET46" s="294">
        <f>SUM(ER46-ES46)</f>
        <v>0</v>
      </c>
      <c r="EU46" s="276"/>
      <c r="EV46" s="294">
        <f>SUM('SR BUDACT ER'!CS77:CS78)</f>
        <v>0</v>
      </c>
      <c r="EW46" s="294">
        <f>SUM('SR BUDACT ER'!CT77:CT78)</f>
        <v>0</v>
      </c>
      <c r="EX46" s="294">
        <f>SUM(EV46-EW46)</f>
        <v>0</v>
      </c>
      <c r="EY46" s="276"/>
      <c r="EZ46" s="276" t="s">
        <v>352</v>
      </c>
      <c r="FA46" s="276"/>
      <c r="FB46" s="294">
        <f>SUM('SR BUDACT ER'!CV77:CV78)</f>
        <v>0</v>
      </c>
      <c r="FC46" s="294">
        <f>SUM('SR BUDACT ER'!CW77:CW78)</f>
        <v>0</v>
      </c>
      <c r="FD46" s="294">
        <f>SUM(FB46-FC46)</f>
        <v>0</v>
      </c>
      <c r="FE46" s="276"/>
      <c r="FF46" s="294">
        <f>SUM('SR BUDACT ER'!CY77:CY78)</f>
        <v>0</v>
      </c>
      <c r="FG46" s="294">
        <f>SUM('SR BUDACT ER'!CZ77:CZ78)</f>
        <v>0</v>
      </c>
      <c r="FH46" s="294">
        <f>SUM(FF46-FG46)</f>
        <v>0</v>
      </c>
      <c r="FI46" s="276"/>
      <c r="FJ46" s="276" t="s">
        <v>352</v>
      </c>
      <c r="FK46" s="276"/>
      <c r="FL46" s="294">
        <f>SUM('SR BUDACT ER'!DB77:DB78)</f>
        <v>0</v>
      </c>
      <c r="FM46" s="294">
        <f>SUM('SR BUDACT ER'!DC77:DC78)</f>
        <v>0</v>
      </c>
      <c r="FN46" s="294">
        <f>SUM(FL46-FM46)</f>
        <v>0</v>
      </c>
      <c r="FO46" s="276"/>
      <c r="FP46" s="294">
        <f>SUM('SR BUDACT ER'!DE77:DE78)</f>
        <v>0</v>
      </c>
      <c r="FQ46" s="294">
        <f>SUM('SR BUDACT ER'!DF77:DF78)</f>
        <v>0</v>
      </c>
      <c r="FR46" s="294">
        <f>SUM(FP46-FQ46)</f>
        <v>0</v>
      </c>
      <c r="FS46" s="276"/>
      <c r="FT46" s="276" t="s">
        <v>352</v>
      </c>
      <c r="FU46" s="276"/>
      <c r="FV46" s="294">
        <f>SUM('SR BUDACT ER'!DH77:DH78)</f>
        <v>0</v>
      </c>
      <c r="FW46" s="294">
        <f>SUM('SR BUDACT ER'!DI77:DI78)</f>
        <v>0</v>
      </c>
      <c r="FX46" s="294">
        <f>SUM(FV46-FW46)</f>
        <v>0</v>
      </c>
      <c r="FY46" s="276"/>
      <c r="FZ46" s="294">
        <f>SUM('SR BUDACT ER'!DK77:DK78)</f>
        <v>0</v>
      </c>
      <c r="GA46" s="294">
        <f>SUM('SR BUDACT ER'!DL77:DL78)</f>
        <v>0</v>
      </c>
      <c r="GB46" s="294">
        <f>SUM(FZ46-GA46)</f>
        <v>0</v>
      </c>
      <c r="GC46" s="276"/>
      <c r="GD46" s="294">
        <f>SUM('SR BUDACT ER'!DN77:DN78)</f>
        <v>0</v>
      </c>
      <c r="GE46" s="294">
        <f>SUM('SR BUDACT ER'!DO77:DO78)</f>
        <v>0</v>
      </c>
      <c r="GF46" s="294">
        <f>SUM(GD46-GE46)</f>
        <v>0</v>
      </c>
      <c r="GG46" s="276"/>
      <c r="GH46" s="276" t="s">
        <v>352</v>
      </c>
      <c r="GI46" s="276"/>
      <c r="GJ46" s="294">
        <f>SUM('SR BUDACT ER'!DQ77:DQ78)</f>
        <v>0</v>
      </c>
      <c r="GK46" s="294">
        <f>SUM('SR BUDACT ER'!DR77:DR78)</f>
        <v>0</v>
      </c>
      <c r="GL46" s="294">
        <f>SUM(GJ46-GK46)</f>
        <v>0</v>
      </c>
      <c r="GN46" s="276"/>
      <c r="GO46" s="294">
        <f>SUM('SR BUDACT ER'!DT77:DT78)</f>
        <v>0</v>
      </c>
      <c r="GP46" s="294">
        <f>SUM('SR BUDACT ER'!DU77:DU78)</f>
        <v>0</v>
      </c>
      <c r="GQ46" s="294">
        <f>SUM(GO46-GP46)</f>
        <v>0</v>
      </c>
      <c r="GR46" s="276"/>
      <c r="GS46" s="276" t="s">
        <v>352</v>
      </c>
      <c r="GT46" s="276"/>
      <c r="GU46" s="294">
        <f>SUM('SR BUDACT ER'!DW77:DW78)</f>
        <v>0</v>
      </c>
      <c r="GV46" s="294">
        <f>SUM('SR BUDACT ER'!DX77:DX78)</f>
        <v>0</v>
      </c>
      <c r="GW46" s="294">
        <f>SUM(GU46-GV46)</f>
        <v>0</v>
      </c>
      <c r="GX46" s="294"/>
      <c r="GY46" s="294">
        <f>SUM('SR BUDACT ER'!DZ77:DZ78)</f>
        <v>0</v>
      </c>
      <c r="GZ46" s="294">
        <f>SUM('SR BUDACT ER'!EA77:EA78)</f>
        <v>0</v>
      </c>
      <c r="HA46" s="294">
        <f>SUM(GY46-GZ46)</f>
        <v>0</v>
      </c>
      <c r="HB46" s="276"/>
      <c r="HC46" s="276" t="s">
        <v>352</v>
      </c>
      <c r="HD46" s="276"/>
      <c r="HE46" s="294">
        <f>SUM('SR BUDACT ER'!EC77:EC78)</f>
        <v>0</v>
      </c>
      <c r="HF46" s="294">
        <f>SUM('SR BUDACT ER'!ED77:ED78)</f>
        <v>0</v>
      </c>
      <c r="HG46" s="294">
        <f>SUM(HE46-HF46)</f>
        <v>0</v>
      </c>
      <c r="HH46" s="294"/>
      <c r="HI46" s="294">
        <f>SUM('SR BUDACT ER'!EI77:EI78)</f>
        <v>0</v>
      </c>
      <c r="HJ46" s="294">
        <f>SUM('SR BUDACT ER'!EJ77:EJ78)</f>
        <v>0</v>
      </c>
      <c r="HK46" s="294">
        <f>SUM(HI46-HJ46)</f>
        <v>0</v>
      </c>
      <c r="HL46" s="276"/>
      <c r="HM46" s="276" t="s">
        <v>352</v>
      </c>
      <c r="HN46" s="276"/>
      <c r="HO46" s="294"/>
      <c r="HP46" s="294"/>
      <c r="HQ46" s="294"/>
      <c r="HR46" s="276"/>
      <c r="HS46" s="294">
        <f>'SR BUDACT ER'!EL76</f>
        <v>0</v>
      </c>
      <c r="HT46" s="294">
        <f>'SR BUDACT ER'!EM76</f>
        <v>0</v>
      </c>
      <c r="HU46" s="294">
        <f>SUM(HS46-HT46)</f>
        <v>0</v>
      </c>
      <c r="HV46" s="294"/>
      <c r="HW46" s="294">
        <f>SUM('SR BUDACT ER'!EO77:EO78)</f>
        <v>0</v>
      </c>
      <c r="HX46" s="294">
        <f>SUM('SR BUDACT ER'!EP77:EP78)</f>
        <v>0</v>
      </c>
      <c r="HY46" s="294">
        <f>SUM(HW46-HX46)</f>
        <v>0</v>
      </c>
      <c r="HZ46" s="276"/>
      <c r="IA46" s="276" t="s">
        <v>352</v>
      </c>
      <c r="IB46" s="276"/>
      <c r="IC46" s="294">
        <f>SUM('SR BUDACT ER'!ER77:ER78)</f>
        <v>0</v>
      </c>
      <c r="ID46" s="294">
        <f>SUM('SR BUDACT ER'!ES77:ES78)</f>
        <v>0</v>
      </c>
      <c r="IE46" s="294">
        <f>SUM(IC46-ID46)</f>
        <v>0</v>
      </c>
      <c r="IF46" s="294"/>
      <c r="IG46" s="276"/>
      <c r="IH46" s="294">
        <f t="shared" si="67"/>
        <v>0</v>
      </c>
      <c r="II46" s="294">
        <f t="shared" si="68"/>
        <v>0</v>
      </c>
      <c r="IJ46" s="294">
        <f>SUM(IH46-II46)</f>
        <v>0</v>
      </c>
      <c r="IK46" s="276"/>
      <c r="IL46" s="276" t="s">
        <v>352</v>
      </c>
      <c r="IM46" s="276"/>
      <c r="IN46" s="308"/>
      <c r="IO46" s="308"/>
      <c r="IP46" s="308"/>
      <c r="IQ46" s="294"/>
      <c r="IR46" s="294"/>
      <c r="IS46" s="294"/>
      <c r="IW46" s="276"/>
      <c r="IX46" s="294"/>
      <c r="IY46" s="294"/>
      <c r="JA46" s="294">
        <f>SUM('SR BUDACT ER'!AN77:AN78)</f>
        <v>0</v>
      </c>
      <c r="JB46" s="294">
        <f>SUM('SR BUDACT ER'!AO77:AO78)</f>
        <v>0</v>
      </c>
      <c r="JC46" s="514">
        <f>SUM(JA46-JB46)</f>
        <v>0</v>
      </c>
    </row>
    <row r="47" spans="2:267" ht="15.75" customHeight="1">
      <c r="B47" s="276" t="s">
        <v>462</v>
      </c>
      <c r="C47" s="276"/>
      <c r="D47" s="294">
        <f>+'SR BUDACT ER'!G79</f>
        <v>0</v>
      </c>
      <c r="E47" s="294">
        <f>+'SR BUDACT ER'!H79</f>
        <v>0</v>
      </c>
      <c r="F47" s="294">
        <f>SUM(D47-E47)</f>
        <v>0</v>
      </c>
      <c r="G47" s="276"/>
      <c r="H47" s="294">
        <f>+'SR BUDACT ER'!J79</f>
        <v>0</v>
      </c>
      <c r="I47" s="294">
        <f>+'SR BUDACT ER'!K79</f>
        <v>0</v>
      </c>
      <c r="J47" s="294">
        <f>SUM(H47-I47)</f>
        <v>0</v>
      </c>
      <c r="K47" s="276"/>
      <c r="L47" s="276" t="s">
        <v>462</v>
      </c>
      <c r="M47" s="276"/>
      <c r="N47" s="294">
        <f>+'SR BUDACT ER'!M79</f>
        <v>0</v>
      </c>
      <c r="O47" s="294">
        <f>+'SR BUDACT ER'!N79</f>
        <v>0</v>
      </c>
      <c r="P47" s="294">
        <f>SUM(N47-O47)</f>
        <v>0</v>
      </c>
      <c r="Q47" s="276"/>
      <c r="R47" s="294">
        <f>+'SR BUDACT ER'!P79</f>
        <v>0</v>
      </c>
      <c r="S47" s="294">
        <f>+'SR BUDACT ER'!Q79</f>
        <v>0</v>
      </c>
      <c r="T47" s="294">
        <f>SUM(R47-S47)</f>
        <v>0</v>
      </c>
      <c r="U47" s="276"/>
      <c r="V47" s="276" t="s">
        <v>462</v>
      </c>
      <c r="W47" s="276"/>
      <c r="X47" s="294">
        <f>+'SR BUDACT ER'!S79</f>
        <v>0</v>
      </c>
      <c r="Y47" s="294">
        <f>+'SR BUDACT ER'!T79</f>
        <v>0</v>
      </c>
      <c r="Z47" s="294">
        <f>SUM(X47-Y47)</f>
        <v>0</v>
      </c>
      <c r="AA47" s="276"/>
      <c r="AB47" s="294">
        <f>+'SR BUDACT ER'!V79</f>
        <v>0</v>
      </c>
      <c r="AC47" s="294">
        <f>+'SR BUDACT ER'!W79</f>
        <v>0</v>
      </c>
      <c r="AD47" s="294">
        <f>SUM(AB47-AC47)</f>
        <v>0</v>
      </c>
      <c r="AE47" s="294"/>
      <c r="AF47" s="276" t="s">
        <v>462</v>
      </c>
      <c r="AG47" s="276"/>
      <c r="AH47" s="294">
        <f>+'SR BUDACT ER'!Y79</f>
        <v>0</v>
      </c>
      <c r="AI47" s="294">
        <f>+'SR BUDACT ER'!Z79</f>
        <v>0</v>
      </c>
      <c r="AJ47" s="294">
        <f>SUM(AH47-AI47)</f>
        <v>0</v>
      </c>
      <c r="AK47" s="276"/>
      <c r="AL47" s="294">
        <f>+'SR BUDACT ER'!AB79</f>
        <v>0</v>
      </c>
      <c r="AM47" s="294">
        <f>+'SR BUDACT ER'!AC79</f>
        <v>0</v>
      </c>
      <c r="AN47" s="294">
        <f>SUM(AL47-AM47)</f>
        <v>0</v>
      </c>
      <c r="AO47" s="294"/>
      <c r="AP47" s="276" t="s">
        <v>462</v>
      </c>
      <c r="AQ47" s="276"/>
      <c r="AR47" s="294">
        <f>+'SR BUDACT ER'!AE79</f>
        <v>0</v>
      </c>
      <c r="AS47" s="294">
        <f>+'SR BUDACT ER'!AF79</f>
        <v>0</v>
      </c>
      <c r="AT47" s="294">
        <f>SUM(AR47-AS47)</f>
        <v>0</v>
      </c>
      <c r="AU47" s="276"/>
      <c r="AV47" s="294">
        <f>+'SR BUDACT ER'!AH79</f>
        <v>0</v>
      </c>
      <c r="AW47" s="294">
        <f>+'SR BUDACT ER'!AI79</f>
        <v>0</v>
      </c>
      <c r="AX47" s="294">
        <f>SUM(AV47-AW47)</f>
        <v>0</v>
      </c>
      <c r="AY47" s="294"/>
      <c r="AZ47" s="276" t="s">
        <v>462</v>
      </c>
      <c r="BA47" s="276"/>
      <c r="BB47" s="294">
        <f>+'SR BUDACT ER'!AK79</f>
        <v>0</v>
      </c>
      <c r="BC47" s="294">
        <f>+'SR BUDACT ER'!AL79</f>
        <v>0</v>
      </c>
      <c r="BD47" s="294">
        <f>SUM(BB47-BC47)</f>
        <v>0</v>
      </c>
      <c r="BE47" s="276"/>
      <c r="BF47" s="294"/>
      <c r="BG47" s="294"/>
      <c r="BH47" s="294"/>
      <c r="BI47" s="276"/>
      <c r="BJ47" s="294">
        <f>+'SR BUDACT ER'!AQ79</f>
        <v>0</v>
      </c>
      <c r="BK47" s="294">
        <f>+'SR BUDACT ER'!AR79</f>
        <v>0</v>
      </c>
      <c r="BL47" s="294">
        <f>SUM(BJ47-BK47)</f>
        <v>0</v>
      </c>
      <c r="BM47" s="294"/>
      <c r="BN47" s="276" t="s">
        <v>462</v>
      </c>
      <c r="BO47" s="294"/>
      <c r="BP47" s="294">
        <f>+'SR BUDACT ER'!AT79</f>
        <v>0</v>
      </c>
      <c r="BQ47" s="294">
        <f>+'SR BUDACT ER'!AU79</f>
        <v>0</v>
      </c>
      <c r="BR47" s="294">
        <f>SUM(BP47-BQ47)</f>
        <v>0</v>
      </c>
      <c r="BS47" s="294"/>
      <c r="BT47" s="294">
        <f>+'SR BUDACT ER'!AW79</f>
        <v>0</v>
      </c>
      <c r="BU47" s="294">
        <f>+'SR BUDACT ER'!AX79</f>
        <v>0</v>
      </c>
      <c r="BV47" s="294">
        <f>SUM(BT47-BU47)</f>
        <v>0</v>
      </c>
      <c r="BW47" s="294"/>
      <c r="BX47" s="276" t="s">
        <v>462</v>
      </c>
      <c r="BY47" s="294"/>
      <c r="BZ47" s="294">
        <f>+'SR BUDACT ER'!AZ79</f>
        <v>0</v>
      </c>
      <c r="CA47" s="294">
        <f>+'SR BUDACT ER'!BA79</f>
        <v>0</v>
      </c>
      <c r="CB47" s="294">
        <f>SUM(BZ47-CA47)</f>
        <v>0</v>
      </c>
      <c r="CC47" s="294"/>
      <c r="CD47" s="294">
        <f>+'SR BUDACT ER'!BC79</f>
        <v>0</v>
      </c>
      <c r="CE47" s="294">
        <f>+'SR BUDACT ER'!BD79</f>
        <v>0</v>
      </c>
      <c r="CF47" s="294">
        <f>SUM(CD47-CE47)</f>
        <v>0</v>
      </c>
      <c r="CG47" s="294"/>
      <c r="CH47" s="276" t="s">
        <v>462</v>
      </c>
      <c r="CI47" s="276"/>
      <c r="CJ47" s="294">
        <f>+'SR BUDACT ER'!BF79</f>
        <v>0</v>
      </c>
      <c r="CK47" s="294">
        <f>+'SR BUDACT ER'!BG79</f>
        <v>0</v>
      </c>
      <c r="CL47" s="294">
        <f>SUM(CJ47-CK47)</f>
        <v>0</v>
      </c>
      <c r="CM47" s="276"/>
      <c r="CN47" s="294">
        <f>+'SR BUDACT ER'!BI79</f>
        <v>0</v>
      </c>
      <c r="CO47" s="294">
        <f>+'SR BUDACT ER'!BJ79</f>
        <v>0</v>
      </c>
      <c r="CP47" s="294">
        <f>SUM(CN47-CO47)</f>
        <v>0</v>
      </c>
      <c r="CQ47" s="294"/>
      <c r="CR47" s="276" t="s">
        <v>462</v>
      </c>
      <c r="CS47" s="276"/>
      <c r="CT47" s="294">
        <f>+'SR BUDACT ER'!BL79</f>
        <v>0</v>
      </c>
      <c r="CU47" s="294">
        <f>+'SR BUDACT ER'!BM79</f>
        <v>0</v>
      </c>
      <c r="CV47" s="294">
        <f>SUM(CT47-CU47)</f>
        <v>0</v>
      </c>
      <c r="CW47" s="276"/>
      <c r="CX47" s="294">
        <f>+'SR BUDACT ER'!BO79</f>
        <v>0</v>
      </c>
      <c r="CY47" s="294">
        <f>+'SR BUDACT ER'!BP79</f>
        <v>0</v>
      </c>
      <c r="CZ47" s="294">
        <f>SUM(CX47-CY47)</f>
        <v>0</v>
      </c>
      <c r="DA47" s="294"/>
      <c r="DB47" s="276" t="s">
        <v>462</v>
      </c>
      <c r="DC47" s="276"/>
      <c r="DD47" s="294">
        <f>+'SR BUDACT ER'!BR79</f>
        <v>0</v>
      </c>
      <c r="DE47" s="294">
        <f>+'SR BUDACT ER'!BS79</f>
        <v>0</v>
      </c>
      <c r="DF47" s="294">
        <f>SUM(DD47-DE47)</f>
        <v>0</v>
      </c>
      <c r="DG47" s="276"/>
      <c r="DH47" s="294">
        <f>+'SR BUDACT ER'!BU79</f>
        <v>0</v>
      </c>
      <c r="DI47" s="294">
        <f>+'SR BUDACT ER'!BV79</f>
        <v>0</v>
      </c>
      <c r="DJ47" s="294">
        <f>SUM(DH47-DI47)</f>
        <v>0</v>
      </c>
      <c r="DK47" s="276"/>
      <c r="DL47" s="276" t="s">
        <v>462</v>
      </c>
      <c r="DM47" s="276"/>
      <c r="DN47" s="294">
        <f>+'SR BUDACT ER'!BX79</f>
        <v>0</v>
      </c>
      <c r="DO47" s="294">
        <f>+'SR BUDACT ER'!BY79</f>
        <v>0</v>
      </c>
      <c r="DP47" s="294">
        <f>SUM(DN47-DO47)</f>
        <v>0</v>
      </c>
      <c r="DQ47" s="276"/>
      <c r="DR47" s="294">
        <f>+'SR BUDACT ER'!CA79</f>
        <v>0</v>
      </c>
      <c r="DS47" s="294">
        <f>+'SR BUDACT ER'!CB79</f>
        <v>0</v>
      </c>
      <c r="DT47" s="294">
        <f>SUM(DR47-DS47)</f>
        <v>0</v>
      </c>
      <c r="DU47" s="276"/>
      <c r="DV47" s="276" t="s">
        <v>462</v>
      </c>
      <c r="DW47" s="276"/>
      <c r="DX47" s="294">
        <f>+'SR BUDACT ER'!CD79</f>
        <v>0</v>
      </c>
      <c r="DY47" s="294">
        <f>+'SR BUDACT ER'!CE79</f>
        <v>0</v>
      </c>
      <c r="DZ47" s="294">
        <f>SUM(DX47-DY47)</f>
        <v>0</v>
      </c>
      <c r="EA47" s="276"/>
      <c r="EB47" s="294">
        <f>+'SR BUDACT ER'!CG79</f>
        <v>0</v>
      </c>
      <c r="EC47" s="294">
        <f>+'SR BUDACT ER'!CH79</f>
        <v>0</v>
      </c>
      <c r="ED47" s="294">
        <f>SUM(EB47-EC47)</f>
        <v>0</v>
      </c>
      <c r="EE47" s="276"/>
      <c r="EF47" s="276" t="s">
        <v>462</v>
      </c>
      <c r="EG47" s="276"/>
      <c r="EH47" s="294">
        <f>+'SR BUDACT ER'!CJ79</f>
        <v>0</v>
      </c>
      <c r="EI47" s="294">
        <f>+'SR BUDACT ER'!CK79</f>
        <v>0</v>
      </c>
      <c r="EJ47" s="294">
        <f>SUM(EH47-EI47)</f>
        <v>0</v>
      </c>
      <c r="EK47" s="276"/>
      <c r="EL47" s="294">
        <f>+'SR BUDACT ER'!CM79</f>
        <v>0</v>
      </c>
      <c r="EM47" s="294">
        <f>+'SR BUDACT ER'!CN79</f>
        <v>0</v>
      </c>
      <c r="EN47" s="294">
        <f>SUM(EL47-EM47)</f>
        <v>0</v>
      </c>
      <c r="EO47" s="276"/>
      <c r="EP47" s="276" t="s">
        <v>462</v>
      </c>
      <c r="EQ47" s="276"/>
      <c r="ER47" s="294">
        <f>+'SR BUDACT ER'!CP79</f>
        <v>0</v>
      </c>
      <c r="ES47" s="294">
        <f>+'SR BUDACT ER'!CQ79</f>
        <v>0</v>
      </c>
      <c r="ET47" s="294">
        <f>SUM(ER47-ES47)</f>
        <v>0</v>
      </c>
      <c r="EU47" s="276"/>
      <c r="EV47" s="294">
        <f>+'SR BUDACT ER'!CS79</f>
        <v>0</v>
      </c>
      <c r="EW47" s="294">
        <f>+'SR BUDACT ER'!CT79</f>
        <v>0</v>
      </c>
      <c r="EX47" s="294">
        <f>SUM(EV47-EW47)</f>
        <v>0</v>
      </c>
      <c r="EY47" s="276"/>
      <c r="EZ47" s="276" t="s">
        <v>462</v>
      </c>
      <c r="FA47" s="276"/>
      <c r="FB47" s="294">
        <f>+'SR BUDACT ER'!CV79</f>
        <v>0</v>
      </c>
      <c r="FC47" s="294">
        <f>+'SR BUDACT ER'!CW79</f>
        <v>0</v>
      </c>
      <c r="FD47" s="294">
        <f>SUM(FB47-FC47)</f>
        <v>0</v>
      </c>
      <c r="FE47" s="276"/>
      <c r="FF47" s="294">
        <f>+'SR BUDACT ER'!CY79</f>
        <v>0</v>
      </c>
      <c r="FG47" s="294">
        <f>+'SR BUDACT ER'!CZ79</f>
        <v>0</v>
      </c>
      <c r="FH47" s="294">
        <f>SUM(FF47-FG47)</f>
        <v>0</v>
      </c>
      <c r="FI47" s="276"/>
      <c r="FJ47" s="276" t="s">
        <v>462</v>
      </c>
      <c r="FK47" s="276"/>
      <c r="FL47" s="294">
        <f>+'SR BUDACT ER'!DB79</f>
        <v>0</v>
      </c>
      <c r="FM47" s="294">
        <f>+'SR BUDACT ER'!DC79</f>
        <v>0</v>
      </c>
      <c r="FN47" s="294">
        <f>SUM(FL47-FM47)</f>
        <v>0</v>
      </c>
      <c r="FO47" s="276"/>
      <c r="FP47" s="294">
        <f>+'SR BUDACT ER'!DE79</f>
        <v>0</v>
      </c>
      <c r="FQ47" s="294">
        <f>+'SR BUDACT ER'!DF79</f>
        <v>0</v>
      </c>
      <c r="FR47" s="294">
        <f>SUM(FP47-FQ47)</f>
        <v>0</v>
      </c>
      <c r="FS47" s="276"/>
      <c r="FT47" s="276" t="s">
        <v>462</v>
      </c>
      <c r="FU47" s="276"/>
      <c r="FV47" s="294">
        <f>+'SR BUDACT ER'!DH79</f>
        <v>0</v>
      </c>
      <c r="FW47" s="294">
        <f>+'SR BUDACT ER'!DI79</f>
        <v>0</v>
      </c>
      <c r="FX47" s="294">
        <f>SUM(FV47-FW47)</f>
        <v>0</v>
      </c>
      <c r="FY47" s="276"/>
      <c r="FZ47" s="294">
        <f>+'SR BUDACT ER'!DK79</f>
        <v>0</v>
      </c>
      <c r="GA47" s="294">
        <f>+'SR BUDACT ER'!DL79</f>
        <v>0</v>
      </c>
      <c r="GB47" s="294">
        <f>SUM(FZ47-GA47)</f>
        <v>0</v>
      </c>
      <c r="GC47" s="276"/>
      <c r="GD47" s="294">
        <f>+'SR BUDACT ER'!DN79</f>
        <v>0</v>
      </c>
      <c r="GE47" s="294">
        <f>+'SR BUDACT ER'!DO79</f>
        <v>0</v>
      </c>
      <c r="GF47" s="294">
        <f>SUM(GD47-GE47)</f>
        <v>0</v>
      </c>
      <c r="GG47" s="276"/>
      <c r="GH47" s="276" t="s">
        <v>462</v>
      </c>
      <c r="GI47" s="276"/>
      <c r="GJ47" s="294">
        <f>+'SR BUDACT ER'!DQ79</f>
        <v>0</v>
      </c>
      <c r="GK47" s="294">
        <f>+'SR BUDACT ER'!DR79</f>
        <v>0</v>
      </c>
      <c r="GL47" s="294">
        <f>SUM(GJ47-GK47)</f>
        <v>0</v>
      </c>
      <c r="GN47" s="276"/>
      <c r="GO47" s="294">
        <f>+'SR BUDACT ER'!DT79</f>
        <v>0</v>
      </c>
      <c r="GP47" s="294">
        <f>+'SR BUDACT ER'!DU79</f>
        <v>0</v>
      </c>
      <c r="GQ47" s="294">
        <f>SUM(GO47-GP47)</f>
        <v>0</v>
      </c>
      <c r="GR47" s="276"/>
      <c r="GS47" s="276" t="s">
        <v>462</v>
      </c>
      <c r="GT47" s="276"/>
      <c r="GU47" s="294">
        <f>+'SR BUDACT ER'!DW79</f>
        <v>945376</v>
      </c>
      <c r="GV47" s="294">
        <f>+'SR BUDACT ER'!DX79</f>
        <v>254869</v>
      </c>
      <c r="GW47" s="294">
        <f>SUM(GU47-GV47)</f>
        <v>690507</v>
      </c>
      <c r="GX47" s="294"/>
      <c r="GY47" s="294">
        <f>+'SR BUDACT ER'!DZ79</f>
        <v>0</v>
      </c>
      <c r="GZ47" s="294">
        <f>+'SR BUDACT ER'!EA79</f>
        <v>0</v>
      </c>
      <c r="HA47" s="294">
        <f>SUM(GY47-GZ47)</f>
        <v>0</v>
      </c>
      <c r="HB47" s="276"/>
      <c r="HC47" s="276" t="s">
        <v>462</v>
      </c>
      <c r="HD47" s="276"/>
      <c r="HE47" s="294">
        <f>+'SR BUDACT ER'!EC79</f>
        <v>0</v>
      </c>
      <c r="HF47" s="294">
        <f>+'SR BUDACT ER'!ED79</f>
        <v>0</v>
      </c>
      <c r="HG47" s="294">
        <f>SUM(HE47-HF47)</f>
        <v>0</v>
      </c>
      <c r="HH47" s="294"/>
      <c r="HI47" s="294">
        <f>+'SR BUDACT ER'!EI79</f>
        <v>0</v>
      </c>
      <c r="HJ47" s="294">
        <f>+'SR BUDACT ER'!EJ79</f>
        <v>0</v>
      </c>
      <c r="HK47" s="294">
        <f>SUM(HI47-HJ47)</f>
        <v>0</v>
      </c>
      <c r="HL47" s="276"/>
      <c r="HM47" s="276" t="s">
        <v>462</v>
      </c>
      <c r="HN47" s="276"/>
      <c r="HO47" s="294"/>
      <c r="HP47" s="294"/>
      <c r="HQ47" s="294"/>
      <c r="HR47" s="276"/>
      <c r="HS47" s="294">
        <f>'SR BUDACT ER'!EL77</f>
        <v>0</v>
      </c>
      <c r="HT47" s="294">
        <f>'SR BUDACT ER'!EM77</f>
        <v>0</v>
      </c>
      <c r="HU47" s="294">
        <f>SUM(HS47-HT47)</f>
        <v>0</v>
      </c>
      <c r="HV47" s="294"/>
      <c r="HW47" s="294">
        <f>+'SR BUDACT ER'!EO79</f>
        <v>0</v>
      </c>
      <c r="HX47" s="294">
        <f>+'SR BUDACT ER'!EP79</f>
        <v>0</v>
      </c>
      <c r="HY47" s="294">
        <f>SUM(HW47-HX47)</f>
        <v>0</v>
      </c>
      <c r="HZ47" s="276"/>
      <c r="IA47" s="276" t="s">
        <v>462</v>
      </c>
      <c r="IB47" s="276"/>
      <c r="IC47" s="294">
        <f>+'SR BUDACT ER'!ER79</f>
        <v>0</v>
      </c>
      <c r="ID47" s="294">
        <f>+'SR BUDACT ER'!ES79</f>
        <v>0</v>
      </c>
      <c r="IE47" s="294">
        <f>SUM(IC47-ID47)</f>
        <v>0</v>
      </c>
      <c r="IF47" s="294"/>
      <c r="IG47" s="276"/>
      <c r="IH47" s="294">
        <f t="shared" si="67"/>
        <v>945376</v>
      </c>
      <c r="II47" s="294">
        <f t="shared" si="68"/>
        <v>254869</v>
      </c>
      <c r="IJ47" s="294">
        <f>SUM(IH47-II47)</f>
        <v>690507</v>
      </c>
      <c r="IK47" s="276"/>
      <c r="IL47" s="276" t="s">
        <v>462</v>
      </c>
      <c r="IM47" s="276"/>
      <c r="IN47" s="308"/>
      <c r="IO47" s="308"/>
      <c r="IP47" s="308"/>
      <c r="IQ47" s="294"/>
      <c r="IR47" s="294"/>
      <c r="IS47" s="294"/>
      <c r="IW47" s="276"/>
      <c r="IX47" s="294"/>
      <c r="IY47" s="294"/>
      <c r="JA47" s="294">
        <f>+'SR BUDACT ER'!AN79</f>
        <v>0</v>
      </c>
      <c r="JB47" s="294">
        <f>+'SR BUDACT ER'!AO79</f>
        <v>0</v>
      </c>
      <c r="JC47" s="514">
        <f>SUM(JA47-JB47)</f>
        <v>0</v>
      </c>
    </row>
    <row r="48" spans="2:267" ht="15.75">
      <c r="B48" s="276"/>
      <c r="C48" s="276"/>
      <c r="D48" s="337"/>
      <c r="E48" s="337"/>
      <c r="F48" s="337"/>
      <c r="G48" s="276"/>
      <c r="H48" s="337"/>
      <c r="I48" s="337"/>
      <c r="J48" s="337"/>
      <c r="K48" s="276"/>
      <c r="L48" s="276"/>
      <c r="M48" s="276"/>
      <c r="N48" s="337"/>
      <c r="O48" s="337"/>
      <c r="P48" s="337"/>
      <c r="Q48" s="276"/>
      <c r="R48" s="337"/>
      <c r="S48" s="337"/>
      <c r="T48" s="337"/>
      <c r="U48" s="276"/>
      <c r="V48" s="276"/>
      <c r="W48" s="276"/>
      <c r="X48" s="337"/>
      <c r="Y48" s="337"/>
      <c r="Z48" s="337"/>
      <c r="AA48" s="276"/>
      <c r="AB48" s="337"/>
      <c r="AC48" s="337"/>
      <c r="AD48" s="337"/>
      <c r="AE48" s="294"/>
      <c r="AF48" s="276"/>
      <c r="AG48" s="276"/>
      <c r="AH48" s="337"/>
      <c r="AI48" s="337"/>
      <c r="AJ48" s="337"/>
      <c r="AK48" s="276"/>
      <c r="AL48" s="337"/>
      <c r="AM48" s="337"/>
      <c r="AN48" s="337"/>
      <c r="AO48" s="294"/>
      <c r="AP48" s="276"/>
      <c r="AQ48" s="276"/>
      <c r="AR48" s="337"/>
      <c r="AS48" s="337"/>
      <c r="AT48" s="337"/>
      <c r="AU48" s="276"/>
      <c r="AV48" s="337"/>
      <c r="AW48" s="337"/>
      <c r="AX48" s="337"/>
      <c r="AY48" s="294"/>
      <c r="AZ48" s="276"/>
      <c r="BA48" s="276"/>
      <c r="BB48" s="337"/>
      <c r="BC48" s="337"/>
      <c r="BD48" s="337"/>
      <c r="BE48" s="276"/>
      <c r="BF48" s="337"/>
      <c r="BG48" s="337"/>
      <c r="BH48" s="337"/>
      <c r="BI48" s="276"/>
      <c r="BJ48" s="337"/>
      <c r="BK48" s="337"/>
      <c r="BL48" s="337"/>
      <c r="BM48" s="294"/>
      <c r="BN48" s="276"/>
      <c r="BO48" s="294"/>
      <c r="BP48" s="337"/>
      <c r="BQ48" s="337"/>
      <c r="BR48" s="337"/>
      <c r="BS48" s="294"/>
      <c r="BT48" s="337"/>
      <c r="BU48" s="337"/>
      <c r="BV48" s="337"/>
      <c r="BW48" s="294"/>
      <c r="BX48" s="276"/>
      <c r="BY48" s="294"/>
      <c r="BZ48" s="337"/>
      <c r="CA48" s="337"/>
      <c r="CB48" s="337"/>
      <c r="CC48" s="294"/>
      <c r="CD48" s="337"/>
      <c r="CE48" s="337"/>
      <c r="CF48" s="337"/>
      <c r="CG48" s="294"/>
      <c r="CH48" s="276"/>
      <c r="CI48" s="276"/>
      <c r="CJ48" s="337"/>
      <c r="CK48" s="337"/>
      <c r="CL48" s="337"/>
      <c r="CM48" s="276"/>
      <c r="CN48" s="337"/>
      <c r="CO48" s="337"/>
      <c r="CP48" s="337"/>
      <c r="CQ48" s="294"/>
      <c r="CR48" s="276"/>
      <c r="CS48" s="276"/>
      <c r="CT48" s="337"/>
      <c r="CU48" s="337"/>
      <c r="CV48" s="337"/>
      <c r="CW48" s="276"/>
      <c r="CX48" s="337"/>
      <c r="CY48" s="337"/>
      <c r="CZ48" s="337"/>
      <c r="DA48" s="294"/>
      <c r="DB48" s="276"/>
      <c r="DC48" s="276"/>
      <c r="DD48" s="337"/>
      <c r="DE48" s="337"/>
      <c r="DF48" s="337"/>
      <c r="DG48" s="276"/>
      <c r="DH48" s="337"/>
      <c r="DI48" s="337"/>
      <c r="DJ48" s="337"/>
      <c r="DK48" s="276"/>
      <c r="DL48" s="276"/>
      <c r="DM48" s="276"/>
      <c r="DN48" s="337"/>
      <c r="DO48" s="337"/>
      <c r="DP48" s="337"/>
      <c r="DQ48" s="276"/>
      <c r="DR48" s="337"/>
      <c r="DS48" s="337"/>
      <c r="DT48" s="337"/>
      <c r="DU48" s="276"/>
      <c r="DV48" s="276"/>
      <c r="DW48" s="276"/>
      <c r="DX48" s="337"/>
      <c r="DY48" s="337"/>
      <c r="DZ48" s="337"/>
      <c r="EA48" s="276"/>
      <c r="EB48" s="337"/>
      <c r="EC48" s="337"/>
      <c r="ED48" s="337"/>
      <c r="EE48" s="276"/>
      <c r="EF48" s="276"/>
      <c r="EG48" s="276"/>
      <c r="EH48" s="337"/>
      <c r="EI48" s="337"/>
      <c r="EJ48" s="337"/>
      <c r="EK48" s="276"/>
      <c r="EL48" s="337"/>
      <c r="EM48" s="337"/>
      <c r="EN48" s="337"/>
      <c r="EO48" s="276"/>
      <c r="EP48" s="276"/>
      <c r="EQ48" s="276"/>
      <c r="ER48" s="337"/>
      <c r="ES48" s="337"/>
      <c r="ET48" s="337"/>
      <c r="EU48" s="276"/>
      <c r="EV48" s="337"/>
      <c r="EW48" s="337"/>
      <c r="EX48" s="337"/>
      <c r="EY48" s="276"/>
      <c r="EZ48" s="276"/>
      <c r="FA48" s="276"/>
      <c r="FB48" s="337"/>
      <c r="FC48" s="337"/>
      <c r="FD48" s="337"/>
      <c r="FE48" s="276"/>
      <c r="FF48" s="337"/>
      <c r="FG48" s="337"/>
      <c r="FH48" s="337"/>
      <c r="FI48" s="276"/>
      <c r="FJ48" s="276"/>
      <c r="FK48" s="276"/>
      <c r="FL48" s="337"/>
      <c r="FM48" s="337"/>
      <c r="FN48" s="337"/>
      <c r="FO48" s="276"/>
      <c r="FP48" s="337"/>
      <c r="FQ48" s="337"/>
      <c r="FR48" s="337"/>
      <c r="FS48" s="276"/>
      <c r="FT48" s="276"/>
      <c r="FU48" s="276"/>
      <c r="FV48" s="337"/>
      <c r="FW48" s="337"/>
      <c r="FX48" s="337"/>
      <c r="FY48" s="276"/>
      <c r="FZ48" s="337"/>
      <c r="GA48" s="337"/>
      <c r="GB48" s="337"/>
      <c r="GC48" s="276"/>
      <c r="GD48" s="337"/>
      <c r="GE48" s="337"/>
      <c r="GF48" s="337"/>
      <c r="GG48" s="276"/>
      <c r="GH48" s="276"/>
      <c r="GI48" s="276"/>
      <c r="GJ48" s="337"/>
      <c r="GK48" s="337"/>
      <c r="GL48" s="337"/>
      <c r="GN48" s="276"/>
      <c r="GO48" s="337"/>
      <c r="GP48" s="337"/>
      <c r="GQ48" s="337"/>
      <c r="GR48" s="276"/>
      <c r="GS48" s="276"/>
      <c r="GT48" s="276"/>
      <c r="GU48" s="337"/>
      <c r="GV48" s="337"/>
      <c r="GW48" s="337"/>
      <c r="GX48" s="294"/>
      <c r="GY48" s="337"/>
      <c r="GZ48" s="337"/>
      <c r="HA48" s="337"/>
      <c r="HB48" s="276"/>
      <c r="HC48" s="276"/>
      <c r="HD48" s="276"/>
      <c r="HE48" s="337"/>
      <c r="HF48" s="337"/>
      <c r="HG48" s="337"/>
      <c r="HH48" s="294"/>
      <c r="HI48" s="337"/>
      <c r="HJ48" s="337"/>
      <c r="HK48" s="337"/>
      <c r="HL48" s="276"/>
      <c r="HM48" s="276"/>
      <c r="HN48" s="276"/>
      <c r="HO48" s="337"/>
      <c r="HP48" s="337"/>
      <c r="HQ48" s="337"/>
      <c r="HR48" s="276"/>
      <c r="HS48" s="337"/>
      <c r="HT48" s="337"/>
      <c r="HU48" s="337"/>
      <c r="HV48" s="294"/>
      <c r="HW48" s="337"/>
      <c r="HX48" s="337"/>
      <c r="HY48" s="337"/>
      <c r="HZ48" s="276"/>
      <c r="IA48" s="276"/>
      <c r="IB48" s="276"/>
      <c r="IC48" s="337"/>
      <c r="ID48" s="337"/>
      <c r="IE48" s="337"/>
      <c r="IF48" s="294"/>
      <c r="IG48" s="276"/>
      <c r="IH48" s="337"/>
      <c r="II48" s="337"/>
      <c r="IJ48" s="337"/>
      <c r="IK48" s="276"/>
      <c r="IL48" s="276"/>
      <c r="IM48" s="276"/>
      <c r="IN48" s="308"/>
      <c r="IO48" s="308"/>
      <c r="IP48" s="308"/>
      <c r="IQ48" s="294"/>
      <c r="IR48" s="294"/>
      <c r="IS48" s="294"/>
      <c r="IW48" s="276"/>
      <c r="IX48" s="294"/>
      <c r="IY48" s="294"/>
      <c r="JA48" s="337"/>
      <c r="JB48" s="337"/>
      <c r="JC48" s="515"/>
    </row>
    <row r="49" spans="2:267" ht="15.75">
      <c r="B49" s="308" t="s">
        <v>1211</v>
      </c>
      <c r="C49" s="308"/>
      <c r="D49" s="301">
        <f>SUM(D28:D48)</f>
        <v>3065394</v>
      </c>
      <c r="E49" s="301">
        <f>SUM(E28:E48)</f>
        <v>2724251</v>
      </c>
      <c r="F49" s="301">
        <f>SUM(F28:F48)</f>
        <v>341143</v>
      </c>
      <c r="G49" s="276"/>
      <c r="H49" s="301">
        <f>SUM(H28:H48)</f>
        <v>20799</v>
      </c>
      <c r="I49" s="301">
        <f>SUM(I28:I48)</f>
        <v>20799</v>
      </c>
      <c r="J49" s="301">
        <f>SUM(J28:J48)</f>
        <v>0</v>
      </c>
      <c r="K49" s="308"/>
      <c r="L49" s="308" t="s">
        <v>1211</v>
      </c>
      <c r="M49" s="308"/>
      <c r="N49" s="301">
        <f>SUM(N28:N48)</f>
        <v>232157</v>
      </c>
      <c r="O49" s="301">
        <f>SUM(O28:O48)</f>
        <v>232157</v>
      </c>
      <c r="P49" s="301">
        <f>SUM(P28:P48)</f>
        <v>0</v>
      </c>
      <c r="Q49" s="276"/>
      <c r="R49" s="301">
        <f>SUM(R28:R48)</f>
        <v>546932</v>
      </c>
      <c r="S49" s="301">
        <f>SUM(S28:S48)</f>
        <v>362149</v>
      </c>
      <c r="T49" s="301">
        <f>SUM(T28:T48)</f>
        <v>184783</v>
      </c>
      <c r="U49" s="308"/>
      <c r="V49" s="308" t="s">
        <v>1211</v>
      </c>
      <c r="W49" s="276"/>
      <c r="X49" s="301">
        <f>SUM(X28:X48)</f>
        <v>684924</v>
      </c>
      <c r="Y49" s="301">
        <f>SUM(Y28:Y48)</f>
        <v>343913</v>
      </c>
      <c r="Z49" s="301">
        <f>SUM(Z28:Z48)</f>
        <v>341011</v>
      </c>
      <c r="AA49" s="276"/>
      <c r="AB49" s="301">
        <f>SUM(AB28:AB48)</f>
        <v>3007076</v>
      </c>
      <c r="AC49" s="301">
        <f>SUM(AC28:AC48)</f>
        <v>2929880</v>
      </c>
      <c r="AD49" s="301">
        <f>SUM(AD28:AD48)</f>
        <v>77196</v>
      </c>
      <c r="AE49" s="300"/>
      <c r="AF49" s="308" t="s">
        <v>1211</v>
      </c>
      <c r="AG49" s="276"/>
      <c r="AH49" s="301">
        <f>SUM(AH28:AH48)</f>
        <v>1875</v>
      </c>
      <c r="AI49" s="301">
        <f>SUM(AI28:AI48)</f>
        <v>398</v>
      </c>
      <c r="AJ49" s="301">
        <f>SUM(AJ28:AJ48)</f>
        <v>1477</v>
      </c>
      <c r="AK49" s="276"/>
      <c r="AL49" s="301">
        <f>SUM(AL28:AL48)</f>
        <v>24875</v>
      </c>
      <c r="AM49" s="301">
        <f>SUM(AM28:AM48)</f>
        <v>11806</v>
      </c>
      <c r="AN49" s="301">
        <f>SUM(AN28:AN48)</f>
        <v>13069</v>
      </c>
      <c r="AO49" s="300"/>
      <c r="AP49" s="308" t="s">
        <v>1211</v>
      </c>
      <c r="AQ49" s="276"/>
      <c r="AR49" s="301">
        <f>SUM(AR28:AR48)</f>
        <v>2192103</v>
      </c>
      <c r="AS49" s="301">
        <f>SUM(AS28:AS48)</f>
        <v>2111135</v>
      </c>
      <c r="AT49" s="301">
        <f>SUM(AT28:AT48)</f>
        <v>80968</v>
      </c>
      <c r="AU49" s="276"/>
      <c r="AV49" s="301">
        <f>SUM(AV28:AV48)</f>
        <v>121120</v>
      </c>
      <c r="AW49" s="301">
        <f>SUM(AW28:AW48)</f>
        <v>101961</v>
      </c>
      <c r="AX49" s="301">
        <f>SUM(AX28:AX48)</f>
        <v>19159</v>
      </c>
      <c r="AY49" s="300"/>
      <c r="AZ49" s="308" t="s">
        <v>1211</v>
      </c>
      <c r="BA49" s="276"/>
      <c r="BB49" s="301">
        <f>SUM(BB28:BB48)</f>
        <v>67792</v>
      </c>
      <c r="BC49" s="301">
        <f>SUM(BC28:BC48)</f>
        <v>44402</v>
      </c>
      <c r="BD49" s="301">
        <f>SUM(BD28:BD48)</f>
        <v>23390</v>
      </c>
      <c r="BE49" s="276"/>
      <c r="BF49" s="301"/>
      <c r="BG49" s="301"/>
      <c r="BH49" s="301"/>
      <c r="BI49" s="276"/>
      <c r="BJ49" s="301">
        <f>SUM(BJ28:BJ48)</f>
        <v>0</v>
      </c>
      <c r="BK49" s="301">
        <f>SUM(BK28:BK48)</f>
        <v>0</v>
      </c>
      <c r="BL49" s="301">
        <f t="shared" ref="BL49:DF49" si="69">SUM(BL28:BL48)</f>
        <v>0</v>
      </c>
      <c r="BM49" s="300"/>
      <c r="BN49" s="308" t="s">
        <v>1211</v>
      </c>
      <c r="BO49" s="300"/>
      <c r="BP49" s="301">
        <f t="shared" si="69"/>
        <v>474667</v>
      </c>
      <c r="BQ49" s="301">
        <f t="shared" si="69"/>
        <v>307663</v>
      </c>
      <c r="BR49" s="301">
        <f t="shared" si="69"/>
        <v>167004</v>
      </c>
      <c r="BS49" s="300"/>
      <c r="BT49" s="301">
        <f t="shared" si="69"/>
        <v>1550536</v>
      </c>
      <c r="BU49" s="301">
        <f t="shared" si="69"/>
        <v>1062979</v>
      </c>
      <c r="BV49" s="301">
        <f t="shared" si="69"/>
        <v>487557</v>
      </c>
      <c r="BW49" s="300"/>
      <c r="BX49" s="308" t="s">
        <v>1211</v>
      </c>
      <c r="BY49" s="300"/>
      <c r="BZ49" s="301">
        <f t="shared" si="69"/>
        <v>0</v>
      </c>
      <c r="CA49" s="301">
        <f t="shared" si="69"/>
        <v>0</v>
      </c>
      <c r="CB49" s="301">
        <f t="shared" si="69"/>
        <v>0</v>
      </c>
      <c r="CC49" s="300"/>
      <c r="CD49" s="301">
        <f t="shared" si="69"/>
        <v>2605944</v>
      </c>
      <c r="CE49" s="301">
        <f t="shared" si="69"/>
        <v>2610727</v>
      </c>
      <c r="CF49" s="301">
        <f t="shared" si="69"/>
        <v>-4783</v>
      </c>
      <c r="CG49" s="300"/>
      <c r="CH49" s="308" t="s">
        <v>1211</v>
      </c>
      <c r="CI49" s="276"/>
      <c r="CJ49" s="301">
        <f t="shared" si="69"/>
        <v>177468</v>
      </c>
      <c r="CK49" s="301">
        <f t="shared" si="69"/>
        <v>177468</v>
      </c>
      <c r="CL49" s="301">
        <f t="shared" si="69"/>
        <v>0</v>
      </c>
      <c r="CM49" s="276"/>
      <c r="CN49" s="301">
        <f t="shared" si="69"/>
        <v>393853</v>
      </c>
      <c r="CO49" s="301">
        <f t="shared" si="69"/>
        <v>226021</v>
      </c>
      <c r="CP49" s="301">
        <f t="shared" si="69"/>
        <v>167832</v>
      </c>
      <c r="CQ49" s="300"/>
      <c r="CR49" s="308" t="s">
        <v>1211</v>
      </c>
      <c r="CS49" s="276"/>
      <c r="CT49" s="301">
        <f t="shared" si="69"/>
        <v>337813</v>
      </c>
      <c r="CU49" s="301">
        <f t="shared" si="69"/>
        <v>302307</v>
      </c>
      <c r="CV49" s="301">
        <f t="shared" si="69"/>
        <v>35506</v>
      </c>
      <c r="CW49" s="276"/>
      <c r="CX49" s="301">
        <f t="shared" si="69"/>
        <v>325442</v>
      </c>
      <c r="CY49" s="301">
        <f t="shared" si="69"/>
        <v>296998</v>
      </c>
      <c r="CZ49" s="301">
        <f t="shared" si="69"/>
        <v>28444</v>
      </c>
      <c r="DA49" s="300"/>
      <c r="DB49" s="308" t="s">
        <v>1211</v>
      </c>
      <c r="DC49" s="276"/>
      <c r="DD49" s="301">
        <f t="shared" si="69"/>
        <v>120549</v>
      </c>
      <c r="DE49" s="301">
        <f t="shared" si="69"/>
        <v>108245</v>
      </c>
      <c r="DF49" s="301">
        <f t="shared" si="69"/>
        <v>12304</v>
      </c>
      <c r="DG49" s="276"/>
      <c r="DH49" s="301">
        <f>SUM(DH28:DH48)</f>
        <v>4700988</v>
      </c>
      <c r="DI49" s="301">
        <f>SUM(DI28:DI48)</f>
        <v>4412224</v>
      </c>
      <c r="DJ49" s="301">
        <f>SUM(DJ28:DJ48)</f>
        <v>288764</v>
      </c>
      <c r="DK49" s="276"/>
      <c r="DL49" s="308" t="s">
        <v>1211</v>
      </c>
      <c r="DM49" s="276"/>
      <c r="DN49" s="301">
        <f>SUM(DN28:DN48)</f>
        <v>100000</v>
      </c>
      <c r="DO49" s="301">
        <f>SUM(DO28:DO48)</f>
        <v>0</v>
      </c>
      <c r="DP49" s="301">
        <f>SUM(DP28:DP48)</f>
        <v>100000</v>
      </c>
      <c r="DQ49" s="276"/>
      <c r="DR49" s="301">
        <f>SUM(DR28:DR48)</f>
        <v>25100</v>
      </c>
      <c r="DS49" s="301">
        <f>SUM(DS28:DS48)</f>
        <v>25100</v>
      </c>
      <c r="DT49" s="301">
        <f>SUM(DT28:DT48)</f>
        <v>0</v>
      </c>
      <c r="DU49" s="276"/>
      <c r="DV49" s="308" t="s">
        <v>1211</v>
      </c>
      <c r="DW49" s="276"/>
      <c r="DX49" s="301">
        <f>SUM(DX28:DX48)</f>
        <v>63292</v>
      </c>
      <c r="DY49" s="301">
        <f>SUM(DY28:DY48)</f>
        <v>36352</v>
      </c>
      <c r="DZ49" s="301">
        <f>SUM(DZ28:DZ48)</f>
        <v>26940</v>
      </c>
      <c r="EA49" s="276"/>
      <c r="EB49" s="301">
        <f>SUM(EB28:EB48)</f>
        <v>7000</v>
      </c>
      <c r="EC49" s="301">
        <f>SUM(EC28:EC48)</f>
        <v>0</v>
      </c>
      <c r="ED49" s="301">
        <f>SUM(ED28:ED48)</f>
        <v>7000</v>
      </c>
      <c r="EE49" s="276"/>
      <c r="EF49" s="308" t="s">
        <v>1211</v>
      </c>
      <c r="EG49" s="276"/>
      <c r="EH49" s="301">
        <f>SUM(EH28:EH48)</f>
        <v>132507</v>
      </c>
      <c r="EI49" s="301">
        <f>SUM(EI28:EI48)</f>
        <v>73060</v>
      </c>
      <c r="EJ49" s="301">
        <f>SUM(EJ28:EJ48)</f>
        <v>59447</v>
      </c>
      <c r="EK49" s="276"/>
      <c r="EL49" s="301">
        <f>SUM(EL28:EL48)</f>
        <v>102160</v>
      </c>
      <c r="EM49" s="301">
        <f>SUM(EM28:EM48)</f>
        <v>103446</v>
      </c>
      <c r="EN49" s="301">
        <f>SUM(EN28:EN48)</f>
        <v>-1286</v>
      </c>
      <c r="EO49" s="276"/>
      <c r="EP49" s="308" t="s">
        <v>1211</v>
      </c>
      <c r="EQ49" s="276"/>
      <c r="ER49" s="301">
        <f>SUM(ER28:ER48)</f>
        <v>25000</v>
      </c>
      <c r="ES49" s="301">
        <f>SUM(ES28:ES48)</f>
        <v>25000</v>
      </c>
      <c r="ET49" s="301">
        <f>SUM(ET28:ET48)</f>
        <v>0</v>
      </c>
      <c r="EU49" s="276"/>
      <c r="EV49" s="301">
        <f>SUM(EV28:EV48)</f>
        <v>0</v>
      </c>
      <c r="EW49" s="301">
        <f>SUM(EW28:EW48)</f>
        <v>0</v>
      </c>
      <c r="EX49" s="301">
        <f>SUM(EX28:EX48)</f>
        <v>0</v>
      </c>
      <c r="EY49" s="276"/>
      <c r="EZ49" s="308" t="s">
        <v>1211</v>
      </c>
      <c r="FA49" s="276"/>
      <c r="FB49" s="301">
        <f>SUM(FB28:FB48)</f>
        <v>54897</v>
      </c>
      <c r="FC49" s="301">
        <f>SUM(FC28:FC48)</f>
        <v>54897</v>
      </c>
      <c r="FD49" s="301">
        <f>SUM(FD28:FD48)</f>
        <v>0</v>
      </c>
      <c r="FE49" s="276"/>
      <c r="FF49" s="301">
        <f>SUM(FF28:FF48)</f>
        <v>204151</v>
      </c>
      <c r="FG49" s="301">
        <f>SUM(FG28:FG48)</f>
        <v>204151</v>
      </c>
      <c r="FH49" s="301">
        <f>SUM(FH28:FH48)</f>
        <v>0</v>
      </c>
      <c r="FI49" s="276"/>
      <c r="FJ49" s="308" t="s">
        <v>1211</v>
      </c>
      <c r="FK49" s="276"/>
      <c r="FL49" s="301">
        <f>SUM(FL28:FL48)</f>
        <v>60000</v>
      </c>
      <c r="FM49" s="301">
        <f>SUM(FM28:FM48)</f>
        <v>35072</v>
      </c>
      <c r="FN49" s="301">
        <f>SUM(FN28:FN48)</f>
        <v>24928</v>
      </c>
      <c r="FO49" s="276"/>
      <c r="FP49" s="301">
        <f>SUM(FP28:FP48)</f>
        <v>100000</v>
      </c>
      <c r="FQ49" s="301">
        <f>SUM(FQ28:FQ48)</f>
        <v>52642</v>
      </c>
      <c r="FR49" s="301">
        <f>SUM(FR28:FR48)</f>
        <v>47358</v>
      </c>
      <c r="FS49" s="276"/>
      <c r="FT49" s="308" t="s">
        <v>1211</v>
      </c>
      <c r="FU49" s="276"/>
      <c r="FV49" s="301">
        <f>SUM(FV28:FV48)</f>
        <v>0</v>
      </c>
      <c r="FW49" s="301">
        <f>SUM(FW28:FW48)</f>
        <v>0</v>
      </c>
      <c r="FX49" s="301">
        <f>SUM(FX28:FX48)</f>
        <v>0</v>
      </c>
      <c r="FY49" s="276"/>
      <c r="FZ49" s="301">
        <f>SUM(FZ28:FZ48)</f>
        <v>3413130</v>
      </c>
      <c r="GA49" s="301">
        <f>SUM(GA28:GA48)</f>
        <v>2020387</v>
      </c>
      <c r="GB49" s="301">
        <f>SUM(GB28:GB48)</f>
        <v>1392743</v>
      </c>
      <c r="GC49" s="276"/>
      <c r="GD49" s="301">
        <f>SUM(GD28:GD48)</f>
        <v>0</v>
      </c>
      <c r="GE49" s="301">
        <f>SUM(GE28:GE48)</f>
        <v>0</v>
      </c>
      <c r="GF49" s="301">
        <f>SUM(GF28:GF48)</f>
        <v>0</v>
      </c>
      <c r="GG49" s="276"/>
      <c r="GH49" s="308" t="s">
        <v>1211</v>
      </c>
      <c r="GI49" s="308"/>
      <c r="GJ49" s="301">
        <f>SUM(GJ28:GJ48)</f>
        <v>250000</v>
      </c>
      <c r="GK49" s="301">
        <f>SUM(GK28:GK48)</f>
        <v>235770</v>
      </c>
      <c r="GL49" s="301">
        <f>SUM(GL28:GL48)</f>
        <v>14230</v>
      </c>
      <c r="GN49" s="276"/>
      <c r="GO49" s="301">
        <f>SUM(GO28:GO48)</f>
        <v>264887</v>
      </c>
      <c r="GP49" s="301">
        <f>SUM(GP28:GP48)</f>
        <v>187603</v>
      </c>
      <c r="GQ49" s="301">
        <f>SUM(GQ28:GQ48)</f>
        <v>77284</v>
      </c>
      <c r="GR49" s="276"/>
      <c r="GS49" s="308" t="s">
        <v>1211</v>
      </c>
      <c r="GT49" s="276"/>
      <c r="GU49" s="301">
        <f>SUM(GU28:GU48)</f>
        <v>945376</v>
      </c>
      <c r="GV49" s="301">
        <f>SUM(GV28:GV48)</f>
        <v>254869</v>
      </c>
      <c r="GW49" s="301">
        <f>SUM(GW28:GW48)</f>
        <v>690507</v>
      </c>
      <c r="GX49" s="300"/>
      <c r="GY49" s="301">
        <f>SUM(GY28:GY48)</f>
        <v>257443</v>
      </c>
      <c r="GZ49" s="301">
        <f>SUM(GZ28:GZ48)</f>
        <v>249556</v>
      </c>
      <c r="HA49" s="301">
        <f>SUM(HA28:HA48)</f>
        <v>7887</v>
      </c>
      <c r="HB49" s="276"/>
      <c r="HC49" s="308" t="s">
        <v>1211</v>
      </c>
      <c r="HD49" s="276"/>
      <c r="HE49" s="301">
        <f>SUM(HE28:HE48)</f>
        <v>31736</v>
      </c>
      <c r="HF49" s="301">
        <f>SUM(HF28:HF48)</f>
        <v>22045</v>
      </c>
      <c r="HG49" s="301">
        <f>SUM(HG28:HG48)</f>
        <v>9691</v>
      </c>
      <c r="HH49" s="300"/>
      <c r="HI49" s="301">
        <f>SUM(HI28:HI48)</f>
        <v>100000</v>
      </c>
      <c r="HJ49" s="301">
        <f>SUM(HJ28:HJ48)</f>
        <v>50045</v>
      </c>
      <c r="HK49" s="301">
        <f>SUM(HK28:HK48)</f>
        <v>49955</v>
      </c>
      <c r="HL49" s="276"/>
      <c r="HM49" s="308" t="s">
        <v>1211</v>
      </c>
      <c r="HN49" s="276"/>
      <c r="HO49" s="301">
        <f>SUM(HO28:HO48)</f>
        <v>0</v>
      </c>
      <c r="HP49" s="301">
        <f>SUM(HP28:HP48)</f>
        <v>0</v>
      </c>
      <c r="HQ49" s="301">
        <f>SUM(HQ28:HQ48)</f>
        <v>0</v>
      </c>
      <c r="HR49" s="276"/>
      <c r="HS49" s="301">
        <f>SUM(HS28:HS48)</f>
        <v>0</v>
      </c>
      <c r="HT49" s="301">
        <f>SUM(HT28:HT48)</f>
        <v>0</v>
      </c>
      <c r="HU49" s="301">
        <f>SUM(HU28:HU48)</f>
        <v>0</v>
      </c>
      <c r="HV49" s="300"/>
      <c r="HW49" s="301">
        <f>SUM(HW28:HW48)</f>
        <v>41093</v>
      </c>
      <c r="HX49" s="301">
        <f>SUM(HX28:HX48)</f>
        <v>41093</v>
      </c>
      <c r="HY49" s="301">
        <f>SUM(HY28:HY48)</f>
        <v>0</v>
      </c>
      <c r="HZ49" s="276"/>
      <c r="IA49" s="308" t="s">
        <v>1211</v>
      </c>
      <c r="IB49" s="276"/>
      <c r="IC49" s="301">
        <f>SUM(IC28:IC48)</f>
        <v>87008</v>
      </c>
      <c r="ID49" s="301">
        <f>SUM(ID28:ID48)</f>
        <v>87008</v>
      </c>
      <c r="IE49" s="301">
        <f>SUM(IE28:IE48)</f>
        <v>0</v>
      </c>
      <c r="IF49" s="300"/>
      <c r="IG49" s="276"/>
      <c r="IH49" s="301">
        <f>SUM(IH28:IH48)</f>
        <v>26917087</v>
      </c>
      <c r="II49" s="301">
        <f>SUM(II28:II48)</f>
        <v>22145579</v>
      </c>
      <c r="IJ49" s="301">
        <f>SUM(IJ28:IJ48)</f>
        <v>4771508</v>
      </c>
      <c r="IK49" s="276"/>
      <c r="IL49" s="308" t="s">
        <v>1211</v>
      </c>
      <c r="IM49" s="276"/>
      <c r="IN49" s="308"/>
      <c r="IO49" s="308"/>
      <c r="IP49" s="308"/>
      <c r="IQ49" s="300"/>
      <c r="IR49" s="300"/>
      <c r="IS49" s="300"/>
      <c r="IW49" s="276"/>
      <c r="IX49" s="294"/>
      <c r="IY49" s="294"/>
      <c r="JA49" s="301">
        <f>SUM(JA28:JA48)</f>
        <v>0</v>
      </c>
      <c r="JB49" s="301">
        <f>SUM(JB28:JB48)</f>
        <v>0</v>
      </c>
      <c r="JC49" s="516">
        <f>SUM(JC28:JC48)</f>
        <v>0</v>
      </c>
    </row>
    <row r="50" spans="2:267" ht="15.75">
      <c r="B50" s="308" t="s">
        <v>677</v>
      </c>
      <c r="C50" s="308"/>
      <c r="D50" s="296"/>
      <c r="E50" s="296"/>
      <c r="F50" s="296"/>
      <c r="G50" s="276"/>
      <c r="H50" s="296"/>
      <c r="I50" s="296"/>
      <c r="J50" s="296"/>
      <c r="K50" s="308"/>
      <c r="L50" s="308" t="s">
        <v>677</v>
      </c>
      <c r="M50" s="308"/>
      <c r="N50" s="296"/>
      <c r="O50" s="296"/>
      <c r="P50" s="296"/>
      <c r="Q50" s="276"/>
      <c r="R50" s="296"/>
      <c r="S50" s="296"/>
      <c r="T50" s="296"/>
      <c r="U50" s="308"/>
      <c r="V50" s="308" t="s">
        <v>677</v>
      </c>
      <c r="W50" s="276"/>
      <c r="X50" s="296"/>
      <c r="Y50" s="296"/>
      <c r="Z50" s="296"/>
      <c r="AA50" s="276"/>
      <c r="AB50" s="296"/>
      <c r="AC50" s="296"/>
      <c r="AD50" s="296"/>
      <c r="AE50" s="296"/>
      <c r="AF50" s="308" t="s">
        <v>677</v>
      </c>
      <c r="AG50" s="276"/>
      <c r="AH50" s="296"/>
      <c r="AI50" s="296"/>
      <c r="AJ50" s="296"/>
      <c r="AK50" s="276"/>
      <c r="AL50" s="296"/>
      <c r="AM50" s="296"/>
      <c r="AN50" s="296"/>
      <c r="AO50" s="296"/>
      <c r="AP50" s="308" t="s">
        <v>677</v>
      </c>
      <c r="AQ50" s="276"/>
      <c r="AR50" s="296"/>
      <c r="AS50" s="296"/>
      <c r="AT50" s="296"/>
      <c r="AU50" s="276"/>
      <c r="AV50" s="296"/>
      <c r="AW50" s="296"/>
      <c r="AX50" s="296"/>
      <c r="AY50" s="296"/>
      <c r="AZ50" s="308" t="s">
        <v>677</v>
      </c>
      <c r="BA50" s="276"/>
      <c r="BB50" s="296"/>
      <c r="BC50" s="296"/>
      <c r="BD50" s="296"/>
      <c r="BE50" s="276"/>
      <c r="BF50" s="296"/>
      <c r="BG50" s="296"/>
      <c r="BH50" s="296"/>
      <c r="BI50" s="276"/>
      <c r="BJ50" s="296"/>
      <c r="BK50" s="296"/>
      <c r="BL50" s="296"/>
      <c r="BM50" s="296"/>
      <c r="BN50" s="308" t="s">
        <v>677</v>
      </c>
      <c r="BO50" s="296"/>
      <c r="BP50" s="296"/>
      <c r="BQ50" s="296"/>
      <c r="BR50" s="296"/>
      <c r="BS50" s="296"/>
      <c r="BT50" s="296"/>
      <c r="BU50" s="296"/>
      <c r="BV50" s="296"/>
      <c r="BW50" s="296"/>
      <c r="BX50" s="308" t="s">
        <v>677</v>
      </c>
      <c r="BY50" s="296"/>
      <c r="BZ50" s="296"/>
      <c r="CA50" s="296"/>
      <c r="CB50" s="296"/>
      <c r="CC50" s="296"/>
      <c r="CD50" s="296"/>
      <c r="CE50" s="296"/>
      <c r="CF50" s="296"/>
      <c r="CG50" s="296"/>
      <c r="CH50" s="308" t="s">
        <v>677</v>
      </c>
      <c r="CI50" s="276"/>
      <c r="CJ50" s="296"/>
      <c r="CK50" s="296"/>
      <c r="CL50" s="296"/>
      <c r="CM50" s="276"/>
      <c r="CN50" s="296"/>
      <c r="CO50" s="296"/>
      <c r="CP50" s="296"/>
      <c r="CQ50" s="296"/>
      <c r="CR50" s="308" t="s">
        <v>677</v>
      </c>
      <c r="CS50" s="276"/>
      <c r="CT50" s="296"/>
      <c r="CU50" s="296"/>
      <c r="CV50" s="296"/>
      <c r="CW50" s="276"/>
      <c r="CX50" s="296"/>
      <c r="CY50" s="296"/>
      <c r="CZ50" s="296"/>
      <c r="DA50" s="296"/>
      <c r="DB50" s="308" t="s">
        <v>677</v>
      </c>
      <c r="DC50" s="276"/>
      <c r="DD50" s="296"/>
      <c r="DE50" s="296"/>
      <c r="DF50" s="296"/>
      <c r="DG50" s="276"/>
      <c r="DH50" s="296"/>
      <c r="DI50" s="296"/>
      <c r="DJ50" s="296"/>
      <c r="DK50" s="276"/>
      <c r="DL50" s="308" t="s">
        <v>677</v>
      </c>
      <c r="DM50" s="276"/>
      <c r="DN50" s="296"/>
      <c r="DO50" s="296"/>
      <c r="DP50" s="296"/>
      <c r="DQ50" s="276"/>
      <c r="DR50" s="296"/>
      <c r="DS50" s="296"/>
      <c r="DT50" s="296"/>
      <c r="DU50" s="276"/>
      <c r="DV50" s="308" t="s">
        <v>677</v>
      </c>
      <c r="DW50" s="276"/>
      <c r="DX50" s="296"/>
      <c r="DY50" s="296"/>
      <c r="DZ50" s="296"/>
      <c r="EA50" s="276"/>
      <c r="EB50" s="296"/>
      <c r="EC50" s="296"/>
      <c r="ED50" s="296"/>
      <c r="EE50" s="276"/>
      <c r="EF50" s="308" t="s">
        <v>677</v>
      </c>
      <c r="EG50" s="276"/>
      <c r="EH50" s="296"/>
      <c r="EI50" s="296"/>
      <c r="EJ50" s="296"/>
      <c r="EK50" s="276"/>
      <c r="EL50" s="296"/>
      <c r="EM50" s="296"/>
      <c r="EN50" s="296"/>
      <c r="EO50" s="276"/>
      <c r="EP50" s="308" t="s">
        <v>677</v>
      </c>
      <c r="EQ50" s="276"/>
      <c r="ER50" s="296"/>
      <c r="ES50" s="296"/>
      <c r="ET50" s="296"/>
      <c r="EU50" s="276"/>
      <c r="EV50" s="296"/>
      <c r="EW50" s="296"/>
      <c r="EX50" s="296"/>
      <c r="EY50" s="276"/>
      <c r="EZ50" s="308" t="s">
        <v>677</v>
      </c>
      <c r="FA50" s="276"/>
      <c r="FB50" s="296"/>
      <c r="FC50" s="296"/>
      <c r="FD50" s="296"/>
      <c r="FE50" s="276"/>
      <c r="FF50" s="296"/>
      <c r="FG50" s="296"/>
      <c r="FH50" s="296"/>
      <c r="FI50" s="276"/>
      <c r="FJ50" s="308" t="s">
        <v>677</v>
      </c>
      <c r="FK50" s="276"/>
      <c r="FL50" s="296"/>
      <c r="FM50" s="296"/>
      <c r="FN50" s="296"/>
      <c r="FO50" s="276"/>
      <c r="FP50" s="296"/>
      <c r="FQ50" s="296"/>
      <c r="FR50" s="296"/>
      <c r="FS50" s="276"/>
      <c r="FT50" s="308" t="s">
        <v>677</v>
      </c>
      <c r="FU50" s="276"/>
      <c r="FV50" s="296"/>
      <c r="FW50" s="296"/>
      <c r="FX50" s="296"/>
      <c r="FY50" s="276"/>
      <c r="FZ50" s="296"/>
      <c r="GA50" s="296"/>
      <c r="GB50" s="296"/>
      <c r="GC50" s="276"/>
      <c r="GD50" s="296"/>
      <c r="GE50" s="296"/>
      <c r="GF50" s="296"/>
      <c r="GG50" s="276"/>
      <c r="GH50" s="308" t="s">
        <v>677</v>
      </c>
      <c r="GI50" s="308"/>
      <c r="GJ50" s="296"/>
      <c r="GK50" s="296"/>
      <c r="GL50" s="296"/>
      <c r="GN50" s="276"/>
      <c r="GO50" s="296"/>
      <c r="GP50" s="296"/>
      <c r="GQ50" s="296"/>
      <c r="GR50" s="276"/>
      <c r="GS50" s="308" t="s">
        <v>677</v>
      </c>
      <c r="GT50" s="276"/>
      <c r="GU50" s="296"/>
      <c r="GV50" s="296"/>
      <c r="GW50" s="296"/>
      <c r="GX50" s="296"/>
      <c r="GY50" s="296"/>
      <c r="GZ50" s="296"/>
      <c r="HA50" s="296"/>
      <c r="HB50" s="276"/>
      <c r="HC50" s="308" t="s">
        <v>677</v>
      </c>
      <c r="HD50" s="276"/>
      <c r="HE50" s="296"/>
      <c r="HF50" s="296"/>
      <c r="HG50" s="296"/>
      <c r="HH50" s="296"/>
      <c r="HI50" s="296"/>
      <c r="HJ50" s="296"/>
      <c r="HK50" s="296"/>
      <c r="HL50" s="276"/>
      <c r="HM50" s="308" t="s">
        <v>677</v>
      </c>
      <c r="HN50" s="276"/>
      <c r="HO50" s="296"/>
      <c r="HP50" s="296"/>
      <c r="HQ50" s="296"/>
      <c r="HR50" s="276"/>
      <c r="HS50" s="296"/>
      <c r="HT50" s="296"/>
      <c r="HU50" s="296"/>
      <c r="HV50" s="296"/>
      <c r="HW50" s="296"/>
      <c r="HX50" s="296"/>
      <c r="HY50" s="296"/>
      <c r="HZ50" s="276"/>
      <c r="IA50" s="308" t="s">
        <v>677</v>
      </c>
      <c r="IB50" s="276"/>
      <c r="IC50" s="296"/>
      <c r="ID50" s="296"/>
      <c r="IE50" s="296"/>
      <c r="IF50" s="296"/>
      <c r="IG50" s="276"/>
      <c r="IH50" s="296"/>
      <c r="II50" s="296"/>
      <c r="IJ50" s="296"/>
      <c r="IK50" s="276"/>
      <c r="IL50" s="308" t="s">
        <v>677</v>
      </c>
      <c r="IM50" s="276"/>
      <c r="IN50" s="308"/>
      <c r="IO50" s="308"/>
      <c r="IP50" s="308"/>
      <c r="IQ50" s="296"/>
      <c r="IR50" s="296"/>
      <c r="IS50" s="296"/>
      <c r="IW50" s="276"/>
      <c r="IX50" s="294"/>
      <c r="IY50" s="294"/>
      <c r="JA50" s="296"/>
      <c r="JB50" s="296"/>
      <c r="JC50" s="517"/>
    </row>
    <row r="51" spans="2:267" ht="15.75">
      <c r="B51" s="308" t="s">
        <v>598</v>
      </c>
      <c r="C51" s="308"/>
      <c r="D51" s="300">
        <f>SUM(D24-D49)</f>
        <v>-973499</v>
      </c>
      <c r="E51" s="300">
        <f>SUM(E24-E49)</f>
        <v>-1125675</v>
      </c>
      <c r="F51" s="300">
        <f>+F24+F49</f>
        <v>-152176</v>
      </c>
      <c r="G51" s="276"/>
      <c r="H51" s="300">
        <f>SUM(H24-H49)</f>
        <v>-2799</v>
      </c>
      <c r="I51" s="300">
        <f>SUM(I24-I49)</f>
        <v>-1939</v>
      </c>
      <c r="J51" s="300">
        <f>+J24+J49</f>
        <v>860</v>
      </c>
      <c r="K51" s="308"/>
      <c r="L51" s="308" t="s">
        <v>598</v>
      </c>
      <c r="M51" s="308"/>
      <c r="N51" s="300">
        <f>SUM(N24-N49)</f>
        <v>-7157</v>
      </c>
      <c r="O51" s="300">
        <f>SUM(O24-O49)</f>
        <v>45313</v>
      </c>
      <c r="P51" s="300">
        <f>+P24+P49</f>
        <v>52470</v>
      </c>
      <c r="Q51" s="276"/>
      <c r="R51" s="300">
        <f>SUM(R24-R49)</f>
        <v>-159482</v>
      </c>
      <c r="S51" s="300">
        <f>SUM(S24-S49)</f>
        <v>45816</v>
      </c>
      <c r="T51" s="300">
        <f>+T24+T49</f>
        <v>205298</v>
      </c>
      <c r="U51" s="308"/>
      <c r="V51" s="308" t="s">
        <v>598</v>
      </c>
      <c r="W51" s="276"/>
      <c r="X51" s="300">
        <f>SUM(X24-X49)</f>
        <v>181987</v>
      </c>
      <c r="Y51" s="300">
        <f>SUM(Y24-Y49)</f>
        <v>241466</v>
      </c>
      <c r="Z51" s="300">
        <f>+Z24+Z49</f>
        <v>59479</v>
      </c>
      <c r="AA51" s="276"/>
      <c r="AB51" s="300">
        <f>SUM(AB24-AB49)</f>
        <v>1301007</v>
      </c>
      <c r="AC51" s="300">
        <f>SUM(AC24-AC49)</f>
        <v>1782636</v>
      </c>
      <c r="AD51" s="300">
        <f>+AD24+AD49</f>
        <v>481629</v>
      </c>
      <c r="AE51" s="300"/>
      <c r="AF51" s="308" t="s">
        <v>598</v>
      </c>
      <c r="AG51" s="276"/>
      <c r="AH51" s="300">
        <f>SUM(AH24-AH49)</f>
        <v>0</v>
      </c>
      <c r="AI51" s="300">
        <f>SUM(AI24-AI49)</f>
        <v>1229</v>
      </c>
      <c r="AJ51" s="300">
        <f>+AJ24+AJ49</f>
        <v>1229</v>
      </c>
      <c r="AK51" s="276"/>
      <c r="AL51" s="300">
        <f>SUM(AL24-AL49)</f>
        <v>125</v>
      </c>
      <c r="AM51" s="300">
        <f>SUM(AM24-AM49)</f>
        <v>13155</v>
      </c>
      <c r="AN51" s="300">
        <f>+AN24+AN49</f>
        <v>13030</v>
      </c>
      <c r="AO51" s="300"/>
      <c r="AP51" s="308" t="s">
        <v>598</v>
      </c>
      <c r="AQ51" s="276"/>
      <c r="AR51" s="300">
        <f>SUM(AR24-AR49)</f>
        <v>-44332</v>
      </c>
      <c r="AS51" s="300">
        <f>SUM(AS24-AS49)</f>
        <v>60088</v>
      </c>
      <c r="AT51" s="300">
        <f>+AT24+AT49</f>
        <v>104420</v>
      </c>
      <c r="AU51" s="276"/>
      <c r="AV51" s="300">
        <f>SUM(AV24-AV49)</f>
        <v>49607</v>
      </c>
      <c r="AW51" s="300">
        <f>SUM(AW24-AW49)</f>
        <v>73275</v>
      </c>
      <c r="AX51" s="300">
        <f>+AX24+AX49</f>
        <v>23668</v>
      </c>
      <c r="AY51" s="300"/>
      <c r="AZ51" s="308" t="s">
        <v>598</v>
      </c>
      <c r="BA51" s="276"/>
      <c r="BB51" s="300">
        <f>SUM(BB24-BB49)</f>
        <v>-48990</v>
      </c>
      <c r="BC51" s="300">
        <f>SUM(BC24-BC49)</f>
        <v>-25421</v>
      </c>
      <c r="BD51" s="300">
        <f>+BD24+BD49</f>
        <v>23569</v>
      </c>
      <c r="BE51" s="276"/>
      <c r="BF51" s="300"/>
      <c r="BG51" s="300"/>
      <c r="BH51" s="300"/>
      <c r="BI51" s="276"/>
      <c r="BJ51" s="300">
        <f>SUM(BJ24-BJ49)</f>
        <v>1683000</v>
      </c>
      <c r="BK51" s="300">
        <f>SUM(BK24-BK49)</f>
        <v>1577208</v>
      </c>
      <c r="BL51" s="300">
        <f>+BL24+BL49</f>
        <v>-105792</v>
      </c>
      <c r="BM51" s="300"/>
      <c r="BN51" s="308" t="s">
        <v>598</v>
      </c>
      <c r="BO51" s="300"/>
      <c r="BP51" s="300">
        <f>SUM(BP24-BP49)</f>
        <v>-23948</v>
      </c>
      <c r="BQ51" s="300">
        <f>SUM(BQ24-BQ49)</f>
        <v>170729</v>
      </c>
      <c r="BR51" s="300">
        <f>+BR24+BR49</f>
        <v>194677</v>
      </c>
      <c r="BS51" s="300"/>
      <c r="BT51" s="300">
        <f>SUM(BT24-BT49)</f>
        <v>-615034</v>
      </c>
      <c r="BU51" s="300">
        <f>SUM(BU24-BU49)</f>
        <v>-130126</v>
      </c>
      <c r="BV51" s="300">
        <f>+BV24+BV49</f>
        <v>484908</v>
      </c>
      <c r="BW51" s="300"/>
      <c r="BX51" s="308" t="s">
        <v>598</v>
      </c>
      <c r="BY51" s="300"/>
      <c r="BZ51" s="300">
        <f>SUM(BZ24-BZ49)</f>
        <v>0</v>
      </c>
      <c r="CA51" s="300">
        <f>SUM(CA24-CA49)</f>
        <v>19</v>
      </c>
      <c r="CB51" s="300">
        <f>+CB24+CB49</f>
        <v>19</v>
      </c>
      <c r="CC51" s="300"/>
      <c r="CD51" s="300">
        <f>SUM(CD24-CD49)</f>
        <v>-160342</v>
      </c>
      <c r="CE51" s="300">
        <f>SUM(CE24-CE49)</f>
        <v>-86782</v>
      </c>
      <c r="CF51" s="300">
        <f>+CF24+CF49</f>
        <v>73560</v>
      </c>
      <c r="CG51" s="300"/>
      <c r="CH51" s="308" t="s">
        <v>598</v>
      </c>
      <c r="CI51" s="276"/>
      <c r="CJ51" s="300">
        <f>SUM(CJ24-CJ49)</f>
        <v>2016</v>
      </c>
      <c r="CK51" s="300">
        <f>SUM(CK24-CK49)</f>
        <v>5375</v>
      </c>
      <c r="CL51" s="300">
        <f>+CL24+CL49</f>
        <v>3359</v>
      </c>
      <c r="CM51" s="276"/>
      <c r="CN51" s="300">
        <f>SUM(CN24-CN49)</f>
        <v>-161163</v>
      </c>
      <c r="CO51" s="300">
        <f>SUM(CO24-CO49)</f>
        <v>7614</v>
      </c>
      <c r="CP51" s="300">
        <f>+CP24+CP49</f>
        <v>168777</v>
      </c>
      <c r="CQ51" s="300"/>
      <c r="CR51" s="308" t="s">
        <v>598</v>
      </c>
      <c r="CS51" s="276"/>
      <c r="CT51" s="300">
        <f>SUM(CT24-CT49)</f>
        <v>-337813</v>
      </c>
      <c r="CU51" s="300">
        <f>SUM(CU24-CU49)</f>
        <v>-302307</v>
      </c>
      <c r="CV51" s="300">
        <f>+CV24+CV49</f>
        <v>35506</v>
      </c>
      <c r="CW51" s="276"/>
      <c r="CX51" s="300">
        <f>SUM(CX24-CX49)</f>
        <v>-70642</v>
      </c>
      <c r="CY51" s="300">
        <f>SUM(CY24-CY49)</f>
        <v>2966</v>
      </c>
      <c r="CZ51" s="300">
        <f>+CZ24+CZ49</f>
        <v>73608</v>
      </c>
      <c r="DA51" s="300"/>
      <c r="DB51" s="308" t="s">
        <v>598</v>
      </c>
      <c r="DC51" s="276"/>
      <c r="DD51" s="300">
        <f>SUM(DD24-DD49)</f>
        <v>7951</v>
      </c>
      <c r="DE51" s="300">
        <f>SUM(DE24-DE49)</f>
        <v>-13275</v>
      </c>
      <c r="DF51" s="300">
        <f>+DF24+DF49</f>
        <v>-21226</v>
      </c>
      <c r="DG51" s="276"/>
      <c r="DH51" s="300">
        <f>SUM(DH24-DH49)</f>
        <v>270403</v>
      </c>
      <c r="DI51" s="300">
        <f>SUM(DI24-DI49)</f>
        <v>449098</v>
      </c>
      <c r="DJ51" s="300">
        <f>+DJ24+DJ49</f>
        <v>178695</v>
      </c>
      <c r="DK51" s="276"/>
      <c r="DL51" s="308" t="s">
        <v>598</v>
      </c>
      <c r="DM51" s="276"/>
      <c r="DN51" s="300">
        <f>SUM(DN24-DN49)</f>
        <v>-95000</v>
      </c>
      <c r="DO51" s="300">
        <f>SUM(DO24-DO49)</f>
        <v>43710</v>
      </c>
      <c r="DP51" s="300">
        <f>+DP24+DP49</f>
        <v>138710</v>
      </c>
      <c r="DQ51" s="276"/>
      <c r="DR51" s="300">
        <f>SUM(DR24-DR49)</f>
        <v>423</v>
      </c>
      <c r="DS51" s="300">
        <f>SUM(DS24-DS49)</f>
        <v>8341</v>
      </c>
      <c r="DT51" s="300">
        <f>+DT24+DT49</f>
        <v>7918</v>
      </c>
      <c r="DU51" s="276"/>
      <c r="DV51" s="308" t="s">
        <v>598</v>
      </c>
      <c r="DW51" s="276"/>
      <c r="DX51" s="300">
        <f>SUM(DX24-DX49)</f>
        <v>-20292</v>
      </c>
      <c r="DY51" s="300">
        <f>SUM(DY24-DY49)</f>
        <v>5602</v>
      </c>
      <c r="DZ51" s="300">
        <f>+DZ24+DZ49</f>
        <v>25894</v>
      </c>
      <c r="EA51" s="276"/>
      <c r="EB51" s="300">
        <f>SUM(EB24-EB49)</f>
        <v>-7000</v>
      </c>
      <c r="EC51" s="300">
        <f>SUM(EC24-EC49)</f>
        <v>94</v>
      </c>
      <c r="ED51" s="300">
        <f>+ED24+ED49</f>
        <v>7094</v>
      </c>
      <c r="EE51" s="276"/>
      <c r="EF51" s="308" t="s">
        <v>598</v>
      </c>
      <c r="EG51" s="276"/>
      <c r="EH51" s="300">
        <f>SUM(EH24-EH49)</f>
        <v>-62507</v>
      </c>
      <c r="EI51" s="300">
        <f>SUM(EI24-EI49)</f>
        <v>-54351</v>
      </c>
      <c r="EJ51" s="300">
        <f>+EJ24+EJ49</f>
        <v>8156</v>
      </c>
      <c r="EK51" s="276"/>
      <c r="EL51" s="300">
        <f>SUM(EL24-EL49)</f>
        <v>-51560</v>
      </c>
      <c r="EM51" s="300">
        <f>SUM(EM24-EM49)</f>
        <v>-93882</v>
      </c>
      <c r="EN51" s="300">
        <f>+EN24+EN49</f>
        <v>-42322</v>
      </c>
      <c r="EO51" s="276"/>
      <c r="EP51" s="308" t="s">
        <v>598</v>
      </c>
      <c r="EQ51" s="276"/>
      <c r="ER51" s="300">
        <f>SUM(ER24-ER49)</f>
        <v>-24850</v>
      </c>
      <c r="ES51" s="300">
        <f>SUM(ES24-ES49)</f>
        <v>-24023</v>
      </c>
      <c r="ET51" s="300">
        <f>+ET24+ET49</f>
        <v>827</v>
      </c>
      <c r="EU51" s="276"/>
      <c r="EV51" s="300">
        <f>SUM(EV24-EV49)</f>
        <v>0</v>
      </c>
      <c r="EW51" s="300">
        <f>SUM(EW24-EW49)</f>
        <v>2070</v>
      </c>
      <c r="EX51" s="300">
        <f>+EX24+EX49</f>
        <v>2070</v>
      </c>
      <c r="EY51" s="276"/>
      <c r="EZ51" s="308" t="s">
        <v>598</v>
      </c>
      <c r="FA51" s="276"/>
      <c r="FB51" s="300">
        <f>SUM(FB24-FB49)</f>
        <v>-5000</v>
      </c>
      <c r="FC51" s="300">
        <f>SUM(FC24-FC49)</f>
        <v>-26042</v>
      </c>
      <c r="FD51" s="300">
        <f>+FD24+FD49</f>
        <v>-21042</v>
      </c>
      <c r="FE51" s="276"/>
      <c r="FF51" s="300">
        <f>SUM(FF24-FF49)</f>
        <v>-30000</v>
      </c>
      <c r="FG51" s="300">
        <f>SUM(FG24-FG49)</f>
        <v>-17255</v>
      </c>
      <c r="FH51" s="300">
        <f>+FH24+FH49</f>
        <v>12745</v>
      </c>
      <c r="FI51" s="276"/>
      <c r="FJ51" s="308" t="s">
        <v>598</v>
      </c>
      <c r="FK51" s="276"/>
      <c r="FL51" s="300">
        <f>SUM(FL24-FL49)</f>
        <v>-48375</v>
      </c>
      <c r="FM51" s="300">
        <f>SUM(FM24-FM49)</f>
        <v>-18494</v>
      </c>
      <c r="FN51" s="300">
        <f>+FN24+FN49</f>
        <v>29881</v>
      </c>
      <c r="FO51" s="276"/>
      <c r="FP51" s="300">
        <f>SUM(FP24-FP49)</f>
        <v>-72800</v>
      </c>
      <c r="FQ51" s="300">
        <f>SUM(FQ24-FQ49)</f>
        <v>-25399</v>
      </c>
      <c r="FR51" s="300">
        <f>+FR24+FR49</f>
        <v>47401</v>
      </c>
      <c r="FS51" s="276"/>
      <c r="FT51" s="308" t="s">
        <v>598</v>
      </c>
      <c r="FU51" s="276"/>
      <c r="FV51" s="300">
        <f>SUM(FV24-FV49)</f>
        <v>0</v>
      </c>
      <c r="FW51" s="300">
        <f>SUM(FW24-FW49)</f>
        <v>0</v>
      </c>
      <c r="FX51" s="300">
        <f>+FX24+FX49</f>
        <v>0</v>
      </c>
      <c r="FY51" s="276"/>
      <c r="FZ51" s="300">
        <f>SUM(FZ24-FZ49)</f>
        <v>-3413130</v>
      </c>
      <c r="GA51" s="300">
        <f>SUM(GA24-GA49)</f>
        <v>-1953709</v>
      </c>
      <c r="GB51" s="300">
        <f>+GB24+GB49</f>
        <v>1459421</v>
      </c>
      <c r="GC51" s="276"/>
      <c r="GD51" s="300">
        <f>SUM(GD24-GD49)</f>
        <v>0</v>
      </c>
      <c r="GE51" s="300">
        <f>SUM(GE24-GE49)</f>
        <v>175320</v>
      </c>
      <c r="GF51" s="300">
        <f>+GF24+GF49</f>
        <v>175320</v>
      </c>
      <c r="GG51" s="276"/>
      <c r="GH51" s="308" t="s">
        <v>598</v>
      </c>
      <c r="GI51" s="308"/>
      <c r="GJ51" s="300">
        <f>SUM(GJ24-GJ49)</f>
        <v>0</v>
      </c>
      <c r="GK51" s="300">
        <f>SUM(GK24-GK49)</f>
        <v>0</v>
      </c>
      <c r="GL51" s="300">
        <f>+GL24+GL49</f>
        <v>0</v>
      </c>
      <c r="GN51" s="276"/>
      <c r="GO51" s="300">
        <f>SUM(GO24-GO49)</f>
        <v>-4887</v>
      </c>
      <c r="GP51" s="300">
        <f>SUM(GP24-GP49)</f>
        <v>85176</v>
      </c>
      <c r="GQ51" s="300">
        <f>+GQ24+GQ49</f>
        <v>90063</v>
      </c>
      <c r="GR51" s="276"/>
      <c r="GS51" s="308" t="s">
        <v>598</v>
      </c>
      <c r="GT51" s="276"/>
      <c r="GU51" s="300">
        <f>SUM(GU24-GU49)</f>
        <v>-606767</v>
      </c>
      <c r="GV51" s="300">
        <f>SUM(GV24-GV49)</f>
        <v>83741</v>
      </c>
      <c r="GW51" s="300">
        <f>+GW24+GW49</f>
        <v>690508</v>
      </c>
      <c r="GX51" s="300"/>
      <c r="GY51" s="300">
        <f>SUM(GY24-GY49)</f>
        <v>-12898</v>
      </c>
      <c r="GZ51" s="300">
        <f>SUM(GZ24-GZ49)</f>
        <v>61135</v>
      </c>
      <c r="HA51" s="300">
        <f>+HA24+HA49</f>
        <v>74033</v>
      </c>
      <c r="HB51" s="276"/>
      <c r="HC51" s="308" t="s">
        <v>598</v>
      </c>
      <c r="HD51" s="276"/>
      <c r="HE51" s="300">
        <f>SUM(HE24-HE49)</f>
        <v>50</v>
      </c>
      <c r="HF51" s="300">
        <f>SUM(HF24-HF49)</f>
        <v>-22045</v>
      </c>
      <c r="HG51" s="300">
        <f>+HG24+HG49</f>
        <v>-22095</v>
      </c>
      <c r="HH51" s="300"/>
      <c r="HI51" s="300">
        <f>SUM(HI24-HI49)</f>
        <v>88726</v>
      </c>
      <c r="HJ51" s="300">
        <f>SUM(HJ24-HJ49)</f>
        <v>50756</v>
      </c>
      <c r="HK51" s="300">
        <f>+HK24+HK49</f>
        <v>-37970</v>
      </c>
      <c r="HL51" s="276"/>
      <c r="HM51" s="308" t="s">
        <v>598</v>
      </c>
      <c r="HN51" s="276"/>
      <c r="HO51" s="300">
        <f>SUM(HO24-HO49)</f>
        <v>0</v>
      </c>
      <c r="HP51" s="300">
        <f>SUM(HP24-HP49)</f>
        <v>0</v>
      </c>
      <c r="HQ51" s="300">
        <f>+HQ24+HQ49</f>
        <v>0</v>
      </c>
      <c r="HR51" s="276"/>
      <c r="HS51" s="300">
        <f>SUM(HS24-HS49)</f>
        <v>0</v>
      </c>
      <c r="HT51" s="300">
        <f>SUM(HT24-HT49)</f>
        <v>0</v>
      </c>
      <c r="HU51" s="300">
        <f>+HU24+HU49</f>
        <v>0</v>
      </c>
      <c r="HV51" s="300"/>
      <c r="HW51" s="300">
        <f>SUM(HW24-HW49)</f>
        <v>-15714</v>
      </c>
      <c r="HX51" s="300">
        <f>SUM(HX24-HX49)</f>
        <v>-16741</v>
      </c>
      <c r="HY51" s="300">
        <f>+HY24+HY49</f>
        <v>-1027</v>
      </c>
      <c r="HZ51" s="276"/>
      <c r="IA51" s="308" t="s">
        <v>598</v>
      </c>
      <c r="IB51" s="276"/>
      <c r="IC51" s="300">
        <f>SUM(IC24-IC49)</f>
        <v>50000</v>
      </c>
      <c r="ID51" s="300">
        <f>SUM(ID24-ID49)</f>
        <v>17217</v>
      </c>
      <c r="IE51" s="300">
        <f>+IE24+IE49</f>
        <v>-32783</v>
      </c>
      <c r="IF51" s="300"/>
      <c r="IG51" s="276"/>
      <c r="IH51" s="300">
        <f>SUM(IH24-IH49)</f>
        <v>-3440686</v>
      </c>
      <c r="II51" s="300">
        <f>SUM(II24-II49)</f>
        <v>1071683</v>
      </c>
      <c r="IJ51" s="300">
        <f>+IJ24+IJ49</f>
        <v>4512369</v>
      </c>
      <c r="IK51" s="276"/>
      <c r="IL51" s="308" t="s">
        <v>598</v>
      </c>
      <c r="IM51" s="276"/>
      <c r="IN51" s="308"/>
      <c r="IO51" s="308"/>
      <c r="IP51" s="308"/>
      <c r="IQ51" s="300"/>
      <c r="IR51" s="300"/>
      <c r="IS51" s="300"/>
      <c r="IW51" s="276"/>
      <c r="IX51" s="294"/>
      <c r="IY51" s="294"/>
      <c r="JA51" s="300">
        <f>SUM(JA24-JA49)</f>
        <v>0</v>
      </c>
      <c r="JB51" s="300">
        <f>SUM(JB24-JB49)</f>
        <v>0</v>
      </c>
      <c r="JC51" s="518">
        <f>+JC24+JC49</f>
        <v>0</v>
      </c>
      <c r="JE51" s="288">
        <f t="shared" ref="JE51:JE57" si="70">SUM(D51:IG51)</f>
        <v>2143366</v>
      </c>
      <c r="JF51" s="288">
        <f t="shared" ref="JF51:JF57" si="71">SUM(IH51:IJ51)</f>
        <v>2143366</v>
      </c>
      <c r="JG51" s="288">
        <f t="shared" ref="JG51:JG57" si="72">+JF51-JE51</f>
        <v>0</v>
      </c>
    </row>
    <row r="52" spans="2:267" ht="15.75">
      <c r="B52" s="276"/>
      <c r="C52" s="276"/>
      <c r="D52" s="294"/>
      <c r="E52" s="294"/>
      <c r="F52" s="294"/>
      <c r="G52" s="276"/>
      <c r="H52" s="296"/>
      <c r="I52" s="296"/>
      <c r="J52" s="294"/>
      <c r="K52" s="276"/>
      <c r="L52" s="276"/>
      <c r="M52" s="276"/>
      <c r="N52" s="296"/>
      <c r="O52" s="296"/>
      <c r="P52" s="294"/>
      <c r="Q52" s="276"/>
      <c r="R52" s="296"/>
      <c r="S52" s="296"/>
      <c r="T52" s="294"/>
      <c r="U52" s="276"/>
      <c r="V52" s="276"/>
      <c r="W52" s="276"/>
      <c r="X52" s="296"/>
      <c r="Y52" s="296"/>
      <c r="Z52" s="294"/>
      <c r="AA52" s="276"/>
      <c r="AB52" s="296"/>
      <c r="AC52" s="296"/>
      <c r="AD52" s="294"/>
      <c r="AE52" s="294"/>
      <c r="AF52" s="276"/>
      <c r="AG52" s="276"/>
      <c r="AH52" s="296"/>
      <c r="AI52" s="296"/>
      <c r="AJ52" s="294"/>
      <c r="AK52" s="276"/>
      <c r="AL52" s="296"/>
      <c r="AM52" s="296"/>
      <c r="AN52" s="294"/>
      <c r="AO52" s="294"/>
      <c r="AP52" s="276"/>
      <c r="AQ52" s="276"/>
      <c r="AR52" s="296"/>
      <c r="AS52" s="296"/>
      <c r="AT52" s="294"/>
      <c r="AU52" s="276"/>
      <c r="AV52" s="296"/>
      <c r="AW52" s="296"/>
      <c r="AX52" s="294"/>
      <c r="AY52" s="294"/>
      <c r="AZ52" s="276"/>
      <c r="BA52" s="276"/>
      <c r="BB52" s="296"/>
      <c r="BC52" s="296"/>
      <c r="BD52" s="294"/>
      <c r="BE52" s="276"/>
      <c r="BF52" s="294"/>
      <c r="BG52" s="294"/>
      <c r="BH52" s="294"/>
      <c r="BI52" s="276"/>
      <c r="BJ52" s="296"/>
      <c r="BK52" s="296"/>
      <c r="BL52" s="294"/>
      <c r="BM52" s="294"/>
      <c r="BN52" s="276"/>
      <c r="BO52" s="294"/>
      <c r="BP52" s="296"/>
      <c r="BQ52" s="296"/>
      <c r="BR52" s="294"/>
      <c r="BS52" s="294"/>
      <c r="BT52" s="296"/>
      <c r="BU52" s="296"/>
      <c r="BV52" s="294"/>
      <c r="BW52" s="294"/>
      <c r="BX52" s="276"/>
      <c r="BY52" s="294"/>
      <c r="BZ52" s="296"/>
      <c r="CA52" s="296"/>
      <c r="CB52" s="294"/>
      <c r="CC52" s="294"/>
      <c r="CD52" s="296"/>
      <c r="CE52" s="296"/>
      <c r="CF52" s="294"/>
      <c r="CG52" s="294"/>
      <c r="CH52" s="276"/>
      <c r="CI52" s="276"/>
      <c r="CJ52" s="296"/>
      <c r="CK52" s="296"/>
      <c r="CL52" s="294"/>
      <c r="CM52" s="276"/>
      <c r="CN52" s="296"/>
      <c r="CO52" s="296"/>
      <c r="CP52" s="294"/>
      <c r="CQ52" s="294"/>
      <c r="CR52" s="276"/>
      <c r="CS52" s="276"/>
      <c r="CT52" s="296"/>
      <c r="CU52" s="296"/>
      <c r="CV52" s="294"/>
      <c r="CW52" s="276"/>
      <c r="CX52" s="296"/>
      <c r="CY52" s="296"/>
      <c r="CZ52" s="294"/>
      <c r="DA52" s="294"/>
      <c r="DB52" s="276"/>
      <c r="DC52" s="276"/>
      <c r="DD52" s="296"/>
      <c r="DE52" s="296"/>
      <c r="DF52" s="294"/>
      <c r="DG52" s="276"/>
      <c r="DH52" s="296"/>
      <c r="DI52" s="296"/>
      <c r="DJ52" s="294"/>
      <c r="DK52" s="276"/>
      <c r="DL52" s="276"/>
      <c r="DM52" s="276"/>
      <c r="DN52" s="296"/>
      <c r="DO52" s="296"/>
      <c r="DP52" s="294"/>
      <c r="DQ52" s="276"/>
      <c r="DR52" s="296"/>
      <c r="DS52" s="296"/>
      <c r="DT52" s="294"/>
      <c r="DU52" s="276"/>
      <c r="DV52" s="276"/>
      <c r="DW52" s="276"/>
      <c r="DX52" s="296"/>
      <c r="DY52" s="296"/>
      <c r="DZ52" s="294"/>
      <c r="EA52" s="276"/>
      <c r="EB52" s="296"/>
      <c r="EC52" s="296"/>
      <c r="ED52" s="294"/>
      <c r="EE52" s="276"/>
      <c r="EF52" s="276"/>
      <c r="EG52" s="276"/>
      <c r="EH52" s="296"/>
      <c r="EI52" s="296"/>
      <c r="EJ52" s="294"/>
      <c r="EK52" s="276"/>
      <c r="EL52" s="296"/>
      <c r="EM52" s="296"/>
      <c r="EN52" s="294"/>
      <c r="EO52" s="276"/>
      <c r="EP52" s="276"/>
      <c r="EQ52" s="276"/>
      <c r="ER52" s="296"/>
      <c r="ES52" s="296"/>
      <c r="ET52" s="294"/>
      <c r="EU52" s="276"/>
      <c r="EV52" s="296"/>
      <c r="EW52" s="296"/>
      <c r="EX52" s="294"/>
      <c r="EY52" s="276"/>
      <c r="EZ52" s="276"/>
      <c r="FA52" s="276"/>
      <c r="FB52" s="296"/>
      <c r="FC52" s="296"/>
      <c r="FD52" s="294"/>
      <c r="FE52" s="276"/>
      <c r="FF52" s="296"/>
      <c r="FG52" s="296"/>
      <c r="FH52" s="294"/>
      <c r="FI52" s="276"/>
      <c r="FJ52" s="276"/>
      <c r="FK52" s="276"/>
      <c r="FL52" s="296"/>
      <c r="FM52" s="296"/>
      <c r="FN52" s="294"/>
      <c r="FO52" s="276"/>
      <c r="FP52" s="296"/>
      <c r="FQ52" s="296"/>
      <c r="FR52" s="294"/>
      <c r="FS52" s="276"/>
      <c r="FT52" s="276"/>
      <c r="FU52" s="276"/>
      <c r="FV52" s="296"/>
      <c r="FW52" s="296"/>
      <c r="FX52" s="294"/>
      <c r="FY52" s="276"/>
      <c r="FZ52" s="296"/>
      <c r="GA52" s="296"/>
      <c r="GB52" s="294"/>
      <c r="GC52" s="276"/>
      <c r="GD52" s="296"/>
      <c r="GE52" s="296"/>
      <c r="GF52" s="294"/>
      <c r="GG52" s="276"/>
      <c r="GH52" s="276"/>
      <c r="GI52" s="276"/>
      <c r="GJ52" s="296"/>
      <c r="GK52" s="296"/>
      <c r="GL52" s="294"/>
      <c r="GN52" s="276"/>
      <c r="GO52" s="296"/>
      <c r="GP52" s="296"/>
      <c r="GQ52" s="294"/>
      <c r="GR52" s="276"/>
      <c r="GS52" s="276"/>
      <c r="GT52" s="276"/>
      <c r="GU52" s="296"/>
      <c r="GV52" s="296"/>
      <c r="GW52" s="294"/>
      <c r="GX52" s="294"/>
      <c r="GY52" s="296"/>
      <c r="GZ52" s="296"/>
      <c r="HA52" s="294"/>
      <c r="HB52" s="276"/>
      <c r="HC52" s="276"/>
      <c r="HD52" s="276"/>
      <c r="HE52" s="296"/>
      <c r="HF52" s="296"/>
      <c r="HG52" s="294"/>
      <c r="HH52" s="294"/>
      <c r="HI52" s="296"/>
      <c r="HJ52" s="296"/>
      <c r="HK52" s="294"/>
      <c r="HL52" s="276"/>
      <c r="HM52" s="276"/>
      <c r="HN52" s="276"/>
      <c r="HO52" s="296"/>
      <c r="HP52" s="296"/>
      <c r="HQ52" s="294"/>
      <c r="HR52" s="276"/>
      <c r="HS52" s="296"/>
      <c r="HT52" s="296"/>
      <c r="HU52" s="294"/>
      <c r="HV52" s="294"/>
      <c r="HW52" s="296"/>
      <c r="HX52" s="296"/>
      <c r="HY52" s="294"/>
      <c r="HZ52" s="276"/>
      <c r="IA52" s="276"/>
      <c r="IB52" s="276"/>
      <c r="IC52" s="296"/>
      <c r="ID52" s="296"/>
      <c r="IE52" s="294"/>
      <c r="IF52" s="294"/>
      <c r="IG52" s="276"/>
      <c r="IH52" s="296"/>
      <c r="II52" s="296"/>
      <c r="IJ52" s="296"/>
      <c r="IK52" s="276"/>
      <c r="IL52" s="276"/>
      <c r="IM52" s="276"/>
      <c r="IN52" s="308"/>
      <c r="IO52" s="308"/>
      <c r="IP52" s="308"/>
      <c r="IQ52" s="294"/>
      <c r="IR52" s="294"/>
      <c r="IS52" s="294"/>
      <c r="IW52" s="276"/>
      <c r="IX52" s="294"/>
      <c r="IY52" s="294"/>
      <c r="JA52" s="296"/>
      <c r="JB52" s="296"/>
      <c r="JC52" s="514"/>
      <c r="JE52" s="288">
        <f t="shared" si="70"/>
        <v>0</v>
      </c>
      <c r="JF52" s="288">
        <f t="shared" si="71"/>
        <v>0</v>
      </c>
      <c r="JG52" s="288">
        <f t="shared" si="72"/>
        <v>0</v>
      </c>
    </row>
    <row r="53" spans="2:267" ht="15.75">
      <c r="B53" s="308" t="s">
        <v>833</v>
      </c>
      <c r="C53" s="308"/>
      <c r="D53" s="294"/>
      <c r="E53" s="294"/>
      <c r="F53" s="294"/>
      <c r="G53" s="276"/>
      <c r="H53" s="314"/>
      <c r="I53" s="314"/>
      <c r="J53" s="294"/>
      <c r="K53" s="308"/>
      <c r="L53" s="308" t="s">
        <v>833</v>
      </c>
      <c r="M53" s="308"/>
      <c r="N53" s="314"/>
      <c r="O53" s="314"/>
      <c r="P53" s="294"/>
      <c r="Q53" s="276"/>
      <c r="R53" s="314"/>
      <c r="S53" s="314"/>
      <c r="T53" s="294"/>
      <c r="U53" s="308"/>
      <c r="V53" s="308" t="s">
        <v>833</v>
      </c>
      <c r="W53" s="276"/>
      <c r="X53" s="314"/>
      <c r="Y53" s="314"/>
      <c r="Z53" s="294"/>
      <c r="AA53" s="276"/>
      <c r="AB53" s="314"/>
      <c r="AC53" s="314"/>
      <c r="AD53" s="294"/>
      <c r="AE53" s="294"/>
      <c r="AF53" s="308" t="s">
        <v>833</v>
      </c>
      <c r="AG53" s="276"/>
      <c r="AH53" s="314"/>
      <c r="AI53" s="314"/>
      <c r="AJ53" s="294"/>
      <c r="AK53" s="276"/>
      <c r="AL53" s="314"/>
      <c r="AM53" s="314"/>
      <c r="AN53" s="294"/>
      <c r="AO53" s="294"/>
      <c r="AP53" s="308" t="s">
        <v>833</v>
      </c>
      <c r="AQ53" s="276"/>
      <c r="AR53" s="314"/>
      <c r="AS53" s="314"/>
      <c r="AT53" s="294"/>
      <c r="AU53" s="276"/>
      <c r="AV53" s="314"/>
      <c r="AW53" s="314"/>
      <c r="AX53" s="294"/>
      <c r="AY53" s="294"/>
      <c r="AZ53" s="308" t="s">
        <v>833</v>
      </c>
      <c r="BA53" s="276"/>
      <c r="BB53" s="314"/>
      <c r="BC53" s="314"/>
      <c r="BD53" s="294"/>
      <c r="BE53" s="276"/>
      <c r="BF53" s="294"/>
      <c r="BG53" s="294"/>
      <c r="BH53" s="294"/>
      <c r="BI53" s="276"/>
      <c r="BJ53" s="314"/>
      <c r="BK53" s="314"/>
      <c r="BL53" s="294"/>
      <c r="BM53" s="294"/>
      <c r="BN53" s="308" t="s">
        <v>833</v>
      </c>
      <c r="BO53" s="294"/>
      <c r="BP53" s="314"/>
      <c r="BQ53" s="314"/>
      <c r="BR53" s="294"/>
      <c r="BS53" s="294"/>
      <c r="BT53" s="314"/>
      <c r="BU53" s="314"/>
      <c r="BV53" s="294"/>
      <c r="BW53" s="294"/>
      <c r="BX53" s="308" t="s">
        <v>833</v>
      </c>
      <c r="BY53" s="294"/>
      <c r="BZ53" s="314"/>
      <c r="CA53" s="314"/>
      <c r="CB53" s="294"/>
      <c r="CC53" s="294"/>
      <c r="CD53" s="314"/>
      <c r="CE53" s="314"/>
      <c r="CF53" s="294"/>
      <c r="CG53" s="294"/>
      <c r="CH53" s="308" t="s">
        <v>833</v>
      </c>
      <c r="CI53" s="276"/>
      <c r="CJ53" s="314"/>
      <c r="CK53" s="314"/>
      <c r="CL53" s="294"/>
      <c r="CM53" s="276"/>
      <c r="CN53" s="314"/>
      <c r="CO53" s="314"/>
      <c r="CP53" s="294"/>
      <c r="CQ53" s="294"/>
      <c r="CR53" s="308" t="s">
        <v>833</v>
      </c>
      <c r="CS53" s="276"/>
      <c r="CT53" s="314"/>
      <c r="CU53" s="314"/>
      <c r="CV53" s="294"/>
      <c r="CW53" s="276"/>
      <c r="CX53" s="314"/>
      <c r="CY53" s="314"/>
      <c r="CZ53" s="294"/>
      <c r="DA53" s="294"/>
      <c r="DB53" s="308" t="s">
        <v>833</v>
      </c>
      <c r="DC53" s="276"/>
      <c r="DD53" s="314"/>
      <c r="DE53" s="314"/>
      <c r="DF53" s="294"/>
      <c r="DG53" s="276"/>
      <c r="DH53" s="314"/>
      <c r="DI53" s="314"/>
      <c r="DJ53" s="294"/>
      <c r="DK53" s="276"/>
      <c r="DL53" s="308" t="s">
        <v>833</v>
      </c>
      <c r="DM53" s="276"/>
      <c r="DN53" s="314"/>
      <c r="DO53" s="314"/>
      <c r="DP53" s="294"/>
      <c r="DQ53" s="276"/>
      <c r="DR53" s="314"/>
      <c r="DS53" s="314"/>
      <c r="DT53" s="294"/>
      <c r="DU53" s="276"/>
      <c r="DV53" s="308" t="s">
        <v>833</v>
      </c>
      <c r="DW53" s="276"/>
      <c r="DX53" s="314"/>
      <c r="DY53" s="314"/>
      <c r="DZ53" s="294"/>
      <c r="EA53" s="276"/>
      <c r="EB53" s="314"/>
      <c r="EC53" s="314"/>
      <c r="ED53" s="294"/>
      <c r="EE53" s="276"/>
      <c r="EF53" s="308" t="s">
        <v>833</v>
      </c>
      <c r="EG53" s="276"/>
      <c r="EH53" s="314"/>
      <c r="EI53" s="314"/>
      <c r="EJ53" s="294"/>
      <c r="EK53" s="276"/>
      <c r="EL53" s="314"/>
      <c r="EM53" s="314"/>
      <c r="EN53" s="294"/>
      <c r="EO53" s="276"/>
      <c r="EP53" s="308" t="s">
        <v>833</v>
      </c>
      <c r="EQ53" s="276"/>
      <c r="ER53" s="314"/>
      <c r="ES53" s="314"/>
      <c r="ET53" s="294"/>
      <c r="EU53" s="276"/>
      <c r="EV53" s="314"/>
      <c r="EW53" s="314"/>
      <c r="EX53" s="294"/>
      <c r="EY53" s="276"/>
      <c r="EZ53" s="308" t="s">
        <v>833</v>
      </c>
      <c r="FA53" s="276"/>
      <c r="FB53" s="314"/>
      <c r="FC53" s="314"/>
      <c r="FD53" s="294"/>
      <c r="FE53" s="276"/>
      <c r="FF53" s="314"/>
      <c r="FG53" s="314"/>
      <c r="FH53" s="294"/>
      <c r="FI53" s="276"/>
      <c r="FJ53" s="308" t="s">
        <v>833</v>
      </c>
      <c r="FK53" s="276"/>
      <c r="FL53" s="314"/>
      <c r="FM53" s="314"/>
      <c r="FN53" s="294"/>
      <c r="FO53" s="276"/>
      <c r="FP53" s="314"/>
      <c r="FQ53" s="314"/>
      <c r="FR53" s="294"/>
      <c r="FS53" s="276"/>
      <c r="FT53" s="308" t="s">
        <v>833</v>
      </c>
      <c r="FU53" s="276"/>
      <c r="FV53" s="314"/>
      <c r="FW53" s="314"/>
      <c r="FX53" s="294"/>
      <c r="FY53" s="276"/>
      <c r="FZ53" s="314"/>
      <c r="GA53" s="314"/>
      <c r="GB53" s="294"/>
      <c r="GC53" s="276"/>
      <c r="GD53" s="314"/>
      <c r="GE53" s="314"/>
      <c r="GF53" s="294"/>
      <c r="GG53" s="276"/>
      <c r="GH53" s="308" t="s">
        <v>833</v>
      </c>
      <c r="GI53" s="308"/>
      <c r="GJ53" s="314"/>
      <c r="GK53" s="314"/>
      <c r="GL53" s="294"/>
      <c r="GN53" s="276"/>
      <c r="GO53" s="314"/>
      <c r="GP53" s="314"/>
      <c r="GQ53" s="294"/>
      <c r="GR53" s="276"/>
      <c r="GS53" s="308" t="s">
        <v>833</v>
      </c>
      <c r="GT53" s="276"/>
      <c r="GU53" s="314"/>
      <c r="GV53" s="314"/>
      <c r="GW53" s="294"/>
      <c r="GX53" s="294"/>
      <c r="GY53" s="314"/>
      <c r="GZ53" s="314"/>
      <c r="HA53" s="294"/>
      <c r="HB53" s="276"/>
      <c r="HC53" s="308" t="s">
        <v>833</v>
      </c>
      <c r="HD53" s="276"/>
      <c r="HE53" s="314"/>
      <c r="HF53" s="314"/>
      <c r="HG53" s="294"/>
      <c r="HH53" s="294"/>
      <c r="HI53" s="314"/>
      <c r="HJ53" s="314"/>
      <c r="HK53" s="294"/>
      <c r="HL53" s="276"/>
      <c r="HM53" s="308" t="s">
        <v>833</v>
      </c>
      <c r="HN53" s="276"/>
      <c r="HO53" s="314"/>
      <c r="HP53" s="314"/>
      <c r="HQ53" s="294"/>
      <c r="HR53" s="276"/>
      <c r="HS53" s="314"/>
      <c r="HT53" s="314"/>
      <c r="HU53" s="294"/>
      <c r="HV53" s="294"/>
      <c r="HW53" s="314"/>
      <c r="HX53" s="314"/>
      <c r="HY53" s="294"/>
      <c r="HZ53" s="276"/>
      <c r="IA53" s="308" t="s">
        <v>833</v>
      </c>
      <c r="IB53" s="276"/>
      <c r="IC53" s="314"/>
      <c r="ID53" s="314"/>
      <c r="IE53" s="294"/>
      <c r="IF53" s="294"/>
      <c r="IG53" s="276"/>
      <c r="IH53" s="314"/>
      <c r="II53" s="314"/>
      <c r="IJ53" s="294"/>
      <c r="IK53" s="276"/>
      <c r="IL53" s="308" t="s">
        <v>833</v>
      </c>
      <c r="IM53" s="276"/>
      <c r="IN53" s="308"/>
      <c r="IO53" s="308"/>
      <c r="IP53" s="308"/>
      <c r="IQ53" s="294"/>
      <c r="IR53" s="294"/>
      <c r="IS53" s="294"/>
      <c r="IW53" s="276"/>
      <c r="IX53" s="294"/>
      <c r="IY53" s="294"/>
      <c r="JA53" s="314"/>
      <c r="JB53" s="314"/>
      <c r="JC53" s="514"/>
      <c r="JE53" s="288">
        <f t="shared" si="70"/>
        <v>0</v>
      </c>
      <c r="JF53" s="288">
        <f t="shared" si="71"/>
        <v>0</v>
      </c>
      <c r="JG53" s="288">
        <f t="shared" si="72"/>
        <v>0</v>
      </c>
    </row>
    <row r="54" spans="2:267" ht="15.75">
      <c r="B54" s="276" t="s">
        <v>1213</v>
      </c>
      <c r="C54" s="276"/>
      <c r="D54" s="294">
        <f>+'SR BUDACT ER'!G86</f>
        <v>781017</v>
      </c>
      <c r="E54" s="294">
        <f>+'SR BUDACT ER'!H86</f>
        <v>727830</v>
      </c>
      <c r="F54" s="294">
        <f>SUM(E54-D54)</f>
        <v>-53187</v>
      </c>
      <c r="G54" s="276"/>
      <c r="H54" s="294">
        <f>+'SR BUDACT ER'!J86</f>
        <v>0</v>
      </c>
      <c r="I54" s="294">
        <f>+'SR BUDACT ER'!K86</f>
        <v>0</v>
      </c>
      <c r="J54" s="294">
        <f>SUM(I54-H54)</f>
        <v>0</v>
      </c>
      <c r="K54" s="276"/>
      <c r="L54" s="276" t="s">
        <v>1213</v>
      </c>
      <c r="M54" s="276"/>
      <c r="N54" s="294">
        <f>+'SR BUDACT ER'!M86</f>
        <v>0</v>
      </c>
      <c r="O54" s="294">
        <f>+'SR BUDACT ER'!N86</f>
        <v>0</v>
      </c>
      <c r="P54" s="294">
        <f>SUM(O54-N54)</f>
        <v>0</v>
      </c>
      <c r="Q54" s="276"/>
      <c r="R54" s="294">
        <f>+'SR BUDACT ER'!P86</f>
        <v>17944</v>
      </c>
      <c r="S54" s="294">
        <f>+'SR BUDACT ER'!Q86</f>
        <v>14446</v>
      </c>
      <c r="T54" s="294">
        <f>SUM(S54-R54)</f>
        <v>-3498</v>
      </c>
      <c r="U54" s="276"/>
      <c r="V54" s="276" t="s">
        <v>1213</v>
      </c>
      <c r="W54" s="276"/>
      <c r="X54" s="294">
        <f>+'SR BUDACT ER'!S86</f>
        <v>0</v>
      </c>
      <c r="Y54" s="294">
        <f>+'SR BUDACT ER'!T86</f>
        <v>5640</v>
      </c>
      <c r="Z54" s="294">
        <f>SUM(Y54-X54)</f>
        <v>5640</v>
      </c>
      <c r="AA54" s="276"/>
      <c r="AB54" s="294">
        <f>+'SR BUDACT ER'!V86</f>
        <v>213351</v>
      </c>
      <c r="AC54" s="294">
        <f>+'SR BUDACT ER'!W86</f>
        <v>212430</v>
      </c>
      <c r="AD54" s="294">
        <f>SUM(AC54-AB54)</f>
        <v>-921</v>
      </c>
      <c r="AE54" s="294"/>
      <c r="AF54" s="276" t="s">
        <v>1213</v>
      </c>
      <c r="AG54" s="276"/>
      <c r="AH54" s="294">
        <f>+'SR BUDACT ER'!Y86</f>
        <v>0</v>
      </c>
      <c r="AI54" s="294">
        <f>+'SR BUDACT ER'!Z86</f>
        <v>0</v>
      </c>
      <c r="AJ54" s="294">
        <f>SUM(AI54-AH54)</f>
        <v>0</v>
      </c>
      <c r="AK54" s="276"/>
      <c r="AL54" s="294">
        <f>+'SR BUDACT ER'!AB86</f>
        <v>0</v>
      </c>
      <c r="AM54" s="294">
        <f>+'SR BUDACT ER'!AC86</f>
        <v>0</v>
      </c>
      <c r="AN54" s="294">
        <f>SUM(AM54-AL54)</f>
        <v>0</v>
      </c>
      <c r="AO54" s="294"/>
      <c r="AP54" s="276" t="s">
        <v>1213</v>
      </c>
      <c r="AQ54" s="276"/>
      <c r="AR54" s="294">
        <f>+'SR BUDACT ER'!AE86</f>
        <v>84900</v>
      </c>
      <c r="AS54" s="294">
        <f>+'SR BUDACT ER'!AF86</f>
        <v>82358</v>
      </c>
      <c r="AT54" s="294">
        <f>SUM(AS54-AR54)</f>
        <v>-2542</v>
      </c>
      <c r="AU54" s="276"/>
      <c r="AV54" s="294">
        <f>+'SR BUDACT ER'!AH86</f>
        <v>0</v>
      </c>
      <c r="AW54" s="294">
        <f>+'SR BUDACT ER'!AI86</f>
        <v>0</v>
      </c>
      <c r="AX54" s="294">
        <f>SUM(AW54-AV54)</f>
        <v>0</v>
      </c>
      <c r="AY54" s="294"/>
      <c r="AZ54" s="276" t="s">
        <v>1213</v>
      </c>
      <c r="BA54" s="276"/>
      <c r="BB54" s="294">
        <f>+'SR BUDACT ER'!AK86</f>
        <v>25000</v>
      </c>
      <c r="BC54" s="294">
        <f>+'SR BUDACT ER'!AL86</f>
        <v>40000</v>
      </c>
      <c r="BD54" s="294">
        <f>SUM(BC54-BB54)</f>
        <v>15000</v>
      </c>
      <c r="BE54" s="276"/>
      <c r="BF54" s="294"/>
      <c r="BG54" s="294"/>
      <c r="BH54" s="294"/>
      <c r="BI54" s="276"/>
      <c r="BJ54" s="294">
        <f>+'SR BUDACT ER'!AQ86</f>
        <v>0</v>
      </c>
      <c r="BK54" s="294">
        <f>+'SR BUDACT ER'!AR86</f>
        <v>0</v>
      </c>
      <c r="BL54" s="294">
        <f>SUM(BK54-BJ54)</f>
        <v>0</v>
      </c>
      <c r="BM54" s="294"/>
      <c r="BN54" s="276" t="s">
        <v>1213</v>
      </c>
      <c r="BO54" s="294"/>
      <c r="BP54" s="294">
        <f>+'SR BUDACT ER'!AT86</f>
        <v>17500</v>
      </c>
      <c r="BQ54" s="294">
        <f>+'SR BUDACT ER'!AU86</f>
        <v>12220</v>
      </c>
      <c r="BR54" s="294">
        <f>SUM(BQ54-BP54)</f>
        <v>-5280</v>
      </c>
      <c r="BS54" s="294"/>
      <c r="BT54" s="294">
        <f>+'SR BUDACT ER'!AW86</f>
        <v>45363</v>
      </c>
      <c r="BU54" s="294">
        <f>+'SR BUDACT ER'!AX86</f>
        <v>43710</v>
      </c>
      <c r="BV54" s="294">
        <f>SUM(BU54-BT54)</f>
        <v>-1653</v>
      </c>
      <c r="BW54" s="294"/>
      <c r="BX54" s="276" t="s">
        <v>1213</v>
      </c>
      <c r="BY54" s="294"/>
      <c r="BZ54" s="294">
        <f>+'SR BUDACT ER'!AZ86</f>
        <v>0</v>
      </c>
      <c r="CA54" s="294">
        <f>+'SR BUDACT ER'!BA86+0</f>
        <v>0</v>
      </c>
      <c r="CB54" s="294">
        <f>SUM(CA54-BZ54)</f>
        <v>0</v>
      </c>
      <c r="CC54" s="294"/>
      <c r="CD54" s="294">
        <f>+'SR BUDACT ER'!BC86-10000</f>
        <v>430848</v>
      </c>
      <c r="CE54" s="294">
        <f>+'SR BUDACT ER'!BD86</f>
        <v>434813</v>
      </c>
      <c r="CF54" s="294">
        <f>SUM(CE54-CD54)</f>
        <v>3965</v>
      </c>
      <c r="CG54" s="294"/>
      <c r="CH54" s="276" t="s">
        <v>1213</v>
      </c>
      <c r="CI54" s="276"/>
      <c r="CJ54" s="294">
        <f>+'SR BUDACT ER'!BF86</f>
        <v>0</v>
      </c>
      <c r="CK54" s="294">
        <f>+'SR BUDACT ER'!BG86</f>
        <v>0</v>
      </c>
      <c r="CL54" s="294">
        <f>SUM(CK54-CJ54)</f>
        <v>0</v>
      </c>
      <c r="CM54" s="276"/>
      <c r="CN54" s="294">
        <f>+'SR BUDACT ER'!BI86</f>
        <v>5040</v>
      </c>
      <c r="CO54" s="294">
        <f>+'SR BUDACT ER'!BJ86</f>
        <v>5640</v>
      </c>
      <c r="CP54" s="294">
        <f>SUM(CO54-CN54)</f>
        <v>600</v>
      </c>
      <c r="CQ54" s="294"/>
      <c r="CR54" s="276" t="s">
        <v>1213</v>
      </c>
      <c r="CS54" s="276"/>
      <c r="CT54" s="294">
        <f>+'SR BUDACT ER'!BL86</f>
        <v>460000</v>
      </c>
      <c r="CU54" s="294">
        <f>+'SR BUDACT ER'!BM86</f>
        <v>342640</v>
      </c>
      <c r="CV54" s="294">
        <f>SUM(CU54-CT54)</f>
        <v>-117360</v>
      </c>
      <c r="CW54" s="276"/>
      <c r="CX54" s="294">
        <f>+'SR BUDACT ER'!BO86</f>
        <v>50000</v>
      </c>
      <c r="CY54" s="294">
        <f>+'SR BUDACT ER'!BP86</f>
        <v>50000</v>
      </c>
      <c r="CZ54" s="294">
        <f>SUM(CY54-CX54)</f>
        <v>0</v>
      </c>
      <c r="DA54" s="294"/>
      <c r="DB54" s="276" t="s">
        <v>1213</v>
      </c>
      <c r="DC54" s="276"/>
      <c r="DD54" s="294">
        <f>+'SR BUDACT ER'!BR86</f>
        <v>5000</v>
      </c>
      <c r="DE54" s="294">
        <f>+'SR BUDACT ER'!BS86</f>
        <v>5640</v>
      </c>
      <c r="DF54" s="294">
        <f>SUM(DE54-DD54)</f>
        <v>640</v>
      </c>
      <c r="DG54" s="276"/>
      <c r="DH54" s="294">
        <f>+'SR BUDACT ER'!BU86</f>
        <v>154992</v>
      </c>
      <c r="DI54" s="294">
        <f>+'SR BUDACT ER'!BV86</f>
        <v>202447</v>
      </c>
      <c r="DJ54" s="294">
        <f>SUM(DI54-DH54)</f>
        <v>47455</v>
      </c>
      <c r="DK54" s="276"/>
      <c r="DL54" s="276" t="s">
        <v>1213</v>
      </c>
      <c r="DM54" s="276"/>
      <c r="DN54" s="294">
        <f>+'SR BUDACT ER'!BX86</f>
        <v>0</v>
      </c>
      <c r="DO54" s="294">
        <f>+'SR BUDACT ER'!BY86</f>
        <v>0</v>
      </c>
      <c r="DP54" s="294">
        <f>SUM(DO54-DN54)</f>
        <v>0</v>
      </c>
      <c r="DQ54" s="276"/>
      <c r="DR54" s="294">
        <f>+'SR BUDACT ER'!CA86</f>
        <v>0</v>
      </c>
      <c r="DS54" s="294">
        <f>+'SR BUDACT ER'!CB86</f>
        <v>0</v>
      </c>
      <c r="DT54" s="294">
        <f>SUM(DS54-DR54)</f>
        <v>0</v>
      </c>
      <c r="DU54" s="276"/>
      <c r="DV54" s="276" t="s">
        <v>1213</v>
      </c>
      <c r="DW54" s="276"/>
      <c r="DX54" s="294">
        <f>+'SR BUDACT ER'!CD86</f>
        <v>0</v>
      </c>
      <c r="DY54" s="294">
        <f>+'SR BUDACT ER'!CE86</f>
        <v>0</v>
      </c>
      <c r="DZ54" s="294">
        <f>SUM(DY54-DX54)</f>
        <v>0</v>
      </c>
      <c r="EA54" s="276"/>
      <c r="EB54" s="294">
        <f>+'SR BUDACT ER'!CG86</f>
        <v>0</v>
      </c>
      <c r="EC54" s="294">
        <f>+'SR BUDACT ER'!CH86</f>
        <v>0</v>
      </c>
      <c r="ED54" s="294">
        <f>SUM(EC54-EB54)</f>
        <v>0</v>
      </c>
      <c r="EE54" s="276"/>
      <c r="EF54" s="276" t="s">
        <v>1213</v>
      </c>
      <c r="EG54" s="276"/>
      <c r="EH54" s="294">
        <f>+'SR BUDACT ER'!CJ86</f>
        <v>0</v>
      </c>
      <c r="EI54" s="294">
        <f>+'SR BUDACT ER'!CK86</f>
        <v>0</v>
      </c>
      <c r="EJ54" s="294">
        <f>SUM(EI54-EH54)</f>
        <v>0</v>
      </c>
      <c r="EK54" s="276"/>
      <c r="EL54" s="294">
        <f>+'SR BUDACT ER'!CM86</f>
        <v>0</v>
      </c>
      <c r="EM54" s="294">
        <f>+'SR BUDACT ER'!CN86</f>
        <v>0</v>
      </c>
      <c r="EN54" s="294">
        <f>SUM(EM54-EL54)</f>
        <v>0</v>
      </c>
      <c r="EO54" s="276"/>
      <c r="EP54" s="276" t="s">
        <v>1213</v>
      </c>
      <c r="EQ54" s="276"/>
      <c r="ER54" s="294">
        <f>+'SR BUDACT ER'!CP86</f>
        <v>0</v>
      </c>
      <c r="ES54" s="294">
        <f>+'SR BUDACT ER'!CQ86</f>
        <v>0</v>
      </c>
      <c r="ET54" s="294">
        <f>SUM(ES54-ER54)</f>
        <v>0</v>
      </c>
      <c r="EU54" s="276"/>
      <c r="EV54" s="294">
        <f>+'SR BUDACT ER'!CS86</f>
        <v>0</v>
      </c>
      <c r="EW54" s="294">
        <f>+'SR BUDACT ER'!CT86</f>
        <v>0</v>
      </c>
      <c r="EX54" s="294">
        <f>SUM(EW54-EV54)</f>
        <v>0</v>
      </c>
      <c r="EY54" s="276"/>
      <c r="EZ54" s="276" t="s">
        <v>1213</v>
      </c>
      <c r="FA54" s="276"/>
      <c r="FB54" s="294">
        <f>+'SR BUDACT ER'!CV86</f>
        <v>0</v>
      </c>
      <c r="FC54" s="294">
        <f>+'SR BUDACT ER'!CW86</f>
        <v>0</v>
      </c>
      <c r="FD54" s="294">
        <f>SUM(FC54-FB54)</f>
        <v>0</v>
      </c>
      <c r="FE54" s="276"/>
      <c r="FF54" s="294">
        <f>+'SR BUDACT ER'!CY86</f>
        <v>0</v>
      </c>
      <c r="FG54" s="294">
        <f>+'SR BUDACT ER'!CZ86</f>
        <v>0</v>
      </c>
      <c r="FH54" s="294">
        <f>SUM(FG54-FF54)</f>
        <v>0</v>
      </c>
      <c r="FI54" s="276"/>
      <c r="FJ54" s="276" t="s">
        <v>1213</v>
      </c>
      <c r="FK54" s="276"/>
      <c r="FL54" s="294">
        <f>+'SR BUDACT ER'!DB86</f>
        <v>0</v>
      </c>
      <c r="FM54" s="294">
        <f>+'SR BUDACT ER'!DC86</f>
        <v>0</v>
      </c>
      <c r="FN54" s="294">
        <f>SUM(FM54-FL54)</f>
        <v>0</v>
      </c>
      <c r="FO54" s="276"/>
      <c r="FP54" s="294">
        <f>+'SR BUDACT ER'!DE86</f>
        <v>0</v>
      </c>
      <c r="FQ54" s="294">
        <f>+'SR BUDACT ER'!DF86</f>
        <v>0</v>
      </c>
      <c r="FR54" s="294">
        <f>SUM(FQ54-FP54)</f>
        <v>0</v>
      </c>
      <c r="FS54" s="276"/>
      <c r="FT54" s="276" t="s">
        <v>1213</v>
      </c>
      <c r="FU54" s="276"/>
      <c r="FV54" s="294">
        <f>+'SR BUDACT ER'!DH86</f>
        <v>0</v>
      </c>
      <c r="FW54" s="294">
        <f>+'SR BUDACT ER'!DI86</f>
        <v>0</v>
      </c>
      <c r="FX54" s="294">
        <f>SUM(FW54-FV54)</f>
        <v>0</v>
      </c>
      <c r="FY54" s="276"/>
      <c r="FZ54" s="294">
        <f>+'SR BUDACT ER'!DK86</f>
        <v>0</v>
      </c>
      <c r="GA54" s="294">
        <f>+'SR BUDACT ER'!DL86</f>
        <v>0</v>
      </c>
      <c r="GB54" s="294">
        <f>SUM(GA54-FZ54)</f>
        <v>0</v>
      </c>
      <c r="GC54" s="276"/>
      <c r="GD54" s="294">
        <f>+'SR BUDACT ER'!DN86</f>
        <v>0</v>
      </c>
      <c r="GE54" s="294">
        <f>+'SR BUDACT ER'!DO86</f>
        <v>0</v>
      </c>
      <c r="GF54" s="294">
        <f>SUM(GE54-GD54)</f>
        <v>0</v>
      </c>
      <c r="GG54" s="276"/>
      <c r="GH54" s="276" t="s">
        <v>1213</v>
      </c>
      <c r="GI54" s="276"/>
      <c r="GJ54" s="294">
        <f>+'SR BUDACT ER'!DQ86</f>
        <v>0</v>
      </c>
      <c r="GK54" s="294">
        <f>+'SR BUDACT ER'!DR86</f>
        <v>0</v>
      </c>
      <c r="GL54" s="294">
        <f>SUM(GK54-GJ54)</f>
        <v>0</v>
      </c>
      <c r="GN54" s="276"/>
      <c r="GO54" s="294">
        <f>+'SR BUDACT ER'!DT86</f>
        <v>0</v>
      </c>
      <c r="GP54" s="294">
        <f>+'SR BUDACT ER'!DU86</f>
        <v>0</v>
      </c>
      <c r="GQ54" s="294">
        <f>SUM(GP54-GO54)</f>
        <v>0</v>
      </c>
      <c r="GR54" s="276"/>
      <c r="GS54" s="276" t="s">
        <v>1213</v>
      </c>
      <c r="GT54" s="276"/>
      <c r="GU54" s="294">
        <f>+'SR BUDACT ER'!DW86</f>
        <v>46547</v>
      </c>
      <c r="GV54" s="294">
        <f>+'SR BUDACT ER'!DX86</f>
        <v>12743</v>
      </c>
      <c r="GW54" s="294">
        <f>SUM(GV54-GU54)</f>
        <v>-33804</v>
      </c>
      <c r="GX54" s="294"/>
      <c r="GY54" s="294">
        <f>+'SR BUDACT ER'!DZ86</f>
        <v>0</v>
      </c>
      <c r="GZ54" s="294">
        <f>+'SR BUDACT ER'!EA86</f>
        <v>5640</v>
      </c>
      <c r="HA54" s="294">
        <f>SUM(GZ54-GY54)</f>
        <v>5640</v>
      </c>
      <c r="HB54" s="276"/>
      <c r="HC54" s="276" t="s">
        <v>1213</v>
      </c>
      <c r="HD54" s="276"/>
      <c r="HE54" s="294">
        <f>+'SR BUDACT ER'!EC86</f>
        <v>0</v>
      </c>
      <c r="HF54" s="294">
        <f>+'SR BUDACT ER'!ED86</f>
        <v>0</v>
      </c>
      <c r="HG54" s="294">
        <f>SUM(HF54-HE54)</f>
        <v>0</v>
      </c>
      <c r="HH54" s="294"/>
      <c r="HI54" s="294">
        <f>+'SR BUDACT ER'!EI86</f>
        <v>0</v>
      </c>
      <c r="HJ54" s="294">
        <f>+'SR BUDACT ER'!EJ86</f>
        <v>0</v>
      </c>
      <c r="HK54" s="294">
        <f>SUM(HJ54-HI54)</f>
        <v>0</v>
      </c>
      <c r="HL54" s="276"/>
      <c r="HM54" s="276" t="s">
        <v>1213</v>
      </c>
      <c r="HN54" s="276"/>
      <c r="HO54" s="294">
        <f>+'SR BUDACT ER'!EI86</f>
        <v>0</v>
      </c>
      <c r="HP54" s="294">
        <f>+'SR BUDACT ER'!EJ86</f>
        <v>0</v>
      </c>
      <c r="HQ54" s="294">
        <f>SUM(HP54-HO54)</f>
        <v>0</v>
      </c>
      <c r="HR54" s="276"/>
      <c r="HS54" s="294">
        <f>+'SR BUDACT ER'!EM86</f>
        <v>0</v>
      </c>
      <c r="HT54" s="294">
        <f>+'SR BUDACT ER'!EN86</f>
        <v>0</v>
      </c>
      <c r="HU54" s="294">
        <f>SUM(HT54-HS54)</f>
        <v>0</v>
      </c>
      <c r="HV54" s="294"/>
      <c r="HW54" s="294">
        <f>+'SR BUDACT ER'!EO86</f>
        <v>0</v>
      </c>
      <c r="HX54" s="294">
        <f>+'SR BUDACT ER'!EP86</f>
        <v>0</v>
      </c>
      <c r="HY54" s="294">
        <f>SUM(HX54-HW54)</f>
        <v>0</v>
      </c>
      <c r="HZ54" s="276"/>
      <c r="IA54" s="276" t="s">
        <v>1213</v>
      </c>
      <c r="IB54" s="276"/>
      <c r="IC54" s="294">
        <f>+'SR BUDACT ER'!ER86</f>
        <v>0</v>
      </c>
      <c r="ID54" s="294">
        <f>+'SR BUDACT ER'!ES86</f>
        <v>0</v>
      </c>
      <c r="IE54" s="294">
        <f>SUM(ID54-IC54)</f>
        <v>0</v>
      </c>
      <c r="IF54" s="294"/>
      <c r="IG54" s="276"/>
      <c r="IH54" s="294">
        <f>+D54+H54+N54+R54+X54+AB54+AH54+AL54+AR54+AV54+BB54+BJ54+BP54+BT54+BZ54+CD54+CJ54+CN54+CT54+CX54+DD54+DH54+DN54+DR54+DX54+EB54+EH54+EL54+ER54+EV54+FB54+FF54+FL54+FP54+FV54+FZ54+GD54+GJ54+GO54+GU54+GY54+HE54+HI54+HS54+HW54+IC54</f>
        <v>2337502</v>
      </c>
      <c r="II54" s="294">
        <f>+E54+I54+O54+S54+Y54+AC54+AI54+AM54+AS54+AW54+BC54+BK54+BQ54+BU54+CA54+CE54+CK54+CO54+CU54+CY54+DE54+DI54+DO54+DS54+DY54+EC54+EI54+EM54+ES54+EW54+FC54+FG54+FM54+FQ54+FW54+GA54+GE54+GK54+GP54+GV54+GZ54+HF54+HJ54+HT54+HX54+ID54</f>
        <v>2198197</v>
      </c>
      <c r="IJ54" s="294">
        <f>SUM(II54-IH54)</f>
        <v>-139305</v>
      </c>
      <c r="IK54" s="276"/>
      <c r="IL54" s="276" t="s">
        <v>1213</v>
      </c>
      <c r="IM54" s="276"/>
      <c r="IN54" s="308"/>
      <c r="IO54" s="308"/>
      <c r="IP54" s="308"/>
      <c r="IQ54" s="294"/>
      <c r="IR54" s="294"/>
      <c r="IS54" s="294"/>
      <c r="IW54" s="276"/>
      <c r="IX54" s="294"/>
      <c r="IY54" s="294"/>
      <c r="JA54" s="294">
        <f>+'SR BUDACT ER'!AN86</f>
        <v>0</v>
      </c>
      <c r="JB54" s="294">
        <f>+'SR BUDACT ER'!AO86</f>
        <v>0</v>
      </c>
      <c r="JC54" s="514">
        <f>SUM(JB54-JA54)</f>
        <v>0</v>
      </c>
      <c r="JE54" s="288">
        <f t="shared" si="70"/>
        <v>4396394</v>
      </c>
      <c r="JF54" s="288">
        <f t="shared" si="71"/>
        <v>4396394</v>
      </c>
      <c r="JG54" s="288">
        <f t="shared" si="72"/>
        <v>0</v>
      </c>
    </row>
    <row r="55" spans="2:267" ht="15.75">
      <c r="B55" s="276" t="s">
        <v>1214</v>
      </c>
      <c r="C55" s="276"/>
      <c r="D55" s="294">
        <f>+'SR BUDACT ER'!G87+0</f>
        <v>0</v>
      </c>
      <c r="E55" s="294">
        <f>+'SR BUDACT ER'!H87+0</f>
        <v>-60816</v>
      </c>
      <c r="F55" s="294">
        <f>SUM(E55-D55)</f>
        <v>-60816</v>
      </c>
      <c r="G55" s="276"/>
      <c r="H55" s="294">
        <f>+'SR BUDACT ER'!J87</f>
        <v>0</v>
      </c>
      <c r="I55" s="294">
        <f>+'SR BUDACT ER'!K87</f>
        <v>0</v>
      </c>
      <c r="J55" s="294">
        <f>SUM(I55-H55)</f>
        <v>0</v>
      </c>
      <c r="K55" s="276"/>
      <c r="L55" s="276" t="s">
        <v>1214</v>
      </c>
      <c r="M55" s="276"/>
      <c r="N55" s="294">
        <f>+'SR BUDACT ER'!M87</f>
        <v>0</v>
      </c>
      <c r="O55" s="294">
        <f>+'SR BUDACT ER'!N87</f>
        <v>0</v>
      </c>
      <c r="P55" s="294">
        <f>SUM(O55-N55)</f>
        <v>0</v>
      </c>
      <c r="Q55" s="276"/>
      <c r="R55" s="294">
        <f>+'SR BUDACT ER'!P87</f>
        <v>0</v>
      </c>
      <c r="S55" s="294">
        <f>+'SR BUDACT ER'!Q87</f>
        <v>-8025</v>
      </c>
      <c r="T55" s="294">
        <f>SUM(S55-R55)</f>
        <v>-8025</v>
      </c>
      <c r="U55" s="276"/>
      <c r="V55" s="276" t="s">
        <v>1214</v>
      </c>
      <c r="W55" s="276"/>
      <c r="X55" s="294">
        <f>+'SR BUDACT ER'!S87</f>
        <v>0</v>
      </c>
      <c r="Y55" s="294">
        <f>+'SR BUDACT ER'!T87</f>
        <v>0</v>
      </c>
      <c r="Z55" s="294">
        <f>SUM(Y55-X55)</f>
        <v>0</v>
      </c>
      <c r="AA55" s="276"/>
      <c r="AB55" s="294">
        <f>+'SR BUDACT ER'!V87</f>
        <v>-1931376</v>
      </c>
      <c r="AC55" s="294">
        <f>+'SR BUDACT ER'!W87</f>
        <v>-1955024</v>
      </c>
      <c r="AD55" s="294">
        <f>SUM(AC55-AB55)</f>
        <v>-23648</v>
      </c>
      <c r="AE55" s="294"/>
      <c r="AF55" s="276" t="s">
        <v>1214</v>
      </c>
      <c r="AG55" s="276"/>
      <c r="AH55" s="294">
        <f>+'SR BUDACT ER'!Y87</f>
        <v>0</v>
      </c>
      <c r="AI55" s="294">
        <f>+'SR BUDACT ER'!Z87</f>
        <v>0</v>
      </c>
      <c r="AJ55" s="294">
        <f>SUM(AI55-AH55)</f>
        <v>0</v>
      </c>
      <c r="AK55" s="276"/>
      <c r="AL55" s="294">
        <f>+'SR BUDACT ER'!AB87</f>
        <v>0</v>
      </c>
      <c r="AM55" s="294">
        <f>+'SR BUDACT ER'!AC87</f>
        <v>0</v>
      </c>
      <c r="AN55" s="294">
        <f>SUM(AM55-AL55)</f>
        <v>0</v>
      </c>
      <c r="AO55" s="294"/>
      <c r="AP55" s="276" t="s">
        <v>1214</v>
      </c>
      <c r="AQ55" s="276"/>
      <c r="AR55" s="294">
        <f>+'SR BUDACT ER'!AE87</f>
        <v>-5000</v>
      </c>
      <c r="AS55" s="294">
        <f>+'SR BUDACT ER'!AF87</f>
        <v>-5000</v>
      </c>
      <c r="AT55" s="294">
        <f>SUM(AS55-AR55)</f>
        <v>0</v>
      </c>
      <c r="AU55" s="276"/>
      <c r="AV55" s="294">
        <f>+'SR BUDACT ER'!AH87</f>
        <v>-75000</v>
      </c>
      <c r="AW55" s="294">
        <f>+'SR BUDACT ER'!AI87</f>
        <v>-75000</v>
      </c>
      <c r="AX55" s="294">
        <f>SUM(AW55-AV55)</f>
        <v>0</v>
      </c>
      <c r="AY55" s="294"/>
      <c r="AZ55" s="276" t="s">
        <v>1214</v>
      </c>
      <c r="BA55" s="276"/>
      <c r="BB55" s="294">
        <f>+'SR BUDACT ER'!AK87</f>
        <v>-3000</v>
      </c>
      <c r="BC55" s="294">
        <f>+'SR BUDACT ER'!AL87</f>
        <v>-3000</v>
      </c>
      <c r="BD55" s="294">
        <f>SUM(BC55-BB55)</f>
        <v>0</v>
      </c>
      <c r="BE55" s="276"/>
      <c r="BF55" s="294"/>
      <c r="BG55" s="294"/>
      <c r="BH55" s="294"/>
      <c r="BI55" s="276"/>
      <c r="BJ55" s="294">
        <f>+'SR BUDACT ER'!AQ87+0</f>
        <v>-1843254</v>
      </c>
      <c r="BK55" s="294">
        <f>+'SR BUDACT ER'!AR87+0</f>
        <v>-1589670</v>
      </c>
      <c r="BL55" s="294">
        <f>SUM(BK55-BJ55)</f>
        <v>253584</v>
      </c>
      <c r="BM55" s="294"/>
      <c r="BN55" s="276" t="s">
        <v>1214</v>
      </c>
      <c r="BO55" s="294"/>
      <c r="BP55" s="294">
        <f>+'SR BUDACT ER'!AT87</f>
        <v>-150000</v>
      </c>
      <c r="BQ55" s="294">
        <f>+'SR BUDACT ER'!AU87</f>
        <v>-150000</v>
      </c>
      <c r="BR55" s="294">
        <f>SUM(BQ55-BP55)</f>
        <v>0</v>
      </c>
      <c r="BS55" s="294"/>
      <c r="BT55" s="294">
        <f>+'SR BUDACT ER'!AW87</f>
        <v>-27000</v>
      </c>
      <c r="BU55" s="294">
        <f>+'SR BUDACT ER'!AX87</f>
        <v>-15614</v>
      </c>
      <c r="BV55" s="294">
        <f>SUM(BU55-BT55)</f>
        <v>11386</v>
      </c>
      <c r="BW55" s="294"/>
      <c r="BX55" s="276" t="s">
        <v>1214</v>
      </c>
      <c r="BY55" s="294"/>
      <c r="BZ55" s="294">
        <f>+'SR BUDACT ER'!AZ87</f>
        <v>0</v>
      </c>
      <c r="CA55" s="294">
        <f>+'SR BUDACT ER'!BA87</f>
        <v>0</v>
      </c>
      <c r="CB55" s="294">
        <f>SUM(CA55-BZ55)</f>
        <v>0</v>
      </c>
      <c r="CC55" s="294"/>
      <c r="CD55" s="294">
        <f>+'SR BUDACT ER'!BC87</f>
        <v>-426017</v>
      </c>
      <c r="CE55" s="294">
        <f>+'SR BUDACT ER'!BD87</f>
        <v>-352040</v>
      </c>
      <c r="CF55" s="294">
        <f>SUM(CE55-CD55)</f>
        <v>73977</v>
      </c>
      <c r="CG55" s="294"/>
      <c r="CH55" s="276" t="s">
        <v>1214</v>
      </c>
      <c r="CI55" s="276"/>
      <c r="CJ55" s="294">
        <f>+'SR BUDACT ER'!BF87</f>
        <v>-3000</v>
      </c>
      <c r="CK55" s="294">
        <f>+'SR BUDACT ER'!BG87</f>
        <v>-3000</v>
      </c>
      <c r="CL55" s="294">
        <f>SUM(CK55-CJ55)</f>
        <v>0</v>
      </c>
      <c r="CM55" s="276"/>
      <c r="CN55" s="294">
        <f>+'SR BUDACT ER'!BI87</f>
        <v>-12000</v>
      </c>
      <c r="CO55" s="294">
        <f>+'SR BUDACT ER'!BJ87</f>
        <v>-12000</v>
      </c>
      <c r="CP55" s="294">
        <f>SUM(CO55-CN55)</f>
        <v>0</v>
      </c>
      <c r="CQ55" s="294"/>
      <c r="CR55" s="276" t="s">
        <v>1214</v>
      </c>
      <c r="CS55" s="276"/>
      <c r="CT55" s="294">
        <f>+'SR BUDACT ER'!BL87</f>
        <v>0</v>
      </c>
      <c r="CU55" s="294">
        <f>+'SR BUDACT ER'!BM87</f>
        <v>0</v>
      </c>
      <c r="CV55" s="294">
        <f>SUM(CU55-CT55)</f>
        <v>0</v>
      </c>
      <c r="CW55" s="276"/>
      <c r="CX55" s="294">
        <f>+'SR BUDACT ER'!BO87</f>
        <v>0</v>
      </c>
      <c r="CY55" s="294">
        <f>+'SR BUDACT ER'!BP87</f>
        <v>0</v>
      </c>
      <c r="CZ55" s="294">
        <f>SUM(CY55-CX55)</f>
        <v>0</v>
      </c>
      <c r="DA55" s="294"/>
      <c r="DB55" s="276" t="s">
        <v>1214</v>
      </c>
      <c r="DC55" s="276"/>
      <c r="DD55" s="294">
        <f>+'SR BUDACT ER'!BR87</f>
        <v>-31000</v>
      </c>
      <c r="DE55" s="294">
        <f>+'SR BUDACT ER'!BS87</f>
        <v>-31000</v>
      </c>
      <c r="DF55" s="294">
        <f>SUM(DE55-DD55)</f>
        <v>0</v>
      </c>
      <c r="DG55" s="276"/>
      <c r="DH55" s="294">
        <f>+'SR BUDACT ER'!BU87</f>
        <v>-538472</v>
      </c>
      <c r="DI55" s="294">
        <f>+'SR BUDACT ER'!BV87</f>
        <v>-323579</v>
      </c>
      <c r="DJ55" s="294">
        <f>SUM(DI55-DH55)</f>
        <v>214893</v>
      </c>
      <c r="DK55" s="276"/>
      <c r="DL55" s="276" t="s">
        <v>1214</v>
      </c>
      <c r="DM55" s="276"/>
      <c r="DN55" s="294">
        <f>+'SR BUDACT ER'!BX87</f>
        <v>0</v>
      </c>
      <c r="DO55" s="294">
        <f>+'SR BUDACT ER'!BY87</f>
        <v>0</v>
      </c>
      <c r="DP55" s="294">
        <f>SUM(DO55-DN55)</f>
        <v>0</v>
      </c>
      <c r="DQ55" s="276"/>
      <c r="DR55" s="294">
        <f>+'SR BUDACT ER'!CA87</f>
        <v>0</v>
      </c>
      <c r="DS55" s="294">
        <f>+'SR BUDACT ER'!CB87</f>
        <v>0</v>
      </c>
      <c r="DT55" s="294">
        <f>SUM(DS55-DR55)</f>
        <v>0</v>
      </c>
      <c r="DU55" s="276"/>
      <c r="DV55" s="276" t="s">
        <v>1214</v>
      </c>
      <c r="DW55" s="276"/>
      <c r="DX55" s="294">
        <f>+'SR BUDACT ER'!CD87</f>
        <v>-12500</v>
      </c>
      <c r="DY55" s="294">
        <f>+'SR BUDACT ER'!CE87</f>
        <v>-360</v>
      </c>
      <c r="DZ55" s="294">
        <f>SUM(DY55-DX55)</f>
        <v>12140</v>
      </c>
      <c r="EA55" s="276"/>
      <c r="EB55" s="294">
        <f>+'SR BUDACT ER'!CG87</f>
        <v>0</v>
      </c>
      <c r="EC55" s="294">
        <f>+'SR BUDACT ER'!CH87</f>
        <v>0</v>
      </c>
      <c r="ED55" s="294">
        <f>SUM(EC55-EB55)</f>
        <v>0</v>
      </c>
      <c r="EE55" s="276"/>
      <c r="EF55" s="276" t="s">
        <v>1214</v>
      </c>
      <c r="EG55" s="276"/>
      <c r="EH55" s="294">
        <f>+'SR BUDACT ER'!CJ87</f>
        <v>-5000</v>
      </c>
      <c r="EI55" s="294">
        <f>+'SR BUDACT ER'!CK87</f>
        <v>0</v>
      </c>
      <c r="EJ55" s="294">
        <f>SUM(EI55-EH55)</f>
        <v>5000</v>
      </c>
      <c r="EK55" s="276"/>
      <c r="EL55" s="294">
        <f>+'SR BUDACT ER'!CM87</f>
        <v>0</v>
      </c>
      <c r="EM55" s="294">
        <f>+'SR BUDACT ER'!CN87</f>
        <v>0</v>
      </c>
      <c r="EN55" s="294">
        <f>SUM(EM55-EL55)</f>
        <v>0</v>
      </c>
      <c r="EO55" s="276"/>
      <c r="EP55" s="276" t="s">
        <v>1214</v>
      </c>
      <c r="EQ55" s="276"/>
      <c r="ER55" s="294">
        <f>+'SR BUDACT ER'!CP87</f>
        <v>0</v>
      </c>
      <c r="ES55" s="294">
        <f>+'SR BUDACT ER'!CQ87</f>
        <v>0</v>
      </c>
      <c r="ET55" s="294">
        <f>SUM(ES55-ER55)</f>
        <v>0</v>
      </c>
      <c r="EU55" s="276"/>
      <c r="EV55" s="294">
        <f>+'SR BUDACT ER'!CS87</f>
        <v>0</v>
      </c>
      <c r="EW55" s="294">
        <f>+'SR BUDACT ER'!CT87</f>
        <v>0</v>
      </c>
      <c r="EX55" s="294">
        <f>SUM(EW55-EV55)</f>
        <v>0</v>
      </c>
      <c r="EY55" s="276"/>
      <c r="EZ55" s="276" t="s">
        <v>1214</v>
      </c>
      <c r="FA55" s="276"/>
      <c r="FB55" s="294">
        <f>+'SR BUDACT ER'!CV87</f>
        <v>0</v>
      </c>
      <c r="FC55" s="294">
        <f>+'SR BUDACT ER'!CW87</f>
        <v>0</v>
      </c>
      <c r="FD55" s="294">
        <f>SUM(FC55-FB55)</f>
        <v>0</v>
      </c>
      <c r="FE55" s="276"/>
      <c r="FF55" s="294">
        <f>+'SR BUDACT ER'!CY87</f>
        <v>0</v>
      </c>
      <c r="FG55" s="294">
        <f>+'SR BUDACT ER'!CZ87</f>
        <v>0</v>
      </c>
      <c r="FH55" s="294">
        <f>SUM(FG55-FF55)</f>
        <v>0</v>
      </c>
      <c r="FI55" s="276"/>
      <c r="FJ55" s="276" t="s">
        <v>1214</v>
      </c>
      <c r="FK55" s="276"/>
      <c r="FL55" s="294">
        <f>+'SR BUDACT ER'!DB87</f>
        <v>0</v>
      </c>
      <c r="FM55" s="294">
        <f>+'SR BUDACT ER'!DC87</f>
        <v>0</v>
      </c>
      <c r="FN55" s="294">
        <f>SUM(FM55-FL55)</f>
        <v>0</v>
      </c>
      <c r="FO55" s="276"/>
      <c r="FP55" s="294">
        <f>+'SR BUDACT ER'!DE87</f>
        <v>0</v>
      </c>
      <c r="FQ55" s="294">
        <f>+'SR BUDACT ER'!DF87</f>
        <v>0</v>
      </c>
      <c r="FR55" s="294">
        <f>SUM(FQ55-FP55)</f>
        <v>0</v>
      </c>
      <c r="FS55" s="276"/>
      <c r="FT55" s="276" t="s">
        <v>1214</v>
      </c>
      <c r="FU55" s="276"/>
      <c r="FV55" s="294">
        <f>+'SR BUDACT ER'!DH87</f>
        <v>0</v>
      </c>
      <c r="FW55" s="294">
        <f>+'SR BUDACT ER'!DI87</f>
        <v>0</v>
      </c>
      <c r="FX55" s="294">
        <f>SUM(FW55-FV55)</f>
        <v>0</v>
      </c>
      <c r="FY55" s="276"/>
      <c r="FZ55" s="294">
        <f>+'SR BUDACT ER'!DK87</f>
        <v>0</v>
      </c>
      <c r="GA55" s="294">
        <f>+'SR BUDACT ER'!DL87</f>
        <v>0</v>
      </c>
      <c r="GB55" s="294">
        <f>SUM(GA55-FZ55)</f>
        <v>0</v>
      </c>
      <c r="GC55" s="276"/>
      <c r="GD55" s="294">
        <f>+'SR BUDACT ER'!DN87</f>
        <v>0</v>
      </c>
      <c r="GE55" s="294">
        <f>+'SR BUDACT ER'!DO87</f>
        <v>0</v>
      </c>
      <c r="GF55" s="294">
        <f>SUM(GE55-GD55)</f>
        <v>0</v>
      </c>
      <c r="GG55" s="276"/>
      <c r="GH55" s="276" t="s">
        <v>1214</v>
      </c>
      <c r="GI55" s="276"/>
      <c r="GJ55" s="294">
        <f>+'SR BUDACT ER'!DQ87</f>
        <v>0</v>
      </c>
      <c r="GK55" s="294">
        <f>+'SR BUDACT ER'!DR87</f>
        <v>0</v>
      </c>
      <c r="GL55" s="294">
        <f>SUM(GK55-GJ55)</f>
        <v>0</v>
      </c>
      <c r="GN55" s="276"/>
      <c r="GO55" s="294">
        <f>+'SR BUDACT ER'!DT87</f>
        <v>-56000</v>
      </c>
      <c r="GP55" s="294">
        <f>+'SR BUDACT ER'!DU87</f>
        <v>-56000</v>
      </c>
      <c r="GQ55" s="294">
        <f>SUM(GP55-GO55)</f>
        <v>0</v>
      </c>
      <c r="GR55" s="276"/>
      <c r="GS55" s="276" t="s">
        <v>1214</v>
      </c>
      <c r="GT55" s="276"/>
      <c r="GU55" s="294">
        <f>+'SR BUDACT ER'!DW87</f>
        <v>0</v>
      </c>
      <c r="GV55" s="294">
        <f>+'SR BUDACT ER'!DX87</f>
        <v>0</v>
      </c>
      <c r="GW55" s="294">
        <f>SUM(GV55-GU55)</f>
        <v>0</v>
      </c>
      <c r="GX55" s="294"/>
      <c r="GY55" s="294">
        <f>+'SR BUDACT ER'!DZ87</f>
        <v>0</v>
      </c>
      <c r="GZ55" s="294">
        <f>+'SR BUDACT ER'!EA87</f>
        <v>0</v>
      </c>
      <c r="HA55" s="294">
        <f>SUM(GZ55-GY55)</f>
        <v>0</v>
      </c>
      <c r="HB55" s="276"/>
      <c r="HC55" s="276" t="s">
        <v>1214</v>
      </c>
      <c r="HD55" s="276"/>
      <c r="HE55" s="294">
        <f>+'SR BUDACT ER'!EC87</f>
        <v>0</v>
      </c>
      <c r="HF55" s="294">
        <f>+'SR BUDACT ER'!ED87</f>
        <v>0</v>
      </c>
      <c r="HG55" s="294">
        <f>SUM(HF55-HE55)</f>
        <v>0</v>
      </c>
      <c r="HH55" s="294"/>
      <c r="HI55" s="294">
        <f>+'SR BUDACT ER'!EI87</f>
        <v>0</v>
      </c>
      <c r="HJ55" s="294">
        <f>+'SR BUDACT ER'!EJ87</f>
        <v>0</v>
      </c>
      <c r="HK55" s="294">
        <f>SUM(HJ55-HI55)</f>
        <v>0</v>
      </c>
      <c r="HL55" s="276"/>
      <c r="HM55" s="276" t="s">
        <v>1214</v>
      </c>
      <c r="HN55" s="276"/>
      <c r="HO55" s="294">
        <f>+'SR BUDACT ER'!EI87</f>
        <v>0</v>
      </c>
      <c r="HP55" s="294">
        <f>+'SR BUDACT ER'!EJ87</f>
        <v>0</v>
      </c>
      <c r="HQ55" s="294">
        <f>SUM(HP55-HO55)</f>
        <v>0</v>
      </c>
      <c r="HR55" s="276"/>
      <c r="HS55" s="294">
        <f>+'SR BUDACT ER'!EM87</f>
        <v>0</v>
      </c>
      <c r="HT55" s="294">
        <f>+'SR BUDACT ER'!EN87</f>
        <v>0</v>
      </c>
      <c r="HU55" s="294">
        <f>SUM(HT55-HS55)</f>
        <v>0</v>
      </c>
      <c r="HV55" s="294"/>
      <c r="HW55" s="294">
        <f>+'SR BUDACT ER'!EO87</f>
        <v>0</v>
      </c>
      <c r="HX55" s="294">
        <f>+'SR BUDACT ER'!EP87</f>
        <v>0</v>
      </c>
      <c r="HY55" s="294">
        <f>SUM(HX55-HW55)</f>
        <v>0</v>
      </c>
      <c r="HZ55" s="276"/>
      <c r="IA55" s="276" t="s">
        <v>1214</v>
      </c>
      <c r="IB55" s="276"/>
      <c r="IC55" s="294">
        <f>+'SR BUDACT ER'!ER87</f>
        <v>0</v>
      </c>
      <c r="ID55" s="294">
        <f>+'SR BUDACT ER'!ES87</f>
        <v>0</v>
      </c>
      <c r="IE55" s="294">
        <f>SUM(ID55-IC55)</f>
        <v>0</v>
      </c>
      <c r="IF55" s="294"/>
      <c r="IG55" s="276"/>
      <c r="IH55" s="294">
        <f>+D55+H55+N55+R55+X55+AB55+AH55+AL55+AR55+AV55+BB55+BJ55+BP55+BT55+BZ55+CD55+CJ55+CN55+CT55+CX55+DD55+DH55+DN55+DR55+DX55+EB55+EH55+EL55+ER55+EV55+FB55+FF55+FL55+FP55+FV55+FZ55+GD55+GJ55+GO55+GU55+GY55+HE55+HI55+HS55+HW55+IC55</f>
        <v>-5118619</v>
      </c>
      <c r="II55" s="294">
        <f>+E55+I55+O55+S55+Y55+AC55+AI55+AM55+AS55+AW55+BC55+BK55+BQ55+BU55+CA55+CE55+CK55+CO55+CU55+CY55+DE55+DI55+DO55+DS55+DY55+EC55+EI55+EM55+ES55+EW55+FC55+FG55+FM55+FQ55+FW55+GA55+GE55+GK55+GP55+GV55+GZ55+HF55+HJ55+HT55+HX55+ID55</f>
        <v>-4640128</v>
      </c>
      <c r="IJ55" s="294">
        <f>SUM(II55-IH55)</f>
        <v>478491</v>
      </c>
      <c r="IK55" s="276"/>
      <c r="IL55" s="276" t="s">
        <v>1214</v>
      </c>
      <c r="IM55" s="276"/>
      <c r="IN55" s="308"/>
      <c r="IO55" s="308"/>
      <c r="IP55" s="308"/>
      <c r="IQ55" s="294"/>
      <c r="IR55" s="294"/>
      <c r="IS55" s="294"/>
      <c r="IW55" s="276"/>
      <c r="IX55" s="294"/>
      <c r="IY55" s="294"/>
      <c r="JA55" s="294">
        <f>+'SR BUDACT ER'!AN87</f>
        <v>0</v>
      </c>
      <c r="JB55" s="294">
        <f>+'SR BUDACT ER'!AO87</f>
        <v>0</v>
      </c>
      <c r="JC55" s="514">
        <f>SUM(JB55-JA55)</f>
        <v>0</v>
      </c>
      <c r="JE55" s="288">
        <f t="shared" si="70"/>
        <v>-9280256</v>
      </c>
      <c r="JF55" s="288">
        <f t="shared" si="71"/>
        <v>-9280256</v>
      </c>
      <c r="JG55" s="288">
        <f t="shared" si="72"/>
        <v>0</v>
      </c>
    </row>
    <row r="56" spans="2:267" ht="15.75">
      <c r="B56" s="276" t="s">
        <v>2389</v>
      </c>
      <c r="C56" s="276"/>
      <c r="D56" s="294">
        <f>+'SR BUDACT ER'!G88</f>
        <v>0</v>
      </c>
      <c r="E56" s="294">
        <f>+'SR BUDACT ER'!H88</f>
        <v>0</v>
      </c>
      <c r="F56" s="294">
        <f>SUM(E56-D56)</f>
        <v>0</v>
      </c>
      <c r="G56" s="276"/>
      <c r="H56" s="294">
        <f>+'SR BUDACT ER'!J88</f>
        <v>0</v>
      </c>
      <c r="I56" s="294">
        <f>+'SR BUDACT ER'!K88</f>
        <v>0</v>
      </c>
      <c r="J56" s="294">
        <f>SUM(I56-H56)</f>
        <v>0</v>
      </c>
      <c r="K56" s="276"/>
      <c r="L56" s="276" t="s">
        <v>2389</v>
      </c>
      <c r="M56" s="276"/>
      <c r="N56" s="294">
        <f>+'SR BUDACT ER'!M88</f>
        <v>0</v>
      </c>
      <c r="O56" s="294">
        <f>+'SR BUDACT ER'!N88</f>
        <v>0</v>
      </c>
      <c r="P56" s="294">
        <f>SUM(O56-N56)</f>
        <v>0</v>
      </c>
      <c r="Q56" s="276"/>
      <c r="R56" s="294">
        <f>+'SR BUDACT ER'!P88</f>
        <v>0</v>
      </c>
      <c r="S56" s="294">
        <f>+'SR BUDACT ER'!Q88</f>
        <v>0</v>
      </c>
      <c r="T56" s="294">
        <f>SUM(S56-R56)</f>
        <v>0</v>
      </c>
      <c r="U56" s="276"/>
      <c r="V56" s="276" t="s">
        <v>234</v>
      </c>
      <c r="W56" s="276"/>
      <c r="X56" s="294">
        <f>+'SR BUDACT ER'!S88</f>
        <v>0</v>
      </c>
      <c r="Y56" s="294">
        <f>+'SR BUDACT ER'!T88</f>
        <v>0</v>
      </c>
      <c r="Z56" s="294">
        <f>SUM(Y56-X56)</f>
        <v>0</v>
      </c>
      <c r="AA56" s="276"/>
      <c r="AB56" s="294">
        <f>+'SR BUDACT ER'!V88</f>
        <v>0</v>
      </c>
      <c r="AC56" s="294">
        <f>+'SR BUDACT ER'!W88</f>
        <v>0</v>
      </c>
      <c r="AD56" s="294">
        <f>SUM(AC56-AB56)</f>
        <v>0</v>
      </c>
      <c r="AE56" s="294"/>
      <c r="AF56" s="276" t="s">
        <v>2389</v>
      </c>
      <c r="AG56" s="276"/>
      <c r="AH56" s="294">
        <f>+'SR BUDACT ER'!Y88</f>
        <v>0</v>
      </c>
      <c r="AI56" s="294">
        <f>+'SR BUDACT ER'!Z88</f>
        <v>0</v>
      </c>
      <c r="AJ56" s="294">
        <f>SUM(AI56-AH56)</f>
        <v>0</v>
      </c>
      <c r="AK56" s="276"/>
      <c r="AL56" s="294">
        <f>+'SR BUDACT ER'!AB88</f>
        <v>0</v>
      </c>
      <c r="AM56" s="294">
        <f>+'SR BUDACT ER'!AC88</f>
        <v>0</v>
      </c>
      <c r="AN56" s="294">
        <f>SUM(AM56-AL56)</f>
        <v>0</v>
      </c>
      <c r="AO56" s="294"/>
      <c r="AP56" s="276" t="s">
        <v>2389</v>
      </c>
      <c r="AQ56" s="276"/>
      <c r="AR56" s="294">
        <f>+'SR BUDACT ER'!AE88</f>
        <v>0</v>
      </c>
      <c r="AS56" s="294">
        <f>+'SR BUDACT ER'!AF88</f>
        <v>0</v>
      </c>
      <c r="AT56" s="294">
        <f>SUM(AS56-AR56)</f>
        <v>0</v>
      </c>
      <c r="AU56" s="276"/>
      <c r="AV56" s="294">
        <f>+'SR BUDACT ER'!AH88</f>
        <v>0</v>
      </c>
      <c r="AW56" s="294">
        <f>+'SR BUDACT ER'!AI88</f>
        <v>0</v>
      </c>
      <c r="AX56" s="294">
        <f>SUM(AW56-AV56)</f>
        <v>0</v>
      </c>
      <c r="AY56" s="294"/>
      <c r="AZ56" s="276" t="s">
        <v>2389</v>
      </c>
      <c r="BA56" s="276"/>
      <c r="BB56" s="294">
        <f>+'SR BUDACT ER'!AK88</f>
        <v>0</v>
      </c>
      <c r="BC56" s="294">
        <f>+'SR BUDACT ER'!AL88</f>
        <v>0</v>
      </c>
      <c r="BD56" s="294">
        <f>SUM(BC56-BB56)</f>
        <v>0</v>
      </c>
      <c r="BE56" s="276"/>
      <c r="BF56" s="294"/>
      <c r="BG56" s="294"/>
      <c r="BH56" s="294"/>
      <c r="BI56" s="276"/>
      <c r="BJ56" s="294">
        <f>+'SR BUDACT ER'!AQ88</f>
        <v>0</v>
      </c>
      <c r="BK56" s="294">
        <f>+'SR BUDACT ER'!AR88</f>
        <v>0</v>
      </c>
      <c r="BL56" s="294">
        <f>SUM(BK56-BJ56)</f>
        <v>0</v>
      </c>
      <c r="BM56" s="294"/>
      <c r="BN56" s="276" t="s">
        <v>2389</v>
      </c>
      <c r="BO56" s="294"/>
      <c r="BP56" s="294">
        <f>+'SR BUDACT ER'!AT88</f>
        <v>0</v>
      </c>
      <c r="BQ56" s="294">
        <f>+'SR BUDACT ER'!AU88</f>
        <v>0</v>
      </c>
      <c r="BR56" s="294">
        <f>SUM(BQ56-BP56)</f>
        <v>0</v>
      </c>
      <c r="BS56" s="294"/>
      <c r="BT56" s="294">
        <f>+'SR BUDACT ER'!AW88</f>
        <v>0</v>
      </c>
      <c r="BU56" s="294">
        <f>+'SR BUDACT ER'!AX88</f>
        <v>0</v>
      </c>
      <c r="BV56" s="294">
        <f>SUM(BU56-BT56)</f>
        <v>0</v>
      </c>
      <c r="BW56" s="294"/>
      <c r="BX56" s="276" t="s">
        <v>2389</v>
      </c>
      <c r="BY56" s="294"/>
      <c r="BZ56" s="294">
        <f>+'SR BUDACT ER'!AZ88</f>
        <v>0</v>
      </c>
      <c r="CA56" s="294">
        <f>+'SR BUDACT ER'!BA88</f>
        <v>0</v>
      </c>
      <c r="CB56" s="294">
        <f>SUM(CA56-BZ56)</f>
        <v>0</v>
      </c>
      <c r="CC56" s="294"/>
      <c r="CD56" s="294">
        <f>+'SR BUDACT ER'!BC88</f>
        <v>0</v>
      </c>
      <c r="CE56" s="294">
        <f>+'SR BUDACT ER'!BD880</f>
        <v>0</v>
      </c>
      <c r="CF56" s="294">
        <f>SUM(CE56-CD56)</f>
        <v>0</v>
      </c>
      <c r="CG56" s="294"/>
      <c r="CH56" s="276" t="s">
        <v>2389</v>
      </c>
      <c r="CI56" s="276"/>
      <c r="CJ56" s="294">
        <f>+'SR BUDACT ER'!BF88</f>
        <v>0</v>
      </c>
      <c r="CK56" s="294">
        <f>+'SR BUDACT ER'!BG88</f>
        <v>0</v>
      </c>
      <c r="CL56" s="294">
        <f>SUM(CK56-CJ56)</f>
        <v>0</v>
      </c>
      <c r="CM56" s="276"/>
      <c r="CN56" s="294">
        <f>+'SR BUDACT ER'!BI88</f>
        <v>0</v>
      </c>
      <c r="CO56" s="294">
        <f>+'SR BUDACT ER'!BJ88</f>
        <v>0</v>
      </c>
      <c r="CP56" s="294">
        <f>SUM(CO56-CN56)</f>
        <v>0</v>
      </c>
      <c r="CQ56" s="294"/>
      <c r="CR56" s="276" t="s">
        <v>2389</v>
      </c>
      <c r="CS56" s="276"/>
      <c r="CT56" s="294">
        <f>+'SR BUDACT ER'!BL88</f>
        <v>0</v>
      </c>
      <c r="CU56" s="294">
        <f>+'SR BUDACT ER'!BM88</f>
        <v>0</v>
      </c>
      <c r="CV56" s="294">
        <f>SUM(CU56-CT56)</f>
        <v>0</v>
      </c>
      <c r="CW56" s="276"/>
      <c r="CX56" s="294">
        <f>+'SR BUDACT ER'!BO88</f>
        <v>0</v>
      </c>
      <c r="CY56" s="294">
        <f>+'SR BUDACT ER'!BP88</f>
        <v>0</v>
      </c>
      <c r="CZ56" s="294">
        <f>SUM(CY56-CX56)</f>
        <v>0</v>
      </c>
      <c r="DA56" s="294"/>
      <c r="DB56" s="276" t="s">
        <v>2389</v>
      </c>
      <c r="DC56" s="276"/>
      <c r="DD56" s="294">
        <f>+'SR BUDACT ER'!BR88</f>
        <v>0</v>
      </c>
      <c r="DE56" s="294">
        <f>+'SR BUDACT ER'!BS88</f>
        <v>0</v>
      </c>
      <c r="DF56" s="294">
        <f>SUM(DE56-DD56)</f>
        <v>0</v>
      </c>
      <c r="DG56" s="276"/>
      <c r="DH56" s="294">
        <f>+'SR BUDACT ER'!BU88</f>
        <v>0</v>
      </c>
      <c r="DI56" s="294">
        <f>+'SR BUDACT ER'!BV88</f>
        <v>0</v>
      </c>
      <c r="DJ56" s="294">
        <f>SUM(DI56-DH56)</f>
        <v>0</v>
      </c>
      <c r="DK56" s="276"/>
      <c r="DL56" s="276" t="s">
        <v>2389</v>
      </c>
      <c r="DM56" s="276"/>
      <c r="DN56" s="294">
        <f>+'SR BUDACT ER'!BX88</f>
        <v>0</v>
      </c>
      <c r="DO56" s="294">
        <f>+'SR BUDACT ER'!BY88</f>
        <v>0</v>
      </c>
      <c r="DP56" s="294">
        <f>SUM(DO56-DN56)</f>
        <v>0</v>
      </c>
      <c r="DQ56" s="276"/>
      <c r="DR56" s="294">
        <f>+'SR BUDACT ER'!CA88</f>
        <v>0</v>
      </c>
      <c r="DS56" s="294">
        <f>+'SR BUDACT ER'!CB88</f>
        <v>0</v>
      </c>
      <c r="DT56" s="294">
        <f>SUM(DS56-DR56)</f>
        <v>0</v>
      </c>
      <c r="DU56" s="276"/>
      <c r="DV56" s="276" t="s">
        <v>2389</v>
      </c>
      <c r="DW56" s="276"/>
      <c r="DX56" s="294">
        <f>+'SR BUDACT ER'!CD88</f>
        <v>0</v>
      </c>
      <c r="DY56" s="294">
        <f>+'SR BUDACT ER'!CE88</f>
        <v>0</v>
      </c>
      <c r="DZ56" s="294">
        <f>SUM(DY56-DX56)</f>
        <v>0</v>
      </c>
      <c r="EA56" s="276"/>
      <c r="EB56" s="294">
        <f>+'SR BUDACT ER'!CG88</f>
        <v>0</v>
      </c>
      <c r="EC56" s="294">
        <f>+'SR BUDACT ER'!CH88</f>
        <v>0</v>
      </c>
      <c r="ED56" s="294">
        <f>SUM(EC56-EB56)</f>
        <v>0</v>
      </c>
      <c r="EE56" s="276"/>
      <c r="EF56" s="276" t="s">
        <v>2389</v>
      </c>
      <c r="EG56" s="276"/>
      <c r="EH56" s="294">
        <f>+'SR BUDACT ER'!CJ88</f>
        <v>0</v>
      </c>
      <c r="EI56" s="294">
        <f>+'SR BUDACT ER'!CK88</f>
        <v>0</v>
      </c>
      <c r="EJ56" s="294">
        <f>SUM(EI56-EH56)</f>
        <v>0</v>
      </c>
      <c r="EK56" s="276"/>
      <c r="EL56" s="294">
        <f>+'SR BUDACT ER'!CM88</f>
        <v>0</v>
      </c>
      <c r="EM56" s="294">
        <f>+'SR BUDACT ER'!CN88</f>
        <v>0</v>
      </c>
      <c r="EN56" s="294">
        <f>SUM(EM56-EL56)</f>
        <v>0</v>
      </c>
      <c r="EO56" s="276"/>
      <c r="EP56" s="276" t="s">
        <v>2389</v>
      </c>
      <c r="EQ56" s="276"/>
      <c r="ER56" s="294">
        <f>+'SR BUDACT ER'!CP88</f>
        <v>0</v>
      </c>
      <c r="ES56" s="294">
        <f>+'SR BUDACT ER'!CQ88</f>
        <v>0</v>
      </c>
      <c r="ET56" s="294">
        <f>SUM(ES56-ER56)</f>
        <v>0</v>
      </c>
      <c r="EU56" s="276"/>
      <c r="EV56" s="294">
        <f>+'SR BUDACT ER'!CS88</f>
        <v>0</v>
      </c>
      <c r="EW56" s="294">
        <f>+'SR BUDACT ER'!CT88</f>
        <v>0</v>
      </c>
      <c r="EX56" s="294">
        <f>SUM(EW56-EV56)</f>
        <v>0</v>
      </c>
      <c r="EY56" s="276"/>
      <c r="EZ56" s="276" t="s">
        <v>2389</v>
      </c>
      <c r="FA56" s="276"/>
      <c r="FB56" s="294">
        <f>+'SR BUDACT ER'!CV88</f>
        <v>0</v>
      </c>
      <c r="FC56" s="294">
        <f>+'SR BUDACT ER'!CW88</f>
        <v>0</v>
      </c>
      <c r="FD56" s="294">
        <f>SUM(FC56-FB56)</f>
        <v>0</v>
      </c>
      <c r="FE56" s="276"/>
      <c r="FF56" s="294">
        <f>+'SR BUDACT ER'!CY88</f>
        <v>0</v>
      </c>
      <c r="FG56" s="294">
        <f>+'SR BUDACT ER'!CZ88</f>
        <v>0</v>
      </c>
      <c r="FH56" s="294">
        <f>SUM(FG56-FF56)</f>
        <v>0</v>
      </c>
      <c r="FI56" s="276"/>
      <c r="FJ56" s="276" t="s">
        <v>2389</v>
      </c>
      <c r="FK56" s="276"/>
      <c r="FL56" s="294">
        <f>+'SR BUDACT ER'!DB88</f>
        <v>0</v>
      </c>
      <c r="FM56" s="294">
        <f>+'SR BUDACT ER'!DC88</f>
        <v>0</v>
      </c>
      <c r="FN56" s="294">
        <f>SUM(FM56-FL56)</f>
        <v>0</v>
      </c>
      <c r="FO56" s="276"/>
      <c r="FP56" s="294">
        <f>+'SR BUDACT ER'!DE88</f>
        <v>0</v>
      </c>
      <c r="FQ56" s="294">
        <f>+'SR BUDACT ER'!DF88</f>
        <v>0</v>
      </c>
      <c r="FR56" s="294">
        <f>SUM(FQ56-FP56)</f>
        <v>0</v>
      </c>
      <c r="FS56" s="276"/>
      <c r="FT56" s="276" t="s">
        <v>2389</v>
      </c>
      <c r="FU56" s="276"/>
      <c r="FV56" s="294">
        <f>+'SR BUDACT ER'!DH88</f>
        <v>0</v>
      </c>
      <c r="FW56" s="294">
        <f>+'SR BUDACT ER'!DI88</f>
        <v>0</v>
      </c>
      <c r="FX56" s="294">
        <f>SUM(FW56-FV56)</f>
        <v>0</v>
      </c>
      <c r="FY56" s="276"/>
      <c r="FZ56" s="294">
        <f>+'SR BUDACT ER'!DK88</f>
        <v>3000000</v>
      </c>
      <c r="GA56" s="294">
        <f>+'SR BUDACT ER'!DL88</f>
        <v>3214883</v>
      </c>
      <c r="GB56" s="294">
        <f>SUM(GA56-FZ56)</f>
        <v>214883</v>
      </c>
      <c r="GC56" s="276"/>
      <c r="GD56" s="294">
        <f>+'SR BUDACT ER'!DN88</f>
        <v>0</v>
      </c>
      <c r="GE56" s="294">
        <f>+'SR BUDACT ER'!DO88</f>
        <v>0</v>
      </c>
      <c r="GF56" s="294">
        <f>SUM(GE56-GD56)</f>
        <v>0</v>
      </c>
      <c r="GG56" s="276"/>
      <c r="GH56" s="276" t="s">
        <v>2389</v>
      </c>
      <c r="GI56" s="276"/>
      <c r="GJ56" s="294">
        <f>+'SR BUDACT ER'!DQ88</f>
        <v>0</v>
      </c>
      <c r="GK56" s="294">
        <f>+'SR BUDACT ER'!DR88</f>
        <v>0</v>
      </c>
      <c r="GL56" s="294">
        <f>SUM(GK56-GJ56)</f>
        <v>0</v>
      </c>
      <c r="GN56" s="276"/>
      <c r="GO56" s="294">
        <f>+'SR BUDACT ER'!DT88</f>
        <v>0</v>
      </c>
      <c r="GP56" s="294">
        <f>+'SR BUDACT ER'!DU88</f>
        <v>0</v>
      </c>
      <c r="GQ56" s="294">
        <f>SUM(GP56-GO56)</f>
        <v>0</v>
      </c>
      <c r="GR56" s="276"/>
      <c r="GS56" s="276" t="s">
        <v>2389</v>
      </c>
      <c r="GT56" s="276"/>
      <c r="GU56" s="294">
        <f>+'SR BUDACT ER'!DW88</f>
        <v>0</v>
      </c>
      <c r="GV56" s="294">
        <f>+'SR BUDACT ER'!DX88</f>
        <v>0</v>
      </c>
      <c r="GW56" s="294">
        <f>SUM(GV56-GU56)</f>
        <v>0</v>
      </c>
      <c r="GX56" s="294"/>
      <c r="GY56" s="294">
        <f>+'SR BUDACT ER'!DZ88</f>
        <v>0</v>
      </c>
      <c r="GZ56" s="294">
        <f>+'SR BUDACT ER'!EA88</f>
        <v>0</v>
      </c>
      <c r="HA56" s="294">
        <f>SUM(GZ56-GY56)</f>
        <v>0</v>
      </c>
      <c r="HB56" s="276"/>
      <c r="HC56" s="276" t="s">
        <v>2389</v>
      </c>
      <c r="HD56" s="276"/>
      <c r="HE56" s="294">
        <f>+'SR BUDACT ER'!EC88</f>
        <v>0</v>
      </c>
      <c r="HF56" s="294">
        <f>+'SR BUDACT ER'!ED88</f>
        <v>0</v>
      </c>
      <c r="HG56" s="294">
        <f>SUM(HF56-HE56)</f>
        <v>0</v>
      </c>
      <c r="HH56" s="294"/>
      <c r="HI56" s="294">
        <f>+'SR BUDACT ER'!EI88</f>
        <v>0</v>
      </c>
      <c r="HJ56" s="294">
        <f>+'SR BUDACT ER'!EJ88</f>
        <v>0</v>
      </c>
      <c r="HK56" s="294">
        <f>SUM(HJ56-HI56)</f>
        <v>0</v>
      </c>
      <c r="HL56" s="276"/>
      <c r="HM56" s="276" t="s">
        <v>2389</v>
      </c>
      <c r="HN56" s="276"/>
      <c r="HO56" s="294">
        <f>+'SR BUDACT ER'!EI88</f>
        <v>0</v>
      </c>
      <c r="HP56" s="294">
        <f>+'SR BUDACT ER'!EJ88</f>
        <v>0</v>
      </c>
      <c r="HQ56" s="294">
        <f>SUM(HP56-HO56)</f>
        <v>0</v>
      </c>
      <c r="HR56" s="276"/>
      <c r="HS56" s="294">
        <f>+'SR BUDACT ER'!EM88</f>
        <v>0</v>
      </c>
      <c r="HT56" s="294">
        <f>+'SR BUDACT ER'!EN88</f>
        <v>0</v>
      </c>
      <c r="HU56" s="294">
        <f>SUM(HT56-HS56)</f>
        <v>0</v>
      </c>
      <c r="HV56" s="294"/>
      <c r="HW56" s="294">
        <f>+'SR BUDACT ER'!EO88</f>
        <v>0</v>
      </c>
      <c r="HX56" s="294">
        <f>+'SR BUDACT ER'!EP88</f>
        <v>0</v>
      </c>
      <c r="HY56" s="294">
        <f>SUM(HX56-HW56)</f>
        <v>0</v>
      </c>
      <c r="HZ56" s="276"/>
      <c r="IA56" s="276" t="s">
        <v>2389</v>
      </c>
      <c r="IB56" s="276"/>
      <c r="IC56" s="294">
        <f>+'SR BUDACT ER'!ER88</f>
        <v>0</v>
      </c>
      <c r="ID56" s="294">
        <f>+'SR BUDACT ER'!ES88</f>
        <v>0</v>
      </c>
      <c r="IE56" s="294">
        <f>SUM(ID56-IC56)</f>
        <v>0</v>
      </c>
      <c r="IF56" s="294"/>
      <c r="IG56" s="276"/>
      <c r="IH56" s="294">
        <f>+D56+H56+N56+R56+X56+AB56+AH56+AL56+AR56+AV56+BB56+BJ56+BP56+BT56+BZ56+CD56+CJ56+CN56+CT56+CX56+DD56+DH56+DN56+DR56++DX56+EB56+EH56+EL56+ER56+EV56+FB56+FF56+FL56+FP56+FV56+FZ56+GD56+GJ56+GO56+GU56+GY56+HE56+HI56+HW56+IC56+IN56+HS56</f>
        <v>3000000</v>
      </c>
      <c r="II56" s="294">
        <f>+E56+I56+O56+S56+Y56+AC56+AI56+AM56+AS56+AW56+BC56+BK56+BQ56+BU56+CA56+CE56+CK56+CO56+CU56+CY56+DE56+DI56+DO56+DS56++DY56+EC56+EI56+EM56+ES56+EW56+FC56+FG56+FM56+FQ56+FW56+GA56+GE56+GK56+GP56+GV56+GZ56+HF56+HJ56+HT56+HX56+ID56+IO56</f>
        <v>3214883</v>
      </c>
      <c r="IJ56" s="294">
        <f>SUM(II56-IH56)</f>
        <v>214883</v>
      </c>
      <c r="IK56" s="276"/>
      <c r="IL56" s="276" t="s">
        <v>2389</v>
      </c>
      <c r="IM56" s="276"/>
      <c r="IN56" s="308"/>
      <c r="IO56" s="308"/>
      <c r="IP56" s="308"/>
      <c r="IQ56" s="294"/>
      <c r="IR56" s="294"/>
      <c r="IS56" s="294"/>
      <c r="IW56" s="276"/>
      <c r="IX56" s="294"/>
      <c r="IY56" s="294"/>
      <c r="JA56" s="294">
        <f>+'SR BUDACT ER'!AN88</f>
        <v>0</v>
      </c>
      <c r="JB56" s="294">
        <f>+'SR BUDACT ER'!AO88</f>
        <v>0</v>
      </c>
      <c r="JC56" s="514">
        <f>SUM(JB56-JA56)</f>
        <v>0</v>
      </c>
      <c r="JE56" s="288">
        <f t="shared" si="70"/>
        <v>6429766</v>
      </c>
      <c r="JF56" s="288">
        <f t="shared" si="71"/>
        <v>6429766</v>
      </c>
      <c r="JG56" s="288">
        <f t="shared" si="72"/>
        <v>0</v>
      </c>
    </row>
    <row r="57" spans="2:267" ht="15.75" hidden="1">
      <c r="B57" s="276" t="s">
        <v>779</v>
      </c>
      <c r="C57" s="276"/>
      <c r="D57" s="294">
        <f>+'SR BUDACT ER'!G89</f>
        <v>0</v>
      </c>
      <c r="E57" s="294">
        <f>+'SR BUDACT ER'!H89</f>
        <v>0</v>
      </c>
      <c r="F57" s="294">
        <f>SUM(E57-D57)</f>
        <v>0</v>
      </c>
      <c r="G57" s="276"/>
      <c r="H57" s="294">
        <f>+'SR BUDACT ER'!J89</f>
        <v>0</v>
      </c>
      <c r="I57" s="294">
        <f>+'SR BUDACT ER'!K89</f>
        <v>0</v>
      </c>
      <c r="J57" s="294">
        <f>SUM(I57-H57)</f>
        <v>0</v>
      </c>
      <c r="K57" s="276"/>
      <c r="L57" s="276" t="s">
        <v>779</v>
      </c>
      <c r="M57" s="276"/>
      <c r="N57" s="294">
        <f>+'SR BUDACT ER'!M89</f>
        <v>0</v>
      </c>
      <c r="O57" s="294">
        <f>+'SR BUDACT ER'!N89</f>
        <v>0</v>
      </c>
      <c r="P57" s="294">
        <f>SUM(O57-N57)</f>
        <v>0</v>
      </c>
      <c r="Q57" s="276"/>
      <c r="R57" s="294">
        <f>+'SR BUDACT ER'!P89</f>
        <v>0</v>
      </c>
      <c r="S57" s="294">
        <f>+'SR BUDACT ER'!Q89</f>
        <v>0</v>
      </c>
      <c r="T57" s="294">
        <f>SUM(S57-R57)</f>
        <v>0</v>
      </c>
      <c r="U57" s="276"/>
      <c r="V57" s="276" t="s">
        <v>779</v>
      </c>
      <c r="W57" s="276"/>
      <c r="X57" s="294">
        <f>+'SR BUDACT ER'!S89</f>
        <v>0</v>
      </c>
      <c r="Y57" s="294">
        <f>+'SR BUDACT ER'!T89</f>
        <v>0</v>
      </c>
      <c r="Z57" s="294">
        <f>SUM(Y57-X57)</f>
        <v>0</v>
      </c>
      <c r="AA57" s="276"/>
      <c r="AB57" s="294">
        <f>'SR BUDACT ER'!V89</f>
        <v>0</v>
      </c>
      <c r="AC57" s="294">
        <f>'SR BUDACT ER'!W89</f>
        <v>0</v>
      </c>
      <c r="AD57" s="294">
        <f>SUM(AC57-AB57)</f>
        <v>0</v>
      </c>
      <c r="AE57" s="294"/>
      <c r="AF57" s="276" t="s">
        <v>779</v>
      </c>
      <c r="AG57" s="276"/>
      <c r="AH57" s="294">
        <f>+'SR BUDACT ER'!Y89</f>
        <v>0</v>
      </c>
      <c r="AI57" s="294">
        <f>+'SR BUDACT ER'!Z89</f>
        <v>0</v>
      </c>
      <c r="AJ57" s="294">
        <f>SUM(AI57-AH57)</f>
        <v>0</v>
      </c>
      <c r="AK57" s="276"/>
      <c r="AL57" s="294">
        <f>+'SR BUDACT ER'!AB89</f>
        <v>0</v>
      </c>
      <c r="AM57" s="294">
        <f>+'SR BUDACT ER'!AC89</f>
        <v>0</v>
      </c>
      <c r="AN57" s="294">
        <f>SUM(AM57-AL57)</f>
        <v>0</v>
      </c>
      <c r="AO57" s="294"/>
      <c r="AP57" s="276" t="s">
        <v>779</v>
      </c>
      <c r="AQ57" s="276"/>
      <c r="AR57" s="294">
        <f>+'SR BUDACT ER'!AE89</f>
        <v>0</v>
      </c>
      <c r="AS57" s="294">
        <f>+'SR BUDACT ER'!AF89</f>
        <v>0</v>
      </c>
      <c r="AT57" s="294">
        <f>SUM(AS57-AR57)</f>
        <v>0</v>
      </c>
      <c r="AU57" s="276"/>
      <c r="AV57" s="294">
        <f>+'SR BUDACT ER'!AH89</f>
        <v>0</v>
      </c>
      <c r="AW57" s="294">
        <f>+'SR BUDACT ER'!AI89</f>
        <v>0</v>
      </c>
      <c r="AX57" s="294">
        <f>SUM(AW57-AV57)</f>
        <v>0</v>
      </c>
      <c r="AY57" s="294"/>
      <c r="AZ57" s="276" t="s">
        <v>779</v>
      </c>
      <c r="BA57" s="276"/>
      <c r="BB57" s="294">
        <f>+'SR BUDACT ER'!AK89</f>
        <v>0</v>
      </c>
      <c r="BC57" s="294">
        <f>+'SR BUDACT ER'!AL89</f>
        <v>0</v>
      </c>
      <c r="BD57" s="294">
        <f>SUM(BC57-BB57)</f>
        <v>0</v>
      </c>
      <c r="BE57" s="276"/>
      <c r="BF57" s="294"/>
      <c r="BG57" s="294"/>
      <c r="BH57" s="294"/>
      <c r="BI57" s="276"/>
      <c r="BJ57" s="294">
        <f>+'SR BUDACT ER'!AQ89</f>
        <v>0</v>
      </c>
      <c r="BK57" s="294">
        <f>+'SR BUDACT ER'!AR89</f>
        <v>0</v>
      </c>
      <c r="BL57" s="294">
        <f>SUM(BK57-BJ57)</f>
        <v>0</v>
      </c>
      <c r="BM57" s="294"/>
      <c r="BN57" s="276" t="s">
        <v>779</v>
      </c>
      <c r="BO57" s="294"/>
      <c r="BP57" s="294">
        <f>+'SR BUDACT ER'!AT89</f>
        <v>0</v>
      </c>
      <c r="BQ57" s="294">
        <f>+'SR BUDACT ER'!AU89</f>
        <v>0</v>
      </c>
      <c r="BR57" s="294">
        <f>SUM(BQ57-BP57)</f>
        <v>0</v>
      </c>
      <c r="BS57" s="294"/>
      <c r="BT57" s="294">
        <f>+'SR BUDACT ER'!AW89</f>
        <v>0</v>
      </c>
      <c r="BU57" s="294">
        <f>+'SR BUDACT ER'!AX89</f>
        <v>0</v>
      </c>
      <c r="BV57" s="294">
        <f>SUM(BU57-BT57)</f>
        <v>0</v>
      </c>
      <c r="BW57" s="294"/>
      <c r="BX57" s="276" t="s">
        <v>779</v>
      </c>
      <c r="BY57" s="294"/>
      <c r="BZ57" s="294">
        <f>+'SR BUDACT ER'!AZ89</f>
        <v>0</v>
      </c>
      <c r="CA57" s="294">
        <f>+'SR BUDACT ER'!BA89</f>
        <v>0</v>
      </c>
      <c r="CB57" s="294">
        <f>SUM(CA57-BZ57)</f>
        <v>0</v>
      </c>
      <c r="CC57" s="294"/>
      <c r="CD57" s="294">
        <f>+'SR BUDACT ER'!BC89</f>
        <v>0</v>
      </c>
      <c r="CE57" s="294">
        <f>+'SR BUDACT ER'!BD89</f>
        <v>0</v>
      </c>
      <c r="CF57" s="294">
        <f>SUM(CE57-CD57)</f>
        <v>0</v>
      </c>
      <c r="CG57" s="294"/>
      <c r="CH57" s="276" t="s">
        <v>779</v>
      </c>
      <c r="CI57" s="276"/>
      <c r="CJ57" s="294">
        <f>+'SR BUDACT ER'!BF89</f>
        <v>0</v>
      </c>
      <c r="CK57" s="294">
        <f>+'SR BUDACT ER'!BG89</f>
        <v>0</v>
      </c>
      <c r="CL57" s="294">
        <f>SUM(CK57-CJ57)</f>
        <v>0</v>
      </c>
      <c r="CM57" s="276"/>
      <c r="CN57" s="294">
        <f>+'SR BUDACT ER'!BI89</f>
        <v>0</v>
      </c>
      <c r="CO57" s="294">
        <f>+'SR BUDACT ER'!BJ89</f>
        <v>0</v>
      </c>
      <c r="CP57" s="294">
        <f>SUM(CO57-CN57)</f>
        <v>0</v>
      </c>
      <c r="CQ57" s="294"/>
      <c r="CR57" s="276" t="s">
        <v>779</v>
      </c>
      <c r="CS57" s="276"/>
      <c r="CT57" s="294">
        <f>+'SR BUDACT ER'!BL89</f>
        <v>0</v>
      </c>
      <c r="CU57" s="294">
        <f>+'SR BUDACT ER'!BM89</f>
        <v>0</v>
      </c>
      <c r="CV57" s="294">
        <f>SUM(CU57-CT57)</f>
        <v>0</v>
      </c>
      <c r="CW57" s="276"/>
      <c r="CX57" s="294">
        <f>+'SR BUDACT ER'!BO89</f>
        <v>0</v>
      </c>
      <c r="CY57" s="294">
        <f>+'SR BUDACT ER'!BP89</f>
        <v>0</v>
      </c>
      <c r="CZ57" s="294">
        <f>SUM(CY57-CX57)</f>
        <v>0</v>
      </c>
      <c r="DA57" s="294"/>
      <c r="DB57" s="276" t="s">
        <v>779</v>
      </c>
      <c r="DC57" s="276"/>
      <c r="DD57" s="294">
        <f>+'SR BUDACT ER'!BR89</f>
        <v>0</v>
      </c>
      <c r="DE57" s="294">
        <f>+'SR BUDACT ER'!BS89</f>
        <v>0</v>
      </c>
      <c r="DF57" s="294">
        <f>SUM(DE57-DD57)</f>
        <v>0</v>
      </c>
      <c r="DG57" s="276"/>
      <c r="DH57" s="294">
        <f>+'SR BUDACT ER'!BU89</f>
        <v>0</v>
      </c>
      <c r="DI57" s="294">
        <f>+'SR BUDACT ER'!BV89</f>
        <v>0</v>
      </c>
      <c r="DJ57" s="294">
        <f>SUM(DI57-DH57)</f>
        <v>0</v>
      </c>
      <c r="DK57" s="276"/>
      <c r="DL57" s="276" t="s">
        <v>779</v>
      </c>
      <c r="DM57" s="276"/>
      <c r="DN57" s="294">
        <f>+'SR BUDACT ER'!BX89</f>
        <v>0</v>
      </c>
      <c r="DO57" s="294">
        <f>+'SR BUDACT ER'!BY89</f>
        <v>0</v>
      </c>
      <c r="DP57" s="294">
        <f>SUM(DO57-DN57)</f>
        <v>0</v>
      </c>
      <c r="DQ57" s="276"/>
      <c r="DR57" s="294">
        <f>+'SR BUDACT ER'!CA89</f>
        <v>0</v>
      </c>
      <c r="DS57" s="294">
        <f>+'SR BUDACT ER'!CB89</f>
        <v>0</v>
      </c>
      <c r="DT57" s="294">
        <f>SUM(DS57-DR57)</f>
        <v>0</v>
      </c>
      <c r="DU57" s="276"/>
      <c r="DV57" s="276" t="s">
        <v>779</v>
      </c>
      <c r="DW57" s="276"/>
      <c r="DX57" s="294">
        <f>+'SR BUDACT ER'!CD89</f>
        <v>0</v>
      </c>
      <c r="DY57" s="294">
        <f>+'SR BUDACT ER'!CE89</f>
        <v>0</v>
      </c>
      <c r="DZ57" s="294">
        <f>SUM(DY57-DX57)</f>
        <v>0</v>
      </c>
      <c r="EA57" s="276"/>
      <c r="EB57" s="294">
        <f>+'SR BUDACT ER'!CG89</f>
        <v>0</v>
      </c>
      <c r="EC57" s="294">
        <f>+'SR BUDACT ER'!CH89</f>
        <v>0</v>
      </c>
      <c r="ED57" s="294">
        <f>SUM(EC57-EB57)</f>
        <v>0</v>
      </c>
      <c r="EE57" s="276"/>
      <c r="EF57" s="276" t="s">
        <v>779</v>
      </c>
      <c r="EG57" s="276"/>
      <c r="EH57" s="294">
        <f>+'SR BUDACT ER'!CJ89</f>
        <v>0</v>
      </c>
      <c r="EI57" s="294">
        <f>+'SR BUDACT ER'!CK89</f>
        <v>0</v>
      </c>
      <c r="EJ57" s="294">
        <f>SUM(EI57-EH57)</f>
        <v>0</v>
      </c>
      <c r="EK57" s="276"/>
      <c r="EL57" s="294">
        <f>+'SR BUDACT ER'!CM89</f>
        <v>0</v>
      </c>
      <c r="EM57" s="294">
        <f>+'SR BUDACT ER'!CN89</f>
        <v>0</v>
      </c>
      <c r="EN57" s="294">
        <f>SUM(EM57-EL57)</f>
        <v>0</v>
      </c>
      <c r="EO57" s="276"/>
      <c r="EP57" s="276" t="s">
        <v>779</v>
      </c>
      <c r="EQ57" s="276"/>
      <c r="ER57" s="294">
        <f>+'SR BUDACT ER'!CP89</f>
        <v>0</v>
      </c>
      <c r="ES57" s="294">
        <f>+'SR BUDACT ER'!CQ89</f>
        <v>0</v>
      </c>
      <c r="ET57" s="294">
        <f>SUM(ES57-ER57)</f>
        <v>0</v>
      </c>
      <c r="EU57" s="276"/>
      <c r="EV57" s="294">
        <f>+'SR BUDACT ER'!CS89</f>
        <v>0</v>
      </c>
      <c r="EW57" s="294">
        <f>+'SR BUDACT ER'!CT89</f>
        <v>0</v>
      </c>
      <c r="EX57" s="294">
        <f>SUM(EW57-EV57)</f>
        <v>0</v>
      </c>
      <c r="EY57" s="276"/>
      <c r="EZ57" s="276" t="s">
        <v>779</v>
      </c>
      <c r="FA57" s="276"/>
      <c r="FB57" s="294">
        <f>+'SR BUDACT ER'!CV89</f>
        <v>0</v>
      </c>
      <c r="FC57" s="294">
        <f>+'SR BUDACT ER'!CW89</f>
        <v>0</v>
      </c>
      <c r="FD57" s="294">
        <f>SUM(FC57-FB57)</f>
        <v>0</v>
      </c>
      <c r="FE57" s="276"/>
      <c r="FF57" s="294">
        <f>+'SR BUDACT ER'!CY89</f>
        <v>0</v>
      </c>
      <c r="FG57" s="294">
        <f>+'SR BUDACT ER'!CZ89</f>
        <v>0</v>
      </c>
      <c r="FH57" s="294">
        <f>SUM(FG57-FF57)</f>
        <v>0</v>
      </c>
      <c r="FI57" s="276"/>
      <c r="FJ57" s="276" t="s">
        <v>779</v>
      </c>
      <c r="FK57" s="276"/>
      <c r="FL57" s="294">
        <f>+'SR BUDACT ER'!DB89</f>
        <v>0</v>
      </c>
      <c r="FM57" s="294">
        <f>+'SR BUDACT ER'!DC89</f>
        <v>0</v>
      </c>
      <c r="FN57" s="294">
        <f>SUM(FM57-FL57)</f>
        <v>0</v>
      </c>
      <c r="FO57" s="276"/>
      <c r="FP57" s="294">
        <f>+'SR BUDACT ER'!DE89</f>
        <v>0</v>
      </c>
      <c r="FQ57" s="294">
        <f>+'SR BUDACT ER'!DF89</f>
        <v>0</v>
      </c>
      <c r="FR57" s="294">
        <f>SUM(FQ57-FP57)</f>
        <v>0</v>
      </c>
      <c r="FS57" s="276"/>
      <c r="FT57" s="276" t="s">
        <v>779</v>
      </c>
      <c r="FU57" s="276"/>
      <c r="FV57" s="294">
        <f>+'SR BUDACT ER'!DH89</f>
        <v>0</v>
      </c>
      <c r="FW57" s="294">
        <f>+'SR BUDACT ER'!DI89</f>
        <v>0</v>
      </c>
      <c r="FX57" s="294">
        <f>SUM(FW57-FV57)</f>
        <v>0</v>
      </c>
      <c r="FY57" s="276"/>
      <c r="FZ57" s="294">
        <f>+'SR BUDACT ER'!DK89</f>
        <v>0</v>
      </c>
      <c r="GA57" s="294">
        <f>+'SR BUDACT ER'!DL89</f>
        <v>0</v>
      </c>
      <c r="GB57" s="294">
        <f>SUM(GA57-FZ57)</f>
        <v>0</v>
      </c>
      <c r="GC57" s="276"/>
      <c r="GD57" s="294">
        <f>+'SR BUDACT ER'!DN89</f>
        <v>0</v>
      </c>
      <c r="GE57" s="294">
        <f>+'SR BUDACT ER'!DO89</f>
        <v>0</v>
      </c>
      <c r="GF57" s="294">
        <f>SUM(GE57-GD57)</f>
        <v>0</v>
      </c>
      <c r="GG57" s="276"/>
      <c r="GH57" s="276" t="s">
        <v>779</v>
      </c>
      <c r="GI57" s="276"/>
      <c r="GJ57" s="294">
        <f>+'SR BUDACT ER'!DQ89</f>
        <v>0</v>
      </c>
      <c r="GK57" s="294">
        <f>+'SR BUDACT ER'!DR89</f>
        <v>0</v>
      </c>
      <c r="GL57" s="294">
        <f>SUM(GK57-GJ57)</f>
        <v>0</v>
      </c>
      <c r="GN57" s="276"/>
      <c r="GO57" s="294">
        <f>+'SR BUDACT ER'!DT89</f>
        <v>0</v>
      </c>
      <c r="GP57" s="294">
        <f>+'SR BUDACT ER'!DU89</f>
        <v>0</v>
      </c>
      <c r="GQ57" s="294">
        <f>SUM(GP57-GO57)</f>
        <v>0</v>
      </c>
      <c r="GR57" s="276"/>
      <c r="GS57" s="276" t="s">
        <v>779</v>
      </c>
      <c r="GT57" s="276"/>
      <c r="GU57" s="294">
        <f>+'SR BUDACT ER'!DW89</f>
        <v>0</v>
      </c>
      <c r="GV57" s="294">
        <f>+'SR BUDACT ER'!DX89</f>
        <v>0</v>
      </c>
      <c r="GW57" s="294">
        <f>SUM(GV57-GU57)</f>
        <v>0</v>
      </c>
      <c r="GX57" s="294"/>
      <c r="GY57" s="294">
        <f>+'SR BUDACT ER'!DZ89</f>
        <v>0</v>
      </c>
      <c r="GZ57" s="294">
        <f>+'SR BUDACT ER'!EA89</f>
        <v>0</v>
      </c>
      <c r="HA57" s="294">
        <f>SUM(GZ57-GY57)</f>
        <v>0</v>
      </c>
      <c r="HB57" s="276"/>
      <c r="HC57" s="276" t="s">
        <v>779</v>
      </c>
      <c r="HD57" s="276"/>
      <c r="HE57" s="294">
        <f>+'SR BUDACT ER'!EC89</f>
        <v>0</v>
      </c>
      <c r="HF57" s="294">
        <f>+'SR BUDACT ER'!ED89</f>
        <v>0</v>
      </c>
      <c r="HG57" s="294">
        <f>SUM(HF57-HE57)</f>
        <v>0</v>
      </c>
      <c r="HH57" s="294"/>
      <c r="HI57" s="294">
        <f>+'SR BUDACT ER'!EI89</f>
        <v>0</v>
      </c>
      <c r="HJ57" s="294">
        <f>+'SR BUDACT ER'!EJ89</f>
        <v>0</v>
      </c>
      <c r="HK57" s="294">
        <f>SUM(HJ57-HI57)</f>
        <v>0</v>
      </c>
      <c r="HL57" s="276"/>
      <c r="HM57" s="276" t="s">
        <v>779</v>
      </c>
      <c r="HN57" s="276"/>
      <c r="HO57" s="294">
        <f>+'SR BUDACT ER'!EI89</f>
        <v>0</v>
      </c>
      <c r="HP57" s="294">
        <f>+'SR BUDACT ER'!EJ89</f>
        <v>0</v>
      </c>
      <c r="HQ57" s="294">
        <f>SUM(HP57-HO57)</f>
        <v>0</v>
      </c>
      <c r="HR57" s="276"/>
      <c r="HS57" s="294">
        <f>+'SR BUDACT ER'!EM89</f>
        <v>0</v>
      </c>
      <c r="HT57" s="294">
        <f>+'SR BUDACT ER'!EN89</f>
        <v>0</v>
      </c>
      <c r="HU57" s="294">
        <f>SUM(HT57-HS57)</f>
        <v>0</v>
      </c>
      <c r="HV57" s="294"/>
      <c r="HW57" s="294">
        <f>+'SR BUDACT ER'!EO89</f>
        <v>0</v>
      </c>
      <c r="HX57" s="294">
        <f>+'SR BUDACT ER'!EP89</f>
        <v>0</v>
      </c>
      <c r="HY57" s="294">
        <f>SUM(HX57-HW57)</f>
        <v>0</v>
      </c>
      <c r="HZ57" s="276"/>
      <c r="IA57" s="276" t="s">
        <v>779</v>
      </c>
      <c r="IB57" s="276"/>
      <c r="IC57" s="294">
        <f>+'SR BUDACT ER'!ER89</f>
        <v>0</v>
      </c>
      <c r="ID57" s="294">
        <f>+'SR BUDACT ER'!ES89</f>
        <v>0</v>
      </c>
      <c r="IE57" s="294">
        <f>SUM(ID57-IC57)</f>
        <v>0</v>
      </c>
      <c r="IF57" s="294"/>
      <c r="IG57" s="276"/>
      <c r="IH57" s="294">
        <f>+D57+H57+N57+R57+X57+AB57+AH57+AL57+AR57+AV57+BB57+BJ57+BP57+BT57+BZ57+CD57+CJ57+CN57+CT57+CX57+DD57+DH57+DN57+DR57++DX57+EB57+EH57+EL57+ER57+EV57+FB57+FF57+FL57+FP57+FV57+FZ57+GD57+GJ57+GO57+GU57+GY57+HE57+HI57+HW57+IC57+IN57+HS57</f>
        <v>0</v>
      </c>
      <c r="II57" s="294">
        <f>+E57+I57+O57+S57+Y57+AC57+AI57+AM57+AS57+AW57+BC57+BK57+BQ57+BU57+CA57+CE57+CK57+CO57+CU57+CY57+DE57+DI57+DO57+DS57++DY57+EC57+EI57+EM57+ES57+EW57+FC57+FG57+FM57+FQ57+FW57+GA57+GE57+GK57+GP57+GV57+GZ57+HF57+HJ57+HT57+HX57+ID57+IO57</f>
        <v>0</v>
      </c>
      <c r="IJ57" s="294">
        <f>SUM(II57-IH57)</f>
        <v>0</v>
      </c>
      <c r="IK57" s="276"/>
      <c r="IL57" s="276" t="s">
        <v>779</v>
      </c>
      <c r="IM57" s="276"/>
      <c r="IN57" s="308"/>
      <c r="IO57" s="308"/>
      <c r="IP57" s="308"/>
      <c r="IQ57" s="294"/>
      <c r="IR57" s="294"/>
      <c r="IS57" s="294"/>
      <c r="IW57" s="276"/>
      <c r="IX57" s="294"/>
      <c r="IY57" s="294"/>
      <c r="JA57" s="294">
        <f>+'SR BUDACT ER'!AN89</f>
        <v>0</v>
      </c>
      <c r="JB57" s="294">
        <f>+'SR BUDACT ER'!AO89</f>
        <v>0</v>
      </c>
      <c r="JC57" s="514">
        <f>SUM(JB57-JA57)</f>
        <v>0</v>
      </c>
      <c r="JE57" s="288">
        <f t="shared" si="70"/>
        <v>0</v>
      </c>
      <c r="JF57" s="288">
        <f t="shared" si="71"/>
        <v>0</v>
      </c>
      <c r="JG57" s="288">
        <f t="shared" si="72"/>
        <v>0</v>
      </c>
    </row>
    <row r="58" spans="2:267" ht="15.75">
      <c r="B58" s="276"/>
      <c r="C58" s="276"/>
      <c r="D58" s="337"/>
      <c r="E58" s="337"/>
      <c r="F58" s="337"/>
      <c r="G58" s="276"/>
      <c r="H58" s="337"/>
      <c r="I58" s="337"/>
      <c r="J58" s="337"/>
      <c r="K58" s="276"/>
      <c r="L58" s="276"/>
      <c r="M58" s="276"/>
      <c r="N58" s="337"/>
      <c r="O58" s="337"/>
      <c r="P58" s="337"/>
      <c r="Q58" s="276"/>
      <c r="R58" s="337"/>
      <c r="S58" s="337"/>
      <c r="T58" s="337"/>
      <c r="U58" s="276"/>
      <c r="V58" s="276"/>
      <c r="W58" s="276"/>
      <c r="X58" s="337"/>
      <c r="Y58" s="337"/>
      <c r="Z58" s="337"/>
      <c r="AA58" s="276"/>
      <c r="AB58" s="337"/>
      <c r="AC58" s="337"/>
      <c r="AD58" s="337"/>
      <c r="AE58" s="294"/>
      <c r="AF58" s="276"/>
      <c r="AG58" s="276"/>
      <c r="AH58" s="337"/>
      <c r="AI58" s="337"/>
      <c r="AJ58" s="337"/>
      <c r="AK58" s="276"/>
      <c r="AL58" s="337"/>
      <c r="AM58" s="337"/>
      <c r="AN58" s="337"/>
      <c r="AO58" s="294"/>
      <c r="AP58" s="276"/>
      <c r="AQ58" s="276"/>
      <c r="AR58" s="337"/>
      <c r="AS58" s="337"/>
      <c r="AT58" s="337"/>
      <c r="AU58" s="276"/>
      <c r="AV58" s="337"/>
      <c r="AW58" s="337"/>
      <c r="AX58" s="337"/>
      <c r="AY58" s="294"/>
      <c r="AZ58" s="276"/>
      <c r="BA58" s="276"/>
      <c r="BB58" s="337"/>
      <c r="BC58" s="337"/>
      <c r="BD58" s="337"/>
      <c r="BE58" s="276"/>
      <c r="BF58" s="337"/>
      <c r="BG58" s="337"/>
      <c r="BH58" s="337"/>
      <c r="BI58" s="276"/>
      <c r="BJ58" s="337"/>
      <c r="BK58" s="337"/>
      <c r="BL58" s="337"/>
      <c r="BM58" s="294"/>
      <c r="BN58" s="276"/>
      <c r="BO58" s="294"/>
      <c r="BP58" s="337"/>
      <c r="BQ58" s="337"/>
      <c r="BR58" s="337"/>
      <c r="BS58" s="294"/>
      <c r="BT58" s="337"/>
      <c r="BU58" s="337"/>
      <c r="BV58" s="337"/>
      <c r="BW58" s="294"/>
      <c r="BX58" s="276"/>
      <c r="BY58" s="294"/>
      <c r="BZ58" s="337"/>
      <c r="CA58" s="337"/>
      <c r="CB58" s="337"/>
      <c r="CC58" s="294"/>
      <c r="CD58" s="337"/>
      <c r="CE58" s="337"/>
      <c r="CF58" s="337"/>
      <c r="CG58" s="294"/>
      <c r="CH58" s="276"/>
      <c r="CI58" s="276"/>
      <c r="CJ58" s="337"/>
      <c r="CK58" s="337"/>
      <c r="CL58" s="337"/>
      <c r="CM58" s="276"/>
      <c r="CN58" s="337"/>
      <c r="CO58" s="337"/>
      <c r="CP58" s="337"/>
      <c r="CQ58" s="294"/>
      <c r="CR58" s="276"/>
      <c r="CS58" s="276"/>
      <c r="CT58" s="337"/>
      <c r="CU58" s="337"/>
      <c r="CV58" s="337"/>
      <c r="CW58" s="276"/>
      <c r="CX58" s="337"/>
      <c r="CY58" s="337"/>
      <c r="CZ58" s="337"/>
      <c r="DA58" s="294"/>
      <c r="DB58" s="276"/>
      <c r="DC58" s="276"/>
      <c r="DD58" s="337"/>
      <c r="DE58" s="337"/>
      <c r="DF58" s="337"/>
      <c r="DG58" s="276"/>
      <c r="DH58" s="337"/>
      <c r="DI58" s="337"/>
      <c r="DJ58" s="337"/>
      <c r="DK58" s="276"/>
      <c r="DL58" s="276"/>
      <c r="DM58" s="276"/>
      <c r="DN58" s="337"/>
      <c r="DO58" s="337"/>
      <c r="DP58" s="337"/>
      <c r="DQ58" s="276"/>
      <c r="DR58" s="337"/>
      <c r="DS58" s="337"/>
      <c r="DT58" s="337"/>
      <c r="DU58" s="276"/>
      <c r="DV58" s="276"/>
      <c r="DW58" s="276"/>
      <c r="DX58" s="337"/>
      <c r="DY58" s="337"/>
      <c r="DZ58" s="337"/>
      <c r="EA58" s="276"/>
      <c r="EB58" s="337"/>
      <c r="EC58" s="337"/>
      <c r="ED58" s="337"/>
      <c r="EE58" s="276"/>
      <c r="EF58" s="276"/>
      <c r="EG58" s="276"/>
      <c r="EH58" s="337"/>
      <c r="EI58" s="337"/>
      <c r="EJ58" s="337"/>
      <c r="EK58" s="276"/>
      <c r="EL58" s="337"/>
      <c r="EM58" s="337"/>
      <c r="EN58" s="337"/>
      <c r="EO58" s="276"/>
      <c r="EP58" s="276"/>
      <c r="EQ58" s="276"/>
      <c r="ER58" s="337"/>
      <c r="ES58" s="337"/>
      <c r="ET58" s="337"/>
      <c r="EU58" s="276"/>
      <c r="EV58" s="337"/>
      <c r="EW58" s="337"/>
      <c r="EX58" s="337"/>
      <c r="EY58" s="276"/>
      <c r="EZ58" s="276"/>
      <c r="FA58" s="276"/>
      <c r="FB58" s="337"/>
      <c r="FC58" s="337"/>
      <c r="FD58" s="337"/>
      <c r="FE58" s="276"/>
      <c r="FF58" s="337"/>
      <c r="FG58" s="337"/>
      <c r="FH58" s="337"/>
      <c r="FI58" s="276"/>
      <c r="FJ58" s="276"/>
      <c r="FK58" s="276"/>
      <c r="FL58" s="337"/>
      <c r="FM58" s="337"/>
      <c r="FN58" s="337"/>
      <c r="FO58" s="276"/>
      <c r="FP58" s="337"/>
      <c r="FQ58" s="337"/>
      <c r="FR58" s="337"/>
      <c r="FS58" s="276"/>
      <c r="FT58" s="276"/>
      <c r="FU58" s="276"/>
      <c r="FV58" s="337"/>
      <c r="FW58" s="337"/>
      <c r="FX58" s="337"/>
      <c r="FY58" s="276"/>
      <c r="FZ58" s="337"/>
      <c r="GA58" s="337"/>
      <c r="GB58" s="337"/>
      <c r="GC58" s="276"/>
      <c r="GD58" s="337"/>
      <c r="GE58" s="337"/>
      <c r="GF58" s="337"/>
      <c r="GG58" s="276"/>
      <c r="GH58" s="276"/>
      <c r="GI58" s="276"/>
      <c r="GJ58" s="337"/>
      <c r="GK58" s="337"/>
      <c r="GL58" s="337"/>
      <c r="GN58" s="276"/>
      <c r="GO58" s="337"/>
      <c r="GP58" s="337"/>
      <c r="GQ58" s="337"/>
      <c r="GR58" s="276"/>
      <c r="GS58" s="276"/>
      <c r="GT58" s="276"/>
      <c r="GU58" s="337"/>
      <c r="GV58" s="337"/>
      <c r="GW58" s="337"/>
      <c r="GX58" s="294"/>
      <c r="GY58" s="337"/>
      <c r="GZ58" s="337"/>
      <c r="HA58" s="337"/>
      <c r="HB58" s="276"/>
      <c r="HC58" s="276"/>
      <c r="HD58" s="276"/>
      <c r="HE58" s="337"/>
      <c r="HF58" s="337"/>
      <c r="HG58" s="337"/>
      <c r="HH58" s="294"/>
      <c r="HI58" s="337"/>
      <c r="HJ58" s="337"/>
      <c r="HK58" s="337"/>
      <c r="HL58" s="276"/>
      <c r="HM58" s="276"/>
      <c r="HN58" s="276"/>
      <c r="HO58" s="337"/>
      <c r="HP58" s="337"/>
      <c r="HQ58" s="337"/>
      <c r="HR58" s="276"/>
      <c r="HS58" s="337"/>
      <c r="HT58" s="337"/>
      <c r="HU58" s="337"/>
      <c r="HV58" s="294"/>
      <c r="HW58" s="337"/>
      <c r="HX58" s="337"/>
      <c r="HY58" s="337"/>
      <c r="HZ58" s="276"/>
      <c r="IA58" s="276"/>
      <c r="IB58" s="276"/>
      <c r="IC58" s="337"/>
      <c r="ID58" s="337"/>
      <c r="IE58" s="337"/>
      <c r="IF58" s="294"/>
      <c r="IG58" s="276"/>
      <c r="IH58" s="337"/>
      <c r="II58" s="337"/>
      <c r="IJ58" s="337"/>
      <c r="IK58" s="276"/>
      <c r="IL58" s="276"/>
      <c r="IM58" s="276"/>
      <c r="IN58" s="308"/>
      <c r="IO58" s="308"/>
      <c r="IP58" s="308"/>
      <c r="IQ58" s="294"/>
      <c r="IR58" s="294"/>
      <c r="IS58" s="294"/>
      <c r="IW58" s="276"/>
      <c r="IX58" s="294"/>
      <c r="IY58" s="294"/>
      <c r="JA58" s="337"/>
      <c r="JB58" s="337"/>
      <c r="JC58" s="515"/>
    </row>
    <row r="59" spans="2:267" ht="15.75">
      <c r="B59" s="308" t="s">
        <v>2588</v>
      </c>
      <c r="C59" s="308"/>
      <c r="D59" s="301">
        <f>+SUM(D54:D58)</f>
        <v>781017</v>
      </c>
      <c r="E59" s="301">
        <f>SUM(E54:E58)</f>
        <v>667014</v>
      </c>
      <c r="F59" s="301">
        <f>+SUM(F54:F58)</f>
        <v>-114003</v>
      </c>
      <c r="G59" s="276"/>
      <c r="H59" s="301">
        <f>+SUM(H54:H58)</f>
        <v>0</v>
      </c>
      <c r="I59" s="301">
        <f>+SUM(I54:I58)</f>
        <v>0</v>
      </c>
      <c r="J59" s="301">
        <f>+SUM(J54:J58)</f>
        <v>0</v>
      </c>
      <c r="K59" s="308"/>
      <c r="L59" s="308" t="str">
        <f>$B$59</f>
        <v xml:space="preserve">          Total other financing sources (uses)</v>
      </c>
      <c r="M59" s="308"/>
      <c r="N59" s="301">
        <f>+SUM(N54:N58)</f>
        <v>0</v>
      </c>
      <c r="O59" s="301">
        <f>+SUM(O54:O58)</f>
        <v>0</v>
      </c>
      <c r="P59" s="301">
        <f>+SUM(P54:P58)</f>
        <v>0</v>
      </c>
      <c r="Q59" s="276"/>
      <c r="R59" s="301">
        <f>+SUM(R54:R58)</f>
        <v>17944</v>
      </c>
      <c r="S59" s="301">
        <f>+SUM(S54:S58)</f>
        <v>6421</v>
      </c>
      <c r="T59" s="301">
        <f>+SUM(T54:T58)</f>
        <v>-11523</v>
      </c>
      <c r="U59" s="308"/>
      <c r="V59" s="308" t="str">
        <f>$B$59</f>
        <v xml:space="preserve">          Total other financing sources (uses)</v>
      </c>
      <c r="W59" s="276"/>
      <c r="X59" s="301">
        <f>+SUM(X54:X58)</f>
        <v>0</v>
      </c>
      <c r="Y59" s="301">
        <f>+SUM(Y54:Y58)</f>
        <v>5640</v>
      </c>
      <c r="Z59" s="301">
        <f>+SUM(Z54:Z58)</f>
        <v>5640</v>
      </c>
      <c r="AA59" s="276"/>
      <c r="AB59" s="301">
        <f>+SUM(AB54:AB58)</f>
        <v>-1718025</v>
      </c>
      <c r="AC59" s="301">
        <f>+SUM(AC54:AC58)</f>
        <v>-1742594</v>
      </c>
      <c r="AD59" s="301">
        <f>+SUM(AD54:AD58)</f>
        <v>-24569</v>
      </c>
      <c r="AE59" s="300"/>
      <c r="AF59" s="308" t="str">
        <f>$B$59</f>
        <v xml:space="preserve">          Total other financing sources (uses)</v>
      </c>
      <c r="AG59" s="276"/>
      <c r="AH59" s="301">
        <f>+SUM(AH54:AH58)</f>
        <v>0</v>
      </c>
      <c r="AI59" s="301">
        <f>+SUM(AI54:AI58)</f>
        <v>0</v>
      </c>
      <c r="AJ59" s="301">
        <f>+SUM(AJ54:AJ58)</f>
        <v>0</v>
      </c>
      <c r="AK59" s="276"/>
      <c r="AL59" s="301">
        <f>+SUM(AL54:AL58)</f>
        <v>0</v>
      </c>
      <c r="AM59" s="301">
        <f>+SUM(AM54:AM58)</f>
        <v>0</v>
      </c>
      <c r="AN59" s="301">
        <f>+SUM(AN54:AN58)</f>
        <v>0</v>
      </c>
      <c r="AO59" s="300"/>
      <c r="AP59" s="308" t="str">
        <f>$B$59</f>
        <v xml:space="preserve">          Total other financing sources (uses)</v>
      </c>
      <c r="AQ59" s="276"/>
      <c r="AR59" s="301">
        <f>+SUM(AR54:AR58)</f>
        <v>79900</v>
      </c>
      <c r="AS59" s="301">
        <f>+SUM(AS54:AS58)</f>
        <v>77358</v>
      </c>
      <c r="AT59" s="301">
        <f>+SUM(AT54:AT58)</f>
        <v>-2542</v>
      </c>
      <c r="AU59" s="276"/>
      <c r="AV59" s="301">
        <f>+SUM(AV54:AV58)</f>
        <v>-75000</v>
      </c>
      <c r="AW59" s="301">
        <f>+SUM(AW54:AW58)</f>
        <v>-75000</v>
      </c>
      <c r="AX59" s="301">
        <f>+SUM(AX54:AX58)</f>
        <v>0</v>
      </c>
      <c r="AY59" s="300"/>
      <c r="AZ59" s="308" t="str">
        <f>$B$59</f>
        <v xml:space="preserve">          Total other financing sources (uses)</v>
      </c>
      <c r="BA59" s="276"/>
      <c r="BB59" s="301">
        <f>+SUM(BB54:BB58)</f>
        <v>22000</v>
      </c>
      <c r="BC59" s="301">
        <f>+SUM(BC54:BC58)</f>
        <v>37000</v>
      </c>
      <c r="BD59" s="301">
        <f>+SUM(BD54:BD58)</f>
        <v>15000</v>
      </c>
      <c r="BE59" s="276"/>
      <c r="BF59" s="301"/>
      <c r="BG59" s="301"/>
      <c r="BH59" s="301"/>
      <c r="BI59" s="276"/>
      <c r="BJ59" s="301">
        <f>+SUM(BJ54:BJ58)</f>
        <v>-1843254</v>
      </c>
      <c r="BK59" s="301">
        <f>+SUM(BK54:BK58)</f>
        <v>-1589670</v>
      </c>
      <c r="BL59" s="301">
        <f>+SUM(BL54:BL58)</f>
        <v>253584</v>
      </c>
      <c r="BM59" s="300"/>
      <c r="BN59" s="308" t="str">
        <f>$B$59</f>
        <v xml:space="preserve">          Total other financing sources (uses)</v>
      </c>
      <c r="BO59" s="300"/>
      <c r="BP59" s="301">
        <f>+SUM(BP54:BP58)</f>
        <v>-132500</v>
      </c>
      <c r="BQ59" s="301">
        <f t="shared" ref="BQ59:DF59" si="73">+SUM(BQ54:BQ58)</f>
        <v>-137780</v>
      </c>
      <c r="BR59" s="301">
        <f t="shared" si="73"/>
        <v>-5280</v>
      </c>
      <c r="BS59" s="300"/>
      <c r="BT59" s="301">
        <f t="shared" si="73"/>
        <v>18363</v>
      </c>
      <c r="BU59" s="301">
        <f t="shared" si="73"/>
        <v>28096</v>
      </c>
      <c r="BV59" s="301">
        <f t="shared" si="73"/>
        <v>9733</v>
      </c>
      <c r="BW59" s="300"/>
      <c r="BX59" s="308" t="str">
        <f>$B$59</f>
        <v xml:space="preserve">          Total other financing sources (uses)</v>
      </c>
      <c r="BY59" s="300"/>
      <c r="BZ59" s="301">
        <f t="shared" si="73"/>
        <v>0</v>
      </c>
      <c r="CA59" s="301">
        <f t="shared" si="73"/>
        <v>0</v>
      </c>
      <c r="CB59" s="301">
        <f t="shared" si="73"/>
        <v>0</v>
      </c>
      <c r="CC59" s="300"/>
      <c r="CD59" s="301">
        <f t="shared" si="73"/>
        <v>4831</v>
      </c>
      <c r="CE59" s="301">
        <f t="shared" si="73"/>
        <v>82773</v>
      </c>
      <c r="CF59" s="301">
        <f t="shared" si="73"/>
        <v>77942</v>
      </c>
      <c r="CG59" s="300"/>
      <c r="CH59" s="308" t="str">
        <f>$B$59</f>
        <v xml:space="preserve">          Total other financing sources (uses)</v>
      </c>
      <c r="CI59" s="276"/>
      <c r="CJ59" s="301">
        <f t="shared" si="73"/>
        <v>-3000</v>
      </c>
      <c r="CK59" s="301">
        <f t="shared" si="73"/>
        <v>-3000</v>
      </c>
      <c r="CL59" s="301">
        <f t="shared" si="73"/>
        <v>0</v>
      </c>
      <c r="CM59" s="276"/>
      <c r="CN59" s="301">
        <f t="shared" si="73"/>
        <v>-6960</v>
      </c>
      <c r="CO59" s="301">
        <f t="shared" si="73"/>
        <v>-6360</v>
      </c>
      <c r="CP59" s="301">
        <f t="shared" si="73"/>
        <v>600</v>
      </c>
      <c r="CQ59" s="300"/>
      <c r="CR59" s="308" t="str">
        <f>$B$59</f>
        <v xml:space="preserve">          Total other financing sources (uses)</v>
      </c>
      <c r="CS59" s="276"/>
      <c r="CT59" s="301">
        <f t="shared" si="73"/>
        <v>460000</v>
      </c>
      <c r="CU59" s="301">
        <f t="shared" si="73"/>
        <v>342640</v>
      </c>
      <c r="CV59" s="301">
        <f t="shared" si="73"/>
        <v>-117360</v>
      </c>
      <c r="CW59" s="276"/>
      <c r="CX59" s="301">
        <f t="shared" si="73"/>
        <v>50000</v>
      </c>
      <c r="CY59" s="301">
        <f t="shared" si="73"/>
        <v>50000</v>
      </c>
      <c r="CZ59" s="301">
        <f t="shared" si="73"/>
        <v>0</v>
      </c>
      <c r="DA59" s="300"/>
      <c r="DB59" s="308" t="str">
        <f>$B$59</f>
        <v xml:space="preserve">          Total other financing sources (uses)</v>
      </c>
      <c r="DC59" s="276"/>
      <c r="DD59" s="301">
        <f t="shared" si="73"/>
        <v>-26000</v>
      </c>
      <c r="DE59" s="301">
        <f t="shared" si="73"/>
        <v>-25360</v>
      </c>
      <c r="DF59" s="301">
        <f t="shared" si="73"/>
        <v>640</v>
      </c>
      <c r="DG59" s="276"/>
      <c r="DH59" s="301">
        <f>+SUM(DH54:DH58)</f>
        <v>-383480</v>
      </c>
      <c r="DI59" s="301">
        <f>+SUM(DI54:DI58)</f>
        <v>-121132</v>
      </c>
      <c r="DJ59" s="301">
        <f>+SUM(DJ54:DJ58)</f>
        <v>262348</v>
      </c>
      <c r="DK59" s="276"/>
      <c r="DL59" s="308" t="str">
        <f>$B$59</f>
        <v xml:space="preserve">          Total other financing sources (uses)</v>
      </c>
      <c r="DM59" s="276"/>
      <c r="DN59" s="301">
        <f>+SUM(DN54:DN58)</f>
        <v>0</v>
      </c>
      <c r="DO59" s="301">
        <f>+SUM(DO54:DO58)</f>
        <v>0</v>
      </c>
      <c r="DP59" s="301">
        <f>+SUM(DP54:DP58)</f>
        <v>0</v>
      </c>
      <c r="DQ59" s="276"/>
      <c r="DR59" s="301">
        <f>+SUM(DR54:DR58)</f>
        <v>0</v>
      </c>
      <c r="DS59" s="301">
        <f>+SUM(DS54:DS58)</f>
        <v>0</v>
      </c>
      <c r="DT59" s="301">
        <f>+SUM(DT54:DT58)</f>
        <v>0</v>
      </c>
      <c r="DU59" s="276"/>
      <c r="DV59" s="308" t="str">
        <f>$B$59</f>
        <v xml:space="preserve">          Total other financing sources (uses)</v>
      </c>
      <c r="DW59" s="276"/>
      <c r="DX59" s="301">
        <f>+SUM(DX54:DX58)</f>
        <v>-12500</v>
      </c>
      <c r="DY59" s="301">
        <f>+SUM(DY54:DY58)</f>
        <v>-360</v>
      </c>
      <c r="DZ59" s="301">
        <f>+SUM(DZ54:DZ58)</f>
        <v>12140</v>
      </c>
      <c r="EA59" s="276"/>
      <c r="EB59" s="301">
        <f>+SUM(EB54:EB58)</f>
        <v>0</v>
      </c>
      <c r="EC59" s="301">
        <f>+SUM(EC54:EC58)</f>
        <v>0</v>
      </c>
      <c r="ED59" s="301">
        <f>+SUM(ED54:ED58)</f>
        <v>0</v>
      </c>
      <c r="EE59" s="276"/>
      <c r="EF59" s="308" t="str">
        <f>$B$59</f>
        <v xml:space="preserve">          Total other financing sources (uses)</v>
      </c>
      <c r="EG59" s="276"/>
      <c r="EH59" s="301">
        <f>+SUM(EH54:EH58)</f>
        <v>-5000</v>
      </c>
      <c r="EI59" s="301">
        <f>+SUM(EI54:EI58)</f>
        <v>0</v>
      </c>
      <c r="EJ59" s="301">
        <f>+SUM(EJ54:EJ58)</f>
        <v>5000</v>
      </c>
      <c r="EK59" s="276"/>
      <c r="EL59" s="301">
        <f>+SUM(EL54:EL58)</f>
        <v>0</v>
      </c>
      <c r="EM59" s="301">
        <f>+SUM(EM54:EM58)</f>
        <v>0</v>
      </c>
      <c r="EN59" s="301">
        <f>+SUM(EN54:EN58)</f>
        <v>0</v>
      </c>
      <c r="EO59" s="276"/>
      <c r="EP59" s="308" t="str">
        <f>$B$59</f>
        <v xml:space="preserve">          Total other financing sources (uses)</v>
      </c>
      <c r="EQ59" s="276"/>
      <c r="ER59" s="301">
        <f>+SUM(ER54:ER58)</f>
        <v>0</v>
      </c>
      <c r="ES59" s="301">
        <f>+SUM(ES54:ES58)</f>
        <v>0</v>
      </c>
      <c r="ET59" s="301">
        <f>+SUM(ET54:ET58)</f>
        <v>0</v>
      </c>
      <c r="EU59" s="276"/>
      <c r="EV59" s="301">
        <f>+SUM(EV54:EV58)</f>
        <v>0</v>
      </c>
      <c r="EW59" s="301">
        <f>+SUM(EW54:EW58)</f>
        <v>0</v>
      </c>
      <c r="EX59" s="301">
        <f>+SUM(EX54:EX58)</f>
        <v>0</v>
      </c>
      <c r="EY59" s="276"/>
      <c r="EZ59" s="308" t="str">
        <f>$B$59</f>
        <v xml:space="preserve">          Total other financing sources (uses)</v>
      </c>
      <c r="FA59" s="276"/>
      <c r="FB59" s="301">
        <f>+SUM(FB54:FB58)</f>
        <v>0</v>
      </c>
      <c r="FC59" s="301">
        <f>+SUM(FC54:FC58)</f>
        <v>0</v>
      </c>
      <c r="FD59" s="301">
        <f>+SUM(FD54:FD58)</f>
        <v>0</v>
      </c>
      <c r="FE59" s="276"/>
      <c r="FF59" s="301">
        <f>+SUM(FF54:FF58)</f>
        <v>0</v>
      </c>
      <c r="FG59" s="301">
        <f>+SUM(FG54:FG58)</f>
        <v>0</v>
      </c>
      <c r="FH59" s="301">
        <f>+SUM(FH54:FH58)</f>
        <v>0</v>
      </c>
      <c r="FI59" s="276"/>
      <c r="FJ59" s="308" t="str">
        <f>$B$59</f>
        <v xml:space="preserve">          Total other financing sources (uses)</v>
      </c>
      <c r="FK59" s="276"/>
      <c r="FL59" s="301">
        <f>+SUM(FL54:FL58)</f>
        <v>0</v>
      </c>
      <c r="FM59" s="301">
        <f>+SUM(FM54:FM58)</f>
        <v>0</v>
      </c>
      <c r="FN59" s="301">
        <f>+SUM(FN54:FN58)</f>
        <v>0</v>
      </c>
      <c r="FO59" s="276"/>
      <c r="FP59" s="301">
        <f>+SUM(FP54:FP58)</f>
        <v>0</v>
      </c>
      <c r="FQ59" s="301">
        <f>+SUM(FQ54:FQ58)</f>
        <v>0</v>
      </c>
      <c r="FR59" s="301">
        <f>+SUM(FR54:FR58)</f>
        <v>0</v>
      </c>
      <c r="FS59" s="276"/>
      <c r="FT59" s="308" t="str">
        <f>$B$59</f>
        <v xml:space="preserve">          Total other financing sources (uses)</v>
      </c>
      <c r="FU59" s="276"/>
      <c r="FV59" s="301">
        <f>+SUM(FV54:FV58)</f>
        <v>0</v>
      </c>
      <c r="FW59" s="301">
        <f>+SUM(FW54:FW58)</f>
        <v>0</v>
      </c>
      <c r="FX59" s="301">
        <f>+SUM(FX54:FX58)</f>
        <v>0</v>
      </c>
      <c r="FY59" s="276"/>
      <c r="FZ59" s="301">
        <f>+SUM(FZ54:FZ58)</f>
        <v>3000000</v>
      </c>
      <c r="GA59" s="301">
        <f>+SUM(GA54:GA58)</f>
        <v>3214883</v>
      </c>
      <c r="GB59" s="301">
        <f>+SUM(GB54:GB58)</f>
        <v>214883</v>
      </c>
      <c r="GC59" s="276"/>
      <c r="GD59" s="301">
        <f>+SUM(GD54:GD58)</f>
        <v>0</v>
      </c>
      <c r="GE59" s="301">
        <f>+SUM(GE54:GE58)</f>
        <v>0</v>
      </c>
      <c r="GF59" s="301">
        <f>+SUM(GF54:GF58)</f>
        <v>0</v>
      </c>
      <c r="GG59" s="276"/>
      <c r="GH59" s="308" t="str">
        <f>$B$59</f>
        <v xml:space="preserve">          Total other financing sources (uses)</v>
      </c>
      <c r="GI59" s="308"/>
      <c r="GJ59" s="301">
        <f>+SUM(GJ54:GJ58)</f>
        <v>0</v>
      </c>
      <c r="GK59" s="301">
        <f>+SUM(GK54:GK58)</f>
        <v>0</v>
      </c>
      <c r="GL59" s="301">
        <f>+SUM(GL54:GL58)</f>
        <v>0</v>
      </c>
      <c r="GN59" s="276"/>
      <c r="GO59" s="301">
        <f>+SUM(GO54:GO58)</f>
        <v>-56000</v>
      </c>
      <c r="GP59" s="301">
        <f>+SUM(GP54:GP58)</f>
        <v>-56000</v>
      </c>
      <c r="GQ59" s="301">
        <f>+SUM(GQ54:GQ58)</f>
        <v>0</v>
      </c>
      <c r="GR59" s="276"/>
      <c r="GS59" s="308" t="str">
        <f>$B$59</f>
        <v xml:space="preserve">          Total other financing sources (uses)</v>
      </c>
      <c r="GT59" s="276"/>
      <c r="GU59" s="301">
        <f>+SUM(GU54:GU58)</f>
        <v>46547</v>
      </c>
      <c r="GV59" s="301">
        <f>+SUM(GV54:GV58)</f>
        <v>12743</v>
      </c>
      <c r="GW59" s="301">
        <f>+SUM(GW54:GW58)</f>
        <v>-33804</v>
      </c>
      <c r="GX59" s="300"/>
      <c r="GY59" s="301">
        <f>+SUM(GY54:GY58)</f>
        <v>0</v>
      </c>
      <c r="GZ59" s="301">
        <f>+SUM(GZ54:GZ58)</f>
        <v>5640</v>
      </c>
      <c r="HA59" s="301">
        <f>+SUM(HA54:HA58)</f>
        <v>5640</v>
      </c>
      <c r="HB59" s="276"/>
      <c r="HC59" s="308" t="str">
        <f>$B$59</f>
        <v xml:space="preserve">          Total other financing sources (uses)</v>
      </c>
      <c r="HD59" s="276"/>
      <c r="HE59" s="301">
        <f>+SUM(HE54:HE58)</f>
        <v>0</v>
      </c>
      <c r="HF59" s="301">
        <f>+SUM(HF54:HF58)</f>
        <v>0</v>
      </c>
      <c r="HG59" s="301">
        <f>+SUM(HG54:HG58)</f>
        <v>0</v>
      </c>
      <c r="HH59" s="300"/>
      <c r="HI59" s="301">
        <f>+SUM(HI54:HI58)</f>
        <v>0</v>
      </c>
      <c r="HJ59" s="301">
        <f>+SUM(HJ54:HJ58)</f>
        <v>0</v>
      </c>
      <c r="HK59" s="301">
        <f>+SUM(HK54:HK58)</f>
        <v>0</v>
      </c>
      <c r="HL59" s="276"/>
      <c r="HM59" s="308" t="str">
        <f>$B$59</f>
        <v xml:space="preserve">          Total other financing sources (uses)</v>
      </c>
      <c r="HN59" s="276"/>
      <c r="HO59" s="301">
        <f>+SUM(HO54:HO58)</f>
        <v>0</v>
      </c>
      <c r="HP59" s="301">
        <f>+SUM(HP54:HP58)</f>
        <v>0</v>
      </c>
      <c r="HQ59" s="301">
        <f>+SUM(HQ54:HQ58)</f>
        <v>0</v>
      </c>
      <c r="HR59" s="276"/>
      <c r="HS59" s="301">
        <f>+SUM(HS54:HS58)</f>
        <v>0</v>
      </c>
      <c r="HT59" s="301">
        <f>+SUM(HT54:HT58)</f>
        <v>0</v>
      </c>
      <c r="HU59" s="301">
        <f>+SUM(HU54:HU58)</f>
        <v>0</v>
      </c>
      <c r="HV59" s="300"/>
      <c r="HW59" s="301">
        <f>+SUM(HW54:HW58)</f>
        <v>0</v>
      </c>
      <c r="HX59" s="301">
        <f>+SUM(HX54:HX58)</f>
        <v>0</v>
      </c>
      <c r="HY59" s="301">
        <f>+SUM(HY54:HY58)</f>
        <v>0</v>
      </c>
      <c r="HZ59" s="276"/>
      <c r="IA59" s="308" t="str">
        <f>$B$59</f>
        <v xml:space="preserve">          Total other financing sources (uses)</v>
      </c>
      <c r="IB59" s="276"/>
      <c r="IC59" s="301">
        <f>+SUM(IC54:IC58)</f>
        <v>0</v>
      </c>
      <c r="ID59" s="301">
        <f>+SUM(ID54:ID58)</f>
        <v>0</v>
      </c>
      <c r="IE59" s="301">
        <f>+SUM(IE54:IE58)</f>
        <v>0</v>
      </c>
      <c r="IF59" s="300"/>
      <c r="IG59" s="276"/>
      <c r="IH59" s="301">
        <f>+SUM(IH54:IH58)</f>
        <v>218883</v>
      </c>
      <c r="II59" s="301">
        <f>+SUM(II54:II58)</f>
        <v>772952</v>
      </c>
      <c r="IJ59" s="301">
        <f>+SUM(IJ54:IJ58)</f>
        <v>554069</v>
      </c>
      <c r="IK59" s="276"/>
      <c r="IL59" s="308" t="str">
        <f>$B$59</f>
        <v xml:space="preserve">          Total other financing sources (uses)</v>
      </c>
      <c r="IM59" s="276"/>
      <c r="IN59" s="308"/>
      <c r="IO59" s="308"/>
      <c r="IP59" s="308"/>
      <c r="IQ59" s="300"/>
      <c r="IR59" s="300"/>
      <c r="IS59" s="300"/>
      <c r="IW59" s="276"/>
      <c r="IX59" s="294"/>
      <c r="IY59" s="294"/>
      <c r="JA59" s="301">
        <f>+SUM(JA54:JA58)</f>
        <v>0</v>
      </c>
      <c r="JB59" s="301">
        <f>+SUM(JB54:JB58)</f>
        <v>0</v>
      </c>
      <c r="JC59" s="516">
        <f>+SUM(JC54:JC58)</f>
        <v>0</v>
      </c>
    </row>
    <row r="60" spans="2:267" ht="15.75">
      <c r="B60" s="276"/>
      <c r="C60" s="276"/>
      <c r="D60" s="296"/>
      <c r="E60" s="294"/>
      <c r="F60" s="294"/>
      <c r="G60" s="276"/>
      <c r="H60" s="296"/>
      <c r="I60" s="296"/>
      <c r="J60" s="294"/>
      <c r="K60" s="276"/>
      <c r="L60" s="276"/>
      <c r="M60" s="276"/>
      <c r="N60" s="296"/>
      <c r="O60" s="296"/>
      <c r="P60" s="294"/>
      <c r="Q60" s="276"/>
      <c r="R60" s="296"/>
      <c r="S60" s="296"/>
      <c r="T60" s="294"/>
      <c r="U60" s="276"/>
      <c r="V60" s="276"/>
      <c r="W60" s="276"/>
      <c r="X60" s="296"/>
      <c r="Y60" s="296"/>
      <c r="Z60" s="294"/>
      <c r="AA60" s="276"/>
      <c r="AB60" s="296"/>
      <c r="AC60" s="296"/>
      <c r="AD60" s="294"/>
      <c r="AE60" s="294"/>
      <c r="AF60" s="276"/>
      <c r="AG60" s="276"/>
      <c r="AH60" s="296"/>
      <c r="AI60" s="296"/>
      <c r="AJ60" s="294"/>
      <c r="AK60" s="276"/>
      <c r="AL60" s="296"/>
      <c r="AM60" s="296"/>
      <c r="AN60" s="294"/>
      <c r="AO60" s="294"/>
      <c r="AP60" s="276"/>
      <c r="AQ60" s="276"/>
      <c r="AR60" s="296"/>
      <c r="AS60" s="296"/>
      <c r="AT60" s="294"/>
      <c r="AU60" s="276"/>
      <c r="AV60" s="296"/>
      <c r="AW60" s="296"/>
      <c r="AX60" s="294"/>
      <c r="AY60" s="294"/>
      <c r="AZ60" s="276"/>
      <c r="BA60" s="276"/>
      <c r="BB60" s="296"/>
      <c r="BC60" s="296"/>
      <c r="BD60" s="294"/>
      <c r="BE60" s="276"/>
      <c r="BF60" s="294"/>
      <c r="BG60" s="294"/>
      <c r="BH60" s="294"/>
      <c r="BI60" s="276"/>
      <c r="BJ60" s="296"/>
      <c r="BK60" s="296"/>
      <c r="BL60" s="294"/>
      <c r="BM60" s="294"/>
      <c r="BN60" s="276"/>
      <c r="BO60" s="294"/>
      <c r="BP60" s="296"/>
      <c r="BQ60" s="296"/>
      <c r="BR60" s="294"/>
      <c r="BS60" s="294"/>
      <c r="BT60" s="296"/>
      <c r="BU60" s="296"/>
      <c r="BV60" s="294"/>
      <c r="BW60" s="294"/>
      <c r="BX60" s="276"/>
      <c r="BY60" s="294"/>
      <c r="BZ60" s="296"/>
      <c r="CA60" s="296"/>
      <c r="CB60" s="294"/>
      <c r="CC60" s="294"/>
      <c r="CD60" s="296"/>
      <c r="CE60" s="296"/>
      <c r="CF60" s="294"/>
      <c r="CG60" s="294"/>
      <c r="CH60" s="276"/>
      <c r="CI60" s="276"/>
      <c r="CJ60" s="296"/>
      <c r="CK60" s="296"/>
      <c r="CL60" s="294"/>
      <c r="CM60" s="276"/>
      <c r="CN60" s="296"/>
      <c r="CO60" s="296"/>
      <c r="CP60" s="294"/>
      <c r="CQ60" s="294"/>
      <c r="CR60" s="276"/>
      <c r="CS60" s="276"/>
      <c r="CT60" s="296"/>
      <c r="CU60" s="296"/>
      <c r="CV60" s="294"/>
      <c r="CW60" s="276"/>
      <c r="CX60" s="296"/>
      <c r="CY60" s="296"/>
      <c r="CZ60" s="294"/>
      <c r="DA60" s="294"/>
      <c r="DB60" s="276"/>
      <c r="DC60" s="276"/>
      <c r="DD60" s="296"/>
      <c r="DE60" s="296"/>
      <c r="DF60" s="294"/>
      <c r="DG60" s="276"/>
      <c r="DH60" s="296"/>
      <c r="DI60" s="296"/>
      <c r="DJ60" s="294"/>
      <c r="DK60" s="276"/>
      <c r="DL60" s="276"/>
      <c r="DM60" s="276"/>
      <c r="DN60" s="296"/>
      <c r="DO60" s="296"/>
      <c r="DP60" s="294"/>
      <c r="DQ60" s="276"/>
      <c r="DR60" s="296"/>
      <c r="DS60" s="296"/>
      <c r="DT60" s="294"/>
      <c r="DU60" s="276"/>
      <c r="DV60" s="276"/>
      <c r="DW60" s="276"/>
      <c r="DX60" s="296"/>
      <c r="DY60" s="296"/>
      <c r="DZ60" s="294"/>
      <c r="EA60" s="276"/>
      <c r="EB60" s="296"/>
      <c r="EC60" s="296"/>
      <c r="ED60" s="294"/>
      <c r="EE60" s="276"/>
      <c r="EF60" s="276"/>
      <c r="EG60" s="276"/>
      <c r="EH60" s="296"/>
      <c r="EI60" s="296"/>
      <c r="EJ60" s="294"/>
      <c r="EK60" s="276"/>
      <c r="EL60" s="296"/>
      <c r="EM60" s="296"/>
      <c r="EN60" s="294"/>
      <c r="EO60" s="276"/>
      <c r="EP60" s="276"/>
      <c r="EQ60" s="276"/>
      <c r="ER60" s="296"/>
      <c r="ES60" s="296"/>
      <c r="ET60" s="294"/>
      <c r="EU60" s="276"/>
      <c r="EV60" s="296"/>
      <c r="EW60" s="296"/>
      <c r="EX60" s="294"/>
      <c r="EY60" s="276"/>
      <c r="EZ60" s="276"/>
      <c r="FA60" s="276"/>
      <c r="FB60" s="296"/>
      <c r="FC60" s="296"/>
      <c r="FD60" s="294"/>
      <c r="FE60" s="276"/>
      <c r="FF60" s="296"/>
      <c r="FG60" s="296"/>
      <c r="FH60" s="294"/>
      <c r="FI60" s="276"/>
      <c r="FJ60" s="276"/>
      <c r="FK60" s="276"/>
      <c r="FL60" s="296"/>
      <c r="FM60" s="296"/>
      <c r="FN60" s="294"/>
      <c r="FO60" s="276"/>
      <c r="FP60" s="296"/>
      <c r="FQ60" s="296"/>
      <c r="FR60" s="294"/>
      <c r="FS60" s="276"/>
      <c r="FT60" s="276"/>
      <c r="FU60" s="276"/>
      <c r="FV60" s="296"/>
      <c r="FW60" s="296"/>
      <c r="FX60" s="294"/>
      <c r="FY60" s="276"/>
      <c r="FZ60" s="296"/>
      <c r="GA60" s="296"/>
      <c r="GB60" s="294"/>
      <c r="GC60" s="276"/>
      <c r="GD60" s="296"/>
      <c r="GE60" s="296"/>
      <c r="GF60" s="294"/>
      <c r="GG60" s="276"/>
      <c r="GH60" s="276"/>
      <c r="GI60" s="276"/>
      <c r="GJ60" s="296"/>
      <c r="GK60" s="296"/>
      <c r="GL60" s="294"/>
      <c r="GN60" s="276"/>
      <c r="GO60" s="296"/>
      <c r="GP60" s="296"/>
      <c r="GQ60" s="294"/>
      <c r="GR60" s="276"/>
      <c r="GS60" s="276"/>
      <c r="GT60" s="276"/>
      <c r="GU60" s="296"/>
      <c r="GV60" s="296"/>
      <c r="GW60" s="294"/>
      <c r="GX60" s="294"/>
      <c r="GY60" s="296"/>
      <c r="GZ60" s="296"/>
      <c r="HA60" s="294"/>
      <c r="HB60" s="276"/>
      <c r="HC60" s="276"/>
      <c r="HD60" s="276"/>
      <c r="HE60" s="296"/>
      <c r="HF60" s="296"/>
      <c r="HG60" s="294"/>
      <c r="HH60" s="294"/>
      <c r="HI60" s="296"/>
      <c r="HJ60" s="296"/>
      <c r="HK60" s="294"/>
      <c r="HL60" s="276"/>
      <c r="HM60" s="276"/>
      <c r="HN60" s="276"/>
      <c r="HO60" s="296"/>
      <c r="HP60" s="296"/>
      <c r="HQ60" s="294"/>
      <c r="HR60" s="276"/>
      <c r="HS60" s="296"/>
      <c r="HT60" s="296"/>
      <c r="HU60" s="294"/>
      <c r="HV60" s="294"/>
      <c r="HW60" s="296"/>
      <c r="HX60" s="296"/>
      <c r="HY60" s="294"/>
      <c r="HZ60" s="276"/>
      <c r="IA60" s="276"/>
      <c r="IB60" s="276"/>
      <c r="IC60" s="296"/>
      <c r="ID60" s="296"/>
      <c r="IE60" s="294"/>
      <c r="IF60" s="294"/>
      <c r="IG60" s="276"/>
      <c r="IH60" s="296"/>
      <c r="II60" s="296"/>
      <c r="IJ60" s="296"/>
      <c r="IK60" s="276"/>
      <c r="IL60" s="276"/>
      <c r="IM60" s="276"/>
      <c r="IN60" s="308"/>
      <c r="IO60" s="308"/>
      <c r="IP60" s="308"/>
      <c r="IQ60" s="294"/>
      <c r="IR60" s="294"/>
      <c r="IS60" s="294"/>
      <c r="IW60" s="276"/>
      <c r="IX60" s="294"/>
      <c r="IY60" s="294"/>
      <c r="JA60" s="296"/>
      <c r="JB60" s="296"/>
      <c r="JC60" s="517"/>
    </row>
    <row r="61" spans="2:267" ht="16.5" thickBot="1">
      <c r="B61" s="308" t="s">
        <v>1215</v>
      </c>
      <c r="C61" s="308"/>
      <c r="D61" s="302">
        <f>SUM(D51+D59)</f>
        <v>-192482</v>
      </c>
      <c r="E61" s="300">
        <f>SUM(E51+E59)</f>
        <v>-458661</v>
      </c>
      <c r="F61" s="302">
        <f>SUM(F51+F59)</f>
        <v>-266179</v>
      </c>
      <c r="G61" s="276"/>
      <c r="H61" s="302">
        <f>SUM(H51+H59)</f>
        <v>-2799</v>
      </c>
      <c r="I61" s="300">
        <f>SUM(I51+I59)</f>
        <v>-1939</v>
      </c>
      <c r="J61" s="302">
        <f>SUM(J51+J59)</f>
        <v>860</v>
      </c>
      <c r="K61" s="308"/>
      <c r="L61" s="308" t="str">
        <f>$B$61</f>
        <v xml:space="preserve">             Net change in fund balances</v>
      </c>
      <c r="M61" s="308"/>
      <c r="N61" s="302">
        <f>SUM(N51+N59)</f>
        <v>-7157</v>
      </c>
      <c r="O61" s="300">
        <f>SUM(O51+O59)</f>
        <v>45313</v>
      </c>
      <c r="P61" s="302">
        <f>SUM(P51+P59)</f>
        <v>52470</v>
      </c>
      <c r="Q61" s="276"/>
      <c r="R61" s="302">
        <f>SUM(R51+R59)</f>
        <v>-141538</v>
      </c>
      <c r="S61" s="300">
        <f>SUM(S51+S59)</f>
        <v>52237</v>
      </c>
      <c r="T61" s="302">
        <f>SUM(T51+T59)</f>
        <v>193775</v>
      </c>
      <c r="U61" s="308"/>
      <c r="V61" s="308" t="str">
        <f>$B$61</f>
        <v xml:space="preserve">             Net change in fund balances</v>
      </c>
      <c r="W61" s="276"/>
      <c r="X61" s="302">
        <f>SUM(X51+X59)</f>
        <v>181987</v>
      </c>
      <c r="Y61" s="300">
        <f>SUM(Y51+Y59)</f>
        <v>247106</v>
      </c>
      <c r="Z61" s="302">
        <f>SUM(Z51+Z59)</f>
        <v>65119</v>
      </c>
      <c r="AA61" s="276"/>
      <c r="AB61" s="302">
        <f>SUM(AB51+AB59)</f>
        <v>-417018</v>
      </c>
      <c r="AC61" s="300">
        <f>SUM(AC51+AC59)</f>
        <v>40042</v>
      </c>
      <c r="AD61" s="302">
        <f>SUM(AD51+AD59)</f>
        <v>457060</v>
      </c>
      <c r="AE61" s="326"/>
      <c r="AF61" s="308" t="str">
        <f>$B$61</f>
        <v xml:space="preserve">             Net change in fund balances</v>
      </c>
      <c r="AG61" s="276"/>
      <c r="AH61" s="302">
        <f>SUM(AH51+AH59)</f>
        <v>0</v>
      </c>
      <c r="AI61" s="300">
        <f>SUM(AI51+AI59)</f>
        <v>1229</v>
      </c>
      <c r="AJ61" s="302">
        <f>SUM(AJ51+AJ59)</f>
        <v>1229</v>
      </c>
      <c r="AK61" s="276"/>
      <c r="AL61" s="302">
        <f>SUM(AL51+AL59)</f>
        <v>125</v>
      </c>
      <c r="AM61" s="300">
        <f>SUM(AM51+AM59)</f>
        <v>13155</v>
      </c>
      <c r="AN61" s="302">
        <f>SUM(AN51+AN59)</f>
        <v>13030</v>
      </c>
      <c r="AO61" s="326"/>
      <c r="AP61" s="308" t="str">
        <f>$B$61</f>
        <v xml:space="preserve">             Net change in fund balances</v>
      </c>
      <c r="AQ61" s="276"/>
      <c r="AR61" s="302">
        <f>SUM(AR51+AR59)</f>
        <v>35568</v>
      </c>
      <c r="AS61" s="300">
        <f>SUM(AS51+AS59)</f>
        <v>137446</v>
      </c>
      <c r="AT61" s="302">
        <f>SUM(AT51+AT59)</f>
        <v>101878</v>
      </c>
      <c r="AU61" s="276"/>
      <c r="AV61" s="302">
        <f>SUM(AV51+AV59)</f>
        <v>-25393</v>
      </c>
      <c r="AW61" s="300">
        <f>SUM(AW51+AW59)</f>
        <v>-1725</v>
      </c>
      <c r="AX61" s="302">
        <f>SUM(AX51+AX59)</f>
        <v>23668</v>
      </c>
      <c r="AY61" s="326"/>
      <c r="AZ61" s="308" t="str">
        <f>$B$61</f>
        <v xml:space="preserve">             Net change in fund balances</v>
      </c>
      <c r="BA61" s="276"/>
      <c r="BB61" s="302">
        <f>SUM(BB51+BB59)</f>
        <v>-26990</v>
      </c>
      <c r="BC61" s="300">
        <f>SUM(BC51+BC59)</f>
        <v>11579</v>
      </c>
      <c r="BD61" s="302">
        <f>SUM(BD51+BD59)</f>
        <v>38569</v>
      </c>
      <c r="BE61" s="276"/>
      <c r="BF61" s="302"/>
      <c r="BG61" s="302"/>
      <c r="BH61" s="302"/>
      <c r="BI61" s="276"/>
      <c r="BJ61" s="302">
        <f t="shared" ref="BJ61:CF61" si="74">SUM(BJ51+BJ59)</f>
        <v>-160254</v>
      </c>
      <c r="BK61" s="300">
        <f t="shared" si="74"/>
        <v>-12462</v>
      </c>
      <c r="BL61" s="302">
        <f t="shared" si="74"/>
        <v>147792</v>
      </c>
      <c r="BM61" s="326"/>
      <c r="BN61" s="308" t="str">
        <f>$B$61</f>
        <v xml:space="preserve">             Net change in fund balances</v>
      </c>
      <c r="BO61" s="326"/>
      <c r="BP61" s="302">
        <f t="shared" si="74"/>
        <v>-156448</v>
      </c>
      <c r="BQ61" s="300">
        <f t="shared" si="74"/>
        <v>32949</v>
      </c>
      <c r="BR61" s="302">
        <f t="shared" si="74"/>
        <v>189397</v>
      </c>
      <c r="BS61" s="326"/>
      <c r="BT61" s="302">
        <f t="shared" si="74"/>
        <v>-596671</v>
      </c>
      <c r="BU61" s="300">
        <f t="shared" si="74"/>
        <v>-102030</v>
      </c>
      <c r="BV61" s="302">
        <f t="shared" si="74"/>
        <v>494641</v>
      </c>
      <c r="BW61" s="326"/>
      <c r="BX61" s="308" t="str">
        <f>$B$61</f>
        <v xml:space="preserve">             Net change in fund balances</v>
      </c>
      <c r="BY61" s="326"/>
      <c r="BZ61" s="302">
        <f t="shared" si="74"/>
        <v>0</v>
      </c>
      <c r="CA61" s="300">
        <f t="shared" si="74"/>
        <v>19</v>
      </c>
      <c r="CB61" s="302">
        <f t="shared" si="74"/>
        <v>19</v>
      </c>
      <c r="CC61" s="326"/>
      <c r="CD61" s="302">
        <f t="shared" si="74"/>
        <v>-155511</v>
      </c>
      <c r="CE61" s="300">
        <f t="shared" si="74"/>
        <v>-4009</v>
      </c>
      <c r="CF61" s="302">
        <f t="shared" si="74"/>
        <v>151502</v>
      </c>
      <c r="CG61" s="326"/>
      <c r="CH61" s="308" t="str">
        <f>$B$61</f>
        <v xml:space="preserve">             Net change in fund balances</v>
      </c>
      <c r="CI61" s="276"/>
      <c r="CJ61" s="302">
        <f t="shared" ref="CJ61:DT61" si="75">SUM(CJ51+CJ59)</f>
        <v>-984</v>
      </c>
      <c r="CK61" s="300">
        <f t="shared" si="75"/>
        <v>2375</v>
      </c>
      <c r="CL61" s="302">
        <f t="shared" si="75"/>
        <v>3359</v>
      </c>
      <c r="CM61" s="276"/>
      <c r="CN61" s="302">
        <f t="shared" si="75"/>
        <v>-168123</v>
      </c>
      <c r="CO61" s="300">
        <f t="shared" si="75"/>
        <v>1254</v>
      </c>
      <c r="CP61" s="302">
        <f t="shared" si="75"/>
        <v>169377</v>
      </c>
      <c r="CQ61" s="326"/>
      <c r="CR61" s="308" t="str">
        <f>$B$61</f>
        <v xml:space="preserve">             Net change in fund balances</v>
      </c>
      <c r="CS61" s="276"/>
      <c r="CT61" s="302">
        <f t="shared" si="75"/>
        <v>122187</v>
      </c>
      <c r="CU61" s="300">
        <f t="shared" si="75"/>
        <v>40333</v>
      </c>
      <c r="CV61" s="302">
        <f t="shared" si="75"/>
        <v>-81854</v>
      </c>
      <c r="CW61" s="276"/>
      <c r="CX61" s="302">
        <f t="shared" si="75"/>
        <v>-20642</v>
      </c>
      <c r="CY61" s="300">
        <f t="shared" si="75"/>
        <v>52966</v>
      </c>
      <c r="CZ61" s="302">
        <f t="shared" si="75"/>
        <v>73608</v>
      </c>
      <c r="DA61" s="326"/>
      <c r="DB61" s="308" t="str">
        <f>$B$61</f>
        <v xml:space="preserve">             Net change in fund balances</v>
      </c>
      <c r="DC61" s="276"/>
      <c r="DD61" s="302">
        <f t="shared" si="75"/>
        <v>-18049</v>
      </c>
      <c r="DE61" s="300">
        <f t="shared" si="75"/>
        <v>-38635</v>
      </c>
      <c r="DF61" s="302">
        <f t="shared" si="75"/>
        <v>-20586</v>
      </c>
      <c r="DG61" s="276"/>
      <c r="DH61" s="302">
        <f>SUM(DH51+DH59)</f>
        <v>-113077</v>
      </c>
      <c r="DI61" s="300">
        <f>SUM(DI51+DI59)</f>
        <v>327966</v>
      </c>
      <c r="DJ61" s="302">
        <f>SUM(DJ51+DJ59)</f>
        <v>441043</v>
      </c>
      <c r="DK61" s="276"/>
      <c r="DL61" s="308" t="str">
        <f>$B$61</f>
        <v xml:space="preserve">             Net change in fund balances</v>
      </c>
      <c r="DM61" s="276"/>
      <c r="DN61" s="302">
        <f>SUM(DN51+DN59)</f>
        <v>-95000</v>
      </c>
      <c r="DO61" s="300">
        <f>SUM(DO51+DO59)</f>
        <v>43710</v>
      </c>
      <c r="DP61" s="302">
        <f>SUM(DP51+DP59)</f>
        <v>138710</v>
      </c>
      <c r="DQ61" s="276"/>
      <c r="DR61" s="302">
        <f t="shared" si="75"/>
        <v>423</v>
      </c>
      <c r="DS61" s="300">
        <f t="shared" si="75"/>
        <v>8341</v>
      </c>
      <c r="DT61" s="302">
        <f t="shared" si="75"/>
        <v>7918</v>
      </c>
      <c r="DU61" s="276"/>
      <c r="DV61" s="308" t="str">
        <f>$B$61</f>
        <v xml:space="preserve">             Net change in fund balances</v>
      </c>
      <c r="DW61" s="276"/>
      <c r="DX61" s="302">
        <f>SUM(DX51+DX59)</f>
        <v>-32792</v>
      </c>
      <c r="DY61" s="300">
        <f>SUM(DY51+DY59)</f>
        <v>5242</v>
      </c>
      <c r="DZ61" s="302">
        <f>SUM(DZ51+DZ59)</f>
        <v>38034</v>
      </c>
      <c r="EA61" s="276"/>
      <c r="EB61" s="302">
        <f>SUM(EB51+EB59)</f>
        <v>-7000</v>
      </c>
      <c r="EC61" s="300">
        <f>SUM(EC51+EC59)</f>
        <v>94</v>
      </c>
      <c r="ED61" s="302">
        <f>SUM(ED51+ED59)</f>
        <v>7094</v>
      </c>
      <c r="EE61" s="276"/>
      <c r="EF61" s="308" t="str">
        <f>$B$61</f>
        <v xml:space="preserve">             Net change in fund balances</v>
      </c>
      <c r="EG61" s="276"/>
      <c r="EH61" s="302">
        <f>SUM(EH51+EH59)</f>
        <v>-67507</v>
      </c>
      <c r="EI61" s="300">
        <f>SUM(EI51+EI59)</f>
        <v>-54351</v>
      </c>
      <c r="EJ61" s="302">
        <f>SUM(EJ51+EJ59)</f>
        <v>13156</v>
      </c>
      <c r="EK61" s="276"/>
      <c r="EL61" s="302">
        <f>SUM(EL51+EL59)</f>
        <v>-51560</v>
      </c>
      <c r="EM61" s="300">
        <f>SUM(EM51+EM59)</f>
        <v>-93882</v>
      </c>
      <c r="EN61" s="302">
        <f>SUM(EN51+EN59)</f>
        <v>-42322</v>
      </c>
      <c r="EO61" s="276"/>
      <c r="EP61" s="308" t="str">
        <f>$B$61</f>
        <v xml:space="preserve">             Net change in fund balances</v>
      </c>
      <c r="EQ61" s="276"/>
      <c r="ER61" s="302">
        <f>SUM(ER51+ER59)</f>
        <v>-24850</v>
      </c>
      <c r="ES61" s="300">
        <f>SUM(ES51+ES59)</f>
        <v>-24023</v>
      </c>
      <c r="ET61" s="302">
        <f>SUM(ET51+ET59)</f>
        <v>827</v>
      </c>
      <c r="EU61" s="276"/>
      <c r="EV61" s="302">
        <f>SUM(EV51+EV59)</f>
        <v>0</v>
      </c>
      <c r="EW61" s="300">
        <f>SUM(EW51+EW59)</f>
        <v>2070</v>
      </c>
      <c r="EX61" s="302">
        <f>SUM(EX51+EX59)</f>
        <v>2070</v>
      </c>
      <c r="EY61" s="276"/>
      <c r="EZ61" s="308" t="str">
        <f>$B$61</f>
        <v xml:space="preserve">             Net change in fund balances</v>
      </c>
      <c r="FA61" s="276"/>
      <c r="FB61" s="302">
        <f>SUM(FB51+FB59)</f>
        <v>-5000</v>
      </c>
      <c r="FC61" s="300">
        <f>SUM(FC51+FC59)</f>
        <v>-26042</v>
      </c>
      <c r="FD61" s="302">
        <f>SUM(FD51+FD59)</f>
        <v>-21042</v>
      </c>
      <c r="FE61" s="276"/>
      <c r="FF61" s="302">
        <f>SUM(FF51+FF59)</f>
        <v>-30000</v>
      </c>
      <c r="FG61" s="300">
        <f>SUM(FG51+FG59)</f>
        <v>-17255</v>
      </c>
      <c r="FH61" s="302">
        <f>SUM(FH51+FH59)</f>
        <v>12745</v>
      </c>
      <c r="FI61" s="276"/>
      <c r="FJ61" s="308" t="str">
        <f>$B$61</f>
        <v xml:space="preserve">             Net change in fund balances</v>
      </c>
      <c r="FK61" s="276"/>
      <c r="FL61" s="302">
        <f>SUM(FL51+FL59)</f>
        <v>-48375</v>
      </c>
      <c r="FM61" s="300">
        <f>SUM(FM51+FM59)</f>
        <v>-18494</v>
      </c>
      <c r="FN61" s="302">
        <f>SUM(FN51+FN59)</f>
        <v>29881</v>
      </c>
      <c r="FO61" s="276"/>
      <c r="FP61" s="302">
        <f>SUM(FP51+FP59)</f>
        <v>-72800</v>
      </c>
      <c r="FQ61" s="300">
        <f>SUM(FQ51+FQ59)</f>
        <v>-25399</v>
      </c>
      <c r="FR61" s="302">
        <f>SUM(FR51+FR59)</f>
        <v>47401</v>
      </c>
      <c r="FS61" s="276"/>
      <c r="FT61" s="308" t="str">
        <f>$B$61</f>
        <v xml:space="preserve">             Net change in fund balances</v>
      </c>
      <c r="FU61" s="276"/>
      <c r="FV61" s="302">
        <f>SUM(FV51+FV59)</f>
        <v>0</v>
      </c>
      <c r="FW61" s="300">
        <f>SUM(FW51+FW59)</f>
        <v>0</v>
      </c>
      <c r="FX61" s="302">
        <f>SUM(FX51+FX59)</f>
        <v>0</v>
      </c>
      <c r="FY61" s="276"/>
      <c r="FZ61" s="302">
        <f>SUM(FZ51+FZ59)</f>
        <v>-413130</v>
      </c>
      <c r="GA61" s="300">
        <f>SUM(GA51+GA59)</f>
        <v>1261174</v>
      </c>
      <c r="GB61" s="302">
        <f>SUM(GB51+GB59)</f>
        <v>1674304</v>
      </c>
      <c r="GC61" s="276"/>
      <c r="GD61" s="302">
        <f>SUM(GD51+GD59)</f>
        <v>0</v>
      </c>
      <c r="GE61" s="300">
        <f>SUM(GE51+GE59)</f>
        <v>175320</v>
      </c>
      <c r="GF61" s="302">
        <f>SUM(GF51+GF59)</f>
        <v>175320</v>
      </c>
      <c r="GG61" s="276"/>
      <c r="GH61" s="308" t="str">
        <f>$B$61</f>
        <v xml:space="preserve">             Net change in fund balances</v>
      </c>
      <c r="GI61" s="308"/>
      <c r="GJ61" s="302">
        <f>SUM(GJ51+GJ59)</f>
        <v>0</v>
      </c>
      <c r="GK61" s="300">
        <f>SUM(GK51+GK59)</f>
        <v>0</v>
      </c>
      <c r="GL61" s="302">
        <f>SUM(GL51+GL59)</f>
        <v>0</v>
      </c>
      <c r="GN61" s="276"/>
      <c r="GO61" s="302">
        <f>SUM(GO51+GO59)</f>
        <v>-60887</v>
      </c>
      <c r="GP61" s="300">
        <f>SUM(GP51+GP59)</f>
        <v>29176</v>
      </c>
      <c r="GQ61" s="302">
        <f>SUM(GQ51+GQ59)</f>
        <v>90063</v>
      </c>
      <c r="GR61" s="276"/>
      <c r="GS61" s="308" t="str">
        <f>$B$61</f>
        <v xml:space="preserve">             Net change in fund balances</v>
      </c>
      <c r="GT61" s="276"/>
      <c r="GU61" s="302">
        <f>SUM(GU51+GU59)</f>
        <v>-560220</v>
      </c>
      <c r="GV61" s="300">
        <f>SUM(GV51+GV59)</f>
        <v>96484</v>
      </c>
      <c r="GW61" s="302">
        <f>SUM(GW51+GW59)</f>
        <v>656704</v>
      </c>
      <c r="GX61" s="326"/>
      <c r="GY61" s="302">
        <f>SUM(GY51+GY59)</f>
        <v>-12898</v>
      </c>
      <c r="GZ61" s="300">
        <f>SUM(GZ51+GZ59)</f>
        <v>66775</v>
      </c>
      <c r="HA61" s="302">
        <f>SUM(HA51+HA59)</f>
        <v>79673</v>
      </c>
      <c r="HB61" s="276"/>
      <c r="HC61" s="308" t="str">
        <f>$B$61</f>
        <v xml:space="preserve">             Net change in fund balances</v>
      </c>
      <c r="HD61" s="276"/>
      <c r="HE61" s="302">
        <f>SUM(HE51+HE59)</f>
        <v>50</v>
      </c>
      <c r="HF61" s="300">
        <f>SUM(HF51+HF59)</f>
        <v>-22045</v>
      </c>
      <c r="HG61" s="302">
        <f>SUM(HG51+HG59)</f>
        <v>-22095</v>
      </c>
      <c r="HH61" s="326"/>
      <c r="HI61" s="302">
        <f>SUM(HI51+HI59)</f>
        <v>88726</v>
      </c>
      <c r="HJ61" s="300">
        <f>SUM(HJ51+HJ59)</f>
        <v>50756</v>
      </c>
      <c r="HK61" s="302">
        <f>SUM(HK51+HK59)</f>
        <v>-37970</v>
      </c>
      <c r="HL61" s="276"/>
      <c r="HM61" s="308" t="str">
        <f>$B$61</f>
        <v xml:space="preserve">             Net change in fund balances</v>
      </c>
      <c r="HN61" s="276"/>
      <c r="HO61" s="302">
        <f>SUM(HO51+HO59)</f>
        <v>0</v>
      </c>
      <c r="HP61" s="300">
        <f>SUM(HP51+HP59)</f>
        <v>0</v>
      </c>
      <c r="HQ61" s="302">
        <f>SUM(HQ51+HQ59)</f>
        <v>0</v>
      </c>
      <c r="HR61" s="276"/>
      <c r="HS61" s="302">
        <f>SUM(HS51+HS59)</f>
        <v>0</v>
      </c>
      <c r="HT61" s="300">
        <f>SUM(HT51+HT59)</f>
        <v>0</v>
      </c>
      <c r="HU61" s="302">
        <f>SUM(HU51+HU59)</f>
        <v>0</v>
      </c>
      <c r="HV61" s="326"/>
      <c r="HW61" s="302">
        <f>SUM(HW51+HW59)</f>
        <v>-15714</v>
      </c>
      <c r="HX61" s="300">
        <f>SUM(HX51+HX59)</f>
        <v>-16741</v>
      </c>
      <c r="HY61" s="302">
        <f>SUM(HY51+HY59)</f>
        <v>-1027</v>
      </c>
      <c r="HZ61" s="276"/>
      <c r="IA61" s="308" t="str">
        <f>$B$61</f>
        <v xml:space="preserve">             Net change in fund balances</v>
      </c>
      <c r="IB61" s="276"/>
      <c r="IC61" s="302">
        <f>SUM(IC51+IC59)</f>
        <v>50000</v>
      </c>
      <c r="ID61" s="300">
        <f>SUM(ID51+ID59)</f>
        <v>17217</v>
      </c>
      <c r="IE61" s="302">
        <f>SUM(IE51+IE59)</f>
        <v>-32783</v>
      </c>
      <c r="IF61" s="326"/>
      <c r="IG61" s="276"/>
      <c r="IH61" s="302">
        <f>SUM(IH51+IH59)</f>
        <v>-3221803</v>
      </c>
      <c r="II61" s="300">
        <f>SUM(II51+II59)</f>
        <v>1844635</v>
      </c>
      <c r="IJ61" s="302">
        <f>SUM(IJ51+IJ59)</f>
        <v>5066438</v>
      </c>
      <c r="IK61" s="276"/>
      <c r="IL61" s="308" t="str">
        <f>$B$61</f>
        <v xml:space="preserve">             Net change in fund balances</v>
      </c>
      <c r="IM61" s="276"/>
      <c r="IN61" s="308"/>
      <c r="IO61" s="308"/>
      <c r="IP61" s="308"/>
      <c r="IQ61" s="326"/>
      <c r="IR61" s="326"/>
      <c r="IS61" s="326"/>
      <c r="IW61" s="276"/>
      <c r="IX61" s="294"/>
      <c r="JA61" s="302">
        <f>SUM(JA51+JA59)</f>
        <v>0</v>
      </c>
      <c r="JB61" s="302">
        <f>SUM(JB51+JB59)</f>
        <v>0</v>
      </c>
      <c r="JC61" s="519">
        <f>SUM(JC51+JC59)</f>
        <v>0</v>
      </c>
    </row>
    <row r="62" spans="2:267" ht="16.5" thickTop="1">
      <c r="B62" s="276"/>
      <c r="C62" s="276"/>
      <c r="D62" s="294"/>
      <c r="E62" s="294"/>
      <c r="F62" s="294"/>
      <c r="G62" s="276"/>
      <c r="H62" s="294"/>
      <c r="I62" s="294"/>
      <c r="J62" s="294"/>
      <c r="K62" s="276"/>
      <c r="L62" s="276"/>
      <c r="M62" s="276"/>
      <c r="N62" s="303"/>
      <c r="O62" s="303"/>
      <c r="P62" s="294"/>
      <c r="Q62" s="276"/>
      <c r="R62" s="294"/>
      <c r="S62" s="294"/>
      <c r="T62" s="294"/>
      <c r="U62" s="276"/>
      <c r="V62" s="276"/>
      <c r="W62" s="276"/>
      <c r="X62" s="294"/>
      <c r="Y62" s="294"/>
      <c r="Z62" s="294"/>
      <c r="AA62" s="276"/>
      <c r="AB62" s="294"/>
      <c r="AC62" s="294"/>
      <c r="AD62" s="294"/>
      <c r="AE62" s="294"/>
      <c r="AF62" s="276"/>
      <c r="AG62" s="276"/>
      <c r="AH62" s="294"/>
      <c r="AI62" s="294"/>
      <c r="AJ62" s="294"/>
      <c r="AK62" s="276"/>
      <c r="AL62" s="294"/>
      <c r="AM62" s="294"/>
      <c r="AN62" s="294"/>
      <c r="AO62" s="294"/>
      <c r="AP62" s="276"/>
      <c r="AQ62" s="276"/>
      <c r="AR62" s="294"/>
      <c r="AS62" s="294"/>
      <c r="AT62" s="294"/>
      <c r="AU62" s="276"/>
      <c r="AV62" s="294"/>
      <c r="AW62" s="294"/>
      <c r="AX62" s="294"/>
      <c r="AY62" s="294"/>
      <c r="AZ62" s="276"/>
      <c r="BA62" s="276"/>
      <c r="BB62" s="294"/>
      <c r="BC62" s="294"/>
      <c r="BD62" s="294"/>
      <c r="BE62" s="276"/>
      <c r="BF62" s="294"/>
      <c r="BG62" s="294"/>
      <c r="BH62" s="294"/>
      <c r="BI62" s="276"/>
      <c r="BJ62" s="294"/>
      <c r="BK62" s="294"/>
      <c r="BL62" s="294"/>
      <c r="BM62" s="294"/>
      <c r="BN62" s="276"/>
      <c r="BO62" s="294"/>
      <c r="BP62" s="294"/>
      <c r="BQ62" s="294"/>
      <c r="BR62" s="294"/>
      <c r="BS62" s="294"/>
      <c r="BT62" s="294"/>
      <c r="BU62" s="294"/>
      <c r="BV62" s="294"/>
      <c r="BW62" s="294"/>
      <c r="BX62" s="276"/>
      <c r="BY62" s="294"/>
      <c r="BZ62" s="294"/>
      <c r="CA62" s="294"/>
      <c r="CB62" s="294"/>
      <c r="CC62" s="294"/>
      <c r="CD62" s="294"/>
      <c r="CE62" s="294"/>
      <c r="CF62" s="294"/>
      <c r="CG62" s="294"/>
      <c r="CH62" s="276"/>
      <c r="CI62" s="276"/>
      <c r="CJ62" s="294"/>
      <c r="CK62" s="294"/>
      <c r="CL62" s="294"/>
      <c r="CM62" s="276"/>
      <c r="CN62" s="294"/>
      <c r="CO62" s="294"/>
      <c r="CP62" s="294"/>
      <c r="CQ62" s="294"/>
      <c r="CR62" s="276"/>
      <c r="CS62" s="276"/>
      <c r="CT62" s="294"/>
      <c r="CU62" s="294"/>
      <c r="CV62" s="294"/>
      <c r="CW62" s="276"/>
      <c r="CX62" s="294"/>
      <c r="CY62" s="294"/>
      <c r="CZ62" s="294"/>
      <c r="DA62" s="294"/>
      <c r="DB62" s="276"/>
      <c r="DC62" s="276"/>
      <c r="DD62" s="294"/>
      <c r="DE62" s="294"/>
      <c r="DF62" s="294"/>
      <c r="DG62" s="276"/>
      <c r="DH62" s="294"/>
      <c r="DI62" s="294"/>
      <c r="DJ62" s="294"/>
      <c r="DK62" s="276"/>
      <c r="DL62" s="276"/>
      <c r="DM62" s="276"/>
      <c r="DN62" s="294"/>
      <c r="DO62" s="294"/>
      <c r="DP62" s="294"/>
      <c r="DQ62" s="276"/>
      <c r="DR62" s="294"/>
      <c r="DS62" s="294"/>
      <c r="DT62" s="294"/>
      <c r="DU62" s="276"/>
      <c r="DV62" s="276"/>
      <c r="DW62" s="276"/>
      <c r="DX62" s="294"/>
      <c r="DY62" s="294"/>
      <c r="DZ62" s="294"/>
      <c r="EA62" s="276"/>
      <c r="EB62" s="294"/>
      <c r="EC62" s="294"/>
      <c r="ED62" s="294"/>
      <c r="EE62" s="276"/>
      <c r="EF62" s="276"/>
      <c r="EG62" s="276"/>
      <c r="EH62" s="294"/>
      <c r="EI62" s="294"/>
      <c r="EJ62" s="294"/>
      <c r="EK62" s="276"/>
      <c r="EL62" s="294"/>
      <c r="EM62" s="294"/>
      <c r="EN62" s="294"/>
      <c r="EO62" s="276"/>
      <c r="EP62" s="276"/>
      <c r="EQ62" s="276"/>
      <c r="ER62" s="294"/>
      <c r="ES62" s="294"/>
      <c r="ET62" s="294"/>
      <c r="EU62" s="276"/>
      <c r="EV62" s="294"/>
      <c r="EW62" s="294"/>
      <c r="EX62" s="294"/>
      <c r="EY62" s="276"/>
      <c r="EZ62" s="276"/>
      <c r="FA62" s="276"/>
      <c r="FB62" s="294"/>
      <c r="FC62" s="294"/>
      <c r="FD62" s="294"/>
      <c r="FE62" s="276"/>
      <c r="FF62" s="294"/>
      <c r="FG62" s="294"/>
      <c r="FH62" s="294"/>
      <c r="FI62" s="276"/>
      <c r="FJ62" s="276"/>
      <c r="FK62" s="276"/>
      <c r="FL62" s="294"/>
      <c r="FM62" s="294"/>
      <c r="FN62" s="294"/>
      <c r="FO62" s="276"/>
      <c r="FP62" s="294"/>
      <c r="FQ62" s="294"/>
      <c r="FR62" s="294"/>
      <c r="FS62" s="276"/>
      <c r="FT62" s="276"/>
      <c r="FU62" s="276"/>
      <c r="FV62" s="294"/>
      <c r="FW62" s="294"/>
      <c r="FX62" s="294"/>
      <c r="FY62" s="276"/>
      <c r="FZ62" s="294"/>
      <c r="GA62" s="294"/>
      <c r="GB62" s="294"/>
      <c r="GC62" s="276"/>
      <c r="GD62" s="294"/>
      <c r="GE62" s="294"/>
      <c r="GF62" s="294"/>
      <c r="GG62" s="276"/>
      <c r="GH62" s="276"/>
      <c r="GI62" s="276"/>
      <c r="GJ62" s="294"/>
      <c r="GK62" s="294"/>
      <c r="GL62" s="294"/>
      <c r="GN62" s="276"/>
      <c r="GO62" s="294"/>
      <c r="GP62" s="294"/>
      <c r="GQ62" s="294"/>
      <c r="GR62" s="276"/>
      <c r="GS62" s="276"/>
      <c r="GT62" s="276"/>
      <c r="GU62" s="294"/>
      <c r="GV62" s="294"/>
      <c r="GW62" s="294"/>
      <c r="GX62" s="294"/>
      <c r="GY62" s="294"/>
      <c r="GZ62" s="294"/>
      <c r="HA62" s="294"/>
      <c r="HB62" s="276"/>
      <c r="HC62" s="276"/>
      <c r="HD62" s="276"/>
      <c r="HE62" s="294"/>
      <c r="HF62" s="294"/>
      <c r="HG62" s="294"/>
      <c r="HH62" s="294"/>
      <c r="HI62" s="294"/>
      <c r="HJ62" s="294"/>
      <c r="HK62" s="294"/>
      <c r="HL62" s="276"/>
      <c r="HM62" s="276"/>
      <c r="HN62" s="276"/>
      <c r="HO62" s="294"/>
      <c r="HP62" s="294"/>
      <c r="HQ62" s="294"/>
      <c r="HR62" s="276"/>
      <c r="HS62" s="294"/>
      <c r="HT62" s="294"/>
      <c r="HU62" s="294"/>
      <c r="HV62" s="294"/>
      <c r="HW62" s="294"/>
      <c r="HX62" s="294"/>
      <c r="HY62" s="294"/>
      <c r="HZ62" s="276"/>
      <c r="IA62" s="276"/>
      <c r="IB62" s="276"/>
      <c r="IC62" s="294"/>
      <c r="ID62" s="294"/>
      <c r="IE62" s="294"/>
      <c r="IF62" s="294"/>
      <c r="IG62" s="276"/>
      <c r="IH62" s="294"/>
      <c r="II62" s="294"/>
      <c r="IJ62" s="294"/>
      <c r="IK62" s="276"/>
      <c r="IL62" s="276"/>
      <c r="IM62" s="276"/>
      <c r="IN62" s="308"/>
      <c r="IO62" s="308"/>
      <c r="IP62" s="308"/>
      <c r="IQ62" s="294"/>
      <c r="IR62" s="294"/>
      <c r="IS62" s="294"/>
      <c r="IW62" s="276"/>
      <c r="IX62" s="294"/>
      <c r="JA62" s="294"/>
      <c r="JB62" s="294"/>
      <c r="JC62" s="294"/>
    </row>
    <row r="63" spans="2:267" ht="15.75">
      <c r="B63" s="276" t="s">
        <v>1255</v>
      </c>
      <c r="C63" s="276"/>
      <c r="D63" s="294"/>
      <c r="E63" s="318">
        <f>+'SR BUDACT ER'!H95+'Sys INPUT'!E191</f>
        <v>285729</v>
      </c>
      <c r="F63" s="294"/>
      <c r="G63" s="276"/>
      <c r="H63" s="294"/>
      <c r="I63" s="318">
        <f>+'SR BUDACT ER'!K95</f>
        <v>5631</v>
      </c>
      <c r="J63" s="294"/>
      <c r="K63" s="276"/>
      <c r="L63" s="276" t="s">
        <v>1255</v>
      </c>
      <c r="M63" s="276"/>
      <c r="N63" s="303"/>
      <c r="O63" s="318">
        <f>+'SR BUDACT ER'!N95</f>
        <v>28496</v>
      </c>
      <c r="P63" s="294"/>
      <c r="Q63" s="276"/>
      <c r="R63" s="294"/>
      <c r="S63" s="318">
        <f>+'SR BUDACT ER'!Q95</f>
        <v>305110</v>
      </c>
      <c r="T63" s="294"/>
      <c r="U63" s="276"/>
      <c r="V63" s="276" t="s">
        <v>1255</v>
      </c>
      <c r="W63" s="276"/>
      <c r="X63" s="294"/>
      <c r="Y63" s="318">
        <f>+'SR BUDACT ER'!T95</f>
        <v>-175423</v>
      </c>
      <c r="Z63" s="294"/>
      <c r="AA63" s="276"/>
      <c r="AB63" s="294"/>
      <c r="AC63" s="318">
        <f>+'SR BUDACT ER'!W95+'Sys INPUT'!J191</f>
        <v>1681474</v>
      </c>
      <c r="AD63" s="294"/>
      <c r="AE63" s="294"/>
      <c r="AF63" s="276" t="s">
        <v>1255</v>
      </c>
      <c r="AG63" s="276"/>
      <c r="AH63" s="294"/>
      <c r="AI63" s="318">
        <f>+'SR BUDACT ER'!Z95</f>
        <v>74</v>
      </c>
      <c r="AJ63" s="294"/>
      <c r="AK63" s="276"/>
      <c r="AL63" s="294"/>
      <c r="AM63" s="318">
        <f>+'SR BUDACT ER'!AC95</f>
        <v>8485</v>
      </c>
      <c r="AN63" s="294"/>
      <c r="AO63" s="294"/>
      <c r="AP63" s="276" t="s">
        <v>1255</v>
      </c>
      <c r="AQ63" s="276"/>
      <c r="AR63" s="294"/>
      <c r="AS63" s="318">
        <f>+'SR BUDACT ER'!AF95</f>
        <v>534621</v>
      </c>
      <c r="AT63" s="294"/>
      <c r="AU63" s="276"/>
      <c r="AV63" s="294"/>
      <c r="AW63" s="318">
        <f>+'SR BUDACT ER'!AI95</f>
        <v>86030</v>
      </c>
      <c r="AX63" s="294"/>
      <c r="AY63" s="294"/>
      <c r="AZ63" s="276" t="s">
        <v>1255</v>
      </c>
      <c r="BA63" s="276"/>
      <c r="BB63" s="294"/>
      <c r="BC63" s="318">
        <f>+'SR BUDACT ER'!AL95</f>
        <v>48826</v>
      </c>
      <c r="BD63" s="294"/>
      <c r="BE63" s="276"/>
      <c r="BF63" s="294"/>
      <c r="BG63" s="294"/>
      <c r="BH63" s="294"/>
      <c r="BI63" s="276"/>
      <c r="BJ63" s="294"/>
      <c r="BK63" s="318">
        <f>+'SR BUDACT ER'!AR95</f>
        <v>198091</v>
      </c>
      <c r="BL63" s="294"/>
      <c r="BM63" s="294"/>
      <c r="BN63" s="276" t="s">
        <v>1255</v>
      </c>
      <c r="BO63" s="294"/>
      <c r="BP63" s="294"/>
      <c r="BQ63" s="318">
        <f>+'SR BUDACT ER'!AU95</f>
        <v>347266</v>
      </c>
      <c r="BR63" s="294"/>
      <c r="BS63" s="294"/>
      <c r="BT63" s="294"/>
      <c r="BU63" s="318">
        <f>+'SR BUDACT ER'!AX95</f>
        <v>1160176</v>
      </c>
      <c r="BV63" s="294"/>
      <c r="BW63" s="294"/>
      <c r="BX63" s="276" t="s">
        <v>1255</v>
      </c>
      <c r="BY63" s="294"/>
      <c r="BZ63" s="294"/>
      <c r="CA63" s="318">
        <f>+'SR BUDACT ER'!BA95</f>
        <v>289</v>
      </c>
      <c r="CB63" s="294"/>
      <c r="CC63" s="294"/>
      <c r="CD63" s="294"/>
      <c r="CE63" s="318">
        <f>+'SR BUDACT ER'!BD95</f>
        <v>615032</v>
      </c>
      <c r="CF63" s="294"/>
      <c r="CG63" s="294"/>
      <c r="CH63" s="276" t="s">
        <v>1255</v>
      </c>
      <c r="CI63" s="276"/>
      <c r="CJ63" s="294"/>
      <c r="CK63" s="318">
        <f>+'SR BUDACT ER'!BG95</f>
        <v>142</v>
      </c>
      <c r="CL63" s="294"/>
      <c r="CM63" s="276"/>
      <c r="CN63" s="294"/>
      <c r="CO63" s="318">
        <f>+'SR BUDACT ER'!BJ95</f>
        <v>253822</v>
      </c>
      <c r="CP63" s="294"/>
      <c r="CQ63" s="294"/>
      <c r="CR63" s="276" t="s">
        <v>1255</v>
      </c>
      <c r="CS63" s="276"/>
      <c r="CT63" s="294"/>
      <c r="CU63" s="318">
        <f>+'SR BUDACT ER'!BM95</f>
        <v>-4554</v>
      </c>
      <c r="CV63" s="294"/>
      <c r="CW63" s="276"/>
      <c r="CX63" s="294"/>
      <c r="CY63" s="318">
        <f>+'SR BUDACT ER'!BP95+'Sys INPUT'!Z191</f>
        <v>54037</v>
      </c>
      <c r="CZ63" s="294"/>
      <c r="DA63" s="294"/>
      <c r="DB63" s="276" t="s">
        <v>1255</v>
      </c>
      <c r="DC63" s="276"/>
      <c r="DD63" s="294"/>
      <c r="DE63" s="318">
        <f>+'SR BUDACT ER'!BS95</f>
        <v>138674</v>
      </c>
      <c r="DF63" s="294"/>
      <c r="DG63" s="276"/>
      <c r="DH63" s="294"/>
      <c r="DI63" s="318">
        <f>+'SR BUDACT ER'!BV95</f>
        <v>1339813</v>
      </c>
      <c r="DJ63" s="294"/>
      <c r="DK63" s="276"/>
      <c r="DL63" s="276" t="s">
        <v>1255</v>
      </c>
      <c r="DM63" s="276"/>
      <c r="DN63" s="294"/>
      <c r="DO63" s="318">
        <f>+'SR BUDACT ER'!BY95</f>
        <v>195203</v>
      </c>
      <c r="DP63" s="294"/>
      <c r="DQ63" s="276"/>
      <c r="DR63" s="294"/>
      <c r="DS63" s="318">
        <f>+'SR BUDACT ER'!CB95</f>
        <v>19792</v>
      </c>
      <c r="DT63" s="294"/>
      <c r="DU63" s="276"/>
      <c r="DV63" s="276" t="s">
        <v>1255</v>
      </c>
      <c r="DW63" s="276"/>
      <c r="DX63" s="294"/>
      <c r="DY63" s="318">
        <f>+'SR BUDACT ER'!CE95</f>
        <v>77193</v>
      </c>
      <c r="DZ63" s="294"/>
      <c r="EA63" s="276"/>
      <c r="EB63" s="294"/>
      <c r="EC63" s="318">
        <f>+'SR BUDACT ER'!CH95</f>
        <v>21108</v>
      </c>
      <c r="ED63" s="294"/>
      <c r="EE63" s="276"/>
      <c r="EF63" s="276" t="s">
        <v>1255</v>
      </c>
      <c r="EG63" s="276"/>
      <c r="EH63" s="294"/>
      <c r="EI63" s="318">
        <f>+'SR BUDACT ER'!CK95</f>
        <v>476992</v>
      </c>
      <c r="EJ63" s="294"/>
      <c r="EK63" s="276"/>
      <c r="EL63" s="294"/>
      <c r="EM63" s="318">
        <f>+'SR BUDACT ER'!CN95</f>
        <v>347620</v>
      </c>
      <c r="EN63" s="294"/>
      <c r="EO63" s="276"/>
      <c r="EP63" s="276" t="s">
        <v>1255</v>
      </c>
      <c r="EQ63" s="276"/>
      <c r="ER63" s="294"/>
      <c r="ES63" s="318">
        <f>+'SR BUDACT ER'!CQ95</f>
        <v>45849</v>
      </c>
      <c r="ET63" s="294"/>
      <c r="EU63" s="276"/>
      <c r="EV63" s="294"/>
      <c r="EW63" s="318">
        <f>+'SR BUDACT ER'!CT95</f>
        <v>60394</v>
      </c>
      <c r="EX63" s="294"/>
      <c r="EY63" s="276"/>
      <c r="EZ63" s="276" t="s">
        <v>1255</v>
      </c>
      <c r="FA63" s="276"/>
      <c r="FB63" s="294"/>
      <c r="FC63" s="318">
        <f>+'SR BUDACT ER'!CW95-0</f>
        <v>31810</v>
      </c>
      <c r="FD63" s="294"/>
      <c r="FE63" s="276"/>
      <c r="FF63" s="294"/>
      <c r="FG63" s="318">
        <f>+'SR BUDACT ER'!CZ95-0</f>
        <v>52789</v>
      </c>
      <c r="FH63" s="294"/>
      <c r="FI63" s="276"/>
      <c r="FJ63" s="276" t="s">
        <v>1255</v>
      </c>
      <c r="FK63" s="276"/>
      <c r="FL63" s="294"/>
      <c r="FM63" s="318">
        <f>+'SR BUDACT ER'!DC95-0</f>
        <v>58393</v>
      </c>
      <c r="FN63" s="294"/>
      <c r="FO63" s="276"/>
      <c r="FP63" s="294"/>
      <c r="FQ63" s="318">
        <f>+'SR BUDACT ER'!DF95-0</f>
        <v>193845</v>
      </c>
      <c r="FR63" s="294"/>
      <c r="FS63" s="276"/>
      <c r="FT63" s="276" t="s">
        <v>1255</v>
      </c>
      <c r="FU63" s="276"/>
      <c r="FV63" s="294"/>
      <c r="FW63" s="318">
        <f>+'SR BUDACT ER'!DI95</f>
        <v>0</v>
      </c>
      <c r="FX63" s="294"/>
      <c r="FY63" s="276"/>
      <c r="FZ63" s="294"/>
      <c r="GA63" s="318">
        <f>+'SR BUDACT ER'!DL95-0</f>
        <v>414553</v>
      </c>
      <c r="GB63" s="294"/>
      <c r="GC63" s="276"/>
      <c r="GD63" s="294"/>
      <c r="GE63" s="318">
        <f>+'SR BUDACT ER'!DO95</f>
        <v>696878</v>
      </c>
      <c r="GF63" s="294"/>
      <c r="GG63" s="276"/>
      <c r="GH63" s="276" t="s">
        <v>1255</v>
      </c>
      <c r="GI63" s="276"/>
      <c r="GJ63" s="294"/>
      <c r="GK63" s="318">
        <f>+'SR BUDACT ER'!DR95</f>
        <v>0</v>
      </c>
      <c r="GL63" s="294"/>
      <c r="GN63" s="276"/>
      <c r="GO63" s="294"/>
      <c r="GP63" s="318">
        <f>+'SR BUDACT ER'!DU95</f>
        <v>67703</v>
      </c>
      <c r="GQ63" s="294"/>
      <c r="GR63" s="276"/>
      <c r="GS63" s="276" t="s">
        <v>1255</v>
      </c>
      <c r="GT63" s="276"/>
      <c r="GU63" s="294"/>
      <c r="GV63" s="318">
        <f>+'SR BUDACT ER'!DX95</f>
        <v>560220</v>
      </c>
      <c r="GW63" s="294"/>
      <c r="GX63" s="294"/>
      <c r="GY63" s="294"/>
      <c r="GZ63" s="318">
        <f>+'SR BUDACT ER'!EA95</f>
        <v>-129252</v>
      </c>
      <c r="HA63" s="294"/>
      <c r="HB63" s="276"/>
      <c r="HC63" s="276" t="s">
        <v>1255</v>
      </c>
      <c r="HD63" s="276"/>
      <c r="HE63" s="294"/>
      <c r="HF63" s="318">
        <f>+'SR BUDACT ER'!ED95</f>
        <v>0</v>
      </c>
      <c r="HG63" s="294"/>
      <c r="HH63" s="294"/>
      <c r="HI63" s="294"/>
      <c r="HJ63" s="318">
        <f>+'SR BUDACT ER'!EJ95</f>
        <v>-62728</v>
      </c>
      <c r="HK63" s="294"/>
      <c r="HL63" s="276"/>
      <c r="HM63" s="276" t="s">
        <v>1255</v>
      </c>
      <c r="HN63" s="276"/>
      <c r="HO63" s="294"/>
      <c r="HP63" s="318"/>
      <c r="HQ63" s="294"/>
      <c r="HR63" s="276"/>
      <c r="HS63" s="294"/>
      <c r="HT63" s="318">
        <f>+'SR BUDACT ER'!EN95</f>
        <v>0</v>
      </c>
      <c r="HU63" s="294"/>
      <c r="HV63" s="294"/>
      <c r="HW63" s="294"/>
      <c r="HX63" s="318">
        <f>+'SR BUDACT ER'!EP95</f>
        <v>34313</v>
      </c>
      <c r="HY63" s="294"/>
      <c r="HZ63" s="276"/>
      <c r="IA63" s="276" t="s">
        <v>1255</v>
      </c>
      <c r="IB63" s="276"/>
      <c r="IC63" s="294"/>
      <c r="ID63" s="318">
        <f>+'SR BUDACT ER'!ES95</f>
        <v>-25945</v>
      </c>
      <c r="IE63" s="294"/>
      <c r="IF63" s="294"/>
      <c r="IG63" s="276"/>
      <c r="IH63" s="294"/>
      <c r="II63" s="318">
        <f>+E63+I63+O63+S63+Y63+AC63+AI63+AM63+AS63+AW63+BC63+BK63+BQ63+BU63+CA63+CE63+CK63+CO63+CU63+CY63+DE63+DI63+DO63+DS63++DY63+EC63+EI63+EM63+ES63+EW63+FC63+FG63+FM63+FQ63+FW63+GA63+GE63+GK63+GP63+GV63+GZ63+HF63+HJ63+HT63+HX63+ID63+IO63</f>
        <v>10048571</v>
      </c>
      <c r="IJ63" s="294"/>
      <c r="IK63" s="276"/>
      <c r="IL63" s="276" t="s">
        <v>1255</v>
      </c>
      <c r="IM63" s="276"/>
      <c r="IN63" s="308"/>
      <c r="IO63" s="308"/>
      <c r="IP63" s="308"/>
      <c r="IQ63" s="294"/>
      <c r="IR63" s="294"/>
      <c r="IS63" s="294"/>
      <c r="IW63" s="276"/>
      <c r="IX63" s="294"/>
      <c r="JA63" s="294"/>
      <c r="JB63" s="318">
        <f>+'SR BUDACT ER'!AO95</f>
        <v>0</v>
      </c>
      <c r="JC63" s="294"/>
      <c r="JE63" s="288">
        <f>SUM(D63:IG63)</f>
        <v>10048571</v>
      </c>
      <c r="JF63" s="288">
        <f>SUM(IH63:IJ63)</f>
        <v>10048571</v>
      </c>
      <c r="JG63" s="288">
        <f>+JF63-JE63</f>
        <v>0</v>
      </c>
    </row>
    <row r="64" spans="2:267" ht="15.75" hidden="1" customHeight="1">
      <c r="B64" s="276"/>
      <c r="C64" s="276"/>
      <c r="D64" s="294"/>
      <c r="E64" s="294"/>
      <c r="F64" s="294"/>
      <c r="G64" s="276"/>
      <c r="H64" s="294"/>
      <c r="I64" s="294"/>
      <c r="J64" s="294"/>
      <c r="K64" s="276"/>
      <c r="L64" s="276"/>
      <c r="M64" s="276"/>
      <c r="N64" s="303"/>
      <c r="O64" s="303"/>
      <c r="P64" s="294"/>
      <c r="Q64" s="276"/>
      <c r="R64" s="294"/>
      <c r="S64" s="294"/>
      <c r="T64" s="294"/>
      <c r="U64" s="276"/>
      <c r="V64" s="276"/>
      <c r="W64" s="276"/>
      <c r="X64" s="294"/>
      <c r="Y64" s="294"/>
      <c r="Z64" s="294"/>
      <c r="AA64" s="276"/>
      <c r="AB64" s="294"/>
      <c r="AC64" s="294"/>
      <c r="AD64" s="294"/>
      <c r="AE64" s="294"/>
      <c r="AF64" s="276"/>
      <c r="AG64" s="276"/>
      <c r="AH64" s="294"/>
      <c r="AI64" s="294"/>
      <c r="AJ64" s="294"/>
      <c r="AK64" s="276"/>
      <c r="AL64" s="294"/>
      <c r="AM64" s="294"/>
      <c r="AN64" s="294"/>
      <c r="AO64" s="294"/>
      <c r="AP64" s="276"/>
      <c r="AQ64" s="276"/>
      <c r="AR64" s="294"/>
      <c r="AS64" s="294"/>
      <c r="AT64" s="294"/>
      <c r="AU64" s="276"/>
      <c r="AW64" s="294"/>
      <c r="AX64" s="294"/>
      <c r="AY64" s="294"/>
      <c r="AZ64" s="276"/>
      <c r="BA64" s="276"/>
      <c r="BD64" s="294"/>
      <c r="BE64" s="276"/>
      <c r="BF64" s="294"/>
      <c r="BG64" s="294"/>
      <c r="BH64" s="294"/>
      <c r="BI64" s="276"/>
      <c r="BL64" s="294"/>
      <c r="BM64" s="294"/>
      <c r="BN64" s="276"/>
      <c r="BO64" s="294"/>
      <c r="BR64" s="294"/>
      <c r="BS64" s="294"/>
      <c r="BV64" s="294"/>
      <c r="BW64" s="294"/>
      <c r="BX64" s="276"/>
      <c r="BY64" s="294"/>
      <c r="CB64" s="294"/>
      <c r="CC64" s="294"/>
      <c r="CF64" s="294"/>
      <c r="CG64" s="294"/>
      <c r="CH64" s="276"/>
      <c r="CI64" s="276"/>
      <c r="CL64" s="294"/>
      <c r="CM64" s="276"/>
      <c r="CP64" s="294"/>
      <c r="CQ64" s="294"/>
      <c r="CR64" s="276"/>
      <c r="CS64" s="276"/>
      <c r="CV64" s="294"/>
      <c r="CW64" s="276"/>
      <c r="CZ64" s="294"/>
      <c r="DA64" s="294"/>
      <c r="DB64" s="276"/>
      <c r="DC64" s="276"/>
      <c r="DF64" s="294"/>
      <c r="DG64" s="276"/>
      <c r="DJ64" s="294"/>
      <c r="DK64" s="276"/>
      <c r="DL64" s="276"/>
      <c r="DM64" s="276"/>
      <c r="DP64" s="294"/>
      <c r="DQ64" s="276"/>
      <c r="DT64" s="294"/>
      <c r="DU64" s="276"/>
      <c r="DV64" s="276"/>
      <c r="DW64" s="276"/>
      <c r="DZ64" s="294"/>
      <c r="EA64" s="276"/>
      <c r="ED64" s="294"/>
      <c r="EE64" s="276"/>
      <c r="EF64" s="276"/>
      <c r="EG64" s="276"/>
      <c r="EJ64" s="294"/>
      <c r="EK64" s="276"/>
      <c r="EN64" s="294"/>
      <c r="EO64" s="276"/>
      <c r="EP64" s="276"/>
      <c r="EQ64" s="276"/>
      <c r="ET64" s="294"/>
      <c r="EU64" s="276"/>
      <c r="EX64" s="294"/>
      <c r="EY64" s="276"/>
      <c r="EZ64" s="276"/>
      <c r="FA64" s="276"/>
      <c r="FD64" s="294"/>
      <c r="FE64" s="276"/>
      <c r="FH64" s="294"/>
      <c r="FI64" s="276"/>
      <c r="FJ64" s="276"/>
      <c r="FK64" s="276"/>
      <c r="FN64" s="294"/>
      <c r="FO64" s="276"/>
      <c r="FR64" s="294"/>
      <c r="FS64" s="276"/>
      <c r="FT64" s="276"/>
      <c r="FU64" s="276"/>
      <c r="FX64" s="294"/>
      <c r="FY64" s="276"/>
      <c r="GB64" s="294"/>
      <c r="GC64" s="276"/>
      <c r="GF64" s="294"/>
      <c r="GG64" s="276"/>
      <c r="GH64" s="276"/>
      <c r="GI64" s="276"/>
      <c r="GJ64" s="288"/>
      <c r="GK64" s="288"/>
      <c r="GL64" s="294"/>
      <c r="GN64" s="276"/>
      <c r="GQ64" s="294"/>
      <c r="GR64" s="276"/>
      <c r="GS64" s="276"/>
      <c r="GT64" s="276"/>
      <c r="GW64" s="294"/>
      <c r="GX64" s="294"/>
      <c r="HA64" s="294"/>
      <c r="HB64" s="276"/>
      <c r="HC64" s="276"/>
      <c r="HD64" s="276"/>
      <c r="HG64" s="294"/>
      <c r="HH64" s="294"/>
      <c r="HK64" s="294"/>
      <c r="HL64" s="276"/>
      <c r="HM64" s="276"/>
      <c r="HN64" s="276"/>
      <c r="HQ64" s="294"/>
      <c r="HR64" s="276"/>
      <c r="HU64" s="294"/>
      <c r="HV64" s="294"/>
      <c r="HY64" s="294"/>
      <c r="HZ64" s="276"/>
      <c r="IA64" s="276"/>
      <c r="IB64" s="276"/>
      <c r="IE64" s="294"/>
      <c r="IF64" s="294"/>
      <c r="IG64" s="276"/>
      <c r="IJ64" s="294"/>
      <c r="IK64" s="276"/>
      <c r="IL64" s="276"/>
      <c r="IM64" s="276"/>
      <c r="IN64" s="308"/>
      <c r="IO64" s="308"/>
      <c r="IP64" s="308"/>
      <c r="IQ64" s="294"/>
      <c r="IR64" s="294"/>
      <c r="IS64" s="294"/>
      <c r="IW64" s="276"/>
      <c r="IX64" s="294"/>
      <c r="IY64" s="444"/>
    </row>
    <row r="65" spans="2:267" ht="15.75" hidden="1" customHeight="1">
      <c r="B65" s="276"/>
      <c r="C65" s="276"/>
      <c r="D65" s="294"/>
      <c r="E65" s="294"/>
      <c r="F65" s="294"/>
      <c r="G65" s="276"/>
      <c r="H65" s="294"/>
      <c r="I65" s="294"/>
      <c r="J65" s="294"/>
      <c r="K65" s="276"/>
      <c r="L65" s="276"/>
      <c r="M65" s="276"/>
      <c r="N65" s="303"/>
      <c r="O65" s="294">
        <v>0</v>
      </c>
      <c r="P65" s="294"/>
      <c r="Q65" s="276"/>
      <c r="R65" s="294"/>
      <c r="S65" s="294"/>
      <c r="T65" s="294"/>
      <c r="U65" s="276"/>
      <c r="V65" s="276"/>
      <c r="W65" s="276"/>
      <c r="X65" s="294"/>
      <c r="Y65" s="294"/>
      <c r="Z65" s="294"/>
      <c r="AA65" s="276"/>
      <c r="AB65" s="294"/>
      <c r="AC65" s="294"/>
      <c r="AD65" s="294"/>
      <c r="AE65" s="294"/>
      <c r="AF65" s="276"/>
      <c r="AG65" s="276"/>
      <c r="AH65" s="294"/>
      <c r="AI65" s="294"/>
      <c r="AJ65" s="294"/>
      <c r="AK65" s="276"/>
      <c r="AL65" s="294"/>
      <c r="AM65" s="294"/>
      <c r="AN65" s="294"/>
      <c r="AO65" s="294"/>
      <c r="AP65" s="276"/>
      <c r="AQ65" s="276"/>
      <c r="AR65" s="294"/>
      <c r="AS65" s="294"/>
      <c r="AT65" s="294"/>
      <c r="AU65" s="276"/>
      <c r="AW65" s="294"/>
      <c r="AX65" s="294"/>
      <c r="AY65" s="294"/>
      <c r="AZ65" s="276"/>
      <c r="BA65" s="276"/>
      <c r="BD65" s="294"/>
      <c r="BE65" s="276"/>
      <c r="BF65" s="294"/>
      <c r="BG65" s="294"/>
      <c r="BH65" s="294"/>
      <c r="BI65" s="276"/>
      <c r="BL65" s="294"/>
      <c r="BM65" s="294"/>
      <c r="BN65" s="276"/>
      <c r="BO65" s="294"/>
      <c r="BR65" s="294"/>
      <c r="BS65" s="294"/>
      <c r="BV65" s="294"/>
      <c r="BW65" s="294"/>
      <c r="BX65" s="276"/>
      <c r="BY65" s="294"/>
      <c r="CB65" s="294"/>
      <c r="CC65" s="294"/>
      <c r="CF65" s="294"/>
      <c r="CG65" s="294"/>
      <c r="CH65" s="276"/>
      <c r="CI65" s="276"/>
      <c r="CL65" s="294"/>
      <c r="CM65" s="276"/>
      <c r="CP65" s="294"/>
      <c r="CQ65" s="294"/>
      <c r="CR65" s="276"/>
      <c r="CS65" s="276"/>
      <c r="CV65" s="294"/>
      <c r="CW65" s="276"/>
      <c r="CZ65" s="294"/>
      <c r="DA65" s="294"/>
      <c r="DB65" s="276"/>
      <c r="DC65" s="276"/>
      <c r="DF65" s="294"/>
      <c r="DG65" s="276"/>
      <c r="DJ65" s="294"/>
      <c r="DK65" s="276"/>
      <c r="DL65" s="276"/>
      <c r="DM65" s="276"/>
      <c r="DP65" s="294"/>
      <c r="DQ65" s="276"/>
      <c r="DT65" s="294"/>
      <c r="DU65" s="276"/>
      <c r="DV65" s="276"/>
      <c r="DW65" s="276"/>
      <c r="DZ65" s="294"/>
      <c r="EA65" s="276"/>
      <c r="ED65" s="294"/>
      <c r="EE65" s="276"/>
      <c r="EF65" s="276"/>
      <c r="EG65" s="276"/>
      <c r="EJ65" s="294"/>
      <c r="EK65" s="276"/>
      <c r="EN65" s="294"/>
      <c r="EO65" s="276"/>
      <c r="EP65" s="276"/>
      <c r="EQ65" s="276"/>
      <c r="ET65" s="294"/>
      <c r="EU65" s="276"/>
      <c r="EX65" s="294"/>
      <c r="EY65" s="276"/>
      <c r="EZ65" s="276"/>
      <c r="FA65" s="276"/>
      <c r="FD65" s="294"/>
      <c r="FE65" s="276"/>
      <c r="FH65" s="294"/>
      <c r="FI65" s="276"/>
      <c r="FJ65" s="276"/>
      <c r="FK65" s="276"/>
      <c r="FN65" s="294"/>
      <c r="FO65" s="276"/>
      <c r="FR65" s="294"/>
      <c r="FS65" s="276"/>
      <c r="FT65" s="276"/>
      <c r="FU65" s="276"/>
      <c r="FX65" s="294"/>
      <c r="FY65" s="276"/>
      <c r="GB65" s="294"/>
      <c r="GC65" s="276"/>
      <c r="GF65" s="294"/>
      <c r="GG65" s="276"/>
      <c r="GH65" s="276"/>
      <c r="GI65" s="276"/>
      <c r="GJ65" s="288"/>
      <c r="GK65" s="288"/>
      <c r="GL65" s="294"/>
      <c r="GN65" s="276"/>
      <c r="GQ65" s="294"/>
      <c r="GR65" s="276"/>
      <c r="GS65" s="276"/>
      <c r="GT65" s="276"/>
      <c r="GW65" s="294"/>
      <c r="GX65" s="294"/>
      <c r="HA65" s="294"/>
      <c r="HB65" s="276"/>
      <c r="HC65" s="276"/>
      <c r="HD65" s="276"/>
      <c r="HG65" s="294"/>
      <c r="HH65" s="294"/>
      <c r="HK65" s="294"/>
      <c r="HL65" s="276"/>
      <c r="HM65" s="276"/>
      <c r="HN65" s="276"/>
      <c r="HQ65" s="294"/>
      <c r="HR65" s="276"/>
      <c r="HU65" s="294"/>
      <c r="HV65" s="294"/>
      <c r="HY65" s="294"/>
      <c r="HZ65" s="276"/>
      <c r="IA65" s="276"/>
      <c r="IB65" s="276"/>
      <c r="IE65" s="294"/>
      <c r="IF65" s="294"/>
      <c r="IG65" s="276"/>
      <c r="IJ65" s="294"/>
      <c r="IK65" s="276"/>
      <c r="IL65" s="276"/>
      <c r="IM65" s="276"/>
      <c r="IN65" s="308"/>
      <c r="IO65" s="308"/>
      <c r="IP65" s="308"/>
      <c r="IQ65" s="294"/>
      <c r="IR65" s="294"/>
      <c r="IS65" s="294"/>
      <c r="IW65" s="276"/>
      <c r="IX65" s="294"/>
      <c r="IY65" s="444"/>
    </row>
    <row r="66" spans="2:267" ht="15.75" hidden="1" customHeight="1">
      <c r="B66" s="276"/>
      <c r="C66" s="276"/>
      <c r="D66" s="294"/>
      <c r="E66" s="294"/>
      <c r="F66" s="294"/>
      <c r="G66" s="276"/>
      <c r="H66" s="294"/>
      <c r="I66" s="294"/>
      <c r="J66" s="294"/>
      <c r="K66" s="276"/>
      <c r="L66" s="276"/>
      <c r="M66" s="276"/>
      <c r="N66" s="303"/>
      <c r="O66" s="303"/>
      <c r="P66" s="294"/>
      <c r="Q66" s="276"/>
      <c r="R66" s="294"/>
      <c r="S66" s="294"/>
      <c r="T66" s="294"/>
      <c r="U66" s="276"/>
      <c r="V66" s="276"/>
      <c r="W66" s="276"/>
      <c r="X66" s="294"/>
      <c r="Y66" s="294"/>
      <c r="Z66" s="294"/>
      <c r="AA66" s="276"/>
      <c r="AB66" s="294"/>
      <c r="AC66" s="294"/>
      <c r="AD66" s="294"/>
      <c r="AE66" s="294"/>
      <c r="AF66" s="276"/>
      <c r="AG66" s="276"/>
      <c r="AH66" s="294"/>
      <c r="AI66" s="294"/>
      <c r="AJ66" s="294"/>
      <c r="AK66" s="276"/>
      <c r="AL66" s="294"/>
      <c r="AM66" s="294"/>
      <c r="AN66" s="294"/>
      <c r="AO66" s="294"/>
      <c r="AP66" s="276"/>
      <c r="AQ66" s="276"/>
      <c r="AR66" s="294"/>
      <c r="AS66" s="294"/>
      <c r="AT66" s="294"/>
      <c r="AU66" s="276"/>
      <c r="AW66" s="294"/>
      <c r="AX66" s="294"/>
      <c r="AY66" s="294"/>
      <c r="AZ66" s="276"/>
      <c r="BA66" s="276"/>
      <c r="BD66" s="294"/>
      <c r="BE66" s="276"/>
      <c r="BF66" s="294"/>
      <c r="BG66" s="294"/>
      <c r="BH66" s="294"/>
      <c r="BI66" s="276"/>
      <c r="BL66" s="294"/>
      <c r="BM66" s="294"/>
      <c r="BN66" s="276"/>
      <c r="BO66" s="294"/>
      <c r="BR66" s="294"/>
      <c r="BS66" s="294"/>
      <c r="BV66" s="294"/>
      <c r="BW66" s="294"/>
      <c r="BX66" s="276"/>
      <c r="BY66" s="294"/>
      <c r="CB66" s="294"/>
      <c r="CC66" s="294"/>
      <c r="CF66" s="294"/>
      <c r="CG66" s="294"/>
      <c r="CH66" s="276"/>
      <c r="CI66" s="276"/>
      <c r="CL66" s="294"/>
      <c r="CM66" s="276"/>
      <c r="CP66" s="294"/>
      <c r="CQ66" s="294"/>
      <c r="CR66" s="276"/>
      <c r="CS66" s="276"/>
      <c r="CV66" s="294"/>
      <c r="CW66" s="276"/>
      <c r="CZ66" s="294"/>
      <c r="DA66" s="294"/>
      <c r="DB66" s="276"/>
      <c r="DC66" s="276"/>
      <c r="DF66" s="294"/>
      <c r="DG66" s="276"/>
      <c r="DJ66" s="294"/>
      <c r="DK66" s="276"/>
      <c r="DL66" s="276"/>
      <c r="DM66" s="276"/>
      <c r="DP66" s="294"/>
      <c r="DQ66" s="276"/>
      <c r="DT66" s="294"/>
      <c r="DU66" s="276"/>
      <c r="DV66" s="276"/>
      <c r="DW66" s="276"/>
      <c r="DZ66" s="294"/>
      <c r="EA66" s="276"/>
      <c r="ED66" s="294"/>
      <c r="EE66" s="276"/>
      <c r="EF66" s="276"/>
      <c r="EG66" s="276"/>
      <c r="EJ66" s="294"/>
      <c r="EK66" s="276"/>
      <c r="EN66" s="294"/>
      <c r="EO66" s="276"/>
      <c r="EP66" s="276"/>
      <c r="EQ66" s="276"/>
      <c r="ET66" s="294"/>
      <c r="EU66" s="276"/>
      <c r="EX66" s="294"/>
      <c r="EY66" s="276"/>
      <c r="EZ66" s="276"/>
      <c r="FA66" s="276"/>
      <c r="FD66" s="294"/>
      <c r="FE66" s="276"/>
      <c r="FH66" s="294"/>
      <c r="FI66" s="276"/>
      <c r="FJ66" s="276"/>
      <c r="FK66" s="276"/>
      <c r="FN66" s="294"/>
      <c r="FO66" s="276"/>
      <c r="FR66" s="294"/>
      <c r="FS66" s="276"/>
      <c r="FT66" s="276"/>
      <c r="FU66" s="276"/>
      <c r="FX66" s="294"/>
      <c r="FY66" s="276"/>
      <c r="GB66" s="294"/>
      <c r="GC66" s="276"/>
      <c r="GF66" s="294"/>
      <c r="GG66" s="276"/>
      <c r="GH66" s="276"/>
      <c r="GI66" s="276"/>
      <c r="GJ66" s="288"/>
      <c r="GK66" s="288"/>
      <c r="GL66" s="294"/>
      <c r="GN66" s="276"/>
      <c r="GQ66" s="294"/>
      <c r="GR66" s="276"/>
      <c r="GS66" s="276"/>
      <c r="GT66" s="276"/>
      <c r="GW66" s="294"/>
      <c r="GX66" s="294"/>
      <c r="HA66" s="294"/>
      <c r="HB66" s="276"/>
      <c r="HC66" s="276"/>
      <c r="HD66" s="276"/>
      <c r="HG66" s="294"/>
      <c r="HH66" s="294"/>
      <c r="HK66" s="294"/>
      <c r="HL66" s="276"/>
      <c r="HM66" s="276"/>
      <c r="HN66" s="276"/>
      <c r="HQ66" s="294"/>
      <c r="HR66" s="276"/>
      <c r="HU66" s="294"/>
      <c r="HV66" s="294"/>
      <c r="HY66" s="294"/>
      <c r="HZ66" s="276"/>
      <c r="IA66" s="276"/>
      <c r="IB66" s="276"/>
      <c r="IE66" s="294"/>
      <c r="IF66" s="294"/>
      <c r="IG66" s="276"/>
      <c r="IJ66" s="294"/>
      <c r="IK66" s="276"/>
      <c r="IL66" s="276"/>
      <c r="IM66" s="276"/>
      <c r="IN66" s="308"/>
      <c r="IO66" s="308"/>
      <c r="IP66" s="308"/>
      <c r="IQ66" s="294"/>
      <c r="IR66" s="294"/>
      <c r="IS66" s="294"/>
      <c r="IW66" s="276"/>
      <c r="IX66" s="294"/>
      <c r="IY66" s="444"/>
    </row>
    <row r="67" spans="2:267" ht="15.75" hidden="1" customHeight="1">
      <c r="B67" s="276" t="s">
        <v>385</v>
      </c>
      <c r="C67" s="276"/>
      <c r="D67" s="294"/>
      <c r="E67" s="317"/>
      <c r="F67" s="294"/>
      <c r="G67" s="276"/>
      <c r="H67" s="294"/>
      <c r="I67" s="317"/>
      <c r="J67" s="294"/>
      <c r="K67" s="276"/>
      <c r="L67" s="276" t="s">
        <v>385</v>
      </c>
      <c r="M67" s="276"/>
      <c r="N67" s="303"/>
      <c r="O67" s="317"/>
      <c r="P67" s="294"/>
      <c r="Q67" s="276"/>
      <c r="R67" s="294"/>
      <c r="S67" s="317"/>
      <c r="T67" s="294"/>
      <c r="U67" s="276"/>
      <c r="V67" s="276" t="s">
        <v>385</v>
      </c>
      <c r="W67" s="276"/>
      <c r="X67" s="294"/>
      <c r="Y67" s="317"/>
      <c r="Z67" s="294"/>
      <c r="AA67" s="276"/>
      <c r="AB67" s="294"/>
      <c r="AC67" s="317"/>
      <c r="AD67" s="294"/>
      <c r="AE67" s="294"/>
      <c r="AF67" s="276" t="s">
        <v>385</v>
      </c>
      <c r="AG67" s="276"/>
      <c r="AH67" s="294"/>
      <c r="AI67" s="317"/>
      <c r="AJ67" s="294"/>
      <c r="AK67" s="276"/>
      <c r="AL67" s="294"/>
      <c r="AM67" s="317"/>
      <c r="AN67" s="294"/>
      <c r="AO67" s="294"/>
      <c r="AP67" s="276" t="s">
        <v>385</v>
      </c>
      <c r="AQ67" s="276"/>
      <c r="AR67" s="294"/>
      <c r="AS67" s="317"/>
      <c r="AT67" s="294"/>
      <c r="AU67" s="276"/>
      <c r="AW67" s="317"/>
      <c r="AX67" s="294"/>
      <c r="AY67" s="294"/>
      <c r="AZ67" s="276" t="s">
        <v>385</v>
      </c>
      <c r="BA67" s="276"/>
      <c r="BC67" s="317"/>
      <c r="BD67" s="294"/>
      <c r="BE67" s="276"/>
      <c r="BF67" s="294"/>
      <c r="BG67" s="294"/>
      <c r="BH67" s="294"/>
      <c r="BI67" s="276"/>
      <c r="BK67" s="317"/>
      <c r="BL67" s="294"/>
      <c r="BM67" s="294"/>
      <c r="BN67" s="276" t="s">
        <v>385</v>
      </c>
      <c r="BO67" s="294"/>
      <c r="BQ67" s="317"/>
      <c r="BR67" s="294"/>
      <c r="BS67" s="294"/>
      <c r="BU67" s="317"/>
      <c r="BV67" s="294"/>
      <c r="BW67" s="294"/>
      <c r="BX67" s="276" t="s">
        <v>385</v>
      </c>
      <c r="BY67" s="294"/>
      <c r="CA67" s="317"/>
      <c r="CB67" s="294"/>
      <c r="CC67" s="294"/>
      <c r="CE67" s="317"/>
      <c r="CF67" s="294"/>
      <c r="CG67" s="294"/>
      <c r="CH67" s="276" t="s">
        <v>385</v>
      </c>
      <c r="CI67" s="276"/>
      <c r="CK67" s="317"/>
      <c r="CL67" s="294"/>
      <c r="CM67" s="276"/>
      <c r="CO67" s="317"/>
      <c r="CP67" s="294"/>
      <c r="CQ67" s="294"/>
      <c r="CR67" s="276" t="s">
        <v>385</v>
      </c>
      <c r="CS67" s="276"/>
      <c r="CU67" s="317"/>
      <c r="CV67" s="294"/>
      <c r="CW67" s="276"/>
      <c r="CY67" s="317"/>
      <c r="CZ67" s="294"/>
      <c r="DA67" s="294"/>
      <c r="DB67" s="276" t="s">
        <v>385</v>
      </c>
      <c r="DC67" s="276"/>
      <c r="DE67" s="317"/>
      <c r="DF67" s="294"/>
      <c r="DG67" s="276"/>
      <c r="DI67" s="317"/>
      <c r="DJ67" s="294"/>
      <c r="DK67" s="276"/>
      <c r="DL67" s="276" t="s">
        <v>385</v>
      </c>
      <c r="DM67" s="276"/>
      <c r="DO67" s="317"/>
      <c r="DP67" s="294"/>
      <c r="DQ67" s="276"/>
      <c r="DS67" s="317"/>
      <c r="DT67" s="294"/>
      <c r="DU67" s="276"/>
      <c r="DV67" s="276" t="s">
        <v>385</v>
      </c>
      <c r="DW67" s="276"/>
      <c r="DY67" s="317"/>
      <c r="DZ67" s="294"/>
      <c r="EA67" s="276"/>
      <c r="EC67" s="317"/>
      <c r="ED67" s="294"/>
      <c r="EE67" s="276"/>
      <c r="EF67" s="276" t="s">
        <v>385</v>
      </c>
      <c r="EG67" s="276"/>
      <c r="EI67" s="317"/>
      <c r="EJ67" s="294"/>
      <c r="EK67" s="276"/>
      <c r="EM67" s="317"/>
      <c r="EN67" s="294"/>
      <c r="EO67" s="276"/>
      <c r="EP67" s="276" t="s">
        <v>385</v>
      </c>
      <c r="EQ67" s="276"/>
      <c r="ES67" s="317"/>
      <c r="ET67" s="294"/>
      <c r="EU67" s="276"/>
      <c r="EW67" s="317"/>
      <c r="EX67" s="294"/>
      <c r="EY67" s="276"/>
      <c r="EZ67" s="276" t="s">
        <v>385</v>
      </c>
      <c r="FA67" s="276"/>
      <c r="FC67" s="317"/>
      <c r="FD67" s="294"/>
      <c r="FE67" s="276"/>
      <c r="FG67" s="317"/>
      <c r="FH67" s="294"/>
      <c r="FI67" s="276"/>
      <c r="FJ67" s="276" t="s">
        <v>385</v>
      </c>
      <c r="FK67" s="276"/>
      <c r="FM67" s="317"/>
      <c r="FN67" s="294"/>
      <c r="FO67" s="276"/>
      <c r="FQ67" s="317"/>
      <c r="FR67" s="294"/>
      <c r="FS67" s="276"/>
      <c r="FT67" s="276" t="s">
        <v>385</v>
      </c>
      <c r="FU67" s="276"/>
      <c r="FW67" s="317"/>
      <c r="FX67" s="294"/>
      <c r="FY67" s="276"/>
      <c r="GA67" s="317"/>
      <c r="GB67" s="294"/>
      <c r="GC67" s="276"/>
      <c r="GE67" s="317"/>
      <c r="GF67" s="294"/>
      <c r="GG67" s="276"/>
      <c r="GH67" s="276" t="s">
        <v>385</v>
      </c>
      <c r="GI67" s="276"/>
      <c r="GJ67" s="288"/>
      <c r="GK67" s="317"/>
      <c r="GL67" s="294"/>
      <c r="GN67" s="276"/>
      <c r="GP67" s="317"/>
      <c r="GQ67" s="294"/>
      <c r="GR67" s="276"/>
      <c r="GS67" s="276" t="s">
        <v>385</v>
      </c>
      <c r="GT67" s="276"/>
      <c r="GV67" s="317"/>
      <c r="GW67" s="294"/>
      <c r="GX67" s="294"/>
      <c r="GZ67" s="317"/>
      <c r="HA67" s="294"/>
      <c r="HB67" s="276"/>
      <c r="HC67" s="276" t="s">
        <v>385</v>
      </c>
      <c r="HD67" s="276"/>
      <c r="HF67" s="317"/>
      <c r="HG67" s="294"/>
      <c r="HH67" s="294"/>
      <c r="HJ67" s="317"/>
      <c r="HK67" s="294"/>
      <c r="HL67" s="276"/>
      <c r="HM67" s="276" t="s">
        <v>385</v>
      </c>
      <c r="HN67" s="276"/>
      <c r="HP67" s="317"/>
      <c r="HQ67" s="294"/>
      <c r="HR67" s="276"/>
      <c r="HT67" s="317"/>
      <c r="HU67" s="294"/>
      <c r="HV67" s="294"/>
      <c r="HX67" s="317"/>
      <c r="HY67" s="294"/>
      <c r="HZ67" s="276"/>
      <c r="IA67" s="276" t="s">
        <v>385</v>
      </c>
      <c r="IB67" s="276"/>
      <c r="ID67" s="317"/>
      <c r="IE67" s="294"/>
      <c r="IF67" s="294"/>
      <c r="IG67" s="276"/>
      <c r="II67" s="317"/>
      <c r="IJ67" s="294"/>
      <c r="IK67" s="276"/>
      <c r="IL67" s="276" t="s">
        <v>385</v>
      </c>
      <c r="IM67" s="276"/>
      <c r="IN67" s="308"/>
      <c r="IO67" s="308"/>
      <c r="IP67" s="308"/>
      <c r="IQ67" s="294"/>
      <c r="IR67" s="294"/>
      <c r="IS67" s="294"/>
      <c r="IW67" s="276"/>
      <c r="IX67" s="294"/>
      <c r="IY67" s="444"/>
      <c r="JB67" s="317"/>
    </row>
    <row r="68" spans="2:267" ht="15.75" hidden="1" customHeight="1">
      <c r="B68" s="276"/>
      <c r="C68" s="276"/>
      <c r="D68" s="294"/>
      <c r="E68" s="294"/>
      <c r="F68" s="294"/>
      <c r="G68" s="276"/>
      <c r="H68" s="294"/>
      <c r="I68" s="294"/>
      <c r="J68" s="294"/>
      <c r="K68" s="276"/>
      <c r="L68" s="276"/>
      <c r="M68" s="276"/>
      <c r="N68" s="303"/>
      <c r="O68" s="294"/>
      <c r="P68" s="294"/>
      <c r="Q68" s="276"/>
      <c r="R68" s="294"/>
      <c r="S68" s="294"/>
      <c r="T68" s="294"/>
      <c r="U68" s="276"/>
      <c r="V68" s="276"/>
      <c r="W68" s="276"/>
      <c r="X68" s="294"/>
      <c r="Y68" s="294"/>
      <c r="Z68" s="294"/>
      <c r="AA68" s="276"/>
      <c r="AB68" s="294"/>
      <c r="AC68" s="294"/>
      <c r="AD68" s="294"/>
      <c r="AE68" s="294"/>
      <c r="AF68" s="276"/>
      <c r="AG68" s="276"/>
      <c r="AH68" s="294"/>
      <c r="AI68" s="294"/>
      <c r="AJ68" s="294"/>
      <c r="AK68" s="276"/>
      <c r="AL68" s="294"/>
      <c r="AM68" s="294"/>
      <c r="AN68" s="294"/>
      <c r="AO68" s="294"/>
      <c r="AP68" s="276"/>
      <c r="AQ68" s="276"/>
      <c r="AR68" s="294"/>
      <c r="AS68" s="294"/>
      <c r="AT68" s="294"/>
      <c r="AU68" s="276"/>
      <c r="AW68" s="294"/>
      <c r="AX68" s="294"/>
      <c r="AY68" s="294"/>
      <c r="AZ68" s="276"/>
      <c r="BA68" s="276"/>
      <c r="BC68" s="294"/>
      <c r="BD68" s="294"/>
      <c r="BE68" s="276"/>
      <c r="BF68" s="294"/>
      <c r="BG68" s="294"/>
      <c r="BH68" s="294"/>
      <c r="BI68" s="276"/>
      <c r="BK68" s="294"/>
      <c r="BL68" s="294"/>
      <c r="BM68" s="294"/>
      <c r="BN68" s="276"/>
      <c r="BO68" s="294"/>
      <c r="BQ68" s="294"/>
      <c r="BR68" s="294"/>
      <c r="BS68" s="294"/>
      <c r="BU68" s="294"/>
      <c r="BV68" s="294"/>
      <c r="BW68" s="294"/>
      <c r="BX68" s="276"/>
      <c r="BY68" s="294"/>
      <c r="CA68" s="294"/>
      <c r="CB68" s="294"/>
      <c r="CC68" s="294"/>
      <c r="CE68" s="294"/>
      <c r="CF68" s="294"/>
      <c r="CG68" s="294"/>
      <c r="CH68" s="276"/>
      <c r="CI68" s="276"/>
      <c r="CK68" s="294"/>
      <c r="CL68" s="294"/>
      <c r="CM68" s="276"/>
      <c r="CO68" s="294"/>
      <c r="CP68" s="294"/>
      <c r="CQ68" s="294"/>
      <c r="CR68" s="276"/>
      <c r="CS68" s="276"/>
      <c r="CU68" s="294"/>
      <c r="CV68" s="294"/>
      <c r="CW68" s="276"/>
      <c r="CY68" s="294"/>
      <c r="CZ68" s="294"/>
      <c r="DA68" s="294"/>
      <c r="DB68" s="276"/>
      <c r="DC68" s="276"/>
      <c r="DE68" s="294"/>
      <c r="DF68" s="294"/>
      <c r="DG68" s="276"/>
      <c r="DI68" s="294"/>
      <c r="DJ68" s="294"/>
      <c r="DK68" s="276"/>
      <c r="DL68" s="276"/>
      <c r="DM68" s="276"/>
      <c r="DO68" s="294"/>
      <c r="DP68" s="294"/>
      <c r="DQ68" s="276"/>
      <c r="DS68" s="294"/>
      <c r="DT68" s="294"/>
      <c r="DU68" s="276"/>
      <c r="DV68" s="276"/>
      <c r="DW68" s="276"/>
      <c r="DY68" s="294"/>
      <c r="DZ68" s="294"/>
      <c r="EA68" s="276"/>
      <c r="EC68" s="294"/>
      <c r="ED68" s="294"/>
      <c r="EE68" s="276"/>
      <c r="EF68" s="276"/>
      <c r="EG68" s="276"/>
      <c r="EI68" s="294"/>
      <c r="EJ68" s="294"/>
      <c r="EK68" s="276"/>
      <c r="EM68" s="294"/>
      <c r="EN68" s="294"/>
      <c r="EO68" s="276"/>
      <c r="EP68" s="276"/>
      <c r="EQ68" s="276"/>
      <c r="ES68" s="294"/>
      <c r="ET68" s="294"/>
      <c r="EU68" s="276"/>
      <c r="EW68" s="294"/>
      <c r="EX68" s="294"/>
      <c r="EY68" s="276"/>
      <c r="EZ68" s="276"/>
      <c r="FA68" s="276"/>
      <c r="FC68" s="294"/>
      <c r="FD68" s="294"/>
      <c r="FE68" s="276"/>
      <c r="FG68" s="294"/>
      <c r="FH68" s="294"/>
      <c r="FI68" s="276"/>
      <c r="FJ68" s="276"/>
      <c r="FK68" s="276"/>
      <c r="FM68" s="294"/>
      <c r="FN68" s="294"/>
      <c r="FO68" s="276"/>
      <c r="FQ68" s="294"/>
      <c r="FR68" s="294"/>
      <c r="FS68" s="276"/>
      <c r="FT68" s="276"/>
      <c r="FU68" s="276"/>
      <c r="FW68" s="294"/>
      <c r="FX68" s="294"/>
      <c r="FY68" s="276"/>
      <c r="GA68" s="294"/>
      <c r="GB68" s="294"/>
      <c r="GC68" s="276"/>
      <c r="GE68" s="294"/>
      <c r="GF68" s="294"/>
      <c r="GG68" s="276"/>
      <c r="GH68" s="276"/>
      <c r="GI68" s="276"/>
      <c r="GJ68" s="288"/>
      <c r="GK68" s="294"/>
      <c r="GL68" s="294"/>
      <c r="GN68" s="276"/>
      <c r="GP68" s="294"/>
      <c r="GQ68" s="294"/>
      <c r="GR68" s="276"/>
      <c r="GS68" s="276"/>
      <c r="GT68" s="276"/>
      <c r="GV68" s="294"/>
      <c r="GW68" s="294"/>
      <c r="GX68" s="294"/>
      <c r="GZ68" s="294"/>
      <c r="HA68" s="294"/>
      <c r="HB68" s="276"/>
      <c r="HC68" s="276"/>
      <c r="HD68" s="276"/>
      <c r="HF68" s="294"/>
      <c r="HG68" s="294"/>
      <c r="HH68" s="294"/>
      <c r="HJ68" s="294"/>
      <c r="HK68" s="294"/>
      <c r="HL68" s="276"/>
      <c r="HM68" s="276"/>
      <c r="HN68" s="276"/>
      <c r="HP68" s="294"/>
      <c r="HQ68" s="294"/>
      <c r="HR68" s="276"/>
      <c r="HT68" s="294"/>
      <c r="HU68" s="294"/>
      <c r="HV68" s="294"/>
      <c r="HX68" s="294"/>
      <c r="HY68" s="294"/>
      <c r="HZ68" s="276"/>
      <c r="IA68" s="276"/>
      <c r="IB68" s="276"/>
      <c r="ID68" s="294"/>
      <c r="IE68" s="294"/>
      <c r="IF68" s="294"/>
      <c r="IG68" s="276"/>
      <c r="II68" s="294"/>
      <c r="IJ68" s="294"/>
      <c r="IK68" s="276"/>
      <c r="IL68" s="276"/>
      <c r="IM68" s="276"/>
      <c r="IN68" s="308"/>
      <c r="IO68" s="308"/>
      <c r="IP68" s="308"/>
      <c r="IQ68" s="294"/>
      <c r="IR68" s="294"/>
      <c r="IS68" s="294"/>
      <c r="IW68" s="276"/>
      <c r="IX68" s="294"/>
      <c r="IY68" s="444"/>
      <c r="JB68" s="294"/>
    </row>
    <row r="69" spans="2:267" ht="15.75" hidden="1" customHeight="1">
      <c r="B69" s="308" t="s">
        <v>907</v>
      </c>
      <c r="C69" s="308"/>
      <c r="D69" s="294"/>
      <c r="E69" s="300">
        <f>SUM(E63+E67)</f>
        <v>285729</v>
      </c>
      <c r="F69" s="294"/>
      <c r="G69" s="276"/>
      <c r="H69" s="294"/>
      <c r="I69" s="300">
        <f>SUM(I63+I67)</f>
        <v>5631</v>
      </c>
      <c r="J69" s="294"/>
      <c r="K69" s="308"/>
      <c r="L69" s="308" t="s">
        <v>907</v>
      </c>
      <c r="M69" s="308"/>
      <c r="N69" s="303"/>
      <c r="O69" s="300">
        <f>IF(SUM(O63+O67)&lt;&gt;0,SUM(O63+O67),"-  ")</f>
        <v>28496</v>
      </c>
      <c r="P69" s="294"/>
      <c r="Q69" s="276"/>
      <c r="R69" s="294"/>
      <c r="S69" s="300">
        <f>SUM(S63+S67)</f>
        <v>305110</v>
      </c>
      <c r="T69" s="294"/>
      <c r="U69" s="308"/>
      <c r="V69" s="308" t="s">
        <v>907</v>
      </c>
      <c r="W69" s="276"/>
      <c r="X69" s="294"/>
      <c r="Y69" s="300">
        <f>SUM(Y63+Y67)</f>
        <v>-175423</v>
      </c>
      <c r="Z69" s="294"/>
      <c r="AA69" s="276"/>
      <c r="AB69" s="294"/>
      <c r="AC69" s="300">
        <f>SUM(AC63+AC67)</f>
        <v>1681474</v>
      </c>
      <c r="AD69" s="294"/>
      <c r="AE69" s="294"/>
      <c r="AF69" s="308" t="s">
        <v>907</v>
      </c>
      <c r="AG69" s="276"/>
      <c r="AH69" s="294"/>
      <c r="AI69" s="300">
        <f>SUM(AI63+AI67)</f>
        <v>74</v>
      </c>
      <c r="AJ69" s="294"/>
      <c r="AK69" s="276"/>
      <c r="AL69" s="294"/>
      <c r="AM69" s="300">
        <f>SUM(AM63+AM67)</f>
        <v>8485</v>
      </c>
      <c r="AN69" s="294"/>
      <c r="AO69" s="294"/>
      <c r="AP69" s="308" t="s">
        <v>907</v>
      </c>
      <c r="AQ69" s="276"/>
      <c r="AR69" s="294"/>
      <c r="AS69" s="300">
        <f>SUM(AS63+AS67)</f>
        <v>534621</v>
      </c>
      <c r="AT69" s="294"/>
      <c r="AU69" s="276"/>
      <c r="AW69" s="300">
        <f>SUM(AW63+AW67)</f>
        <v>86030</v>
      </c>
      <c r="AX69" s="294"/>
      <c r="AY69" s="294"/>
      <c r="AZ69" s="308" t="s">
        <v>907</v>
      </c>
      <c r="BA69" s="276"/>
      <c r="BC69" s="300">
        <f>SUM(BC63+BC67)</f>
        <v>48826</v>
      </c>
      <c r="BD69" s="294"/>
      <c r="BE69" s="276"/>
      <c r="BF69" s="294"/>
      <c r="BG69" s="294"/>
      <c r="BH69" s="294"/>
      <c r="BI69" s="276"/>
      <c r="BK69" s="300">
        <f>SUM(BK63+BK67)</f>
        <v>198091</v>
      </c>
      <c r="BL69" s="294"/>
      <c r="BM69" s="294"/>
      <c r="BN69" s="308" t="s">
        <v>907</v>
      </c>
      <c r="BO69" s="294"/>
      <c r="BQ69" s="300">
        <f>SUM(BQ63+BQ67)</f>
        <v>347266</v>
      </c>
      <c r="BR69" s="294"/>
      <c r="BS69" s="294"/>
      <c r="BU69" s="300">
        <f>SUM(BU63+BU67)</f>
        <v>1160176</v>
      </c>
      <c r="BV69" s="294"/>
      <c r="BW69" s="294"/>
      <c r="BX69" s="308" t="s">
        <v>907</v>
      </c>
      <c r="BY69" s="294"/>
      <c r="CA69" s="300">
        <f>SUM(CA63+CA67)</f>
        <v>289</v>
      </c>
      <c r="CB69" s="294"/>
      <c r="CC69" s="294"/>
      <c r="CE69" s="300">
        <f>SUM(CE63+CE67)</f>
        <v>615032</v>
      </c>
      <c r="CF69" s="294"/>
      <c r="CG69" s="294"/>
      <c r="CH69" s="308" t="s">
        <v>907</v>
      </c>
      <c r="CI69" s="276"/>
      <c r="CK69" s="300">
        <f>SUM(CK63+CK67)</f>
        <v>142</v>
      </c>
      <c r="CL69" s="294"/>
      <c r="CM69" s="276"/>
      <c r="CO69" s="300">
        <f>SUM(CO63+CO67)</f>
        <v>253822</v>
      </c>
      <c r="CP69" s="294"/>
      <c r="CQ69" s="294"/>
      <c r="CR69" s="308" t="s">
        <v>907</v>
      </c>
      <c r="CS69" s="276"/>
      <c r="CU69" s="300">
        <f>SUM(CU63+CU67)</f>
        <v>-4554</v>
      </c>
      <c r="CV69" s="294"/>
      <c r="CW69" s="276"/>
      <c r="CY69" s="300">
        <f>SUM(CY63+CY67)</f>
        <v>54037</v>
      </c>
      <c r="CZ69" s="294"/>
      <c r="DA69" s="294"/>
      <c r="DB69" s="308" t="s">
        <v>907</v>
      </c>
      <c r="DC69" s="276"/>
      <c r="DE69" s="300">
        <f>SUM(DE63+DE67)</f>
        <v>138674</v>
      </c>
      <c r="DF69" s="294"/>
      <c r="DG69" s="276"/>
      <c r="DI69" s="300">
        <f>SUM(DI63+DI67)</f>
        <v>1339813</v>
      </c>
      <c r="DJ69" s="294"/>
      <c r="DK69" s="276"/>
      <c r="DL69" s="308" t="s">
        <v>907</v>
      </c>
      <c r="DM69" s="276"/>
      <c r="DO69" s="300">
        <f>SUM(DO63+DO67)</f>
        <v>195203</v>
      </c>
      <c r="DP69" s="294"/>
      <c r="DQ69" s="276"/>
      <c r="DS69" s="300">
        <f>SUM(DS63+DS67)</f>
        <v>19792</v>
      </c>
      <c r="DT69" s="294"/>
      <c r="DU69" s="276"/>
      <c r="DV69" s="308" t="s">
        <v>907</v>
      </c>
      <c r="DW69" s="276"/>
      <c r="DY69" s="300">
        <f>SUM(DY63+DY67)</f>
        <v>77193</v>
      </c>
      <c r="DZ69" s="294"/>
      <c r="EA69" s="276"/>
      <c r="EC69" s="300">
        <f>SUM(EC63+EC67)</f>
        <v>21108</v>
      </c>
      <c r="ED69" s="294"/>
      <c r="EE69" s="276"/>
      <c r="EF69" s="308" t="s">
        <v>907</v>
      </c>
      <c r="EG69" s="276"/>
      <c r="EI69" s="300">
        <f>SUM(EI63+EI67)</f>
        <v>476992</v>
      </c>
      <c r="EJ69" s="294"/>
      <c r="EK69" s="276"/>
      <c r="EM69" s="300">
        <f>SUM(EM63+EM67)</f>
        <v>347620</v>
      </c>
      <c r="EN69" s="294"/>
      <c r="EO69" s="276"/>
      <c r="EP69" s="308" t="s">
        <v>907</v>
      </c>
      <c r="EQ69" s="276"/>
      <c r="ES69" s="300">
        <f>SUM(ES63+ES67)</f>
        <v>45849</v>
      </c>
      <c r="ET69" s="294"/>
      <c r="EU69" s="276"/>
      <c r="EW69" s="300">
        <f>SUM(EW63+EW67)</f>
        <v>60394</v>
      </c>
      <c r="EX69" s="294"/>
      <c r="EY69" s="276"/>
      <c r="EZ69" s="308" t="s">
        <v>907</v>
      </c>
      <c r="FA69" s="276"/>
      <c r="FC69" s="300">
        <f>SUM(FC63+FC67)</f>
        <v>31810</v>
      </c>
      <c r="FD69" s="294"/>
      <c r="FE69" s="276"/>
      <c r="FG69" s="300">
        <f>SUM(FG63+FG67)</f>
        <v>52789</v>
      </c>
      <c r="FH69" s="294"/>
      <c r="FI69" s="276"/>
      <c r="FJ69" s="308" t="s">
        <v>907</v>
      </c>
      <c r="FK69" s="276"/>
      <c r="FM69" s="300">
        <f>SUM(FM63+FM67)</f>
        <v>58393</v>
      </c>
      <c r="FN69" s="294"/>
      <c r="FO69" s="276"/>
      <c r="FQ69" s="300">
        <f>SUM(FQ63+FQ67)</f>
        <v>193845</v>
      </c>
      <c r="FR69" s="294"/>
      <c r="FS69" s="276"/>
      <c r="FT69" s="308" t="s">
        <v>907</v>
      </c>
      <c r="FU69" s="276"/>
      <c r="FW69" s="300">
        <f>SUM(FW63+FW67)</f>
        <v>0</v>
      </c>
      <c r="FX69" s="294"/>
      <c r="FY69" s="276"/>
      <c r="GA69" s="300">
        <f>SUM(GA63+GA67)</f>
        <v>414553</v>
      </c>
      <c r="GB69" s="294"/>
      <c r="GC69" s="276"/>
      <c r="GE69" s="300">
        <f>SUM(GE63+GE67)</f>
        <v>696878</v>
      </c>
      <c r="GF69" s="294"/>
      <c r="GG69" s="276"/>
      <c r="GH69" s="308" t="s">
        <v>907</v>
      </c>
      <c r="GI69" s="308"/>
      <c r="GJ69" s="288"/>
      <c r="GK69" s="300">
        <f>SUM(GK63+GK67)</f>
        <v>0</v>
      </c>
      <c r="GL69" s="294"/>
      <c r="GN69" s="276"/>
      <c r="GP69" s="300">
        <f>SUM(GP63+GP67)</f>
        <v>67703</v>
      </c>
      <c r="GQ69" s="294"/>
      <c r="GR69" s="276"/>
      <c r="GS69" s="308" t="s">
        <v>907</v>
      </c>
      <c r="GT69" s="276"/>
      <c r="GV69" s="300">
        <f>SUM(GV63+GV67)</f>
        <v>560220</v>
      </c>
      <c r="GW69" s="294"/>
      <c r="GX69" s="294"/>
      <c r="GZ69" s="300">
        <f>SUM(GZ63+GZ67)</f>
        <v>-129252</v>
      </c>
      <c r="HA69" s="294"/>
      <c r="HB69" s="276"/>
      <c r="HC69" s="308" t="s">
        <v>907</v>
      </c>
      <c r="HD69" s="276"/>
      <c r="HF69" s="300">
        <f>SUM(HF63+HF67)</f>
        <v>0</v>
      </c>
      <c r="HG69" s="294"/>
      <c r="HH69" s="294"/>
      <c r="HJ69" s="300">
        <f>SUM(HJ63+HJ67)</f>
        <v>-62728</v>
      </c>
      <c r="HK69" s="294"/>
      <c r="HL69" s="276"/>
      <c r="HM69" s="308" t="s">
        <v>907</v>
      </c>
      <c r="HN69" s="276"/>
      <c r="HP69" s="300">
        <f>SUM(HP63+HP67)</f>
        <v>0</v>
      </c>
      <c r="HQ69" s="294"/>
      <c r="HR69" s="276"/>
      <c r="HT69" s="300">
        <f>SUM(HT63+HT67)</f>
        <v>0</v>
      </c>
      <c r="HU69" s="294"/>
      <c r="HV69" s="294"/>
      <c r="HX69" s="300">
        <f>SUM(HX63+HX67)</f>
        <v>34313</v>
      </c>
      <c r="HY69" s="294"/>
      <c r="HZ69" s="276"/>
      <c r="IA69" s="308" t="s">
        <v>907</v>
      </c>
      <c r="IB69" s="276"/>
      <c r="ID69" s="300">
        <f>SUM(ID63+ID67)</f>
        <v>-25945</v>
      </c>
      <c r="IE69" s="294"/>
      <c r="IF69" s="294"/>
      <c r="IG69" s="276"/>
      <c r="II69" s="300">
        <f>SUM(II63+II67)</f>
        <v>10048571</v>
      </c>
      <c r="IJ69" s="294"/>
      <c r="IK69" s="276"/>
      <c r="IL69" s="308" t="s">
        <v>907</v>
      </c>
      <c r="IM69" s="276"/>
      <c r="IN69" s="308"/>
      <c r="IO69" s="308"/>
      <c r="IP69" s="308"/>
      <c r="IQ69" s="294"/>
      <c r="IR69" s="294"/>
      <c r="IS69" s="294"/>
      <c r="IW69" s="276"/>
      <c r="IX69" s="294"/>
      <c r="IY69" s="444"/>
      <c r="JB69" s="300">
        <f>SUM(JB63+JB67)</f>
        <v>0</v>
      </c>
    </row>
    <row r="70" spans="2:267" ht="15.75" hidden="1" customHeight="1">
      <c r="B70" s="276"/>
      <c r="C70" s="276"/>
      <c r="D70" s="294"/>
      <c r="E70" s="294"/>
      <c r="F70" s="294"/>
      <c r="G70" s="276"/>
      <c r="H70" s="294"/>
      <c r="I70" s="294"/>
      <c r="J70" s="294"/>
      <c r="K70" s="276"/>
      <c r="L70" s="276"/>
      <c r="M70" s="276"/>
      <c r="N70" s="303"/>
      <c r="O70" s="294"/>
      <c r="P70" s="294"/>
      <c r="Q70" s="276"/>
      <c r="R70" s="294"/>
      <c r="S70" s="294"/>
      <c r="T70" s="294"/>
      <c r="U70" s="276"/>
      <c r="V70" s="276"/>
      <c r="W70" s="276"/>
      <c r="X70" s="294"/>
      <c r="Y70" s="294"/>
      <c r="Z70" s="294"/>
      <c r="AA70" s="276"/>
      <c r="AB70" s="294"/>
      <c r="AC70" s="294"/>
      <c r="AD70" s="294"/>
      <c r="AE70" s="294"/>
      <c r="AF70" s="276"/>
      <c r="AG70" s="276"/>
      <c r="AH70" s="294"/>
      <c r="AI70" s="294"/>
      <c r="AJ70" s="294"/>
      <c r="AK70" s="276"/>
      <c r="AL70" s="294"/>
      <c r="AM70" s="294"/>
      <c r="AN70" s="294"/>
      <c r="AO70" s="294"/>
      <c r="AP70" s="276"/>
      <c r="AQ70" s="276"/>
      <c r="AR70" s="294"/>
      <c r="AS70" s="294"/>
      <c r="AT70" s="294"/>
      <c r="AU70" s="276"/>
      <c r="AW70" s="294"/>
      <c r="AX70" s="294"/>
      <c r="AY70" s="294"/>
      <c r="AZ70" s="276"/>
      <c r="BA70" s="276"/>
      <c r="BC70" s="294"/>
      <c r="BD70" s="294"/>
      <c r="BE70" s="276"/>
      <c r="BF70" s="294"/>
      <c r="BG70" s="294"/>
      <c r="BH70" s="294"/>
      <c r="BI70" s="276"/>
      <c r="BK70" s="294"/>
      <c r="BL70" s="294"/>
      <c r="BM70" s="294"/>
      <c r="BN70" s="276"/>
      <c r="BO70" s="294"/>
      <c r="BQ70" s="294"/>
      <c r="BR70" s="294"/>
      <c r="BS70" s="294"/>
      <c r="BU70" s="294"/>
      <c r="BV70" s="294"/>
      <c r="BW70" s="294"/>
      <c r="BX70" s="276"/>
      <c r="BY70" s="294"/>
      <c r="CA70" s="294"/>
      <c r="CB70" s="294"/>
      <c r="CC70" s="294"/>
      <c r="CE70" s="294"/>
      <c r="CF70" s="294"/>
      <c r="CG70" s="294"/>
      <c r="CH70" s="276"/>
      <c r="CI70" s="276"/>
      <c r="CK70" s="294"/>
      <c r="CL70" s="294"/>
      <c r="CM70" s="276"/>
      <c r="CO70" s="294"/>
      <c r="CP70" s="294"/>
      <c r="CQ70" s="294"/>
      <c r="CR70" s="276"/>
      <c r="CS70" s="276"/>
      <c r="CU70" s="294"/>
      <c r="CV70" s="294"/>
      <c r="CW70" s="276"/>
      <c r="CY70" s="294"/>
      <c r="CZ70" s="294"/>
      <c r="DA70" s="294"/>
      <c r="DB70" s="276"/>
      <c r="DC70" s="276"/>
      <c r="DE70" s="294"/>
      <c r="DF70" s="294"/>
      <c r="DG70" s="276"/>
      <c r="DI70" s="294"/>
      <c r="DJ70" s="294"/>
      <c r="DK70" s="276"/>
      <c r="DL70" s="276"/>
      <c r="DM70" s="276"/>
      <c r="DO70" s="294"/>
      <c r="DP70" s="294"/>
      <c r="DQ70" s="276"/>
      <c r="DS70" s="294"/>
      <c r="DT70" s="294"/>
      <c r="DU70" s="276"/>
      <c r="DV70" s="276"/>
      <c r="DW70" s="276"/>
      <c r="DY70" s="294"/>
      <c r="DZ70" s="294"/>
      <c r="EA70" s="276"/>
      <c r="EC70" s="294"/>
      <c r="ED70" s="294"/>
      <c r="EE70" s="276"/>
      <c r="EF70" s="276"/>
      <c r="EG70" s="276"/>
      <c r="EI70" s="294"/>
      <c r="EJ70" s="294"/>
      <c r="EK70" s="276"/>
      <c r="EM70" s="294"/>
      <c r="EN70" s="294"/>
      <c r="EO70" s="276"/>
      <c r="EP70" s="276"/>
      <c r="EQ70" s="276"/>
      <c r="ES70" s="294"/>
      <c r="ET70" s="294"/>
      <c r="EU70" s="276"/>
      <c r="EW70" s="294"/>
      <c r="EX70" s="294"/>
      <c r="EY70" s="276"/>
      <c r="EZ70" s="276"/>
      <c r="FA70" s="276"/>
      <c r="FC70" s="294"/>
      <c r="FD70" s="294"/>
      <c r="FE70" s="276"/>
      <c r="FG70" s="294"/>
      <c r="FH70" s="294"/>
      <c r="FI70" s="276"/>
      <c r="FJ70" s="276"/>
      <c r="FK70" s="276"/>
      <c r="FM70" s="294"/>
      <c r="FN70" s="294"/>
      <c r="FO70" s="276"/>
      <c r="FQ70" s="294"/>
      <c r="FR70" s="294"/>
      <c r="FS70" s="276"/>
      <c r="FT70" s="276"/>
      <c r="FU70" s="276"/>
      <c r="FW70" s="294"/>
      <c r="FX70" s="294"/>
      <c r="FY70" s="276"/>
      <c r="GA70" s="294"/>
      <c r="GB70" s="294"/>
      <c r="GC70" s="276"/>
      <c r="GE70" s="294"/>
      <c r="GF70" s="294"/>
      <c r="GG70" s="276"/>
      <c r="GH70" s="276"/>
      <c r="GI70" s="276"/>
      <c r="GJ70" s="288"/>
      <c r="GK70" s="294"/>
      <c r="GL70" s="294"/>
      <c r="GN70" s="276"/>
      <c r="GP70" s="294"/>
      <c r="GQ70" s="294"/>
      <c r="GR70" s="276"/>
      <c r="GS70" s="276"/>
      <c r="GT70" s="276"/>
      <c r="GV70" s="294"/>
      <c r="GW70" s="294"/>
      <c r="GX70" s="294"/>
      <c r="GZ70" s="294"/>
      <c r="HA70" s="294"/>
      <c r="HB70" s="276"/>
      <c r="HC70" s="276"/>
      <c r="HD70" s="276"/>
      <c r="HF70" s="294"/>
      <c r="HG70" s="294"/>
      <c r="HH70" s="294"/>
      <c r="HJ70" s="294"/>
      <c r="HK70" s="294"/>
      <c r="HL70" s="276"/>
      <c r="HM70" s="276"/>
      <c r="HN70" s="276"/>
      <c r="HP70" s="294"/>
      <c r="HQ70" s="294"/>
      <c r="HR70" s="276"/>
      <c r="HT70" s="294"/>
      <c r="HU70" s="294"/>
      <c r="HV70" s="294"/>
      <c r="HX70" s="294"/>
      <c r="HY70" s="294"/>
      <c r="HZ70" s="276"/>
      <c r="IA70" s="276"/>
      <c r="IB70" s="276"/>
      <c r="ID70" s="294"/>
      <c r="IE70" s="294"/>
      <c r="IF70" s="294"/>
      <c r="IG70" s="276"/>
      <c r="II70" s="294"/>
      <c r="IJ70" s="294"/>
      <c r="IK70" s="276"/>
      <c r="IL70" s="276"/>
      <c r="IM70" s="276"/>
      <c r="IN70" s="308"/>
      <c r="IO70" s="308"/>
      <c r="IP70" s="308"/>
      <c r="IQ70" s="294"/>
      <c r="IR70" s="294"/>
      <c r="IS70" s="294"/>
      <c r="IW70" s="276"/>
      <c r="IX70" s="294"/>
      <c r="IY70" s="444"/>
      <c r="JB70" s="294"/>
    </row>
    <row r="71" spans="2:267" ht="15.75" hidden="1" customHeight="1">
      <c r="B71" s="276" t="s">
        <v>347</v>
      </c>
      <c r="C71" s="276"/>
      <c r="D71" s="294"/>
      <c r="E71" s="317"/>
      <c r="F71" s="294"/>
      <c r="G71" s="276"/>
      <c r="H71" s="294"/>
      <c r="I71" s="317"/>
      <c r="J71" s="294"/>
      <c r="K71" s="276"/>
      <c r="L71" s="276" t="s">
        <v>347</v>
      </c>
      <c r="M71" s="276"/>
      <c r="N71" s="303"/>
      <c r="O71" s="294"/>
      <c r="P71" s="294"/>
      <c r="Q71" s="276"/>
      <c r="R71" s="294"/>
      <c r="S71" s="317"/>
      <c r="T71" s="294"/>
      <c r="U71" s="276"/>
      <c r="V71" s="276" t="s">
        <v>347</v>
      </c>
      <c r="W71" s="276"/>
      <c r="X71" s="294"/>
      <c r="Y71" s="317"/>
      <c r="Z71" s="294"/>
      <c r="AA71" s="276"/>
      <c r="AB71" s="294"/>
      <c r="AC71" s="317"/>
      <c r="AD71" s="294"/>
      <c r="AE71" s="294"/>
      <c r="AF71" s="276" t="s">
        <v>347</v>
      </c>
      <c r="AG71" s="276"/>
      <c r="AH71" s="294"/>
      <c r="AI71" s="317"/>
      <c r="AJ71" s="294"/>
      <c r="AK71" s="276"/>
      <c r="AL71" s="294"/>
      <c r="AM71" s="317"/>
      <c r="AN71" s="294"/>
      <c r="AO71" s="294"/>
      <c r="AP71" s="276" t="s">
        <v>347</v>
      </c>
      <c r="AQ71" s="276"/>
      <c r="AR71" s="294"/>
      <c r="AS71" s="317"/>
      <c r="AT71" s="294"/>
      <c r="AU71" s="276"/>
      <c r="AW71" s="317"/>
      <c r="AX71" s="294"/>
      <c r="AY71" s="294"/>
      <c r="AZ71" s="276" t="s">
        <v>347</v>
      </c>
      <c r="BA71" s="276"/>
      <c r="BC71" s="317"/>
      <c r="BD71" s="294"/>
      <c r="BE71" s="276"/>
      <c r="BF71" s="294"/>
      <c r="BG71" s="294"/>
      <c r="BH71" s="294"/>
      <c r="BI71" s="276"/>
      <c r="BK71" s="317"/>
      <c r="BL71" s="294"/>
      <c r="BM71" s="294"/>
      <c r="BN71" s="276" t="s">
        <v>347</v>
      </c>
      <c r="BO71" s="294"/>
      <c r="BQ71" s="317"/>
      <c r="BR71" s="294"/>
      <c r="BS71" s="294"/>
      <c r="BU71" s="317"/>
      <c r="BV71" s="294"/>
      <c r="BW71" s="294"/>
      <c r="BX71" s="276" t="s">
        <v>347</v>
      </c>
      <c r="BY71" s="294"/>
      <c r="CA71" s="317"/>
      <c r="CB71" s="294"/>
      <c r="CC71" s="294"/>
      <c r="CE71" s="317"/>
      <c r="CF71" s="294"/>
      <c r="CG71" s="294"/>
      <c r="CH71" s="276" t="s">
        <v>347</v>
      </c>
      <c r="CI71" s="276"/>
      <c r="CK71" s="317"/>
      <c r="CL71" s="294"/>
      <c r="CM71" s="276"/>
      <c r="CO71" s="317"/>
      <c r="CP71" s="294"/>
      <c r="CQ71" s="294"/>
      <c r="CR71" s="276" t="s">
        <v>347</v>
      </c>
      <c r="CS71" s="276"/>
      <c r="CU71" s="317"/>
      <c r="CV71" s="294"/>
      <c r="CW71" s="276"/>
      <c r="CY71" s="317"/>
      <c r="CZ71" s="294"/>
      <c r="DA71" s="294"/>
      <c r="DB71" s="276" t="s">
        <v>347</v>
      </c>
      <c r="DC71" s="276"/>
      <c r="DE71" s="317"/>
      <c r="DF71" s="294"/>
      <c r="DG71" s="276"/>
      <c r="DI71" s="317"/>
      <c r="DJ71" s="294"/>
      <c r="DK71" s="276"/>
      <c r="DL71" s="276" t="s">
        <v>347</v>
      </c>
      <c r="DM71" s="276"/>
      <c r="DO71" s="317"/>
      <c r="DP71" s="294"/>
      <c r="DQ71" s="276"/>
      <c r="DS71" s="317"/>
      <c r="DT71" s="294"/>
      <c r="DU71" s="276"/>
      <c r="DV71" s="276" t="s">
        <v>347</v>
      </c>
      <c r="DW71" s="276"/>
      <c r="DY71" s="317"/>
      <c r="DZ71" s="294"/>
      <c r="EA71" s="276"/>
      <c r="EC71" s="317"/>
      <c r="ED71" s="294"/>
      <c r="EE71" s="276"/>
      <c r="EF71" s="276" t="s">
        <v>347</v>
      </c>
      <c r="EG71" s="276"/>
      <c r="EI71" s="317"/>
      <c r="EJ71" s="294"/>
      <c r="EK71" s="276"/>
      <c r="EM71" s="317"/>
      <c r="EN71" s="294"/>
      <c r="EO71" s="276"/>
      <c r="EP71" s="276" t="s">
        <v>347</v>
      </c>
      <c r="EQ71" s="276"/>
      <c r="ES71" s="317"/>
      <c r="ET71" s="294"/>
      <c r="EU71" s="276"/>
      <c r="EW71" s="317"/>
      <c r="EX71" s="294"/>
      <c r="EY71" s="276"/>
      <c r="EZ71" s="276" t="s">
        <v>347</v>
      </c>
      <c r="FA71" s="276"/>
      <c r="FC71" s="317"/>
      <c r="FD71" s="294"/>
      <c r="FE71" s="276"/>
      <c r="FG71" s="317"/>
      <c r="FH71" s="294"/>
      <c r="FI71" s="276"/>
      <c r="FJ71" s="276" t="s">
        <v>347</v>
      </c>
      <c r="FK71" s="276"/>
      <c r="FM71" s="317"/>
      <c r="FN71" s="294"/>
      <c r="FO71" s="276"/>
      <c r="FQ71" s="317"/>
      <c r="FR71" s="294"/>
      <c r="FS71" s="276"/>
      <c r="FT71" s="276" t="s">
        <v>347</v>
      </c>
      <c r="FU71" s="276"/>
      <c r="FW71" s="317"/>
      <c r="FX71" s="294"/>
      <c r="FY71" s="276"/>
      <c r="GA71" s="317"/>
      <c r="GB71" s="294"/>
      <c r="GC71" s="276"/>
      <c r="GE71" s="317"/>
      <c r="GF71" s="294"/>
      <c r="GG71" s="276"/>
      <c r="GH71" s="276" t="s">
        <v>347</v>
      </c>
      <c r="GI71" s="276"/>
      <c r="GJ71" s="288"/>
      <c r="GK71" s="317"/>
      <c r="GL71" s="294"/>
      <c r="GN71" s="276"/>
      <c r="GP71" s="317"/>
      <c r="GQ71" s="294"/>
      <c r="GR71" s="276"/>
      <c r="GS71" s="276" t="s">
        <v>347</v>
      </c>
      <c r="GT71" s="276"/>
      <c r="GV71" s="317"/>
      <c r="GW71" s="294"/>
      <c r="GX71" s="294"/>
      <c r="GZ71" s="317"/>
      <c r="HA71" s="294"/>
      <c r="HB71" s="276"/>
      <c r="HC71" s="276" t="s">
        <v>347</v>
      </c>
      <c r="HD71" s="276"/>
      <c r="HF71" s="317"/>
      <c r="HG71" s="294"/>
      <c r="HH71" s="294"/>
      <c r="HJ71" s="317"/>
      <c r="HK71" s="294"/>
      <c r="HL71" s="276"/>
      <c r="HM71" s="276" t="s">
        <v>347</v>
      </c>
      <c r="HN71" s="276"/>
      <c r="HP71" s="317"/>
      <c r="HQ71" s="294"/>
      <c r="HR71" s="276"/>
      <c r="HT71" s="317"/>
      <c r="HU71" s="294"/>
      <c r="HV71" s="294"/>
      <c r="HX71" s="317"/>
      <c r="HY71" s="294"/>
      <c r="HZ71" s="276"/>
      <c r="IA71" s="276" t="s">
        <v>347</v>
      </c>
      <c r="IB71" s="276"/>
      <c r="ID71" s="317"/>
      <c r="IE71" s="294"/>
      <c r="IF71" s="294"/>
      <c r="IG71" s="276"/>
      <c r="II71" s="317"/>
      <c r="IJ71" s="294"/>
      <c r="IK71" s="276"/>
      <c r="IL71" s="276" t="s">
        <v>347</v>
      </c>
      <c r="IM71" s="276"/>
      <c r="IN71" s="308"/>
      <c r="IO71" s="308"/>
      <c r="IP71" s="308"/>
      <c r="IQ71" s="294"/>
      <c r="IR71" s="294"/>
      <c r="IS71" s="294"/>
      <c r="IW71" s="276"/>
      <c r="IX71" s="294"/>
      <c r="IY71" s="444"/>
      <c r="JB71" s="317"/>
    </row>
    <row r="72" spans="2:267" ht="15.75">
      <c r="B72" s="276"/>
      <c r="C72" s="276"/>
      <c r="D72" s="294"/>
      <c r="E72" s="294"/>
      <c r="F72" s="294"/>
      <c r="G72" s="276"/>
      <c r="H72" s="294"/>
      <c r="I72" s="294"/>
      <c r="J72" s="294"/>
      <c r="K72" s="276"/>
      <c r="L72" s="276"/>
      <c r="M72" s="276"/>
      <c r="N72" s="303"/>
      <c r="O72" s="303"/>
      <c r="P72" s="294"/>
      <c r="Q72" s="276"/>
      <c r="R72" s="294"/>
      <c r="S72" s="294"/>
      <c r="T72" s="294"/>
      <c r="U72" s="276"/>
      <c r="V72" s="276"/>
      <c r="W72" s="276"/>
      <c r="X72" s="294"/>
      <c r="Y72" s="294"/>
      <c r="Z72" s="294"/>
      <c r="AA72" s="276"/>
      <c r="AB72" s="294"/>
      <c r="AC72" s="294"/>
      <c r="AD72" s="294"/>
      <c r="AE72" s="294"/>
      <c r="AF72" s="276"/>
      <c r="AG72" s="276"/>
      <c r="AH72" s="294"/>
      <c r="AI72" s="294"/>
      <c r="AJ72" s="294"/>
      <c r="AK72" s="276"/>
      <c r="AL72" s="294"/>
      <c r="AM72" s="294"/>
      <c r="AN72" s="294"/>
      <c r="AO72" s="294"/>
      <c r="AP72" s="276"/>
      <c r="AQ72" s="276"/>
      <c r="AR72" s="294"/>
      <c r="AS72" s="294"/>
      <c r="AT72" s="294"/>
      <c r="AU72" s="276"/>
      <c r="AW72" s="294"/>
      <c r="AX72" s="294"/>
      <c r="AY72" s="294"/>
      <c r="AZ72" s="276"/>
      <c r="BA72" s="276"/>
      <c r="BC72" s="294"/>
      <c r="BD72" s="294"/>
      <c r="BE72" s="276"/>
      <c r="BF72" s="294"/>
      <c r="BG72" s="294"/>
      <c r="BH72" s="294"/>
      <c r="BI72" s="276"/>
      <c r="BK72" s="294"/>
      <c r="BL72" s="294"/>
      <c r="BM72" s="294"/>
      <c r="BN72" s="276"/>
      <c r="BO72" s="294"/>
      <c r="BQ72" s="294"/>
      <c r="BR72" s="294"/>
      <c r="BS72" s="294"/>
      <c r="BU72" s="294"/>
      <c r="BV72" s="294"/>
      <c r="BW72" s="294"/>
      <c r="BX72" s="276"/>
      <c r="BY72" s="294"/>
      <c r="CA72" s="294"/>
      <c r="CB72" s="294"/>
      <c r="CC72" s="294"/>
      <c r="CE72" s="294"/>
      <c r="CF72" s="294"/>
      <c r="CG72" s="294"/>
      <c r="CH72" s="276"/>
      <c r="CI72" s="276"/>
      <c r="CK72" s="294"/>
      <c r="CL72" s="294"/>
      <c r="CM72" s="276"/>
      <c r="CO72" s="294"/>
      <c r="CP72" s="294"/>
      <c r="CQ72" s="294"/>
      <c r="CR72" s="276"/>
      <c r="CS72" s="276"/>
      <c r="CU72" s="294"/>
      <c r="CV72" s="294"/>
      <c r="CW72" s="276"/>
      <c r="CY72" s="294"/>
      <c r="CZ72" s="294"/>
      <c r="DA72" s="294"/>
      <c r="DB72" s="276"/>
      <c r="DC72" s="276"/>
      <c r="DE72" s="294"/>
      <c r="DF72" s="294"/>
      <c r="DG72" s="276"/>
      <c r="DI72" s="294"/>
      <c r="DJ72" s="294"/>
      <c r="DK72" s="276"/>
      <c r="DL72" s="276"/>
      <c r="DM72" s="276"/>
      <c r="DO72" s="294"/>
      <c r="DP72" s="294"/>
      <c r="DQ72" s="276"/>
      <c r="DS72" s="294"/>
      <c r="DT72" s="294"/>
      <c r="DU72" s="276"/>
      <c r="DV72" s="276"/>
      <c r="DW72" s="276"/>
      <c r="DY72" s="294"/>
      <c r="DZ72" s="294"/>
      <c r="EA72" s="276"/>
      <c r="EC72" s="294"/>
      <c r="ED72" s="294"/>
      <c r="EE72" s="276"/>
      <c r="EF72" s="276"/>
      <c r="EG72" s="276"/>
      <c r="EI72" s="294"/>
      <c r="EJ72" s="294"/>
      <c r="EK72" s="276"/>
      <c r="EM72" s="294"/>
      <c r="EN72" s="294"/>
      <c r="EO72" s="276"/>
      <c r="EP72" s="276"/>
      <c r="EQ72" s="276"/>
      <c r="ES72" s="294"/>
      <c r="ET72" s="294"/>
      <c r="EU72" s="276"/>
      <c r="EW72" s="294"/>
      <c r="EX72" s="294"/>
      <c r="EY72" s="276"/>
      <c r="EZ72" s="276"/>
      <c r="FA72" s="276"/>
      <c r="FC72" s="294"/>
      <c r="FD72" s="294"/>
      <c r="FE72" s="276"/>
      <c r="FG72" s="294"/>
      <c r="FH72" s="294"/>
      <c r="FI72" s="276"/>
      <c r="FJ72" s="276"/>
      <c r="FK72" s="276"/>
      <c r="FM72" s="294"/>
      <c r="FN72" s="294"/>
      <c r="FO72" s="276"/>
      <c r="FQ72" s="294"/>
      <c r="FR72" s="294"/>
      <c r="FS72" s="276"/>
      <c r="FT72" s="276"/>
      <c r="FU72" s="276"/>
      <c r="FW72" s="294"/>
      <c r="FX72" s="294"/>
      <c r="FY72" s="276"/>
      <c r="GA72" s="294"/>
      <c r="GB72" s="294"/>
      <c r="GC72" s="276"/>
      <c r="GE72" s="294"/>
      <c r="GF72" s="294"/>
      <c r="GG72" s="276"/>
      <c r="GH72" s="276"/>
      <c r="GI72" s="276"/>
      <c r="GJ72" s="288"/>
      <c r="GK72" s="294"/>
      <c r="GL72" s="294"/>
      <c r="GN72" s="276"/>
      <c r="GP72" s="294"/>
      <c r="GQ72" s="294"/>
      <c r="GR72" s="276"/>
      <c r="GS72" s="276"/>
      <c r="GT72" s="276"/>
      <c r="GV72" s="294"/>
      <c r="GW72" s="294"/>
      <c r="GX72" s="294"/>
      <c r="GZ72" s="294"/>
      <c r="HA72" s="294"/>
      <c r="HB72" s="276"/>
      <c r="HC72" s="276"/>
      <c r="HD72" s="276"/>
      <c r="HF72" s="294"/>
      <c r="HG72" s="294"/>
      <c r="HH72" s="294"/>
      <c r="HJ72" s="294"/>
      <c r="HK72" s="294"/>
      <c r="HL72" s="276"/>
      <c r="HM72" s="276"/>
      <c r="HN72" s="276"/>
      <c r="HP72" s="294"/>
      <c r="HQ72" s="294"/>
      <c r="HR72" s="276"/>
      <c r="HT72" s="294"/>
      <c r="HU72" s="294"/>
      <c r="HV72" s="294"/>
      <c r="HX72" s="294"/>
      <c r="HY72" s="294"/>
      <c r="HZ72" s="276"/>
      <c r="IA72" s="276"/>
      <c r="IB72" s="276"/>
      <c r="ID72" s="294"/>
      <c r="IE72" s="294"/>
      <c r="IF72" s="294"/>
      <c r="IG72" s="276"/>
      <c r="II72" s="294"/>
      <c r="IJ72" s="294"/>
      <c r="IK72" s="276"/>
      <c r="IL72" s="276"/>
      <c r="IM72" s="276"/>
      <c r="IN72" s="308"/>
      <c r="IO72" s="308"/>
      <c r="IP72" s="308"/>
      <c r="IQ72" s="294"/>
      <c r="IR72" s="294"/>
      <c r="IS72" s="294"/>
      <c r="IW72" s="276"/>
      <c r="IX72" s="294"/>
      <c r="JB72" s="294"/>
      <c r="JE72" s="288">
        <f>SUM(D72:IG72)</f>
        <v>0</v>
      </c>
      <c r="JF72" s="288">
        <f>SUM(IH72:IJ72)</f>
        <v>0</v>
      </c>
      <c r="JG72" s="288">
        <f>+JF72-JE72</f>
        <v>0</v>
      </c>
    </row>
    <row r="73" spans="2:267" ht="16.5" thickBot="1">
      <c r="B73" s="276" t="s">
        <v>1256</v>
      </c>
      <c r="C73" s="276"/>
      <c r="D73" s="294"/>
      <c r="E73" s="302">
        <f>SUM(E61+E69+E71)</f>
        <v>-172932</v>
      </c>
      <c r="F73" s="294"/>
      <c r="G73" s="276"/>
      <c r="H73" s="294"/>
      <c r="I73" s="302">
        <f>SUM(I61+I69+I71)</f>
        <v>3692</v>
      </c>
      <c r="J73" s="294"/>
      <c r="K73" s="276"/>
      <c r="L73" s="276" t="s">
        <v>1256</v>
      </c>
      <c r="M73" s="276"/>
      <c r="N73" s="303"/>
      <c r="O73" s="302">
        <f>IF(SUM(O61+O69+O71)&lt;&gt;0,SUM(O61+O69+O71),"-  ")</f>
        <v>73809</v>
      </c>
      <c r="P73" s="294"/>
      <c r="Q73" s="276"/>
      <c r="R73" s="294"/>
      <c r="S73" s="302">
        <f>SUM(S61+S69+S71)</f>
        <v>357347</v>
      </c>
      <c r="T73" s="294"/>
      <c r="U73" s="276"/>
      <c r="V73" s="276" t="s">
        <v>1256</v>
      </c>
      <c r="W73" s="276"/>
      <c r="X73" s="294"/>
      <c r="Y73" s="302">
        <f>SUM(Y61+Y69+Y71)</f>
        <v>71683</v>
      </c>
      <c r="Z73" s="294"/>
      <c r="AA73" s="276"/>
      <c r="AB73" s="294"/>
      <c r="AC73" s="302">
        <f>SUM(AC61+AC69+AC71)</f>
        <v>1721516</v>
      </c>
      <c r="AD73" s="294"/>
      <c r="AE73" s="294"/>
      <c r="AF73" s="276" t="s">
        <v>1256</v>
      </c>
      <c r="AG73" s="276"/>
      <c r="AH73" s="294"/>
      <c r="AI73" s="302">
        <f>SUM(AI61+AI69+AI71)</f>
        <v>1303</v>
      </c>
      <c r="AJ73" s="294"/>
      <c r="AK73" s="276"/>
      <c r="AL73" s="294"/>
      <c r="AM73" s="302">
        <f>SUM(AM61+AM69+AM71)</f>
        <v>21640</v>
      </c>
      <c r="AN73" s="294"/>
      <c r="AO73" s="294"/>
      <c r="AP73" s="276" t="s">
        <v>1256</v>
      </c>
      <c r="AQ73" s="276"/>
      <c r="AR73" s="294"/>
      <c r="AS73" s="302">
        <f>SUM(AS61+AS69+AS71)</f>
        <v>672067</v>
      </c>
      <c r="AT73" s="294"/>
      <c r="AU73" s="276"/>
      <c r="AW73" s="302">
        <f>SUM(AW61+AW69+AW71)</f>
        <v>84305</v>
      </c>
      <c r="AX73" s="294"/>
      <c r="AY73" s="294"/>
      <c r="AZ73" s="276" t="s">
        <v>1256</v>
      </c>
      <c r="BA73" s="276"/>
      <c r="BC73" s="302">
        <f>SUM(BC61+BC69+BC71)</f>
        <v>60405</v>
      </c>
      <c r="BD73" s="294"/>
      <c r="BE73" s="276"/>
      <c r="BF73" s="294"/>
      <c r="BG73" s="294"/>
      <c r="BH73" s="294"/>
      <c r="BI73" s="276"/>
      <c r="BK73" s="302">
        <f>SUM(BK61+BK69+BK71)</f>
        <v>185629</v>
      </c>
      <c r="BL73" s="294"/>
      <c r="BM73" s="294"/>
      <c r="BN73" s="276" t="s">
        <v>1256</v>
      </c>
      <c r="BO73" s="294"/>
      <c r="BQ73" s="302">
        <f>SUM(BQ61+BQ69+BQ71)</f>
        <v>380215</v>
      </c>
      <c r="BR73" s="294"/>
      <c r="BS73" s="294"/>
      <c r="BU73" s="302">
        <f>SUM(BU61+BU69+BU71)</f>
        <v>1058146</v>
      </c>
      <c r="BV73" s="294"/>
      <c r="BW73" s="294"/>
      <c r="BX73" s="276" t="s">
        <v>1256</v>
      </c>
      <c r="BY73" s="294"/>
      <c r="CA73" s="302">
        <f>SUM(CA61+CA69+CA71)</f>
        <v>308</v>
      </c>
      <c r="CB73" s="294"/>
      <c r="CC73" s="294"/>
      <c r="CE73" s="302">
        <f>SUM(CE61+CE69+CE71)</f>
        <v>611023</v>
      </c>
      <c r="CF73" s="294"/>
      <c r="CG73" s="294"/>
      <c r="CH73" s="276" t="s">
        <v>1256</v>
      </c>
      <c r="CI73" s="276"/>
      <c r="CK73" s="302">
        <f>SUM(CK61+CK69+CK71)</f>
        <v>2517</v>
      </c>
      <c r="CL73" s="294"/>
      <c r="CM73" s="276"/>
      <c r="CO73" s="302">
        <f>SUM(CO61+CO69+CO71)</f>
        <v>255076</v>
      </c>
      <c r="CP73" s="294"/>
      <c r="CQ73" s="294"/>
      <c r="CR73" s="276" t="s">
        <v>1256</v>
      </c>
      <c r="CS73" s="276"/>
      <c r="CU73" s="302">
        <f>SUM(CU61+CU69+CU71)</f>
        <v>35779</v>
      </c>
      <c r="CV73" s="294"/>
      <c r="CW73" s="276"/>
      <c r="CY73" s="302">
        <f>SUM(CY61+CY69+CY71)</f>
        <v>107003</v>
      </c>
      <c r="CZ73" s="294"/>
      <c r="DA73" s="294"/>
      <c r="DB73" s="276" t="s">
        <v>1256</v>
      </c>
      <c r="DC73" s="276"/>
      <c r="DE73" s="302">
        <f>SUM(DE61+DE69+DE71)</f>
        <v>100039</v>
      </c>
      <c r="DF73" s="294"/>
      <c r="DG73" s="276"/>
      <c r="DI73" s="302">
        <f>SUM(DI61+DI69+DI71)</f>
        <v>1667779</v>
      </c>
      <c r="DJ73" s="294"/>
      <c r="DK73" s="276"/>
      <c r="DL73" s="276" t="s">
        <v>1256</v>
      </c>
      <c r="DM73" s="276"/>
      <c r="DO73" s="302">
        <f>SUM(DO61+DO69+DO71)</f>
        <v>238913</v>
      </c>
      <c r="DP73" s="294"/>
      <c r="DQ73" s="276"/>
      <c r="DS73" s="302">
        <f>SUM(DS61+DS69+DS71)</f>
        <v>28133</v>
      </c>
      <c r="DT73" s="294"/>
      <c r="DU73" s="276"/>
      <c r="DV73" s="276" t="s">
        <v>1256</v>
      </c>
      <c r="DW73" s="276"/>
      <c r="DY73" s="302">
        <f>SUM(DY61+DY69+DY71)</f>
        <v>82435</v>
      </c>
      <c r="DZ73" s="294"/>
      <c r="EA73" s="276"/>
      <c r="EC73" s="302">
        <f>SUM(EC61+EC69+EC71)</f>
        <v>21202</v>
      </c>
      <c r="ED73" s="294"/>
      <c r="EE73" s="276"/>
      <c r="EF73" s="276" t="s">
        <v>1256</v>
      </c>
      <c r="EG73" s="276"/>
      <c r="EI73" s="302">
        <f>SUM(EI61+EI69+EI71)</f>
        <v>422641</v>
      </c>
      <c r="EJ73" s="294"/>
      <c r="EK73" s="276"/>
      <c r="EM73" s="302">
        <f>SUM(EM61+EM69+EM71)</f>
        <v>253738</v>
      </c>
      <c r="EN73" s="294"/>
      <c r="EO73" s="276"/>
      <c r="EP73" s="276" t="s">
        <v>1256</v>
      </c>
      <c r="EQ73" s="276"/>
      <c r="ES73" s="302">
        <f>SUM(ES61+ES69+ES71)</f>
        <v>21826</v>
      </c>
      <c r="ET73" s="294"/>
      <c r="EU73" s="276"/>
      <c r="EW73" s="302">
        <f>SUM(EW61+EW69+EW71)</f>
        <v>62464</v>
      </c>
      <c r="EX73" s="294"/>
      <c r="EY73" s="276"/>
      <c r="EZ73" s="276" t="s">
        <v>1256</v>
      </c>
      <c r="FA73" s="276"/>
      <c r="FC73" s="302">
        <f>SUM(FC61+FC69+FC71)</f>
        <v>5768</v>
      </c>
      <c r="FD73" s="294"/>
      <c r="FE73" s="276"/>
      <c r="FG73" s="302">
        <f>SUM(FG61+FG69+FG71)</f>
        <v>35534</v>
      </c>
      <c r="FH73" s="294"/>
      <c r="FI73" s="276"/>
      <c r="FJ73" s="276" t="s">
        <v>1256</v>
      </c>
      <c r="FK73" s="276"/>
      <c r="FM73" s="302">
        <f>SUM(FM61+FM69+FM71)</f>
        <v>39899</v>
      </c>
      <c r="FN73" s="294"/>
      <c r="FO73" s="276"/>
      <c r="FQ73" s="302">
        <f>SUM(FQ61+FQ69+FQ71)</f>
        <v>168446</v>
      </c>
      <c r="FR73" s="294"/>
      <c r="FS73" s="276"/>
      <c r="FT73" s="276" t="s">
        <v>1256</v>
      </c>
      <c r="FU73" s="276"/>
      <c r="FW73" s="302">
        <f>SUM(FW61+FW69+FW71)</f>
        <v>0</v>
      </c>
      <c r="FX73" s="294"/>
      <c r="FY73" s="276"/>
      <c r="GA73" s="302">
        <f>SUM(GA61+GA69+GA71)</f>
        <v>1675727</v>
      </c>
      <c r="GB73" s="294"/>
      <c r="GC73" s="276"/>
      <c r="GE73" s="302">
        <f>SUM(GE61+GE69+GE71)</f>
        <v>872198</v>
      </c>
      <c r="GF73" s="294"/>
      <c r="GG73" s="276"/>
      <c r="GH73" s="276" t="s">
        <v>1256</v>
      </c>
      <c r="GI73" s="276"/>
      <c r="GJ73" s="288"/>
      <c r="GK73" s="302">
        <f>SUM(GK61+GK69+GK71)</f>
        <v>0</v>
      </c>
      <c r="GL73" s="294"/>
      <c r="GN73" s="276"/>
      <c r="GP73" s="302">
        <f>SUM(GP61+GP69+GP71)</f>
        <v>96879</v>
      </c>
      <c r="GQ73" s="294"/>
      <c r="GR73" s="276"/>
      <c r="GS73" s="276" t="s">
        <v>1256</v>
      </c>
      <c r="GT73" s="276"/>
      <c r="GV73" s="302">
        <f>SUM(GV61+GV69+GV71)</f>
        <v>656704</v>
      </c>
      <c r="GW73" s="294"/>
      <c r="GX73" s="294"/>
      <c r="GZ73" s="302">
        <f>SUM(GZ61+GZ69+GZ71)</f>
        <v>-62477</v>
      </c>
      <c r="HA73" s="294"/>
      <c r="HB73" s="276"/>
      <c r="HC73" s="276" t="s">
        <v>1256</v>
      </c>
      <c r="HD73" s="276"/>
      <c r="HF73" s="302">
        <f>SUM(HF61+HF69+HF71)</f>
        <v>-22045</v>
      </c>
      <c r="HG73" s="294"/>
      <c r="HH73" s="294"/>
      <c r="HJ73" s="302">
        <f>SUM(HJ61+HJ69+HJ71)</f>
        <v>-11972</v>
      </c>
      <c r="HK73" s="294"/>
      <c r="HL73" s="276"/>
      <c r="HM73" s="276" t="s">
        <v>1256</v>
      </c>
      <c r="HN73" s="276"/>
      <c r="HP73" s="302">
        <f>SUM(HP61+HP69+HP71)</f>
        <v>0</v>
      </c>
      <c r="HQ73" s="294"/>
      <c r="HR73" s="276"/>
      <c r="HT73" s="302">
        <f>SUM(HT61+HT69+HT71)</f>
        <v>0</v>
      </c>
      <c r="HU73" s="294"/>
      <c r="HV73" s="294"/>
      <c r="HX73" s="302">
        <f>SUM(HX61+HX69+HX71)</f>
        <v>17572</v>
      </c>
      <c r="HY73" s="294"/>
      <c r="HZ73" s="276"/>
      <c r="IA73" s="276" t="s">
        <v>1256</v>
      </c>
      <c r="IB73" s="276"/>
      <c r="ID73" s="302">
        <f>SUM(ID61+ID69+ID71)</f>
        <v>-8728</v>
      </c>
      <c r="IE73" s="294"/>
      <c r="IF73" s="294"/>
      <c r="IG73" s="276"/>
      <c r="II73" s="302">
        <f>SUM(II61+II69+II71)</f>
        <v>11893206</v>
      </c>
      <c r="IJ73" s="294"/>
      <c r="IK73" s="276"/>
      <c r="IL73" s="276" t="s">
        <v>1256</v>
      </c>
      <c r="IM73" s="276"/>
      <c r="IN73" s="308"/>
      <c r="IO73" s="308"/>
      <c r="IP73" s="308"/>
      <c r="IQ73" s="294"/>
      <c r="IR73" s="294"/>
      <c r="IS73" s="294"/>
      <c r="IW73" s="276"/>
      <c r="IX73" s="294"/>
      <c r="IY73" s="460" t="s">
        <v>3027</v>
      </c>
      <c r="JB73" s="302">
        <f>SUM(JB61+JB69+JB71)</f>
        <v>0</v>
      </c>
    </row>
    <row r="74" spans="2:267" ht="16.5" thickTop="1">
      <c r="B74" s="276"/>
      <c r="C74" s="276"/>
      <c r="D74" s="303"/>
      <c r="E74" s="303"/>
      <c r="F74" s="303"/>
      <c r="G74" s="276"/>
      <c r="H74" s="303"/>
      <c r="I74" s="303"/>
      <c r="J74" s="303"/>
      <c r="K74" s="276"/>
      <c r="L74" s="276"/>
      <c r="M74" s="276"/>
      <c r="P74" s="303"/>
      <c r="Q74" s="276"/>
      <c r="R74" s="303"/>
      <c r="S74" s="303"/>
      <c r="T74" s="303"/>
      <c r="U74" s="276"/>
      <c r="V74" s="276"/>
      <c r="W74" s="276"/>
      <c r="X74" s="303"/>
      <c r="Y74" s="303"/>
      <c r="Z74" s="303"/>
      <c r="AA74" s="276"/>
      <c r="AB74" s="303"/>
      <c r="AC74" s="303"/>
      <c r="AD74" s="303"/>
      <c r="AE74" s="303"/>
      <c r="AF74" s="276"/>
      <c r="AG74" s="276"/>
      <c r="AH74" s="303"/>
      <c r="AI74" s="303"/>
      <c r="AJ74" s="303"/>
      <c r="AK74" s="276"/>
      <c r="AL74" s="303"/>
      <c r="AM74" s="303"/>
      <c r="AN74" s="303"/>
      <c r="AO74" s="303"/>
      <c r="AP74" s="276"/>
      <c r="AQ74" s="276"/>
      <c r="AR74" s="303"/>
      <c r="AS74" s="303"/>
      <c r="AT74" s="303"/>
      <c r="AU74" s="276"/>
      <c r="AW74" s="303"/>
      <c r="AY74" s="303"/>
      <c r="AZ74" s="276"/>
      <c r="BA74" s="276"/>
      <c r="BC74" s="303"/>
      <c r="BE74" s="276"/>
      <c r="BI74" s="276"/>
      <c r="BK74" s="303"/>
      <c r="BM74" s="303"/>
      <c r="BN74" s="276"/>
      <c r="BO74" s="303"/>
      <c r="BQ74" s="303"/>
      <c r="BS74" s="303"/>
      <c r="BU74" s="303"/>
      <c r="BW74" s="303"/>
      <c r="BX74" s="276"/>
      <c r="BY74" s="303"/>
      <c r="CA74" s="303"/>
      <c r="CC74" s="303"/>
      <c r="CE74" s="303"/>
      <c r="CG74" s="303"/>
      <c r="CH74" s="276"/>
      <c r="CI74" s="276"/>
      <c r="CK74" s="303"/>
      <c r="CM74" s="276"/>
      <c r="CO74" s="303"/>
      <c r="CQ74" s="303"/>
      <c r="CR74" s="276"/>
      <c r="CS74" s="276"/>
      <c r="CU74" s="303"/>
      <c r="CW74" s="276"/>
      <c r="CY74" s="303"/>
      <c r="DA74" s="303"/>
      <c r="DB74" s="276"/>
      <c r="DC74" s="276"/>
      <c r="DE74" s="303"/>
      <c r="DG74" s="276"/>
      <c r="DI74" s="303"/>
      <c r="DK74" s="276"/>
      <c r="DL74" s="276"/>
      <c r="DM74" s="276"/>
      <c r="DO74" s="303"/>
      <c r="DQ74" s="276"/>
      <c r="DS74" s="303"/>
      <c r="DU74" s="276"/>
      <c r="DV74" s="276"/>
      <c r="DW74" s="276"/>
      <c r="DY74" s="303"/>
      <c r="EA74" s="276"/>
      <c r="EC74" s="303"/>
      <c r="EE74" s="276"/>
      <c r="EF74" s="276"/>
      <c r="EG74" s="276"/>
      <c r="EI74" s="303"/>
      <c r="EK74" s="276"/>
      <c r="EM74" s="303"/>
      <c r="EO74" s="276"/>
      <c r="EP74" s="276"/>
      <c r="EQ74" s="276"/>
      <c r="ES74" s="303"/>
      <c r="EU74" s="276"/>
      <c r="EW74" s="303"/>
      <c r="EY74" s="276"/>
      <c r="EZ74" s="276"/>
      <c r="FA74" s="276"/>
      <c r="FC74" s="303"/>
      <c r="FE74" s="276"/>
      <c r="FG74" s="303"/>
      <c r="FI74" s="276"/>
      <c r="FJ74" s="276"/>
      <c r="FK74" s="276"/>
      <c r="FM74" s="303"/>
      <c r="FO74" s="276"/>
      <c r="FQ74" s="303"/>
      <c r="FS74" s="276"/>
      <c r="FT74" s="276"/>
      <c r="FU74" s="276"/>
      <c r="FW74" s="303"/>
      <c r="FY74" s="276"/>
      <c r="GA74" s="303"/>
      <c r="GC74" s="276"/>
      <c r="GG74" s="276"/>
      <c r="GH74" s="276"/>
      <c r="GI74" s="276"/>
      <c r="GJ74" s="288"/>
      <c r="GK74" s="303"/>
      <c r="GL74" s="288"/>
      <c r="GN74" s="276"/>
      <c r="GP74" s="303"/>
      <c r="GR74" s="276"/>
      <c r="GS74" s="276"/>
      <c r="GT74" s="276"/>
      <c r="GV74" s="303"/>
      <c r="GZ74" s="303"/>
      <c r="HB74" s="276"/>
      <c r="HC74" s="276"/>
      <c r="HD74" s="276"/>
      <c r="HF74" s="303"/>
      <c r="HJ74" s="303"/>
      <c r="HL74" s="276"/>
      <c r="HM74" s="276"/>
      <c r="HN74" s="276"/>
      <c r="HP74" s="303"/>
      <c r="HR74" s="276"/>
      <c r="HT74" s="303"/>
      <c r="HX74" s="303"/>
      <c r="HZ74" s="276"/>
      <c r="IA74" s="276"/>
      <c r="IB74" s="276"/>
      <c r="ID74" s="303"/>
      <c r="IG74" s="276"/>
      <c r="II74" s="303"/>
      <c r="IK74" s="276"/>
      <c r="IL74" s="276"/>
      <c r="IM74" s="276"/>
      <c r="IN74" s="308">
        <f>10048571+367856+160731+619479-517458</f>
        <v>10679179</v>
      </c>
      <c r="IO74" s="308"/>
      <c r="IP74" s="308"/>
      <c r="IW74" s="276"/>
      <c r="IY74" s="460" t="s">
        <v>3028</v>
      </c>
      <c r="JB74" s="303"/>
    </row>
    <row r="75" spans="2:267" ht="15.75">
      <c r="B75" s="276"/>
      <c r="C75" s="276"/>
      <c r="D75" s="303"/>
      <c r="E75" s="303"/>
      <c r="F75" s="303"/>
      <c r="G75" s="303"/>
      <c r="H75" s="303"/>
      <c r="I75" s="303"/>
      <c r="J75" s="303"/>
      <c r="K75" s="276"/>
      <c r="L75" s="276"/>
      <c r="M75" s="276"/>
      <c r="N75" s="294"/>
      <c r="O75" s="294"/>
      <c r="P75" s="303"/>
      <c r="Q75" s="303"/>
      <c r="R75" s="303"/>
      <c r="S75" s="303"/>
      <c r="T75" s="303"/>
      <c r="U75" s="276"/>
      <c r="V75" s="276"/>
      <c r="W75" s="303"/>
      <c r="X75" s="303"/>
      <c r="Y75" s="303"/>
      <c r="Z75" s="303"/>
      <c r="AA75" s="303"/>
      <c r="AB75" s="303"/>
      <c r="AC75" s="303"/>
      <c r="AD75" s="303"/>
      <c r="AE75" s="303"/>
      <c r="AF75" s="276"/>
      <c r="AG75" s="303"/>
      <c r="AH75" s="303"/>
      <c r="AI75" s="303"/>
      <c r="AJ75" s="303"/>
      <c r="AK75" s="303"/>
      <c r="AL75" s="303"/>
      <c r="AM75" s="303"/>
      <c r="AN75" s="303"/>
      <c r="AO75" s="303"/>
      <c r="AP75" s="276"/>
      <c r="AQ75" s="303"/>
      <c r="AR75" s="303"/>
      <c r="AS75" s="303"/>
      <c r="AT75" s="303"/>
      <c r="AU75" s="303"/>
      <c r="AW75" s="303"/>
      <c r="AY75" s="303"/>
      <c r="AZ75" s="276"/>
      <c r="BA75" s="303"/>
      <c r="BC75" s="303"/>
      <c r="BE75" s="303"/>
      <c r="BK75" s="303"/>
      <c r="BM75" s="303"/>
      <c r="BN75" s="276"/>
      <c r="BO75" s="303"/>
      <c r="BQ75" s="303"/>
      <c r="BS75" s="303"/>
      <c r="BU75" s="303"/>
      <c r="BW75" s="303"/>
      <c r="BX75" s="276"/>
      <c r="BY75" s="303"/>
      <c r="CA75" s="303"/>
      <c r="CC75" s="303"/>
      <c r="CE75" s="303"/>
      <c r="CG75" s="303"/>
      <c r="CH75" s="276"/>
      <c r="CK75" s="303"/>
      <c r="CO75" s="303"/>
      <c r="CQ75" s="303"/>
      <c r="CR75" s="276"/>
      <c r="CU75" s="303"/>
      <c r="CY75" s="303"/>
      <c r="DA75" s="303"/>
      <c r="DB75" s="276"/>
      <c r="DE75" s="303"/>
      <c r="DI75" s="303"/>
      <c r="DL75" s="276"/>
      <c r="DO75" s="303"/>
      <c r="DS75" s="303"/>
      <c r="DV75" s="276"/>
      <c r="DY75" s="303"/>
      <c r="EC75" s="303"/>
      <c r="EF75" s="276"/>
      <c r="EI75" s="303"/>
      <c r="EM75" s="303"/>
      <c r="EP75" s="276"/>
      <c r="ES75" s="303"/>
      <c r="EW75" s="303"/>
      <c r="EZ75" s="276"/>
      <c r="FC75" s="303"/>
      <c r="FG75" s="303"/>
      <c r="FJ75" s="276"/>
      <c r="FM75" s="303"/>
      <c r="FQ75" s="303"/>
      <c r="FT75" s="276"/>
      <c r="FW75" s="303"/>
      <c r="GA75" s="303"/>
      <c r="GH75" s="276"/>
      <c r="GI75" s="276"/>
      <c r="GP75" s="303"/>
      <c r="GS75" s="276"/>
      <c r="GV75" s="303"/>
      <c r="GZ75" s="303"/>
      <c r="HC75" s="276"/>
      <c r="HF75" s="303"/>
      <c r="HJ75" s="303"/>
      <c r="HM75" s="276"/>
      <c r="HP75" s="303"/>
      <c r="HT75" s="303"/>
      <c r="IA75" s="276"/>
      <c r="ID75" s="303"/>
      <c r="II75" s="288">
        <f>SUM(E73:IH73)</f>
        <v>11893206</v>
      </c>
      <c r="IL75" s="276"/>
      <c r="IN75" s="288">
        <f>11042943-363764</f>
        <v>10679179</v>
      </c>
      <c r="IO75" s="303"/>
      <c r="IY75" s="1063">
        <v>9230364</v>
      </c>
      <c r="IZ75" s="304">
        <f>+IY75-II63</f>
        <v>-818207</v>
      </c>
      <c r="JB75" s="303"/>
    </row>
    <row r="76" spans="2:267" ht="15.75">
      <c r="AC76" s="335" t="s">
        <v>231</v>
      </c>
      <c r="BK76" s="303"/>
      <c r="CE76" s="335" t="s">
        <v>231</v>
      </c>
      <c r="CU76" s="465"/>
      <c r="FT76" s="756" t="s">
        <v>1255</v>
      </c>
      <c r="FU76" s="757"/>
      <c r="FV76" s="757"/>
      <c r="FW76" s="757"/>
      <c r="II76" s="288">
        <f>+II73-II75</f>
        <v>0</v>
      </c>
      <c r="IY76" s="325" t="s">
        <v>3021</v>
      </c>
      <c r="IZ76" s="288" t="s">
        <v>3120</v>
      </c>
    </row>
    <row r="77" spans="2:267" ht="15.75">
      <c r="CE77" s="288" t="s">
        <v>1183</v>
      </c>
      <c r="FW77" s="391" t="s">
        <v>2609</v>
      </c>
      <c r="IY77" s="1064" t="s">
        <v>3116</v>
      </c>
      <c r="IZ77" s="288" t="s">
        <v>3121</v>
      </c>
    </row>
    <row r="78" spans="2:267">
      <c r="FW78" s="391" t="s">
        <v>2610</v>
      </c>
      <c r="ID78" s="288" t="s">
        <v>441</v>
      </c>
      <c r="II78" s="288" t="s">
        <v>441</v>
      </c>
    </row>
    <row r="79" spans="2:267">
      <c r="B79" s="520" t="s">
        <v>529</v>
      </c>
      <c r="C79" s="520"/>
      <c r="E79" s="520"/>
      <c r="K79" s="520"/>
      <c r="L79" s="520" t="s">
        <v>529</v>
      </c>
      <c r="M79" s="520"/>
      <c r="U79" s="520"/>
      <c r="V79" s="520"/>
      <c r="AF79" s="520"/>
      <c r="AP79" s="520"/>
      <c r="AZ79" s="520"/>
      <c r="BN79" s="520"/>
      <c r="BQ79" s="520" t="s">
        <v>340</v>
      </c>
      <c r="BX79" s="520"/>
      <c r="CE79" s="335" t="s">
        <v>152</v>
      </c>
      <c r="CH79" s="520"/>
      <c r="CK79" s="288" t="s">
        <v>341</v>
      </c>
      <c r="CR79" s="520"/>
      <c r="CU79" s="520" t="s">
        <v>439</v>
      </c>
      <c r="DB79" s="520"/>
      <c r="DE79" s="520" t="s">
        <v>1034</v>
      </c>
      <c r="DI79" s="520" t="s">
        <v>1034</v>
      </c>
      <c r="DL79" s="520"/>
      <c r="DO79" s="520" t="s">
        <v>442</v>
      </c>
      <c r="DV79" s="520"/>
      <c r="DY79" s="520" t="s">
        <v>341</v>
      </c>
      <c r="EF79" s="520"/>
      <c r="EI79" s="520" t="s">
        <v>579</v>
      </c>
      <c r="EP79" s="520"/>
      <c r="ES79" s="520" t="s">
        <v>1035</v>
      </c>
      <c r="EW79" s="520" t="s">
        <v>1035</v>
      </c>
      <c r="EZ79" s="520"/>
      <c r="FC79" s="520"/>
      <c r="FG79" s="520"/>
      <c r="FJ79" s="520"/>
      <c r="FM79" s="520"/>
      <c r="FQ79" s="520"/>
      <c r="FT79" s="520"/>
      <c r="FW79" s="520"/>
      <c r="GA79" s="520"/>
      <c r="GH79" s="520"/>
      <c r="GI79" s="520"/>
      <c r="GP79" s="520" t="s">
        <v>341</v>
      </c>
      <c r="GS79" s="520"/>
      <c r="HC79" s="520"/>
      <c r="HM79" s="520"/>
      <c r="IA79" s="520"/>
      <c r="IL79" s="520"/>
    </row>
    <row r="80" spans="2:267">
      <c r="E80" s="520" t="s">
        <v>529</v>
      </c>
      <c r="CE80" s="520" t="s">
        <v>439</v>
      </c>
    </row>
  </sheetData>
  <mergeCells count="2">
    <mergeCell ref="IH10:IJ10"/>
    <mergeCell ref="HS10:HU10"/>
  </mergeCells>
  <phoneticPr fontId="0" type="noConversion"/>
  <printOptions horizontalCentered="1"/>
  <pageMargins left="0.41" right="0.41" top="0.5" bottom="0.75" header="0.5" footer="0.25"/>
  <pageSetup scale="60" firstPageNumber="100" fitToHeight="0" orientation="portrait" useFirstPageNumber="1" r:id="rId1"/>
  <headerFooter alignWithMargins="0"/>
  <ignoredErrors>
    <ignoredError sqref="E59" formula="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codeName="Sheet31"/>
  <dimension ref="B3:AX73"/>
  <sheetViews>
    <sheetView showGridLines="0" topLeftCell="V1" zoomScale="70" zoomScaleNormal="70" workbookViewId="0">
      <selection activeCell="AR44" activeCellId="1" sqref="AR43 AR44"/>
    </sheetView>
  </sheetViews>
  <sheetFormatPr defaultColWidth="9.7109375" defaultRowHeight="12.75"/>
  <cols>
    <col min="1" max="1" width="2.7109375" style="288" customWidth="1"/>
    <col min="2" max="2" width="41.7109375" style="288" customWidth="1"/>
    <col min="3" max="4" width="16.7109375" style="288" customWidth="1"/>
    <col min="5" max="5" width="19.7109375" style="288" customWidth="1"/>
    <col min="6" max="6" width="1.7109375" style="288" customWidth="1"/>
    <col min="7" max="8" width="16.7109375" style="288" customWidth="1"/>
    <col min="9" max="9" width="22.140625" style="288" customWidth="1"/>
    <col min="10" max="10" width="1.7109375" style="288" customWidth="1"/>
    <col min="11" max="11" width="3" style="288" hidden="1" customWidth="1"/>
    <col min="12" max="12" width="41.7109375" style="288" customWidth="1"/>
    <col min="13" max="14" width="16.7109375" style="288" hidden="1" customWidth="1"/>
    <col min="15" max="15" width="18.7109375" style="288" hidden="1" customWidth="1"/>
    <col min="16" max="16" width="1.7109375" style="288" hidden="1" customWidth="1"/>
    <col min="17" max="18" width="16.7109375" style="288" customWidth="1"/>
    <col min="19" max="19" width="19.7109375" style="288" customWidth="1"/>
    <col min="20" max="20" width="1.7109375" style="288" customWidth="1"/>
    <col min="21" max="21" width="40.85546875" style="288" hidden="1" customWidth="1"/>
    <col min="22" max="23" width="16.7109375" style="288" customWidth="1"/>
    <col min="24" max="24" width="19.28515625" style="288" customWidth="1"/>
    <col min="25" max="25" width="1.7109375" style="288" customWidth="1"/>
    <col min="26" max="26" width="41.7109375" style="288" customWidth="1"/>
    <col min="27" max="27" width="3" style="288" hidden="1" customWidth="1"/>
    <col min="28" max="29" width="16.7109375" style="288" customWidth="1"/>
    <col min="30" max="30" width="19.7109375" style="288" customWidth="1"/>
    <col min="31" max="31" width="1.7109375" style="288" customWidth="1"/>
    <col min="32" max="32" width="22.5703125" style="288" hidden="1" customWidth="1"/>
    <col min="33" max="33" width="1.7109375" style="288" hidden="1" customWidth="1"/>
    <col min="34" max="35" width="16.7109375" style="288" customWidth="1"/>
    <col min="36" max="36" width="19.5703125" style="288" customWidth="1"/>
    <col min="37" max="37" width="1.7109375" style="288" customWidth="1"/>
    <col min="38" max="38" width="41.7109375" style="288" customWidth="1"/>
    <col min="39" max="39" width="16.7109375" style="288" customWidth="1"/>
    <col min="40" max="40" width="5.28515625" style="288" customWidth="1"/>
    <col min="41" max="41" width="16.7109375" style="288" customWidth="1"/>
    <col min="42" max="42" width="1.7109375" style="288" customWidth="1"/>
    <col min="43" max="44" width="16.7109375" style="288" customWidth="1"/>
    <col min="45" max="45" width="22.28515625" style="288" customWidth="1"/>
    <col min="46" max="46" width="1.7109375" style="288" customWidth="1"/>
    <col min="47" max="48" width="9.7109375" style="288"/>
    <col min="49" max="49" width="14.5703125" style="288" customWidth="1"/>
    <col min="50" max="16384" width="9.7109375" style="288"/>
  </cols>
  <sheetData>
    <row r="3" spans="2:50" ht="15.75">
      <c r="C3" s="305" t="s">
        <v>1049</v>
      </c>
      <c r="D3" s="277"/>
      <c r="E3" s="277"/>
      <c r="F3" s="277"/>
      <c r="G3" s="289"/>
      <c r="H3" s="277"/>
      <c r="N3" s="277"/>
      <c r="O3" s="277"/>
      <c r="P3" s="277"/>
      <c r="S3" s="305" t="str">
        <f>+C3</f>
        <v>LEWIS AND CLARK COUNTY, MONTANA</v>
      </c>
      <c r="Y3" s="287"/>
      <c r="AD3" s="305" t="s">
        <v>1049</v>
      </c>
      <c r="AO3" s="305" t="s">
        <v>1049</v>
      </c>
      <c r="AR3" s="277"/>
      <c r="AX3" s="289"/>
    </row>
    <row r="4" spans="2:50" ht="15.75">
      <c r="C4" s="305" t="s">
        <v>438</v>
      </c>
      <c r="D4" s="277"/>
      <c r="E4" s="277"/>
      <c r="F4" s="277"/>
      <c r="G4" s="289"/>
      <c r="H4" s="277"/>
      <c r="N4" s="277"/>
      <c r="O4" s="277"/>
      <c r="P4" s="277"/>
      <c r="S4" s="305" t="str">
        <f>+C4</f>
        <v>SCHEDULE OF REVENUES, EXPENDITURES AND CHANGES IN FUND BALANCE</v>
      </c>
      <c r="Y4" s="287"/>
      <c r="AD4" s="305" t="s">
        <v>438</v>
      </c>
      <c r="AO4" s="305" t="s">
        <v>438</v>
      </c>
      <c r="AR4" s="277"/>
      <c r="AX4" s="289"/>
    </row>
    <row r="5" spans="2:50" ht="15.75">
      <c r="C5" s="305" t="s">
        <v>1360</v>
      </c>
      <c r="D5" s="277"/>
      <c r="E5" s="277"/>
      <c r="F5" s="277"/>
      <c r="G5" s="289"/>
      <c r="H5" s="277"/>
      <c r="N5" s="277"/>
      <c r="O5" s="277"/>
      <c r="P5" s="277"/>
      <c r="S5" s="305" t="str">
        <f>+C5</f>
        <v>BUDGET AND ACTUAL (BUDGET BASIS)</v>
      </c>
      <c r="Y5" s="287"/>
      <c r="AD5" s="305" t="s">
        <v>1360</v>
      </c>
      <c r="AO5" s="305" t="s">
        <v>1360</v>
      </c>
      <c r="AR5" s="277"/>
      <c r="AX5" s="289"/>
    </row>
    <row r="6" spans="2:50" ht="15.75">
      <c r="C6" s="305" t="s">
        <v>251</v>
      </c>
      <c r="D6" s="277"/>
      <c r="E6" s="277"/>
      <c r="F6" s="277"/>
      <c r="G6" s="289"/>
      <c r="H6" s="277"/>
      <c r="N6" s="277"/>
      <c r="O6" s="277"/>
      <c r="P6" s="277"/>
      <c r="S6" s="305" t="str">
        <f>+C6</f>
        <v>DEBT SERVICE FUNDS</v>
      </c>
      <c r="Y6" s="287"/>
      <c r="AD6" s="305" t="s">
        <v>251</v>
      </c>
      <c r="AO6" s="305" t="s">
        <v>251</v>
      </c>
      <c r="AR6" s="277"/>
      <c r="AX6" s="289"/>
    </row>
    <row r="7" spans="2:50" ht="15.75">
      <c r="C7" s="395" t="str">
        <f>+'Sys INPUT'!B2</f>
        <v>For the  Fiscal Year Ended June 30, 2023</v>
      </c>
      <c r="D7" s="277"/>
      <c r="E7" s="277"/>
      <c r="F7" s="277"/>
      <c r="G7" s="289"/>
      <c r="H7" s="277"/>
      <c r="N7" s="277"/>
      <c r="O7" s="277"/>
      <c r="P7" s="277"/>
      <c r="S7" s="395" t="str">
        <f>+C7</f>
        <v>For the  Fiscal Year Ended June 30, 2023</v>
      </c>
      <c r="Y7" s="441"/>
      <c r="AD7" s="441" t="str">
        <f>+S7</f>
        <v>For the  Fiscal Year Ended June 30, 2023</v>
      </c>
      <c r="AO7" s="395" t="str">
        <f>+AD7</f>
        <v>For the  Fiscal Year Ended June 30, 2023</v>
      </c>
      <c r="AR7" s="277"/>
      <c r="AX7" s="289"/>
    </row>
    <row r="8" spans="2:50" ht="15.75">
      <c r="C8" s="305" t="s">
        <v>1661</v>
      </c>
      <c r="D8" s="305"/>
      <c r="E8" s="305"/>
      <c r="F8" s="305"/>
      <c r="G8" s="289"/>
      <c r="H8" s="305"/>
      <c r="N8" s="305"/>
      <c r="O8" s="305"/>
      <c r="P8" s="305"/>
      <c r="S8" s="305" t="s">
        <v>1660</v>
      </c>
      <c r="W8" s="287"/>
      <c r="Y8" s="287"/>
      <c r="AD8" s="287" t="s">
        <v>1663</v>
      </c>
      <c r="AO8" s="305" t="s">
        <v>454</v>
      </c>
      <c r="AR8" s="305"/>
      <c r="AX8" s="289"/>
    </row>
    <row r="9" spans="2:50" ht="15.75">
      <c r="B9" s="308"/>
      <c r="C9" s="276"/>
      <c r="D9" s="276"/>
      <c r="E9" s="276"/>
      <c r="F9" s="276"/>
      <c r="G9" s="276"/>
      <c r="H9" s="276"/>
      <c r="I9" s="276"/>
      <c r="J9" s="276"/>
      <c r="K9" s="276"/>
      <c r="L9" s="308"/>
      <c r="N9" s="276"/>
      <c r="R9" s="276"/>
      <c r="S9" s="276"/>
      <c r="T9" s="276"/>
      <c r="U9" s="308"/>
      <c r="W9" s="276"/>
      <c r="X9" s="276"/>
      <c r="Y9" s="276"/>
      <c r="Z9" s="308"/>
      <c r="AA9" s="276"/>
      <c r="AB9" s="305"/>
      <c r="AC9" s="276"/>
      <c r="AD9" s="276"/>
      <c r="AE9" s="276"/>
      <c r="AF9" s="308"/>
      <c r="AG9" s="277"/>
      <c r="AH9" s="289"/>
      <c r="AI9" s="277"/>
      <c r="AK9" s="277"/>
      <c r="AL9" s="308"/>
      <c r="AQ9" s="289"/>
      <c r="AR9" s="277"/>
      <c r="AS9" s="276"/>
      <c r="AT9" s="276"/>
    </row>
    <row r="10" spans="2:50" ht="15.75">
      <c r="C10" s="328" t="s">
        <v>742</v>
      </c>
      <c r="D10" s="328"/>
      <c r="E10" s="328"/>
      <c r="F10" s="276"/>
      <c r="G10" s="328" t="s">
        <v>1546</v>
      </c>
      <c r="H10" s="328"/>
      <c r="I10" s="328"/>
      <c r="J10" s="305"/>
      <c r="K10" s="305"/>
      <c r="M10" s="328" t="s">
        <v>31</v>
      </c>
      <c r="N10" s="328"/>
      <c r="O10" s="328"/>
      <c r="P10" s="276"/>
      <c r="Q10" s="328" t="s">
        <v>607</v>
      </c>
      <c r="R10" s="508"/>
      <c r="S10" s="328"/>
      <c r="T10" s="305"/>
      <c r="V10" s="328" t="s">
        <v>1743</v>
      </c>
      <c r="W10" s="508"/>
      <c r="X10" s="328"/>
      <c r="Y10" s="276"/>
      <c r="AA10" s="305"/>
      <c r="AB10" s="1328" t="s">
        <v>2737</v>
      </c>
      <c r="AC10" s="1328"/>
      <c r="AD10" s="1328"/>
      <c r="AG10" s="276"/>
      <c r="AH10" s="328" t="s">
        <v>608</v>
      </c>
      <c r="AI10" s="508"/>
      <c r="AJ10" s="328"/>
      <c r="AK10" s="276"/>
      <c r="AN10" s="276"/>
      <c r="AO10" s="276"/>
      <c r="AP10" s="276"/>
      <c r="AQ10" s="328" t="s">
        <v>417</v>
      </c>
      <c r="AR10" s="508"/>
      <c r="AS10" s="328"/>
      <c r="AT10" s="276"/>
    </row>
    <row r="11" spans="2:50" ht="15.75">
      <c r="C11" s="395"/>
      <c r="D11" s="395"/>
      <c r="E11" s="395" t="s">
        <v>1145</v>
      </c>
      <c r="F11" s="276"/>
      <c r="G11" s="395"/>
      <c r="H11" s="395"/>
      <c r="I11" s="441" t="s">
        <v>1145</v>
      </c>
      <c r="J11" s="395"/>
      <c r="K11" s="395"/>
      <c r="M11" s="395"/>
      <c r="N11" s="395"/>
      <c r="O11" s="395" t="s">
        <v>1145</v>
      </c>
      <c r="P11" s="276"/>
      <c r="Q11" s="395"/>
      <c r="R11" s="395"/>
      <c r="S11" s="510" t="s">
        <v>2742</v>
      </c>
      <c r="T11" s="395"/>
      <c r="V11" s="395"/>
      <c r="W11" s="395"/>
      <c r="X11" s="395" t="s">
        <v>1145</v>
      </c>
      <c r="Y11" s="276"/>
      <c r="AA11" s="395"/>
      <c r="AB11" s="395"/>
      <c r="AC11" s="395"/>
      <c r="AD11" s="510" t="s">
        <v>1145</v>
      </c>
      <c r="AG11" s="276"/>
      <c r="AH11" s="395"/>
      <c r="AI11" s="395"/>
      <c r="AJ11" s="395" t="s">
        <v>1145</v>
      </c>
      <c r="AK11" s="276"/>
      <c r="AN11" s="276"/>
      <c r="AO11" s="276"/>
      <c r="AP11" s="276"/>
      <c r="AQ11" s="395"/>
      <c r="AR11" s="395"/>
      <c r="AS11" s="395" t="s">
        <v>1145</v>
      </c>
      <c r="AT11" s="276"/>
    </row>
    <row r="12" spans="2:50" ht="15.75">
      <c r="B12" s="308"/>
      <c r="C12" s="395"/>
      <c r="D12" s="287"/>
      <c r="E12" s="287" t="s">
        <v>461</v>
      </c>
      <c r="F12" s="276"/>
      <c r="G12" s="395"/>
      <c r="H12" s="287"/>
      <c r="I12" s="287" t="s">
        <v>461</v>
      </c>
      <c r="J12" s="287"/>
      <c r="K12" s="287"/>
      <c r="L12" s="308"/>
      <c r="M12" s="395"/>
      <c r="N12" s="287"/>
      <c r="O12" s="287" t="s">
        <v>461</v>
      </c>
      <c r="P12" s="276"/>
      <c r="Q12" s="395"/>
      <c r="R12" s="287"/>
      <c r="S12" s="287" t="s">
        <v>461</v>
      </c>
      <c r="T12" s="287"/>
      <c r="U12" s="308"/>
      <c r="V12" s="395"/>
      <c r="W12" s="287"/>
      <c r="X12" s="287" t="s">
        <v>461</v>
      </c>
      <c r="Y12" s="276"/>
      <c r="Z12" s="308"/>
      <c r="AA12" s="287"/>
      <c r="AB12" s="395"/>
      <c r="AC12" s="287"/>
      <c r="AD12" s="287" t="s">
        <v>461</v>
      </c>
      <c r="AF12" s="308"/>
      <c r="AG12" s="276"/>
      <c r="AH12" s="395"/>
      <c r="AI12" s="287"/>
      <c r="AJ12" s="287" t="s">
        <v>461</v>
      </c>
      <c r="AK12" s="276"/>
      <c r="AL12" s="308"/>
      <c r="AN12" s="276"/>
      <c r="AO12" s="276"/>
      <c r="AP12" s="276"/>
      <c r="AQ12" s="395"/>
      <c r="AR12" s="287"/>
      <c r="AS12" s="287" t="s">
        <v>461</v>
      </c>
      <c r="AT12" s="276"/>
    </row>
    <row r="13" spans="2:50" ht="15.75">
      <c r="B13" s="308"/>
      <c r="C13" s="287" t="s">
        <v>414</v>
      </c>
      <c r="D13" s="287" t="s">
        <v>858</v>
      </c>
      <c r="E13" s="287" t="s">
        <v>412</v>
      </c>
      <c r="F13" s="276"/>
      <c r="G13" s="287" t="s">
        <v>414</v>
      </c>
      <c r="H13" s="287" t="s">
        <v>858</v>
      </c>
      <c r="I13" s="287" t="s">
        <v>412</v>
      </c>
      <c r="J13" s="287"/>
      <c r="K13" s="287"/>
      <c r="L13" s="308"/>
      <c r="M13" s="287" t="s">
        <v>414</v>
      </c>
      <c r="N13" s="287" t="s">
        <v>858</v>
      </c>
      <c r="O13" s="287" t="s">
        <v>412</v>
      </c>
      <c r="P13" s="276"/>
      <c r="Q13" s="287" t="s">
        <v>414</v>
      </c>
      <c r="R13" s="287" t="s">
        <v>858</v>
      </c>
      <c r="S13" s="287" t="s">
        <v>412</v>
      </c>
      <c r="T13" s="287"/>
      <c r="U13" s="308"/>
      <c r="V13" s="287" t="s">
        <v>414</v>
      </c>
      <c r="W13" s="287" t="s">
        <v>858</v>
      </c>
      <c r="X13" s="287" t="s">
        <v>412</v>
      </c>
      <c r="Y13" s="276"/>
      <c r="Z13" s="308"/>
      <c r="AA13" s="287"/>
      <c r="AB13" s="287" t="s">
        <v>414</v>
      </c>
      <c r="AC13" s="287" t="s">
        <v>858</v>
      </c>
      <c r="AD13" s="287" t="s">
        <v>412</v>
      </c>
      <c r="AF13" s="308"/>
      <c r="AG13" s="276"/>
      <c r="AH13" s="287" t="s">
        <v>414</v>
      </c>
      <c r="AI13" s="287" t="s">
        <v>858</v>
      </c>
      <c r="AJ13" s="287" t="s">
        <v>412</v>
      </c>
      <c r="AK13" s="276"/>
      <c r="AL13" s="308"/>
      <c r="AN13" s="276"/>
      <c r="AO13" s="276"/>
      <c r="AP13" s="276"/>
      <c r="AQ13" s="287" t="s">
        <v>414</v>
      </c>
      <c r="AR13" s="287" t="s">
        <v>858</v>
      </c>
      <c r="AS13" s="287" t="s">
        <v>412</v>
      </c>
      <c r="AT13" s="276"/>
    </row>
    <row r="14" spans="2:50" ht="15.75">
      <c r="B14" s="308"/>
      <c r="C14" s="290" t="s">
        <v>435</v>
      </c>
      <c r="D14" s="290" t="s">
        <v>376</v>
      </c>
      <c r="E14" s="290" t="s">
        <v>413</v>
      </c>
      <c r="F14" s="276"/>
      <c r="G14" s="290" t="s">
        <v>435</v>
      </c>
      <c r="H14" s="290" t="s">
        <v>376</v>
      </c>
      <c r="I14" s="290" t="s">
        <v>413</v>
      </c>
      <c r="J14" s="287"/>
      <c r="K14" s="287"/>
      <c r="L14" s="308"/>
      <c r="M14" s="290" t="s">
        <v>435</v>
      </c>
      <c r="N14" s="290" t="s">
        <v>376</v>
      </c>
      <c r="O14" s="290" t="s">
        <v>413</v>
      </c>
      <c r="P14" s="276"/>
      <c r="Q14" s="290" t="s">
        <v>435</v>
      </c>
      <c r="R14" s="290" t="s">
        <v>376</v>
      </c>
      <c r="S14" s="290" t="s">
        <v>413</v>
      </c>
      <c r="T14" s="287"/>
      <c r="U14" s="308"/>
      <c r="V14" s="290" t="s">
        <v>435</v>
      </c>
      <c r="W14" s="290" t="s">
        <v>376</v>
      </c>
      <c r="X14" s="290" t="s">
        <v>413</v>
      </c>
      <c r="Y14" s="276"/>
      <c r="Z14" s="308"/>
      <c r="AA14" s="287"/>
      <c r="AB14" s="290" t="s">
        <v>435</v>
      </c>
      <c r="AC14" s="290" t="s">
        <v>376</v>
      </c>
      <c r="AD14" s="290" t="s">
        <v>413</v>
      </c>
      <c r="AF14" s="308"/>
      <c r="AG14" s="276"/>
      <c r="AH14" s="290" t="s">
        <v>435</v>
      </c>
      <c r="AI14" s="290" t="s">
        <v>376</v>
      </c>
      <c r="AJ14" s="290" t="s">
        <v>413</v>
      </c>
      <c r="AK14" s="276"/>
      <c r="AL14" s="308"/>
      <c r="AN14" s="276"/>
      <c r="AO14" s="276"/>
      <c r="AP14" s="276"/>
      <c r="AQ14" s="290" t="s">
        <v>435</v>
      </c>
      <c r="AR14" s="290" t="s">
        <v>376</v>
      </c>
      <c r="AS14" s="290" t="s">
        <v>413</v>
      </c>
      <c r="AT14" s="276"/>
    </row>
    <row r="15" spans="2:50" ht="15.75">
      <c r="B15" s="308" t="s">
        <v>596</v>
      </c>
      <c r="C15" s="276"/>
      <c r="D15" s="276"/>
      <c r="E15" s="276"/>
      <c r="F15" s="276"/>
      <c r="G15" s="276"/>
      <c r="H15" s="276"/>
      <c r="I15" s="276"/>
      <c r="J15" s="276"/>
      <c r="K15" s="276"/>
      <c r="L15" s="308" t="s">
        <v>596</v>
      </c>
      <c r="M15" s="276"/>
      <c r="N15" s="276"/>
      <c r="O15" s="276"/>
      <c r="P15" s="276"/>
      <c r="Q15" s="276"/>
      <c r="R15" s="276"/>
      <c r="S15" s="276"/>
      <c r="T15" s="276"/>
      <c r="U15" s="308" t="s">
        <v>596</v>
      </c>
      <c r="V15" s="276"/>
      <c r="W15" s="276"/>
      <c r="X15" s="276"/>
      <c r="Y15" s="276"/>
      <c r="Z15" s="308" t="s">
        <v>596</v>
      </c>
      <c r="AA15" s="276"/>
      <c r="AB15" s="276"/>
      <c r="AC15" s="276"/>
      <c r="AD15" s="276"/>
      <c r="AF15" s="308" t="s">
        <v>596</v>
      </c>
      <c r="AG15" s="276"/>
      <c r="AH15" s="276"/>
      <c r="AI15" s="276"/>
      <c r="AJ15" s="276"/>
      <c r="AK15" s="276"/>
      <c r="AL15" s="308" t="s">
        <v>596</v>
      </c>
      <c r="AN15" s="276"/>
      <c r="AO15" s="276"/>
      <c r="AP15" s="276"/>
      <c r="AS15" s="276"/>
      <c r="AT15" s="276"/>
    </row>
    <row r="16" spans="2:50" ht="15.75">
      <c r="B16" s="276" t="s">
        <v>220</v>
      </c>
      <c r="C16" s="292">
        <f>SUM('DS BUDACT ER'!C18:C20)</f>
        <v>0</v>
      </c>
      <c r="D16" s="292">
        <f>SUM('DS BUDACT ER'!D18:D20)</f>
        <v>0</v>
      </c>
      <c r="E16" s="292">
        <f t="shared" ref="E16:E22" si="0">SUM(D16-C16)</f>
        <v>0</v>
      </c>
      <c r="F16" s="276"/>
      <c r="G16" s="292">
        <f>SUM('DS BUDACT ER'!F18:F20)</f>
        <v>927183</v>
      </c>
      <c r="H16" s="292">
        <f>SUM('DS BUDACT ER'!G18:G20)+'Sys INPUT'!BI201</f>
        <v>946730</v>
      </c>
      <c r="I16" s="292">
        <f t="shared" ref="I16:I22" si="1">SUM(H16-G16)</f>
        <v>19547</v>
      </c>
      <c r="J16" s="292"/>
      <c r="K16" s="292"/>
      <c r="L16" s="276" t="s">
        <v>220</v>
      </c>
      <c r="M16" s="292">
        <f>SUM('DS BUDACT ER'!I18:I20)</f>
        <v>0</v>
      </c>
      <c r="N16" s="292">
        <f>SUM('DS BUDACT ER'!J18:J20)</f>
        <v>0</v>
      </c>
      <c r="O16" s="292">
        <f t="shared" ref="O16:O22" si="2">SUM(N16-M16)</f>
        <v>0</v>
      </c>
      <c r="P16" s="276"/>
      <c r="Q16" s="292">
        <f>SUM('DS BUDACT ER'!L18:L20)</f>
        <v>0</v>
      </c>
      <c r="R16" s="292">
        <f>SUM('DS BUDACT ER'!M18:M20)</f>
        <v>0</v>
      </c>
      <c r="S16" s="292">
        <f t="shared" ref="S16:S22" si="3">SUM(R16-Q16)</f>
        <v>0</v>
      </c>
      <c r="T16" s="292"/>
      <c r="U16" s="276" t="s">
        <v>220</v>
      </c>
      <c r="V16" s="292">
        <f>SUM('DS BUDACT ER'!O18:O20)</f>
        <v>100000</v>
      </c>
      <c r="W16" s="292">
        <f>SUM('DS BUDACT ER'!P18:P20)+'Sys INPUT'!BL201</f>
        <v>91757</v>
      </c>
      <c r="X16" s="292">
        <f>SUM(W16-V16)</f>
        <v>-8243</v>
      </c>
      <c r="Y16" s="276"/>
      <c r="Z16" s="276" t="s">
        <v>220</v>
      </c>
      <c r="AA16" s="292"/>
      <c r="AB16" s="292">
        <f>SUM('DS BUDACT ER'!R18:R20)</f>
        <v>636600</v>
      </c>
      <c r="AC16" s="292">
        <f>SUM('DS BUDACT ER'!S18:S20)+'Sys INPUT'!BM201</f>
        <v>643929</v>
      </c>
      <c r="AD16" s="292">
        <f>SUM(AC16-AB16)</f>
        <v>7329</v>
      </c>
      <c r="AF16" s="276" t="s">
        <v>220</v>
      </c>
      <c r="AG16" s="276"/>
      <c r="AH16" s="292">
        <f>SUM('DS BUDACT ER'!U18:U20)</f>
        <v>96347</v>
      </c>
      <c r="AI16" s="292">
        <f>SUM('DS BUDACT ER'!V18:V20)+'Sys INPUT'!BN201</f>
        <v>128782</v>
      </c>
      <c r="AJ16" s="292">
        <f t="shared" ref="AJ16:AJ22" si="4">SUM(AI16-AH16)</f>
        <v>32435</v>
      </c>
      <c r="AK16" s="276"/>
      <c r="AL16" s="276" t="s">
        <v>220</v>
      </c>
      <c r="AN16" s="276"/>
      <c r="AO16" s="276"/>
      <c r="AP16" s="276"/>
      <c r="AQ16" s="292">
        <f>+C16+G16+M16+Q16+V16+AH16+AB16</f>
        <v>1760130</v>
      </c>
      <c r="AR16" s="292">
        <f>+D16+H16+N16+R16+W16+AI16+AC16</f>
        <v>1811198</v>
      </c>
      <c r="AS16" s="292">
        <f>+SUM(AR16-AQ16)</f>
        <v>51068</v>
      </c>
      <c r="AT16" s="276"/>
    </row>
    <row r="17" spans="2:46" ht="15.75" hidden="1">
      <c r="B17" s="276" t="s">
        <v>468</v>
      </c>
      <c r="C17" s="294">
        <f>SUM('DS BUDACT ER'!C22:C24)</f>
        <v>0</v>
      </c>
      <c r="D17" s="294">
        <f>SUM('DS BUDACT ER'!D22:D24)</f>
        <v>0</v>
      </c>
      <c r="E17" s="294">
        <f t="shared" si="0"/>
        <v>0</v>
      </c>
      <c r="F17" s="294"/>
      <c r="G17" s="294">
        <f>SUM('DS BUDACT ER'!F22:F24)</f>
        <v>0</v>
      </c>
      <c r="H17" s="294">
        <f>SUM('DS BUDACT ER'!G22:G24)</f>
        <v>0</v>
      </c>
      <c r="I17" s="294">
        <f t="shared" si="1"/>
        <v>0</v>
      </c>
      <c r="J17" s="294"/>
      <c r="K17" s="294"/>
      <c r="L17" s="276" t="s">
        <v>468</v>
      </c>
      <c r="M17" s="294">
        <f>SUM('DS BUDACT ER'!I22:I24)</f>
        <v>0</v>
      </c>
      <c r="N17" s="294">
        <f>SUM('DS BUDACT ER'!J22:J24)</f>
        <v>0</v>
      </c>
      <c r="O17" s="294">
        <f t="shared" si="2"/>
        <v>0</v>
      </c>
      <c r="P17" s="294"/>
      <c r="Q17" s="294">
        <f>SUM('DS BUDACT ER'!L22:L24)</f>
        <v>0</v>
      </c>
      <c r="R17" s="294">
        <f>SUM('DS BUDACT ER'!M22:M24)</f>
        <v>0</v>
      </c>
      <c r="S17" s="294">
        <f t="shared" si="3"/>
        <v>0</v>
      </c>
      <c r="T17" s="294"/>
      <c r="U17" s="276" t="s">
        <v>468</v>
      </c>
      <c r="V17" s="294">
        <f>SUM('DS BUDACT ER'!O22:O24)</f>
        <v>0</v>
      </c>
      <c r="W17" s="294">
        <f>SUM('DS BUDACT ER'!P22:P24)</f>
        <v>0</v>
      </c>
      <c r="X17" s="294">
        <f t="shared" ref="X17:X22" si="5">SUM(W17-V17)</f>
        <v>0</v>
      </c>
      <c r="Y17" s="294"/>
      <c r="Z17" s="276" t="s">
        <v>468</v>
      </c>
      <c r="AA17" s="294"/>
      <c r="AB17" s="294">
        <f>SUM('DS BUDACT ER'!R22:R24)</f>
        <v>0</v>
      </c>
      <c r="AC17" s="294">
        <f>SUM('DS BUDACT ER'!S22:S24)</f>
        <v>0</v>
      </c>
      <c r="AD17" s="294">
        <f t="shared" ref="AD17:AD22" si="6">SUM(AC17-AB17)</f>
        <v>0</v>
      </c>
      <c r="AF17" s="276" t="s">
        <v>468</v>
      </c>
      <c r="AG17" s="294"/>
      <c r="AH17" s="294">
        <f>SUM('DS BUDACT ER'!U22:U24)</f>
        <v>0</v>
      </c>
      <c r="AI17" s="294">
        <f>SUM('DS BUDACT ER'!V22:V24)</f>
        <v>0</v>
      </c>
      <c r="AJ17" s="294">
        <f t="shared" si="4"/>
        <v>0</v>
      </c>
      <c r="AK17" s="294"/>
      <c r="AL17" s="276" t="s">
        <v>468</v>
      </c>
      <c r="AN17" s="294"/>
      <c r="AO17" s="294"/>
      <c r="AP17" s="294"/>
      <c r="AQ17" s="294">
        <f t="shared" ref="AQ17:AQ22" si="7">+C17+G17+M17+Q17+AH17+V17+AB17</f>
        <v>0</v>
      </c>
      <c r="AR17" s="294">
        <f t="shared" ref="AR17:AR22" si="8">+D17+H17+N17+R17+W17+AI17+AC17</f>
        <v>0</v>
      </c>
      <c r="AS17" s="294">
        <f t="shared" ref="AS17:AS22" si="9">+SUM(AR17-AQ17)</f>
        <v>0</v>
      </c>
      <c r="AT17" s="294"/>
    </row>
    <row r="18" spans="2:46" ht="15.75" hidden="1">
      <c r="B18" s="276" t="s">
        <v>444</v>
      </c>
      <c r="C18" s="294">
        <f>SUM('DS BUDACT ER'!C27:C40)</f>
        <v>0</v>
      </c>
      <c r="D18" s="294">
        <f>SUM('DS BUDACT ER'!D27:D40)</f>
        <v>0</v>
      </c>
      <c r="E18" s="294">
        <f t="shared" si="0"/>
        <v>0</v>
      </c>
      <c r="F18" s="294"/>
      <c r="G18" s="294">
        <f>SUM('DS BUDACT ER'!F27:F40)</f>
        <v>0</v>
      </c>
      <c r="H18" s="294">
        <f>SUM('DS BUDACT ER'!G27:G40)</f>
        <v>0</v>
      </c>
      <c r="I18" s="294">
        <f t="shared" si="1"/>
        <v>0</v>
      </c>
      <c r="J18" s="294"/>
      <c r="K18" s="294"/>
      <c r="L18" s="276" t="s">
        <v>444</v>
      </c>
      <c r="M18" s="294">
        <f>SUM('DS BUDACT ER'!I27:I40)</f>
        <v>0</v>
      </c>
      <c r="N18" s="294">
        <f>SUM('DS BUDACT ER'!J27:J40)</f>
        <v>0</v>
      </c>
      <c r="O18" s="294">
        <f t="shared" si="2"/>
        <v>0</v>
      </c>
      <c r="P18" s="294"/>
      <c r="Q18" s="294">
        <f>SUM('DS BUDACT ER'!L27:L40)</f>
        <v>0</v>
      </c>
      <c r="R18" s="294">
        <f>SUM('DS BUDACT ER'!M27:M40)</f>
        <v>0</v>
      </c>
      <c r="S18" s="294">
        <f t="shared" si="3"/>
        <v>0</v>
      </c>
      <c r="T18" s="294"/>
      <c r="U18" s="276" t="s">
        <v>444</v>
      </c>
      <c r="V18" s="294">
        <f>SUM('DS BUDACT ER'!O27:O40)</f>
        <v>0</v>
      </c>
      <c r="W18" s="294">
        <f>SUM('DS BUDACT ER'!P27:P40)</f>
        <v>0</v>
      </c>
      <c r="X18" s="294">
        <f t="shared" si="5"/>
        <v>0</v>
      </c>
      <c r="Y18" s="294"/>
      <c r="Z18" s="276" t="s">
        <v>444</v>
      </c>
      <c r="AA18" s="294"/>
      <c r="AB18" s="294">
        <f>SUM('DS BUDACT ER'!R27:R40)</f>
        <v>0</v>
      </c>
      <c r="AC18" s="294">
        <f>SUM('DS BUDACT ER'!S27:S40)</f>
        <v>0</v>
      </c>
      <c r="AD18" s="294">
        <f t="shared" si="6"/>
        <v>0</v>
      </c>
      <c r="AF18" s="276" t="s">
        <v>444</v>
      </c>
      <c r="AG18" s="294"/>
      <c r="AH18" s="294">
        <f>SUM('DS BUDACT ER'!U27:U40)</f>
        <v>0</v>
      </c>
      <c r="AI18" s="294">
        <f>SUM('DS BUDACT ER'!V27:V40)</f>
        <v>0</v>
      </c>
      <c r="AJ18" s="294">
        <f t="shared" si="4"/>
        <v>0</v>
      </c>
      <c r="AK18" s="294"/>
      <c r="AL18" s="276" t="s">
        <v>444</v>
      </c>
      <c r="AN18" s="294"/>
      <c r="AO18" s="294"/>
      <c r="AP18" s="294"/>
      <c r="AQ18" s="294">
        <f t="shared" si="7"/>
        <v>0</v>
      </c>
      <c r="AR18" s="294">
        <f t="shared" si="8"/>
        <v>0</v>
      </c>
      <c r="AS18" s="294">
        <f t="shared" si="9"/>
        <v>0</v>
      </c>
      <c r="AT18" s="294"/>
    </row>
    <row r="19" spans="2:46" ht="15.75" hidden="1">
      <c r="B19" s="276" t="s">
        <v>445</v>
      </c>
      <c r="C19" s="294">
        <f>SUM('DS BUDACT ER'!C42:C47)</f>
        <v>0</v>
      </c>
      <c r="D19" s="294">
        <f>SUM('DS BUDACT ER'!D42:D47)</f>
        <v>0</v>
      </c>
      <c r="E19" s="294">
        <f t="shared" si="0"/>
        <v>0</v>
      </c>
      <c r="F19" s="294"/>
      <c r="G19" s="294">
        <f>SUM('DS BUDACT ER'!F42:F47)</f>
        <v>0</v>
      </c>
      <c r="H19" s="294">
        <f>SUM('DS BUDACT ER'!G42:G47)</f>
        <v>0</v>
      </c>
      <c r="I19" s="294">
        <f t="shared" si="1"/>
        <v>0</v>
      </c>
      <c r="J19" s="294"/>
      <c r="K19" s="294"/>
      <c r="L19" s="276" t="s">
        <v>445</v>
      </c>
      <c r="M19" s="294">
        <f>SUM('DS BUDACT ER'!I42:I47)</f>
        <v>0</v>
      </c>
      <c r="N19" s="294">
        <f>SUM('DS BUDACT ER'!J42:J47)</f>
        <v>0</v>
      </c>
      <c r="O19" s="294">
        <f t="shared" si="2"/>
        <v>0</v>
      </c>
      <c r="P19" s="294"/>
      <c r="Q19" s="294">
        <f>SUM('DS BUDACT ER'!L42:L47)</f>
        <v>0</v>
      </c>
      <c r="R19" s="294">
        <f>SUM('DS BUDACT ER'!M42:M47)</f>
        <v>0</v>
      </c>
      <c r="S19" s="294">
        <f t="shared" si="3"/>
        <v>0</v>
      </c>
      <c r="T19" s="294"/>
      <c r="U19" s="276" t="s">
        <v>445</v>
      </c>
      <c r="V19" s="294">
        <f>SUM('DS BUDACT ER'!O42:O47)</f>
        <v>0</v>
      </c>
      <c r="W19" s="294">
        <f>SUM('DS BUDACT ER'!P42:P47)</f>
        <v>0</v>
      </c>
      <c r="X19" s="294">
        <f t="shared" si="5"/>
        <v>0</v>
      </c>
      <c r="Y19" s="294"/>
      <c r="Z19" s="276" t="s">
        <v>445</v>
      </c>
      <c r="AA19" s="294"/>
      <c r="AB19" s="294">
        <f>SUM('DS BUDACT ER'!R42:R47)</f>
        <v>0</v>
      </c>
      <c r="AC19" s="294">
        <f>SUM('DS BUDACT ER'!S42:S47)</f>
        <v>0</v>
      </c>
      <c r="AD19" s="294">
        <f t="shared" si="6"/>
        <v>0</v>
      </c>
      <c r="AF19" s="276" t="s">
        <v>445</v>
      </c>
      <c r="AG19" s="294"/>
      <c r="AH19" s="294">
        <f>SUM('DS BUDACT ER'!U42:U47)</f>
        <v>0</v>
      </c>
      <c r="AI19" s="294">
        <f>SUM('DS BUDACT ER'!V42:V47)</f>
        <v>0</v>
      </c>
      <c r="AJ19" s="294">
        <f t="shared" si="4"/>
        <v>0</v>
      </c>
      <c r="AK19" s="294"/>
      <c r="AL19" s="276" t="s">
        <v>445</v>
      </c>
      <c r="AN19" s="294"/>
      <c r="AO19" s="294"/>
      <c r="AP19" s="294"/>
      <c r="AQ19" s="294">
        <f t="shared" si="7"/>
        <v>0</v>
      </c>
      <c r="AR19" s="294">
        <f t="shared" si="8"/>
        <v>0</v>
      </c>
      <c r="AS19" s="294">
        <f t="shared" si="9"/>
        <v>0</v>
      </c>
      <c r="AT19" s="294"/>
    </row>
    <row r="20" spans="2:46" ht="15.75" hidden="1">
      <c r="B20" s="276" t="s">
        <v>446</v>
      </c>
      <c r="C20" s="294">
        <f>SUM('DS BUDACT ER'!C49:C50)</f>
        <v>0</v>
      </c>
      <c r="D20" s="294">
        <f>SUM('DS BUDACT ER'!D49:D50)</f>
        <v>0</v>
      </c>
      <c r="E20" s="294">
        <f t="shared" si="0"/>
        <v>0</v>
      </c>
      <c r="F20" s="294"/>
      <c r="G20" s="294">
        <f>SUM('DS BUDACT ER'!F49:F50)</f>
        <v>0</v>
      </c>
      <c r="H20" s="294">
        <f>SUM('DS BUDACT ER'!G49:G50)</f>
        <v>0</v>
      </c>
      <c r="I20" s="294">
        <f t="shared" si="1"/>
        <v>0</v>
      </c>
      <c r="J20" s="294"/>
      <c r="K20" s="294"/>
      <c r="L20" s="276" t="s">
        <v>446</v>
      </c>
      <c r="M20" s="294">
        <f>SUM('DS BUDACT ER'!I49:I50)</f>
        <v>0</v>
      </c>
      <c r="N20" s="294">
        <f>SUM('DS BUDACT ER'!J49:J50)</f>
        <v>0</v>
      </c>
      <c r="O20" s="294">
        <f t="shared" si="2"/>
        <v>0</v>
      </c>
      <c r="P20" s="294"/>
      <c r="Q20" s="294">
        <f>SUM('DS BUDACT ER'!L49:L50)</f>
        <v>0</v>
      </c>
      <c r="R20" s="294">
        <f>SUM('DS BUDACT ER'!M49:M50)</f>
        <v>0</v>
      </c>
      <c r="S20" s="294">
        <f t="shared" si="3"/>
        <v>0</v>
      </c>
      <c r="T20" s="294"/>
      <c r="U20" s="276" t="s">
        <v>446</v>
      </c>
      <c r="V20" s="294">
        <f>SUM('DS BUDACT ER'!O49:O50)</f>
        <v>0</v>
      </c>
      <c r="W20" s="294">
        <f>SUM('DS BUDACT ER'!P49:P50)</f>
        <v>0</v>
      </c>
      <c r="X20" s="294">
        <f t="shared" si="5"/>
        <v>0</v>
      </c>
      <c r="Y20" s="294"/>
      <c r="Z20" s="276" t="s">
        <v>446</v>
      </c>
      <c r="AA20" s="294"/>
      <c r="AB20" s="294">
        <f>SUM('DS BUDACT ER'!R49:R50)</f>
        <v>0</v>
      </c>
      <c r="AC20" s="294">
        <f>SUM('DS BUDACT ER'!S49:S50)</f>
        <v>0</v>
      </c>
      <c r="AD20" s="294">
        <f t="shared" si="6"/>
        <v>0</v>
      </c>
      <c r="AF20" s="276" t="s">
        <v>446</v>
      </c>
      <c r="AG20" s="294"/>
      <c r="AH20" s="294">
        <f>SUM('DS BUDACT ER'!U49:U50)</f>
        <v>0</v>
      </c>
      <c r="AI20" s="294">
        <f>SUM('DS BUDACT ER'!V49:V50)</f>
        <v>0</v>
      </c>
      <c r="AJ20" s="294">
        <f t="shared" si="4"/>
        <v>0</v>
      </c>
      <c r="AK20" s="294"/>
      <c r="AL20" s="276" t="s">
        <v>446</v>
      </c>
      <c r="AN20" s="294"/>
      <c r="AO20" s="294"/>
      <c r="AP20" s="294"/>
      <c r="AQ20" s="294">
        <f t="shared" si="7"/>
        <v>0</v>
      </c>
      <c r="AR20" s="294">
        <f t="shared" si="8"/>
        <v>0</v>
      </c>
      <c r="AS20" s="294">
        <f t="shared" si="9"/>
        <v>0</v>
      </c>
      <c r="AT20" s="294"/>
    </row>
    <row r="21" spans="2:46" ht="15.75">
      <c r="B21" s="276" t="s">
        <v>974</v>
      </c>
      <c r="C21" s="294">
        <f>+'DS BUDACT ER'!C51</f>
        <v>112807</v>
      </c>
      <c r="D21" s="294">
        <f>+'DS BUDACT ER'!D51+'Sys INPUT'!BH201</f>
        <v>112309</v>
      </c>
      <c r="E21" s="294">
        <f t="shared" si="0"/>
        <v>-498</v>
      </c>
      <c r="F21" s="294"/>
      <c r="G21" s="294">
        <f>+'DS BUDACT ER'!F51</f>
        <v>0</v>
      </c>
      <c r="H21" s="294">
        <f>+'DS BUDACT ER'!G51</f>
        <v>0</v>
      </c>
      <c r="I21" s="294">
        <f t="shared" si="1"/>
        <v>0</v>
      </c>
      <c r="J21" s="294"/>
      <c r="K21" s="294"/>
      <c r="L21" s="276" t="s">
        <v>974</v>
      </c>
      <c r="M21" s="294">
        <f>+'DS BUDACT ER'!I51</f>
        <v>0</v>
      </c>
      <c r="N21" s="294">
        <f>+'DS BUDACT ER'!J51</f>
        <v>0</v>
      </c>
      <c r="O21" s="294">
        <f t="shared" si="2"/>
        <v>0</v>
      </c>
      <c r="P21" s="294"/>
      <c r="Q21" s="294">
        <f>+'DS BUDACT ER'!L51</f>
        <v>0</v>
      </c>
      <c r="R21" s="294">
        <f>+'DS BUDACT ER'!M51</f>
        <v>0</v>
      </c>
      <c r="S21" s="294">
        <f t="shared" si="3"/>
        <v>0</v>
      </c>
      <c r="T21" s="294"/>
      <c r="U21" s="276" t="s">
        <v>974</v>
      </c>
      <c r="V21" s="294">
        <f>+'DS BUDACT ER'!O51</f>
        <v>0</v>
      </c>
      <c r="W21" s="294">
        <f>+'DS BUDACT ER'!P51</f>
        <v>0</v>
      </c>
      <c r="X21" s="294">
        <f t="shared" si="5"/>
        <v>0</v>
      </c>
      <c r="Y21" s="294"/>
      <c r="Z21" s="276" t="s">
        <v>974</v>
      </c>
      <c r="AA21" s="294"/>
      <c r="AB21" s="294">
        <f>+'DS BUDACT ER'!R51</f>
        <v>0</v>
      </c>
      <c r="AC21" s="294">
        <f>+'DS BUDACT ER'!S51</f>
        <v>0</v>
      </c>
      <c r="AD21" s="294">
        <f t="shared" si="6"/>
        <v>0</v>
      </c>
      <c r="AF21" s="276" t="s">
        <v>974</v>
      </c>
      <c r="AG21" s="294"/>
      <c r="AH21" s="294">
        <f>+'DS BUDACT ER'!U51</f>
        <v>0</v>
      </c>
      <c r="AI21" s="294">
        <f>+'DS BUDACT ER'!V51</f>
        <v>0</v>
      </c>
      <c r="AJ21" s="294">
        <f t="shared" si="4"/>
        <v>0</v>
      </c>
      <c r="AK21" s="294"/>
      <c r="AL21" s="276" t="s">
        <v>974</v>
      </c>
      <c r="AN21" s="294"/>
      <c r="AO21" s="294"/>
      <c r="AP21" s="294"/>
      <c r="AQ21" s="294">
        <f t="shared" si="7"/>
        <v>112807</v>
      </c>
      <c r="AR21" s="294">
        <f t="shared" si="8"/>
        <v>112309</v>
      </c>
      <c r="AS21" s="294">
        <f t="shared" si="9"/>
        <v>-498</v>
      </c>
      <c r="AT21" s="294"/>
    </row>
    <row r="22" spans="2:46" ht="15.75">
      <c r="B22" s="276" t="s">
        <v>947</v>
      </c>
      <c r="C22" s="294">
        <f>+'DS BUDACT ER'!C52</f>
        <v>0</v>
      </c>
      <c r="D22" s="294">
        <f>+'DS BUDACT ER'!D52</f>
        <v>0</v>
      </c>
      <c r="E22" s="294">
        <f t="shared" si="0"/>
        <v>0</v>
      </c>
      <c r="F22" s="294"/>
      <c r="G22" s="294">
        <f>+'DS BUDACT ER'!F52</f>
        <v>0</v>
      </c>
      <c r="H22" s="294">
        <f>+'DS BUDACT ER'!G52</f>
        <v>14292</v>
      </c>
      <c r="I22" s="294">
        <f t="shared" si="1"/>
        <v>14292</v>
      </c>
      <c r="J22" s="294"/>
      <c r="K22" s="294"/>
      <c r="L22" s="276" t="s">
        <v>947</v>
      </c>
      <c r="M22" s="294">
        <f>+'DS BUDACT ER'!I52</f>
        <v>0</v>
      </c>
      <c r="N22" s="294">
        <f>+'DS BUDACT ER'!J52</f>
        <v>0</v>
      </c>
      <c r="O22" s="294">
        <f t="shared" si="2"/>
        <v>0</v>
      </c>
      <c r="P22" s="294"/>
      <c r="Q22" s="294">
        <f>+'DS BUDACT ER'!L52</f>
        <v>0</v>
      </c>
      <c r="R22" s="294">
        <f>+'DS BUDACT ER'!M52+'Sys INPUT'!BK201</f>
        <v>12653</v>
      </c>
      <c r="S22" s="294">
        <f t="shared" si="3"/>
        <v>12653</v>
      </c>
      <c r="T22" s="294"/>
      <c r="U22" s="276" t="s">
        <v>947</v>
      </c>
      <c r="V22" s="294">
        <f>+'DS BUDACT ER'!O52</f>
        <v>0</v>
      </c>
      <c r="W22" s="294">
        <f>+'DS BUDACT ER'!P52</f>
        <v>1125</v>
      </c>
      <c r="X22" s="294">
        <f t="shared" si="5"/>
        <v>1125</v>
      </c>
      <c r="Y22" s="294"/>
      <c r="Z22" s="276" t="s">
        <v>947</v>
      </c>
      <c r="AA22" s="294"/>
      <c r="AB22" s="294">
        <f>+'DS BUDACT ER'!R52</f>
        <v>0</v>
      </c>
      <c r="AC22" s="294">
        <f>+'DS BUDACT ER'!S52</f>
        <v>7284</v>
      </c>
      <c r="AD22" s="294">
        <f t="shared" si="6"/>
        <v>7284</v>
      </c>
      <c r="AF22" s="276" t="s">
        <v>947</v>
      </c>
      <c r="AG22" s="294"/>
      <c r="AH22" s="294">
        <f>+'DS BUDACT ER'!U52</f>
        <v>0</v>
      </c>
      <c r="AI22" s="294">
        <f>+'DS BUDACT ER'!V52</f>
        <v>2794</v>
      </c>
      <c r="AJ22" s="294">
        <f t="shared" si="4"/>
        <v>2794</v>
      </c>
      <c r="AK22" s="294"/>
      <c r="AL22" s="276" t="s">
        <v>947</v>
      </c>
      <c r="AN22" s="294"/>
      <c r="AO22" s="294"/>
      <c r="AP22" s="294"/>
      <c r="AQ22" s="294">
        <f t="shared" si="7"/>
        <v>0</v>
      </c>
      <c r="AR22" s="294">
        <f t="shared" si="8"/>
        <v>38148</v>
      </c>
      <c r="AS22" s="294">
        <f t="shared" si="9"/>
        <v>38148</v>
      </c>
      <c r="AT22" s="294"/>
    </row>
    <row r="23" spans="2:46" ht="15.75">
      <c r="B23" s="276"/>
      <c r="C23" s="337"/>
      <c r="D23" s="337"/>
      <c r="E23" s="337"/>
      <c r="F23" s="294"/>
      <c r="G23" s="337"/>
      <c r="H23" s="337"/>
      <c r="I23" s="337"/>
      <c r="J23" s="294"/>
      <c r="K23" s="294"/>
      <c r="L23" s="276"/>
      <c r="M23" s="337"/>
      <c r="N23" s="337"/>
      <c r="O23" s="337"/>
      <c r="P23" s="294"/>
      <c r="Q23" s="337"/>
      <c r="R23" s="337"/>
      <c r="S23" s="337"/>
      <c r="T23" s="294"/>
      <c r="U23" s="276"/>
      <c r="V23" s="337"/>
      <c r="W23" s="337"/>
      <c r="X23" s="337"/>
      <c r="Y23" s="294"/>
      <c r="Z23" s="276"/>
      <c r="AA23" s="294"/>
      <c r="AB23" s="337"/>
      <c r="AC23" s="337"/>
      <c r="AD23" s="337"/>
      <c r="AF23" s="276"/>
      <c r="AG23" s="294"/>
      <c r="AH23" s="337"/>
      <c r="AI23" s="337"/>
      <c r="AJ23" s="337"/>
      <c r="AK23" s="294"/>
      <c r="AL23" s="276"/>
      <c r="AN23" s="294"/>
      <c r="AO23" s="294"/>
      <c r="AP23" s="294"/>
      <c r="AQ23" s="337"/>
      <c r="AR23" s="337"/>
      <c r="AS23" s="337"/>
      <c r="AT23" s="294"/>
    </row>
    <row r="24" spans="2:46" ht="15.75">
      <c r="B24" s="308" t="s">
        <v>1212</v>
      </c>
      <c r="C24" s="301">
        <f>SUM(C16:C23)</f>
        <v>112807</v>
      </c>
      <c r="D24" s="301">
        <f>SUM(D16:D23)</f>
        <v>112309</v>
      </c>
      <c r="E24" s="301">
        <f>SUM(E16:E23)</f>
        <v>-498</v>
      </c>
      <c r="F24" s="294"/>
      <c r="G24" s="301">
        <f>SUM(G16:G23)</f>
        <v>927183</v>
      </c>
      <c r="H24" s="301">
        <f>SUM(H16:H23)</f>
        <v>961022</v>
      </c>
      <c r="I24" s="301">
        <f>SUM(I16:I23)</f>
        <v>33839</v>
      </c>
      <c r="J24" s="300"/>
      <c r="K24" s="300"/>
      <c r="L24" s="308" t="s">
        <v>1212</v>
      </c>
      <c r="M24" s="301">
        <f>SUM(M16:M23)</f>
        <v>0</v>
      </c>
      <c r="N24" s="301">
        <f>SUM(N16:N23)</f>
        <v>0</v>
      </c>
      <c r="O24" s="301">
        <f>SUM(O16:O23)</f>
        <v>0</v>
      </c>
      <c r="P24" s="294"/>
      <c r="Q24" s="301">
        <f>SUM(Q16:Q23)</f>
        <v>0</v>
      </c>
      <c r="R24" s="301">
        <f>SUM(R16:R23)</f>
        <v>12653</v>
      </c>
      <c r="S24" s="301">
        <f>SUM(S16:S23)</f>
        <v>12653</v>
      </c>
      <c r="T24" s="300"/>
      <c r="U24" s="308" t="s">
        <v>1212</v>
      </c>
      <c r="V24" s="301">
        <f>SUM(V16:V23)</f>
        <v>100000</v>
      </c>
      <c r="W24" s="301">
        <f>SUM(W16:W23)</f>
        <v>92882</v>
      </c>
      <c r="X24" s="301">
        <f>SUM(X16:X23)</f>
        <v>-7118</v>
      </c>
      <c r="Y24" s="294"/>
      <c r="Z24" s="308" t="s">
        <v>1212</v>
      </c>
      <c r="AA24" s="300"/>
      <c r="AB24" s="301">
        <f>SUM(AB16:AB23)</f>
        <v>636600</v>
      </c>
      <c r="AC24" s="301">
        <f>SUM(AC16:AC23)</f>
        <v>651213</v>
      </c>
      <c r="AD24" s="301">
        <f>SUM(AD16:AD23)</f>
        <v>14613</v>
      </c>
      <c r="AF24" s="308" t="s">
        <v>1212</v>
      </c>
      <c r="AG24" s="294"/>
      <c r="AH24" s="301">
        <f>SUM(AH16:AH23)</f>
        <v>96347</v>
      </c>
      <c r="AI24" s="301">
        <f>SUM(AI16:AI23)</f>
        <v>131576</v>
      </c>
      <c r="AJ24" s="301">
        <f>SUM(AJ16:AJ23)</f>
        <v>35229</v>
      </c>
      <c r="AK24" s="294"/>
      <c r="AL24" s="308" t="s">
        <v>1212</v>
      </c>
      <c r="AN24" s="294"/>
      <c r="AO24" s="294"/>
      <c r="AP24" s="294"/>
      <c r="AQ24" s="301">
        <f>SUM(AQ16:AQ23)</f>
        <v>1872937</v>
      </c>
      <c r="AR24" s="301">
        <f>SUM(AR16:AR23)</f>
        <v>1961655</v>
      </c>
      <c r="AS24" s="301">
        <f>SUM(AS16:AS23)</f>
        <v>88718</v>
      </c>
      <c r="AT24" s="294"/>
    </row>
    <row r="25" spans="2:46" ht="15.75">
      <c r="B25" s="276"/>
      <c r="C25" s="296"/>
      <c r="D25" s="296"/>
      <c r="E25" s="294"/>
      <c r="F25" s="294"/>
      <c r="G25" s="296"/>
      <c r="H25" s="296"/>
      <c r="I25" s="294"/>
      <c r="J25" s="294"/>
      <c r="K25" s="294"/>
      <c r="L25" s="276"/>
      <c r="M25" s="296"/>
      <c r="N25" s="296"/>
      <c r="O25" s="294"/>
      <c r="P25" s="294"/>
      <c r="Q25" s="296"/>
      <c r="R25" s="296"/>
      <c r="S25" s="294"/>
      <c r="T25" s="294"/>
      <c r="U25" s="276"/>
      <c r="V25" s="296"/>
      <c r="W25" s="296"/>
      <c r="X25" s="294"/>
      <c r="Y25" s="294"/>
      <c r="Z25" s="276"/>
      <c r="AA25" s="294"/>
      <c r="AB25" s="296"/>
      <c r="AC25" s="296"/>
      <c r="AD25" s="294"/>
      <c r="AF25" s="276"/>
      <c r="AG25" s="294"/>
      <c r="AH25" s="296"/>
      <c r="AI25" s="296"/>
      <c r="AJ25" s="294"/>
      <c r="AK25" s="294"/>
      <c r="AL25" s="276"/>
      <c r="AN25" s="294"/>
      <c r="AO25" s="294"/>
      <c r="AP25" s="294"/>
      <c r="AQ25" s="296"/>
      <c r="AR25" s="296"/>
      <c r="AS25" s="296"/>
      <c r="AT25" s="294"/>
    </row>
    <row r="26" spans="2:46" ht="15.75">
      <c r="B26" s="308" t="s">
        <v>202</v>
      </c>
      <c r="C26" s="314"/>
      <c r="D26" s="314"/>
      <c r="E26" s="294"/>
      <c r="F26" s="294"/>
      <c r="G26" s="314"/>
      <c r="H26" s="314"/>
      <c r="I26" s="294"/>
      <c r="J26" s="294"/>
      <c r="K26" s="294"/>
      <c r="L26" s="308" t="s">
        <v>202</v>
      </c>
      <c r="M26" s="314"/>
      <c r="N26" s="314"/>
      <c r="O26" s="294"/>
      <c r="P26" s="294"/>
      <c r="Q26" s="314"/>
      <c r="R26" s="314"/>
      <c r="S26" s="294"/>
      <c r="T26" s="294"/>
      <c r="U26" s="308" t="s">
        <v>202</v>
      </c>
      <c r="V26" s="314"/>
      <c r="W26" s="314"/>
      <c r="X26" s="294"/>
      <c r="Y26" s="294"/>
      <c r="Z26" s="308" t="s">
        <v>202</v>
      </c>
      <c r="AA26" s="294"/>
      <c r="AB26" s="314"/>
      <c r="AC26" s="314"/>
      <c r="AD26" s="294"/>
      <c r="AF26" s="308" t="s">
        <v>202</v>
      </c>
      <c r="AG26" s="294"/>
      <c r="AH26" s="314"/>
      <c r="AI26" s="314"/>
      <c r="AJ26" s="294"/>
      <c r="AK26" s="294"/>
      <c r="AL26" s="308" t="s">
        <v>202</v>
      </c>
      <c r="AN26" s="294"/>
      <c r="AO26" s="294"/>
      <c r="AP26" s="294"/>
      <c r="AQ26" s="314"/>
      <c r="AR26" s="314"/>
      <c r="AS26" s="294"/>
      <c r="AT26" s="294"/>
    </row>
    <row r="27" spans="2:46" ht="15.75">
      <c r="B27" s="276" t="s">
        <v>203</v>
      </c>
      <c r="C27" s="296"/>
      <c r="D27" s="296"/>
      <c r="E27" s="294"/>
      <c r="F27" s="294"/>
      <c r="G27" s="296"/>
      <c r="H27" s="296"/>
      <c r="I27" s="294"/>
      <c r="J27" s="294"/>
      <c r="K27" s="294"/>
      <c r="L27" s="276" t="s">
        <v>203</v>
      </c>
      <c r="M27" s="296"/>
      <c r="N27" s="296"/>
      <c r="O27" s="294"/>
      <c r="P27" s="294"/>
      <c r="Q27" s="296"/>
      <c r="R27" s="296"/>
      <c r="S27" s="294"/>
      <c r="T27" s="294"/>
      <c r="U27" s="276" t="s">
        <v>203</v>
      </c>
      <c r="V27" s="296"/>
      <c r="W27" s="296"/>
      <c r="X27" s="294"/>
      <c r="Y27" s="294"/>
      <c r="Z27" s="276" t="s">
        <v>203</v>
      </c>
      <c r="AA27" s="294"/>
      <c r="AB27" s="296"/>
      <c r="AC27" s="296"/>
      <c r="AD27" s="294"/>
      <c r="AF27" s="276" t="s">
        <v>203</v>
      </c>
      <c r="AG27" s="294"/>
      <c r="AH27" s="296"/>
      <c r="AI27" s="296"/>
      <c r="AJ27" s="294"/>
      <c r="AK27" s="294"/>
      <c r="AL27" s="276" t="s">
        <v>203</v>
      </c>
      <c r="AN27" s="294"/>
      <c r="AO27" s="294"/>
      <c r="AP27" s="294"/>
      <c r="AQ27" s="296"/>
      <c r="AR27" s="296"/>
      <c r="AS27" s="294"/>
      <c r="AT27" s="294"/>
    </row>
    <row r="28" spans="2:46" ht="15.75" hidden="1">
      <c r="B28" s="276" t="s">
        <v>204</v>
      </c>
      <c r="C28" s="294">
        <f>SUM('DS BUDACT ER'!C59:C60)</f>
        <v>0</v>
      </c>
      <c r="D28" s="294">
        <f>SUM('DS BUDACT ER'!D59:D60)</f>
        <v>0</v>
      </c>
      <c r="E28" s="294">
        <f t="shared" ref="E28:E35" si="10">SUM(C28-D28)</f>
        <v>0</v>
      </c>
      <c r="F28" s="294"/>
      <c r="G28" s="294">
        <f>SUM('DS BUDACT ER'!F59:F60)</f>
        <v>0</v>
      </c>
      <c r="H28" s="294">
        <f>SUM('DS BUDACT ER'!G59:G60)</f>
        <v>0</v>
      </c>
      <c r="I28" s="294">
        <f t="shared" ref="I28:I35" si="11">SUM(G28-H28)</f>
        <v>0</v>
      </c>
      <c r="J28" s="294"/>
      <c r="K28" s="294"/>
      <c r="L28" s="276" t="s">
        <v>204</v>
      </c>
      <c r="M28" s="294">
        <f>SUM('DS BUDACT ER'!I59:I60)</f>
        <v>0</v>
      </c>
      <c r="N28" s="294">
        <f>SUM('DS BUDACT ER'!J59:J60)</f>
        <v>0</v>
      </c>
      <c r="O28" s="294">
        <f t="shared" ref="O28:O35" si="12">SUM(M28-N28)</f>
        <v>0</v>
      </c>
      <c r="P28" s="294"/>
      <c r="Q28" s="294">
        <f>SUM('DS BUDACT ER'!L59:L60)</f>
        <v>0</v>
      </c>
      <c r="R28" s="294">
        <f>SUM('DS BUDACT ER'!M59:M60)</f>
        <v>0</v>
      </c>
      <c r="S28" s="294">
        <f t="shared" ref="S28:S35" si="13">SUM(Q28-R28)</f>
        <v>0</v>
      </c>
      <c r="T28" s="294"/>
      <c r="U28" s="276" t="s">
        <v>204</v>
      </c>
      <c r="V28" s="294">
        <f>SUM('DS BUDACT ER'!O59:O60)</f>
        <v>0</v>
      </c>
      <c r="W28" s="294">
        <f>SUM('DS BUDACT ER'!P59:P60)</f>
        <v>0</v>
      </c>
      <c r="X28" s="294">
        <f t="shared" ref="X28:X35" si="14">SUM(V28-W28)</f>
        <v>0</v>
      </c>
      <c r="Y28" s="294"/>
      <c r="Z28" s="276" t="s">
        <v>204</v>
      </c>
      <c r="AA28" s="294"/>
      <c r="AB28" s="294">
        <f>SUM('DS BUDACT ER'!R59:R60)</f>
        <v>0</v>
      </c>
      <c r="AC28" s="294">
        <f>SUM('DS BUDACT ER'!S59:S60)</f>
        <v>0</v>
      </c>
      <c r="AD28" s="294">
        <f t="shared" ref="AD28:AD35" si="15">SUM(AB28-AC28)</f>
        <v>0</v>
      </c>
      <c r="AF28" s="276" t="s">
        <v>204</v>
      </c>
      <c r="AG28" s="294"/>
      <c r="AH28" s="294">
        <f>SUM('DS BUDACT ER'!U59:U60)</f>
        <v>0</v>
      </c>
      <c r="AI28" s="294">
        <f>SUM('DS BUDACT ER'!V59:V60)</f>
        <v>0</v>
      </c>
      <c r="AJ28" s="294">
        <f t="shared" ref="AJ28:AJ35" si="16">SUM(AH28-AI28)</f>
        <v>0</v>
      </c>
      <c r="AK28" s="294"/>
      <c r="AL28" s="276" t="s">
        <v>204</v>
      </c>
      <c r="AN28" s="294"/>
      <c r="AO28" s="294"/>
      <c r="AP28" s="294"/>
      <c r="AQ28" s="294">
        <f t="shared" ref="AQ28:AQ35" si="17">+C28+G28+M28+Q28+AH28+V28+AB28</f>
        <v>0</v>
      </c>
      <c r="AR28" s="294">
        <f t="shared" ref="AR28:AR35" si="18">+D28+H28+N28+R28+W28+AI28+AC28</f>
        <v>0</v>
      </c>
      <c r="AS28" s="294">
        <f t="shared" ref="AS28:AS35" si="19">SUM(AQ28-AR28)</f>
        <v>0</v>
      </c>
      <c r="AT28" s="294"/>
    </row>
    <row r="29" spans="2:46" ht="15.75" hidden="1">
      <c r="B29" s="276" t="s">
        <v>205</v>
      </c>
      <c r="C29" s="294">
        <f>SUM('DS BUDACT ER'!C62:C63)</f>
        <v>0</v>
      </c>
      <c r="D29" s="294">
        <f>SUM('DS BUDACT ER'!D62:D63)</f>
        <v>0</v>
      </c>
      <c r="E29" s="294">
        <f t="shared" si="10"/>
        <v>0</v>
      </c>
      <c r="F29" s="294"/>
      <c r="G29" s="294">
        <f>SUM('DS BUDACT ER'!F62:F63)</f>
        <v>0</v>
      </c>
      <c r="H29" s="294">
        <f>SUM('DS BUDACT ER'!G62:G63)</f>
        <v>0</v>
      </c>
      <c r="I29" s="294">
        <f t="shared" si="11"/>
        <v>0</v>
      </c>
      <c r="J29" s="294"/>
      <c r="K29" s="294"/>
      <c r="L29" s="276" t="s">
        <v>205</v>
      </c>
      <c r="M29" s="294">
        <f>SUM('DS BUDACT ER'!I62:I63)</f>
        <v>0</v>
      </c>
      <c r="N29" s="294">
        <f>SUM('DS BUDACT ER'!J62:J63)</f>
        <v>0</v>
      </c>
      <c r="O29" s="294">
        <f t="shared" si="12"/>
        <v>0</v>
      </c>
      <c r="P29" s="294"/>
      <c r="Q29" s="294">
        <f>SUM('DS BUDACT ER'!L62:L63)</f>
        <v>0</v>
      </c>
      <c r="R29" s="294">
        <f>SUM('DS BUDACT ER'!M62:M63)</f>
        <v>0</v>
      </c>
      <c r="S29" s="294">
        <f t="shared" si="13"/>
        <v>0</v>
      </c>
      <c r="T29" s="294"/>
      <c r="U29" s="276" t="s">
        <v>205</v>
      </c>
      <c r="V29" s="294">
        <f>SUM('DS BUDACT ER'!O62:O63)</f>
        <v>0</v>
      </c>
      <c r="W29" s="294">
        <f>SUM('DS BUDACT ER'!P62:P63)</f>
        <v>0</v>
      </c>
      <c r="X29" s="294">
        <f t="shared" si="14"/>
        <v>0</v>
      </c>
      <c r="Y29" s="294"/>
      <c r="Z29" s="276" t="s">
        <v>205</v>
      </c>
      <c r="AA29" s="294"/>
      <c r="AB29" s="294">
        <f>SUM('DS BUDACT ER'!R62:R63)</f>
        <v>0</v>
      </c>
      <c r="AC29" s="294">
        <f>SUM('DS BUDACT ER'!S62:S63)</f>
        <v>0</v>
      </c>
      <c r="AD29" s="294">
        <f t="shared" si="15"/>
        <v>0</v>
      </c>
      <c r="AF29" s="276" t="s">
        <v>205</v>
      </c>
      <c r="AG29" s="294"/>
      <c r="AH29" s="294">
        <f>SUM('DS BUDACT ER'!U62:U63)</f>
        <v>0</v>
      </c>
      <c r="AI29" s="294">
        <f>SUM('DS BUDACT ER'!V62:V63)</f>
        <v>0</v>
      </c>
      <c r="AJ29" s="294">
        <f t="shared" si="16"/>
        <v>0</v>
      </c>
      <c r="AK29" s="294"/>
      <c r="AL29" s="276" t="s">
        <v>205</v>
      </c>
      <c r="AN29" s="294"/>
      <c r="AO29" s="294"/>
      <c r="AP29" s="294"/>
      <c r="AQ29" s="294">
        <f t="shared" si="17"/>
        <v>0</v>
      </c>
      <c r="AR29" s="294">
        <f t="shared" si="18"/>
        <v>0</v>
      </c>
      <c r="AS29" s="294">
        <f t="shared" si="19"/>
        <v>0</v>
      </c>
      <c r="AT29" s="294"/>
    </row>
    <row r="30" spans="2:46" ht="15.75" hidden="1">
      <c r="B30" s="276" t="s">
        <v>206</v>
      </c>
      <c r="C30" s="294">
        <f>SUM('DS BUDACT ER'!C65:C66)</f>
        <v>0</v>
      </c>
      <c r="D30" s="294">
        <f>SUM('DS BUDACT ER'!D65:D66)</f>
        <v>0</v>
      </c>
      <c r="E30" s="294">
        <f t="shared" si="10"/>
        <v>0</v>
      </c>
      <c r="F30" s="294"/>
      <c r="G30" s="294">
        <f>SUM('DS BUDACT ER'!F65:F66)</f>
        <v>0</v>
      </c>
      <c r="H30" s="294">
        <f>SUM('DS BUDACT ER'!G65:G66)</f>
        <v>0</v>
      </c>
      <c r="I30" s="294">
        <f t="shared" si="11"/>
        <v>0</v>
      </c>
      <c r="J30" s="294"/>
      <c r="K30" s="294"/>
      <c r="L30" s="276" t="s">
        <v>206</v>
      </c>
      <c r="M30" s="294">
        <f>SUM('DS BUDACT ER'!I65:I66)</f>
        <v>0</v>
      </c>
      <c r="N30" s="294">
        <f>SUM('DS BUDACT ER'!J65:J66)</f>
        <v>0</v>
      </c>
      <c r="O30" s="294">
        <f t="shared" si="12"/>
        <v>0</v>
      </c>
      <c r="P30" s="294"/>
      <c r="Q30" s="294">
        <f>SUM('DS BUDACT ER'!L65:L66)</f>
        <v>0</v>
      </c>
      <c r="R30" s="294">
        <f>SUM('DS BUDACT ER'!M65:M66)</f>
        <v>0</v>
      </c>
      <c r="S30" s="294">
        <f t="shared" si="13"/>
        <v>0</v>
      </c>
      <c r="T30" s="294"/>
      <c r="U30" s="276" t="s">
        <v>206</v>
      </c>
      <c r="V30" s="294">
        <f>SUM('DS BUDACT ER'!O65:O66)</f>
        <v>0</v>
      </c>
      <c r="W30" s="294">
        <f>SUM('DS BUDACT ER'!P65:P66)</f>
        <v>0</v>
      </c>
      <c r="X30" s="294">
        <f t="shared" si="14"/>
        <v>0</v>
      </c>
      <c r="Y30" s="294"/>
      <c r="Z30" s="276" t="s">
        <v>206</v>
      </c>
      <c r="AA30" s="294"/>
      <c r="AB30" s="294">
        <f>SUM('DS BUDACT ER'!R65:R66)</f>
        <v>0</v>
      </c>
      <c r="AC30" s="294">
        <f>SUM('DS BUDACT ER'!S65:S66)</f>
        <v>0</v>
      </c>
      <c r="AD30" s="294">
        <f t="shared" si="15"/>
        <v>0</v>
      </c>
      <c r="AF30" s="276" t="s">
        <v>206</v>
      </c>
      <c r="AG30" s="294"/>
      <c r="AH30" s="294">
        <f>SUM('DS BUDACT ER'!U65:U66)</f>
        <v>0</v>
      </c>
      <c r="AI30" s="294">
        <f>SUM('DS BUDACT ER'!V65:V66)</f>
        <v>0</v>
      </c>
      <c r="AJ30" s="294">
        <f t="shared" si="16"/>
        <v>0</v>
      </c>
      <c r="AK30" s="294"/>
      <c r="AL30" s="276" t="s">
        <v>206</v>
      </c>
      <c r="AN30" s="294"/>
      <c r="AO30" s="294"/>
      <c r="AP30" s="294"/>
      <c r="AQ30" s="294">
        <f t="shared" si="17"/>
        <v>0</v>
      </c>
      <c r="AR30" s="294">
        <f t="shared" si="18"/>
        <v>0</v>
      </c>
      <c r="AS30" s="294">
        <f t="shared" si="19"/>
        <v>0</v>
      </c>
      <c r="AT30" s="294"/>
    </row>
    <row r="31" spans="2:46" ht="15.75" hidden="1">
      <c r="B31" s="276" t="s">
        <v>207</v>
      </c>
      <c r="C31" s="294">
        <f>SUM('DS BUDACT ER'!C68:C69)</f>
        <v>0</v>
      </c>
      <c r="D31" s="294">
        <f>SUM('DS BUDACT ER'!D68:D69)</f>
        <v>0</v>
      </c>
      <c r="E31" s="294">
        <f t="shared" si="10"/>
        <v>0</v>
      </c>
      <c r="F31" s="294"/>
      <c r="G31" s="294">
        <f>SUM('DS BUDACT ER'!F68:F69)</f>
        <v>0</v>
      </c>
      <c r="H31" s="294">
        <f>SUM('DS BUDACT ER'!G68:G69)</f>
        <v>0</v>
      </c>
      <c r="I31" s="294">
        <f t="shared" si="11"/>
        <v>0</v>
      </c>
      <c r="J31" s="294"/>
      <c r="K31" s="294"/>
      <c r="L31" s="276" t="s">
        <v>207</v>
      </c>
      <c r="M31" s="294">
        <f>SUM('DS BUDACT ER'!I68:I69)</f>
        <v>0</v>
      </c>
      <c r="N31" s="294">
        <f>SUM('DS BUDACT ER'!J68:J69)</f>
        <v>0</v>
      </c>
      <c r="O31" s="294">
        <f t="shared" si="12"/>
        <v>0</v>
      </c>
      <c r="P31" s="294"/>
      <c r="Q31" s="294">
        <f>SUM('DS BUDACT ER'!L68:L69)</f>
        <v>0</v>
      </c>
      <c r="R31" s="294">
        <f>SUM('DS BUDACT ER'!M68:M69)</f>
        <v>0</v>
      </c>
      <c r="S31" s="294">
        <f t="shared" si="13"/>
        <v>0</v>
      </c>
      <c r="T31" s="294"/>
      <c r="U31" s="276" t="s">
        <v>207</v>
      </c>
      <c r="V31" s="294">
        <f>SUM('DS BUDACT ER'!O68:O69)</f>
        <v>0</v>
      </c>
      <c r="W31" s="294">
        <f>SUM('DS BUDACT ER'!P68:P69)</f>
        <v>0</v>
      </c>
      <c r="X31" s="294">
        <f t="shared" si="14"/>
        <v>0</v>
      </c>
      <c r="Y31" s="294"/>
      <c r="Z31" s="276" t="s">
        <v>207</v>
      </c>
      <c r="AA31" s="294"/>
      <c r="AB31" s="294">
        <f>SUM('DS BUDACT ER'!R68:R69)</f>
        <v>0</v>
      </c>
      <c r="AC31" s="294">
        <f>SUM('DS BUDACT ER'!S68:S69)</f>
        <v>0</v>
      </c>
      <c r="AD31" s="294">
        <f t="shared" si="15"/>
        <v>0</v>
      </c>
      <c r="AF31" s="276" t="s">
        <v>207</v>
      </c>
      <c r="AG31" s="294"/>
      <c r="AH31" s="294">
        <f>SUM('DS BUDACT ER'!U68:U69)</f>
        <v>0</v>
      </c>
      <c r="AI31" s="294">
        <f>SUM('DS BUDACT ER'!V68:V69)</f>
        <v>0</v>
      </c>
      <c r="AJ31" s="294">
        <f t="shared" si="16"/>
        <v>0</v>
      </c>
      <c r="AK31" s="294"/>
      <c r="AL31" s="276" t="s">
        <v>207</v>
      </c>
      <c r="AN31" s="294"/>
      <c r="AO31" s="294"/>
      <c r="AP31" s="294"/>
      <c r="AQ31" s="294">
        <f t="shared" si="17"/>
        <v>0</v>
      </c>
      <c r="AR31" s="294">
        <f t="shared" si="18"/>
        <v>0</v>
      </c>
      <c r="AS31" s="294">
        <f t="shared" si="19"/>
        <v>0</v>
      </c>
      <c r="AT31" s="294"/>
    </row>
    <row r="32" spans="2:46" ht="15.75" hidden="1">
      <c r="B32" s="276" t="s">
        <v>350</v>
      </c>
      <c r="C32" s="294">
        <f>SUM('DS BUDACT ER'!C71:C72)</f>
        <v>0</v>
      </c>
      <c r="D32" s="294">
        <f>SUM('DS BUDACT ER'!D71:D72)</f>
        <v>0</v>
      </c>
      <c r="E32" s="294">
        <f t="shared" si="10"/>
        <v>0</v>
      </c>
      <c r="F32" s="294"/>
      <c r="G32" s="294">
        <f>SUM('DS BUDACT ER'!F71:F72)</f>
        <v>0</v>
      </c>
      <c r="H32" s="294">
        <f>SUM('DS BUDACT ER'!G71:G72)</f>
        <v>0</v>
      </c>
      <c r="I32" s="294">
        <f t="shared" si="11"/>
        <v>0</v>
      </c>
      <c r="J32" s="294"/>
      <c r="K32" s="294"/>
      <c r="L32" s="276" t="s">
        <v>350</v>
      </c>
      <c r="M32" s="294">
        <f>SUM('DS BUDACT ER'!I71:I72)</f>
        <v>0</v>
      </c>
      <c r="N32" s="294">
        <f>SUM('DS BUDACT ER'!J71:J72)</f>
        <v>0</v>
      </c>
      <c r="O32" s="294">
        <f t="shared" si="12"/>
        <v>0</v>
      </c>
      <c r="P32" s="294"/>
      <c r="Q32" s="294">
        <f>SUM('DS BUDACT ER'!L71:L72)</f>
        <v>0</v>
      </c>
      <c r="R32" s="294">
        <f>SUM('DS BUDACT ER'!M71:M72)</f>
        <v>0</v>
      </c>
      <c r="S32" s="294">
        <f t="shared" si="13"/>
        <v>0</v>
      </c>
      <c r="T32" s="294"/>
      <c r="U32" s="276" t="s">
        <v>350</v>
      </c>
      <c r="V32" s="294">
        <f>SUM('DS BUDACT ER'!O71:O72)</f>
        <v>0</v>
      </c>
      <c r="W32" s="294">
        <f>SUM('DS BUDACT ER'!P71:P72)</f>
        <v>0</v>
      </c>
      <c r="X32" s="294">
        <f t="shared" si="14"/>
        <v>0</v>
      </c>
      <c r="Y32" s="294"/>
      <c r="Z32" s="276" t="s">
        <v>350</v>
      </c>
      <c r="AA32" s="294"/>
      <c r="AB32" s="294">
        <f>SUM('DS BUDACT ER'!R71:R72)</f>
        <v>0</v>
      </c>
      <c r="AC32" s="294">
        <f>SUM('DS BUDACT ER'!S71:S72)</f>
        <v>0</v>
      </c>
      <c r="AD32" s="294">
        <f t="shared" si="15"/>
        <v>0</v>
      </c>
      <c r="AF32" s="276" t="s">
        <v>350</v>
      </c>
      <c r="AG32" s="294"/>
      <c r="AH32" s="294">
        <f>SUM('DS BUDACT ER'!U71:U72)</f>
        <v>0</v>
      </c>
      <c r="AI32" s="294">
        <f>SUM('DS BUDACT ER'!V71:V72)</f>
        <v>0</v>
      </c>
      <c r="AJ32" s="294">
        <f t="shared" si="16"/>
        <v>0</v>
      </c>
      <c r="AK32" s="294"/>
      <c r="AL32" s="276" t="s">
        <v>350</v>
      </c>
      <c r="AN32" s="294"/>
      <c r="AO32" s="294"/>
      <c r="AP32" s="294"/>
      <c r="AQ32" s="294">
        <f t="shared" si="17"/>
        <v>0</v>
      </c>
      <c r="AR32" s="294">
        <f t="shared" si="18"/>
        <v>0</v>
      </c>
      <c r="AS32" s="294">
        <f t="shared" si="19"/>
        <v>0</v>
      </c>
      <c r="AT32" s="294"/>
    </row>
    <row r="33" spans="2:46" ht="15.75" hidden="1">
      <c r="B33" s="276" t="s">
        <v>351</v>
      </c>
      <c r="C33" s="294">
        <f>SUM('DS BUDACT ER'!C74:C75)</f>
        <v>0</v>
      </c>
      <c r="D33" s="294">
        <f>SUM('DS BUDACT ER'!D74:D75)</f>
        <v>0</v>
      </c>
      <c r="E33" s="294">
        <f t="shared" si="10"/>
        <v>0</v>
      </c>
      <c r="F33" s="294"/>
      <c r="G33" s="294">
        <f>SUM('DS BUDACT ER'!F74:F75)</f>
        <v>0</v>
      </c>
      <c r="H33" s="294">
        <f>SUM('DS BUDACT ER'!G74:G75)</f>
        <v>0</v>
      </c>
      <c r="I33" s="294">
        <f t="shared" si="11"/>
        <v>0</v>
      </c>
      <c r="J33" s="294"/>
      <c r="K33" s="294"/>
      <c r="L33" s="276" t="s">
        <v>351</v>
      </c>
      <c r="M33" s="294">
        <f>SUM('DS BUDACT ER'!I74:I75)</f>
        <v>0</v>
      </c>
      <c r="N33" s="294">
        <f>SUM('DS BUDACT ER'!J74:J75)</f>
        <v>0</v>
      </c>
      <c r="O33" s="294">
        <f t="shared" si="12"/>
        <v>0</v>
      </c>
      <c r="P33" s="294"/>
      <c r="Q33" s="294">
        <f>SUM('DS BUDACT ER'!L74:L75)</f>
        <v>0</v>
      </c>
      <c r="R33" s="294">
        <f>SUM('DS BUDACT ER'!M74:M75)</f>
        <v>0</v>
      </c>
      <c r="S33" s="294">
        <f t="shared" si="13"/>
        <v>0</v>
      </c>
      <c r="T33" s="294"/>
      <c r="U33" s="276" t="s">
        <v>351</v>
      </c>
      <c r="V33" s="294">
        <f>SUM('DS BUDACT ER'!O74:O75)</f>
        <v>0</v>
      </c>
      <c r="W33" s="294">
        <f>SUM('DS BUDACT ER'!P74:P75)</f>
        <v>0</v>
      </c>
      <c r="X33" s="294">
        <f t="shared" si="14"/>
        <v>0</v>
      </c>
      <c r="Y33" s="294"/>
      <c r="Z33" s="276" t="s">
        <v>351</v>
      </c>
      <c r="AA33" s="294"/>
      <c r="AB33" s="294">
        <f>SUM('DS BUDACT ER'!R74:R75)</f>
        <v>0</v>
      </c>
      <c r="AC33" s="294">
        <f>SUM('DS BUDACT ER'!S74:S75)</f>
        <v>0</v>
      </c>
      <c r="AD33" s="294">
        <f t="shared" si="15"/>
        <v>0</v>
      </c>
      <c r="AF33" s="276" t="s">
        <v>351</v>
      </c>
      <c r="AG33" s="294"/>
      <c r="AH33" s="294">
        <f>SUM('DS BUDACT ER'!U74:U75)</f>
        <v>0</v>
      </c>
      <c r="AI33" s="294">
        <f>SUM('DS BUDACT ER'!V74:V75)</f>
        <v>0</v>
      </c>
      <c r="AJ33" s="294">
        <f t="shared" si="16"/>
        <v>0</v>
      </c>
      <c r="AK33" s="294"/>
      <c r="AL33" s="276" t="s">
        <v>351</v>
      </c>
      <c r="AN33" s="294"/>
      <c r="AO33" s="294"/>
      <c r="AP33" s="294"/>
      <c r="AQ33" s="294">
        <f t="shared" si="17"/>
        <v>0</v>
      </c>
      <c r="AR33" s="294">
        <f t="shared" si="18"/>
        <v>0</v>
      </c>
      <c r="AS33" s="294">
        <f t="shared" si="19"/>
        <v>0</v>
      </c>
      <c r="AT33" s="294"/>
    </row>
    <row r="34" spans="2:46" ht="15.75">
      <c r="B34" s="276" t="s">
        <v>352</v>
      </c>
      <c r="C34" s="294">
        <f>SUM('DS BUDACT ER'!C77:C78)</f>
        <v>112807</v>
      </c>
      <c r="D34" s="294">
        <f>SUM('DS BUDACT ER'!D77:D78)</f>
        <v>112309</v>
      </c>
      <c r="E34" s="294">
        <f t="shared" si="10"/>
        <v>498</v>
      </c>
      <c r="F34" s="294"/>
      <c r="G34" s="294">
        <f>SUM('DS BUDACT ER'!F77:F78)</f>
        <v>966683</v>
      </c>
      <c r="H34" s="294">
        <f>SUM('DS BUDACT ER'!G77:G78)</f>
        <v>966683</v>
      </c>
      <c r="I34" s="294">
        <f t="shared" si="11"/>
        <v>0</v>
      </c>
      <c r="J34" s="294"/>
      <c r="K34" s="294"/>
      <c r="L34" s="276" t="s">
        <v>352</v>
      </c>
      <c r="M34" s="294">
        <f>SUM('DS BUDACT ER'!I77:I78)</f>
        <v>0</v>
      </c>
      <c r="N34" s="294">
        <f>SUM('DS BUDACT ER'!J77:J78)</f>
        <v>0</v>
      </c>
      <c r="O34" s="294">
        <f t="shared" si="12"/>
        <v>0</v>
      </c>
      <c r="P34" s="294"/>
      <c r="Q34" s="294">
        <f>SUM('DS BUDACT ER'!L77:L78)</f>
        <v>0</v>
      </c>
      <c r="R34" s="294">
        <f>SUM('DS BUDACT ER'!M77:M78)</f>
        <v>0</v>
      </c>
      <c r="S34" s="294">
        <f t="shared" si="13"/>
        <v>0</v>
      </c>
      <c r="T34" s="294"/>
      <c r="U34" s="276" t="s">
        <v>352</v>
      </c>
      <c r="V34" s="294">
        <f>SUM('DS BUDACT ER'!O77:O78)</f>
        <v>96529</v>
      </c>
      <c r="W34" s="294">
        <f>SUM('DS BUDACT ER'!P77:P78)</f>
        <v>96470</v>
      </c>
      <c r="X34" s="294">
        <f t="shared" si="14"/>
        <v>59</v>
      </c>
      <c r="Y34" s="294"/>
      <c r="Z34" s="276" t="s">
        <v>352</v>
      </c>
      <c r="AA34" s="294"/>
      <c r="AB34" s="294">
        <f>SUM('DS BUDACT ER'!R77:R78)</f>
        <v>636600</v>
      </c>
      <c r="AC34" s="294">
        <f>SUM('DS BUDACT ER'!S77:S78)</f>
        <v>636600</v>
      </c>
      <c r="AD34" s="294">
        <f t="shared" si="15"/>
        <v>0</v>
      </c>
      <c r="AF34" s="276" t="s">
        <v>352</v>
      </c>
      <c r="AG34" s="294"/>
      <c r="AH34" s="294">
        <f>SUM('DS BUDACT ER'!U77:U78)</f>
        <v>135462</v>
      </c>
      <c r="AI34" s="294">
        <f>SUM('DS BUDACT ER'!V77:V78)</f>
        <v>97148</v>
      </c>
      <c r="AJ34" s="294">
        <f t="shared" si="16"/>
        <v>38314</v>
      </c>
      <c r="AK34" s="294"/>
      <c r="AL34" s="276" t="s">
        <v>352</v>
      </c>
      <c r="AN34" s="294"/>
      <c r="AO34" s="294"/>
      <c r="AP34" s="294"/>
      <c r="AQ34" s="294">
        <f t="shared" si="17"/>
        <v>1948081</v>
      </c>
      <c r="AR34" s="294">
        <f t="shared" si="18"/>
        <v>1909210</v>
      </c>
      <c r="AS34" s="294">
        <f t="shared" si="19"/>
        <v>38871</v>
      </c>
      <c r="AT34" s="294"/>
    </row>
    <row r="35" spans="2:46" ht="15.75" hidden="1">
      <c r="B35" s="276" t="s">
        <v>462</v>
      </c>
      <c r="C35" s="294">
        <f>+'DS BUDACT ER'!C79</f>
        <v>0</v>
      </c>
      <c r="D35" s="294">
        <f>+'DS BUDACT ER'!D79</f>
        <v>0</v>
      </c>
      <c r="E35" s="294">
        <f t="shared" si="10"/>
        <v>0</v>
      </c>
      <c r="F35" s="294"/>
      <c r="G35" s="294">
        <f>+'DS BUDACT ER'!F79</f>
        <v>0</v>
      </c>
      <c r="H35" s="294">
        <f>+'DS BUDACT ER'!G79</f>
        <v>0</v>
      </c>
      <c r="I35" s="294">
        <f t="shared" si="11"/>
        <v>0</v>
      </c>
      <c r="J35" s="294"/>
      <c r="K35" s="294"/>
      <c r="L35" s="276" t="s">
        <v>462</v>
      </c>
      <c r="M35" s="294">
        <f>+'DS BUDACT ER'!I79</f>
        <v>0</v>
      </c>
      <c r="N35" s="294">
        <f>+'DS BUDACT ER'!J79</f>
        <v>0</v>
      </c>
      <c r="O35" s="294">
        <f t="shared" si="12"/>
        <v>0</v>
      </c>
      <c r="P35" s="294"/>
      <c r="Q35" s="294">
        <f>+'DS BUDACT ER'!L79</f>
        <v>0</v>
      </c>
      <c r="R35" s="294">
        <f>+'DS BUDACT ER'!M79</f>
        <v>0</v>
      </c>
      <c r="S35" s="294">
        <f t="shared" si="13"/>
        <v>0</v>
      </c>
      <c r="T35" s="294"/>
      <c r="U35" s="276" t="s">
        <v>462</v>
      </c>
      <c r="V35" s="294">
        <f>+'DS BUDACT ER'!O79</f>
        <v>0</v>
      </c>
      <c r="W35" s="294">
        <f>+'DS BUDACT ER'!P79</f>
        <v>0</v>
      </c>
      <c r="X35" s="294">
        <f t="shared" si="14"/>
        <v>0</v>
      </c>
      <c r="Y35" s="294"/>
      <c r="Z35" s="276" t="s">
        <v>462</v>
      </c>
      <c r="AA35" s="294"/>
      <c r="AB35" s="294">
        <f>('DS BUDACT ER'!R79)</f>
        <v>0</v>
      </c>
      <c r="AC35" s="294">
        <f>('DS BUDACT ER'!S79)</f>
        <v>0</v>
      </c>
      <c r="AD35" s="294">
        <f t="shared" si="15"/>
        <v>0</v>
      </c>
      <c r="AF35" s="276" t="s">
        <v>462</v>
      </c>
      <c r="AG35" s="294"/>
      <c r="AH35" s="294">
        <f>('DS BUDACT ER'!U79)</f>
        <v>0</v>
      </c>
      <c r="AI35" s="294">
        <f>('DS BUDACT ER'!V79)</f>
        <v>0</v>
      </c>
      <c r="AJ35" s="294">
        <f t="shared" si="16"/>
        <v>0</v>
      </c>
      <c r="AK35" s="294"/>
      <c r="AL35" s="276" t="s">
        <v>462</v>
      </c>
      <c r="AN35" s="294"/>
      <c r="AO35" s="294"/>
      <c r="AP35" s="294"/>
      <c r="AQ35" s="294">
        <f t="shared" si="17"/>
        <v>0</v>
      </c>
      <c r="AR35" s="294">
        <f t="shared" si="18"/>
        <v>0</v>
      </c>
      <c r="AS35" s="294">
        <f t="shared" si="19"/>
        <v>0</v>
      </c>
      <c r="AT35" s="294"/>
    </row>
    <row r="36" spans="2:46" ht="15.75">
      <c r="B36" s="276"/>
      <c r="C36" s="337"/>
      <c r="D36" s="337"/>
      <c r="E36" s="337"/>
      <c r="F36" s="294"/>
      <c r="G36" s="337"/>
      <c r="H36" s="337"/>
      <c r="I36" s="337"/>
      <c r="J36" s="294"/>
      <c r="K36" s="294"/>
      <c r="L36" s="276"/>
      <c r="M36" s="337"/>
      <c r="N36" s="337"/>
      <c r="O36" s="337"/>
      <c r="P36" s="294"/>
      <c r="Q36" s="337"/>
      <c r="R36" s="337"/>
      <c r="S36" s="337"/>
      <c r="T36" s="294"/>
      <c r="U36" s="276"/>
      <c r="V36" s="337"/>
      <c r="W36" s="337"/>
      <c r="X36" s="337"/>
      <c r="Y36" s="294"/>
      <c r="Z36" s="276"/>
      <c r="AA36" s="294"/>
      <c r="AB36" s="337"/>
      <c r="AC36" s="337"/>
      <c r="AD36" s="337"/>
      <c r="AF36" s="276"/>
      <c r="AG36" s="294"/>
      <c r="AH36" s="337"/>
      <c r="AI36" s="337"/>
      <c r="AJ36" s="337"/>
      <c r="AK36" s="294"/>
      <c r="AL36" s="276"/>
      <c r="AN36" s="294"/>
      <c r="AO36" s="294"/>
      <c r="AP36" s="294"/>
      <c r="AQ36" s="337"/>
      <c r="AR36" s="337"/>
      <c r="AS36" s="337"/>
      <c r="AT36" s="294"/>
    </row>
    <row r="37" spans="2:46" ht="15.75">
      <c r="B37" s="308" t="s">
        <v>1211</v>
      </c>
      <c r="C37" s="301">
        <f>SUM(C28:C36)</f>
        <v>112807</v>
      </c>
      <c r="D37" s="301">
        <f>SUM(D28:D36)</f>
        <v>112309</v>
      </c>
      <c r="E37" s="301">
        <f>SUM(E28:E36)</f>
        <v>498</v>
      </c>
      <c r="F37" s="294"/>
      <c r="G37" s="301">
        <f>SUM(G28:G36)</f>
        <v>966683</v>
      </c>
      <c r="H37" s="301">
        <f>SUM(H28:H36)</f>
        <v>966683</v>
      </c>
      <c r="I37" s="301">
        <f>SUM(I28:I36)</f>
        <v>0</v>
      </c>
      <c r="J37" s="300"/>
      <c r="K37" s="300"/>
      <c r="L37" s="308" t="s">
        <v>1211</v>
      </c>
      <c r="M37" s="301">
        <f>SUM(M28:M36)</f>
        <v>0</v>
      </c>
      <c r="N37" s="301">
        <f>SUM(N28:N36)</f>
        <v>0</v>
      </c>
      <c r="O37" s="301">
        <f>SUM(O28:O36)</f>
        <v>0</v>
      </c>
      <c r="P37" s="294"/>
      <c r="Q37" s="301">
        <f>SUM(Q28:Q36)</f>
        <v>0</v>
      </c>
      <c r="R37" s="301">
        <f>SUM(R28:R36)</f>
        <v>0</v>
      </c>
      <c r="S37" s="301">
        <f>SUM(S28:S36)</f>
        <v>0</v>
      </c>
      <c r="T37" s="300"/>
      <c r="U37" s="308" t="s">
        <v>1211</v>
      </c>
      <c r="V37" s="301">
        <f>SUM(V28:V36)</f>
        <v>96529</v>
      </c>
      <c r="W37" s="301">
        <f>SUM(W28:W36)</f>
        <v>96470</v>
      </c>
      <c r="X37" s="301">
        <f>SUM(X28:X36)</f>
        <v>59</v>
      </c>
      <c r="Y37" s="294"/>
      <c r="Z37" s="308" t="s">
        <v>1211</v>
      </c>
      <c r="AA37" s="300"/>
      <c r="AB37" s="301">
        <f>SUM(AB28:AB36)</f>
        <v>636600</v>
      </c>
      <c r="AC37" s="301">
        <f>SUM(AC28:AC36)</f>
        <v>636600</v>
      </c>
      <c r="AD37" s="301">
        <f>SUM(AD28:AD36)</f>
        <v>0</v>
      </c>
      <c r="AF37" s="308" t="s">
        <v>1211</v>
      </c>
      <c r="AG37" s="294"/>
      <c r="AH37" s="301">
        <f>SUM(AH28:AH36)</f>
        <v>135462</v>
      </c>
      <c r="AI37" s="301">
        <f>SUM(AI28:AI36)</f>
        <v>97148</v>
      </c>
      <c r="AJ37" s="301">
        <f>SUM(AJ28:AJ36)</f>
        <v>38314</v>
      </c>
      <c r="AK37" s="294"/>
      <c r="AL37" s="308" t="s">
        <v>1211</v>
      </c>
      <c r="AN37" s="294"/>
      <c r="AO37" s="294"/>
      <c r="AP37" s="294"/>
      <c r="AQ37" s="301">
        <f>SUM(AQ28:AQ36)</f>
        <v>1948081</v>
      </c>
      <c r="AR37" s="301">
        <f>SUM(AR28:AR36)</f>
        <v>1909210</v>
      </c>
      <c r="AS37" s="301">
        <f>SUM(AS28:AS36)</f>
        <v>38871</v>
      </c>
      <c r="AT37" s="294"/>
    </row>
    <row r="38" spans="2:46" ht="15.75">
      <c r="B38" s="308" t="s">
        <v>677</v>
      </c>
      <c r="C38" s="296"/>
      <c r="D38" s="296"/>
      <c r="E38" s="296"/>
      <c r="F38" s="294"/>
      <c r="G38" s="296"/>
      <c r="H38" s="296"/>
      <c r="I38" s="296"/>
      <c r="J38" s="296"/>
      <c r="K38" s="296"/>
      <c r="L38" s="308" t="s">
        <v>677</v>
      </c>
      <c r="M38" s="296"/>
      <c r="N38" s="296"/>
      <c r="O38" s="296"/>
      <c r="P38" s="294"/>
      <c r="Q38" s="296"/>
      <c r="R38" s="296"/>
      <c r="S38" s="296"/>
      <c r="T38" s="296"/>
      <c r="U38" s="308" t="s">
        <v>677</v>
      </c>
      <c r="V38" s="296"/>
      <c r="W38" s="296"/>
      <c r="X38" s="296"/>
      <c r="Y38" s="294"/>
      <c r="Z38" s="308" t="s">
        <v>677</v>
      </c>
      <c r="AA38" s="296"/>
      <c r="AB38" s="296"/>
      <c r="AC38" s="296"/>
      <c r="AD38" s="296"/>
      <c r="AF38" s="308" t="s">
        <v>677</v>
      </c>
      <c r="AG38" s="294"/>
      <c r="AH38" s="296"/>
      <c r="AI38" s="296"/>
      <c r="AJ38" s="296"/>
      <c r="AK38" s="294"/>
      <c r="AL38" s="308" t="s">
        <v>677</v>
      </c>
      <c r="AN38" s="294"/>
      <c r="AO38" s="294"/>
      <c r="AP38" s="294"/>
      <c r="AQ38" s="296"/>
      <c r="AR38" s="296"/>
      <c r="AS38" s="296"/>
      <c r="AT38" s="294"/>
    </row>
    <row r="39" spans="2:46" ht="15.75">
      <c r="B39" s="308" t="s">
        <v>598</v>
      </c>
      <c r="C39" s="300">
        <f>SUM(C24-C37)</f>
        <v>0</v>
      </c>
      <c r="D39" s="300">
        <f>SUM(D24-D37)</f>
        <v>0</v>
      </c>
      <c r="E39" s="300">
        <f>+E24+E37</f>
        <v>0</v>
      </c>
      <c r="F39" s="294"/>
      <c r="G39" s="300">
        <f>SUM(G24-G37)</f>
        <v>-39500</v>
      </c>
      <c r="H39" s="300">
        <f>SUM(H24-H37)</f>
        <v>-5661</v>
      </c>
      <c r="I39" s="300">
        <f>+I24+I37</f>
        <v>33839</v>
      </c>
      <c r="J39" s="300"/>
      <c r="K39" s="300"/>
      <c r="L39" s="308" t="s">
        <v>598</v>
      </c>
      <c r="M39" s="300">
        <f>SUM(M24-M37)</f>
        <v>0</v>
      </c>
      <c r="N39" s="300">
        <f>SUM(N24-N37)</f>
        <v>0</v>
      </c>
      <c r="O39" s="300">
        <f>+O24+O37</f>
        <v>0</v>
      </c>
      <c r="P39" s="294"/>
      <c r="Q39" s="300">
        <f>SUM(Q24-Q37)</f>
        <v>0</v>
      </c>
      <c r="R39" s="300">
        <f>SUM(R24-R37)</f>
        <v>12653</v>
      </c>
      <c r="S39" s="300">
        <f>+S24+S37</f>
        <v>12653</v>
      </c>
      <c r="T39" s="300"/>
      <c r="U39" s="308" t="s">
        <v>598</v>
      </c>
      <c r="V39" s="300">
        <f>SUM(V24-V37)</f>
        <v>3471</v>
      </c>
      <c r="W39" s="300">
        <f>SUM(W24-W37)</f>
        <v>-3588</v>
      </c>
      <c r="X39" s="300">
        <f>+X24+X37</f>
        <v>-7059</v>
      </c>
      <c r="Y39" s="294"/>
      <c r="Z39" s="308" t="s">
        <v>598</v>
      </c>
      <c r="AA39" s="300"/>
      <c r="AB39" s="300">
        <f>SUM(AB24-AB37)</f>
        <v>0</v>
      </c>
      <c r="AC39" s="300">
        <f>SUM(AC24-AC37)</f>
        <v>14613</v>
      </c>
      <c r="AD39" s="300">
        <f>+AD24+AD37</f>
        <v>14613</v>
      </c>
      <c r="AF39" s="308" t="s">
        <v>598</v>
      </c>
      <c r="AG39" s="294"/>
      <c r="AH39" s="300">
        <f>SUM(AH24-AH37)</f>
        <v>-39115</v>
      </c>
      <c r="AI39" s="300">
        <f>SUM(AI24-AI37)</f>
        <v>34428</v>
      </c>
      <c r="AJ39" s="300">
        <f>+AJ24+AJ37</f>
        <v>73543</v>
      </c>
      <c r="AK39" s="294"/>
      <c r="AL39" s="308" t="s">
        <v>598</v>
      </c>
      <c r="AN39" s="294"/>
      <c r="AO39" s="294"/>
      <c r="AP39" s="294"/>
      <c r="AQ39" s="300">
        <f>SUM(AQ24-AQ37)</f>
        <v>-75144</v>
      </c>
      <c r="AR39" s="300">
        <f>SUM(AR24-AR37)</f>
        <v>52445</v>
      </c>
      <c r="AS39" s="300">
        <f>+AS24+AS37</f>
        <v>127589</v>
      </c>
      <c r="AT39" s="294"/>
    </row>
    <row r="40" spans="2:46" ht="15.75">
      <c r="B40" s="276"/>
      <c r="C40" s="296"/>
      <c r="D40" s="296"/>
      <c r="E40" s="294"/>
      <c r="F40" s="294"/>
      <c r="G40" s="296"/>
      <c r="H40" s="296"/>
      <c r="I40" s="294"/>
      <c r="J40" s="294"/>
      <c r="K40" s="294"/>
      <c r="L40" s="276"/>
      <c r="M40" s="296"/>
      <c r="N40" s="296"/>
      <c r="O40" s="294"/>
      <c r="P40" s="294"/>
      <c r="Q40" s="296"/>
      <c r="R40" s="296"/>
      <c r="S40" s="294"/>
      <c r="T40" s="294"/>
      <c r="U40" s="276"/>
      <c r="V40" s="296"/>
      <c r="W40" s="296"/>
      <c r="X40" s="294"/>
      <c r="Y40" s="294"/>
      <c r="Z40" s="276"/>
      <c r="AA40" s="294"/>
      <c r="AB40" s="296"/>
      <c r="AC40" s="296"/>
      <c r="AD40" s="294"/>
      <c r="AF40" s="276"/>
      <c r="AG40" s="294"/>
      <c r="AH40" s="296"/>
      <c r="AI40" s="296"/>
      <c r="AJ40" s="294"/>
      <c r="AK40" s="294"/>
      <c r="AL40" s="276"/>
      <c r="AN40" s="294"/>
      <c r="AO40" s="294"/>
      <c r="AP40" s="294"/>
      <c r="AQ40" s="296"/>
      <c r="AR40" s="296"/>
      <c r="AS40" s="296"/>
      <c r="AT40" s="294"/>
    </row>
    <row r="41" spans="2:46" ht="15.75">
      <c r="B41" s="308" t="s">
        <v>833</v>
      </c>
      <c r="C41" s="314"/>
      <c r="D41" s="314"/>
      <c r="E41" s="294"/>
      <c r="F41" s="294"/>
      <c r="G41" s="314"/>
      <c r="H41" s="314"/>
      <c r="I41" s="294"/>
      <c r="J41" s="294"/>
      <c r="K41" s="294"/>
      <c r="L41" s="308" t="s">
        <v>833</v>
      </c>
      <c r="M41" s="314"/>
      <c r="N41" s="314"/>
      <c r="O41" s="294"/>
      <c r="P41" s="294"/>
      <c r="Q41" s="314"/>
      <c r="R41" s="314"/>
      <c r="S41" s="294"/>
      <c r="T41" s="294"/>
      <c r="U41" s="308" t="s">
        <v>833</v>
      </c>
      <c r="V41" s="314"/>
      <c r="W41" s="314"/>
      <c r="X41" s="294"/>
      <c r="Y41" s="294"/>
      <c r="Z41" s="308" t="s">
        <v>833</v>
      </c>
      <c r="AA41" s="294"/>
      <c r="AB41" s="314"/>
      <c r="AC41" s="314"/>
      <c r="AD41" s="294"/>
      <c r="AF41" s="308" t="s">
        <v>833</v>
      </c>
      <c r="AG41" s="294"/>
      <c r="AH41" s="314"/>
      <c r="AI41" s="314"/>
      <c r="AJ41" s="294"/>
      <c r="AK41" s="294"/>
      <c r="AL41" s="308" t="s">
        <v>833</v>
      </c>
      <c r="AN41" s="294"/>
      <c r="AO41" s="294"/>
      <c r="AP41" s="294"/>
      <c r="AQ41" s="314"/>
      <c r="AR41" s="314"/>
      <c r="AS41" s="294"/>
      <c r="AT41" s="294"/>
    </row>
    <row r="42" spans="2:46" ht="15.75" hidden="1">
      <c r="B42" s="276" t="s">
        <v>1213</v>
      </c>
      <c r="C42" s="294">
        <f>+'DS BUDACT ER'!C86</f>
        <v>0</v>
      </c>
      <c r="D42" s="294">
        <f>+'DS BUDACT ER'!D86</f>
        <v>0</v>
      </c>
      <c r="E42" s="294">
        <f t="shared" ref="E42:E48" si="20">SUM(D42-C42)</f>
        <v>0</v>
      </c>
      <c r="F42" s="294"/>
      <c r="G42" s="294">
        <f>+'DS BUDACT ER'!F86</f>
        <v>0</v>
      </c>
      <c r="H42" s="294">
        <f>+'DS BUDACT ER'!G86</f>
        <v>0</v>
      </c>
      <c r="I42" s="294">
        <f>SUM(H42-G42)</f>
        <v>0</v>
      </c>
      <c r="J42" s="294"/>
      <c r="K42" s="294"/>
      <c r="L42" s="276" t="s">
        <v>1213</v>
      </c>
      <c r="M42" s="294">
        <f>+'DS BUDACT ER'!I86</f>
        <v>0</v>
      </c>
      <c r="N42" s="294">
        <f>+'DS BUDACT ER'!J86</f>
        <v>0</v>
      </c>
      <c r="O42" s="294">
        <f>SUM(N42-M42)</f>
        <v>0</v>
      </c>
      <c r="P42" s="294"/>
      <c r="Q42" s="294">
        <f>+'DS BUDACT ER'!L86</f>
        <v>0</v>
      </c>
      <c r="R42" s="294">
        <f>+'DS BUDACT ER'!M86</f>
        <v>0</v>
      </c>
      <c r="S42" s="294">
        <f>SUM(R42-Q42)</f>
        <v>0</v>
      </c>
      <c r="T42" s="294"/>
      <c r="U42" s="276" t="s">
        <v>1213</v>
      </c>
      <c r="V42" s="294">
        <f>+'DS BUDACT ER'!O86</f>
        <v>0</v>
      </c>
      <c r="W42" s="294">
        <f>+'DS BUDACT ER'!P86</f>
        <v>0</v>
      </c>
      <c r="X42" s="294">
        <f>SUM(W42-V42)</f>
        <v>0</v>
      </c>
      <c r="Y42" s="294"/>
      <c r="Z42" s="276" t="s">
        <v>1213</v>
      </c>
      <c r="AA42" s="294"/>
      <c r="AB42" s="294">
        <f>+'DS BUDACT ER'!R86</f>
        <v>0</v>
      </c>
      <c r="AC42" s="294">
        <f>+'DS BUDACT ER'!S86</f>
        <v>0</v>
      </c>
      <c r="AD42" s="294">
        <f>SUM(AC42-AB42)</f>
        <v>0</v>
      </c>
      <c r="AF42" s="276" t="s">
        <v>1213</v>
      </c>
      <c r="AG42" s="294"/>
      <c r="AH42" s="294">
        <f>('DS BUDACT ER'!U86)</f>
        <v>0</v>
      </c>
      <c r="AI42" s="294">
        <f>('DS BUDACT ER'!V86)</f>
        <v>0</v>
      </c>
      <c r="AJ42" s="294">
        <f>SUM(AI42-AH42)</f>
        <v>0</v>
      </c>
      <c r="AK42" s="294"/>
      <c r="AL42" s="276" t="s">
        <v>1213</v>
      </c>
      <c r="AN42" s="294"/>
      <c r="AO42" s="294"/>
      <c r="AP42" s="294"/>
      <c r="AQ42" s="294">
        <f t="shared" ref="AQ42:AQ48" si="21">+C42+G42+M42+Q42+AH42+V42+AB42</f>
        <v>0</v>
      </c>
      <c r="AR42" s="294">
        <f t="shared" ref="AR42:AR48" si="22">+D42+H42+N42+R42+W42+AI42+AC42</f>
        <v>0</v>
      </c>
      <c r="AS42" s="294">
        <f t="shared" ref="AS42:AS48" si="23">SUM(AR42-AQ42)</f>
        <v>0</v>
      </c>
      <c r="AT42" s="294"/>
    </row>
    <row r="43" spans="2:46" ht="15.75">
      <c r="B43" s="276" t="s">
        <v>1214</v>
      </c>
      <c r="C43" s="294">
        <f>+'DS BUDACT ER'!C87</f>
        <v>0</v>
      </c>
      <c r="D43" s="294">
        <f>+'DS BUDACT ER'!D87</f>
        <v>0</v>
      </c>
      <c r="E43" s="294">
        <f t="shared" si="20"/>
        <v>0</v>
      </c>
      <c r="F43" s="294"/>
      <c r="G43" s="294">
        <f>+'DS BUDACT ER'!F87</f>
        <v>0</v>
      </c>
      <c r="H43" s="294">
        <f>+'DS BUDACT ER'!G87</f>
        <v>0</v>
      </c>
      <c r="I43" s="294">
        <f>SUM(H43-G43)</f>
        <v>0</v>
      </c>
      <c r="J43" s="294"/>
      <c r="K43" s="294"/>
      <c r="L43" s="276" t="s">
        <v>1214</v>
      </c>
      <c r="M43" s="294">
        <f>+'DS BUDACT ER'!I87</f>
        <v>0</v>
      </c>
      <c r="N43" s="294">
        <f>+'DS BUDACT ER'!J87</f>
        <v>0</v>
      </c>
      <c r="O43" s="294">
        <f>SUM(N43-M43)</f>
        <v>0</v>
      </c>
      <c r="P43" s="294"/>
      <c r="Q43" s="294">
        <f>+'DS BUDACT ER'!L87</f>
        <v>0</v>
      </c>
      <c r="R43" s="294">
        <f>+'DS BUDACT ER'!M87</f>
        <v>0</v>
      </c>
      <c r="S43" s="294">
        <f>SUM(R43-Q43)</f>
        <v>0</v>
      </c>
      <c r="T43" s="294"/>
      <c r="U43" s="276" t="s">
        <v>1214</v>
      </c>
      <c r="V43" s="294">
        <f>+'DS BUDACT ER'!O87</f>
        <v>0</v>
      </c>
      <c r="W43" s="294">
        <f>+'DS BUDACT ER'!P87</f>
        <v>0</v>
      </c>
      <c r="X43" s="294">
        <f>SUM(W43-V43)</f>
        <v>0</v>
      </c>
      <c r="Y43" s="294"/>
      <c r="Z43" s="276" t="s">
        <v>1214</v>
      </c>
      <c r="AA43" s="294"/>
      <c r="AB43" s="294">
        <f>+'DS BUDACT ER'!R87</f>
        <v>0</v>
      </c>
      <c r="AC43" s="294">
        <f>+'DS BUDACT ER'!S87</f>
        <v>0</v>
      </c>
      <c r="AD43" s="294">
        <f>SUM(AC43-AB43)</f>
        <v>0</v>
      </c>
      <c r="AF43" s="276" t="s">
        <v>1214</v>
      </c>
      <c r="AG43" s="294"/>
      <c r="AH43" s="294">
        <f>('DS BUDACT ER'!U87)</f>
        <v>0</v>
      </c>
      <c r="AI43" s="294">
        <f>('DS BUDACT ER'!V87)</f>
        <v>-8109</v>
      </c>
      <c r="AJ43" s="294">
        <f>SUM(AI43-AH43)</f>
        <v>-8109</v>
      </c>
      <c r="AK43" s="294"/>
      <c r="AL43" s="276" t="s">
        <v>1214</v>
      </c>
      <c r="AN43" s="294"/>
      <c r="AO43" s="294"/>
      <c r="AP43" s="294"/>
      <c r="AQ43" s="294">
        <f t="shared" si="21"/>
        <v>0</v>
      </c>
      <c r="AR43" s="294">
        <f t="shared" si="22"/>
        <v>-8109</v>
      </c>
      <c r="AS43" s="294">
        <f t="shared" si="23"/>
        <v>-8109</v>
      </c>
      <c r="AT43" s="294"/>
    </row>
    <row r="44" spans="2:46" ht="15.75">
      <c r="B44" s="276" t="s">
        <v>3179</v>
      </c>
      <c r="C44" s="294">
        <f>+'DS BUDACT ER'!C88</f>
        <v>0</v>
      </c>
      <c r="D44" s="294">
        <f>+'DS BUDACT ER'!D88</f>
        <v>0</v>
      </c>
      <c r="E44" s="294">
        <f t="shared" si="20"/>
        <v>0</v>
      </c>
      <c r="F44" s="294"/>
      <c r="G44" s="294">
        <f>+'DS BUDACT ER'!F88</f>
        <v>0</v>
      </c>
      <c r="H44" s="294">
        <f>+'DS BUDACT ER'!G88+H68</f>
        <v>0</v>
      </c>
      <c r="I44" s="294">
        <f>SUM(H44-G44)</f>
        <v>0</v>
      </c>
      <c r="J44" s="294"/>
      <c r="K44" s="294"/>
      <c r="L44" s="276" t="str">
        <f>+B44</f>
        <v xml:space="preserve">     Issuance of long-term debt</v>
      </c>
      <c r="M44" s="294">
        <f>+'DS BUDACT ER'!I88</f>
        <v>0</v>
      </c>
      <c r="N44" s="294">
        <f>+'DS BUDACT ER'!J88</f>
        <v>0</v>
      </c>
      <c r="O44" s="294">
        <f>SUM(N44-M44)</f>
        <v>0</v>
      </c>
      <c r="P44" s="294"/>
      <c r="Q44" s="294">
        <f>+'DS BUDACT ER'!L88</f>
        <v>0</v>
      </c>
      <c r="R44" s="294">
        <f>+'DS BUDACT ER'!M88</f>
        <v>7975</v>
      </c>
      <c r="S44" s="294">
        <f>SUM(R44-Q44)</f>
        <v>7975</v>
      </c>
      <c r="T44" s="294"/>
      <c r="U44" s="276" t="s">
        <v>234</v>
      </c>
      <c r="V44" s="294">
        <f>+'DS BUDACT ER'!O88</f>
        <v>0</v>
      </c>
      <c r="W44" s="294">
        <f>+'DS BUDACT ER'!P88</f>
        <v>0</v>
      </c>
      <c r="X44" s="294">
        <f>SUM(W44-V44)</f>
        <v>0</v>
      </c>
      <c r="Y44" s="294"/>
      <c r="Z44" s="276" t="str">
        <f>+B44</f>
        <v xml:space="preserve">     Issuance of long-term debt</v>
      </c>
      <c r="AA44" s="294"/>
      <c r="AB44" s="294">
        <f>+'DS BUDACT ER'!R88</f>
        <v>0</v>
      </c>
      <c r="AC44" s="294">
        <f>+'DS BUDACT ER'!S88</f>
        <v>0</v>
      </c>
      <c r="AD44" s="294">
        <f>SUM(AC44-AB44)</f>
        <v>0</v>
      </c>
      <c r="AF44" s="276" t="s">
        <v>234</v>
      </c>
      <c r="AG44" s="294"/>
      <c r="AH44" s="294">
        <f>('DS BUDACT ER'!U48)</f>
        <v>0</v>
      </c>
      <c r="AI44" s="294">
        <f>('DS BUDACT ER'!V48)</f>
        <v>0</v>
      </c>
      <c r="AJ44" s="294">
        <f>SUM(AI44-AH44)</f>
        <v>0</v>
      </c>
      <c r="AK44" s="294"/>
      <c r="AL44" s="276" t="str">
        <f>+B44</f>
        <v xml:space="preserve">     Issuance of long-term debt</v>
      </c>
      <c r="AN44" s="294"/>
      <c r="AO44" s="294"/>
      <c r="AP44" s="294"/>
      <c r="AQ44" s="294">
        <f t="shared" si="21"/>
        <v>0</v>
      </c>
      <c r="AR44" s="294">
        <f t="shared" si="22"/>
        <v>7975</v>
      </c>
      <c r="AS44" s="294">
        <f t="shared" si="23"/>
        <v>7975</v>
      </c>
      <c r="AT44" s="294"/>
    </row>
    <row r="45" spans="2:46" ht="15.75" hidden="1">
      <c r="B45" s="276" t="s">
        <v>3172</v>
      </c>
      <c r="C45" s="294">
        <v>0</v>
      </c>
      <c r="D45" s="294">
        <v>0</v>
      </c>
      <c r="E45" s="294">
        <f t="shared" si="20"/>
        <v>0</v>
      </c>
      <c r="F45" s="294"/>
      <c r="G45" s="294">
        <v>0</v>
      </c>
      <c r="H45" s="294">
        <f>+H69</f>
        <v>0</v>
      </c>
      <c r="I45" s="294">
        <f>SUM(H45-G45)</f>
        <v>0</v>
      </c>
      <c r="J45" s="294"/>
      <c r="K45" s="294"/>
      <c r="L45" s="276" t="s">
        <v>3172</v>
      </c>
      <c r="M45" s="294"/>
      <c r="N45" s="294"/>
      <c r="O45" s="294"/>
      <c r="P45" s="294"/>
      <c r="Q45" s="294">
        <v>0</v>
      </c>
      <c r="R45" s="294">
        <v>0</v>
      </c>
      <c r="S45" s="294">
        <f>SUM(R45-Q45)</f>
        <v>0</v>
      </c>
      <c r="T45" s="294"/>
      <c r="U45" s="276"/>
      <c r="V45" s="294">
        <v>0</v>
      </c>
      <c r="W45" s="294">
        <v>0</v>
      </c>
      <c r="X45" s="294">
        <f>SUM(W45-V45)</f>
        <v>0</v>
      </c>
      <c r="Y45" s="294"/>
      <c r="Z45" s="276" t="s">
        <v>3172</v>
      </c>
      <c r="AA45" s="294"/>
      <c r="AB45" s="294">
        <v>0</v>
      </c>
      <c r="AC45" s="294">
        <v>0</v>
      </c>
      <c r="AD45" s="294">
        <f>SUM(AC45-AB45)</f>
        <v>0</v>
      </c>
      <c r="AF45" s="276"/>
      <c r="AG45" s="294"/>
      <c r="AH45" s="294">
        <v>0</v>
      </c>
      <c r="AI45" s="294">
        <v>0</v>
      </c>
      <c r="AJ45" s="294">
        <f t="shared" ref="AJ45:AJ48" si="24">SUM(AI45-AH45)</f>
        <v>0</v>
      </c>
      <c r="AK45" s="294"/>
      <c r="AL45" s="276" t="s">
        <v>3172</v>
      </c>
      <c r="AN45" s="294"/>
      <c r="AO45" s="294"/>
      <c r="AP45" s="294"/>
      <c r="AQ45" s="294">
        <f t="shared" si="21"/>
        <v>0</v>
      </c>
      <c r="AR45" s="294">
        <f t="shared" si="22"/>
        <v>0</v>
      </c>
      <c r="AS45" s="294">
        <f t="shared" si="23"/>
        <v>0</v>
      </c>
      <c r="AT45" s="294"/>
    </row>
    <row r="46" spans="2:46" ht="15.75" hidden="1">
      <c r="B46" s="276" t="s">
        <v>3176</v>
      </c>
      <c r="C46" s="294">
        <v>0</v>
      </c>
      <c r="D46" s="294">
        <v>0</v>
      </c>
      <c r="E46" s="294">
        <f t="shared" si="20"/>
        <v>0</v>
      </c>
      <c r="F46" s="294"/>
      <c r="G46" s="294">
        <v>0</v>
      </c>
      <c r="H46" s="294">
        <f>+H70</f>
        <v>0</v>
      </c>
      <c r="I46" s="294">
        <f>SUM(H46-G46)</f>
        <v>0</v>
      </c>
      <c r="J46" s="294"/>
      <c r="K46" s="294"/>
      <c r="L46" s="276" t="s">
        <v>3173</v>
      </c>
      <c r="M46" s="294">
        <v>0</v>
      </c>
      <c r="N46" s="294">
        <v>0</v>
      </c>
      <c r="O46" s="294">
        <f>SUM(N46-M46)</f>
        <v>0</v>
      </c>
      <c r="P46" s="294"/>
      <c r="Q46" s="294">
        <v>0</v>
      </c>
      <c r="R46" s="294">
        <v>0</v>
      </c>
      <c r="S46" s="294">
        <f t="shared" ref="S46:S47" si="25">SUM(R46-Q46)</f>
        <v>0</v>
      </c>
      <c r="T46" s="294"/>
      <c r="U46" s="276"/>
      <c r="V46" s="294">
        <v>0</v>
      </c>
      <c r="W46" s="294">
        <v>0</v>
      </c>
      <c r="X46" s="294">
        <f t="shared" ref="X46:X47" si="26">SUM(W46-V46)</f>
        <v>0</v>
      </c>
      <c r="Y46" s="294"/>
      <c r="Z46" s="276" t="s">
        <v>3173</v>
      </c>
      <c r="AA46" s="294">
        <v>0</v>
      </c>
      <c r="AB46" s="294">
        <v>0</v>
      </c>
      <c r="AC46" s="294">
        <v>0</v>
      </c>
      <c r="AD46" s="294">
        <f t="shared" ref="AD46:AD47" si="27">SUM(AC46-AB46)</f>
        <v>0</v>
      </c>
      <c r="AF46" s="276"/>
      <c r="AG46" s="294"/>
      <c r="AH46" s="294">
        <v>0</v>
      </c>
      <c r="AI46" s="294">
        <v>0</v>
      </c>
      <c r="AJ46" s="294">
        <f t="shared" ref="AJ46:AJ47" si="28">SUM(AI46-AH46)</f>
        <v>0</v>
      </c>
      <c r="AK46" s="294"/>
      <c r="AL46" s="276" t="s">
        <v>3173</v>
      </c>
      <c r="AN46" s="294"/>
      <c r="AO46" s="294"/>
      <c r="AP46" s="294"/>
      <c r="AQ46" s="294">
        <f t="shared" si="21"/>
        <v>0</v>
      </c>
      <c r="AR46" s="294">
        <f t="shared" si="22"/>
        <v>0</v>
      </c>
      <c r="AS46" s="294">
        <f t="shared" si="23"/>
        <v>0</v>
      </c>
      <c r="AT46" s="294"/>
    </row>
    <row r="47" spans="2:46" ht="15.75" hidden="1">
      <c r="B47" s="276" t="s">
        <v>3175</v>
      </c>
      <c r="C47" s="294">
        <v>0</v>
      </c>
      <c r="D47" s="294">
        <v>0</v>
      </c>
      <c r="E47" s="294">
        <f t="shared" si="20"/>
        <v>0</v>
      </c>
      <c r="F47" s="294"/>
      <c r="G47" s="294">
        <v>0</v>
      </c>
      <c r="H47" s="294">
        <f>+H71</f>
        <v>0</v>
      </c>
      <c r="I47" s="294">
        <f t="shared" ref="I47:I48" si="29">SUM(H47-G47)</f>
        <v>0</v>
      </c>
      <c r="J47" s="294"/>
      <c r="K47" s="294"/>
      <c r="L47" s="276" t="s">
        <v>3175</v>
      </c>
      <c r="M47" s="294">
        <v>0</v>
      </c>
      <c r="N47" s="294">
        <v>0</v>
      </c>
      <c r="O47" s="294">
        <f>SUM(N47-M47)</f>
        <v>0</v>
      </c>
      <c r="P47" s="294"/>
      <c r="Q47" s="294">
        <v>0</v>
      </c>
      <c r="R47" s="294">
        <v>0</v>
      </c>
      <c r="S47" s="294">
        <f t="shared" si="25"/>
        <v>0</v>
      </c>
      <c r="T47" s="294"/>
      <c r="U47" s="276"/>
      <c r="V47" s="294">
        <v>0</v>
      </c>
      <c r="W47" s="294">
        <v>0</v>
      </c>
      <c r="X47" s="294">
        <f t="shared" si="26"/>
        <v>0</v>
      </c>
      <c r="Y47" s="294"/>
      <c r="Z47" s="276" t="s">
        <v>3175</v>
      </c>
      <c r="AA47" s="294"/>
      <c r="AB47" s="294">
        <v>0</v>
      </c>
      <c r="AC47" s="294">
        <v>0</v>
      </c>
      <c r="AD47" s="294">
        <f t="shared" si="27"/>
        <v>0</v>
      </c>
      <c r="AF47" s="276"/>
      <c r="AG47" s="294"/>
      <c r="AH47" s="294">
        <v>0</v>
      </c>
      <c r="AI47" s="294">
        <v>0</v>
      </c>
      <c r="AJ47" s="294">
        <f t="shared" si="28"/>
        <v>0</v>
      </c>
      <c r="AK47" s="294"/>
      <c r="AL47" s="276" t="s">
        <v>3175</v>
      </c>
      <c r="AN47" s="294"/>
      <c r="AO47" s="294"/>
      <c r="AP47" s="294"/>
      <c r="AQ47" s="294">
        <f t="shared" si="21"/>
        <v>0</v>
      </c>
      <c r="AR47" s="294">
        <f t="shared" si="22"/>
        <v>0</v>
      </c>
      <c r="AS47" s="294">
        <f t="shared" si="23"/>
        <v>0</v>
      </c>
      <c r="AT47" s="294"/>
    </row>
    <row r="48" spans="2:46" ht="15.75" hidden="1">
      <c r="B48" s="276" t="s">
        <v>1239</v>
      </c>
      <c r="C48" s="294">
        <f>+'DS BUDACT ER'!C89</f>
        <v>0</v>
      </c>
      <c r="D48" s="294">
        <f>+'DS BUDACT ER'!D89</f>
        <v>0</v>
      </c>
      <c r="E48" s="294">
        <f t="shared" si="20"/>
        <v>0</v>
      </c>
      <c r="F48" s="294"/>
      <c r="G48" s="294">
        <f>+'DS BUDACT ER'!F89</f>
        <v>0</v>
      </c>
      <c r="H48" s="294">
        <f>+'DS BUDACT ER'!G89</f>
        <v>0</v>
      </c>
      <c r="I48" s="294">
        <f t="shared" si="29"/>
        <v>0</v>
      </c>
      <c r="J48" s="294"/>
      <c r="K48" s="294"/>
      <c r="L48" s="276" t="s">
        <v>1239</v>
      </c>
      <c r="M48" s="294">
        <f>+'DS BUDACT ER'!I89</f>
        <v>0</v>
      </c>
      <c r="N48" s="294">
        <f>+'DS BUDACT ER'!J89</f>
        <v>0</v>
      </c>
      <c r="O48" s="294">
        <f>SUM(N48-M48)</f>
        <v>0</v>
      </c>
      <c r="P48" s="294"/>
      <c r="Q48" s="294">
        <f>+'DS BUDACT ER'!L89</f>
        <v>0</v>
      </c>
      <c r="R48" s="294">
        <f>+'DS BUDACT ER'!M89</f>
        <v>0</v>
      </c>
      <c r="S48" s="294">
        <f>SUM(R48-Q48)</f>
        <v>0</v>
      </c>
      <c r="T48" s="294"/>
      <c r="U48" s="276" t="s">
        <v>1239</v>
      </c>
      <c r="V48" s="294">
        <f>+'DS BUDACT ER'!O89</f>
        <v>0</v>
      </c>
      <c r="W48" s="294">
        <f>+'DS BUDACT ER'!P89</f>
        <v>0</v>
      </c>
      <c r="X48" s="294">
        <f>SUM(W48-V48)</f>
        <v>0</v>
      </c>
      <c r="Y48" s="294"/>
      <c r="Z48" s="276" t="s">
        <v>1239</v>
      </c>
      <c r="AA48" s="294"/>
      <c r="AB48" s="294">
        <f>+'DS BUDACT ER'!R89</f>
        <v>0</v>
      </c>
      <c r="AC48" s="294">
        <f>+'DS BUDACT ER'!S89</f>
        <v>0</v>
      </c>
      <c r="AD48" s="294">
        <f>SUM(AC48-AB48)</f>
        <v>0</v>
      </c>
      <c r="AF48" s="276" t="s">
        <v>1239</v>
      </c>
      <c r="AG48" s="294"/>
      <c r="AH48" s="294">
        <f>('DS BUDACT ER'!U49)</f>
        <v>0</v>
      </c>
      <c r="AI48" s="294">
        <f>('DS BUDACT ER'!V49)</f>
        <v>0</v>
      </c>
      <c r="AJ48" s="294">
        <f t="shared" si="24"/>
        <v>0</v>
      </c>
      <c r="AK48" s="294"/>
      <c r="AL48" s="276" t="s">
        <v>1239</v>
      </c>
      <c r="AN48" s="294"/>
      <c r="AO48" s="294"/>
      <c r="AP48" s="294"/>
      <c r="AQ48" s="294">
        <f t="shared" si="21"/>
        <v>0</v>
      </c>
      <c r="AR48" s="294">
        <f t="shared" si="22"/>
        <v>0</v>
      </c>
      <c r="AS48" s="294">
        <f t="shared" si="23"/>
        <v>0</v>
      </c>
      <c r="AT48" s="294"/>
    </row>
    <row r="49" spans="2:49" ht="15.75">
      <c r="B49" s="276"/>
      <c r="C49" s="337"/>
      <c r="D49" s="337"/>
      <c r="E49" s="337"/>
      <c r="F49" s="294"/>
      <c r="G49" s="337"/>
      <c r="H49" s="337"/>
      <c r="I49" s="337"/>
      <c r="J49" s="294"/>
      <c r="K49" s="294"/>
      <c r="L49" s="276"/>
      <c r="M49" s="337"/>
      <c r="N49" s="337"/>
      <c r="O49" s="337"/>
      <c r="P49" s="294"/>
      <c r="Q49" s="337"/>
      <c r="R49" s="337"/>
      <c r="S49" s="337"/>
      <c r="T49" s="294"/>
      <c r="U49" s="276"/>
      <c r="V49" s="337"/>
      <c r="W49" s="337"/>
      <c r="X49" s="337"/>
      <c r="Y49" s="294"/>
      <c r="Z49" s="276"/>
      <c r="AA49" s="294"/>
      <c r="AB49" s="337"/>
      <c r="AC49" s="337"/>
      <c r="AD49" s="337"/>
      <c r="AF49" s="276"/>
      <c r="AG49" s="294"/>
      <c r="AH49" s="337"/>
      <c r="AI49" s="337"/>
      <c r="AJ49" s="337"/>
      <c r="AK49" s="294"/>
      <c r="AL49" s="276"/>
      <c r="AN49" s="294"/>
      <c r="AO49" s="294"/>
      <c r="AP49" s="294"/>
      <c r="AQ49" s="337"/>
      <c r="AR49" s="337"/>
      <c r="AS49" s="337"/>
      <c r="AT49" s="294"/>
    </row>
    <row r="50" spans="2:49" ht="15.75">
      <c r="B50" s="308" t="s">
        <v>189</v>
      </c>
      <c r="C50" s="301">
        <f>+SUM(C42:C49)</f>
        <v>0</v>
      </c>
      <c r="D50" s="301">
        <f>+SUM(D42:D49)</f>
        <v>0</v>
      </c>
      <c r="E50" s="301">
        <f>+SUM(E42:E49)</f>
        <v>0</v>
      </c>
      <c r="F50" s="294"/>
      <c r="G50" s="301">
        <f>+SUM(G42:G49)</f>
        <v>0</v>
      </c>
      <c r="H50" s="301">
        <f>+SUM(H42:H49)</f>
        <v>0</v>
      </c>
      <c r="I50" s="301">
        <f>+SUM(I42:I49)</f>
        <v>0</v>
      </c>
      <c r="J50" s="300"/>
      <c r="K50" s="300"/>
      <c r="L50" s="308" t="s">
        <v>189</v>
      </c>
      <c r="M50" s="301">
        <f>+SUM(M42:M49)</f>
        <v>0</v>
      </c>
      <c r="N50" s="301">
        <f>+SUM(N42:N49)</f>
        <v>0</v>
      </c>
      <c r="O50" s="301">
        <f>+SUM(O42:O49)</f>
        <v>0</v>
      </c>
      <c r="P50" s="294"/>
      <c r="Q50" s="301">
        <f>+SUM(Q42:Q49)</f>
        <v>0</v>
      </c>
      <c r="R50" s="301">
        <f>+SUM(R42:R49)</f>
        <v>7975</v>
      </c>
      <c r="S50" s="301">
        <f>+SUM(S42:S49)</f>
        <v>7975</v>
      </c>
      <c r="T50" s="300"/>
      <c r="U50" s="308" t="s">
        <v>189</v>
      </c>
      <c r="V50" s="301">
        <f>+SUM(V42:V49)</f>
        <v>0</v>
      </c>
      <c r="W50" s="301">
        <f>+SUM(W42:W49)</f>
        <v>0</v>
      </c>
      <c r="X50" s="301">
        <f>+SUM(X42:X49)</f>
        <v>0</v>
      </c>
      <c r="Y50" s="294"/>
      <c r="Z50" s="308" t="s">
        <v>189</v>
      </c>
      <c r="AA50" s="300"/>
      <c r="AB50" s="301">
        <f>+SUM(AB42:AB49)</f>
        <v>0</v>
      </c>
      <c r="AC50" s="301">
        <f>+SUM(AC42:AC49)</f>
        <v>0</v>
      </c>
      <c r="AD50" s="301">
        <f>+SUM(AD42:AD49)</f>
        <v>0</v>
      </c>
      <c r="AF50" s="308" t="s">
        <v>189</v>
      </c>
      <c r="AG50" s="294"/>
      <c r="AH50" s="301">
        <f>+SUM(AH42:AH49)</f>
        <v>0</v>
      </c>
      <c r="AI50" s="301">
        <f>+SUM(AI42:AI49)</f>
        <v>-8109</v>
      </c>
      <c r="AJ50" s="301">
        <f>+SUM(AJ42:AJ49)</f>
        <v>-8109</v>
      </c>
      <c r="AK50" s="294"/>
      <c r="AL50" s="308" t="s">
        <v>189</v>
      </c>
      <c r="AN50" s="294"/>
      <c r="AO50" s="294"/>
      <c r="AP50" s="294"/>
      <c r="AQ50" s="301">
        <f>+SUM(AQ42:AQ49)</f>
        <v>0</v>
      </c>
      <c r="AR50" s="301">
        <f>+SUM(AR42:AR49)</f>
        <v>-134</v>
      </c>
      <c r="AS50" s="301">
        <f>+SUM(AS42:AS49)</f>
        <v>-134</v>
      </c>
      <c r="AT50" s="294"/>
    </row>
    <row r="51" spans="2:49" ht="15.75">
      <c r="B51" s="276"/>
      <c r="C51" s="296"/>
      <c r="D51" s="296"/>
      <c r="E51" s="294"/>
      <c r="F51" s="294"/>
      <c r="G51" s="296"/>
      <c r="H51" s="296"/>
      <c r="I51" s="294"/>
      <c r="J51" s="294"/>
      <c r="K51" s="294"/>
      <c r="L51" s="276"/>
      <c r="M51" s="296"/>
      <c r="N51" s="296"/>
      <c r="O51" s="294"/>
      <c r="P51" s="294"/>
      <c r="Q51" s="296"/>
      <c r="R51" s="296"/>
      <c r="S51" s="294"/>
      <c r="T51" s="294"/>
      <c r="U51" s="276"/>
      <c r="V51" s="296"/>
      <c r="W51" s="296"/>
      <c r="X51" s="294"/>
      <c r="Y51" s="294"/>
      <c r="Z51" s="276"/>
      <c r="AA51" s="294"/>
      <c r="AB51" s="296"/>
      <c r="AC51" s="296"/>
      <c r="AD51" s="294"/>
      <c r="AF51" s="276"/>
      <c r="AG51" s="294"/>
      <c r="AH51" s="296"/>
      <c r="AI51" s="296"/>
      <c r="AJ51" s="294"/>
      <c r="AK51" s="294"/>
      <c r="AL51" s="276"/>
      <c r="AN51" s="294"/>
      <c r="AO51" s="294"/>
      <c r="AP51" s="294"/>
      <c r="AQ51" s="296"/>
      <c r="AR51" s="296"/>
      <c r="AS51" s="296"/>
      <c r="AT51" s="294"/>
    </row>
    <row r="52" spans="2:49" ht="16.5" thickBot="1">
      <c r="B52" s="308" t="s">
        <v>188</v>
      </c>
      <c r="C52" s="302">
        <f>SUM(C39+C50)</f>
        <v>0</v>
      </c>
      <c r="D52" s="300">
        <f>SUM(D39+D50)</f>
        <v>0</v>
      </c>
      <c r="E52" s="302">
        <f>SUM(E39+E50)</f>
        <v>0</v>
      </c>
      <c r="F52" s="294"/>
      <c r="G52" s="302">
        <f>SUM(G39+G50)</f>
        <v>-39500</v>
      </c>
      <c r="H52" s="300">
        <f>SUM(H39+H50)</f>
        <v>-5661</v>
      </c>
      <c r="I52" s="302">
        <f>SUM(I39+I50)</f>
        <v>33839</v>
      </c>
      <c r="J52" s="326"/>
      <c r="K52" s="326"/>
      <c r="L52" s="308" t="s">
        <v>188</v>
      </c>
      <c r="M52" s="302">
        <f>SUM(M39+M50)</f>
        <v>0</v>
      </c>
      <c r="N52" s="300">
        <f>SUM(N39+N50)</f>
        <v>0</v>
      </c>
      <c r="O52" s="302">
        <f>SUM(O39+O50)</f>
        <v>0</v>
      </c>
      <c r="P52" s="294"/>
      <c r="Q52" s="302">
        <f>SUM(Q39+Q50)</f>
        <v>0</v>
      </c>
      <c r="R52" s="300">
        <f>SUM(R39+R50)</f>
        <v>20628</v>
      </c>
      <c r="S52" s="302">
        <f>SUM(S39+S50)</f>
        <v>20628</v>
      </c>
      <c r="T52" s="326"/>
      <c r="U52" s="308" t="s">
        <v>188</v>
      </c>
      <c r="V52" s="302">
        <f>SUM(V39+V50)</f>
        <v>3471</v>
      </c>
      <c r="W52" s="300">
        <f>SUM(W39+W50)</f>
        <v>-3588</v>
      </c>
      <c r="X52" s="302">
        <f>SUM(X39+X50)</f>
        <v>-7059</v>
      </c>
      <c r="Y52" s="294"/>
      <c r="Z52" s="308" t="s">
        <v>188</v>
      </c>
      <c r="AA52" s="326"/>
      <c r="AB52" s="302">
        <f>SUM(AB39+AB50)</f>
        <v>0</v>
      </c>
      <c r="AC52" s="300">
        <f>SUM(AC39+AC50)</f>
        <v>14613</v>
      </c>
      <c r="AD52" s="302">
        <f>SUM(AC52-AB52)</f>
        <v>14613</v>
      </c>
      <c r="AF52" s="308" t="s">
        <v>188</v>
      </c>
      <c r="AG52" s="294"/>
      <c r="AH52" s="302">
        <f>SUM(AH39+AH50)</f>
        <v>-39115</v>
      </c>
      <c r="AI52" s="300">
        <f>SUM(AI39+AI50)</f>
        <v>26319</v>
      </c>
      <c r="AJ52" s="302">
        <f>SUM(AJ39+AJ50)</f>
        <v>65434</v>
      </c>
      <c r="AK52" s="294"/>
      <c r="AL52" s="308" t="s">
        <v>188</v>
      </c>
      <c r="AN52" s="294"/>
      <c r="AO52" s="294"/>
      <c r="AP52" s="294"/>
      <c r="AQ52" s="302">
        <f>SUM(AQ39+AQ50)</f>
        <v>-75144</v>
      </c>
      <c r="AR52" s="300">
        <f>SUM(AR39+AR50)</f>
        <v>52311</v>
      </c>
      <c r="AS52" s="302">
        <f>SUM(AS39+AS50)</f>
        <v>127455</v>
      </c>
      <c r="AT52" s="294"/>
    </row>
    <row r="53" spans="2:49" ht="16.5" thickTop="1">
      <c r="B53" s="276"/>
      <c r="C53" s="294"/>
      <c r="D53" s="294"/>
      <c r="E53" s="294"/>
      <c r="F53" s="294"/>
      <c r="G53" s="294"/>
      <c r="H53" s="294"/>
      <c r="I53" s="294"/>
      <c r="J53" s="294"/>
      <c r="K53" s="294"/>
      <c r="L53" s="276"/>
      <c r="M53" s="294"/>
      <c r="N53" s="294"/>
      <c r="O53" s="294"/>
      <c r="P53" s="294"/>
      <c r="Q53" s="294"/>
      <c r="R53" s="294"/>
      <c r="S53" s="294"/>
      <c r="T53" s="294"/>
      <c r="U53" s="276"/>
      <c r="V53" s="294"/>
      <c r="W53" s="294"/>
      <c r="X53" s="294"/>
      <c r="Y53" s="294"/>
      <c r="Z53" s="276"/>
      <c r="AA53" s="294"/>
      <c r="AB53" s="294"/>
      <c r="AC53" s="294"/>
      <c r="AD53" s="294"/>
      <c r="AF53" s="276"/>
      <c r="AG53" s="294"/>
      <c r="AH53" s="294"/>
      <c r="AI53" s="294"/>
      <c r="AJ53" s="294"/>
      <c r="AK53" s="294"/>
      <c r="AL53" s="276"/>
      <c r="AN53" s="294"/>
      <c r="AO53" s="294"/>
      <c r="AP53" s="294"/>
      <c r="AQ53" s="294"/>
      <c r="AR53" s="294"/>
      <c r="AS53" s="294"/>
      <c r="AT53" s="294"/>
    </row>
    <row r="54" spans="2:49" ht="15.75">
      <c r="B54" s="276" t="s">
        <v>1255</v>
      </c>
      <c r="C54" s="294"/>
      <c r="D54" s="318">
        <f>+'DS BUDACT ER'!D95</f>
        <v>0</v>
      </c>
      <c r="E54" s="294"/>
      <c r="F54" s="294"/>
      <c r="G54" s="294"/>
      <c r="H54" s="318">
        <f>+'DS BUDACT ER'!G95</f>
        <v>46955</v>
      </c>
      <c r="I54" s="294"/>
      <c r="J54" s="294"/>
      <c r="K54" s="294"/>
      <c r="L54" s="276" t="s">
        <v>1255</v>
      </c>
      <c r="M54" s="294"/>
      <c r="N54" s="318">
        <f>+'DS BUDACT ER'!J95</f>
        <v>0</v>
      </c>
      <c r="O54" s="294"/>
      <c r="P54" s="294"/>
      <c r="Q54" s="294"/>
      <c r="R54" s="318">
        <f>+'DS BUDACT ER'!M95</f>
        <v>366520</v>
      </c>
      <c r="S54" s="294"/>
      <c r="T54" s="294"/>
      <c r="U54" s="276" t="s">
        <v>1255</v>
      </c>
      <c r="V54" s="294"/>
      <c r="W54" s="318">
        <f>+'DS BUDACT ER'!P95</f>
        <v>59194</v>
      </c>
      <c r="X54" s="294"/>
      <c r="Y54" s="294"/>
      <c r="Z54" s="276" t="s">
        <v>1255</v>
      </c>
      <c r="AA54" s="294"/>
      <c r="AB54" s="294"/>
      <c r="AC54" s="318">
        <f>+'DS BUDACT ER'!S95+'Sys INPUT'!BM191</f>
        <v>4817</v>
      </c>
      <c r="AD54" s="294"/>
      <c r="AF54" s="276" t="s">
        <v>1255</v>
      </c>
      <c r="AG54" s="294"/>
      <c r="AH54" s="294"/>
      <c r="AI54" s="318">
        <f>+'DS BUDACT ER'!V95</f>
        <v>94782</v>
      </c>
      <c r="AJ54" s="294"/>
      <c r="AK54" s="294"/>
      <c r="AL54" s="276" t="s">
        <v>1255</v>
      </c>
      <c r="AN54" s="294"/>
      <c r="AO54" s="294"/>
      <c r="AP54" s="294"/>
      <c r="AQ54" s="294"/>
      <c r="AR54" s="318">
        <f>+D54+H54+N54+R54+W54+AI54+AC54</f>
        <v>572268</v>
      </c>
      <c r="AS54" s="294"/>
      <c r="AT54" s="294"/>
    </row>
    <row r="55" spans="2:49" ht="15.75" hidden="1">
      <c r="B55" s="276"/>
      <c r="C55" s="294"/>
      <c r="D55" s="294"/>
      <c r="E55" s="294"/>
      <c r="F55" s="294"/>
      <c r="G55" s="294"/>
      <c r="H55" s="294"/>
      <c r="I55" s="294"/>
      <c r="J55" s="294"/>
      <c r="K55" s="294"/>
      <c r="L55" s="276"/>
      <c r="M55" s="294"/>
      <c r="N55" s="294"/>
      <c r="O55" s="294"/>
      <c r="P55" s="294"/>
      <c r="Q55" s="294"/>
      <c r="R55" s="294"/>
      <c r="S55" s="294"/>
      <c r="T55" s="294"/>
      <c r="U55" s="276"/>
      <c r="V55" s="294"/>
      <c r="W55" s="294"/>
      <c r="X55" s="294"/>
      <c r="Y55" s="294"/>
      <c r="Z55" s="276"/>
      <c r="AA55" s="294"/>
      <c r="AB55" s="294"/>
      <c r="AC55" s="294"/>
      <c r="AD55" s="294"/>
      <c r="AF55" s="276"/>
      <c r="AG55" s="294"/>
      <c r="AH55" s="294"/>
      <c r="AI55" s="294"/>
      <c r="AJ55" s="294"/>
      <c r="AK55" s="294"/>
      <c r="AL55" s="276"/>
      <c r="AN55" s="294"/>
      <c r="AO55" s="294"/>
      <c r="AP55" s="294"/>
      <c r="AS55" s="294"/>
      <c r="AT55" s="294"/>
    </row>
    <row r="56" spans="2:49" ht="15.75" hidden="1">
      <c r="B56" s="276"/>
      <c r="C56" s="294"/>
      <c r="D56" s="294"/>
      <c r="E56" s="294"/>
      <c r="F56" s="294"/>
      <c r="G56" s="294"/>
      <c r="H56" s="294"/>
      <c r="I56" s="294"/>
      <c r="J56" s="294"/>
      <c r="K56" s="294"/>
      <c r="L56" s="276"/>
      <c r="M56" s="294"/>
      <c r="N56" s="294"/>
      <c r="O56" s="294"/>
      <c r="P56" s="294"/>
      <c r="Q56" s="294"/>
      <c r="R56" s="294"/>
      <c r="S56" s="294"/>
      <c r="T56" s="294"/>
      <c r="U56" s="276"/>
      <c r="V56" s="294"/>
      <c r="W56" s="294"/>
      <c r="X56" s="294"/>
      <c r="Y56" s="294"/>
      <c r="Z56" s="276"/>
      <c r="AA56" s="294"/>
      <c r="AB56" s="294"/>
      <c r="AC56" s="294"/>
      <c r="AD56" s="294"/>
      <c r="AF56" s="276"/>
      <c r="AG56" s="294"/>
      <c r="AH56" s="294"/>
      <c r="AI56" s="294"/>
      <c r="AJ56" s="294"/>
      <c r="AK56" s="294"/>
      <c r="AL56" s="276"/>
      <c r="AN56" s="294"/>
      <c r="AO56" s="294"/>
      <c r="AP56" s="294"/>
      <c r="AS56" s="294"/>
      <c r="AT56" s="294"/>
    </row>
    <row r="57" spans="2:49" ht="15.75" hidden="1">
      <c r="B57" s="276"/>
      <c r="C57" s="294"/>
      <c r="D57" s="294"/>
      <c r="E57" s="294"/>
      <c r="F57" s="294"/>
      <c r="G57" s="294"/>
      <c r="H57" s="294"/>
      <c r="I57" s="294"/>
      <c r="J57" s="294"/>
      <c r="K57" s="294"/>
      <c r="L57" s="276"/>
      <c r="M57" s="294"/>
      <c r="N57" s="294"/>
      <c r="O57" s="294"/>
      <c r="P57" s="294"/>
      <c r="Q57" s="294"/>
      <c r="R57" s="294"/>
      <c r="S57" s="294"/>
      <c r="T57" s="294"/>
      <c r="U57" s="276"/>
      <c r="V57" s="294"/>
      <c r="W57" s="294"/>
      <c r="X57" s="294"/>
      <c r="Y57" s="294"/>
      <c r="Z57" s="276"/>
      <c r="AA57" s="294"/>
      <c r="AB57" s="294"/>
      <c r="AC57" s="294"/>
      <c r="AD57" s="294"/>
      <c r="AF57" s="276"/>
      <c r="AG57" s="294"/>
      <c r="AH57" s="294"/>
      <c r="AI57" s="294"/>
      <c r="AJ57" s="294"/>
      <c r="AK57" s="294"/>
      <c r="AL57" s="276"/>
      <c r="AN57" s="294"/>
      <c r="AO57" s="294"/>
      <c r="AP57" s="294"/>
      <c r="AS57" s="294"/>
      <c r="AT57" s="294"/>
    </row>
    <row r="58" spans="2:49" ht="15.75" hidden="1">
      <c r="B58" s="276" t="s">
        <v>385</v>
      </c>
      <c r="C58" s="294"/>
      <c r="D58" s="317"/>
      <c r="E58" s="294"/>
      <c r="F58" s="294"/>
      <c r="G58" s="294"/>
      <c r="H58" s="317"/>
      <c r="I58" s="294"/>
      <c r="J58" s="294"/>
      <c r="K58" s="294"/>
      <c r="L58" s="276" t="s">
        <v>385</v>
      </c>
      <c r="M58" s="294"/>
      <c r="N58" s="317"/>
      <c r="O58" s="294"/>
      <c r="P58" s="294"/>
      <c r="Q58" s="294"/>
      <c r="R58" s="317"/>
      <c r="S58" s="294"/>
      <c r="T58" s="294"/>
      <c r="U58" s="276" t="s">
        <v>385</v>
      </c>
      <c r="V58" s="294"/>
      <c r="W58" s="317"/>
      <c r="X58" s="294"/>
      <c r="Y58" s="294"/>
      <c r="Z58" s="276" t="s">
        <v>385</v>
      </c>
      <c r="AA58" s="294"/>
      <c r="AB58" s="294"/>
      <c r="AC58" s="317"/>
      <c r="AD58" s="294"/>
      <c r="AF58" s="276" t="s">
        <v>385</v>
      </c>
      <c r="AG58" s="294"/>
      <c r="AH58" s="294"/>
      <c r="AI58" s="317"/>
      <c r="AJ58" s="294"/>
      <c r="AK58" s="294"/>
      <c r="AL58" s="276" t="s">
        <v>385</v>
      </c>
      <c r="AN58" s="294"/>
      <c r="AO58" s="294"/>
      <c r="AP58" s="294"/>
      <c r="AR58" s="317"/>
      <c r="AS58" s="294"/>
      <c r="AT58" s="294"/>
    </row>
    <row r="59" spans="2:49" ht="15.75" hidden="1">
      <c r="B59" s="276"/>
      <c r="C59" s="294"/>
      <c r="D59" s="294"/>
      <c r="E59" s="294"/>
      <c r="F59" s="294"/>
      <c r="G59" s="294"/>
      <c r="H59" s="294"/>
      <c r="I59" s="294"/>
      <c r="J59" s="294"/>
      <c r="K59" s="294"/>
      <c r="L59" s="276"/>
      <c r="M59" s="294"/>
      <c r="N59" s="294"/>
      <c r="O59" s="294"/>
      <c r="P59" s="294"/>
      <c r="Q59" s="294"/>
      <c r="R59" s="294"/>
      <c r="S59" s="294"/>
      <c r="T59" s="294"/>
      <c r="U59" s="276"/>
      <c r="V59" s="294"/>
      <c r="W59" s="294"/>
      <c r="X59" s="294"/>
      <c r="Y59" s="294"/>
      <c r="Z59" s="276"/>
      <c r="AA59" s="294"/>
      <c r="AB59" s="294"/>
      <c r="AC59" s="294"/>
      <c r="AD59" s="294"/>
      <c r="AF59" s="276"/>
      <c r="AG59" s="294"/>
      <c r="AH59" s="294"/>
      <c r="AI59" s="294"/>
      <c r="AJ59" s="294"/>
      <c r="AK59" s="294"/>
      <c r="AL59" s="276"/>
      <c r="AN59" s="294"/>
      <c r="AO59" s="294"/>
      <c r="AP59" s="294"/>
      <c r="AR59" s="294"/>
      <c r="AS59" s="294"/>
      <c r="AT59" s="294"/>
    </row>
    <row r="60" spans="2:49" ht="15.75" hidden="1">
      <c r="B60" s="308" t="s">
        <v>907</v>
      </c>
      <c r="C60" s="294"/>
      <c r="D60" s="300">
        <f>SUM(D54+D58)</f>
        <v>0</v>
      </c>
      <c r="E60" s="294"/>
      <c r="F60" s="294"/>
      <c r="G60" s="294"/>
      <c r="H60" s="300">
        <f>SUM(H54+H58)</f>
        <v>46955</v>
      </c>
      <c r="I60" s="294"/>
      <c r="J60" s="294"/>
      <c r="K60" s="294"/>
      <c r="L60" s="308" t="s">
        <v>907</v>
      </c>
      <c r="M60" s="294"/>
      <c r="N60" s="300">
        <f>SUM(N54+N58)</f>
        <v>0</v>
      </c>
      <c r="O60" s="294"/>
      <c r="P60" s="294"/>
      <c r="Q60" s="294"/>
      <c r="R60" s="300">
        <f>SUM(R54+R58)</f>
        <v>366520</v>
      </c>
      <c r="S60" s="294"/>
      <c r="T60" s="294"/>
      <c r="U60" s="308" t="s">
        <v>907</v>
      </c>
      <c r="V60" s="294"/>
      <c r="W60" s="300">
        <f>SUM(W54+W58)</f>
        <v>59194</v>
      </c>
      <c r="X60" s="294"/>
      <c r="Y60" s="294"/>
      <c r="Z60" s="308" t="s">
        <v>907</v>
      </c>
      <c r="AA60" s="294"/>
      <c r="AB60" s="294"/>
      <c r="AC60" s="300">
        <f>SUM(AC54+AC58)</f>
        <v>4817</v>
      </c>
      <c r="AD60" s="294"/>
      <c r="AF60" s="308" t="s">
        <v>907</v>
      </c>
      <c r="AG60" s="294"/>
      <c r="AH60" s="294"/>
      <c r="AI60" s="300">
        <f>SUM(AI54+AI58)</f>
        <v>94782</v>
      </c>
      <c r="AJ60" s="294"/>
      <c r="AK60" s="294"/>
      <c r="AL60" s="308" t="s">
        <v>907</v>
      </c>
      <c r="AN60" s="294"/>
      <c r="AO60" s="294"/>
      <c r="AP60" s="294"/>
      <c r="AR60" s="300">
        <f>SUM(AR54+AR58)</f>
        <v>572268</v>
      </c>
      <c r="AS60" s="294"/>
      <c r="AT60" s="294"/>
    </row>
    <row r="61" spans="2:49" ht="15.75" hidden="1">
      <c r="B61" s="276"/>
      <c r="C61" s="294"/>
      <c r="D61" s="294"/>
      <c r="E61" s="294"/>
      <c r="F61" s="294"/>
      <c r="G61" s="294"/>
      <c r="H61" s="294"/>
      <c r="I61" s="294"/>
      <c r="J61" s="294"/>
      <c r="K61" s="294"/>
      <c r="L61" s="276"/>
      <c r="M61" s="294"/>
      <c r="N61" s="294"/>
      <c r="O61" s="294"/>
      <c r="P61" s="294"/>
      <c r="Q61" s="294"/>
      <c r="R61" s="294"/>
      <c r="S61" s="294"/>
      <c r="T61" s="294"/>
      <c r="U61" s="276"/>
      <c r="V61" s="294"/>
      <c r="W61" s="294"/>
      <c r="X61" s="294"/>
      <c r="Y61" s="294"/>
      <c r="Z61" s="276"/>
      <c r="AA61" s="294"/>
      <c r="AB61" s="294"/>
      <c r="AC61" s="294"/>
      <c r="AD61" s="294"/>
      <c r="AF61" s="276"/>
      <c r="AG61" s="294"/>
      <c r="AH61" s="294"/>
      <c r="AI61" s="294"/>
      <c r="AJ61" s="294"/>
      <c r="AK61" s="294"/>
      <c r="AL61" s="276"/>
      <c r="AN61" s="294"/>
      <c r="AO61" s="294"/>
      <c r="AP61" s="294"/>
      <c r="AR61" s="294"/>
      <c r="AS61" s="294"/>
      <c r="AT61" s="294"/>
    </row>
    <row r="62" spans="2:49" ht="15.75" hidden="1">
      <c r="B62" s="276" t="s">
        <v>347</v>
      </c>
      <c r="C62" s="294"/>
      <c r="D62" s="317"/>
      <c r="E62" s="294"/>
      <c r="F62" s="294"/>
      <c r="G62" s="294"/>
      <c r="H62" s="317"/>
      <c r="I62" s="294"/>
      <c r="J62" s="294"/>
      <c r="K62" s="294"/>
      <c r="L62" s="276" t="s">
        <v>347</v>
      </c>
      <c r="M62" s="294"/>
      <c r="N62" s="317"/>
      <c r="O62" s="294"/>
      <c r="P62" s="294"/>
      <c r="Q62" s="294"/>
      <c r="R62" s="317"/>
      <c r="S62" s="294"/>
      <c r="T62" s="294"/>
      <c r="U62" s="276" t="s">
        <v>347</v>
      </c>
      <c r="V62" s="294"/>
      <c r="W62" s="317"/>
      <c r="X62" s="294"/>
      <c r="Y62" s="294"/>
      <c r="Z62" s="276" t="s">
        <v>347</v>
      </c>
      <c r="AA62" s="294"/>
      <c r="AB62" s="294"/>
      <c r="AC62" s="317"/>
      <c r="AD62" s="294"/>
      <c r="AF62" s="276" t="s">
        <v>347</v>
      </c>
      <c r="AG62" s="294"/>
      <c r="AH62" s="294"/>
      <c r="AI62" s="317"/>
      <c r="AJ62" s="294"/>
      <c r="AK62" s="294"/>
      <c r="AL62" s="276" t="s">
        <v>347</v>
      </c>
      <c r="AN62" s="294"/>
      <c r="AO62" s="294"/>
      <c r="AP62" s="294"/>
      <c r="AR62" s="317"/>
      <c r="AS62" s="294"/>
      <c r="AT62" s="294"/>
    </row>
    <row r="63" spans="2:49" ht="15.75">
      <c r="B63" s="276"/>
      <c r="C63" s="294"/>
      <c r="D63" s="294"/>
      <c r="E63" s="294"/>
      <c r="F63" s="294"/>
      <c r="G63" s="294"/>
      <c r="H63" s="294"/>
      <c r="I63" s="294"/>
      <c r="J63" s="294"/>
      <c r="K63" s="294"/>
      <c r="L63" s="276"/>
      <c r="M63" s="294"/>
      <c r="N63" s="294"/>
      <c r="O63" s="294"/>
      <c r="P63" s="294"/>
      <c r="Q63" s="294"/>
      <c r="R63" s="294"/>
      <c r="S63" s="294"/>
      <c r="T63" s="294"/>
      <c r="U63" s="276"/>
      <c r="V63" s="294"/>
      <c r="W63" s="294"/>
      <c r="X63" s="294"/>
      <c r="Y63" s="294"/>
      <c r="Z63" s="276"/>
      <c r="AA63" s="294"/>
      <c r="AB63" s="294"/>
      <c r="AC63" s="294"/>
      <c r="AD63" s="294"/>
      <c r="AF63" s="276"/>
      <c r="AG63" s="294"/>
      <c r="AH63" s="294"/>
      <c r="AI63" s="294"/>
      <c r="AJ63" s="294"/>
      <c r="AK63" s="294"/>
      <c r="AL63" s="276"/>
      <c r="AN63" s="294"/>
      <c r="AO63" s="294"/>
      <c r="AP63" s="294"/>
      <c r="AR63" s="294"/>
      <c r="AS63" s="294"/>
      <c r="AT63" s="294"/>
    </row>
    <row r="64" spans="2:49" ht="16.5" thickBot="1">
      <c r="B64" s="276" t="s">
        <v>1256</v>
      </c>
      <c r="C64" s="294"/>
      <c r="D64" s="302">
        <f>SUM(D52+D60+D62)</f>
        <v>0</v>
      </c>
      <c r="E64" s="294"/>
      <c r="F64" s="294"/>
      <c r="G64" s="294"/>
      <c r="H64" s="302">
        <f>SUM(H52+H60+H62)</f>
        <v>41294</v>
      </c>
      <c r="I64" s="294"/>
      <c r="J64" s="294"/>
      <c r="K64" s="294"/>
      <c r="L64" s="276" t="s">
        <v>1256</v>
      </c>
      <c r="M64" s="294"/>
      <c r="N64" s="302">
        <f>SUM(N52+N60+N62)</f>
        <v>0</v>
      </c>
      <c r="O64" s="294"/>
      <c r="P64" s="294"/>
      <c r="Q64" s="294"/>
      <c r="R64" s="302">
        <f>SUM(R52+R60+R62)</f>
        <v>387148</v>
      </c>
      <c r="S64" s="294"/>
      <c r="T64" s="294"/>
      <c r="U64" s="276" t="s">
        <v>1256</v>
      </c>
      <c r="V64" s="294"/>
      <c r="W64" s="302">
        <f>SUM(W52+W60+W62)</f>
        <v>55606</v>
      </c>
      <c r="X64" s="294"/>
      <c r="Y64" s="294"/>
      <c r="Z64" s="276" t="s">
        <v>1256</v>
      </c>
      <c r="AA64" s="294"/>
      <c r="AB64" s="294"/>
      <c r="AC64" s="302">
        <f>SUM(AC52+AC60+AC62)</f>
        <v>19430</v>
      </c>
      <c r="AD64" s="294"/>
      <c r="AF64" s="276" t="s">
        <v>1256</v>
      </c>
      <c r="AG64" s="294"/>
      <c r="AH64" s="294"/>
      <c r="AI64" s="302">
        <f>SUM(AI52+AI60+AI62)</f>
        <v>121101</v>
      </c>
      <c r="AJ64" s="294"/>
      <c r="AK64" s="294"/>
      <c r="AL64" s="276" t="s">
        <v>1256</v>
      </c>
      <c r="AN64" s="294"/>
      <c r="AO64" s="294"/>
      <c r="AP64" s="294"/>
      <c r="AR64" s="302">
        <f>SUM(AR52+AR60+AR62)</f>
        <v>624579</v>
      </c>
      <c r="AS64" s="294"/>
      <c r="AT64" s="294"/>
      <c r="AW64" s="460" t="s">
        <v>3036</v>
      </c>
    </row>
    <row r="65" spans="2:50" ht="16.5" thickTop="1">
      <c r="B65" s="276"/>
      <c r="C65" s="303"/>
      <c r="D65" s="303"/>
      <c r="E65" s="303"/>
      <c r="F65" s="303"/>
      <c r="I65" s="303"/>
      <c r="J65" s="303"/>
      <c r="K65" s="303"/>
      <c r="L65" s="276"/>
      <c r="M65" s="303"/>
      <c r="N65" s="303"/>
      <c r="O65" s="303"/>
      <c r="P65" s="303"/>
      <c r="Q65" s="303"/>
      <c r="R65" s="303"/>
      <c r="S65" s="303"/>
      <c r="T65" s="303"/>
      <c r="U65" s="276"/>
      <c r="V65" s="303"/>
      <c r="W65" s="303"/>
      <c r="X65" s="303"/>
      <c r="Y65" s="303"/>
      <c r="Z65" s="276"/>
      <c r="AA65" s="303"/>
      <c r="AB65" s="303"/>
      <c r="AC65" s="303"/>
      <c r="AD65" s="303"/>
      <c r="AE65" s="303"/>
      <c r="AF65" s="276"/>
      <c r="AG65" s="303"/>
      <c r="AH65" s="289"/>
      <c r="AI65" s="277"/>
      <c r="AK65" s="303"/>
      <c r="AL65" s="276"/>
      <c r="AN65" s="303"/>
      <c r="AO65" s="303"/>
      <c r="AP65" s="303"/>
      <c r="AR65" s="303"/>
      <c r="AS65" s="303"/>
      <c r="AW65" s="460" t="s">
        <v>3037</v>
      </c>
    </row>
    <row r="66" spans="2:50" ht="15.75">
      <c r="B66" s="276"/>
      <c r="C66" s="303"/>
      <c r="D66" s="303"/>
      <c r="E66" s="303"/>
      <c r="F66" s="303"/>
      <c r="G66" s="294"/>
      <c r="H66" s="294"/>
      <c r="I66" s="303"/>
      <c r="J66" s="303"/>
      <c r="K66" s="303"/>
      <c r="L66" s="276"/>
      <c r="M66" s="303"/>
      <c r="N66" s="303"/>
      <c r="O66" s="303"/>
      <c r="P66" s="303"/>
      <c r="Q66" s="303"/>
      <c r="R66" s="303"/>
      <c r="S66" s="303"/>
      <c r="T66" s="303"/>
      <c r="U66" s="276"/>
      <c r="V66" s="303"/>
      <c r="W66" s="303"/>
      <c r="X66" s="303"/>
      <c r="Y66" s="303"/>
      <c r="Z66" s="276"/>
      <c r="AA66" s="303"/>
      <c r="AB66" s="303"/>
      <c r="AC66" s="303"/>
      <c r="AD66" s="303"/>
      <c r="AE66" s="303"/>
      <c r="AF66" s="276"/>
      <c r="AG66" s="303"/>
      <c r="AH66" s="289"/>
      <c r="AI66" s="277"/>
      <c r="AK66" s="303"/>
      <c r="AL66" s="276"/>
      <c r="AN66" s="303"/>
      <c r="AO66" s="303"/>
      <c r="AP66" s="303"/>
      <c r="AR66" s="288">
        <f>SUM(C64:AQ64)</f>
        <v>624579</v>
      </c>
      <c r="AS66" s="303"/>
      <c r="AW66" s="1063">
        <v>541075</v>
      </c>
      <c r="AX66" s="304">
        <f>+AW66-AR54</f>
        <v>-31193</v>
      </c>
    </row>
    <row r="67" spans="2:50" ht="15.75">
      <c r="E67" s="304"/>
      <c r="F67" s="304"/>
      <c r="G67" s="757" t="s">
        <v>3174</v>
      </c>
      <c r="H67" s="757"/>
      <c r="N67" s="303"/>
      <c r="R67" s="303"/>
      <c r="W67" s="303"/>
      <c r="AC67" s="303"/>
      <c r="AH67" s="289"/>
      <c r="AI67" s="277"/>
      <c r="AR67" s="288">
        <f>+AR66-AR64</f>
        <v>0</v>
      </c>
      <c r="AW67" s="325" t="s">
        <v>3021</v>
      </c>
    </row>
    <row r="68" spans="2:50" ht="15.75">
      <c r="E68" s="304"/>
      <c r="F68" s="304"/>
      <c r="G68" s="1111" t="s">
        <v>2389</v>
      </c>
      <c r="H68" s="757">
        <v>0</v>
      </c>
      <c r="N68" s="303"/>
      <c r="R68" s="303"/>
      <c r="W68" s="303"/>
      <c r="AC68" s="303"/>
      <c r="AR68" s="288">
        <f>+AR64</f>
        <v>624579</v>
      </c>
      <c r="AW68" s="1064" t="s">
        <v>3029</v>
      </c>
    </row>
    <row r="69" spans="2:50" ht="15.75">
      <c r="E69" s="304"/>
      <c r="F69" s="304"/>
      <c r="G69" s="1111" t="s">
        <v>3172</v>
      </c>
      <c r="H69" s="757">
        <v>0</v>
      </c>
      <c r="AR69" s="288">
        <f>SUM(D64:AI64)</f>
        <v>624579</v>
      </c>
    </row>
    <row r="70" spans="2:50" ht="15.75">
      <c r="E70" s="304"/>
      <c r="F70" s="304"/>
      <c r="G70" s="1111" t="s">
        <v>3173</v>
      </c>
      <c r="H70" s="757">
        <v>0</v>
      </c>
      <c r="AR70" s="288">
        <f>+AR68-AR69</f>
        <v>0</v>
      </c>
    </row>
    <row r="71" spans="2:50" ht="15.75">
      <c r="E71" s="304"/>
      <c r="F71" s="304"/>
      <c r="G71" s="1111" t="s">
        <v>3175</v>
      </c>
      <c r="H71" s="757">
        <v>0</v>
      </c>
      <c r="I71" s="288" t="s">
        <v>3177</v>
      </c>
    </row>
    <row r="72" spans="2:50" ht="13.5" thickBot="1">
      <c r="G72" s="288" t="s">
        <v>792</v>
      </c>
      <c r="H72" s="1113">
        <f>SUM(H68:H71)</f>
        <v>0</v>
      </c>
      <c r="I72" s="288" t="s">
        <v>3178</v>
      </c>
      <c r="N72" s="520" t="s">
        <v>441</v>
      </c>
    </row>
    <row r="73" spans="2:50" ht="13.5" thickTop="1"/>
  </sheetData>
  <mergeCells count="1">
    <mergeCell ref="AB10:AD10"/>
  </mergeCells>
  <phoneticPr fontId="0" type="noConversion"/>
  <printOptions horizontalCentered="1"/>
  <pageMargins left="0.41" right="0.41" top="0.5" bottom="0.75" header="0.5" footer="0.25"/>
  <pageSetup scale="65" firstPageNumber="100" orientation="portrait" useFirstPageNumber="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ransitionEvaluation="1" codeName="Sheet32"/>
  <dimension ref="B1:AP85"/>
  <sheetViews>
    <sheetView showGridLines="0" topLeftCell="T15" zoomScale="85" zoomScaleNormal="85" workbookViewId="0">
      <selection activeCell="AL55" sqref="AL55"/>
    </sheetView>
  </sheetViews>
  <sheetFormatPr defaultColWidth="9.7109375" defaultRowHeight="12.75"/>
  <cols>
    <col min="1" max="1" width="2.7109375" style="288" customWidth="1"/>
    <col min="2" max="2" width="40.7109375" style="288" customWidth="1"/>
    <col min="3" max="4" width="16.7109375" style="288" customWidth="1"/>
    <col min="5" max="5" width="18.7109375" style="288" customWidth="1"/>
    <col min="6" max="6" width="1.7109375" style="288" customWidth="1"/>
    <col min="7" max="8" width="16.7109375" style="288" customWidth="1"/>
    <col min="9" max="9" width="18.7109375" style="288" customWidth="1"/>
    <col min="10" max="10" width="1.7109375" style="288" customWidth="1"/>
    <col min="11" max="11" width="40.7109375" style="288" customWidth="1"/>
    <col min="12" max="13" width="16.7109375" style="288" customWidth="1"/>
    <col min="14" max="14" width="25.7109375" style="288" customWidth="1"/>
    <col min="15" max="15" width="1.7109375" style="288" customWidth="1"/>
    <col min="16" max="17" width="16.7109375" style="288" customWidth="1"/>
    <col min="18" max="18" width="18.7109375" style="288" customWidth="1"/>
    <col min="19" max="19" width="1.7109375" style="288" customWidth="1"/>
    <col min="20" max="20" width="40.7109375" style="288" customWidth="1"/>
    <col min="21" max="22" width="15.7109375" style="288" customWidth="1"/>
    <col min="23" max="23" width="18.7109375" style="288" customWidth="1"/>
    <col min="24" max="24" width="1.7109375" style="288" customWidth="1"/>
    <col min="25" max="26" width="16.7109375" style="288" customWidth="1"/>
    <col min="27" max="27" width="18.7109375" style="288" customWidth="1"/>
    <col min="28" max="28" width="1.7109375" style="288" customWidth="1"/>
    <col min="29" max="29" width="40.7109375" style="288" customWidth="1"/>
    <col min="30" max="30" width="10.28515625" style="288" customWidth="1"/>
    <col min="31" max="31" width="15.7109375" style="288" customWidth="1"/>
    <col min="32" max="32" width="18.7109375" style="288" hidden="1" customWidth="1"/>
    <col min="33" max="33" width="1.7109375" style="288" customWidth="1"/>
    <col min="34" max="34" width="16.7109375" style="288" customWidth="1"/>
    <col min="35" max="35" width="17.85546875" style="288" customWidth="1"/>
    <col min="36" max="36" width="23.140625" style="288" customWidth="1"/>
    <col min="37" max="37" width="1.7109375" style="288" customWidth="1"/>
    <col min="38" max="39" width="18.7109375" style="288" customWidth="1"/>
    <col min="40" max="41" width="9.7109375" style="288"/>
    <col min="42" max="42" width="10" style="288" bestFit="1" customWidth="1"/>
    <col min="43" max="16384" width="9.7109375" style="288"/>
  </cols>
  <sheetData>
    <row r="1" spans="2:39" ht="15.75">
      <c r="AJ1" s="276"/>
    </row>
    <row r="2" spans="2:39" ht="15.75">
      <c r="S2" s="276"/>
      <c r="AB2" s="276"/>
      <c r="AJ2" s="276"/>
    </row>
    <row r="3" spans="2:39" ht="15.75">
      <c r="C3" s="305" t="s">
        <v>1049</v>
      </c>
      <c r="D3" s="277"/>
      <c r="E3" s="277"/>
      <c r="F3" s="277"/>
      <c r="G3" s="289"/>
      <c r="H3" s="277"/>
      <c r="L3" s="305" t="s">
        <v>1049</v>
      </c>
      <c r="M3" s="277"/>
      <c r="N3" s="277"/>
      <c r="O3" s="277"/>
      <c r="P3" s="289"/>
      <c r="Q3" s="277"/>
      <c r="S3" s="276"/>
      <c r="U3" s="305" t="s">
        <v>1049</v>
      </c>
      <c r="V3" s="277"/>
      <c r="W3" s="277"/>
      <c r="X3" s="277"/>
      <c r="Y3" s="289"/>
      <c r="Z3" s="277"/>
      <c r="AA3" s="276"/>
      <c r="AB3" s="276"/>
      <c r="AF3" s="277"/>
      <c r="AG3" s="287" t="s">
        <v>1049</v>
      </c>
      <c r="AI3" s="289"/>
      <c r="AJ3" s="289"/>
      <c r="AK3" s="277"/>
      <c r="AL3" s="276"/>
    </row>
    <row r="4" spans="2:39" ht="15.75">
      <c r="C4" s="305" t="s">
        <v>438</v>
      </c>
      <c r="D4" s="277"/>
      <c r="E4" s="277"/>
      <c r="F4" s="277"/>
      <c r="G4" s="289"/>
      <c r="H4" s="277"/>
      <c r="L4" s="305" t="s">
        <v>438</v>
      </c>
      <c r="M4" s="277"/>
      <c r="N4" s="277"/>
      <c r="O4" s="277"/>
      <c r="P4" s="289"/>
      <c r="Q4" s="277"/>
      <c r="U4" s="305" t="s">
        <v>438</v>
      </c>
      <c r="V4" s="277"/>
      <c r="W4" s="277"/>
      <c r="X4" s="277"/>
      <c r="Y4" s="289"/>
      <c r="Z4" s="277"/>
      <c r="AA4" s="276"/>
      <c r="AF4" s="277"/>
      <c r="AG4" s="287" t="s">
        <v>438</v>
      </c>
      <c r="AI4" s="289"/>
      <c r="AJ4" s="289"/>
      <c r="AK4" s="277"/>
      <c r="AL4" s="276"/>
    </row>
    <row r="5" spans="2:39" ht="15.75">
      <c r="C5" s="305" t="s">
        <v>1360</v>
      </c>
      <c r="D5" s="277"/>
      <c r="E5" s="277"/>
      <c r="F5" s="277"/>
      <c r="G5" s="289"/>
      <c r="H5" s="277"/>
      <c r="L5" s="305" t="s">
        <v>1360</v>
      </c>
      <c r="M5" s="277"/>
      <c r="N5" s="277"/>
      <c r="O5" s="277"/>
      <c r="P5" s="289"/>
      <c r="Q5" s="277"/>
      <c r="U5" s="305" t="s">
        <v>1360</v>
      </c>
      <c r="V5" s="277"/>
      <c r="W5" s="277"/>
      <c r="X5" s="277"/>
      <c r="Y5" s="289"/>
      <c r="Z5" s="277"/>
      <c r="AA5" s="276"/>
      <c r="AF5" s="277"/>
      <c r="AG5" s="287" t="s">
        <v>1360</v>
      </c>
      <c r="AI5" s="289"/>
      <c r="AJ5" s="289"/>
      <c r="AK5" s="277"/>
      <c r="AL5" s="276"/>
    </row>
    <row r="6" spans="2:39" ht="15.75">
      <c r="C6" s="305" t="s">
        <v>996</v>
      </c>
      <c r="D6" s="277"/>
      <c r="E6" s="277"/>
      <c r="F6" s="277"/>
      <c r="G6" s="289"/>
      <c r="H6" s="277"/>
      <c r="L6" s="305" t="s">
        <v>996</v>
      </c>
      <c r="M6" s="277"/>
      <c r="N6" s="277"/>
      <c r="O6" s="277"/>
      <c r="P6" s="289"/>
      <c r="Q6" s="277"/>
      <c r="U6" s="305" t="s">
        <v>996</v>
      </c>
      <c r="V6" s="277"/>
      <c r="W6" s="277"/>
      <c r="X6" s="277"/>
      <c r="Y6" s="289"/>
      <c r="Z6" s="277"/>
      <c r="AA6" s="276"/>
      <c r="AF6" s="308"/>
      <c r="AG6" s="287" t="s">
        <v>996</v>
      </c>
      <c r="AI6" s="308"/>
      <c r="AJ6" s="289"/>
      <c r="AK6" s="277"/>
      <c r="AL6" s="277"/>
    </row>
    <row r="7" spans="2:39" ht="15.75">
      <c r="C7" s="395" t="str">
        <f>+'Sys INPUT'!B2</f>
        <v>For the  Fiscal Year Ended June 30, 2023</v>
      </c>
      <c r="D7" s="277"/>
      <c r="E7" s="277"/>
      <c r="F7" s="277"/>
      <c r="G7" s="277"/>
      <c r="H7" s="289"/>
      <c r="L7" s="395" t="str">
        <f>+C7</f>
        <v>For the  Fiscal Year Ended June 30, 2023</v>
      </c>
      <c r="M7" s="277"/>
      <c r="N7" s="277"/>
      <c r="O7" s="277"/>
      <c r="P7" s="277"/>
      <c r="Q7" s="289"/>
      <c r="S7" s="276"/>
      <c r="U7" s="395" t="str">
        <f>+L7</f>
        <v>For the  Fiscal Year Ended June 30, 2023</v>
      </c>
      <c r="V7" s="277"/>
      <c r="W7" s="277"/>
      <c r="X7" s="277"/>
      <c r="Y7" s="277"/>
      <c r="Z7" s="289"/>
      <c r="AA7" s="276"/>
      <c r="AB7" s="276"/>
      <c r="AF7" s="277"/>
      <c r="AG7" s="287" t="str">
        <f>+U7</f>
        <v>For the  Fiscal Year Ended June 30, 2023</v>
      </c>
      <c r="AI7" s="289"/>
      <c r="AJ7" s="289"/>
      <c r="AK7" s="277"/>
      <c r="AL7" s="276"/>
    </row>
    <row r="8" spans="2:39" ht="15.75">
      <c r="C8" s="305" t="s">
        <v>1661</v>
      </c>
      <c r="D8" s="305"/>
      <c r="E8" s="305"/>
      <c r="F8" s="305"/>
      <c r="G8" s="305"/>
      <c r="H8" s="289"/>
      <c r="L8" s="305" t="s">
        <v>1660</v>
      </c>
      <c r="M8" s="305"/>
      <c r="N8" s="305"/>
      <c r="O8" s="305"/>
      <c r="P8" s="305"/>
      <c r="Q8" s="289"/>
      <c r="S8" s="276"/>
      <c r="U8" s="305" t="s">
        <v>1663</v>
      </c>
      <c r="V8" s="305"/>
      <c r="W8" s="305"/>
      <c r="X8" s="305"/>
      <c r="Y8" s="305"/>
      <c r="Z8" s="289"/>
      <c r="AA8" s="276"/>
      <c r="AB8" s="276"/>
      <c r="AF8" s="305"/>
      <c r="AG8" s="287" t="s">
        <v>454</v>
      </c>
      <c r="AI8" s="289"/>
      <c r="AJ8" s="289"/>
      <c r="AK8" s="305"/>
      <c r="AL8" s="276"/>
    </row>
    <row r="9" spans="2:39" ht="15.75">
      <c r="B9" s="308"/>
      <c r="C9" s="276"/>
      <c r="D9" s="276"/>
      <c r="E9" s="276"/>
      <c r="F9" s="276"/>
      <c r="G9" s="276"/>
      <c r="H9" s="276"/>
      <c r="I9" s="276"/>
      <c r="J9" s="276"/>
      <c r="K9" s="308"/>
      <c r="L9" s="276"/>
      <c r="M9" s="276"/>
      <c r="Q9" s="276"/>
      <c r="R9" s="276"/>
      <c r="S9" s="276"/>
      <c r="T9" s="308"/>
      <c r="U9" s="308"/>
      <c r="V9" s="308"/>
      <c r="W9" s="308"/>
      <c r="Y9" s="276"/>
      <c r="Z9" s="276"/>
      <c r="AA9" s="276"/>
      <c r="AB9" s="276"/>
      <c r="AC9" s="308"/>
      <c r="AD9" s="308"/>
      <c r="AE9" s="308"/>
      <c r="AF9" s="308"/>
      <c r="AG9" s="276"/>
      <c r="AH9" s="276"/>
      <c r="AI9" s="276"/>
      <c r="AJ9" s="276"/>
      <c r="AK9" s="276"/>
      <c r="AL9" s="276"/>
      <c r="AM9" s="276"/>
    </row>
    <row r="10" spans="2:39" ht="15.75">
      <c r="C10" s="328" t="s">
        <v>884</v>
      </c>
      <c r="D10" s="328"/>
      <c r="E10" s="328"/>
      <c r="F10" s="276"/>
      <c r="G10" s="328" t="s">
        <v>881</v>
      </c>
      <c r="H10" s="328"/>
      <c r="I10" s="328"/>
      <c r="J10" s="276"/>
      <c r="L10" s="328" t="s">
        <v>2580</v>
      </c>
      <c r="M10" s="328"/>
      <c r="N10" s="328"/>
      <c r="O10" s="276"/>
      <c r="P10" s="328" t="s">
        <v>885</v>
      </c>
      <c r="Q10" s="508"/>
      <c r="R10" s="328"/>
      <c r="S10" s="276"/>
      <c r="U10" s="328" t="s">
        <v>2602</v>
      </c>
      <c r="V10" s="508"/>
      <c r="W10" s="328"/>
      <c r="X10" s="276"/>
      <c r="Y10" s="328" t="s">
        <v>1293</v>
      </c>
      <c r="Z10" s="508"/>
      <c r="AA10" s="328"/>
      <c r="AB10" s="276"/>
      <c r="AD10" s="308"/>
      <c r="AE10" s="308"/>
      <c r="AF10" s="308"/>
      <c r="AG10" s="276"/>
      <c r="AH10" s="328" t="s">
        <v>178</v>
      </c>
      <c r="AI10" s="508"/>
      <c r="AJ10" s="328"/>
      <c r="AK10" s="276"/>
    </row>
    <row r="11" spans="2:39" ht="15.75">
      <c r="C11" s="395"/>
      <c r="D11" s="395"/>
      <c r="E11" s="395" t="s">
        <v>1145</v>
      </c>
      <c r="F11" s="276"/>
      <c r="G11" s="395"/>
      <c r="H11" s="395"/>
      <c r="I11" s="395" t="s">
        <v>1145</v>
      </c>
      <c r="J11" s="276"/>
      <c r="L11" s="395"/>
      <c r="M11" s="395"/>
      <c r="N11" s="395" t="s">
        <v>1145</v>
      </c>
      <c r="O11" s="276"/>
      <c r="P11" s="395"/>
      <c r="Q11" s="395"/>
      <c r="R11" s="395" t="s">
        <v>1145</v>
      </c>
      <c r="S11" s="276"/>
      <c r="U11" s="395"/>
      <c r="V11" s="395"/>
      <c r="W11" s="395" t="s">
        <v>1145</v>
      </c>
      <c r="X11" s="276"/>
      <c r="Y11" s="395"/>
      <c r="Z11" s="395"/>
      <c r="AA11" s="395" t="s">
        <v>1145</v>
      </c>
      <c r="AB11" s="276"/>
      <c r="AD11" s="308"/>
      <c r="AE11" s="308"/>
      <c r="AF11" s="308"/>
      <c r="AG11" s="276"/>
      <c r="AH11" s="395"/>
      <c r="AI11" s="395"/>
      <c r="AJ11" s="395" t="s">
        <v>1145</v>
      </c>
      <c r="AK11" s="276"/>
    </row>
    <row r="12" spans="2:39" ht="15.75">
      <c r="B12" s="308"/>
      <c r="C12" s="395"/>
      <c r="D12" s="287"/>
      <c r="E12" s="287" t="s">
        <v>461</v>
      </c>
      <c r="F12" s="276"/>
      <c r="G12" s="395"/>
      <c r="H12" s="287"/>
      <c r="I12" s="287" t="s">
        <v>461</v>
      </c>
      <c r="J12" s="276"/>
      <c r="K12" s="308"/>
      <c r="L12" s="395"/>
      <c r="M12" s="287"/>
      <c r="N12" s="287" t="s">
        <v>461</v>
      </c>
      <c r="O12" s="276"/>
      <c r="P12" s="395"/>
      <c r="Q12" s="287"/>
      <c r="R12" s="287" t="s">
        <v>461</v>
      </c>
      <c r="S12" s="276"/>
      <c r="T12" s="308"/>
      <c r="U12" s="395"/>
      <c r="V12" s="287"/>
      <c r="W12" s="287" t="s">
        <v>461</v>
      </c>
      <c r="X12" s="276"/>
      <c r="Y12" s="395"/>
      <c r="Z12" s="287"/>
      <c r="AA12" s="287" t="s">
        <v>461</v>
      </c>
      <c r="AB12" s="276"/>
      <c r="AC12" s="308"/>
      <c r="AD12" s="308"/>
      <c r="AE12" s="308"/>
      <c r="AF12" s="308"/>
      <c r="AG12" s="276"/>
      <c r="AH12" s="395"/>
      <c r="AI12" s="287"/>
      <c r="AJ12" s="287" t="s">
        <v>461</v>
      </c>
      <c r="AK12" s="276"/>
    </row>
    <row r="13" spans="2:39" ht="15.75">
      <c r="B13" s="308"/>
      <c r="C13" s="287" t="s">
        <v>414</v>
      </c>
      <c r="D13" s="287" t="s">
        <v>858</v>
      </c>
      <c r="E13" s="287" t="s">
        <v>412</v>
      </c>
      <c r="F13" s="276"/>
      <c r="G13" s="287" t="s">
        <v>414</v>
      </c>
      <c r="H13" s="287" t="s">
        <v>858</v>
      </c>
      <c r="I13" s="287" t="s">
        <v>412</v>
      </c>
      <c r="J13" s="276"/>
      <c r="K13" s="308"/>
      <c r="L13" s="287" t="s">
        <v>414</v>
      </c>
      <c r="M13" s="287" t="s">
        <v>858</v>
      </c>
      <c r="N13" s="287" t="s">
        <v>412</v>
      </c>
      <c r="O13" s="276"/>
      <c r="P13" s="287" t="s">
        <v>414</v>
      </c>
      <c r="Q13" s="287" t="s">
        <v>858</v>
      </c>
      <c r="R13" s="287" t="s">
        <v>412</v>
      </c>
      <c r="S13" s="276"/>
      <c r="T13" s="308"/>
      <c r="U13" s="287" t="s">
        <v>414</v>
      </c>
      <c r="V13" s="287" t="s">
        <v>858</v>
      </c>
      <c r="W13" s="287" t="s">
        <v>412</v>
      </c>
      <c r="X13" s="276"/>
      <c r="Y13" s="287" t="s">
        <v>414</v>
      </c>
      <c r="Z13" s="287" t="s">
        <v>858</v>
      </c>
      <c r="AA13" s="287" t="s">
        <v>412</v>
      </c>
      <c r="AB13" s="276"/>
      <c r="AC13" s="308"/>
      <c r="AD13" s="308"/>
      <c r="AE13" s="308"/>
      <c r="AF13" s="308"/>
      <c r="AG13" s="276"/>
      <c r="AH13" s="287" t="s">
        <v>414</v>
      </c>
      <c r="AI13" s="287" t="s">
        <v>858</v>
      </c>
      <c r="AJ13" s="287" t="s">
        <v>412</v>
      </c>
      <c r="AK13" s="276"/>
    </row>
    <row r="14" spans="2:39" ht="15.75">
      <c r="B14" s="308"/>
      <c r="C14" s="290" t="s">
        <v>435</v>
      </c>
      <c r="D14" s="290" t="s">
        <v>376</v>
      </c>
      <c r="E14" s="290" t="s">
        <v>413</v>
      </c>
      <c r="F14" s="276"/>
      <c r="G14" s="290" t="s">
        <v>435</v>
      </c>
      <c r="H14" s="290" t="s">
        <v>376</v>
      </c>
      <c r="I14" s="290" t="s">
        <v>413</v>
      </c>
      <c r="J14" s="276"/>
      <c r="K14" s="308"/>
      <c r="L14" s="290" t="s">
        <v>435</v>
      </c>
      <c r="M14" s="290" t="s">
        <v>376</v>
      </c>
      <c r="N14" s="290" t="s">
        <v>413</v>
      </c>
      <c r="O14" s="276"/>
      <c r="P14" s="290" t="s">
        <v>435</v>
      </c>
      <c r="Q14" s="290" t="s">
        <v>376</v>
      </c>
      <c r="R14" s="290" t="s">
        <v>413</v>
      </c>
      <c r="S14" s="276"/>
      <c r="T14" s="308"/>
      <c r="U14" s="290" t="s">
        <v>435</v>
      </c>
      <c r="V14" s="290" t="s">
        <v>376</v>
      </c>
      <c r="W14" s="290" t="s">
        <v>413</v>
      </c>
      <c r="X14" s="276"/>
      <c r="Y14" s="290" t="s">
        <v>435</v>
      </c>
      <c r="Z14" s="290" t="s">
        <v>376</v>
      </c>
      <c r="AA14" s="290" t="s">
        <v>413</v>
      </c>
      <c r="AB14" s="276"/>
      <c r="AC14" s="308"/>
      <c r="AD14" s="308"/>
      <c r="AE14" s="308"/>
      <c r="AF14" s="308"/>
      <c r="AG14" s="276"/>
      <c r="AH14" s="290" t="s">
        <v>435</v>
      </c>
      <c r="AI14" s="290" t="s">
        <v>376</v>
      </c>
      <c r="AJ14" s="290" t="s">
        <v>413</v>
      </c>
      <c r="AK14" s="276"/>
    </row>
    <row r="15" spans="2:39" ht="15.75">
      <c r="B15" s="308" t="s">
        <v>596</v>
      </c>
      <c r="C15" s="276"/>
      <c r="D15" s="276"/>
      <c r="E15" s="276"/>
      <c r="F15" s="276"/>
      <c r="G15" s="276"/>
      <c r="H15" s="276"/>
      <c r="I15" s="276"/>
      <c r="J15" s="276"/>
      <c r="K15" s="308" t="s">
        <v>596</v>
      </c>
      <c r="L15" s="276"/>
      <c r="M15" s="276"/>
      <c r="N15" s="276"/>
      <c r="O15" s="276"/>
      <c r="P15" s="276"/>
      <c r="Q15" s="276"/>
      <c r="R15" s="276"/>
      <c r="S15" s="276"/>
      <c r="T15" s="308" t="s">
        <v>596</v>
      </c>
      <c r="U15" s="276"/>
      <c r="V15" s="276"/>
      <c r="W15" s="276"/>
      <c r="X15" s="276"/>
      <c r="Y15" s="276"/>
      <c r="Z15" s="276"/>
      <c r="AA15" s="276"/>
      <c r="AB15" s="276"/>
      <c r="AC15" s="308" t="s">
        <v>596</v>
      </c>
      <c r="AD15" s="308"/>
      <c r="AE15" s="308"/>
      <c r="AF15" s="308"/>
      <c r="AG15" s="276"/>
      <c r="AJ15" s="276"/>
      <c r="AK15" s="276"/>
    </row>
    <row r="16" spans="2:39" ht="15.75" hidden="1">
      <c r="B16" s="276" t="s">
        <v>220</v>
      </c>
      <c r="C16" s="292">
        <f>SUM('CP BUDACT ER'!D18:D20)</f>
        <v>0</v>
      </c>
      <c r="D16" s="292">
        <f>SUM('CP BUDACT ER'!E18:E20)</f>
        <v>0</v>
      </c>
      <c r="E16" s="292">
        <f t="shared" ref="E16:E22" si="0">SUM(D16-C16)</f>
        <v>0</v>
      </c>
      <c r="F16" s="276"/>
      <c r="G16" s="292">
        <f>SUM('CP BUDACT ER'!G18:G20)</f>
        <v>0</v>
      </c>
      <c r="H16" s="292">
        <f>SUM('CP BUDACT ER'!H18:H20)</f>
        <v>0</v>
      </c>
      <c r="I16" s="292">
        <f t="shared" ref="I16:I22" si="1">+SUM(H16-G16)</f>
        <v>0</v>
      </c>
      <c r="J16" s="276"/>
      <c r="K16" s="276" t="s">
        <v>220</v>
      </c>
      <c r="L16" s="292">
        <f>SUM('CP BUDACT ER'!J18:J20)</f>
        <v>0</v>
      </c>
      <c r="M16" s="292">
        <f>SUM('CP BUDACT ER'!K18:K20)</f>
        <v>0</v>
      </c>
      <c r="N16" s="292">
        <f t="shared" ref="N16:N22" si="2">+SUM(M16-L16)</f>
        <v>0</v>
      </c>
      <c r="O16" s="276"/>
      <c r="P16" s="292">
        <f>SUM('CP BUDACT ER'!M18:M20)</f>
        <v>0</v>
      </c>
      <c r="Q16" s="292">
        <f>SUM('CP BUDACT ER'!N18:N20)</f>
        <v>0</v>
      </c>
      <c r="R16" s="292">
        <f t="shared" ref="R16:R22" si="3">+SUM(Q16-P16)</f>
        <v>0</v>
      </c>
      <c r="S16" s="276"/>
      <c r="T16" s="276" t="s">
        <v>220</v>
      </c>
      <c r="U16" s="292">
        <f>SUM('CP BUDACT ER'!P18:P20)</f>
        <v>0</v>
      </c>
      <c r="V16" s="292">
        <f>SUM('CP BUDACT ER'!Q18:Q20)</f>
        <v>0</v>
      </c>
      <c r="W16" s="292">
        <f>+SUM(V16-U16)</f>
        <v>0</v>
      </c>
      <c r="X16" s="276"/>
      <c r="Y16" s="292">
        <f>SUM('CP BUDACT ER'!S18:S20)</f>
        <v>0</v>
      </c>
      <c r="Z16" s="292">
        <f>SUM('CP BUDACT ER'!T18:T20)</f>
        <v>0</v>
      </c>
      <c r="AA16" s="292">
        <f>+SUM(Z16-Y16)</f>
        <v>0</v>
      </c>
      <c r="AB16" s="276"/>
      <c r="AC16" s="276" t="s">
        <v>220</v>
      </c>
      <c r="AD16" s="308"/>
      <c r="AE16" s="308"/>
      <c r="AF16" s="308"/>
      <c r="AG16" s="276"/>
      <c r="AH16" s="292">
        <f>+C16+G16+L16+P16+Y16</f>
        <v>0</v>
      </c>
      <c r="AI16" s="292">
        <f>+D16+H16+M16+Q16+Z16</f>
        <v>0</v>
      </c>
      <c r="AJ16" s="292">
        <f t="shared" ref="AJ16:AJ22" si="4">+SUM(AI16-AH16)</f>
        <v>0</v>
      </c>
      <c r="AK16" s="276"/>
    </row>
    <row r="17" spans="2:37" ht="15.75" hidden="1">
      <c r="B17" s="276" t="s">
        <v>468</v>
      </c>
      <c r="C17" s="294">
        <f>SUM('CP BUDACT ER'!D22:D24)</f>
        <v>0</v>
      </c>
      <c r="D17" s="294">
        <f>SUM('CP BUDACT ER'!E22:E24)</f>
        <v>0</v>
      </c>
      <c r="E17" s="294">
        <f t="shared" si="0"/>
        <v>0</v>
      </c>
      <c r="F17" s="294"/>
      <c r="G17" s="294">
        <f>SUM('CP BUDACT ER'!G22:G24)</f>
        <v>0</v>
      </c>
      <c r="H17" s="294">
        <f>SUM('CP BUDACT ER'!H22:H24)</f>
        <v>0</v>
      </c>
      <c r="I17" s="294">
        <f t="shared" si="1"/>
        <v>0</v>
      </c>
      <c r="J17" s="294"/>
      <c r="K17" s="276" t="s">
        <v>468</v>
      </c>
      <c r="L17" s="294">
        <f>SUM('CP BUDACT ER'!J22:J24)</f>
        <v>0</v>
      </c>
      <c r="M17" s="294">
        <f>SUM('CP BUDACT ER'!K22:K24)</f>
        <v>0</v>
      </c>
      <c r="N17" s="294">
        <f t="shared" si="2"/>
        <v>0</v>
      </c>
      <c r="O17" s="294"/>
      <c r="P17" s="294">
        <f>SUM('CP BUDACT ER'!M22:M24)</f>
        <v>0</v>
      </c>
      <c r="Q17" s="294">
        <f>SUM('CP BUDACT ER'!N22:N24)</f>
        <v>0</v>
      </c>
      <c r="R17" s="294">
        <f t="shared" si="3"/>
        <v>0</v>
      </c>
      <c r="S17" s="294"/>
      <c r="T17" s="276" t="s">
        <v>468</v>
      </c>
      <c r="U17" s="294">
        <f>SUM('CP BUDACT ER'!P22:P24)</f>
        <v>0</v>
      </c>
      <c r="V17" s="294">
        <f>SUM('CP BUDACT ER'!Q22:Q24)</f>
        <v>0</v>
      </c>
      <c r="W17" s="294">
        <f t="shared" ref="W17:W22" si="5">+SUM(V17-U17)</f>
        <v>0</v>
      </c>
      <c r="X17" s="294"/>
      <c r="Y17" s="294">
        <f>SUM('CP BUDACT ER'!S22:S24)</f>
        <v>0</v>
      </c>
      <c r="Z17" s="294">
        <f>SUM('CP BUDACT ER'!T22:T24)</f>
        <v>0</v>
      </c>
      <c r="AA17" s="294">
        <f t="shared" ref="AA17:AA22" si="6">+SUM(Z17-Y17)</f>
        <v>0</v>
      </c>
      <c r="AB17" s="294"/>
      <c r="AC17" s="276" t="s">
        <v>468</v>
      </c>
      <c r="AD17" s="308"/>
      <c r="AE17" s="308"/>
      <c r="AF17" s="308"/>
      <c r="AG17" s="294"/>
      <c r="AH17" s="294">
        <f>+C17+G17+L17+P17+Y17</f>
        <v>0</v>
      </c>
      <c r="AI17" s="294">
        <f>+D17+H17+M17+Q17+Z17</f>
        <v>0</v>
      </c>
      <c r="AJ17" s="294">
        <f t="shared" si="4"/>
        <v>0</v>
      </c>
      <c r="AK17" s="294"/>
    </row>
    <row r="18" spans="2:37" ht="15.75">
      <c r="B18" s="276" t="s">
        <v>444</v>
      </c>
      <c r="C18" s="292">
        <f>SUM('CP BUDACT ER'!D27:D40)</f>
        <v>0</v>
      </c>
      <c r="D18" s="292">
        <f>SUM('CP BUDACT ER'!E27:E40)</f>
        <v>0</v>
      </c>
      <c r="E18" s="292">
        <f t="shared" si="0"/>
        <v>0</v>
      </c>
      <c r="F18" s="276"/>
      <c r="G18" s="292">
        <f>SUM('CP BUDACT ER'!G27:G40)</f>
        <v>0</v>
      </c>
      <c r="H18" s="292">
        <f>SUM('CP BUDACT ER'!H27:H40)</f>
        <v>0</v>
      </c>
      <c r="I18" s="292">
        <f t="shared" si="1"/>
        <v>0</v>
      </c>
      <c r="J18" s="276"/>
      <c r="K18" s="276" t="s">
        <v>444</v>
      </c>
      <c r="L18" s="292">
        <f>SUM('CP BUDACT ER'!J27:J40)</f>
        <v>0</v>
      </c>
      <c r="M18" s="292">
        <f>SUM('CP BUDACT ER'!K27:K40)-0</f>
        <v>0</v>
      </c>
      <c r="N18" s="292">
        <f t="shared" si="2"/>
        <v>0</v>
      </c>
      <c r="O18" s="276"/>
      <c r="P18" s="292">
        <f>SUM('CP BUDACT ER'!M27:M40)</f>
        <v>0</v>
      </c>
      <c r="Q18" s="292">
        <f>SUM('CP BUDACT ER'!N27:N40)-0</f>
        <v>0</v>
      </c>
      <c r="R18" s="292">
        <f t="shared" si="3"/>
        <v>0</v>
      </c>
      <c r="S18" s="276"/>
      <c r="T18" s="276" t="s">
        <v>444</v>
      </c>
      <c r="U18" s="292">
        <f>SUM('CP BUDACT ER'!P27:P40)</f>
        <v>0</v>
      </c>
      <c r="V18" s="292">
        <f>SUM('CP BUDACT ER'!Q27:Q40)</f>
        <v>0</v>
      </c>
      <c r="W18" s="292">
        <f t="shared" si="5"/>
        <v>0</v>
      </c>
      <c r="X18" s="276"/>
      <c r="Y18" s="292">
        <f>SUM('CP BUDACT ER'!S27:S40)</f>
        <v>2420000</v>
      </c>
      <c r="Z18" s="292">
        <f>SUM('CP BUDACT ER'!T27:T40)</f>
        <v>13259</v>
      </c>
      <c r="AA18" s="292">
        <f t="shared" si="6"/>
        <v>-2406741</v>
      </c>
      <c r="AB18" s="276"/>
      <c r="AC18" s="276" t="s">
        <v>444</v>
      </c>
      <c r="AD18" s="308"/>
      <c r="AE18" s="308"/>
      <c r="AF18" s="308"/>
      <c r="AG18" s="276"/>
      <c r="AH18" s="292">
        <f t="shared" ref="AH18:AI22" si="7">+C18+G18+L18+P18+Y18+U18</f>
        <v>2420000</v>
      </c>
      <c r="AI18" s="292">
        <f t="shared" si="7"/>
        <v>13259</v>
      </c>
      <c r="AJ18" s="292">
        <f t="shared" si="4"/>
        <v>-2406741</v>
      </c>
      <c r="AK18" s="276"/>
    </row>
    <row r="19" spans="2:37" ht="15.75" hidden="1">
      <c r="B19" s="276" t="s">
        <v>445</v>
      </c>
      <c r="C19" s="294">
        <f>SUM('CP BUDACT ER'!D42:D47)</f>
        <v>0</v>
      </c>
      <c r="D19" s="294">
        <f>SUM('CP BUDACT ER'!E42:E47)</f>
        <v>0</v>
      </c>
      <c r="E19" s="294">
        <f t="shared" si="0"/>
        <v>0</v>
      </c>
      <c r="F19" s="294"/>
      <c r="G19" s="294">
        <f>SUM('CP BUDACT ER'!G42:G47)</f>
        <v>0</v>
      </c>
      <c r="H19" s="294">
        <f>SUM('CP BUDACT ER'!H42:H47)</f>
        <v>0</v>
      </c>
      <c r="I19" s="294">
        <f t="shared" si="1"/>
        <v>0</v>
      </c>
      <c r="J19" s="294"/>
      <c r="K19" s="276" t="s">
        <v>445</v>
      </c>
      <c r="L19" s="294">
        <f>SUM('CP BUDACT ER'!J42:J47)</f>
        <v>0</v>
      </c>
      <c r="M19" s="294">
        <f>SUM('CP BUDACT ER'!K42:K47)</f>
        <v>0</v>
      </c>
      <c r="N19" s="294">
        <f t="shared" si="2"/>
        <v>0</v>
      </c>
      <c r="O19" s="294"/>
      <c r="P19" s="294">
        <f>SUM('CP BUDACT ER'!M42:M47)</f>
        <v>0</v>
      </c>
      <c r="Q19" s="294">
        <f>SUM('CP BUDACT ER'!N42:N47)</f>
        <v>0</v>
      </c>
      <c r="R19" s="294">
        <f t="shared" si="3"/>
        <v>0</v>
      </c>
      <c r="S19" s="294"/>
      <c r="T19" s="276" t="s">
        <v>445</v>
      </c>
      <c r="U19" s="294">
        <f>SUM('CP BUDACT ER'!P42:P47)</f>
        <v>0</v>
      </c>
      <c r="V19" s="294">
        <f>SUM('CP BUDACT ER'!Q42:Q47)</f>
        <v>0</v>
      </c>
      <c r="W19" s="294">
        <f t="shared" si="5"/>
        <v>0</v>
      </c>
      <c r="X19" s="294"/>
      <c r="Y19" s="294">
        <f>SUM('CP BUDACT ER'!S42:S47)</f>
        <v>0</v>
      </c>
      <c r="Z19" s="294">
        <f>SUM('CP BUDACT ER'!T42:T47)</f>
        <v>0</v>
      </c>
      <c r="AA19" s="294">
        <f t="shared" si="6"/>
        <v>0</v>
      </c>
      <c r="AB19" s="294"/>
      <c r="AC19" s="276" t="s">
        <v>445</v>
      </c>
      <c r="AD19" s="308"/>
      <c r="AE19" s="308"/>
      <c r="AF19" s="308"/>
      <c r="AG19" s="294"/>
      <c r="AH19" s="294">
        <f t="shared" si="7"/>
        <v>0</v>
      </c>
      <c r="AI19" s="294">
        <f t="shared" si="7"/>
        <v>0</v>
      </c>
      <c r="AJ19" s="294">
        <f t="shared" si="4"/>
        <v>0</v>
      </c>
      <c r="AK19" s="294"/>
    </row>
    <row r="20" spans="2:37" ht="15.75" hidden="1">
      <c r="B20" s="276" t="s">
        <v>446</v>
      </c>
      <c r="C20" s="294">
        <f>SUM('CP BUDACT ER'!D49:D50)</f>
        <v>0</v>
      </c>
      <c r="D20" s="294">
        <f>SUM('CP BUDACT ER'!E49:E50)</f>
        <v>0</v>
      </c>
      <c r="E20" s="294">
        <f t="shared" si="0"/>
        <v>0</v>
      </c>
      <c r="F20" s="294"/>
      <c r="G20" s="294">
        <f>SUM('CP BUDACT ER'!G49:G50)</f>
        <v>0</v>
      </c>
      <c r="H20" s="294">
        <f>SUM('CP BUDACT ER'!H49:H50)</f>
        <v>0</v>
      </c>
      <c r="I20" s="294">
        <f t="shared" si="1"/>
        <v>0</v>
      </c>
      <c r="J20" s="294"/>
      <c r="K20" s="276" t="s">
        <v>446</v>
      </c>
      <c r="L20" s="294">
        <f>SUM('CP BUDACT ER'!J49:J50)</f>
        <v>0</v>
      </c>
      <c r="M20" s="294">
        <f>SUM('CP BUDACT ER'!K49:K50)</f>
        <v>0</v>
      </c>
      <c r="N20" s="294">
        <f t="shared" si="2"/>
        <v>0</v>
      </c>
      <c r="O20" s="294"/>
      <c r="P20" s="294">
        <f>SUM('CP BUDACT ER'!M49:M50)</f>
        <v>0</v>
      </c>
      <c r="Q20" s="294">
        <f>SUM('CP BUDACT ER'!N49:N50)</f>
        <v>0</v>
      </c>
      <c r="R20" s="294">
        <f t="shared" si="3"/>
        <v>0</v>
      </c>
      <c r="S20" s="294"/>
      <c r="T20" s="276" t="s">
        <v>446</v>
      </c>
      <c r="U20" s="294">
        <f>SUM('CP BUDACT ER'!P49:P50)</f>
        <v>0</v>
      </c>
      <c r="V20" s="294">
        <f>SUM('CP BUDACT ER'!Q49:Q50)</f>
        <v>0</v>
      </c>
      <c r="W20" s="294">
        <f t="shared" si="5"/>
        <v>0</v>
      </c>
      <c r="X20" s="294"/>
      <c r="Y20" s="294">
        <f>SUM('CP BUDACT ER'!S49:S50)</f>
        <v>0</v>
      </c>
      <c r="Z20" s="294">
        <f>SUM('CP BUDACT ER'!T49:T50)</f>
        <v>0</v>
      </c>
      <c r="AA20" s="294">
        <f t="shared" si="6"/>
        <v>0</v>
      </c>
      <c r="AB20" s="294"/>
      <c r="AC20" s="276" t="s">
        <v>446</v>
      </c>
      <c r="AD20" s="308"/>
      <c r="AE20" s="308"/>
      <c r="AF20" s="308"/>
      <c r="AG20" s="294"/>
      <c r="AH20" s="294">
        <f t="shared" si="7"/>
        <v>0</v>
      </c>
      <c r="AI20" s="294">
        <f t="shared" si="7"/>
        <v>0</v>
      </c>
      <c r="AJ20" s="294">
        <f t="shared" si="4"/>
        <v>0</v>
      </c>
      <c r="AK20" s="294"/>
    </row>
    <row r="21" spans="2:37" ht="15.75">
      <c r="B21" s="276" t="s">
        <v>974</v>
      </c>
      <c r="C21" s="294">
        <f>+'CP BUDACT ER'!D51+0</f>
        <v>0</v>
      </c>
      <c r="D21" s="294">
        <f>+'CP BUDACT ER'!E51+'Sys INPUT'!BR201</f>
        <v>5089</v>
      </c>
      <c r="E21" s="294">
        <f t="shared" si="0"/>
        <v>5089</v>
      </c>
      <c r="F21" s="294"/>
      <c r="G21" s="294">
        <f>+'CP BUDACT ER'!G51</f>
        <v>0</v>
      </c>
      <c r="H21" s="294">
        <f>+'CP BUDACT ER'!H51</f>
        <v>0</v>
      </c>
      <c r="I21" s="294">
        <f t="shared" si="1"/>
        <v>0</v>
      </c>
      <c r="J21" s="294"/>
      <c r="K21" s="276" t="s">
        <v>974</v>
      </c>
      <c r="L21" s="294">
        <f>+'CP BUDACT ER'!J51</f>
        <v>0</v>
      </c>
      <c r="M21" s="294">
        <f>+'CP BUDACT ER'!K51</f>
        <v>0</v>
      </c>
      <c r="N21" s="294">
        <f t="shared" si="2"/>
        <v>0</v>
      </c>
      <c r="O21" s="294"/>
      <c r="P21" s="294">
        <f>+'CP BUDACT ER'!M51</f>
        <v>0</v>
      </c>
      <c r="Q21" s="294">
        <f>+'CP BUDACT ER'!N51</f>
        <v>0</v>
      </c>
      <c r="R21" s="294">
        <f t="shared" si="3"/>
        <v>0</v>
      </c>
      <c r="S21" s="294"/>
      <c r="T21" s="276" t="s">
        <v>974</v>
      </c>
      <c r="U21" s="294">
        <f>+'CP BUDACT ER'!P51</f>
        <v>0</v>
      </c>
      <c r="V21" s="294">
        <f>+'CP BUDACT ER'!Q51</f>
        <v>0</v>
      </c>
      <c r="W21" s="294">
        <f t="shared" si="5"/>
        <v>0</v>
      </c>
      <c r="X21" s="294"/>
      <c r="Y21" s="294">
        <f>+'CP BUDACT ER'!S51</f>
        <v>0</v>
      </c>
      <c r="Z21" s="294">
        <f>+'CP BUDACT ER'!T51</f>
        <v>111</v>
      </c>
      <c r="AA21" s="294">
        <f t="shared" si="6"/>
        <v>111</v>
      </c>
      <c r="AB21" s="294"/>
      <c r="AC21" s="276" t="s">
        <v>974</v>
      </c>
      <c r="AD21" s="308"/>
      <c r="AE21" s="308"/>
      <c r="AF21" s="308"/>
      <c r="AG21" s="294"/>
      <c r="AH21" s="294">
        <f t="shared" si="7"/>
        <v>0</v>
      </c>
      <c r="AI21" s="294">
        <f t="shared" si="7"/>
        <v>5200</v>
      </c>
      <c r="AJ21" s="294">
        <f t="shared" si="4"/>
        <v>5200</v>
      </c>
      <c r="AK21" s="294"/>
    </row>
    <row r="22" spans="2:37" ht="15.75">
      <c r="B22" s="276" t="s">
        <v>947</v>
      </c>
      <c r="C22" s="294">
        <f>+'CP BUDACT ER'!D52</f>
        <v>40000</v>
      </c>
      <c r="D22" s="294">
        <f>+'CP BUDACT ER'!E52</f>
        <v>556062</v>
      </c>
      <c r="E22" s="294">
        <f t="shared" si="0"/>
        <v>516062</v>
      </c>
      <c r="F22" s="294"/>
      <c r="G22" s="294">
        <f>+'CP BUDACT ER'!G52</f>
        <v>0</v>
      </c>
      <c r="H22" s="294">
        <f>+'CP BUDACT ER'!H52</f>
        <v>0</v>
      </c>
      <c r="I22" s="294">
        <f t="shared" si="1"/>
        <v>0</v>
      </c>
      <c r="J22" s="294"/>
      <c r="K22" s="276" t="s">
        <v>947</v>
      </c>
      <c r="L22" s="294">
        <f>+'CP BUDACT ER'!J52</f>
        <v>0</v>
      </c>
      <c r="M22" s="294">
        <f>+'CP BUDACT ER'!K52+0</f>
        <v>0</v>
      </c>
      <c r="N22" s="294">
        <f t="shared" si="2"/>
        <v>0</v>
      </c>
      <c r="O22" s="294"/>
      <c r="P22" s="294">
        <f>+'CP BUDACT ER'!M52</f>
        <v>0</v>
      </c>
      <c r="Q22" s="294">
        <f>+'CP BUDACT ER'!N52</f>
        <v>0</v>
      </c>
      <c r="R22" s="294">
        <f t="shared" si="3"/>
        <v>0</v>
      </c>
      <c r="S22" s="294"/>
      <c r="T22" s="276" t="s">
        <v>947</v>
      </c>
      <c r="U22" s="294">
        <f>+'CP BUDACT ER'!P52</f>
        <v>0</v>
      </c>
      <c r="V22" s="294">
        <f>+'CP BUDACT ER'!Q52+'Sys INPUT'!BV201</f>
        <v>317</v>
      </c>
      <c r="W22" s="294">
        <f t="shared" si="5"/>
        <v>317</v>
      </c>
      <c r="X22" s="294"/>
      <c r="Y22" s="294">
        <f>+'CP BUDACT ER'!S52</f>
        <v>0</v>
      </c>
      <c r="Z22" s="294">
        <f>+'CP BUDACT ER'!T52</f>
        <v>0</v>
      </c>
      <c r="AA22" s="294">
        <f t="shared" si="6"/>
        <v>0</v>
      </c>
      <c r="AB22" s="294"/>
      <c r="AC22" s="276" t="s">
        <v>947</v>
      </c>
      <c r="AD22" s="308"/>
      <c r="AE22" s="308"/>
      <c r="AF22" s="308"/>
      <c r="AG22" s="294"/>
      <c r="AH22" s="294">
        <f t="shared" si="7"/>
        <v>40000</v>
      </c>
      <c r="AI22" s="294">
        <f t="shared" si="7"/>
        <v>556379</v>
      </c>
      <c r="AJ22" s="294">
        <f t="shared" si="4"/>
        <v>516379</v>
      </c>
      <c r="AK22" s="294"/>
    </row>
    <row r="23" spans="2:37" ht="15.75">
      <c r="B23" s="276"/>
      <c r="C23" s="337"/>
      <c r="D23" s="337"/>
      <c r="E23" s="337"/>
      <c r="F23" s="294"/>
      <c r="G23" s="337"/>
      <c r="H23" s="337"/>
      <c r="I23" s="337"/>
      <c r="J23" s="294"/>
      <c r="K23" s="276"/>
      <c r="L23" s="337"/>
      <c r="M23" s="337"/>
      <c r="N23" s="337"/>
      <c r="O23" s="294"/>
      <c r="P23" s="337"/>
      <c r="Q23" s="337"/>
      <c r="R23" s="337"/>
      <c r="S23" s="294"/>
      <c r="T23" s="276"/>
      <c r="U23" s="337"/>
      <c r="V23" s="337"/>
      <c r="W23" s="337"/>
      <c r="X23" s="294"/>
      <c r="Y23" s="337"/>
      <c r="Z23" s="337"/>
      <c r="AA23" s="337"/>
      <c r="AB23" s="294"/>
      <c r="AC23" s="276"/>
      <c r="AD23" s="308"/>
      <c r="AE23" s="308"/>
      <c r="AF23" s="308"/>
      <c r="AG23" s="294"/>
      <c r="AH23" s="337"/>
      <c r="AI23" s="337"/>
      <c r="AJ23" s="337"/>
      <c r="AK23" s="294"/>
    </row>
    <row r="24" spans="2:37" ht="15.75">
      <c r="B24" s="308" t="s">
        <v>1212</v>
      </c>
      <c r="C24" s="301">
        <f>SUM(C16:C23)</f>
        <v>40000</v>
      </c>
      <c r="D24" s="301">
        <f>SUM(D16:D23)</f>
        <v>561151</v>
      </c>
      <c r="E24" s="301">
        <f>SUM(E16:E23)</f>
        <v>521151</v>
      </c>
      <c r="F24" s="294"/>
      <c r="G24" s="301">
        <f>SUM(G16:G23)</f>
        <v>0</v>
      </c>
      <c r="H24" s="301">
        <f>SUM(H16:H23)</f>
        <v>0</v>
      </c>
      <c r="I24" s="301">
        <f>SUM(I16:I23)</f>
        <v>0</v>
      </c>
      <c r="J24" s="294"/>
      <c r="K24" s="308" t="s">
        <v>1212</v>
      </c>
      <c r="L24" s="301">
        <f>SUM(L16:L23)</f>
        <v>0</v>
      </c>
      <c r="M24" s="301">
        <f>SUM(M16:M23)</f>
        <v>0</v>
      </c>
      <c r="N24" s="301">
        <f>SUM(N16:N23)</f>
        <v>0</v>
      </c>
      <c r="O24" s="294"/>
      <c r="P24" s="301">
        <f>SUM(P16:P23)</f>
        <v>0</v>
      </c>
      <c r="Q24" s="301">
        <f>SUM(Q16:Q23)</f>
        <v>0</v>
      </c>
      <c r="R24" s="301">
        <f>SUM(R16:R23)</f>
        <v>0</v>
      </c>
      <c r="S24" s="294"/>
      <c r="T24" s="308" t="s">
        <v>1212</v>
      </c>
      <c r="U24" s="301">
        <f>SUM(U16:U23)</f>
        <v>0</v>
      </c>
      <c r="V24" s="301">
        <f>SUM(V16:V23)</f>
        <v>317</v>
      </c>
      <c r="W24" s="301">
        <f>SUM(W16:W23)</f>
        <v>317</v>
      </c>
      <c r="X24" s="294"/>
      <c r="Y24" s="301">
        <f>SUM(Y16:Y23)</f>
        <v>2420000</v>
      </c>
      <c r="Z24" s="301">
        <f>SUM(Z16:Z23)</f>
        <v>13370</v>
      </c>
      <c r="AA24" s="301">
        <f>SUM(AA16:AA23)</f>
        <v>-2406630</v>
      </c>
      <c r="AB24" s="294"/>
      <c r="AC24" s="308" t="s">
        <v>1212</v>
      </c>
      <c r="AD24" s="308"/>
      <c r="AE24" s="308"/>
      <c r="AF24" s="308"/>
      <c r="AG24" s="294"/>
      <c r="AH24" s="301">
        <f>SUM(AH16:AH23)</f>
        <v>2460000</v>
      </c>
      <c r="AI24" s="301">
        <f>SUM(AI16:AI23)</f>
        <v>574838</v>
      </c>
      <c r="AJ24" s="301">
        <f>SUM(AJ16:AJ23)</f>
        <v>-1885162</v>
      </c>
      <c r="AK24" s="294"/>
    </row>
    <row r="25" spans="2:37" ht="15.75">
      <c r="B25" s="276"/>
      <c r="C25" s="296"/>
      <c r="D25" s="296"/>
      <c r="E25" s="294"/>
      <c r="F25" s="294"/>
      <c r="G25" s="296"/>
      <c r="H25" s="296"/>
      <c r="I25" s="294"/>
      <c r="J25" s="294"/>
      <c r="K25" s="276"/>
      <c r="L25" s="296"/>
      <c r="M25" s="296"/>
      <c r="N25" s="294"/>
      <c r="O25" s="294"/>
      <c r="P25" s="296"/>
      <c r="Q25" s="296"/>
      <c r="R25" s="294"/>
      <c r="S25" s="294"/>
      <c r="T25" s="276"/>
      <c r="U25" s="296"/>
      <c r="V25" s="296"/>
      <c r="W25" s="294"/>
      <c r="X25" s="294"/>
      <c r="Y25" s="296"/>
      <c r="Z25" s="296"/>
      <c r="AA25" s="294"/>
      <c r="AB25" s="294"/>
      <c r="AC25" s="276"/>
      <c r="AD25" s="308"/>
      <c r="AE25" s="308"/>
      <c r="AF25" s="308"/>
      <c r="AG25" s="294"/>
      <c r="AH25" s="296"/>
      <c r="AI25" s="296"/>
      <c r="AJ25" s="296"/>
      <c r="AK25" s="296"/>
    </row>
    <row r="26" spans="2:37" ht="15.75">
      <c r="B26" s="308" t="s">
        <v>202</v>
      </c>
      <c r="C26" s="314"/>
      <c r="D26" s="314"/>
      <c r="E26" s="294"/>
      <c r="F26" s="294"/>
      <c r="G26" s="314"/>
      <c r="H26" s="314"/>
      <c r="I26" s="294"/>
      <c r="J26" s="294"/>
      <c r="K26" s="308" t="s">
        <v>202</v>
      </c>
      <c r="L26" s="314"/>
      <c r="M26" s="314"/>
      <c r="N26" s="294"/>
      <c r="O26" s="294"/>
      <c r="P26" s="314"/>
      <c r="Q26" s="314"/>
      <c r="R26" s="294"/>
      <c r="S26" s="294"/>
      <c r="T26" s="308" t="s">
        <v>202</v>
      </c>
      <c r="U26" s="314"/>
      <c r="V26" s="314"/>
      <c r="W26" s="294"/>
      <c r="X26" s="294"/>
      <c r="Y26" s="314"/>
      <c r="Z26" s="314"/>
      <c r="AA26" s="294"/>
      <c r="AB26" s="294"/>
      <c r="AC26" s="308" t="s">
        <v>202</v>
      </c>
      <c r="AD26" s="308"/>
      <c r="AE26" s="308"/>
      <c r="AF26" s="308"/>
      <c r="AG26" s="294"/>
      <c r="AH26" s="314"/>
      <c r="AI26" s="314"/>
      <c r="AJ26" s="294"/>
      <c r="AK26" s="294"/>
    </row>
    <row r="27" spans="2:37" ht="15.75">
      <c r="B27" s="276" t="s">
        <v>462</v>
      </c>
      <c r="C27" s="296"/>
      <c r="D27" s="296"/>
      <c r="E27" s="294"/>
      <c r="F27" s="294"/>
      <c r="G27" s="296"/>
      <c r="H27" s="296"/>
      <c r="I27" s="294"/>
      <c r="J27" s="294"/>
      <c r="K27" s="276" t="s">
        <v>462</v>
      </c>
      <c r="L27" s="296"/>
      <c r="M27" s="296"/>
      <c r="N27" s="294"/>
      <c r="O27" s="294"/>
      <c r="P27" s="296"/>
      <c r="Q27" s="296"/>
      <c r="R27" s="294"/>
      <c r="S27" s="294"/>
      <c r="T27" s="276" t="s">
        <v>462</v>
      </c>
      <c r="U27" s="296"/>
      <c r="V27" s="296"/>
      <c r="W27" s="294"/>
      <c r="X27" s="294"/>
      <c r="Y27" s="296"/>
      <c r="Z27" s="296"/>
      <c r="AA27" s="294"/>
      <c r="AB27" s="294"/>
      <c r="AC27" s="276" t="s">
        <v>462</v>
      </c>
      <c r="AD27" s="308"/>
      <c r="AE27" s="308"/>
      <c r="AF27" s="308"/>
      <c r="AG27" s="294"/>
      <c r="AH27" s="296"/>
      <c r="AI27" s="296"/>
      <c r="AJ27" s="294"/>
      <c r="AK27" s="294"/>
    </row>
    <row r="28" spans="2:37" ht="15.75">
      <c r="B28" s="276" t="s">
        <v>204</v>
      </c>
      <c r="C28" s="294"/>
      <c r="D28" s="294"/>
      <c r="E28" s="294"/>
      <c r="K28" s="276" t="s">
        <v>204</v>
      </c>
      <c r="T28" s="276" t="s">
        <v>204</v>
      </c>
      <c r="AC28" s="276" t="s">
        <v>204</v>
      </c>
      <c r="AD28" s="308"/>
      <c r="AE28" s="308"/>
      <c r="AF28" s="308"/>
    </row>
    <row r="29" spans="2:37" ht="15.75" hidden="1">
      <c r="B29" s="276" t="s">
        <v>291</v>
      </c>
      <c r="C29" s="294">
        <f>SUM('CP BUDACT ER'!D59:D59)</f>
        <v>0</v>
      </c>
      <c r="D29" s="294">
        <f>SUM('CP BUDACT ER'!E59:E59)</f>
        <v>0</v>
      </c>
      <c r="E29" s="294">
        <f>SUM(C29-D29)</f>
        <v>0</v>
      </c>
      <c r="G29" s="294">
        <f>SUM('CP BUDACT ER'!G58:G59)</f>
        <v>0</v>
      </c>
      <c r="H29" s="294">
        <f>SUM('CP BUDACT ER'!H58:H59)</f>
        <v>0</v>
      </c>
      <c r="I29" s="294">
        <f>SUM(G29-H29)</f>
        <v>0</v>
      </c>
      <c r="J29" s="294"/>
      <c r="K29" s="276" t="s">
        <v>291</v>
      </c>
      <c r="L29" s="294">
        <f>SUM('CP BUDACT ER'!J58:J59)</f>
        <v>0</v>
      </c>
      <c r="M29" s="294">
        <f>SUM('CP BUDACT ER'!K58:K59)</f>
        <v>0</v>
      </c>
      <c r="N29" s="294">
        <f>SUM(L29-M29)</f>
        <v>0</v>
      </c>
      <c r="O29" s="294"/>
      <c r="P29" s="294">
        <f>SUM('CP BUDACT ER'!M58:M59)</f>
        <v>0</v>
      </c>
      <c r="Q29" s="294">
        <f>SUM('CP BUDACT ER'!N58:N59)</f>
        <v>0</v>
      </c>
      <c r="R29" s="294">
        <f>SUM(P29-Q29)</f>
        <v>0</v>
      </c>
      <c r="S29" s="294"/>
      <c r="T29" s="276" t="s">
        <v>291</v>
      </c>
      <c r="U29" s="294">
        <f>SUM('CP BUDACT ER'!P58:P59)</f>
        <v>0</v>
      </c>
      <c r="V29" s="294">
        <f>SUM('CP BUDACT ER'!Q58:Q59)</f>
        <v>0</v>
      </c>
      <c r="W29" s="294">
        <f>SUM(U29-V29)</f>
        <v>0</v>
      </c>
      <c r="X29" s="294"/>
      <c r="Y29" s="294">
        <f>SUM('CP BUDACT ER'!S58:S59)</f>
        <v>0</v>
      </c>
      <c r="Z29" s="294">
        <f>SUM('CP BUDACT ER'!T58:T59)</f>
        <v>0</v>
      </c>
      <c r="AA29" s="294">
        <f>SUM(Y29-Z29)</f>
        <v>0</v>
      </c>
      <c r="AB29" s="294"/>
      <c r="AC29" s="276" t="s">
        <v>291</v>
      </c>
      <c r="AD29" s="308"/>
      <c r="AE29" s="308"/>
      <c r="AF29" s="308"/>
      <c r="AG29" s="294"/>
      <c r="AH29" s="294">
        <f>+C29+G29+L29+P29+Y29+U29</f>
        <v>0</v>
      </c>
      <c r="AI29" s="294">
        <f>+D29+H29+M29+Q29+Z29+V29</f>
        <v>0</v>
      </c>
      <c r="AJ29" s="294">
        <f>SUM(AH29-AI29)</f>
        <v>0</v>
      </c>
    </row>
    <row r="30" spans="2:37" ht="15.75">
      <c r="B30" s="276" t="s">
        <v>292</v>
      </c>
      <c r="C30" s="294">
        <f>SUM('CP BUDACT ER'!D60:D60)</f>
        <v>5605450</v>
      </c>
      <c r="D30" s="294">
        <f>SUM('CP BUDACT ER'!E60:E60)</f>
        <v>937979</v>
      </c>
      <c r="E30" s="294">
        <f>SUM(C30-D30)</f>
        <v>4667471</v>
      </c>
      <c r="F30" s="294"/>
      <c r="G30" s="294">
        <f>SUM('CP BUDACT ER'!G59:G60)</f>
        <v>0</v>
      </c>
      <c r="H30" s="294">
        <f>SUM('CP BUDACT ER'!H59:H60)</f>
        <v>0</v>
      </c>
      <c r="I30" s="294">
        <f>SUM(G30-H30)</f>
        <v>0</v>
      </c>
      <c r="J30" s="294"/>
      <c r="K30" s="276" t="s">
        <v>292</v>
      </c>
      <c r="L30" s="294">
        <f>SUM('CP BUDACT ER'!J59:J60)</f>
        <v>0</v>
      </c>
      <c r="M30" s="294">
        <f>SUM('CP BUDACT ER'!K59:K60)</f>
        <v>0</v>
      </c>
      <c r="N30" s="294">
        <f>SUM(L30-M30)</f>
        <v>0</v>
      </c>
      <c r="O30" s="294"/>
      <c r="P30" s="294">
        <f>SUM('CP BUDACT ER'!M59:M60)</f>
        <v>0</v>
      </c>
      <c r="Q30" s="294">
        <f>SUM('CP BUDACT ER'!N59:N60)</f>
        <v>0</v>
      </c>
      <c r="R30" s="294">
        <f>SUM(P30-Q30)</f>
        <v>0</v>
      </c>
      <c r="S30" s="294"/>
      <c r="T30" s="276" t="s">
        <v>292</v>
      </c>
      <c r="U30" s="294">
        <f>SUM('CP BUDACT ER'!P59:P60)</f>
        <v>0</v>
      </c>
      <c r="V30" s="294">
        <f>SUM('CP BUDACT ER'!Q59:Q60)</f>
        <v>0</v>
      </c>
      <c r="W30" s="294">
        <f>SUM(U30-V30)</f>
        <v>0</v>
      </c>
      <c r="X30" s="294"/>
      <c r="Y30" s="294">
        <f>SUM('CP BUDACT ER'!S59:S60)</f>
        <v>0</v>
      </c>
      <c r="Z30" s="294">
        <f>SUM('CP BUDACT ER'!T59:T60)</f>
        <v>0</v>
      </c>
      <c r="AA30" s="294">
        <f>SUM(Y30-Z30)</f>
        <v>0</v>
      </c>
      <c r="AB30" s="294"/>
      <c r="AC30" s="276" t="s">
        <v>292</v>
      </c>
      <c r="AD30" s="308"/>
      <c r="AE30" s="308"/>
      <c r="AF30" s="308"/>
      <c r="AG30" s="294"/>
      <c r="AH30" s="294">
        <f>+C30+G30+L30+P30+Y30+U30</f>
        <v>5605450</v>
      </c>
      <c r="AI30" s="294">
        <f>+D30+H30+M30+Q30+Z30+V30</f>
        <v>937979</v>
      </c>
      <c r="AJ30" s="294">
        <f>SUM(AH30-AI30)</f>
        <v>4667471</v>
      </c>
      <c r="AK30" s="294"/>
    </row>
    <row r="31" spans="2:37" ht="15.75">
      <c r="B31" s="276" t="s">
        <v>205</v>
      </c>
      <c r="C31" s="294"/>
      <c r="D31" s="294"/>
      <c r="E31" s="294"/>
      <c r="F31" s="294"/>
      <c r="G31" s="294"/>
      <c r="H31" s="294"/>
      <c r="I31" s="294"/>
      <c r="J31" s="294"/>
      <c r="K31" s="276" t="s">
        <v>205</v>
      </c>
      <c r="L31" s="294"/>
      <c r="M31" s="294"/>
      <c r="N31" s="294"/>
      <c r="O31" s="294"/>
      <c r="P31" s="294"/>
      <c r="Q31" s="294"/>
      <c r="R31" s="294"/>
      <c r="S31" s="294"/>
      <c r="T31" s="276" t="s">
        <v>205</v>
      </c>
      <c r="U31" s="294"/>
      <c r="V31" s="294"/>
      <c r="W31" s="294"/>
      <c r="X31" s="294"/>
      <c r="Y31" s="294"/>
      <c r="Z31" s="294"/>
      <c r="AA31" s="294"/>
      <c r="AB31" s="294"/>
      <c r="AC31" s="276" t="s">
        <v>205</v>
      </c>
      <c r="AD31" s="308"/>
      <c r="AE31" s="308"/>
      <c r="AF31" s="308"/>
      <c r="AG31" s="294"/>
      <c r="AH31" s="294"/>
      <c r="AI31" s="294"/>
      <c r="AJ31" s="294"/>
      <c r="AK31" s="294"/>
    </row>
    <row r="32" spans="2:37" ht="15.75" hidden="1">
      <c r="B32" s="276" t="s">
        <v>291</v>
      </c>
      <c r="C32" s="294">
        <f>SUM('CP BUDACT ER'!D62:D62)</f>
        <v>0</v>
      </c>
      <c r="D32" s="294">
        <f>SUM('CP BUDACT ER'!E62:E62)</f>
        <v>0</v>
      </c>
      <c r="E32" s="294">
        <f>SUM(C32-D32)</f>
        <v>0</v>
      </c>
      <c r="F32" s="294"/>
      <c r="G32" s="294">
        <f>SUM('CP BUDACT ER'!G61:G62)</f>
        <v>0</v>
      </c>
      <c r="H32" s="294">
        <f>SUM('CP BUDACT ER'!H61:H62)</f>
        <v>0</v>
      </c>
      <c r="I32" s="294">
        <f>SUM(G32-H32)</f>
        <v>0</v>
      </c>
      <c r="J32" s="294"/>
      <c r="K32" s="276" t="s">
        <v>291</v>
      </c>
      <c r="L32" s="294">
        <f>SUM('CP BUDACT ER'!J61:J62)</f>
        <v>0</v>
      </c>
      <c r="M32" s="294">
        <f>SUM('CP BUDACT ER'!K61:K62)</f>
        <v>0</v>
      </c>
      <c r="N32" s="294">
        <f>SUM(L32-M32)</f>
        <v>0</v>
      </c>
      <c r="O32" s="294"/>
      <c r="P32" s="294">
        <f>SUM('CP BUDACT ER'!M61:M62)</f>
        <v>0</v>
      </c>
      <c r="Q32" s="294">
        <f>SUM('CP BUDACT ER'!N61:N62)</f>
        <v>0</v>
      </c>
      <c r="R32" s="294">
        <f>SUM(P32-Q32)</f>
        <v>0</v>
      </c>
      <c r="S32" s="294"/>
      <c r="T32" s="276" t="s">
        <v>291</v>
      </c>
      <c r="U32" s="294">
        <f>SUM('CP BUDACT ER'!P62:P62)</f>
        <v>0</v>
      </c>
      <c r="V32" s="294">
        <f>SUM('CP BUDACT ER'!Q62:Q62)</f>
        <v>0</v>
      </c>
      <c r="W32" s="294">
        <f>SUM(U32-V32)</f>
        <v>0</v>
      </c>
      <c r="X32" s="294"/>
      <c r="Y32" s="294">
        <f>SUM('CP BUDACT ER'!S62:S62)</f>
        <v>0</v>
      </c>
      <c r="Z32" s="294">
        <f>SUM('CP BUDACT ER'!T62:T62)</f>
        <v>0</v>
      </c>
      <c r="AA32" s="294">
        <f>SUM(Y32-Z32)</f>
        <v>0</v>
      </c>
      <c r="AB32" s="294"/>
      <c r="AC32" s="276" t="s">
        <v>291</v>
      </c>
      <c r="AD32" s="308"/>
      <c r="AE32" s="308"/>
      <c r="AF32" s="308"/>
      <c r="AG32" s="294"/>
      <c r="AH32" s="294">
        <f>+C32+G32+L32+P32+Y32+U32</f>
        <v>0</v>
      </c>
      <c r="AI32" s="294">
        <f>+D32+H32+M32+Q32+Z32+V32</f>
        <v>0</v>
      </c>
      <c r="AJ32" s="294">
        <f>SUM(AH32-AI32)</f>
        <v>0</v>
      </c>
      <c r="AK32" s="294"/>
    </row>
    <row r="33" spans="2:37" ht="15.75">
      <c r="B33" s="276" t="s">
        <v>292</v>
      </c>
      <c r="C33" s="294">
        <f>SUM('CP BUDACT ER'!D63:D63)</f>
        <v>406040</v>
      </c>
      <c r="D33" s="294">
        <f>SUM('CP BUDACT ER'!E63:E63)</f>
        <v>248609</v>
      </c>
      <c r="E33" s="294">
        <f>SUM(C33-D33)</f>
        <v>157431</v>
      </c>
      <c r="F33" s="294"/>
      <c r="G33" s="294">
        <f>SUM('CP BUDACT ER'!G62:G63)</f>
        <v>0</v>
      </c>
      <c r="H33" s="294">
        <f>SUM('CP BUDACT ER'!H62:H63)</f>
        <v>0</v>
      </c>
      <c r="I33" s="294">
        <f>SUM(G33-H33)</f>
        <v>0</v>
      </c>
      <c r="J33" s="294"/>
      <c r="K33" s="276" t="s">
        <v>292</v>
      </c>
      <c r="L33" s="294">
        <f>SUM('CP BUDACT ER'!J62:J63)</f>
        <v>0</v>
      </c>
      <c r="M33" s="294">
        <f>SUM('CP BUDACT ER'!K62:K63)</f>
        <v>0</v>
      </c>
      <c r="N33" s="294">
        <f>SUM(L33-M33)</f>
        <v>0</v>
      </c>
      <c r="O33" s="294"/>
      <c r="P33" s="294">
        <f>SUM('CP BUDACT ER'!M62:M63)</f>
        <v>0</v>
      </c>
      <c r="Q33" s="294">
        <f>SUM('CP BUDACT ER'!N62:N63)</f>
        <v>0</v>
      </c>
      <c r="R33" s="294">
        <f>SUM(P33-Q33)</f>
        <v>0</v>
      </c>
      <c r="S33" s="294"/>
      <c r="T33" s="276" t="s">
        <v>292</v>
      </c>
      <c r="U33" s="294">
        <f>SUM('CP BUDACT ER'!P63:P63)+'CP BUDACT ER'!P77</f>
        <v>46482</v>
      </c>
      <c r="V33" s="294">
        <f>SUM('CP BUDACT ER'!Q63:Q63)+'CP BUDACT ER'!Q78</f>
        <v>2416</v>
      </c>
      <c r="W33" s="294">
        <f>SUM(U33-V33)</f>
        <v>44066</v>
      </c>
      <c r="X33" s="294"/>
      <c r="Y33" s="294">
        <f>SUM('CP BUDACT ER'!S63:S63)+'CP BUDACT ER'!S77</f>
        <v>0</v>
      </c>
      <c r="Z33" s="294">
        <f>SUM('CP BUDACT ER'!T63:T63)+'CP BUDACT ER'!T77</f>
        <v>0</v>
      </c>
      <c r="AA33" s="294">
        <f>SUM(Y33-Z33)</f>
        <v>0</v>
      </c>
      <c r="AB33" s="294"/>
      <c r="AC33" s="276" t="s">
        <v>292</v>
      </c>
      <c r="AD33" s="308"/>
      <c r="AE33" s="308"/>
      <c r="AF33" s="308"/>
      <c r="AG33" s="294"/>
      <c r="AH33" s="294">
        <f>+C33+G33+L33+P33+Y33+U33</f>
        <v>452522</v>
      </c>
      <c r="AI33" s="294">
        <f>+D33+H33+M33+Q33+Z33+V33</f>
        <v>251025</v>
      </c>
      <c r="AJ33" s="294">
        <f>SUM(AH33-AI33)</f>
        <v>201497</v>
      </c>
      <c r="AK33" s="294"/>
    </row>
    <row r="34" spans="2:37" ht="15.75">
      <c r="B34" s="276" t="s">
        <v>206</v>
      </c>
      <c r="C34" s="294"/>
      <c r="D34" s="294"/>
      <c r="E34" s="294"/>
      <c r="F34" s="294"/>
      <c r="G34" s="294"/>
      <c r="H34" s="294"/>
      <c r="I34" s="294"/>
      <c r="J34" s="294"/>
      <c r="K34" s="276" t="s">
        <v>206</v>
      </c>
      <c r="L34" s="294"/>
      <c r="M34" s="294"/>
      <c r="N34" s="294"/>
      <c r="O34" s="294"/>
      <c r="P34" s="294"/>
      <c r="Q34" s="294"/>
      <c r="R34" s="294"/>
      <c r="S34" s="294"/>
      <c r="T34" s="276" t="s">
        <v>206</v>
      </c>
      <c r="U34" s="294"/>
      <c r="V34" s="294"/>
      <c r="W34" s="294"/>
      <c r="X34" s="294"/>
      <c r="Y34" s="294"/>
      <c r="Z34" s="294"/>
      <c r="AA34" s="294"/>
      <c r="AB34" s="294"/>
      <c r="AC34" s="276" t="s">
        <v>206</v>
      </c>
      <c r="AD34" s="308"/>
      <c r="AE34" s="308"/>
      <c r="AF34" s="308"/>
      <c r="AG34" s="294"/>
      <c r="AH34" s="294"/>
      <c r="AI34" s="294"/>
      <c r="AJ34" s="294"/>
      <c r="AK34" s="294"/>
    </row>
    <row r="35" spans="2:37" ht="15.75" hidden="1">
      <c r="B35" s="276" t="s">
        <v>291</v>
      </c>
      <c r="C35" s="294">
        <f>SUM('CP BUDACT ER'!D65:D65)</f>
        <v>0</v>
      </c>
      <c r="D35" s="294">
        <f>SUM('CP BUDACT ER'!E65:E65)</f>
        <v>0</v>
      </c>
      <c r="E35" s="294">
        <f>SUM(C35-D35)</f>
        <v>0</v>
      </c>
      <c r="F35" s="294"/>
      <c r="G35" s="294">
        <f>SUM('CP BUDACT ER'!G65:G65)</f>
        <v>0</v>
      </c>
      <c r="H35" s="294">
        <f>SUM('CP BUDACT ER'!H65:H65)</f>
        <v>0</v>
      </c>
      <c r="I35" s="294">
        <f>SUM(G35-H35)</f>
        <v>0</v>
      </c>
      <c r="J35" s="294"/>
      <c r="K35" s="276" t="s">
        <v>291</v>
      </c>
      <c r="L35" s="294">
        <f>SUM('CP BUDACT ER'!J65:J65)</f>
        <v>0</v>
      </c>
      <c r="M35" s="294">
        <f>SUM('CP BUDACT ER'!K65:K65)</f>
        <v>0</v>
      </c>
      <c r="N35" s="294">
        <f>SUM(L35-M35)</f>
        <v>0</v>
      </c>
      <c r="O35" s="294"/>
      <c r="P35" s="294">
        <f>SUM('CP BUDACT ER'!M65:M65)</f>
        <v>0</v>
      </c>
      <c r="Q35" s="294">
        <f>SUM('CP BUDACT ER'!N65:N65)</f>
        <v>0</v>
      </c>
      <c r="R35" s="294">
        <f>SUM(P35-Q35)</f>
        <v>0</v>
      </c>
      <c r="S35" s="294"/>
      <c r="T35" s="276" t="s">
        <v>291</v>
      </c>
      <c r="U35" s="294">
        <f>SUM('CP BUDACT ER'!P65:P65)</f>
        <v>0</v>
      </c>
      <c r="V35" s="294">
        <f>SUM('CP BUDACT ER'!Q65:Q65)</f>
        <v>0</v>
      </c>
      <c r="W35" s="294">
        <f>SUM(U35-V35)</f>
        <v>0</v>
      </c>
      <c r="X35" s="294"/>
      <c r="Y35" s="294">
        <f>SUM('CP BUDACT ER'!S65:S65)</f>
        <v>0</v>
      </c>
      <c r="Z35" s="294">
        <f>SUM('CP BUDACT ER'!T65:T65)</f>
        <v>0</v>
      </c>
      <c r="AA35" s="294">
        <f>SUM(Y35-Z35)</f>
        <v>0</v>
      </c>
      <c r="AB35" s="294"/>
      <c r="AC35" s="276" t="s">
        <v>291</v>
      </c>
      <c r="AD35" s="308"/>
      <c r="AE35" s="308"/>
      <c r="AF35" s="308"/>
      <c r="AG35" s="294"/>
      <c r="AH35" s="294">
        <f>+C35+G35+L35+P35+Y35+U35</f>
        <v>0</v>
      </c>
      <c r="AI35" s="294">
        <f>+D35+H35+M35+Q35+Z35+V35</f>
        <v>0</v>
      </c>
      <c r="AJ35" s="294">
        <f>SUM(AH35-AI35)</f>
        <v>0</v>
      </c>
      <c r="AK35" s="294"/>
    </row>
    <row r="36" spans="2:37" ht="15.75">
      <c r="B36" s="276" t="s">
        <v>292</v>
      </c>
      <c r="C36" s="294">
        <f>SUM('CP BUDACT ER'!D66:D66)</f>
        <v>2272490</v>
      </c>
      <c r="D36" s="294">
        <f>SUM('CP BUDACT ER'!E66:E66)</f>
        <v>717222</v>
      </c>
      <c r="E36" s="294">
        <f>SUM(C36-D36)</f>
        <v>1555268</v>
      </c>
      <c r="F36" s="294"/>
      <c r="G36" s="294">
        <f>SUM('CP BUDACT ER'!G66:G66)</f>
        <v>0</v>
      </c>
      <c r="H36" s="294">
        <f>SUM('CP BUDACT ER'!H66:H66)</f>
        <v>0</v>
      </c>
      <c r="I36" s="294">
        <f>SUM(G36-H36)</f>
        <v>0</v>
      </c>
      <c r="J36" s="294"/>
      <c r="K36" s="276" t="s">
        <v>292</v>
      </c>
      <c r="L36" s="294">
        <f>SUM('CP BUDACT ER'!J66:J66)</f>
        <v>300000</v>
      </c>
      <c r="M36" s="294">
        <f>SUM('CP BUDACT ER'!K66:K66)-'Sys INPUT'!BT201</f>
        <v>473929</v>
      </c>
      <c r="N36" s="294">
        <f>SUM(L36-M36)</f>
        <v>-173929</v>
      </c>
      <c r="O36" s="294"/>
      <c r="P36" s="294">
        <f>SUM('CP BUDACT ER'!M66:M66)</f>
        <v>0</v>
      </c>
      <c r="Q36" s="294">
        <f>SUM('CP BUDACT ER'!N66:N66)</f>
        <v>0</v>
      </c>
      <c r="R36" s="294">
        <f>SUM(P36-Q36)</f>
        <v>0</v>
      </c>
      <c r="S36" s="294"/>
      <c r="T36" s="276" t="s">
        <v>292</v>
      </c>
      <c r="U36" s="294">
        <f>SUM('CP BUDACT ER'!P66:P66)</f>
        <v>0</v>
      </c>
      <c r="V36" s="294">
        <f>SUM('CP BUDACT ER'!Q66:Q66)</f>
        <v>0</v>
      </c>
      <c r="W36" s="294">
        <f>SUM(U36-V36)</f>
        <v>0</v>
      </c>
      <c r="X36" s="294"/>
      <c r="Y36" s="294">
        <f>SUM('CP BUDACT ER'!S66:S66)</f>
        <v>5311547</v>
      </c>
      <c r="Z36" s="294">
        <f>SUM('CP BUDACT ER'!T66:T66)+'Sys INPUT'!BW201</f>
        <v>533661</v>
      </c>
      <c r="AA36" s="294">
        <f>SUM(Y36-Z36)</f>
        <v>4777886</v>
      </c>
      <c r="AB36" s="294"/>
      <c r="AC36" s="276" t="s">
        <v>292</v>
      </c>
      <c r="AD36" s="308"/>
      <c r="AE36" s="308"/>
      <c r="AF36" s="308"/>
      <c r="AG36" s="294"/>
      <c r="AH36" s="294">
        <f>+C36+G36+L36+P36+Y36+U36</f>
        <v>7884037</v>
      </c>
      <c r="AI36" s="294">
        <f>+D36+H36+M36+Q36+Z36+V36</f>
        <v>1724812</v>
      </c>
      <c r="AJ36" s="294">
        <f>SUM(AH36-AI36)</f>
        <v>6159225</v>
      </c>
      <c r="AK36" s="294"/>
    </row>
    <row r="37" spans="2:37" ht="15.75">
      <c r="B37" s="479" t="s">
        <v>207</v>
      </c>
      <c r="C37" s="294"/>
      <c r="D37" s="294"/>
      <c r="E37" s="294"/>
      <c r="F37" s="294"/>
      <c r="G37" s="294"/>
      <c r="H37" s="294"/>
      <c r="I37" s="294"/>
      <c r="J37" s="294"/>
      <c r="K37" s="479" t="s">
        <v>207</v>
      </c>
      <c r="L37" s="294"/>
      <c r="M37" s="294"/>
      <c r="N37" s="294"/>
      <c r="O37" s="294"/>
      <c r="P37" s="294"/>
      <c r="Q37" s="294"/>
      <c r="R37" s="294"/>
      <c r="S37" s="294"/>
      <c r="T37" s="479" t="s">
        <v>207</v>
      </c>
      <c r="U37" s="294"/>
      <c r="V37" s="294"/>
      <c r="W37" s="294"/>
      <c r="X37" s="294"/>
      <c r="Y37" s="294"/>
      <c r="Z37" s="294"/>
      <c r="AA37" s="294"/>
      <c r="AB37" s="294"/>
      <c r="AC37" s="479" t="s">
        <v>207</v>
      </c>
      <c r="AD37" s="308"/>
      <c r="AE37" s="308"/>
      <c r="AF37" s="308"/>
      <c r="AG37" s="294"/>
      <c r="AH37" s="294"/>
      <c r="AI37" s="294"/>
      <c r="AJ37" s="294"/>
      <c r="AK37" s="294"/>
    </row>
    <row r="38" spans="2:37" ht="15.75" hidden="1">
      <c r="B38" s="479" t="s">
        <v>291</v>
      </c>
      <c r="C38" s="294">
        <f>SUM('CP BUDACT ER'!D68:D68)</f>
        <v>0</v>
      </c>
      <c r="D38" s="294">
        <f>SUM('CP BUDACT ER'!E68:E68)</f>
        <v>0</v>
      </c>
      <c r="E38" s="294">
        <f>SUM(C38-D38)</f>
        <v>0</v>
      </c>
      <c r="F38" s="294"/>
      <c r="G38" s="294">
        <f>SUM('CP BUDACT ER'!G68:G68)</f>
        <v>0</v>
      </c>
      <c r="H38" s="294">
        <f>SUM('CP BUDACT ER'!H68:H68)</f>
        <v>0</v>
      </c>
      <c r="I38" s="294">
        <f>SUM(G38-H38)</f>
        <v>0</v>
      </c>
      <c r="J38" s="294"/>
      <c r="K38" s="479" t="s">
        <v>291</v>
      </c>
      <c r="L38" s="294">
        <f>SUM('CP BUDACT ER'!J68:J68)</f>
        <v>0</v>
      </c>
      <c r="M38" s="294">
        <f>SUM('CP BUDACT ER'!K68:K68)</f>
        <v>0</v>
      </c>
      <c r="N38" s="294">
        <f>SUM(L38-M38)</f>
        <v>0</v>
      </c>
      <c r="O38" s="294"/>
      <c r="P38" s="294">
        <f>SUM('CP BUDACT ER'!M68:M68)</f>
        <v>0</v>
      </c>
      <c r="Q38" s="294">
        <f>SUM('CP BUDACT ER'!N68:N68)</f>
        <v>0</v>
      </c>
      <c r="R38" s="294">
        <f>SUM(P38-Q38)</f>
        <v>0</v>
      </c>
      <c r="S38" s="294"/>
      <c r="T38" s="479" t="s">
        <v>291</v>
      </c>
      <c r="U38" s="294">
        <f>SUM('CP BUDACT ER'!P68:P68)</f>
        <v>0</v>
      </c>
      <c r="V38" s="294">
        <f>SUM('CP BUDACT ER'!Q68:Q68)</f>
        <v>0</v>
      </c>
      <c r="W38" s="294">
        <f>SUM(U38-V38)</f>
        <v>0</v>
      </c>
      <c r="X38" s="294"/>
      <c r="Y38" s="294">
        <f>SUM('CP BUDACT ER'!S68:S68)</f>
        <v>0</v>
      </c>
      <c r="Z38" s="294">
        <f>SUM('CP BUDACT ER'!T68:T68)</f>
        <v>0</v>
      </c>
      <c r="AA38" s="294">
        <f>SUM(Y38-Z38)</f>
        <v>0</v>
      </c>
      <c r="AB38" s="294"/>
      <c r="AC38" s="479" t="s">
        <v>291</v>
      </c>
      <c r="AD38" s="308"/>
      <c r="AE38" s="308"/>
      <c r="AF38" s="308"/>
      <c r="AG38" s="294"/>
      <c r="AH38" s="294">
        <f>+C38+G38+L38+P38+Y38+U38</f>
        <v>0</v>
      </c>
      <c r="AI38" s="294">
        <f>+D38+H38+M38+Q38+Z38+V38</f>
        <v>0</v>
      </c>
      <c r="AJ38" s="294">
        <f>SUM(AH38-AI38)</f>
        <v>0</v>
      </c>
      <c r="AK38" s="294"/>
    </row>
    <row r="39" spans="2:37" ht="15.75">
      <c r="B39" s="479" t="s">
        <v>292</v>
      </c>
      <c r="C39" s="294">
        <f>SUM('CP BUDACT ER'!D69:D69)</f>
        <v>60510</v>
      </c>
      <c r="D39" s="294">
        <f>SUM('CP BUDACT ER'!E69:E69)</f>
        <v>41899</v>
      </c>
      <c r="E39" s="294">
        <f>SUM(C39-D39)</f>
        <v>18611</v>
      </c>
      <c r="F39" s="294"/>
      <c r="G39" s="294">
        <f>SUM('CP BUDACT ER'!G69:G69)</f>
        <v>0</v>
      </c>
      <c r="H39" s="294">
        <f>SUM('CP BUDACT ER'!H69:H69)</f>
        <v>0</v>
      </c>
      <c r="I39" s="294">
        <f>SUM(G39-H39)</f>
        <v>0</v>
      </c>
      <c r="J39" s="294"/>
      <c r="K39" s="479" t="s">
        <v>292</v>
      </c>
      <c r="L39" s="294">
        <f>SUM('CP BUDACT ER'!J69:J69)</f>
        <v>0</v>
      </c>
      <c r="M39" s="294">
        <f>SUM('CP BUDACT ER'!K69:K69)</f>
        <v>0</v>
      </c>
      <c r="N39" s="294">
        <f>SUM(L39-M39)</f>
        <v>0</v>
      </c>
      <c r="O39" s="294"/>
      <c r="P39" s="294">
        <f>SUM('CP BUDACT ER'!M69:M69)</f>
        <v>0</v>
      </c>
      <c r="Q39" s="294">
        <f>SUM('CP BUDACT ER'!N69:N69)</f>
        <v>0</v>
      </c>
      <c r="R39" s="294">
        <f>SUM(P39-Q39)</f>
        <v>0</v>
      </c>
      <c r="S39" s="294"/>
      <c r="T39" s="479" t="s">
        <v>292</v>
      </c>
      <c r="U39" s="294">
        <f>SUM('CP BUDACT ER'!P69:P69)</f>
        <v>0</v>
      </c>
      <c r="V39" s="294">
        <f>SUM('CP BUDACT ER'!Q69:Q69)</f>
        <v>0</v>
      </c>
      <c r="W39" s="294">
        <f>SUM(U39-V39)</f>
        <v>0</v>
      </c>
      <c r="X39" s="294"/>
      <c r="Y39" s="294">
        <f>SUM('CP BUDACT ER'!S69:S69)</f>
        <v>0</v>
      </c>
      <c r="Z39" s="294">
        <f>SUM('CP BUDACT ER'!T69:T69)</f>
        <v>0</v>
      </c>
      <c r="AA39" s="294">
        <f>SUM(Y39-Z39)</f>
        <v>0</v>
      </c>
      <c r="AB39" s="294"/>
      <c r="AC39" s="479" t="s">
        <v>292</v>
      </c>
      <c r="AD39" s="308"/>
      <c r="AE39" s="308"/>
      <c r="AF39" s="308"/>
      <c r="AG39" s="294"/>
      <c r="AH39" s="294">
        <f>+C39+G39+L39+P39+Y39+U39</f>
        <v>60510</v>
      </c>
      <c r="AI39" s="294">
        <f>+D39+H39+M39+Q39+Z39+V39</f>
        <v>41899</v>
      </c>
      <c r="AJ39" s="294">
        <f>SUM(AH39-AI39)</f>
        <v>18611</v>
      </c>
      <c r="AK39" s="294"/>
    </row>
    <row r="40" spans="2:37" ht="15.75" hidden="1">
      <c r="B40" s="479" t="s">
        <v>350</v>
      </c>
      <c r="C40" s="294"/>
      <c r="D40" s="294"/>
      <c r="E40" s="294"/>
      <c r="F40" s="294"/>
      <c r="G40" s="294"/>
      <c r="H40" s="294"/>
      <c r="I40" s="294"/>
      <c r="J40" s="294"/>
      <c r="K40" s="479" t="s">
        <v>350</v>
      </c>
      <c r="L40" s="294"/>
      <c r="M40" s="294"/>
      <c r="N40" s="294"/>
      <c r="O40" s="294"/>
      <c r="P40" s="294"/>
      <c r="Q40" s="294"/>
      <c r="R40" s="294"/>
      <c r="S40" s="294"/>
      <c r="T40" s="479" t="s">
        <v>350</v>
      </c>
      <c r="U40" s="294"/>
      <c r="V40" s="294"/>
      <c r="W40" s="294"/>
      <c r="X40" s="294"/>
      <c r="Y40" s="294"/>
      <c r="Z40" s="294"/>
      <c r="AA40" s="294"/>
      <c r="AB40" s="294"/>
      <c r="AC40" s="479" t="s">
        <v>350</v>
      </c>
      <c r="AD40" s="308"/>
      <c r="AE40" s="308"/>
      <c r="AF40" s="308"/>
      <c r="AG40" s="294"/>
      <c r="AH40" s="294"/>
      <c r="AI40" s="294"/>
      <c r="AJ40" s="294"/>
      <c r="AK40" s="294"/>
    </row>
    <row r="41" spans="2:37" ht="15.75" hidden="1">
      <c r="B41" s="479" t="s">
        <v>291</v>
      </c>
      <c r="C41" s="294">
        <f>SUM('CP BUDACT ER'!D71:D71)</f>
        <v>0</v>
      </c>
      <c r="D41" s="294">
        <f>SUM('CP BUDACT ER'!E71:E71)</f>
        <v>0</v>
      </c>
      <c r="E41" s="294">
        <f>SUM(C41-D41)</f>
        <v>0</v>
      </c>
      <c r="F41" s="294"/>
      <c r="G41" s="294">
        <f>SUM('CP BUDACT ER'!G71:G71)</f>
        <v>0</v>
      </c>
      <c r="H41" s="294">
        <f>SUM('CP BUDACT ER'!H71:H71)</f>
        <v>0</v>
      </c>
      <c r="I41" s="294">
        <f>SUM(G41-H41)</f>
        <v>0</v>
      </c>
      <c r="J41" s="294"/>
      <c r="K41" s="479" t="s">
        <v>291</v>
      </c>
      <c r="L41" s="294">
        <f>SUM('CP BUDACT ER'!J71:J71)</f>
        <v>0</v>
      </c>
      <c r="M41" s="294">
        <f>SUM('CP BUDACT ER'!K71:K71)</f>
        <v>0</v>
      </c>
      <c r="N41" s="294">
        <f>SUM(L41-M41)</f>
        <v>0</v>
      </c>
      <c r="O41" s="294"/>
      <c r="P41" s="294">
        <f>SUM('CP BUDACT ER'!M71:M71)</f>
        <v>0</v>
      </c>
      <c r="Q41" s="294">
        <f>SUM('CP BUDACT ER'!N71:N71)</f>
        <v>0</v>
      </c>
      <c r="R41" s="294">
        <f>SUM(P41-Q41)</f>
        <v>0</v>
      </c>
      <c r="S41" s="294"/>
      <c r="T41" s="479" t="s">
        <v>291</v>
      </c>
      <c r="U41" s="294">
        <f>SUM('CP BUDACT ER'!P71:P71)</f>
        <v>0</v>
      </c>
      <c r="V41" s="294">
        <f>SUM('CP BUDACT ER'!Q71:Q71)</f>
        <v>0</v>
      </c>
      <c r="W41" s="294">
        <f>SUM(U41-V41)</f>
        <v>0</v>
      </c>
      <c r="X41" s="294"/>
      <c r="Y41" s="294">
        <f>SUM('CP BUDACT ER'!S71:S71)</f>
        <v>0</v>
      </c>
      <c r="Z41" s="294">
        <f>SUM('CP BUDACT ER'!T71:T71)</f>
        <v>0</v>
      </c>
      <c r="AA41" s="294">
        <f>SUM(Y41-Z41)</f>
        <v>0</v>
      </c>
      <c r="AB41" s="294"/>
      <c r="AC41" s="479" t="s">
        <v>291</v>
      </c>
      <c r="AD41" s="308"/>
      <c r="AE41" s="308"/>
      <c r="AF41" s="308"/>
      <c r="AG41" s="294"/>
      <c r="AH41" s="294">
        <f>+C41+G41+L41+P41+Y41</f>
        <v>0</v>
      </c>
      <c r="AI41" s="294">
        <f>+D41+H41+M41+Q41+Z41</f>
        <v>0</v>
      </c>
      <c r="AJ41" s="294">
        <f>SUM(AH41-AI41)</f>
        <v>0</v>
      </c>
      <c r="AK41" s="294"/>
    </row>
    <row r="42" spans="2:37" ht="15.75" hidden="1">
      <c r="B42" s="479" t="s">
        <v>292</v>
      </c>
      <c r="C42" s="294">
        <f>SUM('CP BUDACT ER'!D72:D72)</f>
        <v>0</v>
      </c>
      <c r="D42" s="294">
        <f>SUM('CP BUDACT ER'!E72:E72)</f>
        <v>0</v>
      </c>
      <c r="E42" s="294">
        <f>SUM(C42-D42)</f>
        <v>0</v>
      </c>
      <c r="F42" s="294"/>
      <c r="G42" s="294">
        <f>SUM('CP BUDACT ER'!G72:G72)</f>
        <v>0</v>
      </c>
      <c r="H42" s="294">
        <f>SUM('CP BUDACT ER'!H72:H72)</f>
        <v>0</v>
      </c>
      <c r="I42" s="294">
        <f>SUM(G42-H42)</f>
        <v>0</v>
      </c>
      <c r="J42" s="294"/>
      <c r="K42" s="479" t="s">
        <v>292</v>
      </c>
      <c r="L42" s="294">
        <f>SUM('CP BUDACT ER'!J72:J72)</f>
        <v>0</v>
      </c>
      <c r="M42" s="294">
        <f>SUM('CP BUDACT ER'!K72:K72)</f>
        <v>0</v>
      </c>
      <c r="N42" s="294">
        <f>SUM(L42-M42)</f>
        <v>0</v>
      </c>
      <c r="O42" s="294"/>
      <c r="P42" s="294">
        <f>SUM('CP BUDACT ER'!M72:M72)</f>
        <v>0</v>
      </c>
      <c r="Q42" s="294">
        <f>SUM('CP BUDACT ER'!N72:N72)</f>
        <v>0</v>
      </c>
      <c r="R42" s="294">
        <f>SUM(P42-Q42)</f>
        <v>0</v>
      </c>
      <c r="S42" s="294"/>
      <c r="T42" s="479" t="s">
        <v>292</v>
      </c>
      <c r="U42" s="294">
        <f>SUM('CP BUDACT ER'!P72:P72)</f>
        <v>0</v>
      </c>
      <c r="V42" s="294">
        <f>SUM('CP BUDACT ER'!Q72:Q72)</f>
        <v>0</v>
      </c>
      <c r="W42" s="294">
        <f>SUM(U42-V42)</f>
        <v>0</v>
      </c>
      <c r="X42" s="294"/>
      <c r="Y42" s="294">
        <f>SUM('CP BUDACT ER'!S72:S72)</f>
        <v>0</v>
      </c>
      <c r="Z42" s="294">
        <f>SUM('CP BUDACT ER'!T72:T72)</f>
        <v>0</v>
      </c>
      <c r="AA42" s="294">
        <f>SUM(Y42-Z42)</f>
        <v>0</v>
      </c>
      <c r="AB42" s="294"/>
      <c r="AC42" s="479" t="s">
        <v>292</v>
      </c>
      <c r="AD42" s="308"/>
      <c r="AE42" s="308"/>
      <c r="AF42" s="308"/>
      <c r="AG42" s="294"/>
      <c r="AH42" s="294">
        <f>+C42+G42+L42+P42+Y42</f>
        <v>0</v>
      </c>
      <c r="AI42" s="294">
        <f>+D42+H42+M42+Q42+Z42</f>
        <v>0</v>
      </c>
      <c r="AJ42" s="294">
        <f>SUM(AH42-AI42)</f>
        <v>0</v>
      </c>
      <c r="AK42" s="294"/>
    </row>
    <row r="43" spans="2:37" ht="15.75" hidden="1">
      <c r="B43" s="479" t="s">
        <v>351</v>
      </c>
      <c r="C43" s="294"/>
      <c r="D43" s="294"/>
      <c r="E43" s="294"/>
      <c r="F43" s="294"/>
      <c r="G43" s="294"/>
      <c r="H43" s="294"/>
      <c r="I43" s="294"/>
      <c r="J43" s="294"/>
      <c r="K43" s="479" t="s">
        <v>351</v>
      </c>
      <c r="L43" s="294"/>
      <c r="M43" s="294"/>
      <c r="N43" s="294"/>
      <c r="O43" s="294"/>
      <c r="P43" s="294"/>
      <c r="Q43" s="294"/>
      <c r="R43" s="294"/>
      <c r="S43" s="294"/>
      <c r="T43" s="479" t="s">
        <v>351</v>
      </c>
      <c r="U43" s="294"/>
      <c r="V43" s="294"/>
      <c r="W43" s="294"/>
      <c r="X43" s="294"/>
      <c r="Y43" s="294"/>
      <c r="Z43" s="294"/>
      <c r="AA43" s="294"/>
      <c r="AB43" s="294"/>
      <c r="AC43" s="479" t="s">
        <v>351</v>
      </c>
      <c r="AD43" s="308"/>
      <c r="AE43" s="308"/>
      <c r="AF43" s="308"/>
      <c r="AG43" s="294"/>
      <c r="AH43" s="294"/>
      <c r="AI43" s="294"/>
      <c r="AJ43" s="294"/>
      <c r="AK43" s="294"/>
    </row>
    <row r="44" spans="2:37" ht="15.75" hidden="1">
      <c r="B44" s="479" t="s">
        <v>291</v>
      </c>
      <c r="C44" s="294">
        <f>SUM('CP BUDACT ER'!D74:D74)</f>
        <v>0</v>
      </c>
      <c r="D44" s="294">
        <f>SUM('CP BUDACT ER'!E74:E74)</f>
        <v>0</v>
      </c>
      <c r="E44" s="294">
        <f>SUM(C44-D44)</f>
        <v>0</v>
      </c>
      <c r="F44" s="294"/>
      <c r="G44" s="294">
        <f>SUM('CP BUDACT ER'!G74:G74)</f>
        <v>0</v>
      </c>
      <c r="H44" s="294">
        <f>SUM('CP BUDACT ER'!H74:H74)</f>
        <v>0</v>
      </c>
      <c r="I44" s="294">
        <f>SUM(G44-H44)</f>
        <v>0</v>
      </c>
      <c r="J44" s="294"/>
      <c r="K44" s="479" t="s">
        <v>291</v>
      </c>
      <c r="L44" s="294">
        <f>SUM('CP BUDACT ER'!J74:J74)</f>
        <v>0</v>
      </c>
      <c r="M44" s="294">
        <f>SUM('CP BUDACT ER'!K74:K74)</f>
        <v>0</v>
      </c>
      <c r="N44" s="294">
        <f>SUM(L44-M44)</f>
        <v>0</v>
      </c>
      <c r="O44" s="294"/>
      <c r="P44" s="294">
        <f>SUM('CP BUDACT ER'!M74:M74)</f>
        <v>0</v>
      </c>
      <c r="Q44" s="294">
        <f>SUM('CP BUDACT ER'!N74:N74)</f>
        <v>0</v>
      </c>
      <c r="R44" s="294">
        <f>SUM(P44-Q44)</f>
        <v>0</v>
      </c>
      <c r="S44" s="294"/>
      <c r="T44" s="479" t="s">
        <v>291</v>
      </c>
      <c r="U44" s="294">
        <f>SUM('CP BUDACT ER'!P74:P74)</f>
        <v>0</v>
      </c>
      <c r="V44" s="294">
        <f>SUM('CP BUDACT ER'!Q74:Q74)</f>
        <v>0</v>
      </c>
      <c r="W44" s="294">
        <f>SUM(U44-V44)</f>
        <v>0</v>
      </c>
      <c r="X44" s="294"/>
      <c r="Y44" s="294">
        <f>SUM('CP BUDACT ER'!S74:S74)</f>
        <v>0</v>
      </c>
      <c r="Z44" s="294">
        <f>SUM('CP BUDACT ER'!T74:T74)</f>
        <v>0</v>
      </c>
      <c r="AA44" s="294">
        <f>SUM(Y44-Z44)</f>
        <v>0</v>
      </c>
      <c r="AB44" s="294"/>
      <c r="AC44" s="479" t="s">
        <v>291</v>
      </c>
      <c r="AD44" s="308"/>
      <c r="AE44" s="308"/>
      <c r="AF44" s="308"/>
      <c r="AG44" s="294"/>
      <c r="AH44" s="294">
        <f t="shared" ref="AH44:AI47" si="8">+C44+G44+L44+P44+Y44</f>
        <v>0</v>
      </c>
      <c r="AI44" s="294">
        <f t="shared" si="8"/>
        <v>0</v>
      </c>
      <c r="AJ44" s="294">
        <f>SUM(AH44-AI44)</f>
        <v>0</v>
      </c>
      <c r="AK44" s="294"/>
    </row>
    <row r="45" spans="2:37" ht="15.75" hidden="1">
      <c r="B45" s="479" t="s">
        <v>292</v>
      </c>
      <c r="C45" s="294">
        <f>SUM('CP BUDACT ER'!D75:D75)</f>
        <v>0</v>
      </c>
      <c r="D45" s="294">
        <f>SUM('CP BUDACT ER'!E75:E75)</f>
        <v>0</v>
      </c>
      <c r="E45" s="294">
        <f>SUM(C45-D45)</f>
        <v>0</v>
      </c>
      <c r="F45" s="294"/>
      <c r="G45" s="294">
        <f>SUM('CP BUDACT ER'!G75:G75)</f>
        <v>0</v>
      </c>
      <c r="H45" s="294">
        <f>SUM('CP BUDACT ER'!H75:H75)</f>
        <v>0</v>
      </c>
      <c r="I45" s="294">
        <f>SUM(G45-H45)</f>
        <v>0</v>
      </c>
      <c r="J45" s="294"/>
      <c r="K45" s="479" t="s">
        <v>292</v>
      </c>
      <c r="L45" s="294">
        <f>SUM('CP BUDACT ER'!J75:J75)</f>
        <v>0</v>
      </c>
      <c r="M45" s="294">
        <f>SUM('CP BUDACT ER'!K75:K75)</f>
        <v>0</v>
      </c>
      <c r="N45" s="294">
        <f>SUM(L45-M45)</f>
        <v>0</v>
      </c>
      <c r="O45" s="294"/>
      <c r="P45" s="294">
        <f>SUM('CP BUDACT ER'!M75:M75)</f>
        <v>0</v>
      </c>
      <c r="Q45" s="294">
        <f>SUM('CP BUDACT ER'!N75:N75)</f>
        <v>0</v>
      </c>
      <c r="R45" s="294">
        <f>SUM(P45-Q45)</f>
        <v>0</v>
      </c>
      <c r="S45" s="294"/>
      <c r="T45" s="479" t="s">
        <v>292</v>
      </c>
      <c r="U45" s="294">
        <f>SUM('CP BUDACT ER'!P75:P75)</f>
        <v>0</v>
      </c>
      <c r="V45" s="294">
        <f>SUM('CP BUDACT ER'!Q75:Q75)</f>
        <v>0</v>
      </c>
      <c r="W45" s="294">
        <f>SUM(U45-V45)</f>
        <v>0</v>
      </c>
      <c r="X45" s="294"/>
      <c r="Y45" s="294">
        <f>SUM('CP BUDACT ER'!S75:S75)</f>
        <v>0</v>
      </c>
      <c r="Z45" s="294">
        <f>SUM('CP BUDACT ER'!T75:T75)</f>
        <v>0</v>
      </c>
      <c r="AA45" s="294">
        <f>SUM(Y45-Z45)</f>
        <v>0</v>
      </c>
      <c r="AB45" s="294"/>
      <c r="AC45" s="479" t="s">
        <v>292</v>
      </c>
      <c r="AD45" s="308"/>
      <c r="AE45" s="308"/>
      <c r="AF45" s="308"/>
      <c r="AG45" s="294"/>
      <c r="AH45" s="294">
        <f t="shared" si="8"/>
        <v>0</v>
      </c>
      <c r="AI45" s="294">
        <f t="shared" si="8"/>
        <v>0</v>
      </c>
      <c r="AJ45" s="294">
        <f>SUM(AH45-AI45)</f>
        <v>0</v>
      </c>
      <c r="AK45" s="294"/>
    </row>
    <row r="46" spans="2:37" ht="15.75" hidden="1">
      <c r="B46" s="479" t="s">
        <v>352</v>
      </c>
      <c r="C46" s="294">
        <f>SUM('CP BUDACT ER'!D76:D76)</f>
        <v>0</v>
      </c>
      <c r="D46" s="294">
        <f>SUM('CP BUDACT ER'!E76:E76)</f>
        <v>0</v>
      </c>
      <c r="E46" s="294">
        <f>SUM(C46-D46)</f>
        <v>0</v>
      </c>
      <c r="F46" s="294"/>
      <c r="G46" s="294">
        <f>SUM('CP BUDACT ER'!G76:G76)</f>
        <v>0</v>
      </c>
      <c r="H46" s="294">
        <f>SUM('CP BUDACT ER'!H76:H76)</f>
        <v>0</v>
      </c>
      <c r="I46" s="294">
        <f>SUM(G46-H46)</f>
        <v>0</v>
      </c>
      <c r="J46" s="294"/>
      <c r="K46" s="479" t="s">
        <v>352</v>
      </c>
      <c r="L46" s="294">
        <f>SUM('CP BUDACT ER'!J76:J76)</f>
        <v>0</v>
      </c>
      <c r="M46" s="294">
        <f>SUM('CP BUDACT ER'!K76:K76)</f>
        <v>0</v>
      </c>
      <c r="N46" s="294">
        <f>SUM(L46-M46)</f>
        <v>0</v>
      </c>
      <c r="O46" s="294"/>
      <c r="P46" s="294">
        <f>SUM('CP BUDACT ER'!M76:M76)</f>
        <v>0</v>
      </c>
      <c r="Q46" s="294">
        <f>SUM('CP BUDACT ER'!N76:N76)</f>
        <v>0</v>
      </c>
      <c r="R46" s="294">
        <f>SUM(P46-Q46)</f>
        <v>0</v>
      </c>
      <c r="S46" s="294"/>
      <c r="T46" s="479" t="s">
        <v>352</v>
      </c>
      <c r="U46" s="294">
        <f>SUM('CP BUDACT ER'!P76:P76)</f>
        <v>0</v>
      </c>
      <c r="V46" s="294">
        <f>SUM('CP BUDACT ER'!Q76:Q76)</f>
        <v>0</v>
      </c>
      <c r="W46" s="294">
        <f>SUM(U46-V46)</f>
        <v>0</v>
      </c>
      <c r="X46" s="294"/>
      <c r="Y46" s="294">
        <f>SUM('CP BUDACT ER'!S76:S76)</f>
        <v>0</v>
      </c>
      <c r="Z46" s="294">
        <f>SUM('CP BUDACT ER'!T76:T76)</f>
        <v>0</v>
      </c>
      <c r="AA46" s="294">
        <f>SUM(Y46-Z46)</f>
        <v>0</v>
      </c>
      <c r="AB46" s="294"/>
      <c r="AC46" s="479" t="s">
        <v>352</v>
      </c>
      <c r="AD46" s="308"/>
      <c r="AE46" s="308"/>
      <c r="AF46" s="308"/>
      <c r="AG46" s="294"/>
      <c r="AH46" s="294">
        <f t="shared" si="8"/>
        <v>0</v>
      </c>
      <c r="AI46" s="294">
        <f t="shared" si="8"/>
        <v>0</v>
      </c>
      <c r="AJ46" s="294">
        <f>SUM(AH46-AI46)</f>
        <v>0</v>
      </c>
      <c r="AK46" s="294"/>
    </row>
    <row r="47" spans="2:37" ht="15.75" hidden="1">
      <c r="B47" s="479" t="s">
        <v>462</v>
      </c>
      <c r="C47" s="294">
        <f>SUM('CP BUDACT ER'!D77:D77)</f>
        <v>0</v>
      </c>
      <c r="D47" s="294">
        <f>SUM('CP BUDACT ER'!E77:E77)</f>
        <v>0</v>
      </c>
      <c r="E47" s="294">
        <f>SUM(C47-D47)</f>
        <v>0</v>
      </c>
      <c r="F47" s="294"/>
      <c r="G47" s="294">
        <f>SUM('CP BUDACT ER'!G77:G77)</f>
        <v>0</v>
      </c>
      <c r="H47" s="294">
        <f>SUM('CP BUDACT ER'!H77:H77)</f>
        <v>0</v>
      </c>
      <c r="I47" s="294">
        <f>SUM(G47-H47)</f>
        <v>0</v>
      </c>
      <c r="J47" s="294"/>
      <c r="K47" s="479" t="s">
        <v>462</v>
      </c>
      <c r="L47" s="294">
        <f>SUM('CP BUDACT ER'!J77:J77)</f>
        <v>0</v>
      </c>
      <c r="M47" s="294">
        <f>SUM('CP BUDACT ER'!K77:K77)</f>
        <v>0</v>
      </c>
      <c r="N47" s="294">
        <f>SUM(L47-M47)</f>
        <v>0</v>
      </c>
      <c r="O47" s="294"/>
      <c r="P47" s="294">
        <f>SUM('CP BUDACT ER'!M77:M77)</f>
        <v>0</v>
      </c>
      <c r="Q47" s="294">
        <f>SUM('CP BUDACT ER'!N77:N77)</f>
        <v>0</v>
      </c>
      <c r="R47" s="294">
        <f>SUM(P47-Q47)</f>
        <v>0</v>
      </c>
      <c r="S47" s="294"/>
      <c r="T47" s="479" t="s">
        <v>462</v>
      </c>
      <c r="U47" s="294">
        <f>SUM('CP BUDACT ER'!P77:P77)</f>
        <v>0</v>
      </c>
      <c r="V47" s="294">
        <f>SUM('CP BUDACT ER'!Q77:Q77)</f>
        <v>0</v>
      </c>
      <c r="W47" s="294">
        <f>SUM(U47-V47)</f>
        <v>0</v>
      </c>
      <c r="X47" s="294"/>
      <c r="Y47" s="294">
        <f>SUM('CP BUDACT ER'!S77:S77)</f>
        <v>0</v>
      </c>
      <c r="Z47" s="294">
        <f>SUM('CP BUDACT ER'!T77:T77)</f>
        <v>0</v>
      </c>
      <c r="AA47" s="294">
        <f>SUM(Y47-Z47)</f>
        <v>0</v>
      </c>
      <c r="AB47" s="294"/>
      <c r="AC47" s="479" t="s">
        <v>462</v>
      </c>
      <c r="AD47" s="308"/>
      <c r="AE47" s="308"/>
      <c r="AF47" s="308"/>
      <c r="AG47" s="294"/>
      <c r="AH47" s="294">
        <f t="shared" si="8"/>
        <v>0</v>
      </c>
      <c r="AI47" s="294">
        <f t="shared" si="8"/>
        <v>0</v>
      </c>
      <c r="AJ47" s="294">
        <f>SUM(AH47-AI47)</f>
        <v>0</v>
      </c>
      <c r="AK47" s="294"/>
    </row>
    <row r="48" spans="2:37" ht="15.75">
      <c r="B48" s="276"/>
      <c r="C48" s="337"/>
      <c r="D48" s="337"/>
      <c r="E48" s="337"/>
      <c r="F48" s="294"/>
      <c r="G48" s="337"/>
      <c r="H48" s="337"/>
      <c r="I48" s="337"/>
      <c r="J48" s="294"/>
      <c r="K48" s="276"/>
      <c r="L48" s="337"/>
      <c r="M48" s="337"/>
      <c r="N48" s="337"/>
      <c r="O48" s="294"/>
      <c r="P48" s="337"/>
      <c r="Q48" s="337"/>
      <c r="R48" s="337"/>
      <c r="S48" s="294"/>
      <c r="T48" s="276"/>
      <c r="U48" s="337"/>
      <c r="V48" s="337"/>
      <c r="W48" s="337"/>
      <c r="X48" s="294"/>
      <c r="Y48" s="337"/>
      <c r="Z48" s="337"/>
      <c r="AA48" s="337"/>
      <c r="AB48" s="294"/>
      <c r="AC48" s="276"/>
      <c r="AD48" s="308"/>
      <c r="AE48" s="308"/>
      <c r="AF48" s="308"/>
      <c r="AG48" s="294"/>
      <c r="AH48" s="337"/>
      <c r="AI48" s="337"/>
      <c r="AJ48" s="337"/>
      <c r="AK48" s="294"/>
    </row>
    <row r="49" spans="2:42" ht="15.75">
      <c r="B49" s="308" t="s">
        <v>1211</v>
      </c>
      <c r="C49" s="301">
        <f>SUM(C29:C48)</f>
        <v>8344490</v>
      </c>
      <c r="D49" s="301">
        <f>SUM(D29:D48)</f>
        <v>1945709</v>
      </c>
      <c r="E49" s="301">
        <f>SUM(E29:E48)</f>
        <v>6398781</v>
      </c>
      <c r="F49" s="294"/>
      <c r="G49" s="301">
        <f>SUM(G29:G48)</f>
        <v>0</v>
      </c>
      <c r="H49" s="301">
        <f>SUM(H29:H48)</f>
        <v>0</v>
      </c>
      <c r="I49" s="301">
        <f>SUM(I29:I48)</f>
        <v>0</v>
      </c>
      <c r="J49" s="294"/>
      <c r="K49" s="308" t="s">
        <v>1211</v>
      </c>
      <c r="L49" s="301">
        <f>SUM(L29:L48)</f>
        <v>300000</v>
      </c>
      <c r="M49" s="301">
        <f>SUM(M29:M48)</f>
        <v>473929</v>
      </c>
      <c r="N49" s="301">
        <f>SUM(N29:N48)</f>
        <v>-173929</v>
      </c>
      <c r="O49" s="294"/>
      <c r="P49" s="301">
        <f>SUM(P29:P48)</f>
        <v>0</v>
      </c>
      <c r="Q49" s="301">
        <f>SUM(Q29:Q48)</f>
        <v>0</v>
      </c>
      <c r="R49" s="301">
        <f>SUM(R29:R48)</f>
        <v>0</v>
      </c>
      <c r="S49" s="294"/>
      <c r="T49" s="308" t="s">
        <v>1211</v>
      </c>
      <c r="U49" s="301">
        <f>SUM(U29:U48)</f>
        <v>46482</v>
      </c>
      <c r="V49" s="301">
        <f>SUM(V29:V48)</f>
        <v>2416</v>
      </c>
      <c r="W49" s="301">
        <f>SUM(W29:W48)</f>
        <v>44066</v>
      </c>
      <c r="X49" s="294"/>
      <c r="Y49" s="301">
        <f>SUM(Y29:Y48)</f>
        <v>5311547</v>
      </c>
      <c r="Z49" s="301">
        <f>SUM(Z29:Z48)</f>
        <v>533661</v>
      </c>
      <c r="AA49" s="301">
        <f>SUM(AA29:AA48)</f>
        <v>4777886</v>
      </c>
      <c r="AB49" s="294"/>
      <c r="AC49" s="308" t="s">
        <v>1211</v>
      </c>
      <c r="AD49" s="308"/>
      <c r="AE49" s="308"/>
      <c r="AF49" s="308"/>
      <c r="AG49" s="294"/>
      <c r="AH49" s="301">
        <f>SUM(AH29:AH48)</f>
        <v>14002519</v>
      </c>
      <c r="AI49" s="301">
        <f>SUM(AI29:AI48)</f>
        <v>2955715</v>
      </c>
      <c r="AJ49" s="301">
        <f>SUM(AJ29:AJ48)</f>
        <v>11046804</v>
      </c>
      <c r="AK49" s="294"/>
    </row>
    <row r="50" spans="2:42" ht="15.75">
      <c r="B50" s="308" t="s">
        <v>677</v>
      </c>
      <c r="C50" s="296"/>
      <c r="D50" s="296"/>
      <c r="E50" s="296"/>
      <c r="F50" s="294"/>
      <c r="G50" s="296"/>
      <c r="H50" s="296"/>
      <c r="I50" s="296"/>
      <c r="J50" s="294"/>
      <c r="K50" s="308" t="s">
        <v>677</v>
      </c>
      <c r="L50" s="296"/>
      <c r="M50" s="296"/>
      <c r="N50" s="296"/>
      <c r="O50" s="294"/>
      <c r="P50" s="296"/>
      <c r="Q50" s="296"/>
      <c r="R50" s="296"/>
      <c r="S50" s="294"/>
      <c r="T50" s="308" t="s">
        <v>677</v>
      </c>
      <c r="U50" s="296"/>
      <c r="V50" s="296"/>
      <c r="W50" s="296"/>
      <c r="X50" s="294"/>
      <c r="Y50" s="296"/>
      <c r="Z50" s="296"/>
      <c r="AA50" s="296"/>
      <c r="AB50" s="294"/>
      <c r="AC50" s="308" t="s">
        <v>677</v>
      </c>
      <c r="AD50" s="308"/>
      <c r="AE50" s="308"/>
      <c r="AF50" s="308"/>
      <c r="AG50" s="294"/>
      <c r="AH50" s="296"/>
      <c r="AI50" s="296"/>
      <c r="AJ50" s="296"/>
      <c r="AK50" s="294"/>
    </row>
    <row r="51" spans="2:42" ht="15.75">
      <c r="B51" s="308" t="s">
        <v>598</v>
      </c>
      <c r="C51" s="300">
        <f>SUM(C24-C49)</f>
        <v>-8304490</v>
      </c>
      <c r="D51" s="300">
        <f>SUM(D24-D49)</f>
        <v>-1384558</v>
      </c>
      <c r="E51" s="300">
        <f>+E24+E49</f>
        <v>6919932</v>
      </c>
      <c r="F51" s="294"/>
      <c r="G51" s="300">
        <f>SUM(G24-G49)</f>
        <v>0</v>
      </c>
      <c r="H51" s="300">
        <f>SUM(H24-H49)</f>
        <v>0</v>
      </c>
      <c r="I51" s="300">
        <f>+I24+I49</f>
        <v>0</v>
      </c>
      <c r="J51" s="294"/>
      <c r="K51" s="308" t="s">
        <v>598</v>
      </c>
      <c r="L51" s="300">
        <f>SUM(L24-L49)</f>
        <v>-300000</v>
      </c>
      <c r="M51" s="300">
        <f>SUM(M24-M49)</f>
        <v>-473929</v>
      </c>
      <c r="N51" s="300">
        <f>+N24+N49</f>
        <v>-173929</v>
      </c>
      <c r="O51" s="294"/>
      <c r="P51" s="300">
        <f>SUM(P24-P49)</f>
        <v>0</v>
      </c>
      <c r="Q51" s="300">
        <f>SUM(Q24-Q49)</f>
        <v>0</v>
      </c>
      <c r="R51" s="300">
        <f>+R24+R49</f>
        <v>0</v>
      </c>
      <c r="S51" s="294"/>
      <c r="T51" s="308" t="s">
        <v>598</v>
      </c>
      <c r="U51" s="300">
        <f>SUM(U24-U49)</f>
        <v>-46482</v>
      </c>
      <c r="V51" s="300">
        <f>SUM(V24-V49)</f>
        <v>-2099</v>
      </c>
      <c r="W51" s="300">
        <f>+W24+W49</f>
        <v>44383</v>
      </c>
      <c r="X51" s="294"/>
      <c r="Y51" s="300">
        <f>SUM(Y24-Y49)</f>
        <v>-2891547</v>
      </c>
      <c r="Z51" s="300">
        <f>SUM(Z24-Z49)</f>
        <v>-520291</v>
      </c>
      <c r="AA51" s="300">
        <f>+AA24+AA49</f>
        <v>2371256</v>
      </c>
      <c r="AB51" s="294"/>
      <c r="AC51" s="308" t="s">
        <v>598</v>
      </c>
      <c r="AD51" s="308"/>
      <c r="AE51" s="308"/>
      <c r="AF51" s="308"/>
      <c r="AG51" s="294"/>
      <c r="AH51" s="300">
        <f>SUM(AH24-AH49)</f>
        <v>-11542519</v>
      </c>
      <c r="AI51" s="300">
        <f>SUM(AI24-AI49)</f>
        <v>-2380877</v>
      </c>
      <c r="AJ51" s="300">
        <f>+AJ24+AJ49</f>
        <v>9161642</v>
      </c>
      <c r="AK51" s="294"/>
    </row>
    <row r="52" spans="2:42" ht="15.75">
      <c r="B52" s="276"/>
      <c r="C52" s="296"/>
      <c r="D52" s="296"/>
      <c r="E52" s="294"/>
      <c r="F52" s="294"/>
      <c r="G52" s="296"/>
      <c r="H52" s="296"/>
      <c r="I52" s="294"/>
      <c r="J52" s="294"/>
      <c r="K52" s="276"/>
      <c r="L52" s="296"/>
      <c r="M52" s="296"/>
      <c r="N52" s="294"/>
      <c r="O52" s="294"/>
      <c r="P52" s="296"/>
      <c r="Q52" s="296"/>
      <c r="R52" s="294"/>
      <c r="S52" s="294"/>
      <c r="T52" s="276"/>
      <c r="U52" s="296"/>
      <c r="V52" s="296"/>
      <c r="W52" s="294"/>
      <c r="X52" s="294"/>
      <c r="Y52" s="296"/>
      <c r="Z52" s="296"/>
      <c r="AA52" s="294"/>
      <c r="AB52" s="294"/>
      <c r="AC52" s="276"/>
      <c r="AD52" s="308"/>
      <c r="AE52" s="308"/>
      <c r="AF52" s="308"/>
      <c r="AG52" s="294"/>
      <c r="AH52" s="296"/>
      <c r="AI52" s="296"/>
      <c r="AJ52" s="296"/>
      <c r="AK52" s="296"/>
    </row>
    <row r="53" spans="2:42" ht="15.75">
      <c r="B53" s="308" t="s">
        <v>833</v>
      </c>
      <c r="C53" s="314"/>
      <c r="D53" s="314"/>
      <c r="E53" s="294"/>
      <c r="F53" s="294"/>
      <c r="G53" s="314"/>
      <c r="H53" s="314"/>
      <c r="I53" s="294"/>
      <c r="J53" s="294"/>
      <c r="K53" s="308" t="s">
        <v>833</v>
      </c>
      <c r="L53" s="314"/>
      <c r="M53" s="314"/>
      <c r="N53" s="294"/>
      <c r="O53" s="294"/>
      <c r="P53" s="314"/>
      <c r="Q53" s="314"/>
      <c r="R53" s="294"/>
      <c r="S53" s="294"/>
      <c r="T53" s="308" t="s">
        <v>833</v>
      </c>
      <c r="U53" s="314"/>
      <c r="V53" s="314"/>
      <c r="W53" s="294"/>
      <c r="X53" s="294"/>
      <c r="Y53" s="314"/>
      <c r="Z53" s="314"/>
      <c r="AA53" s="294"/>
      <c r="AB53" s="294"/>
      <c r="AC53" s="308" t="s">
        <v>833</v>
      </c>
      <c r="AD53" s="308"/>
      <c r="AE53" s="308"/>
      <c r="AF53" s="308"/>
      <c r="AG53" s="294"/>
      <c r="AH53" s="314"/>
      <c r="AI53" s="314"/>
      <c r="AJ53" s="294"/>
      <c r="AK53" s="294"/>
    </row>
    <row r="54" spans="2:42" ht="15.75">
      <c r="B54" s="276" t="s">
        <v>1213</v>
      </c>
      <c r="C54" s="294">
        <f>+'CP BUDACT ER'!D86</f>
        <v>3003474</v>
      </c>
      <c r="D54" s="294">
        <f>+'CP BUDACT ER'!E86</f>
        <v>4055811</v>
      </c>
      <c r="E54" s="294">
        <f>SUM(D54-C54)</f>
        <v>1052337</v>
      </c>
      <c r="F54" s="294"/>
      <c r="G54" s="294">
        <f>+'CP BUDACT ER'!G86</f>
        <v>0</v>
      </c>
      <c r="H54" s="294">
        <f>+'CP BUDACT ER'!H86</f>
        <v>0</v>
      </c>
      <c r="I54" s="294">
        <f>SUM(H54-G54)</f>
        <v>0</v>
      </c>
      <c r="J54" s="294"/>
      <c r="K54" s="276" t="s">
        <v>1213</v>
      </c>
      <c r="L54" s="294">
        <f>+'CP BUDACT ER'!J86</f>
        <v>0</v>
      </c>
      <c r="M54" s="294">
        <f>+'CP BUDACT ER'!K86</f>
        <v>316372</v>
      </c>
      <c r="N54" s="294">
        <f>SUM(M54-L54)</f>
        <v>316372</v>
      </c>
      <c r="O54" s="294"/>
      <c r="P54" s="294">
        <f>+'CP BUDACT ER'!M86</f>
        <v>0</v>
      </c>
      <c r="Q54" s="294">
        <f>+'CP BUDACT ER'!N86</f>
        <v>0</v>
      </c>
      <c r="R54" s="294">
        <f>SUM(Q54-P54)</f>
        <v>0</v>
      </c>
      <c r="S54" s="294"/>
      <c r="T54" s="276" t="s">
        <v>1213</v>
      </c>
      <c r="U54" s="294">
        <f>+'CP BUDACT ER'!P86</f>
        <v>0</v>
      </c>
      <c r="V54" s="294">
        <f>+'CP BUDACT ER'!Q86</f>
        <v>0</v>
      </c>
      <c r="W54" s="294">
        <f>SUM(V54-U54)</f>
        <v>0</v>
      </c>
      <c r="X54" s="294"/>
      <c r="Y54" s="294">
        <f>+'CP BUDACT ER'!S86</f>
        <v>1256376</v>
      </c>
      <c r="Z54" s="294">
        <f>+'CP BUDACT ER'!T86</f>
        <v>1277424</v>
      </c>
      <c r="AA54" s="294">
        <f>SUM(Z54-Y54)</f>
        <v>21048</v>
      </c>
      <c r="AB54" s="294"/>
      <c r="AC54" s="276" t="s">
        <v>1213</v>
      </c>
      <c r="AD54" s="308"/>
      <c r="AE54" s="308"/>
      <c r="AF54" s="308"/>
      <c r="AG54" s="294"/>
      <c r="AH54" s="294">
        <f t="shared" ref="AH54:AI57" si="9">+C54+G54+L54+P54+Y54+U54</f>
        <v>4259850</v>
      </c>
      <c r="AI54" s="294">
        <f t="shared" si="9"/>
        <v>5649607</v>
      </c>
      <c r="AJ54" s="294">
        <f>+SUM(AI54-AH54)</f>
        <v>1389757</v>
      </c>
      <c r="AK54" s="294"/>
    </row>
    <row r="55" spans="2:42" ht="15.75">
      <c r="B55" s="276" t="s">
        <v>1214</v>
      </c>
      <c r="C55" s="294">
        <f>+'CP BUDACT ER'!D87</f>
        <v>-170000</v>
      </c>
      <c r="D55" s="294">
        <f>+'CP BUDACT ER'!E87</f>
        <v>-319640</v>
      </c>
      <c r="E55" s="294">
        <f>SUM(D55-C55)</f>
        <v>-149640</v>
      </c>
      <c r="F55" s="294"/>
      <c r="G55" s="294">
        <f>+'CP BUDACT ER'!G87</f>
        <v>0</v>
      </c>
      <c r="H55" s="294">
        <f>+'CP BUDACT ER'!H87</f>
        <v>0</v>
      </c>
      <c r="I55" s="294">
        <f>SUM(H55-G55)</f>
        <v>0</v>
      </c>
      <c r="J55" s="294"/>
      <c r="K55" s="276" t="s">
        <v>1214</v>
      </c>
      <c r="L55" s="294">
        <f>+'CP BUDACT ER'!J87</f>
        <v>0</v>
      </c>
      <c r="M55" s="294">
        <f>+'CP BUDACT ER'!K87-0</f>
        <v>-3032</v>
      </c>
      <c r="N55" s="294">
        <f>SUM(M55-L55)</f>
        <v>-3032</v>
      </c>
      <c r="O55" s="294"/>
      <c r="P55" s="294">
        <f>+'CP BUDACT ER'!M87</f>
        <v>0</v>
      </c>
      <c r="Q55" s="294">
        <f>+'CP BUDACT ER'!N87</f>
        <v>0</v>
      </c>
      <c r="R55" s="294">
        <f>SUM(Q55-P55)</f>
        <v>0</v>
      </c>
      <c r="S55" s="294"/>
      <c r="T55" s="276" t="s">
        <v>1214</v>
      </c>
      <c r="U55" s="294">
        <f>+'CP BUDACT ER'!P87</f>
        <v>0</v>
      </c>
      <c r="V55" s="294">
        <f>+'CP BUDACT ER'!Q87</f>
        <v>-44065</v>
      </c>
      <c r="W55" s="294">
        <f>SUM(V55-U55)</f>
        <v>-44065</v>
      </c>
      <c r="X55" s="294"/>
      <c r="Y55" s="294">
        <f>+'CP BUDACT ER'!S87</f>
        <v>0</v>
      </c>
      <c r="Z55" s="294">
        <f>+'CP BUDACT ER'!T87</f>
        <v>-12743</v>
      </c>
      <c r="AA55" s="294">
        <f>SUM(Z55-Y55)</f>
        <v>-12743</v>
      </c>
      <c r="AB55" s="294"/>
      <c r="AC55" s="276" t="s">
        <v>1214</v>
      </c>
      <c r="AD55" s="308"/>
      <c r="AE55" s="308"/>
      <c r="AF55" s="308"/>
      <c r="AG55" s="294"/>
      <c r="AH55" s="294">
        <f t="shared" si="9"/>
        <v>-170000</v>
      </c>
      <c r="AI55" s="294">
        <f t="shared" si="9"/>
        <v>-379480</v>
      </c>
      <c r="AJ55" s="294">
        <f>+SUM(AI55-AH55)</f>
        <v>-209480</v>
      </c>
      <c r="AK55" s="294"/>
    </row>
    <row r="56" spans="2:42" ht="15.75">
      <c r="B56" s="276" t="s">
        <v>3180</v>
      </c>
      <c r="C56" s="294">
        <f>+'CP BUDACT ER'!D88</f>
        <v>0</v>
      </c>
      <c r="D56" s="294">
        <f>+'CP BUDACT ER'!E88</f>
        <v>0</v>
      </c>
      <c r="E56" s="294">
        <f>SUM(D56-C56)</f>
        <v>0</v>
      </c>
      <c r="F56" s="294"/>
      <c r="G56" s="294">
        <f>+'CP BUDACT ER'!G88</f>
        <v>0</v>
      </c>
      <c r="H56" s="294">
        <f>+'CP BUDACT ER'!H88</f>
        <v>0</v>
      </c>
      <c r="I56" s="294">
        <f>SUM(H56-G56)</f>
        <v>0</v>
      </c>
      <c r="J56" s="294"/>
      <c r="K56" s="276" t="str">
        <f>+B56</f>
        <v xml:space="preserve">    Issuance of long-term debt</v>
      </c>
      <c r="L56" s="294">
        <f>+'CP BUDACT ER'!J88</f>
        <v>315315</v>
      </c>
      <c r="M56" s="294">
        <f>+'CP BUDACT ER'!K88</f>
        <v>151522</v>
      </c>
      <c r="N56" s="294">
        <f>SUM(M56-L56)</f>
        <v>-163793</v>
      </c>
      <c r="O56" s="294"/>
      <c r="P56" s="294">
        <f>+'CP BUDACT ER'!M88</f>
        <v>0</v>
      </c>
      <c r="Q56" s="294">
        <f>+'CP BUDACT ER'!N88</f>
        <v>0</v>
      </c>
      <c r="R56" s="294">
        <f>SUM(Q56-P56)</f>
        <v>0</v>
      </c>
      <c r="S56" s="294"/>
      <c r="T56" s="276" t="str">
        <f>+B56</f>
        <v xml:space="preserve">    Issuance of long-term debt</v>
      </c>
      <c r="U56" s="294">
        <f>+'CP BUDACT ER'!P88</f>
        <v>0</v>
      </c>
      <c r="V56" s="294">
        <f>+'CP BUDACT ER'!Q88</f>
        <v>0</v>
      </c>
      <c r="W56" s="294">
        <f>SUM(V56-U56)</f>
        <v>0</v>
      </c>
      <c r="X56" s="294"/>
      <c r="Y56" s="294">
        <f>+'CP BUDACT ER'!S88</f>
        <v>0</v>
      </c>
      <c r="Z56" s="294">
        <f>+'CP BUDACT ER'!T88</f>
        <v>0</v>
      </c>
      <c r="AA56" s="294">
        <f>SUM(Z56-Y56)</f>
        <v>0</v>
      </c>
      <c r="AB56" s="294"/>
      <c r="AC56" s="276" t="str">
        <f>+B56</f>
        <v xml:space="preserve">    Issuance of long-term debt</v>
      </c>
      <c r="AD56" s="308"/>
      <c r="AE56" s="308"/>
      <c r="AF56" s="308"/>
      <c r="AG56" s="294"/>
      <c r="AH56" s="294">
        <f t="shared" si="9"/>
        <v>315315</v>
      </c>
      <c r="AI56" s="294">
        <f t="shared" si="9"/>
        <v>151522</v>
      </c>
      <c r="AJ56" s="294">
        <f>+SUM(AI56-AH56)</f>
        <v>-163793</v>
      </c>
      <c r="AK56" s="294"/>
    </row>
    <row r="57" spans="2:42" ht="15.75">
      <c r="B57" s="276" t="s">
        <v>1239</v>
      </c>
      <c r="C57" s="294">
        <f>+'CP BUDACT ER'!D89</f>
        <v>0</v>
      </c>
      <c r="D57" s="294">
        <f>+'CP BUDACT ER'!E89</f>
        <v>81250</v>
      </c>
      <c r="E57" s="294">
        <f>SUM(D57-C57)</f>
        <v>81250</v>
      </c>
      <c r="F57" s="294"/>
      <c r="G57" s="294">
        <f>+'CP BUDACT ER'!G89</f>
        <v>0</v>
      </c>
      <c r="H57" s="294">
        <f>+'CP BUDACT ER'!H89</f>
        <v>0</v>
      </c>
      <c r="I57" s="294">
        <f>SUM(H57-G57)</f>
        <v>0</v>
      </c>
      <c r="J57" s="294"/>
      <c r="K57" s="276" t="s">
        <v>1239</v>
      </c>
      <c r="L57" s="294">
        <f>+'CP BUDACT ER'!J89</f>
        <v>0</v>
      </c>
      <c r="M57" s="294">
        <f>+'CP BUDACT ER'!K89</f>
        <v>0</v>
      </c>
      <c r="N57" s="294">
        <f>SUM(M57-L57)</f>
        <v>0</v>
      </c>
      <c r="O57" s="294"/>
      <c r="P57" s="294">
        <f>+'CP BUDACT ER'!M89</f>
        <v>0</v>
      </c>
      <c r="Q57" s="294">
        <f>+'CP BUDACT ER'!N89</f>
        <v>0</v>
      </c>
      <c r="R57" s="294">
        <f>SUM(Q57-P57)</f>
        <v>0</v>
      </c>
      <c r="S57" s="294"/>
      <c r="T57" s="276" t="s">
        <v>1239</v>
      </c>
      <c r="U57" s="294">
        <f>+'CP BUDACT ER'!P89</f>
        <v>0</v>
      </c>
      <c r="V57" s="294">
        <f>+'CP BUDACT ER'!Q89</f>
        <v>0</v>
      </c>
      <c r="W57" s="294">
        <f>SUM(V57-U57)</f>
        <v>0</v>
      </c>
      <c r="X57" s="294"/>
      <c r="Y57" s="294">
        <f>+'CP BUDACT ER'!S89</f>
        <v>0</v>
      </c>
      <c r="Z57" s="294">
        <f>+'CP BUDACT ER'!T89</f>
        <v>0</v>
      </c>
      <c r="AA57" s="294">
        <f>SUM(Z57-Y57)</f>
        <v>0</v>
      </c>
      <c r="AB57" s="294"/>
      <c r="AC57" s="276" t="s">
        <v>1239</v>
      </c>
      <c r="AD57" s="308"/>
      <c r="AE57" s="308"/>
      <c r="AF57" s="308"/>
      <c r="AG57" s="294"/>
      <c r="AH57" s="294">
        <f t="shared" si="9"/>
        <v>0</v>
      </c>
      <c r="AI57" s="294">
        <f t="shared" si="9"/>
        <v>81250</v>
      </c>
      <c r="AJ57" s="294">
        <f>+SUM(AI57-AH57)</f>
        <v>81250</v>
      </c>
      <c r="AK57" s="294"/>
    </row>
    <row r="58" spans="2:42" ht="15.75">
      <c r="B58" s="276"/>
      <c r="C58" s="337"/>
      <c r="D58" s="337"/>
      <c r="E58" s="337"/>
      <c r="F58" s="294"/>
      <c r="G58" s="337"/>
      <c r="H58" s="337"/>
      <c r="I58" s="337"/>
      <c r="J58" s="294"/>
      <c r="K58" s="276"/>
      <c r="L58" s="337"/>
      <c r="M58" s="337"/>
      <c r="N58" s="337"/>
      <c r="O58" s="294"/>
      <c r="P58" s="337"/>
      <c r="Q58" s="337"/>
      <c r="R58" s="337"/>
      <c r="S58" s="294"/>
      <c r="T58" s="276"/>
      <c r="U58" s="337"/>
      <c r="V58" s="337"/>
      <c r="W58" s="337"/>
      <c r="X58" s="294"/>
      <c r="Y58" s="337"/>
      <c r="Z58" s="337"/>
      <c r="AA58" s="337"/>
      <c r="AB58" s="294"/>
      <c r="AC58" s="276"/>
      <c r="AD58" s="308"/>
      <c r="AE58" s="308"/>
      <c r="AF58" s="308"/>
      <c r="AG58" s="294"/>
      <c r="AH58" s="337"/>
      <c r="AI58" s="337"/>
      <c r="AJ58" s="337"/>
      <c r="AK58" s="294"/>
    </row>
    <row r="59" spans="2:42" ht="15.75">
      <c r="B59" s="308" t="s">
        <v>189</v>
      </c>
      <c r="C59" s="301">
        <f>+SUM(C54:C58)</f>
        <v>2833474</v>
      </c>
      <c r="D59" s="301">
        <f>+SUM(D54:D58)</f>
        <v>3817421</v>
      </c>
      <c r="E59" s="301">
        <f>+SUM(E54:E58)</f>
        <v>983947</v>
      </c>
      <c r="F59" s="294"/>
      <c r="G59" s="301">
        <f>+SUM(G54:G58)</f>
        <v>0</v>
      </c>
      <c r="H59" s="301">
        <f>+SUM(H54:H58)</f>
        <v>0</v>
      </c>
      <c r="I59" s="301">
        <f>+SUM(I54:I58)</f>
        <v>0</v>
      </c>
      <c r="J59" s="294"/>
      <c r="K59" s="308" t="s">
        <v>189</v>
      </c>
      <c r="L59" s="301">
        <f>+SUM(L54:L58)</f>
        <v>315315</v>
      </c>
      <c r="M59" s="301">
        <f>+SUM(M54:M58)</f>
        <v>464862</v>
      </c>
      <c r="N59" s="301">
        <f>+SUM(N54:N58)</f>
        <v>149547</v>
      </c>
      <c r="O59" s="294"/>
      <c r="P59" s="301">
        <f>+SUM(P54:P58)</f>
        <v>0</v>
      </c>
      <c r="Q59" s="301">
        <f>+SUM(Q54:Q58)</f>
        <v>0</v>
      </c>
      <c r="R59" s="301">
        <f>+SUM(R54:R58)</f>
        <v>0</v>
      </c>
      <c r="S59" s="294"/>
      <c r="T59" s="308" t="s">
        <v>189</v>
      </c>
      <c r="U59" s="301">
        <f>+SUM(U54:U58)</f>
        <v>0</v>
      </c>
      <c r="V59" s="301">
        <f>+SUM(V54:V58)</f>
        <v>-44065</v>
      </c>
      <c r="W59" s="301">
        <f>+SUM(W54:W58)</f>
        <v>-44065</v>
      </c>
      <c r="X59" s="294"/>
      <c r="Y59" s="301">
        <f>+SUM(Y54:Y58)</f>
        <v>1256376</v>
      </c>
      <c r="Z59" s="301">
        <f>+SUM(Z54:Z58)</f>
        <v>1264681</v>
      </c>
      <c r="AA59" s="301">
        <f>+SUM(AA54:AA58)</f>
        <v>8305</v>
      </c>
      <c r="AB59" s="294"/>
      <c r="AC59" s="308" t="s">
        <v>189</v>
      </c>
      <c r="AD59" s="308"/>
      <c r="AE59" s="308"/>
      <c r="AF59" s="308"/>
      <c r="AG59" s="294"/>
      <c r="AH59" s="301">
        <f>+SUM(AH54:AH58)</f>
        <v>4405165</v>
      </c>
      <c r="AI59" s="301">
        <f>+SUM(AI54:AI58)</f>
        <v>5502899</v>
      </c>
      <c r="AJ59" s="301">
        <f>+SUM(AJ54:AJ58)</f>
        <v>1097734</v>
      </c>
      <c r="AK59" s="294"/>
    </row>
    <row r="60" spans="2:42" ht="15.75">
      <c r="B60" s="276"/>
      <c r="C60" s="296"/>
      <c r="D60" s="296"/>
      <c r="E60" s="294"/>
      <c r="F60" s="294"/>
      <c r="G60" s="296"/>
      <c r="H60" s="296"/>
      <c r="I60" s="294"/>
      <c r="J60" s="294"/>
      <c r="K60" s="276"/>
      <c r="L60" s="296"/>
      <c r="M60" s="296"/>
      <c r="N60" s="294"/>
      <c r="O60" s="294"/>
      <c r="P60" s="296"/>
      <c r="Q60" s="296"/>
      <c r="R60" s="294"/>
      <c r="S60" s="294"/>
      <c r="T60" s="276"/>
      <c r="U60" s="296"/>
      <c r="V60" s="296"/>
      <c r="W60" s="294"/>
      <c r="X60" s="294"/>
      <c r="Y60" s="296"/>
      <c r="Z60" s="296"/>
      <c r="AA60" s="294"/>
      <c r="AB60" s="294"/>
      <c r="AC60" s="276"/>
      <c r="AD60" s="308"/>
      <c r="AE60" s="308"/>
      <c r="AF60" s="308"/>
      <c r="AG60" s="294"/>
      <c r="AH60" s="296"/>
      <c r="AI60" s="296"/>
      <c r="AJ60" s="296"/>
      <c r="AK60" s="294"/>
    </row>
    <row r="61" spans="2:42" ht="16.5" thickBot="1">
      <c r="B61" s="308" t="s">
        <v>188</v>
      </c>
      <c r="C61" s="302">
        <f>SUM(C51+C59)</f>
        <v>-5471016</v>
      </c>
      <c r="D61" s="300">
        <f>SUM(D51+D59)</f>
        <v>2432863</v>
      </c>
      <c r="E61" s="302">
        <f>SUM(E51+E59)</f>
        <v>7903879</v>
      </c>
      <c r="F61" s="294"/>
      <c r="G61" s="302">
        <f>SUM(G51+G59)</f>
        <v>0</v>
      </c>
      <c r="H61" s="300">
        <f>SUM(H51+H59)</f>
        <v>0</v>
      </c>
      <c r="I61" s="302">
        <f>SUM(I51+I59)</f>
        <v>0</v>
      </c>
      <c r="J61" s="294"/>
      <c r="K61" s="308" t="s">
        <v>188</v>
      </c>
      <c r="L61" s="302">
        <f>SUM(L51+L59)</f>
        <v>15315</v>
      </c>
      <c r="M61" s="300">
        <f>SUM(M51+M59)</f>
        <v>-9067</v>
      </c>
      <c r="N61" s="302">
        <f>SUM(N51+N59)</f>
        <v>-24382</v>
      </c>
      <c r="O61" s="294"/>
      <c r="P61" s="302">
        <f>SUM(P51+P59)</f>
        <v>0</v>
      </c>
      <c r="Q61" s="300">
        <f>SUM(Q51+Q59)</f>
        <v>0</v>
      </c>
      <c r="R61" s="302">
        <f>SUM(R51+R59)</f>
        <v>0</v>
      </c>
      <c r="S61" s="294"/>
      <c r="T61" s="308" t="s">
        <v>188</v>
      </c>
      <c r="U61" s="302">
        <f>SUM(U51+U59)</f>
        <v>-46482</v>
      </c>
      <c r="V61" s="300">
        <f>SUM(V51+V59)</f>
        <v>-46164</v>
      </c>
      <c r="W61" s="302">
        <f>SUM(W51+W59)</f>
        <v>318</v>
      </c>
      <c r="X61" s="294"/>
      <c r="Y61" s="302">
        <f>SUM(Y51+Y59)</f>
        <v>-1635171</v>
      </c>
      <c r="Z61" s="300">
        <f>SUM(Z51+Z59)</f>
        <v>744390</v>
      </c>
      <c r="AA61" s="302">
        <f>SUM(AA51+AA59)</f>
        <v>2379561</v>
      </c>
      <c r="AB61" s="294"/>
      <c r="AC61" s="308" t="s">
        <v>188</v>
      </c>
      <c r="AD61" s="308"/>
      <c r="AE61" s="308"/>
      <c r="AF61" s="308"/>
      <c r="AG61" s="294"/>
      <c r="AH61" s="302">
        <f>SUM(AH51+AH59)</f>
        <v>-7137354</v>
      </c>
      <c r="AI61" s="300">
        <f>SUM(AI51+AI59)</f>
        <v>3122022</v>
      </c>
      <c r="AJ61" s="302">
        <f>SUM(AJ51+AJ59)</f>
        <v>10259376</v>
      </c>
      <c r="AK61" s="294"/>
    </row>
    <row r="62" spans="2:42" ht="16.5" thickTop="1">
      <c r="B62" s="276"/>
      <c r="C62" s="294"/>
      <c r="D62" s="294"/>
      <c r="E62" s="294"/>
      <c r="F62" s="294"/>
      <c r="G62" s="294"/>
      <c r="H62" s="294"/>
      <c r="I62" s="294"/>
      <c r="J62" s="294"/>
      <c r="K62" s="276"/>
      <c r="L62" s="294"/>
      <c r="M62" s="294"/>
      <c r="N62" s="294"/>
      <c r="O62" s="294"/>
      <c r="P62" s="294"/>
      <c r="Q62" s="294"/>
      <c r="R62" s="294"/>
      <c r="S62" s="294"/>
      <c r="T62" s="276"/>
      <c r="U62" s="294"/>
      <c r="V62" s="294"/>
      <c r="W62" s="294"/>
      <c r="X62" s="294"/>
      <c r="Y62" s="294"/>
      <c r="Z62" s="294"/>
      <c r="AA62" s="294"/>
      <c r="AB62" s="294"/>
      <c r="AC62" s="276"/>
      <c r="AD62" s="308"/>
      <c r="AE62" s="308"/>
      <c r="AF62" s="308"/>
      <c r="AG62" s="294"/>
      <c r="AH62" s="294"/>
      <c r="AI62" s="294"/>
      <c r="AJ62" s="294"/>
      <c r="AK62" s="294"/>
    </row>
    <row r="63" spans="2:42" ht="15.75">
      <c r="B63" s="276" t="s">
        <v>1255</v>
      </c>
      <c r="C63" s="294"/>
      <c r="D63" s="318">
        <f>+'CP BUDACT ER'!E95</f>
        <v>15525227</v>
      </c>
      <c r="E63" s="294"/>
      <c r="F63" s="294"/>
      <c r="G63" s="294"/>
      <c r="H63" s="318">
        <f>+'CP BUDACT ER'!H95</f>
        <v>0</v>
      </c>
      <c r="I63" s="294"/>
      <c r="J63" s="294"/>
      <c r="K63" s="276" t="s">
        <v>1255</v>
      </c>
      <c r="L63" s="294"/>
      <c r="M63" s="318">
        <f>+'CP BUDACT ER'!K95</f>
        <v>-15316</v>
      </c>
      <c r="N63" s="294"/>
      <c r="O63" s="294"/>
      <c r="P63" s="294"/>
      <c r="Q63" s="318">
        <f>+'CP BUDACT ER'!N95</f>
        <v>0</v>
      </c>
      <c r="R63" s="294"/>
      <c r="S63" s="294"/>
      <c r="T63" s="276" t="s">
        <v>1255</v>
      </c>
      <c r="U63" s="294"/>
      <c r="V63" s="318">
        <f>+'CP BUDACT ER'!Q95</f>
        <v>46164</v>
      </c>
      <c r="W63" s="294"/>
      <c r="X63" s="294"/>
      <c r="Y63" s="294"/>
      <c r="Z63" s="318">
        <f>+'CP BUDACT ER'!T95</f>
        <v>1709238</v>
      </c>
      <c r="AA63" s="294"/>
      <c r="AB63" s="294"/>
      <c r="AC63" s="276" t="s">
        <v>1255</v>
      </c>
      <c r="AD63" s="308"/>
      <c r="AE63" s="308"/>
      <c r="AF63" s="308"/>
      <c r="AG63" s="294"/>
      <c r="AH63" s="294"/>
      <c r="AI63" s="318">
        <f>+D63+H63+M63+Q63+Z63+V63</f>
        <v>17265313</v>
      </c>
      <c r="AJ63" s="294"/>
      <c r="AK63" s="294"/>
      <c r="AP63" s="288">
        <f>+AI63-D63-V63-Z63</f>
        <v>-15316</v>
      </c>
    </row>
    <row r="64" spans="2:42" ht="15.75" hidden="1">
      <c r="B64" s="276"/>
      <c r="C64" s="294"/>
      <c r="D64" s="294"/>
      <c r="E64" s="294"/>
      <c r="F64" s="294"/>
      <c r="G64" s="294"/>
      <c r="H64" s="294"/>
      <c r="I64" s="294"/>
      <c r="J64" s="294"/>
      <c r="K64" s="276"/>
      <c r="L64" s="303"/>
      <c r="M64" s="303"/>
      <c r="N64" s="294"/>
      <c r="O64" s="294"/>
      <c r="P64" s="294"/>
      <c r="Q64" s="294"/>
      <c r="R64" s="294"/>
      <c r="S64" s="294"/>
      <c r="T64" s="276"/>
      <c r="U64" s="294"/>
      <c r="V64" s="294"/>
      <c r="W64" s="294"/>
      <c r="X64" s="294"/>
      <c r="Y64" s="294"/>
      <c r="Z64" s="294"/>
      <c r="AA64" s="294"/>
      <c r="AB64" s="294"/>
      <c r="AC64" s="276"/>
      <c r="AD64" s="308"/>
      <c r="AE64" s="308"/>
      <c r="AF64" s="308"/>
      <c r="AG64" s="294"/>
      <c r="AJ64" s="294"/>
      <c r="AK64" s="294"/>
      <c r="AP64" s="288">
        <f t="shared" ref="AP64:AP72" si="10">+AI64-D64-V64-Z64</f>
        <v>0</v>
      </c>
    </row>
    <row r="65" spans="2:42" ht="15.75" hidden="1">
      <c r="B65" s="276"/>
      <c r="C65" s="294"/>
      <c r="D65" s="294"/>
      <c r="E65" s="294"/>
      <c r="F65" s="294"/>
      <c r="G65" s="294"/>
      <c r="H65" s="294"/>
      <c r="I65" s="294"/>
      <c r="J65" s="294"/>
      <c r="K65" s="276"/>
      <c r="L65" s="303"/>
      <c r="M65" s="294">
        <v>0</v>
      </c>
      <c r="N65" s="294"/>
      <c r="O65" s="294"/>
      <c r="P65" s="294"/>
      <c r="Q65" s="294"/>
      <c r="R65" s="294"/>
      <c r="S65" s="294"/>
      <c r="T65" s="276"/>
      <c r="U65" s="294"/>
      <c r="V65" s="294"/>
      <c r="W65" s="294"/>
      <c r="X65" s="294"/>
      <c r="Y65" s="294"/>
      <c r="Z65" s="294"/>
      <c r="AA65" s="294"/>
      <c r="AB65" s="294"/>
      <c r="AC65" s="276"/>
      <c r="AD65" s="308"/>
      <c r="AE65" s="308"/>
      <c r="AF65" s="308"/>
      <c r="AG65" s="294"/>
      <c r="AJ65" s="294"/>
      <c r="AK65" s="294"/>
      <c r="AP65" s="288">
        <f t="shared" si="10"/>
        <v>0</v>
      </c>
    </row>
    <row r="66" spans="2:42" ht="15.75" hidden="1">
      <c r="B66" s="276"/>
      <c r="C66" s="294"/>
      <c r="D66" s="294"/>
      <c r="E66" s="294"/>
      <c r="F66" s="294"/>
      <c r="G66" s="294"/>
      <c r="H66" s="294"/>
      <c r="I66" s="294"/>
      <c r="J66" s="294"/>
      <c r="K66" s="276"/>
      <c r="L66" s="303"/>
      <c r="M66" s="303"/>
      <c r="N66" s="294"/>
      <c r="O66" s="294"/>
      <c r="P66" s="294"/>
      <c r="Q66" s="294"/>
      <c r="R66" s="294"/>
      <c r="S66" s="294"/>
      <c r="T66" s="276"/>
      <c r="U66" s="294"/>
      <c r="V66" s="294"/>
      <c r="W66" s="294"/>
      <c r="X66" s="294"/>
      <c r="Y66" s="294"/>
      <c r="Z66" s="294"/>
      <c r="AA66" s="294"/>
      <c r="AB66" s="294"/>
      <c r="AC66" s="276"/>
      <c r="AD66" s="308"/>
      <c r="AE66" s="308"/>
      <c r="AF66" s="308"/>
      <c r="AG66" s="294"/>
      <c r="AJ66" s="294"/>
      <c r="AK66" s="294"/>
      <c r="AP66" s="288">
        <f t="shared" si="10"/>
        <v>0</v>
      </c>
    </row>
    <row r="67" spans="2:42" ht="15.75" hidden="1">
      <c r="B67" s="276" t="s">
        <v>385</v>
      </c>
      <c r="C67" s="294"/>
      <c r="D67" s="317"/>
      <c r="E67" s="294"/>
      <c r="F67" s="294"/>
      <c r="G67" s="294"/>
      <c r="H67" s="317"/>
      <c r="I67" s="294"/>
      <c r="J67" s="294"/>
      <c r="K67" s="276" t="s">
        <v>385</v>
      </c>
      <c r="L67" s="303"/>
      <c r="M67" s="317"/>
      <c r="N67" s="294"/>
      <c r="O67" s="294"/>
      <c r="P67" s="294"/>
      <c r="Q67" s="317"/>
      <c r="R67" s="294"/>
      <c r="S67" s="294"/>
      <c r="T67" s="276" t="s">
        <v>385</v>
      </c>
      <c r="U67" s="294"/>
      <c r="V67" s="317"/>
      <c r="W67" s="294"/>
      <c r="X67" s="294"/>
      <c r="Y67" s="294"/>
      <c r="Z67" s="317"/>
      <c r="AA67" s="294"/>
      <c r="AB67" s="294"/>
      <c r="AC67" s="276" t="s">
        <v>385</v>
      </c>
      <c r="AD67" s="308"/>
      <c r="AE67" s="308"/>
      <c r="AF67" s="308"/>
      <c r="AG67" s="294"/>
      <c r="AI67" s="317"/>
      <c r="AJ67" s="294"/>
      <c r="AK67" s="294"/>
      <c r="AP67" s="288">
        <f t="shared" si="10"/>
        <v>0</v>
      </c>
    </row>
    <row r="68" spans="2:42" ht="15.75" hidden="1">
      <c r="B68" s="276"/>
      <c r="C68" s="294"/>
      <c r="D68" s="294"/>
      <c r="E68" s="294"/>
      <c r="F68" s="294"/>
      <c r="G68" s="294"/>
      <c r="H68" s="294"/>
      <c r="I68" s="294"/>
      <c r="J68" s="294"/>
      <c r="K68" s="276"/>
      <c r="L68" s="303"/>
      <c r="M68" s="294"/>
      <c r="N68" s="294"/>
      <c r="O68" s="294"/>
      <c r="P68" s="294"/>
      <c r="Q68" s="294"/>
      <c r="R68" s="294"/>
      <c r="S68" s="294"/>
      <c r="T68" s="276"/>
      <c r="U68" s="294"/>
      <c r="V68" s="294"/>
      <c r="W68" s="294"/>
      <c r="X68" s="294"/>
      <c r="Y68" s="294"/>
      <c r="Z68" s="294"/>
      <c r="AA68" s="294"/>
      <c r="AB68" s="294"/>
      <c r="AC68" s="276"/>
      <c r="AD68" s="308"/>
      <c r="AE68" s="308"/>
      <c r="AF68" s="308"/>
      <c r="AG68" s="294"/>
      <c r="AI68" s="294"/>
      <c r="AJ68" s="294"/>
      <c r="AK68" s="294"/>
      <c r="AP68" s="288">
        <f t="shared" si="10"/>
        <v>0</v>
      </c>
    </row>
    <row r="69" spans="2:42" ht="15.75" hidden="1">
      <c r="B69" s="308" t="s">
        <v>907</v>
      </c>
      <c r="C69" s="294"/>
      <c r="D69" s="300">
        <f>SUM(D63+D67)</f>
        <v>15525227</v>
      </c>
      <c r="E69" s="294"/>
      <c r="F69" s="294"/>
      <c r="G69" s="294"/>
      <c r="H69" s="300">
        <f>SUM(H63+H67)</f>
        <v>0</v>
      </c>
      <c r="I69" s="294"/>
      <c r="J69" s="294"/>
      <c r="K69" s="308" t="s">
        <v>907</v>
      </c>
      <c r="L69" s="303"/>
      <c r="M69" s="300">
        <f>IF(SUM(M63+M67)&lt;&gt;0,SUM(M63+M67),"-  ")</f>
        <v>-15316</v>
      </c>
      <c r="N69" s="294"/>
      <c r="O69" s="294"/>
      <c r="P69" s="294"/>
      <c r="Q69" s="300">
        <f>SUM(Q63+Q67)</f>
        <v>0</v>
      </c>
      <c r="R69" s="294"/>
      <c r="S69" s="294"/>
      <c r="T69" s="308" t="s">
        <v>907</v>
      </c>
      <c r="U69" s="294"/>
      <c r="V69" s="300">
        <f>SUM(V63+V67)</f>
        <v>46164</v>
      </c>
      <c r="W69" s="294"/>
      <c r="X69" s="294"/>
      <c r="Y69" s="294"/>
      <c r="Z69" s="300">
        <f>SUM(Z63+Z67)</f>
        <v>1709238</v>
      </c>
      <c r="AA69" s="294"/>
      <c r="AB69" s="294"/>
      <c r="AC69" s="308" t="s">
        <v>907</v>
      </c>
      <c r="AD69" s="308"/>
      <c r="AE69" s="308"/>
      <c r="AF69" s="308"/>
      <c r="AG69" s="294"/>
      <c r="AI69" s="300">
        <f>SUM(AI63+AI67)</f>
        <v>17265313</v>
      </c>
      <c r="AJ69" s="294"/>
      <c r="AK69" s="294"/>
      <c r="AP69" s="288">
        <f t="shared" si="10"/>
        <v>-15316</v>
      </c>
    </row>
    <row r="70" spans="2:42" ht="15.75" hidden="1">
      <c r="B70" s="276"/>
      <c r="C70" s="294"/>
      <c r="D70" s="294"/>
      <c r="E70" s="294"/>
      <c r="F70" s="294"/>
      <c r="G70" s="294"/>
      <c r="H70" s="294"/>
      <c r="I70" s="294"/>
      <c r="J70" s="294"/>
      <c r="K70" s="276"/>
      <c r="L70" s="303"/>
      <c r="M70" s="294"/>
      <c r="N70" s="294"/>
      <c r="O70" s="294"/>
      <c r="P70" s="294"/>
      <c r="Q70" s="294"/>
      <c r="R70" s="294"/>
      <c r="S70" s="294"/>
      <c r="T70" s="276"/>
      <c r="U70" s="294"/>
      <c r="V70" s="294"/>
      <c r="W70" s="294"/>
      <c r="X70" s="294"/>
      <c r="Y70" s="294"/>
      <c r="Z70" s="294"/>
      <c r="AA70" s="294"/>
      <c r="AB70" s="294"/>
      <c r="AC70" s="276"/>
      <c r="AD70" s="308"/>
      <c r="AE70" s="308"/>
      <c r="AF70" s="308"/>
      <c r="AG70" s="294"/>
      <c r="AI70" s="294"/>
      <c r="AJ70" s="294"/>
      <c r="AK70" s="294"/>
      <c r="AP70" s="288">
        <f t="shared" si="10"/>
        <v>0</v>
      </c>
    </row>
    <row r="71" spans="2:42" ht="15.75" hidden="1">
      <c r="B71" s="276" t="s">
        <v>347</v>
      </c>
      <c r="C71" s="294"/>
      <c r="D71" s="317"/>
      <c r="E71" s="294"/>
      <c r="F71" s="294"/>
      <c r="G71" s="294"/>
      <c r="H71" s="317"/>
      <c r="I71" s="294"/>
      <c r="J71" s="294"/>
      <c r="K71" s="276" t="s">
        <v>347</v>
      </c>
      <c r="L71" s="303"/>
      <c r="M71" s="294"/>
      <c r="N71" s="294"/>
      <c r="O71" s="294"/>
      <c r="P71" s="294"/>
      <c r="Q71" s="317"/>
      <c r="R71" s="294"/>
      <c r="S71" s="294"/>
      <c r="T71" s="276" t="s">
        <v>347</v>
      </c>
      <c r="U71" s="294"/>
      <c r="V71" s="317"/>
      <c r="W71" s="294"/>
      <c r="X71" s="294"/>
      <c r="Y71" s="294"/>
      <c r="Z71" s="317"/>
      <c r="AA71" s="294"/>
      <c r="AB71" s="294"/>
      <c r="AC71" s="276" t="s">
        <v>347</v>
      </c>
      <c r="AD71" s="308"/>
      <c r="AE71" s="308"/>
      <c r="AF71" s="308"/>
      <c r="AG71" s="294"/>
      <c r="AI71" s="317"/>
      <c r="AJ71" s="294"/>
      <c r="AK71" s="294"/>
      <c r="AP71" s="288">
        <f t="shared" si="10"/>
        <v>0</v>
      </c>
    </row>
    <row r="72" spans="2:42" ht="15.75">
      <c r="B72" s="276"/>
      <c r="C72" s="294"/>
      <c r="D72" s="294"/>
      <c r="E72" s="294"/>
      <c r="F72" s="294"/>
      <c r="G72" s="294"/>
      <c r="H72" s="294"/>
      <c r="I72" s="294"/>
      <c r="J72" s="294"/>
      <c r="K72" s="276"/>
      <c r="L72" s="303"/>
      <c r="M72" s="303"/>
      <c r="N72" s="294"/>
      <c r="O72" s="294"/>
      <c r="P72" s="294"/>
      <c r="Q72" s="294"/>
      <c r="R72" s="294"/>
      <c r="S72" s="294"/>
      <c r="T72" s="276"/>
      <c r="U72" s="294"/>
      <c r="V72" s="294"/>
      <c r="W72" s="294"/>
      <c r="X72" s="294"/>
      <c r="Y72" s="294"/>
      <c r="Z72" s="294"/>
      <c r="AA72" s="294"/>
      <c r="AB72" s="294"/>
      <c r="AC72" s="276"/>
      <c r="AD72" s="308"/>
      <c r="AE72" s="308"/>
      <c r="AF72" s="308"/>
      <c r="AG72" s="294"/>
      <c r="AI72" s="294"/>
      <c r="AJ72" s="294"/>
      <c r="AK72" s="294"/>
      <c r="AP72" s="288">
        <f t="shared" si="10"/>
        <v>0</v>
      </c>
    </row>
    <row r="73" spans="2:42" ht="16.5" thickBot="1">
      <c r="B73" s="276" t="s">
        <v>1256</v>
      </c>
      <c r="C73" s="294"/>
      <c r="D73" s="302">
        <f>SUM(D61+D69+D71)</f>
        <v>17958090</v>
      </c>
      <c r="E73" s="294"/>
      <c r="F73" s="294"/>
      <c r="G73" s="294"/>
      <c r="H73" s="302">
        <f>SUM(H61+H69+H71)</f>
        <v>0</v>
      </c>
      <c r="I73" s="294"/>
      <c r="J73" s="294"/>
      <c r="K73" s="276" t="s">
        <v>1256</v>
      </c>
      <c r="L73" s="303"/>
      <c r="M73" s="302">
        <f>SUM(M61+M69+M71)</f>
        <v>-24383</v>
      </c>
      <c r="N73" s="294"/>
      <c r="O73" s="294"/>
      <c r="P73" s="294"/>
      <c r="Q73" s="302">
        <f>SUM(Q61+Q69+Q71)</f>
        <v>0</v>
      </c>
      <c r="R73" s="294"/>
      <c r="S73" s="294"/>
      <c r="T73" s="276" t="s">
        <v>1256</v>
      </c>
      <c r="U73" s="294"/>
      <c r="V73" s="302">
        <f>SUM(V61+V69+V71)</f>
        <v>0</v>
      </c>
      <c r="W73" s="294"/>
      <c r="X73" s="294"/>
      <c r="Y73" s="294"/>
      <c r="Z73" s="302">
        <f>SUM(Z61+Z69+Z71)</f>
        <v>2453628</v>
      </c>
      <c r="AA73" s="294"/>
      <c r="AB73" s="294"/>
      <c r="AC73" s="276" t="s">
        <v>1256</v>
      </c>
      <c r="AD73" s="308"/>
      <c r="AE73" s="308"/>
      <c r="AF73" s="308"/>
      <c r="AG73" s="294"/>
      <c r="AI73" s="302">
        <f>SUM(AI61+AI69+AI71)</f>
        <v>20387335</v>
      </c>
      <c r="AJ73" s="294"/>
      <c r="AK73" s="294"/>
      <c r="AM73" s="460" t="s">
        <v>3038</v>
      </c>
      <c r="AP73" s="288">
        <f>+AI73-D73-V73-Z73</f>
        <v>-24383</v>
      </c>
    </row>
    <row r="74" spans="2:42" ht="16.5" thickTop="1">
      <c r="B74" s="276"/>
      <c r="C74" s="303"/>
      <c r="D74" s="303"/>
      <c r="E74" s="303"/>
      <c r="F74" s="303"/>
      <c r="G74" s="303"/>
      <c r="H74" s="303"/>
      <c r="I74" s="303"/>
      <c r="J74" s="303"/>
      <c r="K74" s="276"/>
      <c r="N74" s="303"/>
      <c r="O74" s="303"/>
      <c r="P74" s="303"/>
      <c r="Q74" s="303"/>
      <c r="R74" s="303"/>
      <c r="S74" s="303"/>
      <c r="T74" s="276"/>
      <c r="U74" s="276"/>
      <c r="V74" s="276"/>
      <c r="W74" s="276"/>
      <c r="X74" s="303"/>
      <c r="Y74" s="303"/>
      <c r="Z74" s="303"/>
      <c r="AA74" s="303"/>
      <c r="AB74" s="303"/>
      <c r="AC74" s="276"/>
      <c r="AD74" s="276"/>
      <c r="AE74" s="276"/>
      <c r="AF74" s="276"/>
      <c r="AG74" s="303"/>
      <c r="AH74" s="303"/>
      <c r="AI74" s="303"/>
      <c r="AJ74" s="303"/>
      <c r="AK74" s="303"/>
      <c r="AM74" s="460" t="s">
        <v>3039</v>
      </c>
    </row>
    <row r="75" spans="2:42" ht="15.75">
      <c r="B75" s="276"/>
      <c r="C75" s="303"/>
      <c r="D75" s="303"/>
      <c r="E75" s="303"/>
      <c r="F75" s="303"/>
      <c r="G75" s="303"/>
      <c r="H75" s="303"/>
      <c r="I75" s="303"/>
      <c r="J75" s="303"/>
      <c r="K75" s="276"/>
      <c r="L75" s="294"/>
      <c r="M75" s="294"/>
      <c r="N75" s="303"/>
      <c r="O75" s="303"/>
      <c r="P75" s="303"/>
      <c r="Q75" s="303"/>
      <c r="R75" s="303"/>
      <c r="S75" s="303"/>
      <c r="T75" s="276"/>
      <c r="U75" s="276"/>
      <c r="V75" s="276"/>
      <c r="W75" s="276"/>
      <c r="X75" s="303"/>
      <c r="Y75" s="303"/>
      <c r="Z75" s="303"/>
      <c r="AA75" s="303"/>
      <c r="AB75" s="303"/>
      <c r="AC75" s="276"/>
      <c r="AD75" s="276"/>
      <c r="AE75" s="276"/>
      <c r="AF75" s="276"/>
      <c r="AG75" s="303"/>
      <c r="AH75" s="303"/>
      <c r="AI75" s="303">
        <f>SUM(D73:AH73)</f>
        <v>20387335</v>
      </c>
      <c r="AJ75" s="303"/>
      <c r="AK75" s="303"/>
      <c r="AM75" s="1063">
        <v>16048394</v>
      </c>
      <c r="AN75" s="304">
        <f>+AM75-AI63</f>
        <v>-1216919</v>
      </c>
    </row>
    <row r="76" spans="2:42" ht="15.75">
      <c r="D76" s="303"/>
      <c r="Q76" s="303"/>
      <c r="AI76" s="288">
        <f>+AI75-AI73</f>
        <v>0</v>
      </c>
      <c r="AM76" s="325" t="s">
        <v>3021</v>
      </c>
    </row>
    <row r="77" spans="2:42" ht="15.75">
      <c r="D77" s="303"/>
      <c r="Q77" s="303"/>
      <c r="AM77" s="1064" t="s">
        <v>3029</v>
      </c>
    </row>
    <row r="79" spans="2:42">
      <c r="D79" s="520" t="s">
        <v>441</v>
      </c>
    </row>
    <row r="85" spans="4:4">
      <c r="D85" s="288">
        <f>21917+5000+3000+9609+7423</f>
        <v>46949</v>
      </c>
    </row>
  </sheetData>
  <phoneticPr fontId="0" type="noConversion"/>
  <printOptions horizontalCentered="1"/>
  <pageMargins left="0.41" right="0.41" top="0.5" bottom="0.75" header="0.5" footer="0.25"/>
  <pageSetup scale="65" firstPageNumber="100" orientation="portrait" useFirstPageNumber="1"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ransitionEvaluation="1" codeName="Sheet33"/>
  <dimension ref="A3:T140"/>
  <sheetViews>
    <sheetView showGridLines="0" topLeftCell="A8" zoomScale="73" zoomScaleNormal="73" workbookViewId="0">
      <selection activeCell="J38" sqref="J38"/>
    </sheetView>
  </sheetViews>
  <sheetFormatPr defaultColWidth="9.7109375" defaultRowHeight="12.75"/>
  <cols>
    <col min="1" max="1" width="2.7109375" style="288" customWidth="1"/>
    <col min="2" max="2" width="54.42578125" style="288" customWidth="1"/>
    <col min="3" max="3" width="2.7109375" style="288" customWidth="1"/>
    <col min="4" max="4" width="16.7109375" style="288" hidden="1" customWidth="1"/>
    <col min="5" max="5" width="2.7109375" style="288" hidden="1" customWidth="1"/>
    <col min="6" max="6" width="16.5703125" style="288" customWidth="1"/>
    <col min="7" max="7" width="2.7109375" style="288" customWidth="1"/>
    <col min="8" max="8" width="16.7109375" style="288" customWidth="1"/>
    <col min="9" max="9" width="2.7109375" style="288" customWidth="1"/>
    <col min="10" max="10" width="14.28515625" style="288" bestFit="1" customWidth="1"/>
    <col min="11" max="11" width="2.7109375" style="288" customWidth="1"/>
    <col min="12" max="12" width="16.42578125" style="288" bestFit="1" customWidth="1"/>
    <col min="13" max="13" width="3.7109375" style="288" customWidth="1"/>
    <col min="14" max="14" width="16.7109375" style="288" bestFit="1" customWidth="1"/>
    <col min="15" max="19" width="9.7109375" style="288" customWidth="1"/>
    <col min="20" max="20" width="12.5703125" style="288" bestFit="1" customWidth="1"/>
    <col min="21" max="16384" width="9.7109375" style="288"/>
  </cols>
  <sheetData>
    <row r="3" spans="2:20" ht="15.75">
      <c r="B3" s="305" t="s">
        <v>1049</v>
      </c>
      <c r="C3" s="305"/>
      <c r="D3" s="305"/>
      <c r="E3" s="305"/>
      <c r="F3" s="305"/>
      <c r="G3" s="305"/>
      <c r="H3" s="305"/>
      <c r="I3" s="305"/>
      <c r="J3" s="305"/>
      <c r="K3" s="305"/>
      <c r="L3" s="305"/>
      <c r="M3" s="305"/>
      <c r="N3" s="305"/>
    </row>
    <row r="4" spans="2:20" ht="15.75">
      <c r="B4" s="305" t="s">
        <v>1672</v>
      </c>
      <c r="C4" s="305"/>
      <c r="D4" s="305"/>
      <c r="E4" s="305"/>
      <c r="F4" s="305"/>
      <c r="G4" s="305"/>
      <c r="H4" s="305"/>
      <c r="I4" s="305"/>
      <c r="J4" s="305"/>
      <c r="K4" s="305"/>
      <c r="L4" s="305"/>
      <c r="M4" s="305"/>
      <c r="N4" s="305"/>
    </row>
    <row r="5" spans="2:20" ht="15.75">
      <c r="B5" s="305" t="s">
        <v>838</v>
      </c>
      <c r="C5" s="305"/>
      <c r="D5" s="305"/>
      <c r="E5" s="305"/>
      <c r="F5" s="305"/>
      <c r="G5" s="305"/>
      <c r="H5" s="305"/>
      <c r="I5" s="305"/>
      <c r="J5" s="305"/>
      <c r="K5" s="305"/>
      <c r="L5" s="305"/>
      <c r="M5" s="305"/>
      <c r="N5" s="305"/>
    </row>
    <row r="6" spans="2:20" ht="15.75">
      <c r="B6" s="307">
        <f>+'Sys INPUT'!B1</f>
        <v>45107</v>
      </c>
      <c r="C6" s="307"/>
      <c r="D6" s="307"/>
      <c r="E6" s="307"/>
      <c r="F6" s="307"/>
      <c r="G6" s="307"/>
      <c r="H6" s="307"/>
      <c r="I6" s="307"/>
      <c r="J6" s="307"/>
      <c r="K6" s="305"/>
      <c r="L6" s="305"/>
      <c r="M6" s="305"/>
      <c r="N6" s="305"/>
    </row>
    <row r="7" spans="2:20" ht="15.75">
      <c r="B7" s="307"/>
      <c r="C7" s="307"/>
      <c r="D7" s="307"/>
      <c r="E7" s="307"/>
      <c r="F7" s="307"/>
      <c r="G7" s="307"/>
      <c r="H7" s="307"/>
      <c r="I7" s="305"/>
      <c r="J7" s="305"/>
      <c r="K7" s="305"/>
      <c r="L7" s="305"/>
      <c r="M7" s="305"/>
      <c r="N7" s="305"/>
    </row>
    <row r="8" spans="2:20" ht="15.75">
      <c r="B8" s="305"/>
      <c r="C8" s="305"/>
      <c r="D8" s="305"/>
      <c r="E8" s="305"/>
      <c r="F8" s="305"/>
      <c r="G8" s="305"/>
      <c r="H8" s="305"/>
      <c r="I8" s="305"/>
      <c r="J8" s="305"/>
      <c r="K8" s="308"/>
      <c r="L8" s="308"/>
      <c r="M8" s="308"/>
      <c r="N8" s="308"/>
    </row>
    <row r="9" spans="2:20" ht="15.75">
      <c r="B9" s="305"/>
      <c r="C9" s="305"/>
      <c r="D9" s="305"/>
      <c r="E9" s="305"/>
      <c r="F9" s="305"/>
      <c r="G9" s="305"/>
      <c r="H9" s="305"/>
      <c r="I9" s="305"/>
      <c r="J9" s="305"/>
      <c r="K9" s="305"/>
      <c r="L9" s="305"/>
      <c r="M9" s="308"/>
      <c r="N9" s="287" t="s">
        <v>315</v>
      </c>
    </row>
    <row r="10" spans="2:20" ht="15.75">
      <c r="B10" s="308"/>
      <c r="C10" s="308"/>
      <c r="D10" s="308"/>
      <c r="E10" s="308"/>
      <c r="F10" s="287"/>
      <c r="G10" s="287"/>
      <c r="H10" s="287"/>
      <c r="I10" s="287"/>
      <c r="J10" s="287" t="str">
        <f>INPUT!CF5</f>
        <v>SCRATCH-</v>
      </c>
      <c r="M10" s="276"/>
      <c r="N10" s="287" t="s">
        <v>4</v>
      </c>
    </row>
    <row r="11" spans="2:20" ht="15.75">
      <c r="B11" s="308"/>
      <c r="C11" s="308"/>
      <c r="D11" s="287"/>
      <c r="E11" s="287"/>
      <c r="F11" s="287" t="str">
        <f>INPUT!CD6</f>
        <v>AUGUSTA</v>
      </c>
      <c r="G11" s="287"/>
      <c r="H11" s="287" t="str">
        <f>INPUT!CE6</f>
        <v>LINCOLN</v>
      </c>
      <c r="I11" s="287"/>
      <c r="J11" s="287" t="str">
        <f>INPUT!CF6</f>
        <v>GRAVEL</v>
      </c>
      <c r="K11" s="287"/>
      <c r="L11" s="287" t="str">
        <f>INPUT!CH6</f>
        <v>MARYSVILLE</v>
      </c>
      <c r="M11" s="287"/>
      <c r="N11" s="287" t="s">
        <v>71</v>
      </c>
    </row>
    <row r="12" spans="2:20" ht="15.75">
      <c r="B12" s="308"/>
      <c r="C12" s="308"/>
      <c r="D12" s="290"/>
      <c r="E12" s="287"/>
      <c r="F12" s="290" t="str">
        <f>INPUT!CD7</f>
        <v>SOLID WASTE</v>
      </c>
      <c r="G12" s="308"/>
      <c r="H12" s="290" t="str">
        <f>INPUT!CE7</f>
        <v>SOLID WASTE</v>
      </c>
      <c r="I12" s="308"/>
      <c r="J12" s="290" t="str">
        <f>INPUT!CF7</f>
        <v>LANDFILL</v>
      </c>
      <c r="K12" s="308"/>
      <c r="L12" s="290" t="str">
        <f>INPUT!CH7</f>
        <v>SOLID WASTE</v>
      </c>
      <c r="M12" s="308"/>
      <c r="N12" s="290" t="s">
        <v>762</v>
      </c>
      <c r="T12" s="290" t="s">
        <v>372</v>
      </c>
    </row>
    <row r="13" spans="2:20" ht="15.75">
      <c r="B13" s="308" t="str">
        <f>INPUT!B83</f>
        <v>ASSETS</v>
      </c>
      <c r="C13" s="276"/>
      <c r="D13" s="276"/>
      <c r="E13" s="287"/>
      <c r="F13" s="276"/>
      <c r="G13" s="308"/>
      <c r="H13" s="276"/>
      <c r="I13" s="308"/>
      <c r="J13" s="276"/>
      <c r="K13" s="308"/>
      <c r="L13" s="276"/>
      <c r="M13" s="308"/>
      <c r="N13" s="276"/>
    </row>
    <row r="14" spans="2:20" ht="15.75">
      <c r="B14" s="276" t="str">
        <f>INPUT!B84</f>
        <v>Current assets:</v>
      </c>
      <c r="C14" s="276"/>
      <c r="D14" s="276"/>
      <c r="E14" s="287"/>
      <c r="F14" s="276"/>
      <c r="G14" s="308"/>
      <c r="H14" s="276"/>
      <c r="I14" s="308"/>
      <c r="J14" s="276"/>
      <c r="K14" s="308"/>
      <c r="L14" s="276"/>
      <c r="M14" s="308"/>
      <c r="N14" s="276"/>
    </row>
    <row r="15" spans="2:20" ht="15.75">
      <c r="B15" s="276" t="str">
        <f>INPUT!B85</f>
        <v xml:space="preserve">     Cash and cash equivalents</v>
      </c>
      <c r="C15" s="276"/>
      <c r="D15" s="292">
        <f>+INPUT!CB85</f>
        <v>0</v>
      </c>
      <c r="E15" s="287"/>
      <c r="F15" s="292">
        <f>+INPUT!CD85</f>
        <v>29710</v>
      </c>
      <c r="G15" s="292"/>
      <c r="H15" s="292">
        <f>+INPUT!CE85</f>
        <v>20618</v>
      </c>
      <c r="I15" s="292"/>
      <c r="J15" s="292">
        <f>INPUT!CF85</f>
        <v>980627</v>
      </c>
      <c r="K15" s="292"/>
      <c r="L15" s="292">
        <f>+INPUT!CH85</f>
        <v>96568</v>
      </c>
      <c r="M15" s="292"/>
      <c r="N15" s="292">
        <f>SUM(C15:L15)</f>
        <v>1127523</v>
      </c>
      <c r="T15" s="292">
        <f>5+1+15</f>
        <v>21</v>
      </c>
    </row>
    <row r="16" spans="2:20" ht="15.75">
      <c r="B16" s="276" t="str">
        <f>INPUT!B86</f>
        <v xml:space="preserve">     Investments </v>
      </c>
      <c r="C16" s="276"/>
      <c r="D16" s="294">
        <f>+INPUT!CB86</f>
        <v>0</v>
      </c>
      <c r="E16" s="287"/>
      <c r="F16" s="294">
        <f>+INPUT!CD86+INPUT!CD100</f>
        <v>5675</v>
      </c>
      <c r="G16" s="296"/>
      <c r="H16" s="294">
        <f>INPUT!CE86+INPUT!CE100</f>
        <v>3938</v>
      </c>
      <c r="I16" s="296"/>
      <c r="J16" s="294">
        <f>+INPUT!CF86+INPUT!CF100</f>
        <v>187302</v>
      </c>
      <c r="K16" s="296"/>
      <c r="L16" s="294">
        <f>+INPUT!CH86+INPUT!CH100</f>
        <v>18445</v>
      </c>
      <c r="M16" s="296"/>
      <c r="N16" s="294">
        <f>SUM(C16:L16)</f>
        <v>215360</v>
      </c>
      <c r="T16" s="294"/>
    </row>
    <row r="17" spans="1:20" ht="15.75">
      <c r="B17" s="276" t="str">
        <f>INPUT!B87</f>
        <v xml:space="preserve">     Receivables (net of allowance):</v>
      </c>
      <c r="C17" s="276"/>
      <c r="D17" s="294"/>
      <c r="E17" s="287"/>
      <c r="F17" s="294"/>
      <c r="G17" s="296"/>
      <c r="H17" s="294"/>
      <c r="I17" s="296"/>
      <c r="J17" s="294"/>
      <c r="K17" s="296"/>
      <c r="L17" s="294"/>
      <c r="M17" s="296"/>
      <c r="N17" s="294"/>
      <c r="T17" s="294"/>
    </row>
    <row r="18" spans="1:20" ht="15.75" hidden="1">
      <c r="A18" s="288" t="s">
        <v>299</v>
      </c>
      <c r="B18" s="276" t="str">
        <f>INPUT!B88</f>
        <v xml:space="preserve">          Taxes/assessments</v>
      </c>
      <c r="C18" s="276"/>
      <c r="D18" s="294">
        <f>+INPUT!CB88</f>
        <v>0</v>
      </c>
      <c r="E18" s="287"/>
      <c r="F18" s="294">
        <f>+INPUT!CD88</f>
        <v>0</v>
      </c>
      <c r="G18" s="296"/>
      <c r="H18" s="294">
        <f>+INPUT!CE88</f>
        <v>0</v>
      </c>
      <c r="I18" s="296"/>
      <c r="J18" s="294">
        <f>+INPUT!CF88</f>
        <v>0</v>
      </c>
      <c r="K18" s="296"/>
      <c r="L18" s="294">
        <f>+INPUT!CH88</f>
        <v>0</v>
      </c>
      <c r="M18" s="296"/>
      <c r="N18" s="294">
        <f t="shared" ref="N18:N24" si="0">SUM(C18:L18)</f>
        <v>0</v>
      </c>
      <c r="T18" s="294" t="e">
        <f>IF(+INPUT!#REF!&lt;&gt;0,+INPUT!#REF!,"-  ")</f>
        <v>#REF!</v>
      </c>
    </row>
    <row r="19" spans="1:20" ht="15.75">
      <c r="B19" s="276" t="str">
        <f>INPUT!B89</f>
        <v xml:space="preserve">          Accounts/contracts</v>
      </c>
      <c r="C19" s="276"/>
      <c r="D19" s="294">
        <f>+INPUT!CB89</f>
        <v>0</v>
      </c>
      <c r="E19" s="287"/>
      <c r="F19" s="294">
        <f>+INPUT!CD89</f>
        <v>5935</v>
      </c>
      <c r="G19" s="296"/>
      <c r="H19" s="294">
        <f>+INPUT!CE89</f>
        <v>21954</v>
      </c>
      <c r="I19" s="296"/>
      <c r="J19" s="294">
        <f>+INPUT!CF89</f>
        <v>170772</v>
      </c>
      <c r="K19" s="296"/>
      <c r="L19" s="294">
        <f>+INPUT!CH89</f>
        <v>3572</v>
      </c>
      <c r="M19" s="296"/>
      <c r="N19" s="294">
        <f t="shared" si="0"/>
        <v>202233</v>
      </c>
      <c r="T19" s="294">
        <f>10-3-1</f>
        <v>6</v>
      </c>
    </row>
    <row r="20" spans="1:20" ht="15.75" hidden="1">
      <c r="B20" s="276" t="str">
        <f>INPUT!B90</f>
        <v xml:space="preserve">          Notes receivable</v>
      </c>
      <c r="C20" s="276"/>
      <c r="D20" s="294">
        <f>+INPUT!CB90</f>
        <v>0</v>
      </c>
      <c r="E20" s="287"/>
      <c r="F20" s="294">
        <f>+INPUT!CD90</f>
        <v>0</v>
      </c>
      <c r="G20" s="296"/>
      <c r="H20" s="294">
        <f>+INPUT!CE90</f>
        <v>0</v>
      </c>
      <c r="I20" s="296"/>
      <c r="J20" s="294">
        <f>+INPUT!CF90</f>
        <v>0</v>
      </c>
      <c r="K20" s="296"/>
      <c r="L20" s="294">
        <f>+INPUT!CH90</f>
        <v>0</v>
      </c>
      <c r="M20" s="296"/>
      <c r="N20" s="294">
        <f>SUM(C20:L20)</f>
        <v>0</v>
      </c>
      <c r="T20" s="294"/>
    </row>
    <row r="21" spans="1:20" ht="15.75" hidden="1">
      <c r="B21" s="276" t="str">
        <f>INPUT!B91</f>
        <v xml:space="preserve">          Leases</v>
      </c>
      <c r="C21" s="276"/>
      <c r="D21" s="294">
        <f>+INPUT!CB91</f>
        <v>0</v>
      </c>
      <c r="E21" s="287"/>
      <c r="F21" s="294">
        <f>+INPUT!CD91</f>
        <v>0</v>
      </c>
      <c r="G21" s="296"/>
      <c r="H21" s="294">
        <f>+INPUT!CE91</f>
        <v>0</v>
      </c>
      <c r="I21" s="296"/>
      <c r="J21" s="294">
        <f>+INPUT!CF91</f>
        <v>0</v>
      </c>
      <c r="K21" s="296"/>
      <c r="L21" s="294">
        <f>+INPUT!CH91</f>
        <v>0</v>
      </c>
      <c r="M21" s="296"/>
      <c r="N21" s="294">
        <f>SUM(C21:L21)</f>
        <v>0</v>
      </c>
      <c r="T21" s="294"/>
    </row>
    <row r="22" spans="1:20" ht="15.75" hidden="1">
      <c r="A22" s="288" t="s">
        <v>299</v>
      </c>
      <c r="B22" s="276" t="str">
        <f>INPUT!B92</f>
        <v xml:space="preserve">     Due from other funds</v>
      </c>
      <c r="C22" s="276"/>
      <c r="D22" s="294">
        <f>+INPUT!CB92</f>
        <v>0</v>
      </c>
      <c r="E22" s="287"/>
      <c r="F22" s="294">
        <f>+INPUT!CD92</f>
        <v>0</v>
      </c>
      <c r="G22" s="296"/>
      <c r="H22" s="294">
        <f>+INPUT!CE92</f>
        <v>0</v>
      </c>
      <c r="I22" s="296"/>
      <c r="J22" s="294">
        <f>+INPUT!CF92</f>
        <v>0</v>
      </c>
      <c r="K22" s="296"/>
      <c r="L22" s="294">
        <f>+INPUT!CH92</f>
        <v>0</v>
      </c>
      <c r="M22" s="296"/>
      <c r="N22" s="294">
        <f t="shared" si="0"/>
        <v>0</v>
      </c>
      <c r="T22" s="294">
        <v>0</v>
      </c>
    </row>
    <row r="23" spans="1:20" ht="15.75" hidden="1">
      <c r="A23" s="288" t="s">
        <v>299</v>
      </c>
      <c r="B23" s="276" t="str">
        <f>INPUT!B93</f>
        <v xml:space="preserve">     Due from other governments</v>
      </c>
      <c r="C23" s="276"/>
      <c r="D23" s="294">
        <f>+INPUT!CB93</f>
        <v>0</v>
      </c>
      <c r="E23" s="287"/>
      <c r="F23" s="294">
        <f>+INPUT!CD93</f>
        <v>0</v>
      </c>
      <c r="G23" s="296"/>
      <c r="H23" s="294">
        <f>+INPUT!CE93</f>
        <v>0</v>
      </c>
      <c r="I23" s="296"/>
      <c r="J23" s="294">
        <f>+INPUT!CF93</f>
        <v>0</v>
      </c>
      <c r="K23" s="296"/>
      <c r="L23" s="294">
        <f>+INPUT!CH93</f>
        <v>0</v>
      </c>
      <c r="M23" s="296"/>
      <c r="N23" s="294">
        <f t="shared" si="0"/>
        <v>0</v>
      </c>
      <c r="T23" s="294">
        <v>0</v>
      </c>
    </row>
    <row r="24" spans="1:20" ht="15.75" hidden="1">
      <c r="B24" s="276" t="str">
        <f>INPUT!B94</f>
        <v xml:space="preserve">     Inventories</v>
      </c>
      <c r="C24" s="276"/>
      <c r="D24" s="294">
        <f>+INPUT!CB94</f>
        <v>0</v>
      </c>
      <c r="E24" s="287"/>
      <c r="F24" s="294">
        <f>+INPUT!CD94</f>
        <v>0</v>
      </c>
      <c r="G24" s="296"/>
      <c r="H24" s="294">
        <f>+INPUT!CE94</f>
        <v>0</v>
      </c>
      <c r="I24" s="296"/>
      <c r="J24" s="294">
        <f>+INPUT!CF94</f>
        <v>0</v>
      </c>
      <c r="K24" s="296"/>
      <c r="L24" s="294">
        <f>+INPUT!CH94</f>
        <v>0</v>
      </c>
      <c r="M24" s="296"/>
      <c r="N24" s="294">
        <f t="shared" si="0"/>
        <v>0</v>
      </c>
      <c r="T24" s="294">
        <v>0</v>
      </c>
    </row>
    <row r="25" spans="1:20" ht="15.75" hidden="1">
      <c r="B25" s="276" t="str">
        <f>INPUT!B95</f>
        <v xml:space="preserve">     Prepaid charges</v>
      </c>
      <c r="C25" s="276"/>
      <c r="D25" s="294">
        <f>+INPUT!CB95</f>
        <v>0</v>
      </c>
      <c r="E25" s="287"/>
      <c r="F25" s="294">
        <f>+INPUT!CD95</f>
        <v>0</v>
      </c>
      <c r="G25" s="296"/>
      <c r="H25" s="294">
        <f>+INPUT!CE95</f>
        <v>0</v>
      </c>
      <c r="I25" s="296"/>
      <c r="J25" s="294">
        <f>+INPUT!CF95</f>
        <v>0</v>
      </c>
      <c r="K25" s="296"/>
      <c r="L25" s="294">
        <f>+INPUT!CH95</f>
        <v>0</v>
      </c>
      <c r="M25" s="296"/>
      <c r="N25" s="294">
        <f>SUM(C25:L25)</f>
        <v>0</v>
      </c>
      <c r="T25" s="294"/>
    </row>
    <row r="26" spans="1:20" ht="15.75">
      <c r="B26" s="276" t="s">
        <v>344</v>
      </c>
      <c r="C26" s="276"/>
      <c r="D26" s="714">
        <f>SUM(D15:D25)</f>
        <v>0</v>
      </c>
      <c r="E26" s="287"/>
      <c r="F26" s="521">
        <f>SUM(F15:F25)</f>
        <v>41320</v>
      </c>
      <c r="G26" s="296"/>
      <c r="H26" s="521">
        <f>SUM(H15:H25)</f>
        <v>46510</v>
      </c>
      <c r="I26" s="296"/>
      <c r="J26" s="521">
        <f>SUM(J15:J25)</f>
        <v>1338701</v>
      </c>
      <c r="K26" s="296"/>
      <c r="L26" s="521">
        <f>SUM(L15:L25)</f>
        <v>118585</v>
      </c>
      <c r="M26" s="296"/>
      <c r="N26" s="521">
        <f>SUM(N15:N25)</f>
        <v>1545116</v>
      </c>
      <c r="T26" s="294"/>
    </row>
    <row r="27" spans="1:20" ht="15.75">
      <c r="B27" s="276"/>
      <c r="C27" s="276"/>
      <c r="D27" s="294"/>
      <c r="E27" s="287"/>
      <c r="F27" s="294"/>
      <c r="G27" s="294"/>
      <c r="H27" s="294"/>
      <c r="I27" s="294"/>
      <c r="J27" s="294"/>
      <c r="K27" s="294"/>
      <c r="L27" s="294"/>
      <c r="M27" s="294"/>
      <c r="N27" s="294"/>
      <c r="T27" s="294"/>
    </row>
    <row r="28" spans="1:20" ht="15.75">
      <c r="B28" s="276" t="str">
        <f>INPUT!B96</f>
        <v>Noncurrent assets:</v>
      </c>
      <c r="C28" s="276"/>
      <c r="D28" s="294"/>
      <c r="E28" s="287"/>
      <c r="F28" s="294"/>
      <c r="G28" s="296"/>
      <c r="H28" s="294"/>
      <c r="I28" s="296"/>
      <c r="J28" s="294"/>
      <c r="K28" s="296"/>
      <c r="L28" s="294"/>
      <c r="M28" s="296"/>
      <c r="N28" s="294"/>
      <c r="T28" s="294"/>
    </row>
    <row r="29" spans="1:20" ht="15.75" hidden="1">
      <c r="B29" s="276" t="str">
        <f>INPUT!B97</f>
        <v xml:space="preserve">     Restricted assets:</v>
      </c>
      <c r="C29" s="276"/>
      <c r="D29" s="294"/>
      <c r="E29" s="287"/>
      <c r="F29" s="294"/>
      <c r="G29" s="296"/>
      <c r="H29" s="294"/>
      <c r="I29" s="296"/>
      <c r="J29" s="294"/>
      <c r="K29" s="296"/>
      <c r="L29" s="294"/>
      <c r="M29" s="296"/>
      <c r="N29" s="294"/>
      <c r="T29" s="294">
        <v>0</v>
      </c>
    </row>
    <row r="30" spans="1:20" ht="15.75" hidden="1">
      <c r="B30" s="276" t="str">
        <f>INPUT!B98</f>
        <v xml:space="preserve">          Cash and cash equivalents</v>
      </c>
      <c r="C30" s="276"/>
      <c r="D30" s="294">
        <f>+INPUT!CB98</f>
        <v>0</v>
      </c>
      <c r="E30" s="287"/>
      <c r="F30" s="294">
        <f>+INPUT!CD98</f>
        <v>0</v>
      </c>
      <c r="G30" s="296"/>
      <c r="H30" s="294">
        <f>+INPUT!CE98</f>
        <v>0</v>
      </c>
      <c r="I30" s="296"/>
      <c r="J30" s="294">
        <f>+INPUT!CF98</f>
        <v>0</v>
      </c>
      <c r="K30" s="296"/>
      <c r="L30" s="294">
        <f>+INPUT!CH98</f>
        <v>0</v>
      </c>
      <c r="M30" s="296"/>
      <c r="N30" s="294">
        <f t="shared" ref="N30:N35" si="1">SUM(C30:L30)</f>
        <v>0</v>
      </c>
      <c r="T30" s="294">
        <v>0</v>
      </c>
    </row>
    <row r="31" spans="1:20" ht="15.75" hidden="1">
      <c r="B31" s="276" t="str">
        <f>INPUT!B99</f>
        <v xml:space="preserve">          Investments</v>
      </c>
      <c r="C31" s="276"/>
      <c r="D31" s="294">
        <f>+INPUT!CB99</f>
        <v>0</v>
      </c>
      <c r="E31" s="287"/>
      <c r="F31" s="294">
        <f>+INPUT!CD99</f>
        <v>0</v>
      </c>
      <c r="G31" s="296"/>
      <c r="H31" s="294">
        <f>+INPUT!CE99</f>
        <v>0</v>
      </c>
      <c r="I31" s="296"/>
      <c r="J31" s="294">
        <f>+INPUT!CF99</f>
        <v>0</v>
      </c>
      <c r="K31" s="296"/>
      <c r="L31" s="294">
        <f>+INPUT!CH99</f>
        <v>0</v>
      </c>
      <c r="M31" s="296"/>
      <c r="N31" s="294">
        <f t="shared" si="1"/>
        <v>0</v>
      </c>
      <c r="T31" s="294">
        <v>0</v>
      </c>
    </row>
    <row r="32" spans="1:20" ht="15.75" hidden="1">
      <c r="A32" s="276" t="s">
        <v>299</v>
      </c>
      <c r="B32" s="276" t="str">
        <f>INPUT!B100</f>
        <v xml:space="preserve">     Valuation of investments to fair value</v>
      </c>
      <c r="C32" s="276"/>
      <c r="D32" s="294">
        <f>+INPUT!CB100</f>
        <v>0</v>
      </c>
      <c r="E32" s="287"/>
      <c r="F32" s="294">
        <f>+INPUT!CD100</f>
        <v>0</v>
      </c>
      <c r="G32" s="296"/>
      <c r="H32" s="294">
        <f>+INPUT!CE100</f>
        <v>0</v>
      </c>
      <c r="I32" s="296"/>
      <c r="J32" s="294">
        <f>+INPUT!CF100</f>
        <v>0</v>
      </c>
      <c r="K32" s="296"/>
      <c r="L32" s="294">
        <f>+INPUT!CH100</f>
        <v>0</v>
      </c>
      <c r="M32" s="296"/>
      <c r="N32" s="294">
        <f t="shared" si="1"/>
        <v>0</v>
      </c>
      <c r="T32" s="294">
        <v>0</v>
      </c>
    </row>
    <row r="33" spans="1:20" ht="15.75" hidden="1">
      <c r="A33" s="276"/>
      <c r="B33" s="276" t="str">
        <f>INPUT!B101</f>
        <v xml:space="preserve">     Long-term accounts/contracts receivable</v>
      </c>
      <c r="C33" s="276"/>
      <c r="D33" s="294">
        <f>+INPUT!CB101</f>
        <v>0</v>
      </c>
      <c r="E33" s="287"/>
      <c r="F33" s="294">
        <f>+INPUT!CD101</f>
        <v>0</v>
      </c>
      <c r="G33" s="296"/>
      <c r="H33" s="294">
        <f>+INPUT!CE101</f>
        <v>0</v>
      </c>
      <c r="I33" s="296"/>
      <c r="J33" s="294">
        <f>+INPUT!CF101</f>
        <v>0</v>
      </c>
      <c r="K33" s="296"/>
      <c r="L33" s="294">
        <f>+INPUT!CH101</f>
        <v>0</v>
      </c>
      <c r="M33" s="296"/>
      <c r="N33" s="294">
        <f t="shared" si="1"/>
        <v>0</v>
      </c>
      <c r="T33" s="294"/>
    </row>
    <row r="34" spans="1:20" ht="15.75" hidden="1">
      <c r="A34" s="276"/>
      <c r="B34" s="276" t="str">
        <f>INPUT!B102</f>
        <v xml:space="preserve">     Long-term notes receivable</v>
      </c>
      <c r="C34" s="276"/>
      <c r="D34" s="294">
        <f>+INPUT!CB102</f>
        <v>0</v>
      </c>
      <c r="E34" s="287"/>
      <c r="F34" s="294">
        <f>+INPUT!CD102</f>
        <v>0</v>
      </c>
      <c r="G34" s="296"/>
      <c r="H34" s="294">
        <f>+INPUT!CE102</f>
        <v>0</v>
      </c>
      <c r="I34" s="296"/>
      <c r="J34" s="294">
        <f>+INPUT!CF102</f>
        <v>0</v>
      </c>
      <c r="K34" s="296"/>
      <c r="L34" s="294">
        <f>+INPUT!CH102</f>
        <v>0</v>
      </c>
      <c r="M34" s="296"/>
      <c r="N34" s="294">
        <f t="shared" si="1"/>
        <v>0</v>
      </c>
      <c r="T34" s="294"/>
    </row>
    <row r="35" spans="1:20" ht="15.75" hidden="1">
      <c r="A35" s="288" t="s">
        <v>299</v>
      </c>
      <c r="B35" s="276" t="str">
        <f>INPUT!B103</f>
        <v xml:space="preserve">     Advances to other funds</v>
      </c>
      <c r="C35" s="276"/>
      <c r="D35" s="294">
        <f>+INPUT!CB103</f>
        <v>0</v>
      </c>
      <c r="E35" s="287"/>
      <c r="F35" s="294">
        <f>+INPUT!CD103</f>
        <v>0</v>
      </c>
      <c r="G35" s="296"/>
      <c r="H35" s="294">
        <f>+INPUT!CE103</f>
        <v>0</v>
      </c>
      <c r="I35" s="296"/>
      <c r="J35" s="294">
        <f>+INPUT!CF103</f>
        <v>0</v>
      </c>
      <c r="K35" s="296"/>
      <c r="L35" s="294">
        <f>+INPUT!CH103</f>
        <v>0</v>
      </c>
      <c r="M35" s="296"/>
      <c r="N35" s="294">
        <f t="shared" si="1"/>
        <v>0</v>
      </c>
      <c r="T35" s="294" t="e">
        <f>IF(+INPUT!#REF!&lt;&gt;0,+INPUT!#REF!,"-  ")</f>
        <v>#REF!</v>
      </c>
    </row>
    <row r="36" spans="1:20" ht="15.75">
      <c r="B36" s="276" t="str">
        <f>INPUT!B104</f>
        <v xml:space="preserve">     Capital Assets:</v>
      </c>
      <c r="C36" s="276"/>
      <c r="D36" s="294"/>
      <c r="E36" s="287"/>
      <c r="F36" s="294"/>
      <c r="G36" s="296"/>
      <c r="H36" s="294"/>
      <c r="I36" s="296"/>
      <c r="J36" s="294"/>
      <c r="K36" s="296"/>
      <c r="L36" s="294"/>
      <c r="M36" s="296"/>
      <c r="N36" s="294"/>
      <c r="T36" s="294"/>
    </row>
    <row r="37" spans="1:20" ht="15.75" hidden="1">
      <c r="A37" s="288" t="s">
        <v>299</v>
      </c>
      <c r="B37" s="276" t="str">
        <f>INPUT!B105</f>
        <v xml:space="preserve">     Land held for resale</v>
      </c>
      <c r="C37" s="276"/>
      <c r="D37" s="294">
        <f>+INPUT!CB105</f>
        <v>0</v>
      </c>
      <c r="E37" s="287"/>
      <c r="F37" s="294">
        <f>+INPUT!CD105</f>
        <v>0</v>
      </c>
      <c r="G37" s="296"/>
      <c r="H37" s="294">
        <f>+INPUT!CE105</f>
        <v>0</v>
      </c>
      <c r="I37" s="296"/>
      <c r="J37" s="294">
        <f>+INPUT!CF105</f>
        <v>0</v>
      </c>
      <c r="K37" s="296"/>
      <c r="L37" s="294">
        <f>+INPUT!CH105</f>
        <v>0</v>
      </c>
      <c r="M37" s="296"/>
      <c r="N37" s="294">
        <f>SUM(C37:L37)</f>
        <v>0</v>
      </c>
      <c r="T37" s="294" t="e">
        <f>IF(+INPUT!#REF!&lt;&gt;0,+INPUT!#REF!,"-  ")</f>
        <v>#REF!</v>
      </c>
    </row>
    <row r="38" spans="1:20" ht="15.75">
      <c r="B38" s="276" t="str">
        <f>INPUT!B107</f>
        <v xml:space="preserve">     Land and construction in progress</v>
      </c>
      <c r="C38" s="276"/>
      <c r="D38" s="294">
        <f>+INPUT!CB107</f>
        <v>0</v>
      </c>
      <c r="E38" s="287"/>
      <c r="F38" s="294">
        <f>+INPUT!CD107</f>
        <v>5396</v>
      </c>
      <c r="G38" s="296"/>
      <c r="H38" s="294">
        <f>+INPUT!CE107</f>
        <v>0</v>
      </c>
      <c r="I38" s="296"/>
      <c r="J38" s="294">
        <f>+INPUT!CF107</f>
        <v>54611</v>
      </c>
      <c r="K38" s="296"/>
      <c r="L38" s="294">
        <f>+INPUT!CH107</f>
        <v>3587</v>
      </c>
      <c r="M38" s="296"/>
      <c r="N38" s="294">
        <f>SUM(C38:L38)</f>
        <v>63594</v>
      </c>
      <c r="T38" s="294">
        <v>0</v>
      </c>
    </row>
    <row r="39" spans="1:20" ht="15.75">
      <c r="B39" s="276" t="str">
        <f>INPUT!B108</f>
        <v xml:space="preserve">     Buildings, improvements, vehicles and equipment (net)</v>
      </c>
      <c r="C39" s="276"/>
      <c r="D39" s="294">
        <f>+INPUT!CB108</f>
        <v>0</v>
      </c>
      <c r="E39" s="287"/>
      <c r="F39" s="294">
        <f>+INPUT!CD108</f>
        <v>3212</v>
      </c>
      <c r="G39" s="296"/>
      <c r="H39" s="294">
        <f>+INPUT!CE108</f>
        <v>136658</v>
      </c>
      <c r="I39" s="296"/>
      <c r="J39" s="294">
        <f>+INPUT!CF108</f>
        <v>0</v>
      </c>
      <c r="K39" s="296"/>
      <c r="L39" s="294">
        <f>+INPUT!CH108</f>
        <v>0</v>
      </c>
      <c r="M39" s="296"/>
      <c r="N39" s="294">
        <f>SUM(C39:L39)</f>
        <v>139870</v>
      </c>
      <c r="T39" s="294"/>
    </row>
    <row r="40" spans="1:20" ht="15.75" customHeight="1">
      <c r="B40" s="276" t="s">
        <v>345</v>
      </c>
      <c r="C40" s="276"/>
      <c r="D40" s="714">
        <f>SUM(D30:D39)</f>
        <v>0</v>
      </c>
      <c r="E40" s="287"/>
      <c r="F40" s="521">
        <f>SUM(F30:F39)</f>
        <v>8608</v>
      </c>
      <c r="G40" s="287"/>
      <c r="H40" s="521">
        <f>SUM(H30:H39)</f>
        <v>136658</v>
      </c>
      <c r="I40" s="287"/>
      <c r="J40" s="521">
        <f>SUM(J30:J39)</f>
        <v>54611</v>
      </c>
      <c r="K40" s="287"/>
      <c r="L40" s="521">
        <f>SUM(L30:L39)</f>
        <v>3587</v>
      </c>
      <c r="M40" s="296"/>
      <c r="N40" s="521">
        <f>SUM(N30:N39)</f>
        <v>203464</v>
      </c>
      <c r="T40" s="294"/>
    </row>
    <row r="41" spans="1:20" ht="15.75" customHeight="1">
      <c r="B41" s="276"/>
      <c r="C41" s="276"/>
      <c r="D41" s="294"/>
      <c r="E41" s="287"/>
      <c r="F41" s="294"/>
      <c r="G41" s="296"/>
      <c r="H41" s="294"/>
      <c r="I41" s="296"/>
      <c r="J41" s="294"/>
      <c r="K41" s="296"/>
      <c r="L41" s="294"/>
      <c r="M41" s="296"/>
      <c r="N41" s="294"/>
      <c r="T41" s="294"/>
    </row>
    <row r="42" spans="1:20" ht="16.5" thickBot="1">
      <c r="B42" s="308" t="s">
        <v>2581</v>
      </c>
      <c r="C42" s="308"/>
      <c r="D42" s="706">
        <f>+D40+D26</f>
        <v>0</v>
      </c>
      <c r="E42" s="287"/>
      <c r="F42" s="301">
        <f>+F40+F26</f>
        <v>49928</v>
      </c>
      <c r="G42" s="314"/>
      <c r="H42" s="301">
        <f>+H40+H26</f>
        <v>183168</v>
      </c>
      <c r="I42" s="314"/>
      <c r="J42" s="301">
        <f>+J40+J26</f>
        <v>1393312</v>
      </c>
      <c r="K42" s="287"/>
      <c r="L42" s="301">
        <f>+L40+L26</f>
        <v>122172</v>
      </c>
      <c r="M42" s="314"/>
      <c r="N42" s="301">
        <f>+N40+N26</f>
        <v>1748580</v>
      </c>
      <c r="T42" s="299" t="e">
        <f>SUM(T15:T40)</f>
        <v>#REF!</v>
      </c>
    </row>
    <row r="43" spans="1:20" ht="16.5" thickTop="1">
      <c r="B43" s="276"/>
      <c r="C43" s="276"/>
      <c r="D43" s="339"/>
      <c r="E43" s="287"/>
      <c r="F43" s="294"/>
      <c r="G43" s="294"/>
      <c r="H43" s="294"/>
      <c r="I43" s="294"/>
      <c r="J43" s="294"/>
      <c r="K43" s="294"/>
      <c r="L43" s="294"/>
      <c r="M43" s="294"/>
      <c r="N43" s="294"/>
      <c r="T43" s="294"/>
    </row>
    <row r="44" spans="1:20" ht="15.75" hidden="1">
      <c r="B44" s="308"/>
      <c r="C44" s="308"/>
      <c r="D44" s="339"/>
      <c r="E44" s="287"/>
      <c r="F44" s="294"/>
      <c r="G44" s="296"/>
      <c r="H44" s="294"/>
      <c r="I44" s="296"/>
      <c r="J44" s="294"/>
      <c r="K44" s="296"/>
      <c r="L44" s="294"/>
      <c r="M44" s="296"/>
      <c r="N44" s="294"/>
      <c r="T44" s="294"/>
    </row>
    <row r="45" spans="1:20" ht="15.75" hidden="1">
      <c r="B45" s="308"/>
      <c r="C45" s="308"/>
      <c r="D45" s="339"/>
      <c r="E45" s="287"/>
      <c r="F45" s="294"/>
      <c r="G45" s="296"/>
      <c r="H45" s="294"/>
      <c r="I45" s="296"/>
      <c r="J45" s="294"/>
      <c r="K45" s="296"/>
      <c r="L45" s="294"/>
      <c r="M45" s="296"/>
      <c r="N45" s="294"/>
      <c r="T45" s="294"/>
    </row>
    <row r="46" spans="1:20" ht="15.75" hidden="1">
      <c r="B46" s="308"/>
      <c r="C46" s="308"/>
      <c r="D46" s="294">
        <v>0</v>
      </c>
      <c r="E46" s="287"/>
      <c r="F46" s="294"/>
      <c r="G46" s="296"/>
      <c r="H46" s="294"/>
      <c r="I46" s="296"/>
      <c r="J46" s="294"/>
      <c r="K46" s="296"/>
      <c r="L46" s="294"/>
      <c r="M46" s="296"/>
      <c r="N46" s="294"/>
      <c r="T46" s="294"/>
    </row>
    <row r="47" spans="1:20" ht="15.75" hidden="1">
      <c r="B47" s="308"/>
      <c r="C47" s="308"/>
      <c r="D47" s="294"/>
      <c r="E47" s="287"/>
      <c r="F47" s="294"/>
      <c r="G47" s="296"/>
      <c r="H47" s="294"/>
      <c r="I47" s="296"/>
      <c r="J47" s="294"/>
      <c r="K47" s="296"/>
      <c r="L47" s="294"/>
      <c r="M47" s="296"/>
      <c r="N47" s="294"/>
      <c r="T47" s="294"/>
    </row>
    <row r="48" spans="1:20" ht="15.75" hidden="1">
      <c r="B48" s="308"/>
      <c r="C48" s="308"/>
      <c r="D48" s="294"/>
      <c r="E48" s="287"/>
      <c r="F48" s="294"/>
      <c r="G48" s="296"/>
      <c r="H48" s="294"/>
      <c r="I48" s="296"/>
      <c r="J48" s="294"/>
      <c r="K48" s="296"/>
      <c r="L48" s="294"/>
      <c r="M48" s="296"/>
      <c r="N48" s="294"/>
      <c r="T48" s="294"/>
    </row>
    <row r="49" spans="1:20" ht="15.75" hidden="1">
      <c r="B49" s="308"/>
      <c r="C49" s="308"/>
      <c r="D49" s="294">
        <v>0</v>
      </c>
      <c r="E49" s="287"/>
      <c r="F49" s="294"/>
      <c r="G49" s="296"/>
      <c r="H49" s="294"/>
      <c r="I49" s="296"/>
      <c r="J49" s="294"/>
      <c r="K49" s="296"/>
      <c r="L49" s="294"/>
      <c r="M49" s="296"/>
      <c r="N49" s="294"/>
      <c r="T49" s="294"/>
    </row>
    <row r="50" spans="1:20" ht="15.75" hidden="1">
      <c r="B50" s="308"/>
      <c r="C50" s="308"/>
      <c r="D50" s="294">
        <v>0</v>
      </c>
      <c r="E50" s="287"/>
      <c r="F50" s="294"/>
      <c r="G50" s="296"/>
      <c r="H50" s="294"/>
      <c r="I50" s="296"/>
      <c r="J50" s="294"/>
      <c r="K50" s="296"/>
      <c r="L50" s="294"/>
      <c r="M50" s="296"/>
      <c r="N50" s="294"/>
      <c r="T50" s="294"/>
    </row>
    <row r="51" spans="1:20" ht="15.75" hidden="1">
      <c r="B51" s="308"/>
      <c r="C51" s="308"/>
      <c r="D51" s="294"/>
      <c r="E51" s="287"/>
      <c r="F51" s="294"/>
      <c r="G51" s="296"/>
      <c r="H51" s="294"/>
      <c r="I51" s="296"/>
      <c r="J51" s="294"/>
      <c r="K51" s="296"/>
      <c r="L51" s="294"/>
      <c r="M51" s="296"/>
      <c r="N51" s="294"/>
      <c r="T51" s="294"/>
    </row>
    <row r="52" spans="1:20" ht="15.75" hidden="1">
      <c r="B52" s="308"/>
      <c r="C52" s="308"/>
      <c r="D52" s="294">
        <v>0</v>
      </c>
      <c r="E52" s="287"/>
      <c r="F52" s="294"/>
      <c r="G52" s="296"/>
      <c r="H52" s="294"/>
      <c r="I52" s="296"/>
      <c r="J52" s="294"/>
      <c r="K52" s="296"/>
      <c r="L52" s="294"/>
      <c r="M52" s="296"/>
      <c r="N52" s="294"/>
      <c r="T52" s="294"/>
    </row>
    <row r="53" spans="1:20" ht="15.75" hidden="1">
      <c r="B53" s="308"/>
      <c r="C53" s="308"/>
      <c r="D53" s="294">
        <v>0</v>
      </c>
      <c r="E53" s="287"/>
      <c r="F53" s="294"/>
      <c r="G53" s="296"/>
      <c r="H53" s="294"/>
      <c r="I53" s="296"/>
      <c r="J53" s="294"/>
      <c r="K53" s="296"/>
      <c r="L53" s="294"/>
      <c r="M53" s="296"/>
      <c r="N53" s="294"/>
      <c r="T53" s="294"/>
    </row>
    <row r="54" spans="1:20" ht="15.75" hidden="1">
      <c r="B54" s="308"/>
      <c r="C54" s="308"/>
      <c r="D54" s="324"/>
      <c r="E54" s="287"/>
      <c r="F54" s="294"/>
      <c r="G54" s="296"/>
      <c r="H54" s="294"/>
      <c r="I54" s="296"/>
      <c r="J54" s="294"/>
      <c r="K54" s="296"/>
      <c r="L54" s="294"/>
      <c r="M54" s="296"/>
      <c r="N54" s="294"/>
      <c r="T54" s="294"/>
    </row>
    <row r="55" spans="1:20" ht="15.75" hidden="1">
      <c r="B55" s="308"/>
      <c r="C55" s="308"/>
      <c r="D55" s="706">
        <f>SUM(D45:D53)</f>
        <v>0</v>
      </c>
      <c r="E55" s="287"/>
      <c r="F55" s="294"/>
      <c r="G55" s="296"/>
      <c r="H55" s="294"/>
      <c r="I55" s="296"/>
      <c r="J55" s="294"/>
      <c r="K55" s="296"/>
      <c r="L55" s="294"/>
      <c r="M55" s="296"/>
      <c r="N55" s="294"/>
      <c r="T55" s="294"/>
    </row>
    <row r="56" spans="1:20" ht="15.75">
      <c r="B56" s="308"/>
      <c r="C56" s="308"/>
      <c r="D56" s="294"/>
      <c r="E56" s="287"/>
      <c r="F56" s="294"/>
      <c r="G56" s="296"/>
      <c r="H56" s="294"/>
      <c r="I56" s="296"/>
      <c r="J56" s="294"/>
      <c r="K56" s="296"/>
      <c r="L56" s="294"/>
      <c r="M56" s="296"/>
      <c r="N56" s="294"/>
      <c r="T56" s="294"/>
    </row>
    <row r="57" spans="1:20" ht="15.75">
      <c r="B57" s="308" t="str">
        <f>INPUT!B130</f>
        <v>LIABILITIES</v>
      </c>
      <c r="C57" s="276"/>
      <c r="D57" s="294"/>
      <c r="E57" s="287"/>
      <c r="F57" s="294"/>
      <c r="G57" s="296"/>
      <c r="H57" s="294"/>
      <c r="I57" s="296"/>
      <c r="J57" s="294"/>
      <c r="K57" s="296"/>
      <c r="L57" s="294"/>
      <c r="M57" s="296"/>
      <c r="N57" s="294"/>
      <c r="T57" s="294"/>
    </row>
    <row r="58" spans="1:20" ht="15.75">
      <c r="B58" s="276" t="str">
        <f>INPUT!B131</f>
        <v>Current liabilities:</v>
      </c>
      <c r="C58" s="276"/>
      <c r="D58" s="294"/>
      <c r="E58" s="287"/>
      <c r="F58" s="294"/>
      <c r="G58" s="296"/>
      <c r="H58" s="294"/>
      <c r="I58" s="296"/>
      <c r="J58" s="294"/>
      <c r="K58" s="296"/>
      <c r="L58" s="294"/>
      <c r="M58" s="296"/>
      <c r="N58" s="294"/>
      <c r="T58" s="294"/>
    </row>
    <row r="59" spans="1:20" ht="15.75">
      <c r="B59" s="276" t="str">
        <f>INPUT!B132</f>
        <v xml:space="preserve">     Accounts payable</v>
      </c>
      <c r="C59" s="276"/>
      <c r="D59" s="294">
        <f>+INPUT!CB132</f>
        <v>0</v>
      </c>
      <c r="E59" s="287"/>
      <c r="F59" s="292">
        <f>+INPUT!CD132</f>
        <v>0</v>
      </c>
      <c r="G59" s="294"/>
      <c r="H59" s="292">
        <f>+INPUT!CE132</f>
        <v>0</v>
      </c>
      <c r="I59" s="294"/>
      <c r="J59" s="292">
        <f>+INPUT!CF132</f>
        <v>97299</v>
      </c>
      <c r="K59" s="294"/>
      <c r="L59" s="292">
        <f>+INPUT!CH132</f>
        <v>0</v>
      </c>
      <c r="M59" s="294"/>
      <c r="N59" s="292">
        <f t="shared" ref="N59:N65" si="2">SUM(C59:L59)</f>
        <v>97299</v>
      </c>
      <c r="T59" s="294">
        <v>2</v>
      </c>
    </row>
    <row r="60" spans="1:20" ht="15.75" hidden="1">
      <c r="B60" s="276" t="str">
        <f>INPUT!B133</f>
        <v xml:space="preserve">     Contracts/loans payable - current</v>
      </c>
      <c r="C60" s="276"/>
      <c r="D60" s="294">
        <f>+INPUT!CB133</f>
        <v>0</v>
      </c>
      <c r="E60" s="287"/>
      <c r="F60" s="294">
        <f>+INPUT!CD133</f>
        <v>0</v>
      </c>
      <c r="G60" s="294"/>
      <c r="H60" s="294">
        <f>+INPUT!CE133</f>
        <v>0</v>
      </c>
      <c r="I60" s="294"/>
      <c r="J60" s="294">
        <f>+INPUT!CF133</f>
        <v>0</v>
      </c>
      <c r="K60" s="294"/>
      <c r="L60" s="294">
        <f>+INPUT!CH133</f>
        <v>0</v>
      </c>
      <c r="M60" s="296"/>
      <c r="N60" s="294">
        <f t="shared" si="2"/>
        <v>0</v>
      </c>
      <c r="T60" s="294">
        <v>0</v>
      </c>
    </row>
    <row r="61" spans="1:20" ht="15.75" hidden="1">
      <c r="A61" s="288" t="s">
        <v>299</v>
      </c>
      <c r="B61" s="276" t="str">
        <f>INPUT!B135</f>
        <v xml:space="preserve">     Due to other funds</v>
      </c>
      <c r="C61" s="276"/>
      <c r="D61" s="294">
        <f>+INPUT!CB135</f>
        <v>0</v>
      </c>
      <c r="E61" s="287"/>
      <c r="F61" s="294">
        <f>+INPUT!CD134</f>
        <v>0</v>
      </c>
      <c r="G61" s="296"/>
      <c r="H61" s="294">
        <f>+INPUT!CF134</f>
        <v>0</v>
      </c>
      <c r="I61" s="296"/>
      <c r="J61" s="294">
        <f>+INPUT!CH134</f>
        <v>0</v>
      </c>
      <c r="K61" s="296"/>
      <c r="L61" s="294">
        <f>+INPUT!CO134</f>
        <v>0</v>
      </c>
      <c r="M61" s="296"/>
      <c r="N61" s="294">
        <f t="shared" si="2"/>
        <v>0</v>
      </c>
      <c r="T61" s="294">
        <v>0</v>
      </c>
    </row>
    <row r="62" spans="1:20" ht="15.75" hidden="1">
      <c r="B62" s="276" t="str">
        <f>INPUT!B157</f>
        <v xml:space="preserve">     Deferred inflows of tax revenues</v>
      </c>
      <c r="C62" s="276"/>
      <c r="D62" s="294">
        <f>+INPUT!CB157</f>
        <v>0</v>
      </c>
      <c r="E62" s="287"/>
      <c r="F62" s="294">
        <f>+INPUT!CD157</f>
        <v>0</v>
      </c>
      <c r="G62" s="296"/>
      <c r="H62" s="294">
        <f>+INPUT!CE157</f>
        <v>0</v>
      </c>
      <c r="I62" s="296"/>
      <c r="J62" s="294">
        <f>+INPUT!CF157</f>
        <v>0</v>
      </c>
      <c r="K62" s="296"/>
      <c r="L62" s="294">
        <f>+INPUT!CH157</f>
        <v>0</v>
      </c>
      <c r="M62" s="296"/>
      <c r="N62" s="294">
        <f t="shared" si="2"/>
        <v>0</v>
      </c>
      <c r="T62" s="294">
        <v>15</v>
      </c>
    </row>
    <row r="63" spans="1:20" ht="15.75" hidden="1">
      <c r="B63" s="276" t="str">
        <f>INPUT!B136</f>
        <v xml:space="preserve">     Advanced lease payments - current</v>
      </c>
      <c r="C63" s="276"/>
      <c r="D63" s="294">
        <f>+INPUT!CB136</f>
        <v>0</v>
      </c>
      <c r="E63" s="287"/>
      <c r="F63" s="294">
        <f>+INPUT!CD136</f>
        <v>0</v>
      </c>
      <c r="G63" s="296"/>
      <c r="H63" s="294">
        <f>+INPUT!CE136</f>
        <v>0</v>
      </c>
      <c r="I63" s="296"/>
      <c r="J63" s="294">
        <f>+INPUT!CF136</f>
        <v>0</v>
      </c>
      <c r="K63" s="296"/>
      <c r="L63" s="294">
        <f>+INPUT!CH136</f>
        <v>0</v>
      </c>
      <c r="M63" s="296"/>
      <c r="N63" s="294">
        <f t="shared" si="2"/>
        <v>0</v>
      </c>
      <c r="T63" s="294">
        <v>0</v>
      </c>
    </row>
    <row r="64" spans="1:20" ht="15.75" hidden="1">
      <c r="B64" s="276" t="str">
        <f>INPUT!B138</f>
        <v xml:space="preserve">     Revenue bonds payable</v>
      </c>
      <c r="C64" s="276"/>
      <c r="D64" s="294">
        <f>+INPUT!CB138</f>
        <v>0</v>
      </c>
      <c r="E64" s="287"/>
      <c r="F64" s="294">
        <f>+INPUT!CD138</f>
        <v>0</v>
      </c>
      <c r="G64" s="296"/>
      <c r="H64" s="294">
        <f>+INPUT!CE138</f>
        <v>0</v>
      </c>
      <c r="I64" s="296"/>
      <c r="J64" s="294">
        <f>+INPUT!CF138</f>
        <v>0</v>
      </c>
      <c r="K64" s="296"/>
      <c r="L64" s="294">
        <f>+INPUT!CH138</f>
        <v>0</v>
      </c>
      <c r="M64" s="296"/>
      <c r="N64" s="294">
        <f t="shared" si="2"/>
        <v>0</v>
      </c>
      <c r="T64" s="294">
        <v>0</v>
      </c>
    </row>
    <row r="65" spans="1:20" ht="15.75">
      <c r="B65" s="276" t="str">
        <f>INPUT!B139</f>
        <v xml:space="preserve">     Landfill postclosure costs payable - current</v>
      </c>
      <c r="C65" s="276"/>
      <c r="D65" s="294">
        <f>+INPUT!CB148</f>
        <v>0</v>
      </c>
      <c r="E65" s="287"/>
      <c r="F65" s="294">
        <f>+INPUT!CD139</f>
        <v>0</v>
      </c>
      <c r="G65" s="296"/>
      <c r="H65" s="294">
        <f>+INPUT!CE139</f>
        <v>0</v>
      </c>
      <c r="I65" s="296"/>
      <c r="J65" s="294">
        <f>+INPUT!CF139</f>
        <v>15300</v>
      </c>
      <c r="K65" s="296"/>
      <c r="L65" s="294">
        <f>+INPUT!CH139</f>
        <v>0</v>
      </c>
      <c r="M65" s="296"/>
      <c r="N65" s="294">
        <f t="shared" si="2"/>
        <v>15300</v>
      </c>
      <c r="T65" s="294">
        <v>0</v>
      </c>
    </row>
    <row r="66" spans="1:20" ht="15.75" hidden="1">
      <c r="A66" s="288" t="s">
        <v>299</v>
      </c>
      <c r="B66" s="276" t="str">
        <f>INPUT!B140</f>
        <v xml:space="preserve">     Claims payable</v>
      </c>
      <c r="C66" s="276"/>
      <c r="D66" s="294">
        <f>+INPUT!CB140</f>
        <v>0</v>
      </c>
      <c r="E66" s="287"/>
      <c r="F66" s="294"/>
      <c r="G66" s="296"/>
      <c r="H66" s="294"/>
      <c r="I66" s="296"/>
      <c r="J66" s="294"/>
      <c r="K66" s="296"/>
      <c r="L66" s="294"/>
      <c r="M66" s="296"/>
      <c r="N66" s="294"/>
      <c r="T66" s="294"/>
    </row>
    <row r="67" spans="1:20" ht="15.75" hidden="1">
      <c r="A67" s="288" t="s">
        <v>299</v>
      </c>
      <c r="B67" s="276" t="str">
        <f>INPUT!B141</f>
        <v xml:space="preserve">     Advances from other funds</v>
      </c>
      <c r="C67" s="276"/>
      <c r="D67" s="294">
        <f>+INPUT!CB141</f>
        <v>0</v>
      </c>
      <c r="E67" s="287"/>
      <c r="F67" s="294">
        <f>+INPUT!CD140</f>
        <v>0</v>
      </c>
      <c r="G67" s="296"/>
      <c r="H67" s="294">
        <f>+INPUT!CF140</f>
        <v>0</v>
      </c>
      <c r="I67" s="296"/>
      <c r="J67" s="294">
        <f>+INPUT!CH140</f>
        <v>0</v>
      </c>
      <c r="K67" s="296"/>
      <c r="L67" s="294">
        <f>+INPUT!CO140</f>
        <v>0</v>
      </c>
      <c r="M67" s="296"/>
      <c r="N67" s="294">
        <f>SUM(C67:L67)</f>
        <v>0</v>
      </c>
      <c r="T67" s="294">
        <v>0</v>
      </c>
    </row>
    <row r="68" spans="1:20" ht="15.75">
      <c r="B68" s="276" t="str">
        <f>INPUT!B149</f>
        <v xml:space="preserve">     Compensated absences payable</v>
      </c>
      <c r="C68" s="276"/>
      <c r="D68" s="294">
        <f>ROUND(+INPUT!CB149*0.1,0)</f>
        <v>0</v>
      </c>
      <c r="E68" s="287"/>
      <c r="F68" s="294">
        <f>ROUND(+INPUT!CD149*0.1,0)</f>
        <v>55</v>
      </c>
      <c r="G68" s="296"/>
      <c r="H68" s="294">
        <f>ROUND(+INPUT!CE149*0.1,0)</f>
        <v>312</v>
      </c>
      <c r="I68" s="296"/>
      <c r="J68" s="294">
        <f>ROUND(+INPUT!CF149*0.1,0)</f>
        <v>0</v>
      </c>
      <c r="K68" s="296"/>
      <c r="L68" s="294">
        <f>ROUND(+INPUT!CH149*0.1,0)</f>
        <v>101</v>
      </c>
      <c r="M68" s="296"/>
      <c r="N68" s="294">
        <f>SUM(C68:L68)</f>
        <v>468</v>
      </c>
      <c r="T68" s="294"/>
    </row>
    <row r="69" spans="1:20" ht="15.75">
      <c r="B69" s="276" t="s">
        <v>1139</v>
      </c>
      <c r="C69" s="276"/>
      <c r="D69" s="714">
        <f>SUM(D59:D68)</f>
        <v>0</v>
      </c>
      <c r="E69" s="287"/>
      <c r="F69" s="521">
        <f>SUM(F59:F68)</f>
        <v>55</v>
      </c>
      <c r="G69" s="296"/>
      <c r="H69" s="521">
        <f>SUM(H59:H68)</f>
        <v>312</v>
      </c>
      <c r="I69" s="296"/>
      <c r="J69" s="521">
        <f>SUM(J59:J68)</f>
        <v>112599</v>
      </c>
      <c r="K69" s="296"/>
      <c r="L69" s="521">
        <f>SUM(L59:L68)</f>
        <v>101</v>
      </c>
      <c r="M69" s="296"/>
      <c r="N69" s="521">
        <f>SUM(N59:N68)</f>
        <v>113067</v>
      </c>
      <c r="T69" s="294"/>
    </row>
    <row r="70" spans="1:20" ht="15.75">
      <c r="B70" s="276"/>
      <c r="C70" s="276"/>
      <c r="D70" s="294"/>
      <c r="E70" s="287"/>
      <c r="F70" s="294"/>
      <c r="G70" s="294"/>
      <c r="H70" s="294"/>
      <c r="I70" s="294"/>
      <c r="J70" s="294"/>
      <c r="K70" s="294"/>
      <c r="L70" s="294"/>
      <c r="M70" s="294"/>
      <c r="N70" s="294"/>
      <c r="T70" s="294"/>
    </row>
    <row r="71" spans="1:20" ht="15.75">
      <c r="B71" s="276" t="str">
        <f>INPUT!B144</f>
        <v>Noncurrent liabilities:</v>
      </c>
      <c r="C71" s="276"/>
      <c r="D71" s="294"/>
      <c r="E71" s="287"/>
      <c r="F71" s="294"/>
      <c r="G71" s="296"/>
      <c r="H71" s="294"/>
      <c r="I71" s="296"/>
      <c r="J71" s="294"/>
      <c r="K71" s="296"/>
      <c r="L71" s="294"/>
      <c r="M71" s="296"/>
      <c r="N71" s="294"/>
      <c r="T71" s="294"/>
    </row>
    <row r="72" spans="1:20" ht="15.75" hidden="1">
      <c r="B72" s="276" t="str">
        <f>INPUT!B145</f>
        <v xml:space="preserve">     Contracts/loans payable</v>
      </c>
      <c r="C72" s="276"/>
      <c r="D72" s="294">
        <f>+INPUT!CB145</f>
        <v>0</v>
      </c>
      <c r="E72" s="287"/>
      <c r="F72" s="294">
        <f>+INPUT!CD145</f>
        <v>0</v>
      </c>
      <c r="G72" s="296"/>
      <c r="H72" s="294">
        <f>+INPUT!CE145</f>
        <v>0</v>
      </c>
      <c r="I72" s="296"/>
      <c r="J72" s="294">
        <f>+INPUT!CF145</f>
        <v>0</v>
      </c>
      <c r="K72" s="296"/>
      <c r="L72" s="294">
        <f>+INPUT!CH145</f>
        <v>0</v>
      </c>
      <c r="M72" s="296"/>
      <c r="N72" s="294">
        <f>SUM(C72:L72)</f>
        <v>0</v>
      </c>
      <c r="T72" s="294">
        <v>0</v>
      </c>
    </row>
    <row r="73" spans="1:20" ht="15.75" hidden="1">
      <c r="B73" s="276" t="str">
        <f>INPUT!B146</f>
        <v xml:space="preserve">     Revenue bonds payable</v>
      </c>
      <c r="C73" s="276"/>
      <c r="D73" s="294">
        <f>+INPUT!CB146</f>
        <v>0</v>
      </c>
      <c r="E73" s="287"/>
      <c r="F73" s="294">
        <f>+INPUT!CD146</f>
        <v>0</v>
      </c>
      <c r="G73" s="296"/>
      <c r="H73" s="294">
        <f>+INPUT!CE146</f>
        <v>0</v>
      </c>
      <c r="I73" s="296"/>
      <c r="J73" s="294">
        <f>+INPUT!CF146</f>
        <v>0</v>
      </c>
      <c r="K73" s="296"/>
      <c r="L73" s="294">
        <f>+INPUT!CH146</f>
        <v>0</v>
      </c>
      <c r="M73" s="296"/>
      <c r="N73" s="294">
        <f>SUM(C73:L73)</f>
        <v>0</v>
      </c>
      <c r="T73" s="294">
        <v>0</v>
      </c>
    </row>
    <row r="74" spans="1:20" ht="15.75" hidden="1">
      <c r="B74" s="276">
        <f>INPUT!B147</f>
        <v>0</v>
      </c>
      <c r="C74" s="276"/>
      <c r="D74" s="294">
        <f>+INPUT!CB147</f>
        <v>0</v>
      </c>
      <c r="E74" s="287"/>
      <c r="F74" s="294">
        <f>+INPUT!CD147</f>
        <v>0</v>
      </c>
      <c r="G74" s="296"/>
      <c r="H74" s="294">
        <f>+INPUT!CE147</f>
        <v>0</v>
      </c>
      <c r="I74" s="296"/>
      <c r="J74" s="294">
        <f>+INPUT!CF147</f>
        <v>0</v>
      </c>
      <c r="K74" s="296"/>
      <c r="L74" s="294">
        <f>+INPUT!CH147</f>
        <v>0</v>
      </c>
      <c r="M74" s="296"/>
      <c r="N74" s="294">
        <f>SUM(C74:L74)</f>
        <v>0</v>
      </c>
      <c r="T74" s="294">
        <v>0</v>
      </c>
    </row>
    <row r="75" spans="1:20" ht="15.75">
      <c r="B75" s="276" t="str">
        <f>INPUT!B148</f>
        <v xml:space="preserve">     Landfill postclosure costs payable</v>
      </c>
      <c r="C75" s="276"/>
      <c r="D75" s="294">
        <f>+INPUT!CB148</f>
        <v>0</v>
      </c>
      <c r="E75" s="287"/>
      <c r="F75" s="294">
        <f>+INPUT!CD148</f>
        <v>0</v>
      </c>
      <c r="G75" s="296"/>
      <c r="H75" s="294">
        <f>+INPUT!CE148</f>
        <v>0</v>
      </c>
      <c r="I75" s="296"/>
      <c r="J75" s="294">
        <f>+INPUT!CF148</f>
        <v>11475</v>
      </c>
      <c r="K75" s="296"/>
      <c r="L75" s="294">
        <f>+INPUT!CH148</f>
        <v>0</v>
      </c>
      <c r="M75" s="296"/>
      <c r="N75" s="294">
        <f>SUM(C75:L75)</f>
        <v>11475</v>
      </c>
      <c r="T75" s="294">
        <v>0</v>
      </c>
    </row>
    <row r="76" spans="1:20" ht="15.75">
      <c r="B76" s="276" t="str">
        <f>INPUT!B149</f>
        <v xml:space="preserve">     Compensated absences payable</v>
      </c>
      <c r="C76" s="276"/>
      <c r="D76" s="294">
        <f>+INPUT!CB149-D68</f>
        <v>0</v>
      </c>
      <c r="E76" s="287"/>
      <c r="F76" s="294">
        <f>+INPUT!CD149-F68</f>
        <v>493</v>
      </c>
      <c r="G76" s="296"/>
      <c r="H76" s="294">
        <f>+INPUT!CE149-H68</f>
        <v>2803</v>
      </c>
      <c r="I76" s="296"/>
      <c r="J76" s="294">
        <f>+INPUT!CF149-J68</f>
        <v>0</v>
      </c>
      <c r="K76" s="296"/>
      <c r="L76" s="294">
        <f>+INPUT!CH149-L68</f>
        <v>908</v>
      </c>
      <c r="M76" s="296"/>
      <c r="N76" s="294">
        <f>SUM(C76:L76)</f>
        <v>4204</v>
      </c>
      <c r="T76" s="294">
        <v>0</v>
      </c>
    </row>
    <row r="77" spans="1:20" ht="15.75" hidden="1">
      <c r="B77" s="276"/>
      <c r="C77" s="276"/>
      <c r="D77" s="294">
        <f>+INPUT!CB150</f>
        <v>0</v>
      </c>
      <c r="E77" s="287"/>
      <c r="F77" s="294"/>
      <c r="G77" s="296"/>
      <c r="H77" s="294"/>
      <c r="I77" s="296"/>
      <c r="J77" s="294"/>
      <c r="K77" s="296"/>
      <c r="L77" s="294"/>
      <c r="M77" s="296"/>
      <c r="N77" s="294"/>
      <c r="T77" s="294"/>
    </row>
    <row r="78" spans="1:20" ht="15.75" hidden="1">
      <c r="B78" s="276"/>
      <c r="C78" s="276"/>
      <c r="D78" s="294">
        <f>+INPUT!CB151</f>
        <v>0</v>
      </c>
      <c r="E78" s="287"/>
      <c r="F78" s="294"/>
      <c r="G78" s="296"/>
      <c r="H78" s="294"/>
      <c r="I78" s="296"/>
      <c r="J78" s="294"/>
      <c r="K78" s="296"/>
      <c r="L78" s="294"/>
      <c r="M78" s="296"/>
      <c r="N78" s="294"/>
      <c r="T78" s="294"/>
    </row>
    <row r="79" spans="1:20" ht="15.75">
      <c r="B79" s="276" t="s">
        <v>41</v>
      </c>
      <c r="C79" s="308"/>
      <c r="D79" s="714">
        <f>SUM(D72:D78)</f>
        <v>0</v>
      </c>
      <c r="E79" s="287"/>
      <c r="F79" s="521">
        <f>SUM(F72:F76)</f>
        <v>493</v>
      </c>
      <c r="G79" s="296"/>
      <c r="H79" s="521">
        <f>SUM(H72:H76)</f>
        <v>2803</v>
      </c>
      <c r="I79" s="296"/>
      <c r="J79" s="521">
        <f>SUM(J72:J76)</f>
        <v>11475</v>
      </c>
      <c r="K79" s="296"/>
      <c r="L79" s="521">
        <f>SUM(L72:L76)</f>
        <v>908</v>
      </c>
      <c r="M79" s="296"/>
      <c r="N79" s="521">
        <f>SUM(N72:N76)</f>
        <v>15679</v>
      </c>
      <c r="T79" s="337"/>
    </row>
    <row r="80" spans="1:20" ht="15.75">
      <c r="B80" s="276"/>
      <c r="D80" s="294"/>
      <c r="E80" s="287"/>
      <c r="F80" s="294"/>
      <c r="G80" s="294"/>
      <c r="H80" s="294"/>
      <c r="I80" s="294"/>
      <c r="J80" s="294"/>
      <c r="K80" s="294"/>
      <c r="L80" s="294"/>
      <c r="M80" s="294"/>
      <c r="N80" s="294"/>
      <c r="T80" s="294"/>
    </row>
    <row r="81" spans="2:20" ht="15.75">
      <c r="B81" s="308" t="s">
        <v>1141</v>
      </c>
      <c r="D81" s="706">
        <f>+D79+D69</f>
        <v>0</v>
      </c>
      <c r="E81" s="287"/>
      <c r="F81" s="301">
        <f>+F79+F69</f>
        <v>548</v>
      </c>
      <c r="G81" s="314"/>
      <c r="H81" s="301">
        <f>+H79+H69</f>
        <v>3115</v>
      </c>
      <c r="I81" s="314"/>
      <c r="J81" s="301">
        <f>+J79+J69</f>
        <v>124074</v>
      </c>
      <c r="K81" s="314"/>
      <c r="L81" s="301">
        <f>+L79+L69</f>
        <v>1009</v>
      </c>
      <c r="M81" s="314"/>
      <c r="N81" s="301">
        <f>+N79+N69</f>
        <v>128746</v>
      </c>
      <c r="T81" s="301">
        <f>SUM(T59:T76)</f>
        <v>17</v>
      </c>
    </row>
    <row r="82" spans="2:20" ht="15.75" hidden="1">
      <c r="B82" s="308"/>
      <c r="D82" s="294"/>
      <c r="E82" s="287"/>
      <c r="F82" s="300"/>
      <c r="G82" s="300"/>
      <c r="H82" s="300"/>
      <c r="I82" s="300"/>
      <c r="J82" s="300"/>
      <c r="K82" s="300"/>
      <c r="L82" s="300"/>
      <c r="M82" s="300"/>
      <c r="N82" s="300"/>
      <c r="T82" s="300"/>
    </row>
    <row r="83" spans="2:20" ht="15.75" hidden="1">
      <c r="B83" s="308"/>
      <c r="D83" s="294"/>
      <c r="E83" s="287"/>
      <c r="F83" s="300"/>
      <c r="G83" s="314"/>
      <c r="H83" s="300"/>
      <c r="I83" s="314"/>
      <c r="J83" s="300"/>
      <c r="K83" s="314"/>
      <c r="L83" s="300"/>
      <c r="M83" s="314"/>
      <c r="N83" s="300"/>
      <c r="T83" s="300"/>
    </row>
    <row r="84" spans="2:20" ht="15.75" hidden="1">
      <c r="B84" s="276" t="str">
        <f>INPUT!B157</f>
        <v xml:space="preserve">     Deferred inflows of tax revenues</v>
      </c>
      <c r="D84" s="294"/>
      <c r="E84" s="287"/>
      <c r="F84" s="300"/>
      <c r="G84" s="314"/>
      <c r="H84" s="300"/>
      <c r="I84" s="314"/>
      <c r="J84" s="300"/>
      <c r="K84" s="314"/>
      <c r="L84" s="300"/>
      <c r="M84" s="314"/>
      <c r="N84" s="300"/>
      <c r="T84" s="300"/>
    </row>
    <row r="85" spans="2:20" ht="15.75" hidden="1">
      <c r="B85" s="276" t="str">
        <f>INPUT!B158</f>
        <v xml:space="preserve">     Deferred inflows related to leases</v>
      </c>
      <c r="D85" s="294"/>
      <c r="E85" s="287"/>
      <c r="F85" s="292">
        <f>+INPUT!CD158</f>
        <v>0</v>
      </c>
      <c r="G85" s="314"/>
      <c r="H85" s="292">
        <f>+INPUT!CE158</f>
        <v>0</v>
      </c>
      <c r="I85" s="314"/>
      <c r="J85" s="292">
        <f>+INPUT!CF158</f>
        <v>0</v>
      </c>
      <c r="K85" s="314"/>
      <c r="L85" s="292">
        <f>+INPUT!CH158</f>
        <v>0</v>
      </c>
      <c r="M85" s="314"/>
      <c r="N85" s="294">
        <f>SUM(C85:L85)</f>
        <v>0</v>
      </c>
      <c r="T85" s="300"/>
    </row>
    <row r="86" spans="2:20" ht="15.75" hidden="1">
      <c r="B86" s="276"/>
      <c r="D86" s="294"/>
      <c r="E86" s="287"/>
      <c r="F86" s="300"/>
      <c r="G86" s="314"/>
      <c r="H86" s="300"/>
      <c r="I86" s="314"/>
      <c r="J86" s="300"/>
      <c r="K86" s="314"/>
      <c r="L86" s="300"/>
      <c r="M86" s="314"/>
      <c r="N86" s="300"/>
      <c r="T86" s="300"/>
    </row>
    <row r="87" spans="2:20" ht="15.75" hidden="1">
      <c r="B87" s="308"/>
      <c r="D87" s="294">
        <v>0</v>
      </c>
      <c r="E87" s="287"/>
      <c r="F87" s="300"/>
      <c r="G87" s="314"/>
      <c r="H87" s="300"/>
      <c r="I87" s="314"/>
      <c r="J87" s="300"/>
      <c r="K87" s="314"/>
      <c r="L87" s="300"/>
      <c r="M87" s="314"/>
      <c r="N87" s="300"/>
      <c r="T87" s="300"/>
    </row>
    <row r="88" spans="2:20" ht="15.75" hidden="1">
      <c r="B88" s="308"/>
      <c r="D88" s="294"/>
      <c r="E88" s="287"/>
      <c r="F88" s="300"/>
      <c r="G88" s="314"/>
      <c r="H88" s="300"/>
      <c r="I88" s="314"/>
      <c r="J88" s="300"/>
      <c r="K88" s="314"/>
      <c r="L88" s="300"/>
      <c r="M88" s="314"/>
      <c r="N88" s="300"/>
      <c r="T88" s="300"/>
    </row>
    <row r="89" spans="2:20" ht="15.75" hidden="1">
      <c r="B89" s="308"/>
      <c r="D89" s="294">
        <v>0</v>
      </c>
      <c r="E89" s="287"/>
      <c r="F89" s="300"/>
      <c r="G89" s="314"/>
      <c r="H89" s="300"/>
      <c r="I89" s="314"/>
      <c r="J89" s="300"/>
      <c r="K89" s="314"/>
      <c r="L89" s="300"/>
      <c r="M89" s="314"/>
      <c r="N89" s="300"/>
      <c r="T89" s="300"/>
    </row>
    <row r="90" spans="2:20" ht="15.75" hidden="1">
      <c r="B90" s="308"/>
      <c r="D90" s="294"/>
      <c r="E90" s="287"/>
      <c r="F90" s="300"/>
      <c r="G90" s="314"/>
      <c r="H90" s="300"/>
      <c r="I90" s="314"/>
      <c r="J90" s="300"/>
      <c r="K90" s="314"/>
      <c r="L90" s="300"/>
      <c r="M90" s="314"/>
      <c r="N90" s="300"/>
      <c r="T90" s="300"/>
    </row>
    <row r="91" spans="2:20" ht="15.75" hidden="1">
      <c r="B91" s="308"/>
      <c r="D91" s="294">
        <v>0</v>
      </c>
      <c r="E91" s="287"/>
      <c r="F91" s="300"/>
      <c r="G91" s="314"/>
      <c r="H91" s="300"/>
      <c r="I91" s="314"/>
      <c r="J91" s="300"/>
      <c r="K91" s="314"/>
      <c r="L91" s="300"/>
      <c r="M91" s="314"/>
      <c r="N91" s="300"/>
      <c r="T91" s="300"/>
    </row>
    <row r="92" spans="2:20" ht="15.75" hidden="1">
      <c r="B92" s="308"/>
      <c r="D92" s="294"/>
      <c r="E92" s="287"/>
      <c r="F92" s="300"/>
      <c r="G92" s="314"/>
      <c r="H92" s="300"/>
      <c r="I92" s="314"/>
      <c r="J92" s="300"/>
      <c r="K92" s="314"/>
      <c r="L92" s="300"/>
      <c r="M92" s="314"/>
      <c r="N92" s="300"/>
      <c r="T92" s="300"/>
    </row>
    <row r="93" spans="2:20" ht="15.75" hidden="1">
      <c r="B93" s="308"/>
      <c r="D93" s="294">
        <v>0</v>
      </c>
      <c r="E93" s="287"/>
      <c r="F93" s="300"/>
      <c r="G93" s="314"/>
      <c r="H93" s="300"/>
      <c r="I93" s="314"/>
      <c r="J93" s="300"/>
      <c r="K93" s="314"/>
      <c r="L93" s="300"/>
      <c r="M93" s="314"/>
      <c r="N93" s="300"/>
      <c r="T93" s="300"/>
    </row>
    <row r="94" spans="2:20" ht="15.75" hidden="1">
      <c r="B94" s="308"/>
      <c r="D94" s="294"/>
      <c r="E94" s="287"/>
      <c r="F94" s="300"/>
      <c r="G94" s="314"/>
      <c r="H94" s="300"/>
      <c r="I94" s="314"/>
      <c r="J94" s="300"/>
      <c r="K94" s="314"/>
      <c r="L94" s="300"/>
      <c r="M94" s="314"/>
      <c r="N94" s="300"/>
      <c r="T94" s="300"/>
    </row>
    <row r="95" spans="2:20" ht="15.75" hidden="1">
      <c r="B95" s="308"/>
      <c r="D95" s="294"/>
      <c r="E95" s="287"/>
      <c r="F95" s="300"/>
      <c r="G95" s="314"/>
      <c r="H95" s="300"/>
      <c r="I95" s="314"/>
      <c r="J95" s="300"/>
      <c r="K95" s="314"/>
      <c r="L95" s="300"/>
      <c r="M95" s="314"/>
      <c r="N95" s="300"/>
      <c r="T95" s="300"/>
    </row>
    <row r="96" spans="2:20" ht="15.75" hidden="1">
      <c r="B96" s="308"/>
      <c r="D96" s="294"/>
      <c r="E96" s="287"/>
      <c r="F96" s="300"/>
      <c r="G96" s="314"/>
      <c r="H96" s="300"/>
      <c r="I96" s="314"/>
      <c r="J96" s="300"/>
      <c r="K96" s="314"/>
      <c r="L96" s="300"/>
      <c r="M96" s="314"/>
      <c r="N96" s="300"/>
      <c r="T96" s="300"/>
    </row>
    <row r="97" spans="1:20" ht="15.75" hidden="1">
      <c r="B97" s="308"/>
      <c r="D97" s="318">
        <v>0</v>
      </c>
      <c r="E97" s="287"/>
      <c r="F97" s="300"/>
      <c r="G97" s="314"/>
      <c r="H97" s="300"/>
      <c r="I97" s="314"/>
      <c r="J97" s="300"/>
      <c r="K97" s="314"/>
      <c r="L97" s="300"/>
      <c r="M97" s="314"/>
      <c r="N97" s="300"/>
      <c r="T97" s="300"/>
    </row>
    <row r="98" spans="1:20" ht="15.75" hidden="1">
      <c r="B98" s="308"/>
      <c r="D98" s="294"/>
      <c r="E98" s="287"/>
      <c r="F98" s="300"/>
      <c r="G98" s="314"/>
      <c r="H98" s="300"/>
      <c r="I98" s="314"/>
      <c r="J98" s="300"/>
      <c r="K98" s="314"/>
      <c r="L98" s="300"/>
      <c r="M98" s="314"/>
      <c r="N98" s="300"/>
      <c r="T98" s="300"/>
    </row>
    <row r="99" spans="1:20" ht="15.75" hidden="1">
      <c r="B99" s="308"/>
      <c r="D99" s="706">
        <f>SUM(D84:D97)</f>
        <v>0</v>
      </c>
      <c r="E99" s="287"/>
      <c r="F99" s="300"/>
      <c r="G99" s="314"/>
      <c r="H99" s="300"/>
      <c r="I99" s="314"/>
      <c r="J99" s="300"/>
      <c r="K99" s="314"/>
      <c r="L99" s="300"/>
      <c r="M99" s="314"/>
      <c r="N99" s="300"/>
      <c r="T99" s="300"/>
    </row>
    <row r="100" spans="1:20" ht="15.75" hidden="1">
      <c r="B100" s="276"/>
      <c r="C100" s="276"/>
      <c r="D100" s="294"/>
      <c r="E100" s="287"/>
      <c r="F100" s="294"/>
      <c r="G100" s="296"/>
      <c r="H100" s="294"/>
      <c r="I100" s="296"/>
      <c r="J100" s="294"/>
      <c r="K100" s="296"/>
      <c r="L100" s="294"/>
      <c r="M100" s="296"/>
      <c r="N100" s="294"/>
      <c r="T100" s="294"/>
    </row>
    <row r="101" spans="1:20" ht="15.75">
      <c r="B101" s="308" t="str">
        <f>+INPUT!B175</f>
        <v>NET POSITION</v>
      </c>
      <c r="C101" s="276"/>
      <c r="D101" s="294"/>
      <c r="E101" s="287"/>
      <c r="F101" s="294"/>
      <c r="G101" s="296"/>
      <c r="H101" s="294"/>
      <c r="I101" s="296"/>
      <c r="J101" s="294"/>
      <c r="K101" s="296"/>
      <c r="L101" s="294"/>
      <c r="M101" s="296"/>
      <c r="N101" s="294"/>
      <c r="T101" s="294"/>
    </row>
    <row r="102" spans="1:20" ht="15.75" hidden="1">
      <c r="B102" s="276" t="str">
        <f>INPUT!B178</f>
        <v xml:space="preserve">     Contributed capital</v>
      </c>
      <c r="C102" s="276"/>
      <c r="D102" s="294">
        <f>+INPUT!CB178</f>
        <v>0</v>
      </c>
      <c r="E102" s="287"/>
      <c r="F102" s="294">
        <f>INPUT!CD178</f>
        <v>0</v>
      </c>
      <c r="G102" s="296"/>
      <c r="H102" s="294">
        <f>+INPUT!CE178</f>
        <v>0</v>
      </c>
      <c r="I102" s="296"/>
      <c r="J102" s="294">
        <f>+INPUT!CF178</f>
        <v>0</v>
      </c>
      <c r="K102" s="296"/>
      <c r="L102" s="294">
        <f>+INPUT!CH178</f>
        <v>0</v>
      </c>
      <c r="M102" s="296"/>
      <c r="N102" s="294">
        <f t="shared" ref="N102:N108" si="3">SUM(C102:L102)</f>
        <v>0</v>
      </c>
      <c r="T102" s="294">
        <v>0</v>
      </c>
    </row>
    <row r="103" spans="1:20" ht="15.75">
      <c r="B103" s="276" t="str">
        <f>+INPUT!B176</f>
        <v xml:space="preserve">     Net investment in capital assets</v>
      </c>
      <c r="C103" s="276"/>
      <c r="D103" s="294">
        <f>+INPUT!CB176</f>
        <v>0</v>
      </c>
      <c r="E103" s="287"/>
      <c r="F103" s="294">
        <f>INPUT!CD176</f>
        <v>8608</v>
      </c>
      <c r="G103" s="296"/>
      <c r="H103" s="294">
        <f>+INPUT!CE176</f>
        <v>136658</v>
      </c>
      <c r="I103" s="296"/>
      <c r="J103" s="294">
        <f>+INPUT!CF176</f>
        <v>54611</v>
      </c>
      <c r="K103" s="296"/>
      <c r="L103" s="294">
        <f>+INPUT!CH176</f>
        <v>3587</v>
      </c>
      <c r="M103" s="296"/>
      <c r="N103" s="294">
        <f t="shared" si="3"/>
        <v>203464</v>
      </c>
      <c r="P103" s="288">
        <f>SUM(N38:N39)</f>
        <v>203464</v>
      </c>
      <c r="T103" s="294"/>
    </row>
    <row r="104" spans="1:20" ht="15.75" hidden="1">
      <c r="B104" s="276" t="str">
        <f>INPUT!B181</f>
        <v xml:space="preserve">     Restricted for bond reserve</v>
      </c>
      <c r="C104" s="276"/>
      <c r="D104" s="294">
        <f>+INPUT!CB181</f>
        <v>0</v>
      </c>
      <c r="E104" s="287"/>
      <c r="F104" s="294">
        <f>INPUT!CD181</f>
        <v>0</v>
      </c>
      <c r="G104" s="296"/>
      <c r="H104" s="294">
        <f>+INPUT!CE181</f>
        <v>0</v>
      </c>
      <c r="I104" s="296"/>
      <c r="J104" s="294">
        <f>+INPUT!CF181</f>
        <v>0</v>
      </c>
      <c r="K104" s="296"/>
      <c r="L104" s="294">
        <f>+INPUT!CH181</f>
        <v>0</v>
      </c>
      <c r="M104" s="296"/>
      <c r="N104" s="294">
        <f t="shared" si="3"/>
        <v>0</v>
      </c>
      <c r="T104" s="294">
        <v>0</v>
      </c>
    </row>
    <row r="105" spans="1:20" ht="15.75" hidden="1">
      <c r="B105" s="276" t="str">
        <f>INPUT!B182</f>
        <v xml:space="preserve">     Restricted for debt service</v>
      </c>
      <c r="C105" s="276"/>
      <c r="D105" s="294">
        <f>+INPUT!CB182</f>
        <v>0</v>
      </c>
      <c r="E105" s="287"/>
      <c r="F105" s="294">
        <f>+INPUT!CD182</f>
        <v>0</v>
      </c>
      <c r="G105" s="296"/>
      <c r="H105" s="294">
        <f>+INPUT!CE182</f>
        <v>0</v>
      </c>
      <c r="I105" s="296"/>
      <c r="J105" s="294">
        <f>+INPUT!CF182</f>
        <v>0</v>
      </c>
      <c r="K105" s="296"/>
      <c r="L105" s="294">
        <f>+INPUT!CH182</f>
        <v>0</v>
      </c>
      <c r="M105" s="296"/>
      <c r="N105" s="294">
        <f t="shared" si="3"/>
        <v>0</v>
      </c>
      <c r="T105" s="294">
        <v>0</v>
      </c>
    </row>
    <row r="106" spans="1:20" ht="15.75" hidden="1">
      <c r="B106" s="276" t="str">
        <f>INPUT!B183</f>
        <v xml:space="preserve">     Restricted for construction</v>
      </c>
      <c r="C106" s="276"/>
      <c r="D106" s="294">
        <f>+INPUT!CB183</f>
        <v>0</v>
      </c>
      <c r="E106" s="287"/>
      <c r="F106" s="294">
        <f>+INPUT!CD183</f>
        <v>0</v>
      </c>
      <c r="G106" s="296"/>
      <c r="H106" s="294">
        <f>INPUT!CE183</f>
        <v>0</v>
      </c>
      <c r="I106" s="296"/>
      <c r="J106" s="294">
        <f>+INPUT!CF183</f>
        <v>0</v>
      </c>
      <c r="K106" s="296"/>
      <c r="L106" s="294">
        <f>+INPUT!CH183</f>
        <v>0</v>
      </c>
      <c r="M106" s="296"/>
      <c r="N106" s="294">
        <f t="shared" si="3"/>
        <v>0</v>
      </c>
      <c r="T106" s="294">
        <v>0</v>
      </c>
    </row>
    <row r="107" spans="1:20" ht="15.75" hidden="1">
      <c r="A107" s="288" t="s">
        <v>299</v>
      </c>
      <c r="B107" s="276" t="str">
        <f>INPUT!B184</f>
        <v xml:space="preserve">     Restricted for other purposes</v>
      </c>
      <c r="C107" s="276"/>
      <c r="D107" s="294">
        <f>+INPUT!CB184</f>
        <v>0</v>
      </c>
      <c r="E107" s="287"/>
      <c r="F107" s="294">
        <f>+INPUT!CD184</f>
        <v>0</v>
      </c>
      <c r="G107" s="296"/>
      <c r="H107" s="294">
        <f>INPUT!CE184</f>
        <v>0</v>
      </c>
      <c r="I107" s="296"/>
      <c r="J107" s="294">
        <f>+INPUT!CF184</f>
        <v>0</v>
      </c>
      <c r="K107" s="296"/>
      <c r="L107" s="294">
        <f>+INPUT!CH184</f>
        <v>0</v>
      </c>
      <c r="M107" s="296"/>
      <c r="N107" s="294">
        <f t="shared" si="3"/>
        <v>0</v>
      </c>
      <c r="T107" s="294"/>
    </row>
    <row r="108" spans="1:20" ht="15.75">
      <c r="B108" s="276" t="str">
        <f>INPUT!B185</f>
        <v xml:space="preserve">     Unrestricted</v>
      </c>
      <c r="C108" s="276"/>
      <c r="D108" s="294">
        <f>+INPUT!CB185</f>
        <v>0</v>
      </c>
      <c r="E108" s="287"/>
      <c r="F108" s="294">
        <f>+INPUT!CD185</f>
        <v>40772</v>
      </c>
      <c r="G108" s="296"/>
      <c r="H108" s="294">
        <f>+INPUT!CE185</f>
        <v>43395</v>
      </c>
      <c r="I108" s="296"/>
      <c r="J108" s="294">
        <f>+INPUT!CF185</f>
        <v>1214627</v>
      </c>
      <c r="K108" s="296"/>
      <c r="L108" s="294">
        <f>+INPUT!CH185</f>
        <v>117576</v>
      </c>
      <c r="M108" s="296"/>
      <c r="N108" s="294">
        <f t="shared" si="3"/>
        <v>1416370</v>
      </c>
      <c r="T108" s="294">
        <f>5+10-3-2</f>
        <v>10</v>
      </c>
    </row>
    <row r="109" spans="1:20" ht="15.75">
      <c r="B109" s="276"/>
      <c r="C109" s="276"/>
      <c r="D109" s="337"/>
      <c r="E109" s="287"/>
      <c r="F109" s="337"/>
      <c r="G109" s="296"/>
      <c r="H109" s="337"/>
      <c r="I109" s="296"/>
      <c r="J109" s="337"/>
      <c r="K109" s="296"/>
      <c r="L109" s="337"/>
      <c r="M109" s="296"/>
      <c r="N109" s="337"/>
      <c r="T109" s="337"/>
    </row>
    <row r="110" spans="1:20" ht="16.5" thickBot="1">
      <c r="B110" s="308" t="s">
        <v>2582</v>
      </c>
      <c r="C110" s="308"/>
      <c r="D110" s="703">
        <f>SUM(D102:D109)</f>
        <v>0</v>
      </c>
      <c r="E110" s="287"/>
      <c r="F110" s="302">
        <f>SUM(F102:F109)</f>
        <v>49380</v>
      </c>
      <c r="G110" s="326"/>
      <c r="H110" s="302">
        <f>SUM(H102:H109)</f>
        <v>180053</v>
      </c>
      <c r="I110" s="296"/>
      <c r="J110" s="302">
        <f>SUM(J102:J109)</f>
        <v>1269238</v>
      </c>
      <c r="K110" s="326"/>
      <c r="L110" s="302">
        <f>SUM(L102:L109)</f>
        <v>121163</v>
      </c>
      <c r="M110" s="326"/>
      <c r="N110" s="302">
        <f>SUM(N102:N109)</f>
        <v>1619834</v>
      </c>
      <c r="T110" s="301">
        <f>SUM(T102:T109)</f>
        <v>10</v>
      </c>
    </row>
    <row r="111" spans="1:20" ht="16.5" thickTop="1">
      <c r="B111" s="276"/>
      <c r="C111" s="276"/>
      <c r="D111" s="303"/>
      <c r="E111" s="287"/>
      <c r="F111" s="303"/>
      <c r="G111" s="303"/>
      <c r="H111" s="303"/>
      <c r="I111" s="303"/>
      <c r="J111" s="303"/>
      <c r="K111" s="303"/>
      <c r="L111" s="303"/>
      <c r="M111" s="303"/>
      <c r="N111" s="303"/>
      <c r="T111" s="303"/>
    </row>
    <row r="112" spans="1:20" ht="15.75">
      <c r="B112" s="276"/>
      <c r="C112" s="276"/>
      <c r="D112" s="303"/>
      <c r="E112" s="287"/>
      <c r="F112" s="303"/>
      <c r="G112" s="276"/>
      <c r="H112" s="303"/>
      <c r="I112" s="276"/>
      <c r="J112" s="303"/>
      <c r="K112" s="276"/>
      <c r="L112" s="303"/>
      <c r="M112" s="276"/>
      <c r="N112" s="303"/>
      <c r="T112" s="303"/>
    </row>
    <row r="113" spans="2:20" ht="16.5" thickBot="1">
      <c r="B113" s="308" t="s">
        <v>1676</v>
      </c>
      <c r="C113" s="308"/>
      <c r="D113" s="302">
        <f>SUM(D81+D99+D110)</f>
        <v>0</v>
      </c>
      <c r="E113" s="287"/>
      <c r="F113" s="302">
        <f>SUM(F81+F110)</f>
        <v>49928</v>
      </c>
      <c r="G113" s="326"/>
      <c r="H113" s="302">
        <f>SUM(H81+H110)</f>
        <v>183168</v>
      </c>
      <c r="I113" s="326"/>
      <c r="J113" s="302">
        <f>SUM(J81+J110)</f>
        <v>1393312</v>
      </c>
      <c r="K113" s="326"/>
      <c r="L113" s="302">
        <f>SUM(L81+L110)</f>
        <v>122172</v>
      </c>
      <c r="M113" s="326"/>
      <c r="N113" s="302">
        <f>SUM(N81+N110)</f>
        <v>1748580</v>
      </c>
      <c r="P113" s="288">
        <f>SUM(F113:L113)</f>
        <v>1748580</v>
      </c>
      <c r="T113" s="302">
        <f>SUM(T81+T110)</f>
        <v>27</v>
      </c>
    </row>
    <row r="114" spans="2:20" ht="16.5" thickTop="1">
      <c r="B114" s="276"/>
      <c r="C114" s="303"/>
      <c r="D114" s="303"/>
      <c r="E114" s="287"/>
      <c r="F114" s="303"/>
      <c r="G114" s="303"/>
      <c r="H114" s="303"/>
      <c r="I114" s="303"/>
      <c r="J114" s="303"/>
      <c r="K114" s="303"/>
      <c r="L114" s="303"/>
      <c r="M114" s="303"/>
      <c r="N114" s="303"/>
    </row>
    <row r="115" spans="2:20" ht="15.75">
      <c r="E115" s="287"/>
    </row>
    <row r="116" spans="2:20" ht="15.75">
      <c r="D116" s="288">
        <f>+D42+D55-D113</f>
        <v>0</v>
      </c>
      <c r="E116" s="287"/>
      <c r="F116" s="288">
        <f>+F42-F113</f>
        <v>0</v>
      </c>
      <c r="G116" s="287"/>
      <c r="H116" s="288">
        <f>+H42-H113</f>
        <v>0</v>
      </c>
      <c r="J116" s="288">
        <f>+J42-J113</f>
        <v>0</v>
      </c>
      <c r="K116" s="287"/>
      <c r="L116" s="288">
        <f>+L42-L113</f>
        <v>0</v>
      </c>
      <c r="M116" s="287"/>
      <c r="N116" s="288">
        <f>+N42-N113</f>
        <v>0</v>
      </c>
    </row>
    <row r="117" spans="2:20" ht="15.75">
      <c r="D117" s="288">
        <f>+'ENT IS'!D65</f>
        <v>0</v>
      </c>
      <c r="E117" s="287"/>
      <c r="F117" s="288">
        <f>+'ENT IS'!F65</f>
        <v>49380</v>
      </c>
      <c r="G117" s="287"/>
      <c r="H117" s="288">
        <f>+'ENT IS'!H65</f>
        <v>180053</v>
      </c>
      <c r="J117" s="288">
        <f>+'ENT IS'!J65</f>
        <v>1269238</v>
      </c>
      <c r="K117" s="287"/>
      <c r="L117" s="288">
        <f>+'ENT IS'!L65</f>
        <v>121163</v>
      </c>
      <c r="M117" s="287"/>
      <c r="N117" s="288">
        <f>+'ENT IS'!N65</f>
        <v>1619834</v>
      </c>
    </row>
    <row r="118" spans="2:20" ht="15.75">
      <c r="D118" s="288">
        <f>+D117-SUM(D103:D108)</f>
        <v>0</v>
      </c>
      <c r="E118" s="287"/>
      <c r="F118" s="288">
        <f>+F117-SUM(F103:F108)</f>
        <v>0</v>
      </c>
      <c r="G118" s="287"/>
      <c r="H118" s="288">
        <f>+H117-SUM(H103:H108)</f>
        <v>0</v>
      </c>
      <c r="J118" s="288">
        <f>+J117-SUM(J103:J108)</f>
        <v>0</v>
      </c>
      <c r="K118" s="287"/>
      <c r="L118" s="288">
        <f>+L117-SUM(L103:L108)</f>
        <v>0</v>
      </c>
      <c r="M118" s="287"/>
      <c r="N118" s="288">
        <f>+N117-SUM(N103:N108)</f>
        <v>0</v>
      </c>
    </row>
    <row r="119" spans="2:20" ht="15.75">
      <c r="E119" s="287"/>
    </row>
    <row r="120" spans="2:20" ht="15.75">
      <c r="E120" s="287"/>
    </row>
    <row r="121" spans="2:20" ht="15.75">
      <c r="E121" s="287"/>
    </row>
    <row r="122" spans="2:20" ht="15.75">
      <c r="E122" s="287"/>
    </row>
    <row r="123" spans="2:20" ht="15.75">
      <c r="E123" s="287"/>
    </row>
    <row r="124" spans="2:20" ht="15.75">
      <c r="E124" s="287"/>
    </row>
    <row r="125" spans="2:20" ht="15.75">
      <c r="E125" s="287"/>
    </row>
    <row r="126" spans="2:20" ht="15.75">
      <c r="E126" s="287"/>
    </row>
    <row r="127" spans="2:20" ht="15.75">
      <c r="E127" s="287"/>
    </row>
    <row r="128" spans="2:20" ht="15.75">
      <c r="E128" s="287"/>
    </row>
    <row r="129" spans="5:5" ht="15.75">
      <c r="E129" s="287"/>
    </row>
    <row r="130" spans="5:5" ht="15.75">
      <c r="E130" s="287"/>
    </row>
    <row r="131" spans="5:5" ht="15.75">
      <c r="E131" s="287"/>
    </row>
    <row r="132" spans="5:5" ht="15.75">
      <c r="E132" s="287"/>
    </row>
    <row r="133" spans="5:5" ht="15.75">
      <c r="E133" s="287"/>
    </row>
    <row r="134" spans="5:5" ht="15.75">
      <c r="E134" s="287"/>
    </row>
    <row r="135" spans="5:5" ht="15.75">
      <c r="E135" s="287"/>
    </row>
    <row r="136" spans="5:5" ht="15.75">
      <c r="E136" s="287"/>
    </row>
    <row r="137" spans="5:5" ht="15.75">
      <c r="E137" s="287"/>
    </row>
    <row r="138" spans="5:5" ht="15.75">
      <c r="E138" s="287"/>
    </row>
    <row r="139" spans="5:5" ht="15.75">
      <c r="E139" s="287"/>
    </row>
    <row r="140" spans="5:5" ht="15.75">
      <c r="E140" s="287"/>
    </row>
  </sheetData>
  <phoneticPr fontId="0" type="noConversion"/>
  <printOptions horizontalCentered="1"/>
  <pageMargins left="0.5" right="0.5" top="0.5" bottom="0.75" header="0.5" footer="0.25"/>
  <pageSetup scale="65" firstPageNumber="117" orientation="portrait" useFirstPageNumber="1"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ransitionEvaluation="1" codeName="Sheet34"/>
  <dimension ref="B3:S93"/>
  <sheetViews>
    <sheetView showGridLines="0" topLeftCell="A8" zoomScale="69" zoomScaleNormal="69" workbookViewId="0">
      <selection activeCell="N26" activeCellId="3" sqref="N22 N23 N24 N26"/>
    </sheetView>
  </sheetViews>
  <sheetFormatPr defaultColWidth="9.7109375" defaultRowHeight="12.75"/>
  <cols>
    <col min="1" max="1" width="2.7109375" style="288" customWidth="1"/>
    <col min="2" max="2" width="53.5703125" style="288" customWidth="1"/>
    <col min="3" max="3" width="2.5703125" style="288" hidden="1" customWidth="1"/>
    <col min="4" max="4" width="16.7109375" style="288" hidden="1" customWidth="1"/>
    <col min="5" max="5" width="2.7109375" style="288" customWidth="1"/>
    <col min="6" max="6" width="16.28515625" style="288" customWidth="1"/>
    <col min="7" max="7" width="2.7109375" style="288" customWidth="1"/>
    <col min="8" max="8" width="15.7109375" style="288" customWidth="1"/>
    <col min="9" max="9" width="2.7109375" style="288" customWidth="1"/>
    <col min="10" max="10" width="14.5703125" style="288" bestFit="1" customWidth="1"/>
    <col min="11" max="11" width="2.7109375" style="288" customWidth="1"/>
    <col min="12" max="12" width="17" style="288" customWidth="1"/>
    <col min="13" max="13" width="3.7109375" style="288" customWidth="1"/>
    <col min="14" max="14" width="14.85546875" style="288" bestFit="1" customWidth="1"/>
    <col min="15" max="15" width="3.7109375" style="288" customWidth="1"/>
    <col min="16" max="16" width="16.7109375" style="288" customWidth="1"/>
    <col min="17" max="19" width="9.7109375" style="288" customWidth="1"/>
    <col min="20" max="16384" width="9.7109375" style="288"/>
  </cols>
  <sheetData>
    <row r="3" spans="2:16" ht="15.75">
      <c r="B3" s="305" t="s">
        <v>1049</v>
      </c>
      <c r="C3" s="277"/>
      <c r="D3" s="277"/>
      <c r="E3" s="277"/>
      <c r="F3" s="277"/>
      <c r="G3" s="277"/>
      <c r="H3" s="277"/>
      <c r="I3" s="277"/>
      <c r="J3" s="277"/>
      <c r="K3" s="277"/>
      <c r="L3" s="277"/>
      <c r="M3" s="277"/>
      <c r="N3" s="277"/>
      <c r="O3" s="277"/>
    </row>
    <row r="4" spans="2:16" ht="15.75">
      <c r="B4" s="305" t="s">
        <v>388</v>
      </c>
      <c r="C4" s="277"/>
      <c r="D4" s="277"/>
      <c r="E4" s="277"/>
      <c r="F4" s="277"/>
      <c r="G4" s="277"/>
      <c r="H4" s="277"/>
      <c r="I4" s="277"/>
      <c r="J4" s="277"/>
      <c r="K4" s="277"/>
      <c r="L4" s="277"/>
      <c r="M4" s="277"/>
      <c r="N4" s="277"/>
      <c r="O4" s="277"/>
    </row>
    <row r="5" spans="2:16" ht="15.75">
      <c r="B5" s="305" t="s">
        <v>1677</v>
      </c>
      <c r="C5" s="277"/>
      <c r="D5" s="277"/>
      <c r="E5" s="277"/>
      <c r="F5" s="277"/>
      <c r="G5" s="277"/>
      <c r="H5" s="277"/>
      <c r="I5" s="277"/>
      <c r="J5" s="277"/>
      <c r="K5" s="277"/>
      <c r="L5" s="277"/>
      <c r="M5" s="277"/>
      <c r="N5" s="277"/>
      <c r="O5" s="277"/>
    </row>
    <row r="6" spans="2:16" ht="15.75">
      <c r="B6" s="305" t="s">
        <v>838</v>
      </c>
      <c r="C6" s="277"/>
      <c r="D6" s="277"/>
      <c r="E6" s="277"/>
      <c r="F6" s="277"/>
      <c r="G6" s="277"/>
      <c r="H6" s="277"/>
      <c r="I6" s="277"/>
      <c r="J6" s="277"/>
      <c r="K6" s="277"/>
      <c r="L6" s="277"/>
      <c r="M6" s="277"/>
      <c r="N6" s="277"/>
      <c r="O6" s="277"/>
    </row>
    <row r="7" spans="2:16" ht="15.75">
      <c r="B7" s="395" t="str">
        <f>+'Sys INPUT'!B2</f>
        <v>For the  Fiscal Year Ended June 30, 2023</v>
      </c>
      <c r="C7" s="277"/>
      <c r="D7" s="277"/>
      <c r="E7" s="277"/>
      <c r="F7" s="277"/>
      <c r="G7" s="277"/>
      <c r="H7" s="277"/>
      <c r="I7" s="277"/>
      <c r="J7" s="277"/>
      <c r="K7" s="277"/>
      <c r="L7" s="277"/>
      <c r="M7" s="277"/>
      <c r="N7" s="277"/>
      <c r="O7" s="277"/>
    </row>
    <row r="8" spans="2:16" ht="15.75">
      <c r="B8" s="307"/>
      <c r="C8" s="307"/>
      <c r="D8" s="307"/>
      <c r="E8" s="307"/>
      <c r="F8" s="307"/>
      <c r="G8" s="307"/>
      <c r="H8" s="307"/>
      <c r="I8" s="305"/>
      <c r="J8" s="305"/>
      <c r="K8" s="305"/>
      <c r="L8" s="305"/>
      <c r="M8" s="305"/>
      <c r="N8" s="305"/>
      <c r="O8" s="277"/>
    </row>
    <row r="9" spans="2:16" ht="15.75">
      <c r="B9" s="305"/>
      <c r="C9" s="277"/>
      <c r="D9" s="277"/>
      <c r="E9" s="277"/>
      <c r="F9" s="277"/>
      <c r="G9" s="277"/>
      <c r="H9" s="277"/>
      <c r="I9" s="277"/>
      <c r="J9" s="277"/>
      <c r="K9" s="277"/>
      <c r="L9" s="277"/>
      <c r="M9" s="284"/>
      <c r="N9" s="284"/>
      <c r="O9" s="284"/>
    </row>
    <row r="10" spans="2:16" ht="15.75">
      <c r="B10" s="305"/>
      <c r="C10" s="277"/>
      <c r="D10" s="277"/>
      <c r="E10" s="277"/>
      <c r="F10" s="277"/>
      <c r="G10" s="277"/>
      <c r="H10" s="277"/>
      <c r="I10" s="277"/>
      <c r="J10" s="277"/>
      <c r="K10" s="277"/>
      <c r="L10" s="277"/>
      <c r="M10" s="277"/>
      <c r="N10" s="277"/>
      <c r="O10" s="277"/>
    </row>
    <row r="11" spans="2:16" ht="15.75">
      <c r="B11" s="276"/>
      <c r="C11" s="287"/>
      <c r="D11" s="287"/>
      <c r="E11" s="287"/>
      <c r="F11" s="287"/>
      <c r="G11" s="287"/>
      <c r="H11" s="287"/>
      <c r="I11" s="287"/>
      <c r="J11" s="287" t="s">
        <v>308</v>
      </c>
      <c r="K11" s="287"/>
      <c r="L11" s="287"/>
      <c r="M11" s="287"/>
      <c r="N11" s="287"/>
    </row>
    <row r="12" spans="2:16" ht="15.75">
      <c r="B12" s="308"/>
      <c r="C12" s="287"/>
      <c r="D12" s="287"/>
      <c r="E12" s="287"/>
      <c r="F12" s="287" t="s">
        <v>193</v>
      </c>
      <c r="G12" s="287"/>
      <c r="H12" s="287" t="s">
        <v>900</v>
      </c>
      <c r="I12" s="287"/>
      <c r="J12" s="287" t="s">
        <v>68</v>
      </c>
      <c r="K12" s="287"/>
      <c r="L12" s="287" t="s">
        <v>69</v>
      </c>
      <c r="M12" s="287"/>
      <c r="N12" s="287"/>
    </row>
    <row r="13" spans="2:16" ht="15.75">
      <c r="B13" s="308"/>
      <c r="C13" s="287"/>
      <c r="D13" s="290"/>
      <c r="E13" s="287"/>
      <c r="F13" s="290" t="s">
        <v>1131</v>
      </c>
      <c r="G13" s="287"/>
      <c r="H13" s="290" t="s">
        <v>1131</v>
      </c>
      <c r="I13" s="287"/>
      <c r="J13" s="290" t="s">
        <v>194</v>
      </c>
      <c r="K13" s="287"/>
      <c r="L13" s="290" t="s">
        <v>1131</v>
      </c>
      <c r="M13" s="287"/>
      <c r="N13" s="290" t="s">
        <v>315</v>
      </c>
    </row>
    <row r="14" spans="2:16" ht="15.75">
      <c r="B14" s="308" t="s">
        <v>1091</v>
      </c>
      <c r="C14" s="276"/>
      <c r="D14" s="276"/>
      <c r="E14" s="276"/>
      <c r="F14" s="276"/>
      <c r="G14" s="276"/>
      <c r="H14" s="276"/>
      <c r="I14" s="276"/>
      <c r="J14" s="276"/>
      <c r="K14" s="276"/>
      <c r="L14" s="276"/>
      <c r="M14" s="276"/>
      <c r="N14" s="276"/>
      <c r="P14" s="308"/>
    </row>
    <row r="15" spans="2:16" ht="15.75" hidden="1">
      <c r="D15" s="292">
        <f>+INPUT!CB10</f>
        <v>0</v>
      </c>
      <c r="P15" s="308"/>
    </row>
    <row r="16" spans="2:16" ht="15.75">
      <c r="B16" s="276" t="str">
        <f>INPUT!B13</f>
        <v xml:space="preserve">     Charges for services</v>
      </c>
      <c r="C16" s="276"/>
      <c r="D16" s="292">
        <f>+INPUT!CB13</f>
        <v>0</v>
      </c>
      <c r="E16" s="276"/>
      <c r="F16" s="292">
        <f>+INPUT!CD13</f>
        <v>130712</v>
      </c>
      <c r="G16" s="276"/>
      <c r="H16" s="292">
        <f>+INPUT!CE13</f>
        <v>166377</v>
      </c>
      <c r="I16" s="276"/>
      <c r="J16" s="292">
        <f>+INPUT!CF13</f>
        <v>1402726</v>
      </c>
      <c r="K16" s="276"/>
      <c r="L16" s="292">
        <f>+INPUT!CH13</f>
        <v>43362</v>
      </c>
      <c r="M16" s="276"/>
      <c r="N16" s="292">
        <f>+SUM(C16:L16)</f>
        <v>1743177</v>
      </c>
      <c r="P16" s="296">
        <f>PROPREV!F16</f>
        <v>1356265</v>
      </c>
    </row>
    <row r="17" spans="2:16" ht="15.75" hidden="1">
      <c r="B17" s="276" t="str">
        <f>INPUT!B15</f>
        <v xml:space="preserve">     Miscellaneous</v>
      </c>
      <c r="C17" s="303"/>
      <c r="D17" s="317">
        <f>+INPUT!CB15</f>
        <v>0</v>
      </c>
      <c r="E17" s="303"/>
      <c r="F17" s="317">
        <f>+INPUT!CD15</f>
        <v>0</v>
      </c>
      <c r="G17" s="303"/>
      <c r="H17" s="317">
        <f>+INPUT!CE15</f>
        <v>0</v>
      </c>
      <c r="I17" s="303"/>
      <c r="J17" s="317">
        <f>+INPUT!CF15</f>
        <v>0</v>
      </c>
      <c r="K17" s="303"/>
      <c r="L17" s="317">
        <f>+INPUT!CH15</f>
        <v>0</v>
      </c>
      <c r="M17" s="303"/>
      <c r="N17" s="317">
        <f>SUM(C17:L17)</f>
        <v>0</v>
      </c>
      <c r="P17" s="296">
        <f>PROPREV!F17</f>
        <v>0</v>
      </c>
    </row>
    <row r="18" spans="2:16" ht="15.75">
      <c r="B18" s="276"/>
      <c r="C18" s="303"/>
      <c r="D18" s="337"/>
      <c r="E18" s="303"/>
      <c r="F18" s="337"/>
      <c r="G18" s="303"/>
      <c r="H18" s="337"/>
      <c r="I18" s="303"/>
      <c r="J18" s="337"/>
      <c r="K18" s="303"/>
      <c r="L18" s="337"/>
      <c r="M18" s="303"/>
      <c r="N18" s="337"/>
      <c r="P18" s="296"/>
    </row>
    <row r="19" spans="2:16" ht="15.75">
      <c r="B19" s="308" t="s">
        <v>380</v>
      </c>
      <c r="C19" s="303"/>
      <c r="D19" s="301">
        <f>SUM(D15:D18)</f>
        <v>0</v>
      </c>
      <c r="E19" s="303"/>
      <c r="F19" s="301">
        <f>SUM(F15:F18)</f>
        <v>130712</v>
      </c>
      <c r="G19" s="303"/>
      <c r="H19" s="301">
        <f>SUM(H15:H18)</f>
        <v>166377</v>
      </c>
      <c r="I19" s="303"/>
      <c r="J19" s="301">
        <f>SUM(J15:J18)</f>
        <v>1402726</v>
      </c>
      <c r="K19" s="303"/>
      <c r="L19" s="301">
        <f>SUM(L15:L18)</f>
        <v>43362</v>
      </c>
      <c r="M19" s="303"/>
      <c r="N19" s="301">
        <f>SUM(N15:N18)</f>
        <v>1743177</v>
      </c>
      <c r="P19" s="314">
        <f>PROPREV!F19</f>
        <v>1356265</v>
      </c>
    </row>
    <row r="20" spans="2:16" ht="15.75">
      <c r="B20" s="276"/>
      <c r="C20" s="303"/>
      <c r="D20" s="294"/>
      <c r="E20" s="303"/>
      <c r="F20" s="294"/>
      <c r="G20" s="294"/>
      <c r="H20" s="294"/>
      <c r="I20" s="294"/>
      <c r="J20" s="294"/>
      <c r="K20" s="294"/>
      <c r="L20" s="294"/>
      <c r="M20" s="294"/>
      <c r="N20" s="294"/>
      <c r="O20" s="294"/>
      <c r="P20" s="296"/>
    </row>
    <row r="21" spans="2:16" ht="15.75">
      <c r="B21" s="308" t="s">
        <v>1092</v>
      </c>
      <c r="C21" s="303"/>
      <c r="D21" s="294"/>
      <c r="E21" s="303"/>
      <c r="F21" s="294"/>
      <c r="G21" s="303"/>
      <c r="H21" s="294"/>
      <c r="I21" s="303"/>
      <c r="J21" s="294"/>
      <c r="K21" s="303"/>
      <c r="L21" s="294"/>
      <c r="M21" s="303"/>
      <c r="N21" s="294"/>
      <c r="P21" s="314"/>
    </row>
    <row r="22" spans="2:16" ht="15.75">
      <c r="B22" s="276" t="str">
        <f>INPUT!B31</f>
        <v xml:space="preserve">     Personal services</v>
      </c>
      <c r="C22" s="303"/>
      <c r="D22" s="294">
        <f>+INPUT!CB31</f>
        <v>0</v>
      </c>
      <c r="E22" s="303"/>
      <c r="F22" s="294">
        <f>+INPUT!CD31</f>
        <v>30771</v>
      </c>
      <c r="G22" s="303"/>
      <c r="H22" s="294">
        <f>+INPUT!CE31</f>
        <v>19916</v>
      </c>
      <c r="I22" s="303"/>
      <c r="J22" s="294">
        <f>+INPUT!CF31</f>
        <v>0</v>
      </c>
      <c r="K22" s="303"/>
      <c r="L22" s="294">
        <f>+INPUT!CH31</f>
        <v>17474</v>
      </c>
      <c r="M22" s="303"/>
      <c r="N22" s="294">
        <f>+SUM(C22:L22)</f>
        <v>68161</v>
      </c>
      <c r="P22" s="296">
        <f>PROPREV!F22</f>
        <v>249862</v>
      </c>
    </row>
    <row r="23" spans="2:16" ht="15.75">
      <c r="B23" s="276" t="str">
        <f>INPUT!B32</f>
        <v xml:space="preserve">     Supplies</v>
      </c>
      <c r="C23" s="303"/>
      <c r="D23" s="294">
        <f>+INPUT!CB32</f>
        <v>0</v>
      </c>
      <c r="E23" s="303"/>
      <c r="F23" s="294">
        <f>+INPUT!CD32</f>
        <v>10966</v>
      </c>
      <c r="G23" s="303"/>
      <c r="H23" s="294">
        <f>+INPUT!CE32</f>
        <v>10299</v>
      </c>
      <c r="I23" s="303"/>
      <c r="J23" s="294">
        <f>+INPUT!CF32</f>
        <v>55091</v>
      </c>
      <c r="K23" s="303"/>
      <c r="L23" s="294">
        <f>+INPUT!CH32</f>
        <v>12799</v>
      </c>
      <c r="M23" s="303"/>
      <c r="N23" s="294">
        <f>+SUM(C23:L23)</f>
        <v>89155</v>
      </c>
      <c r="P23" s="296">
        <f>PROPREV!F23</f>
        <v>281168</v>
      </c>
    </row>
    <row r="24" spans="2:16" ht="15.75">
      <c r="B24" s="276" t="str">
        <f>INPUT!B33</f>
        <v xml:space="preserve">     Purchased services</v>
      </c>
      <c r="C24" s="303"/>
      <c r="D24" s="294">
        <f>+INPUT!CB33</f>
        <v>0</v>
      </c>
      <c r="E24" s="303"/>
      <c r="F24" s="294">
        <f>+INPUT!CD33</f>
        <v>64578</v>
      </c>
      <c r="G24" s="303"/>
      <c r="H24" s="294">
        <f>+INPUT!CE33</f>
        <v>165702</v>
      </c>
      <c r="I24" s="303"/>
      <c r="J24" s="294">
        <f>+INPUT!CF33</f>
        <v>1384810</v>
      </c>
      <c r="K24" s="303"/>
      <c r="L24" s="294">
        <f>+INPUT!CH33</f>
        <v>2314</v>
      </c>
      <c r="M24" s="303"/>
      <c r="N24" s="294">
        <f>+SUM(C24:L24)</f>
        <v>1617404</v>
      </c>
      <c r="P24" s="296">
        <f>PROPREV!F24</f>
        <v>270526</v>
      </c>
    </row>
    <row r="25" spans="2:16" ht="15.75" hidden="1" customHeight="1">
      <c r="B25" s="276" t="str">
        <f>INPUT!B34</f>
        <v xml:space="preserve">     Other</v>
      </c>
      <c r="C25" s="303"/>
      <c r="D25" s="294">
        <f>+INPUT!CB34</f>
        <v>0</v>
      </c>
      <c r="E25" s="303"/>
      <c r="F25" s="294">
        <f>+INPUT!CD34</f>
        <v>0</v>
      </c>
      <c r="G25" s="303"/>
      <c r="H25" s="294">
        <f>+INPUT!CE34</f>
        <v>0</v>
      </c>
      <c r="I25" s="303"/>
      <c r="J25" s="294">
        <f>+INPUT!CF34</f>
        <v>0</v>
      </c>
      <c r="K25" s="303"/>
      <c r="L25" s="294">
        <f>+INPUT!CH34</f>
        <v>0</v>
      </c>
      <c r="M25" s="303"/>
      <c r="N25" s="294">
        <f>+SUM(C25:L25)</f>
        <v>0</v>
      </c>
      <c r="P25" s="296">
        <f>PROPREV!F25</f>
        <v>0</v>
      </c>
    </row>
    <row r="26" spans="2:16" ht="15.75">
      <c r="B26" s="276" t="str">
        <f>INPUT!B38</f>
        <v xml:space="preserve">     Depreciation/Amortization</v>
      </c>
      <c r="C26" s="303"/>
      <c r="D26" s="317">
        <f>+INPUT!CB38</f>
        <v>0</v>
      </c>
      <c r="E26" s="303"/>
      <c r="F26" s="317">
        <f>+INPUT!CD38</f>
        <v>2755</v>
      </c>
      <c r="G26" s="303"/>
      <c r="H26" s="317">
        <f>+INPUT!CE38</f>
        <v>10674</v>
      </c>
      <c r="I26" s="303"/>
      <c r="J26" s="317">
        <f>+INPUT!CF38</f>
        <v>0</v>
      </c>
      <c r="K26" s="303"/>
      <c r="L26" s="317">
        <f>+INPUT!CH38</f>
        <v>0</v>
      </c>
      <c r="M26" s="303"/>
      <c r="N26" s="317">
        <f>SUM(C26:L26)</f>
        <v>13429</v>
      </c>
      <c r="P26" s="296">
        <f>PROPREV!F26</f>
        <v>380339</v>
      </c>
    </row>
    <row r="27" spans="2:16" ht="15.75">
      <c r="B27" s="276"/>
      <c r="C27" s="303"/>
      <c r="D27" s="294"/>
      <c r="E27" s="303"/>
      <c r="F27" s="294"/>
      <c r="G27" s="303"/>
      <c r="H27" s="294"/>
      <c r="I27" s="303"/>
      <c r="J27" s="294"/>
      <c r="K27" s="303"/>
      <c r="L27" s="294"/>
      <c r="M27" s="303"/>
      <c r="N27" s="294"/>
      <c r="P27" s="296"/>
    </row>
    <row r="28" spans="2:16" ht="15.75">
      <c r="B28" s="308" t="s">
        <v>381</v>
      </c>
      <c r="C28" s="303"/>
      <c r="D28" s="301">
        <f>SUM(D22:D27)</f>
        <v>0</v>
      </c>
      <c r="E28" s="303"/>
      <c r="F28" s="301">
        <f>SUM(F22:F27)</f>
        <v>109070</v>
      </c>
      <c r="G28" s="303"/>
      <c r="H28" s="301">
        <f>SUM(H22:H27)</f>
        <v>206591</v>
      </c>
      <c r="I28" s="303"/>
      <c r="J28" s="301">
        <f>SUM(J22:J27)</f>
        <v>1439901</v>
      </c>
      <c r="K28" s="303"/>
      <c r="L28" s="301">
        <f>SUM(L22:L27)</f>
        <v>32587</v>
      </c>
      <c r="M28" s="303"/>
      <c r="N28" s="301">
        <f>SUM(N22:N27)</f>
        <v>1788149</v>
      </c>
      <c r="P28" s="314">
        <f>PROPREV!F28</f>
        <v>1181895</v>
      </c>
    </row>
    <row r="29" spans="2:16" ht="15.75">
      <c r="B29" s="276"/>
      <c r="C29" s="303"/>
      <c r="D29" s="294"/>
      <c r="E29" s="303"/>
      <c r="F29" s="294"/>
      <c r="G29" s="294"/>
      <c r="H29" s="294"/>
      <c r="I29" s="294"/>
      <c r="J29" s="294"/>
      <c r="K29" s="294"/>
      <c r="L29" s="294"/>
      <c r="M29" s="294"/>
      <c r="N29" s="294"/>
      <c r="O29" s="294"/>
      <c r="P29" s="296"/>
    </row>
    <row r="30" spans="2:16" ht="15.75">
      <c r="B30" s="308" t="s">
        <v>289</v>
      </c>
      <c r="C30" s="303"/>
      <c r="D30" s="300">
        <f>SUM(D19-D28)</f>
        <v>0</v>
      </c>
      <c r="E30" s="303"/>
      <c r="F30" s="300">
        <f>SUM(F19-F28)</f>
        <v>21642</v>
      </c>
      <c r="G30" s="303"/>
      <c r="H30" s="300">
        <f>SUM(H19-H28)</f>
        <v>-40214</v>
      </c>
      <c r="I30" s="303"/>
      <c r="J30" s="300">
        <f>SUM(J19-J28)</f>
        <v>-37175</v>
      </c>
      <c r="K30" s="303"/>
      <c r="L30" s="300">
        <f>SUM(L19-L28)</f>
        <v>10775</v>
      </c>
      <c r="M30" s="303"/>
      <c r="N30" s="300">
        <f>SUM(N19-N28)</f>
        <v>-44972</v>
      </c>
      <c r="P30" s="314">
        <f>PROPREV!F30</f>
        <v>174370</v>
      </c>
    </row>
    <row r="31" spans="2:16" ht="15.75">
      <c r="B31" s="276"/>
      <c r="C31" s="303"/>
      <c r="D31" s="294"/>
      <c r="E31" s="303"/>
      <c r="F31" s="294"/>
      <c r="G31" s="303"/>
      <c r="H31" s="294"/>
      <c r="I31" s="303"/>
      <c r="J31" s="294"/>
      <c r="K31" s="303"/>
      <c r="L31" s="294"/>
      <c r="M31" s="303"/>
      <c r="N31" s="294"/>
      <c r="P31" s="296"/>
    </row>
    <row r="32" spans="2:16" ht="15.75">
      <c r="B32" s="308" t="s">
        <v>1109</v>
      </c>
      <c r="C32" s="303"/>
      <c r="D32" s="294"/>
      <c r="E32" s="303"/>
      <c r="F32" s="294"/>
      <c r="G32" s="303"/>
      <c r="H32" s="294"/>
      <c r="I32" s="303"/>
      <c r="J32" s="294"/>
      <c r="K32" s="303"/>
      <c r="L32" s="294"/>
      <c r="M32" s="303"/>
      <c r="N32" s="294"/>
      <c r="P32" s="314"/>
    </row>
    <row r="33" spans="2:16" ht="15.75">
      <c r="B33" s="276" t="str">
        <f>INPUT!B12</f>
        <v xml:space="preserve">     Intergovernmental</v>
      </c>
      <c r="C33" s="276"/>
      <c r="D33" s="294">
        <f>+INPUT!CB12</f>
        <v>0</v>
      </c>
      <c r="E33" s="303"/>
      <c r="F33" s="294">
        <f>+INPUT!CD12</f>
        <v>0</v>
      </c>
      <c r="G33" s="303"/>
      <c r="H33" s="294">
        <f>+INPUT!CE12</f>
        <v>0</v>
      </c>
      <c r="I33" s="303"/>
      <c r="J33" s="294">
        <f>+INPUT!CF12</f>
        <v>0</v>
      </c>
      <c r="K33" s="303"/>
      <c r="L33" s="294">
        <f>+INPUT!CH12</f>
        <v>0</v>
      </c>
      <c r="M33" s="303"/>
      <c r="N33" s="294">
        <f>+SUM(C33:L33)</f>
        <v>0</v>
      </c>
      <c r="P33" s="296">
        <f>PROPREV!F32</f>
        <v>0</v>
      </c>
    </row>
    <row r="34" spans="2:16" ht="15.75">
      <c r="B34" s="276"/>
      <c r="C34" s="276"/>
      <c r="D34" s="294">
        <v>0</v>
      </c>
      <c r="E34" s="303"/>
      <c r="F34" s="294"/>
      <c r="G34" s="303"/>
      <c r="H34" s="294"/>
      <c r="I34" s="303"/>
      <c r="J34" s="294"/>
      <c r="K34" s="303"/>
      <c r="L34" s="294"/>
      <c r="M34" s="303"/>
      <c r="N34" s="294"/>
      <c r="P34" s="296"/>
    </row>
    <row r="35" spans="2:16" ht="15.75">
      <c r="B35" s="276" t="s">
        <v>1110</v>
      </c>
      <c r="C35" s="276"/>
      <c r="D35" s="294">
        <f>+INPUT!CB16</f>
        <v>0</v>
      </c>
      <c r="E35" s="303"/>
      <c r="F35" s="294">
        <f>+INPUT!CD16</f>
        <v>583</v>
      </c>
      <c r="G35" s="303"/>
      <c r="H35" s="294">
        <f>+INPUT!CE16</f>
        <v>1126</v>
      </c>
      <c r="I35" s="303"/>
      <c r="J35" s="294">
        <f>+INPUT!CF16</f>
        <v>32023</v>
      </c>
      <c r="K35" s="303"/>
      <c r="L35" s="294">
        <f>+INPUT!CH16</f>
        <v>3622</v>
      </c>
      <c r="M35" s="303"/>
      <c r="N35" s="294">
        <f>+SUM(C35:L35)</f>
        <v>37354</v>
      </c>
      <c r="P35" s="296">
        <f>PROPREV!F35</f>
        <v>132256</v>
      </c>
    </row>
    <row r="36" spans="2:16" ht="15.75" hidden="1">
      <c r="B36" s="276" t="str">
        <f>INPUT!B37</f>
        <v xml:space="preserve">     Interest expense</v>
      </c>
      <c r="C36" s="276"/>
      <c r="D36" s="294">
        <f>-+INPUT!CB37</f>
        <v>0</v>
      </c>
      <c r="E36" s="303"/>
      <c r="F36" s="294">
        <f>-+INPUT!CD37</f>
        <v>0</v>
      </c>
      <c r="G36" s="303"/>
      <c r="H36" s="294">
        <f>-+INPUT!CE37</f>
        <v>0</v>
      </c>
      <c r="I36" s="303"/>
      <c r="J36" s="294">
        <f>-+INPUT!CF37</f>
        <v>0</v>
      </c>
      <c r="K36" s="303"/>
      <c r="L36" s="294">
        <f>-+INPUT!CH37</f>
        <v>0</v>
      </c>
      <c r="M36" s="303"/>
      <c r="N36" s="294">
        <f>+SUM(C36:L36)</f>
        <v>0</v>
      </c>
      <c r="P36" s="296">
        <f>PROPREV!F36</f>
        <v>-23768</v>
      </c>
    </row>
    <row r="37" spans="2:16" ht="15.75" hidden="1">
      <c r="B37" s="276"/>
      <c r="C37" s="276"/>
      <c r="D37" s="294">
        <f>-INPUT!CB36</f>
        <v>0</v>
      </c>
      <c r="E37" s="303"/>
      <c r="F37" s="294"/>
      <c r="G37" s="303"/>
      <c r="H37" s="294"/>
      <c r="I37" s="303"/>
      <c r="J37" s="294"/>
      <c r="K37" s="303"/>
      <c r="L37" s="294"/>
      <c r="M37" s="303"/>
      <c r="N37" s="294"/>
      <c r="P37" s="296"/>
    </row>
    <row r="38" spans="2:16" ht="15.75" hidden="1">
      <c r="B38" s="276" t="str">
        <f>INPUT!B10</f>
        <v xml:space="preserve">     Taxes/assessments</v>
      </c>
      <c r="D38" s="294"/>
      <c r="E38" s="303"/>
      <c r="F38" s="294">
        <f>+INPUT!CD10</f>
        <v>0</v>
      </c>
      <c r="G38" s="303"/>
      <c r="H38" s="294">
        <f>+INPUT!CE10</f>
        <v>0</v>
      </c>
      <c r="I38" s="303"/>
      <c r="J38" s="294">
        <f>+INPUT!CF10</f>
        <v>0</v>
      </c>
      <c r="K38" s="303"/>
      <c r="L38" s="294">
        <f>+INPUT!CH10</f>
        <v>0</v>
      </c>
      <c r="M38" s="303"/>
      <c r="N38" s="294">
        <f>+SUM(C38:L38)</f>
        <v>0</v>
      </c>
      <c r="P38" s="296">
        <f>PROPREV!F15</f>
        <v>0</v>
      </c>
    </row>
    <row r="39" spans="2:16" ht="15.75" hidden="1">
      <c r="B39" s="276" t="s">
        <v>2389</v>
      </c>
      <c r="C39" s="276"/>
      <c r="D39" s="294">
        <f>+INPUT!CB50</f>
        <v>0</v>
      </c>
      <c r="E39" s="303"/>
      <c r="F39" s="294">
        <f>+INPUT!CD50</f>
        <v>0</v>
      </c>
      <c r="G39" s="303"/>
      <c r="H39" s="294">
        <f>+INPUT!CE50</f>
        <v>0</v>
      </c>
      <c r="I39" s="303"/>
      <c r="J39" s="294">
        <f>+INPUT!CF50</f>
        <v>0</v>
      </c>
      <c r="K39" s="303"/>
      <c r="L39" s="294">
        <f>+INPUT!CH50</f>
        <v>0</v>
      </c>
      <c r="M39" s="303"/>
      <c r="N39" s="294">
        <f>+SUM(C39:L39)</f>
        <v>0</v>
      </c>
      <c r="P39" s="296">
        <f>PROPREV!F39</f>
        <v>0</v>
      </c>
    </row>
    <row r="40" spans="2:16" ht="15.75" hidden="1">
      <c r="B40" s="276"/>
      <c r="C40" s="276"/>
      <c r="D40" s="294">
        <f>+INPUT!CB51</f>
        <v>0</v>
      </c>
      <c r="E40" s="303"/>
      <c r="F40" s="294"/>
      <c r="G40" s="303"/>
      <c r="H40" s="294"/>
      <c r="I40" s="303"/>
      <c r="J40" s="294"/>
      <c r="K40" s="303"/>
      <c r="L40" s="294"/>
      <c r="M40" s="303"/>
      <c r="N40" s="294"/>
      <c r="P40" s="296"/>
    </row>
    <row r="41" spans="2:16" ht="15.75" hidden="1">
      <c r="B41" s="321" t="s">
        <v>1277</v>
      </c>
      <c r="C41" s="321"/>
      <c r="D41" s="294">
        <v>0</v>
      </c>
      <c r="E41" s="303"/>
      <c r="F41" s="294">
        <f>+INPUT!CD54</f>
        <v>0</v>
      </c>
      <c r="G41" s="303"/>
      <c r="H41" s="294">
        <f>+INPUT!CE54</f>
        <v>0</v>
      </c>
      <c r="I41" s="303"/>
      <c r="J41" s="294">
        <f>+INPUT!CF54</f>
        <v>0</v>
      </c>
      <c r="K41" s="303"/>
      <c r="L41" s="294">
        <f>+INPUT!CH54</f>
        <v>0</v>
      </c>
      <c r="M41" s="303"/>
      <c r="N41" s="294">
        <f>SUM(C41:L41)</f>
        <v>0</v>
      </c>
      <c r="P41" s="296">
        <f>PROPREV!F41</f>
        <v>0</v>
      </c>
    </row>
    <row r="42" spans="2:16" ht="15.75" hidden="1">
      <c r="B42" s="321"/>
      <c r="C42" s="276"/>
      <c r="D42" s="294">
        <f>+INPUT!CB54</f>
        <v>0</v>
      </c>
      <c r="E42" s="303"/>
      <c r="F42" s="294"/>
      <c r="G42" s="303"/>
      <c r="H42" s="294"/>
      <c r="I42" s="303"/>
      <c r="J42" s="294"/>
      <c r="K42" s="303"/>
      <c r="L42" s="294"/>
      <c r="M42" s="303"/>
      <c r="N42" s="294"/>
      <c r="P42" s="296"/>
    </row>
    <row r="43" spans="2:16" ht="7.5" hidden="1" customHeight="1"/>
    <row r="44" spans="2:16" ht="15.75">
      <c r="B44" s="276"/>
      <c r="D44" s="337"/>
      <c r="E44" s="303"/>
      <c r="F44" s="337"/>
      <c r="G44" s="337"/>
      <c r="H44" s="337"/>
      <c r="I44" s="337"/>
      <c r="J44" s="337"/>
      <c r="K44" s="337"/>
      <c r="L44" s="337"/>
      <c r="M44" s="337"/>
      <c r="N44" s="337"/>
      <c r="P44" s="296"/>
    </row>
    <row r="45" spans="2:16" ht="15.75">
      <c r="B45" s="308" t="s">
        <v>927</v>
      </c>
      <c r="D45" s="301">
        <f>SUM(D33:D44)</f>
        <v>0</v>
      </c>
      <c r="E45" s="303"/>
      <c r="F45" s="301">
        <f>SUM(F33:F44)</f>
        <v>583</v>
      </c>
      <c r="G45" s="303"/>
      <c r="H45" s="301">
        <f>SUM(H33:H44)</f>
        <v>1126</v>
      </c>
      <c r="I45" s="303"/>
      <c r="J45" s="301">
        <f>SUM(J33:J44)</f>
        <v>32023</v>
      </c>
      <c r="K45" s="303"/>
      <c r="L45" s="301">
        <f>SUM(L33:L44)</f>
        <v>3622</v>
      </c>
      <c r="M45" s="303"/>
      <c r="N45" s="301">
        <f>SUM(N33:N44)</f>
        <v>37354</v>
      </c>
      <c r="P45" s="314">
        <f>PROPREV!F45</f>
        <v>108488</v>
      </c>
    </row>
    <row r="46" spans="2:16" ht="15.75">
      <c r="B46" s="276"/>
      <c r="C46" s="303"/>
      <c r="D46" s="294"/>
      <c r="E46" s="303"/>
      <c r="F46" s="294"/>
      <c r="G46" s="303"/>
      <c r="H46" s="294"/>
      <c r="I46" s="303"/>
      <c r="J46" s="294"/>
      <c r="K46" s="303"/>
      <c r="L46" s="294"/>
      <c r="M46" s="303"/>
      <c r="N46" s="294"/>
      <c r="P46" s="296"/>
    </row>
    <row r="47" spans="2:16" ht="15.75">
      <c r="B47" s="308" t="str">
        <f>+PROPREV!B47</f>
        <v xml:space="preserve">     Income (loss) before contributions</v>
      </c>
      <c r="C47" s="303"/>
      <c r="D47" s="294"/>
      <c r="E47" s="303"/>
      <c r="F47" s="294"/>
      <c r="G47" s="303"/>
      <c r="H47" s="294"/>
      <c r="I47" s="303"/>
      <c r="J47" s="294"/>
      <c r="K47" s="303"/>
      <c r="L47" s="294"/>
      <c r="M47" s="303"/>
      <c r="N47" s="294"/>
      <c r="P47" s="296"/>
    </row>
    <row r="48" spans="2:16" ht="15.75">
      <c r="B48" s="308" t="str">
        <f>+PROPREV!B48</f>
        <v xml:space="preserve">         and transfers</v>
      </c>
      <c r="C48" s="303"/>
      <c r="D48" s="300">
        <f>SUM(D30+D45)</f>
        <v>0</v>
      </c>
      <c r="E48" s="303"/>
      <c r="F48" s="300">
        <f>SUM(F30+F45)</f>
        <v>22225</v>
      </c>
      <c r="G48" s="303"/>
      <c r="H48" s="300">
        <f>SUM(H30+H45)</f>
        <v>-39088</v>
      </c>
      <c r="I48" s="303"/>
      <c r="J48" s="300">
        <f>SUM(J30+J45)</f>
        <v>-5152</v>
      </c>
      <c r="K48" s="303"/>
      <c r="L48" s="300">
        <f>SUM(L30+L45)</f>
        <v>14397</v>
      </c>
      <c r="M48" s="303"/>
      <c r="N48" s="300">
        <f>SUM(N30+N45)</f>
        <v>-7618</v>
      </c>
      <c r="P48" s="314">
        <f>PROPREV!F47</f>
        <v>282858</v>
      </c>
    </row>
    <row r="49" spans="2:19" ht="15.75" hidden="1">
      <c r="B49" s="276" t="str">
        <f>INPUT!B56</f>
        <v xml:space="preserve">     Capital contributions</v>
      </c>
      <c r="C49" s="276"/>
      <c r="D49" s="294">
        <v>0</v>
      </c>
      <c r="E49" s="303"/>
      <c r="F49" s="294">
        <v>0</v>
      </c>
      <c r="G49" s="303"/>
      <c r="H49" s="294">
        <v>0</v>
      </c>
      <c r="I49" s="303"/>
      <c r="J49" s="294">
        <v>0</v>
      </c>
      <c r="K49" s="303"/>
      <c r="L49" s="294">
        <v>0</v>
      </c>
      <c r="M49" s="303"/>
      <c r="N49" s="294">
        <f>SUM(C49:L49)</f>
        <v>0</v>
      </c>
      <c r="P49" s="296">
        <v>0</v>
      </c>
      <c r="S49" s="543" t="s">
        <v>3334</v>
      </c>
    </row>
    <row r="50" spans="2:19" ht="15.75">
      <c r="B50" s="276" t="str">
        <f>INPUT!B46</f>
        <v xml:space="preserve">     Transfers in</v>
      </c>
      <c r="C50" s="303"/>
      <c r="D50" s="294">
        <f>+INPUT!CB46</f>
        <v>0</v>
      </c>
      <c r="E50" s="303"/>
      <c r="F50" s="294">
        <f>+INPUT!CD46</f>
        <v>0</v>
      </c>
      <c r="G50" s="303"/>
      <c r="H50" s="294">
        <f>+INPUT!CE46</f>
        <v>0</v>
      </c>
      <c r="I50" s="303"/>
      <c r="J50" s="294">
        <f>+INPUT!CF46</f>
        <v>0</v>
      </c>
      <c r="K50" s="303"/>
      <c r="L50" s="294">
        <f>+INPUT!CH46</f>
        <v>0</v>
      </c>
      <c r="M50" s="303"/>
      <c r="N50" s="294">
        <f>+SUM(C50:L50)</f>
        <v>0</v>
      </c>
      <c r="P50" s="296">
        <f>PROPREV!F50</f>
        <v>82</v>
      </c>
    </row>
    <row r="51" spans="2:19" ht="15.75" customHeight="1">
      <c r="B51" s="276" t="str">
        <f>INPUT!B47</f>
        <v xml:space="preserve">     Transfers out</v>
      </c>
      <c r="C51" s="303"/>
      <c r="D51" s="294">
        <f>+INPUT!CB47</f>
        <v>0</v>
      </c>
      <c r="E51" s="303"/>
      <c r="F51" s="294">
        <f>+INPUT!CD47</f>
        <v>-82</v>
      </c>
      <c r="G51" s="303"/>
      <c r="H51" s="294">
        <f>+INPUT!CE47</f>
        <v>0</v>
      </c>
      <c r="I51" s="303"/>
      <c r="J51" s="294">
        <f>+INPUT!CF47</f>
        <v>0</v>
      </c>
      <c r="K51" s="303"/>
      <c r="L51" s="294">
        <f>+INPUT!CH47</f>
        <v>0</v>
      </c>
      <c r="M51" s="303"/>
      <c r="N51" s="294">
        <f>+SUM(C51:L51)</f>
        <v>-82</v>
      </c>
      <c r="P51" s="296">
        <f>PROPREV!F51</f>
        <v>-2545</v>
      </c>
    </row>
    <row r="52" spans="2:19" ht="15.75">
      <c r="B52" s="276"/>
      <c r="C52" s="303"/>
      <c r="D52" s="337"/>
      <c r="E52" s="303"/>
      <c r="F52" s="337"/>
      <c r="G52" s="303"/>
      <c r="H52" s="337"/>
      <c r="I52" s="303"/>
      <c r="J52" s="337"/>
      <c r="K52" s="303"/>
      <c r="L52" s="337"/>
      <c r="M52" s="303"/>
      <c r="N52" s="337"/>
      <c r="P52" s="296"/>
    </row>
    <row r="53" spans="2:19" ht="15.75">
      <c r="B53" s="308" t="s">
        <v>1678</v>
      </c>
      <c r="C53" s="303"/>
      <c r="D53" s="300">
        <f>SUM(D48:D52)</f>
        <v>0</v>
      </c>
      <c r="E53" s="303"/>
      <c r="F53" s="300">
        <f>SUM(F48:F52)</f>
        <v>22143</v>
      </c>
      <c r="G53" s="303"/>
      <c r="H53" s="300">
        <f>SUM(H48:H52)</f>
        <v>-39088</v>
      </c>
      <c r="I53" s="303"/>
      <c r="J53" s="300">
        <f>SUM(J48:J52)</f>
        <v>-5152</v>
      </c>
      <c r="K53" s="303"/>
      <c r="L53" s="300">
        <f>SUM(L48:L52)</f>
        <v>14397</v>
      </c>
      <c r="M53" s="303"/>
      <c r="N53" s="300">
        <f>SUM(N48:N52)</f>
        <v>-7700</v>
      </c>
      <c r="P53" s="314">
        <f>PROPREV!F53</f>
        <v>280395</v>
      </c>
    </row>
    <row r="54" spans="2:19" ht="15.75" hidden="1">
      <c r="B54" s="276"/>
      <c r="C54" s="303"/>
      <c r="D54" s="294"/>
      <c r="E54" s="303"/>
      <c r="F54" s="294"/>
      <c r="G54" s="303"/>
      <c r="H54" s="294"/>
      <c r="I54" s="303"/>
      <c r="J54" s="294"/>
      <c r="K54" s="303"/>
      <c r="L54" s="294"/>
      <c r="M54" s="303"/>
      <c r="N54" s="294"/>
      <c r="P54" s="296"/>
    </row>
    <row r="55" spans="2:19" ht="15.75" hidden="1">
      <c r="B55" s="276" t="str">
        <f>INPUT!B65</f>
        <v xml:space="preserve">     Add back depreciation that reduces contributed capital</v>
      </c>
      <c r="C55" s="303"/>
      <c r="D55" s="294">
        <f>+INPUT!CB65</f>
        <v>0</v>
      </c>
      <c r="E55" s="303"/>
      <c r="F55" s="294">
        <f>+INPUT!CD65</f>
        <v>0</v>
      </c>
      <c r="G55" s="303"/>
      <c r="H55" s="294">
        <f>+INPUT!CE65</f>
        <v>0</v>
      </c>
      <c r="I55" s="303"/>
      <c r="J55" s="294">
        <f>+INPUT!CF65</f>
        <v>0</v>
      </c>
      <c r="K55" s="303"/>
      <c r="L55" s="294">
        <f>+INPUT!CH65</f>
        <v>0</v>
      </c>
      <c r="M55" s="303"/>
      <c r="N55" s="294">
        <f>+SUM(C55:L55)</f>
        <v>0</v>
      </c>
      <c r="P55" s="296">
        <f>PROPREV!F55</f>
        <v>0</v>
      </c>
    </row>
    <row r="56" spans="2:19" ht="15.75">
      <c r="B56" s="276"/>
      <c r="C56" s="303"/>
      <c r="D56" s="294"/>
      <c r="E56" s="303"/>
      <c r="F56" s="294"/>
      <c r="G56" s="294"/>
      <c r="H56" s="294"/>
      <c r="I56" s="294"/>
      <c r="J56" s="294"/>
      <c r="K56" s="294"/>
      <c r="L56" s="294"/>
      <c r="M56" s="294"/>
      <c r="N56" s="294"/>
      <c r="O56" s="294"/>
      <c r="P56" s="296"/>
    </row>
    <row r="57" spans="2:19" ht="15.75">
      <c r="B57" s="308" t="str">
        <f>INPUT!B64</f>
        <v xml:space="preserve">     Total net position, beginning</v>
      </c>
      <c r="C57" s="303"/>
      <c r="D57" s="294">
        <f>+INPUT!CB63</f>
        <v>0</v>
      </c>
      <c r="E57" s="303"/>
      <c r="F57" s="294">
        <f>+INPUT!CD63</f>
        <v>27237</v>
      </c>
      <c r="G57" s="303"/>
      <c r="H57" s="294">
        <f>+INPUT!CE63</f>
        <v>219141</v>
      </c>
      <c r="I57" s="303"/>
      <c r="J57" s="294">
        <f>+INPUT!CF63</f>
        <v>1274390</v>
      </c>
      <c r="K57" s="303"/>
      <c r="L57" s="294">
        <f>+INPUT!CH63</f>
        <v>106766</v>
      </c>
      <c r="M57" s="303"/>
      <c r="N57" s="294">
        <f>+SUM(C57:L57)</f>
        <v>1627534</v>
      </c>
      <c r="P57" s="296">
        <f>PROPREV!F57</f>
        <v>6919318</v>
      </c>
    </row>
    <row r="58" spans="2:19" ht="15.75">
      <c r="B58" s="276"/>
      <c r="C58" s="303"/>
      <c r="D58" s="337"/>
      <c r="E58" s="303"/>
      <c r="F58" s="337"/>
      <c r="G58" s="303"/>
      <c r="H58" s="337"/>
      <c r="I58" s="303"/>
      <c r="J58" s="337"/>
      <c r="K58" s="303"/>
      <c r="L58" s="337"/>
      <c r="M58" s="303"/>
      <c r="N58" s="337"/>
      <c r="P58" s="296"/>
    </row>
    <row r="59" spans="2:19" ht="15.75" hidden="1">
      <c r="B59" s="276" t="str">
        <f>INPUT!B66</f>
        <v xml:space="preserve">     Prior period adjustments</v>
      </c>
      <c r="C59" s="303"/>
      <c r="D59" s="317">
        <f>+INPUT!CB66</f>
        <v>0</v>
      </c>
      <c r="E59" s="294"/>
      <c r="F59" s="317">
        <f>+INPUT!CD66</f>
        <v>0</v>
      </c>
      <c r="G59" s="294"/>
      <c r="H59" s="317">
        <f>+INPUT!CE66</f>
        <v>0</v>
      </c>
      <c r="I59" s="294"/>
      <c r="J59" s="317">
        <f>+INPUT!CF66</f>
        <v>0</v>
      </c>
      <c r="K59" s="294"/>
      <c r="L59" s="317">
        <f>+INPUT!CH66</f>
        <v>0</v>
      </c>
      <c r="M59" s="303"/>
      <c r="N59" s="318">
        <f>SUM(D59:L59)</f>
        <v>0</v>
      </c>
      <c r="P59" s="296">
        <f>PROPREV!F59</f>
        <v>0</v>
      </c>
    </row>
    <row r="60" spans="2:19" ht="15.75" hidden="1">
      <c r="B60" s="276"/>
      <c r="C60" s="303"/>
      <c r="D60" s="294"/>
      <c r="E60" s="294"/>
      <c r="F60" s="294"/>
      <c r="G60" s="294"/>
      <c r="H60" s="294"/>
      <c r="I60" s="294"/>
      <c r="J60" s="294"/>
      <c r="K60" s="294"/>
      <c r="L60" s="294"/>
      <c r="M60" s="303"/>
      <c r="N60" s="294"/>
      <c r="P60" s="296"/>
    </row>
    <row r="61" spans="2:19" ht="15.75" hidden="1">
      <c r="B61" s="308" t="str">
        <f>INPUT!B69</f>
        <v xml:space="preserve">     Total net position, beginning, as restated</v>
      </c>
      <c r="C61" s="319"/>
      <c r="D61" s="300">
        <f>SUM(D57+D59)</f>
        <v>0</v>
      </c>
      <c r="E61" s="300">
        <f t="shared" ref="E61:L61" si="0">SUM(E57+E59)</f>
        <v>0</v>
      </c>
      <c r="F61" s="300">
        <f t="shared" si="0"/>
        <v>27237</v>
      </c>
      <c r="G61" s="300">
        <f t="shared" si="0"/>
        <v>0</v>
      </c>
      <c r="H61" s="300">
        <f t="shared" si="0"/>
        <v>219141</v>
      </c>
      <c r="I61" s="300">
        <f t="shared" si="0"/>
        <v>0</v>
      </c>
      <c r="J61" s="300">
        <f t="shared" si="0"/>
        <v>1274390</v>
      </c>
      <c r="K61" s="300">
        <f t="shared" si="0"/>
        <v>0</v>
      </c>
      <c r="L61" s="300">
        <f t="shared" si="0"/>
        <v>106766</v>
      </c>
      <c r="M61" s="303"/>
      <c r="N61" s="300">
        <f>SUM(N57+N59)</f>
        <v>1627534</v>
      </c>
      <c r="O61" s="374"/>
      <c r="P61" s="314">
        <f>PROPREV!F61</f>
        <v>6919318</v>
      </c>
    </row>
    <row r="62" spans="2:19" ht="15.75" hidden="1">
      <c r="B62" s="276"/>
      <c r="C62" s="303"/>
      <c r="D62" s="294"/>
      <c r="E62" s="294"/>
      <c r="F62" s="294"/>
      <c r="G62" s="294"/>
      <c r="H62" s="294"/>
      <c r="I62" s="294"/>
      <c r="J62" s="294"/>
      <c r="K62" s="294"/>
      <c r="L62" s="294"/>
      <c r="M62" s="303"/>
      <c r="N62" s="294"/>
      <c r="P62" s="296"/>
    </row>
    <row r="63" spans="2:19" ht="15.75" hidden="1">
      <c r="B63" s="276" t="str">
        <f>INPUT!B71</f>
        <v xml:space="preserve">     Residual equity transfers</v>
      </c>
      <c r="C63" s="303"/>
      <c r="D63" s="294">
        <f>+INPUT!CB71</f>
        <v>0</v>
      </c>
      <c r="E63" s="294">
        <f>+INPUT!CC71</f>
        <v>0</v>
      </c>
      <c r="F63" s="294">
        <f>+INPUT!CD71</f>
        <v>0</v>
      </c>
      <c r="G63" s="294">
        <f>+INPUT!CE71</f>
        <v>0</v>
      </c>
      <c r="H63" s="294">
        <f>+INPUT!CF71</f>
        <v>0</v>
      </c>
      <c r="I63" s="294">
        <f>+INPUT!CG71</f>
        <v>0</v>
      </c>
      <c r="J63" s="294">
        <f>+INPUT!CH71</f>
        <v>0</v>
      </c>
      <c r="K63" s="294">
        <f>+INPUT!CI71</f>
        <v>0</v>
      </c>
      <c r="L63" s="294">
        <f>+INPUT!CJ71</f>
        <v>0</v>
      </c>
      <c r="M63" s="303"/>
      <c r="N63" s="294">
        <f>+INPUT!CL71</f>
        <v>0</v>
      </c>
      <c r="P63" s="296">
        <f>PROPREV!F63</f>
        <v>0</v>
      </c>
    </row>
    <row r="64" spans="2:19" ht="15.75" hidden="1">
      <c r="B64" s="276"/>
      <c r="C64" s="303"/>
      <c r="D64" s="337"/>
      <c r="E64" s="294"/>
      <c r="F64" s="337"/>
      <c r="G64" s="294"/>
      <c r="H64" s="337"/>
      <c r="I64" s="294"/>
      <c r="J64" s="337"/>
      <c r="K64" s="294"/>
      <c r="L64" s="337"/>
      <c r="M64" s="303"/>
      <c r="N64" s="337"/>
      <c r="P64" s="296"/>
    </row>
    <row r="65" spans="2:16" ht="16.5" thickBot="1">
      <c r="B65" s="308" t="str">
        <f>INPUT!B74</f>
        <v xml:space="preserve">     Total net position, ending</v>
      </c>
      <c r="C65" s="303"/>
      <c r="D65" s="302">
        <f>SUM(D53+D55+D61+D63)</f>
        <v>0</v>
      </c>
      <c r="E65" s="326">
        <f t="shared" ref="E65:J65" si="1">SUM(E53+E55+E61+E63)</f>
        <v>0</v>
      </c>
      <c r="F65" s="302">
        <f t="shared" si="1"/>
        <v>49380</v>
      </c>
      <c r="G65" s="326"/>
      <c r="H65" s="302">
        <f t="shared" si="1"/>
        <v>180053</v>
      </c>
      <c r="I65" s="326"/>
      <c r="J65" s="302">
        <f t="shared" si="1"/>
        <v>1269238</v>
      </c>
      <c r="K65" s="326"/>
      <c r="L65" s="302">
        <f>SUM(L53+L55+L61+L63)</f>
        <v>121163</v>
      </c>
      <c r="M65" s="303"/>
      <c r="N65" s="302">
        <f>SUM(N53+N55+N61+N63)</f>
        <v>1619834</v>
      </c>
      <c r="O65" s="361"/>
      <c r="P65" s="293">
        <f>PROPREV!F65</f>
        <v>7199713</v>
      </c>
    </row>
    <row r="66" spans="2:16" ht="16.5" thickTop="1">
      <c r="B66" s="276"/>
      <c r="C66" s="276"/>
      <c r="D66" s="276"/>
      <c r="E66" s="276"/>
      <c r="F66" s="276"/>
      <c r="G66" s="276"/>
      <c r="H66" s="276"/>
      <c r="I66" s="276"/>
      <c r="J66" s="276"/>
      <c r="K66" s="276"/>
      <c r="L66" s="276"/>
      <c r="M66" s="276"/>
      <c r="N66" s="276"/>
    </row>
    <row r="67" spans="2:16" ht="15.75">
      <c r="M67" s="303"/>
    </row>
    <row r="68" spans="2:16" ht="16.5" thickBot="1">
      <c r="B68" s="334" t="s">
        <v>1752</v>
      </c>
      <c r="D68" s="621">
        <v>0</v>
      </c>
      <c r="E68" s="522"/>
      <c r="F68" s="621">
        <v>27237</v>
      </c>
      <c r="G68" s="522"/>
      <c r="H68" s="621">
        <v>219141</v>
      </c>
      <c r="I68" s="522"/>
      <c r="J68" s="621">
        <v>1274390</v>
      </c>
      <c r="K68" s="522"/>
      <c r="L68" s="621">
        <v>106766</v>
      </c>
      <c r="M68" s="303"/>
      <c r="N68" s="855">
        <v>1704276</v>
      </c>
    </row>
    <row r="69" spans="2:16" ht="16.5" thickTop="1">
      <c r="B69" s="391" t="s">
        <v>3457</v>
      </c>
      <c r="D69" s="288">
        <f>+D68-D57</f>
        <v>0</v>
      </c>
      <c r="F69" s="288">
        <f>+F68-F57</f>
        <v>0</v>
      </c>
      <c r="H69" s="288">
        <f>+H68-H57</f>
        <v>0</v>
      </c>
      <c r="J69" s="288">
        <f>+J68-J57</f>
        <v>0</v>
      </c>
      <c r="L69" s="288">
        <f>+L68-L57</f>
        <v>0</v>
      </c>
      <c r="M69" s="303"/>
      <c r="N69" s="288">
        <f>+N68-N57</f>
        <v>76742</v>
      </c>
    </row>
    <row r="70" spans="2:16" ht="15.75">
      <c r="M70" s="303"/>
    </row>
    <row r="80" spans="2:16">
      <c r="B80" s="373" t="s">
        <v>506</v>
      </c>
      <c r="D80" s="373"/>
    </row>
    <row r="81" spans="2:4">
      <c r="B81" s="288" t="s">
        <v>1086</v>
      </c>
    </row>
    <row r="83" spans="2:4">
      <c r="B83" s="288" t="s">
        <v>1087</v>
      </c>
    </row>
    <row r="85" spans="2:4">
      <c r="B85" s="330" t="s">
        <v>958</v>
      </c>
    </row>
    <row r="89" spans="2:4">
      <c r="B89" s="288" t="s">
        <v>405</v>
      </c>
    </row>
    <row r="91" spans="2:4">
      <c r="B91" s="288" t="s">
        <v>406</v>
      </c>
      <c r="D91" s="476"/>
    </row>
    <row r="93" spans="2:4">
      <c r="B93" s="288" t="s">
        <v>943</v>
      </c>
      <c r="D93" s="433"/>
    </row>
  </sheetData>
  <phoneticPr fontId="0" type="noConversion"/>
  <printOptions horizontalCentered="1"/>
  <pageMargins left="0.5" right="0.5" top="0.5" bottom="0.75" header="0.5" footer="0.25"/>
  <pageSetup scale="65" firstPageNumber="118" orientation="portrait" useFirstPageNumber="1" horizontalDpi="4294967292" r:id="rId1"/>
  <headerFooter alignWithMargins="0">
    <oddFooter xml:space="preserve">&amp;C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5"/>
  <dimension ref="A1:AH49"/>
  <sheetViews>
    <sheetView showGridLines="0" zoomScale="73" zoomScaleNormal="73" workbookViewId="0">
      <selection activeCell="W22" sqref="W22"/>
    </sheetView>
  </sheetViews>
  <sheetFormatPr defaultColWidth="9.140625" defaultRowHeight="12.75"/>
  <cols>
    <col min="1" max="1" width="9.140625" style="288"/>
    <col min="2" max="2" width="35" style="288" bestFit="1" customWidth="1"/>
    <col min="3" max="3" width="2" style="288" customWidth="1"/>
    <col min="4" max="4" width="14.5703125" style="288" bestFit="1" customWidth="1"/>
    <col min="5" max="5" width="2" style="288" customWidth="1"/>
    <col min="6" max="6" width="21.85546875" style="288" customWidth="1"/>
    <col min="7" max="7" width="2" style="288" customWidth="1"/>
    <col min="8" max="8" width="14.28515625" style="288" customWidth="1"/>
    <col min="9" max="9" width="5.28515625" style="288" customWidth="1"/>
    <col min="10" max="10" width="9.140625" style="288"/>
    <col min="11" max="11" width="3.140625" style="288" customWidth="1"/>
    <col min="12" max="14" width="9.140625" style="288"/>
    <col min="15" max="15" width="44" style="288" customWidth="1"/>
    <col min="16" max="16" width="2" style="288" customWidth="1"/>
    <col min="17" max="17" width="14.5703125" style="288" bestFit="1" customWidth="1"/>
    <col min="18" max="18" width="2" style="288" customWidth="1"/>
    <col min="19" max="19" width="12.42578125" style="288" customWidth="1"/>
    <col min="20" max="20" width="2" style="288" customWidth="1"/>
    <col min="21" max="21" width="12.42578125" style="288" customWidth="1"/>
    <col min="22" max="22" width="2" style="288" customWidth="1"/>
    <col min="23" max="23" width="14.5703125" style="288" bestFit="1" customWidth="1"/>
    <col min="24" max="27" width="9.140625" style="288"/>
    <col min="28" max="28" width="22.140625" style="288" customWidth="1"/>
    <col min="29" max="29" width="20" style="288" customWidth="1"/>
    <col min="30" max="32" width="18" style="288" customWidth="1"/>
    <col min="33" max="33" width="18.5703125" style="288" customWidth="1"/>
    <col min="34" max="34" width="18" style="288" hidden="1" customWidth="1"/>
    <col min="35" max="16384" width="9.140625" style="288"/>
  </cols>
  <sheetData>
    <row r="1" spans="1:25" ht="4.5" customHeight="1"/>
    <row r="2" spans="1:25">
      <c r="A2" s="583" t="s">
        <v>2527</v>
      </c>
      <c r="B2" s="583"/>
      <c r="C2" s="583"/>
      <c r="D2" s="583"/>
      <c r="E2" s="583"/>
      <c r="G2" s="583"/>
      <c r="N2" s="288" t="s">
        <v>2612</v>
      </c>
    </row>
    <row r="3" spans="1:25" ht="15.75">
      <c r="A3" s="583"/>
      <c r="B3" s="721"/>
      <c r="C3" s="721"/>
      <c r="D3" s="721"/>
      <c r="E3" s="721"/>
      <c r="F3" s="721"/>
      <c r="G3" s="721"/>
      <c r="H3" s="721"/>
      <c r="O3" s="276"/>
      <c r="P3" s="276"/>
      <c r="Q3" s="284" t="s">
        <v>2973</v>
      </c>
      <c r="R3" s="276"/>
      <c r="S3" s="276"/>
      <c r="T3" s="276"/>
      <c r="U3" s="276"/>
      <c r="V3" s="276"/>
      <c r="W3" s="284" t="s">
        <v>2973</v>
      </c>
    </row>
    <row r="4" spans="1:25" ht="24.75">
      <c r="A4" s="583"/>
      <c r="B4" s="720" t="s">
        <v>2529</v>
      </c>
      <c r="C4" s="721"/>
      <c r="D4" s="1288" t="s">
        <v>3472</v>
      </c>
      <c r="E4" s="721"/>
      <c r="F4" s="1288" t="s">
        <v>3473</v>
      </c>
      <c r="G4" s="721"/>
      <c r="H4" s="1288" t="s">
        <v>3474</v>
      </c>
      <c r="O4" s="1172"/>
      <c r="P4" s="276"/>
      <c r="Q4" s="1173">
        <v>44743</v>
      </c>
      <c r="R4" s="276"/>
      <c r="S4" s="1173" t="s">
        <v>2326</v>
      </c>
      <c r="T4" s="276"/>
      <c r="U4" s="1173" t="s">
        <v>2327</v>
      </c>
      <c r="V4" s="276"/>
      <c r="W4" s="1173">
        <v>45107</v>
      </c>
      <c r="Y4" s="391" t="s">
        <v>3351</v>
      </c>
    </row>
    <row r="5" spans="1:25" ht="15.75">
      <c r="A5" s="583"/>
      <c r="B5" s="723" t="s">
        <v>2532</v>
      </c>
      <c r="C5" s="397"/>
      <c r="D5" s="724">
        <f>1068361+72893+303690</f>
        <v>1444944</v>
      </c>
      <c r="E5" s="397"/>
      <c r="F5" s="723" t="s">
        <v>2530</v>
      </c>
      <c r="G5" s="397"/>
      <c r="H5" s="724">
        <f>466695+2250+30061</f>
        <v>499006</v>
      </c>
      <c r="O5" s="1174" t="s">
        <v>2613</v>
      </c>
      <c r="P5" s="276"/>
      <c r="Q5" s="1175">
        <v>8210000</v>
      </c>
      <c r="R5" s="276"/>
      <c r="S5" s="1175">
        <v>0</v>
      </c>
      <c r="T5" s="276"/>
      <c r="U5" s="1176">
        <v>580000</v>
      </c>
      <c r="V5" s="276"/>
      <c r="W5" s="1175">
        <f>+Q5+S5-U5</f>
        <v>7630000</v>
      </c>
      <c r="Y5" s="391" t="s">
        <v>3352</v>
      </c>
    </row>
    <row r="6" spans="1:25" ht="15.75">
      <c r="A6" s="583"/>
      <c r="B6" s="723" t="s">
        <v>2532</v>
      </c>
      <c r="D6" s="725">
        <f>93949+1201717+174252+26490+107870</f>
        <v>1604278</v>
      </c>
      <c r="F6" s="397" t="s">
        <v>2531</v>
      </c>
      <c r="H6" s="725">
        <v>16563</v>
      </c>
      <c r="O6" s="1174" t="s">
        <v>2613</v>
      </c>
      <c r="P6" s="276"/>
      <c r="Q6" s="1177">
        <v>3226545</v>
      </c>
      <c r="R6" s="276"/>
      <c r="S6" s="1177">
        <v>0</v>
      </c>
      <c r="T6" s="276"/>
      <c r="U6" s="1178">
        <v>158722</v>
      </c>
      <c r="V6" s="276"/>
      <c r="W6" s="1177">
        <f t="shared" ref="W6:W7" si="0">+Q6+S6-U6</f>
        <v>3067823</v>
      </c>
    </row>
    <row r="7" spans="1:25" ht="15.75">
      <c r="A7" s="583"/>
      <c r="B7" s="723" t="s">
        <v>2768</v>
      </c>
      <c r="C7" s="397"/>
      <c r="D7" s="725">
        <v>30061</v>
      </c>
      <c r="E7" s="397"/>
      <c r="F7" s="723" t="s">
        <v>2531</v>
      </c>
      <c r="G7" s="397"/>
      <c r="H7" s="725">
        <v>30061</v>
      </c>
      <c r="O7" s="1174" t="s">
        <v>2614</v>
      </c>
      <c r="P7" s="276"/>
      <c r="Q7" s="1179">
        <v>411739</v>
      </c>
      <c r="R7" s="276"/>
      <c r="S7" s="1179">
        <v>0</v>
      </c>
      <c r="T7" s="276"/>
      <c r="U7" s="1180">
        <v>60072</v>
      </c>
      <c r="V7" s="276"/>
      <c r="W7" s="1179">
        <f t="shared" si="0"/>
        <v>351667</v>
      </c>
    </row>
    <row r="8" spans="1:25" ht="16.5" thickBot="1">
      <c r="A8" s="583"/>
      <c r="B8" s="397" t="s">
        <v>3151</v>
      </c>
      <c r="C8" s="397"/>
      <c r="D8" s="397">
        <f>56804+198000</f>
        <v>254804</v>
      </c>
      <c r="E8" s="397"/>
      <c r="F8" s="397" t="s">
        <v>2530</v>
      </c>
      <c r="G8" s="397"/>
      <c r="H8" s="725">
        <v>56804</v>
      </c>
      <c r="O8" s="1181" t="s">
        <v>2615</v>
      </c>
      <c r="P8" s="276"/>
      <c r="Q8" s="1182">
        <f>SUM(Q5:Q7)</f>
        <v>11848284</v>
      </c>
      <c r="R8" s="276"/>
      <c r="S8" s="1182">
        <f>SUM(S5:S7)</f>
        <v>0</v>
      </c>
      <c r="T8" s="276"/>
      <c r="U8" s="1182">
        <f>SUM(U5:U7)</f>
        <v>798794</v>
      </c>
      <c r="V8" s="276"/>
      <c r="W8" s="1182">
        <f>SUM(W5:W7)</f>
        <v>11049490</v>
      </c>
    </row>
    <row r="9" spans="1:25" ht="16.5" thickTop="1">
      <c r="A9" s="583"/>
      <c r="B9" s="397" t="s">
        <v>2767</v>
      </c>
      <c r="C9" s="397"/>
      <c r="D9" s="725">
        <v>58300</v>
      </c>
      <c r="E9" s="397"/>
      <c r="F9" s="723" t="s">
        <v>2530</v>
      </c>
      <c r="G9" s="397"/>
      <c r="H9" s="725">
        <v>58300</v>
      </c>
      <c r="O9" s="276"/>
      <c r="P9" s="276"/>
      <c r="Q9" s="276"/>
      <c r="R9" s="276"/>
      <c r="S9" s="276"/>
      <c r="T9" s="276"/>
      <c r="U9" s="276"/>
      <c r="V9" s="276"/>
      <c r="W9" s="276"/>
    </row>
    <row r="10" spans="1:25" ht="15.75">
      <c r="A10" s="583"/>
      <c r="B10" s="397" t="s">
        <v>3388</v>
      </c>
      <c r="D10" s="725">
        <f>33750+125703</f>
        <v>159453</v>
      </c>
      <c r="F10" s="723" t="s">
        <v>2531</v>
      </c>
      <c r="G10" s="397"/>
      <c r="H10" s="725">
        <f>125703+31250</f>
        <v>156953</v>
      </c>
      <c r="O10" s="276"/>
      <c r="P10" s="276"/>
      <c r="Q10" s="276"/>
      <c r="R10" s="276"/>
      <c r="S10" s="276"/>
      <c r="T10" s="276"/>
      <c r="U10" s="276"/>
      <c r="V10" s="276"/>
      <c r="W10" s="276"/>
    </row>
    <row r="11" spans="1:25" ht="15.75">
      <c r="A11" s="583"/>
      <c r="B11" s="397" t="s">
        <v>2720</v>
      </c>
      <c r="D11" s="725">
        <f>47720+34117+24500+107000</f>
        <v>213337</v>
      </c>
      <c r="F11" s="723" t="s">
        <v>2530</v>
      </c>
      <c r="H11" s="725">
        <f>2797+291+168+9353+6726+2818+8308+51976+159028</f>
        <v>241465</v>
      </c>
      <c r="O11" s="276"/>
      <c r="P11" s="276"/>
      <c r="Q11" s="276"/>
      <c r="R11" s="276"/>
      <c r="S11" s="276"/>
      <c r="T11" s="276"/>
      <c r="U11" s="276"/>
      <c r="V11" s="276"/>
      <c r="W11" s="276"/>
    </row>
    <row r="12" spans="1:25" ht="15.75">
      <c r="A12" s="583"/>
      <c r="B12" s="397" t="s">
        <v>2720</v>
      </c>
      <c r="C12" s="397"/>
      <c r="D12" s="725">
        <f>283467+181844</f>
        <v>465311</v>
      </c>
      <c r="E12" s="397"/>
      <c r="F12" s="723" t="s">
        <v>2531</v>
      </c>
      <c r="H12" s="725">
        <v>63061</v>
      </c>
      <c r="O12" s="276"/>
      <c r="P12" s="276"/>
      <c r="Q12" s="276"/>
      <c r="R12" s="276"/>
      <c r="S12" s="276"/>
      <c r="T12" s="276"/>
      <c r="U12" s="276"/>
      <c r="V12" s="276"/>
      <c r="W12" s="276"/>
    </row>
    <row r="13" spans="1:25" ht="15.75" hidden="1">
      <c r="A13" s="583"/>
      <c r="B13" s="723" t="s">
        <v>2769</v>
      </c>
      <c r="C13" s="397"/>
      <c r="D13" s="725"/>
      <c r="E13" s="397"/>
      <c r="F13" s="723" t="s">
        <v>2530</v>
      </c>
      <c r="G13" s="397"/>
      <c r="H13" s="725"/>
      <c r="O13" s="276"/>
      <c r="P13" s="276"/>
      <c r="Q13" s="276"/>
      <c r="R13" s="276"/>
      <c r="S13" s="276"/>
      <c r="T13" s="276"/>
      <c r="U13" s="276"/>
      <c r="V13" s="276"/>
      <c r="W13" s="276"/>
    </row>
    <row r="14" spans="1:25" ht="15.75" hidden="1">
      <c r="A14" s="583"/>
      <c r="B14" s="723" t="s">
        <v>3149</v>
      </c>
      <c r="C14" s="397"/>
      <c r="D14" s="725"/>
      <c r="E14" s="397"/>
      <c r="F14" s="723" t="s">
        <v>3150</v>
      </c>
      <c r="G14" s="397"/>
      <c r="H14" s="725"/>
      <c r="O14" s="276"/>
      <c r="P14" s="276"/>
      <c r="Q14" s="276"/>
      <c r="R14" s="276"/>
      <c r="S14" s="276"/>
      <c r="T14" s="276"/>
      <c r="U14" s="276"/>
      <c r="V14" s="276"/>
      <c r="W14" s="276"/>
    </row>
    <row r="15" spans="1:25" ht="15.75" hidden="1">
      <c r="A15" s="583"/>
      <c r="B15" s="723" t="s">
        <v>2984</v>
      </c>
      <c r="C15" s="397"/>
      <c r="D15" s="725"/>
      <c r="E15" s="397"/>
      <c r="F15" s="723"/>
      <c r="G15" s="397"/>
      <c r="H15" s="725"/>
      <c r="O15" s="276"/>
      <c r="P15" s="276"/>
      <c r="Q15" s="276"/>
      <c r="R15" s="276"/>
      <c r="S15" s="276"/>
      <c r="T15" s="276"/>
      <c r="U15" s="276"/>
      <c r="V15" s="276"/>
      <c r="W15" s="276"/>
    </row>
    <row r="16" spans="1:25" ht="16.5" thickBot="1">
      <c r="A16" s="583"/>
      <c r="B16" s="726" t="s">
        <v>792</v>
      </c>
      <c r="C16" s="397"/>
      <c r="D16" s="727">
        <f>SUM(D5:D15)</f>
        <v>4230488</v>
      </c>
      <c r="E16" s="397"/>
      <c r="F16" s="397"/>
      <c r="G16" s="397"/>
      <c r="H16" s="727">
        <f>SUM(H5:H15)</f>
        <v>1122213</v>
      </c>
      <c r="O16" s="276"/>
      <c r="P16" s="276"/>
      <c r="Q16" s="276"/>
      <c r="R16" s="276"/>
      <c r="S16" s="276"/>
      <c r="T16" s="276"/>
      <c r="U16" s="276"/>
      <c r="V16" s="276"/>
      <c r="W16" s="276"/>
    </row>
    <row r="17" spans="2:34" ht="13.5" thickTop="1">
      <c r="B17" s="583"/>
      <c r="C17" s="583"/>
      <c r="D17" s="583"/>
      <c r="E17" s="583"/>
      <c r="G17" s="583"/>
    </row>
    <row r="19" spans="2:34" ht="13.5" thickBot="1"/>
    <row r="20" spans="2:34" ht="63.75" customHeight="1" thickBot="1">
      <c r="AB20" s="1012" t="s">
        <v>2784</v>
      </c>
      <c r="AC20" s="1013" t="s">
        <v>2785</v>
      </c>
      <c r="AD20" s="1013" t="s">
        <v>2787</v>
      </c>
      <c r="AE20" s="1013" t="s">
        <v>2788</v>
      </c>
      <c r="AF20" s="1013" t="s">
        <v>2789</v>
      </c>
      <c r="AG20" s="1014" t="s">
        <v>2790</v>
      </c>
    </row>
    <row r="21" spans="2:34" ht="22.5" customHeight="1" thickBot="1">
      <c r="AB21" s="1104" t="s">
        <v>3158</v>
      </c>
      <c r="AC21" s="1105" t="s">
        <v>2791</v>
      </c>
      <c r="AD21" s="1105" t="s">
        <v>2799</v>
      </c>
      <c r="AE21" s="1105" t="s">
        <v>2792</v>
      </c>
      <c r="AF21" s="1105" t="s">
        <v>2793</v>
      </c>
      <c r="AG21" s="1105" t="s">
        <v>2793</v>
      </c>
      <c r="AH21" s="1050"/>
    </row>
    <row r="22" spans="2:34" ht="51" customHeight="1" thickBot="1">
      <c r="AB22" s="1106" t="s">
        <v>2801</v>
      </c>
      <c r="AC22" s="1107" t="s">
        <v>2794</v>
      </c>
      <c r="AD22" s="1107" t="s">
        <v>2799</v>
      </c>
      <c r="AE22" s="1107" t="s">
        <v>2792</v>
      </c>
      <c r="AF22" s="1107" t="s">
        <v>2793</v>
      </c>
      <c r="AG22" s="1107" t="s">
        <v>2793</v>
      </c>
      <c r="AH22" s="1051"/>
    </row>
    <row r="23" spans="2:34" ht="75.75" customHeight="1" thickBot="1">
      <c r="D23" s="330" t="s">
        <v>2533</v>
      </c>
      <c r="F23" s="330" t="s">
        <v>2534</v>
      </c>
      <c r="H23" s="330"/>
      <c r="Q23" s="723"/>
      <c r="S23" s="723"/>
      <c r="U23" s="723"/>
      <c r="W23" s="723"/>
      <c r="AB23" s="1106" t="s">
        <v>3159</v>
      </c>
      <c r="AC23" s="1107" t="s">
        <v>3160</v>
      </c>
      <c r="AD23" s="1107" t="s">
        <v>2799</v>
      </c>
      <c r="AE23" s="1107" t="s">
        <v>2792</v>
      </c>
      <c r="AF23" s="1107" t="s">
        <v>2793</v>
      </c>
      <c r="AG23" s="1108">
        <v>2500000</v>
      </c>
      <c r="AH23" s="1006"/>
    </row>
    <row r="24" spans="2:34" ht="51.75" customHeight="1" thickBot="1">
      <c r="B24" s="676" t="s">
        <v>2535</v>
      </c>
      <c r="D24" s="676" t="s">
        <v>2536</v>
      </c>
      <c r="F24" s="676" t="s">
        <v>2537</v>
      </c>
      <c r="H24" s="1305" t="s">
        <v>2538</v>
      </c>
      <c r="I24" s="1305"/>
      <c r="Q24" s="723"/>
      <c r="S24" s="723"/>
      <c r="U24" s="723"/>
      <c r="W24" s="723"/>
      <c r="AB24" s="1106" t="s">
        <v>3161</v>
      </c>
      <c r="AC24" s="1107" t="s">
        <v>2798</v>
      </c>
      <c r="AD24" s="1107" t="s">
        <v>2800</v>
      </c>
      <c r="AE24" s="1107" t="s">
        <v>3446</v>
      </c>
      <c r="AF24" s="1107" t="s">
        <v>2793</v>
      </c>
      <c r="AG24" s="1107" t="s">
        <v>2793</v>
      </c>
      <c r="AH24" s="1008"/>
    </row>
    <row r="25" spans="2:34" ht="51" customHeight="1" thickBot="1">
      <c r="B25" s="391"/>
      <c r="C25" s="391"/>
      <c r="D25" s="728"/>
      <c r="E25" s="391"/>
      <c r="F25" s="332"/>
      <c r="G25" s="391"/>
      <c r="H25" s="391"/>
      <c r="AB25" s="1106" t="s">
        <v>3010</v>
      </c>
      <c r="AC25" s="1107" t="s">
        <v>2786</v>
      </c>
      <c r="AD25" s="1107" t="s">
        <v>2799</v>
      </c>
      <c r="AE25" s="1107" t="s">
        <v>2792</v>
      </c>
      <c r="AF25" s="1107" t="s">
        <v>2793</v>
      </c>
      <c r="AG25" s="1108">
        <v>5200000</v>
      </c>
      <c r="AH25" s="1006"/>
    </row>
    <row r="26" spans="2:34" ht="75" customHeight="1" thickBot="1">
      <c r="B26" s="330" t="s">
        <v>2539</v>
      </c>
      <c r="D26" s="729">
        <v>500000</v>
      </c>
      <c r="F26" s="330" t="s">
        <v>2540</v>
      </c>
      <c r="H26" s="1306" t="s">
        <v>2724</v>
      </c>
      <c r="I26" s="1306"/>
      <c r="AB26" s="1106" t="s">
        <v>3011</v>
      </c>
      <c r="AC26" s="1107" t="s">
        <v>3162</v>
      </c>
      <c r="AD26" s="1107" t="s">
        <v>2799</v>
      </c>
      <c r="AE26" s="1107" t="s">
        <v>2792</v>
      </c>
      <c r="AF26" s="1107" t="s">
        <v>2793</v>
      </c>
      <c r="AG26" s="1108" t="s">
        <v>3437</v>
      </c>
      <c r="AH26" s="1008"/>
    </row>
    <row r="27" spans="2:34" ht="60.75" customHeight="1" thickBot="1">
      <c r="B27" s="330"/>
      <c r="H27" s="1307" t="s">
        <v>2462</v>
      </c>
      <c r="I27" s="1307"/>
      <c r="AB27" s="1106" t="s">
        <v>3438</v>
      </c>
      <c r="AC27" s="1107" t="s">
        <v>3439</v>
      </c>
      <c r="AD27" s="1107" t="s">
        <v>2799</v>
      </c>
      <c r="AE27" s="1107" t="s">
        <v>2792</v>
      </c>
      <c r="AF27" s="1107" t="s">
        <v>2793</v>
      </c>
      <c r="AG27" s="1108">
        <v>35000</v>
      </c>
      <c r="AH27" s="1006"/>
    </row>
    <row r="28" spans="2:34" ht="51.75" customHeight="1" thickBot="1">
      <c r="B28" s="330" t="s">
        <v>2541</v>
      </c>
      <c r="D28" s="729" t="s">
        <v>2542</v>
      </c>
      <c r="F28" s="330" t="s">
        <v>2540</v>
      </c>
      <c r="H28" s="1307" t="s">
        <v>2543</v>
      </c>
      <c r="I28" s="1307"/>
      <c r="AB28" s="1106" t="s">
        <v>3268</v>
      </c>
      <c r="AC28" s="1107" t="s">
        <v>2786</v>
      </c>
      <c r="AD28" s="1107" t="s">
        <v>2799</v>
      </c>
      <c r="AE28" s="1107" t="s">
        <v>2792</v>
      </c>
      <c r="AF28" s="1107" t="s">
        <v>2793</v>
      </c>
      <c r="AG28" s="1107" t="s">
        <v>2793</v>
      </c>
      <c r="AH28" s="1053"/>
    </row>
    <row r="29" spans="2:34" ht="16.5" hidden="1" thickBot="1">
      <c r="B29" s="330" t="s">
        <v>2544</v>
      </c>
      <c r="D29" s="729">
        <v>1000000</v>
      </c>
      <c r="F29" s="330" t="s">
        <v>2540</v>
      </c>
      <c r="H29" s="1307" t="s">
        <v>2543</v>
      </c>
      <c r="I29" s="1307"/>
      <c r="AB29" s="1106"/>
      <c r="AC29" s="1107"/>
      <c r="AD29" s="1107"/>
      <c r="AE29" s="1107"/>
      <c r="AF29" s="1107"/>
      <c r="AG29" s="1108"/>
      <c r="AH29" s="1011"/>
    </row>
    <row r="30" spans="2:34" ht="16.5" hidden="1" thickBot="1">
      <c r="AB30" s="1106"/>
      <c r="AC30" s="1107"/>
      <c r="AD30" s="1107"/>
      <c r="AE30" s="1107"/>
      <c r="AF30" s="1107"/>
      <c r="AG30" s="1107"/>
      <c r="AH30" s="1011"/>
    </row>
    <row r="31" spans="2:34" ht="48" hidden="1" thickBot="1">
      <c r="AB31" s="1106" t="s">
        <v>2796</v>
      </c>
      <c r="AC31" s="1107" t="s">
        <v>2786</v>
      </c>
      <c r="AD31" s="1107" t="s">
        <v>2793</v>
      </c>
      <c r="AE31" s="1107" t="s">
        <v>2792</v>
      </c>
      <c r="AF31" s="1107" t="s">
        <v>2793</v>
      </c>
      <c r="AG31" s="1107" t="s">
        <v>2793</v>
      </c>
      <c r="AH31" s="1011"/>
    </row>
    <row r="32" spans="2:34" ht="48" hidden="1" thickBot="1">
      <c r="AB32" s="1106" t="s">
        <v>3163</v>
      </c>
      <c r="AC32" s="1107" t="s">
        <v>2786</v>
      </c>
      <c r="AD32" s="1107" t="s">
        <v>2793</v>
      </c>
      <c r="AE32" s="1107" t="s">
        <v>2792</v>
      </c>
      <c r="AF32" s="1107" t="s">
        <v>2793</v>
      </c>
      <c r="AG32" s="1107" t="s">
        <v>2793</v>
      </c>
      <c r="AH32" s="1011"/>
    </row>
    <row r="33" spans="28:34" ht="48" hidden="1" thickBot="1">
      <c r="AB33" s="1106" t="s">
        <v>3164</v>
      </c>
      <c r="AC33" s="1107" t="s">
        <v>2786</v>
      </c>
      <c r="AD33" s="1107" t="s">
        <v>2793</v>
      </c>
      <c r="AE33" s="1107" t="s">
        <v>2792</v>
      </c>
      <c r="AF33" s="1107" t="s">
        <v>2793</v>
      </c>
      <c r="AG33" s="1107" t="s">
        <v>2793</v>
      </c>
      <c r="AH33" s="1011"/>
    </row>
    <row r="34" spans="28:34" ht="48" hidden="1" thickBot="1">
      <c r="AB34" s="1106" t="s">
        <v>2797</v>
      </c>
      <c r="AC34" s="1107" t="s">
        <v>2786</v>
      </c>
      <c r="AD34" s="1107" t="s">
        <v>2793</v>
      </c>
      <c r="AE34" s="1107" t="s">
        <v>2792</v>
      </c>
      <c r="AF34" s="1107" t="s">
        <v>2793</v>
      </c>
      <c r="AG34" s="1107" t="s">
        <v>2793</v>
      </c>
      <c r="AH34" s="1011"/>
    </row>
    <row r="35" spans="28:34" ht="48" hidden="1" thickBot="1">
      <c r="AB35" s="1106" t="s">
        <v>2795</v>
      </c>
      <c r="AC35" s="1107" t="s">
        <v>2786</v>
      </c>
      <c r="AD35" s="1107" t="s">
        <v>2793</v>
      </c>
      <c r="AE35" s="1107" t="s">
        <v>2792</v>
      </c>
      <c r="AF35" s="1107" t="s">
        <v>2793</v>
      </c>
      <c r="AG35" s="1107" t="s">
        <v>2793</v>
      </c>
      <c r="AH35" s="1011"/>
    </row>
    <row r="36" spans="28:34" ht="48" hidden="1" thickBot="1">
      <c r="AB36" s="1106" t="s">
        <v>3165</v>
      </c>
      <c r="AC36" s="1107" t="s">
        <v>2786</v>
      </c>
      <c r="AD36" s="1107" t="s">
        <v>2793</v>
      </c>
      <c r="AE36" s="1107" t="s">
        <v>2792</v>
      </c>
      <c r="AF36" s="1107" t="s">
        <v>2793</v>
      </c>
      <c r="AG36" s="1107" t="s">
        <v>2793</v>
      </c>
      <c r="AH36" s="1011"/>
    </row>
    <row r="37" spans="28:34" ht="51" customHeight="1" thickBot="1">
      <c r="AB37" s="1106" t="s">
        <v>3166</v>
      </c>
      <c r="AC37" s="1107" t="s">
        <v>2786</v>
      </c>
      <c r="AD37" s="1107" t="s">
        <v>2799</v>
      </c>
      <c r="AE37" s="1107" t="s">
        <v>2792</v>
      </c>
      <c r="AF37" s="1107" t="s">
        <v>2793</v>
      </c>
      <c r="AG37" s="1107" t="s">
        <v>2793</v>
      </c>
      <c r="AH37" s="1011"/>
    </row>
    <row r="38" spans="28:34" ht="51" customHeight="1" thickBot="1">
      <c r="AB38" s="1106" t="s">
        <v>3167</v>
      </c>
      <c r="AC38" s="1107" t="s">
        <v>2786</v>
      </c>
      <c r="AD38" s="1107" t="s">
        <v>2799</v>
      </c>
      <c r="AE38" s="1107" t="s">
        <v>2792</v>
      </c>
      <c r="AF38" s="1107" t="s">
        <v>2793</v>
      </c>
      <c r="AG38" s="1107" t="s">
        <v>2793</v>
      </c>
      <c r="AH38" s="1011"/>
    </row>
    <row r="39" spans="28:34" ht="51" customHeight="1" thickBot="1">
      <c r="AB39" s="1106" t="s">
        <v>3267</v>
      </c>
      <c r="AC39" s="1107" t="s">
        <v>2786</v>
      </c>
      <c r="AD39" s="1107" t="s">
        <v>2799</v>
      </c>
      <c r="AE39" s="1107" t="s">
        <v>2792</v>
      </c>
      <c r="AF39" s="1107" t="s">
        <v>2793</v>
      </c>
      <c r="AG39" s="1107" t="s">
        <v>2793</v>
      </c>
      <c r="AH39" s="1011"/>
    </row>
    <row r="40" spans="28:34" ht="48" hidden="1" thickBot="1">
      <c r="AB40" s="1106" t="s">
        <v>3440</v>
      </c>
      <c r="AC40" s="1107" t="s">
        <v>2786</v>
      </c>
      <c r="AD40" s="1107" t="s">
        <v>2793</v>
      </c>
      <c r="AE40" s="1107" t="s">
        <v>2792</v>
      </c>
      <c r="AF40" s="1107" t="s">
        <v>2793</v>
      </c>
      <c r="AG40" s="1107" t="s">
        <v>2793</v>
      </c>
      <c r="AH40" s="1011"/>
    </row>
    <row r="41" spans="28:34" ht="48" hidden="1" thickBot="1">
      <c r="AB41" s="1106" t="s">
        <v>3441</v>
      </c>
      <c r="AC41" s="1107" t="s">
        <v>2786</v>
      </c>
      <c r="AD41" s="1107" t="s">
        <v>2793</v>
      </c>
      <c r="AE41" s="1107" t="s">
        <v>2792</v>
      </c>
      <c r="AF41" s="1107" t="s">
        <v>2793</v>
      </c>
      <c r="AG41" s="1107" t="s">
        <v>2793</v>
      </c>
      <c r="AH41" s="1011"/>
    </row>
    <row r="42" spans="28:34" ht="48" hidden="1" thickBot="1">
      <c r="AB42" s="1106" t="s">
        <v>3442</v>
      </c>
      <c r="AC42" s="1107" t="s">
        <v>2786</v>
      </c>
      <c r="AD42" s="1107" t="s">
        <v>2793</v>
      </c>
      <c r="AE42" s="1107" t="s">
        <v>2792</v>
      </c>
      <c r="AF42" s="1107" t="s">
        <v>2793</v>
      </c>
      <c r="AG42" s="1107" t="s">
        <v>2793</v>
      </c>
      <c r="AH42" s="1011"/>
    </row>
    <row r="43" spans="28:34" ht="48" hidden="1" thickBot="1">
      <c r="AB43" s="1106" t="s">
        <v>3443</v>
      </c>
      <c r="AC43" s="1107" t="s">
        <v>2786</v>
      </c>
      <c r="AD43" s="1107" t="s">
        <v>2793</v>
      </c>
      <c r="AE43" s="1107" t="s">
        <v>2792</v>
      </c>
      <c r="AF43" s="1107" t="s">
        <v>2793</v>
      </c>
      <c r="AG43" s="1107" t="s">
        <v>2793</v>
      </c>
      <c r="AH43" s="1011"/>
    </row>
    <row r="44" spans="28:34" ht="48" hidden="1" thickBot="1">
      <c r="AB44" s="1106" t="s">
        <v>3444</v>
      </c>
      <c r="AC44" s="1107" t="s">
        <v>2786</v>
      </c>
      <c r="AD44" s="1107" t="s">
        <v>2793</v>
      </c>
      <c r="AE44" s="1107" t="s">
        <v>2792</v>
      </c>
      <c r="AF44" s="1107" t="s">
        <v>2793</v>
      </c>
      <c r="AG44" s="1107" t="s">
        <v>2793</v>
      </c>
      <c r="AH44" s="1011"/>
    </row>
    <row r="45" spans="28:34" ht="48" hidden="1" thickBot="1">
      <c r="AB45" s="1106" t="s">
        <v>3445</v>
      </c>
      <c r="AC45" s="1107" t="s">
        <v>2786</v>
      </c>
      <c r="AD45" s="1107" t="s">
        <v>2793</v>
      </c>
      <c r="AE45" s="1107" t="s">
        <v>2792</v>
      </c>
      <c r="AF45" s="1107" t="s">
        <v>2793</v>
      </c>
      <c r="AG45" s="1107" t="s">
        <v>2793</v>
      </c>
      <c r="AH45" s="1011"/>
    </row>
    <row r="46" spans="28:34" ht="13.5" hidden="1" thickBot="1">
      <c r="AB46" s="1052"/>
      <c r="AC46" s="1052"/>
      <c r="AD46" s="882"/>
      <c r="AE46" s="881"/>
      <c r="AF46" s="882"/>
      <c r="AG46" s="1010"/>
      <c r="AH46" s="1011"/>
    </row>
    <row r="47" spans="28:34" hidden="1">
      <c r="AB47" s="1007"/>
      <c r="AC47" s="1005"/>
      <c r="AD47" s="1005"/>
      <c r="AE47" s="1005"/>
      <c r="AF47" s="1005"/>
      <c r="AG47" s="1005"/>
      <c r="AH47" s="1006"/>
    </row>
    <row r="48" spans="28:34" hidden="1">
      <c r="AB48" s="1007"/>
      <c r="AC48" s="1005"/>
      <c r="AD48" s="1005"/>
      <c r="AE48" s="1005"/>
      <c r="AF48" s="1005"/>
      <c r="AG48" s="1005"/>
      <c r="AH48" s="1053"/>
    </row>
    <row r="49" spans="28:34" ht="13.5" hidden="1" thickBot="1">
      <c r="AB49" s="1009"/>
      <c r="AC49" s="1010"/>
      <c r="AD49" s="1010"/>
      <c r="AE49" s="1010"/>
      <c r="AF49" s="1010"/>
      <c r="AG49" s="1010"/>
      <c r="AH49" s="1054"/>
    </row>
  </sheetData>
  <mergeCells count="5">
    <mergeCell ref="H24:I24"/>
    <mergeCell ref="H26:I26"/>
    <mergeCell ref="H27:I27"/>
    <mergeCell ref="H28:I28"/>
    <mergeCell ref="H29:I29"/>
  </mergeCells>
  <pageMargins left="0.7" right="0.7" top="0.75" bottom="0.75" header="0.3" footer="0.3"/>
  <pageSetup orientation="portrait" r:id="rId1"/>
  <ignoredErrors>
    <ignoredError sqref="Q8"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ransitionEvaluation="1" codeName="Sheet35"/>
  <dimension ref="B1:W154"/>
  <sheetViews>
    <sheetView showGridLines="0" topLeftCell="B1" zoomScale="70" zoomScaleNormal="70" workbookViewId="0">
      <selection activeCell="O63" sqref="O63"/>
    </sheetView>
  </sheetViews>
  <sheetFormatPr defaultColWidth="9.7109375" defaultRowHeight="12.75"/>
  <cols>
    <col min="1" max="1" width="2.7109375" style="288" customWidth="1"/>
    <col min="2" max="2" width="58.85546875" style="288" customWidth="1"/>
    <col min="3" max="3" width="2.7109375" style="288" customWidth="1"/>
    <col min="4" max="4" width="18.7109375" style="288" hidden="1" customWidth="1"/>
    <col min="5" max="5" width="2.7109375" style="288" hidden="1" customWidth="1"/>
    <col min="6" max="6" width="17.28515625" style="288" customWidth="1"/>
    <col min="7" max="7" width="2.7109375" style="288" customWidth="1"/>
    <col min="8" max="8" width="17.42578125" style="288" customWidth="1"/>
    <col min="9" max="9" width="75.7109375" style="288" hidden="1" customWidth="1"/>
    <col min="10" max="10" width="2.7109375" style="288" customWidth="1"/>
    <col min="11" max="11" width="17.42578125" style="288" customWidth="1"/>
    <col min="12" max="12" width="2.7109375" style="288" customWidth="1"/>
    <col min="13" max="13" width="17.42578125" style="288" customWidth="1"/>
    <col min="14" max="14" width="2.7109375" style="288" customWidth="1"/>
    <col min="15" max="15" width="18.7109375" style="288" customWidth="1"/>
    <col min="16" max="16" width="20.7109375" style="288" customWidth="1"/>
    <col min="17" max="17" width="16.7109375" style="288" customWidth="1"/>
    <col min="18" max="18" width="10.140625" style="288" bestFit="1" customWidth="1"/>
    <col min="19" max="19" width="9.85546875" style="288" bestFit="1" customWidth="1"/>
    <col min="20" max="20" width="9.7109375" style="288"/>
    <col min="21" max="21" width="16.5703125" style="288" bestFit="1" customWidth="1"/>
    <col min="22" max="16384" width="9.7109375" style="288"/>
  </cols>
  <sheetData>
    <row r="1" spans="2:21" ht="12.75" customHeight="1"/>
    <row r="2" spans="2:21" ht="12.75" customHeight="1"/>
    <row r="3" spans="2:21" ht="15.75">
      <c r="B3" s="305" t="s">
        <v>1049</v>
      </c>
      <c r="C3" s="305"/>
      <c r="D3" s="305"/>
      <c r="E3" s="305"/>
      <c r="F3" s="305"/>
      <c r="G3" s="305"/>
      <c r="H3" s="305"/>
      <c r="I3" s="305" t="s">
        <v>1049</v>
      </c>
      <c r="J3" s="305"/>
      <c r="K3" s="305"/>
      <c r="L3" s="305"/>
      <c r="M3" s="305"/>
      <c r="N3" s="305"/>
      <c r="O3" s="305"/>
      <c r="Q3" s="277"/>
    </row>
    <row r="4" spans="2:21" ht="15.75">
      <c r="B4" s="305" t="s">
        <v>366</v>
      </c>
      <c r="C4" s="305"/>
      <c r="D4" s="305"/>
      <c r="E4" s="305"/>
      <c r="F4" s="305"/>
      <c r="G4" s="305"/>
      <c r="H4" s="305"/>
      <c r="I4" s="305" t="s">
        <v>366</v>
      </c>
      <c r="J4" s="305"/>
      <c r="K4" s="305"/>
      <c r="L4" s="305"/>
      <c r="M4" s="305"/>
      <c r="N4" s="305"/>
      <c r="O4" s="305"/>
      <c r="Q4" s="277"/>
    </row>
    <row r="5" spans="2:21" ht="15.75">
      <c r="B5" s="305" t="s">
        <v>838</v>
      </c>
      <c r="C5" s="305"/>
      <c r="D5" s="305"/>
      <c r="E5" s="305"/>
      <c r="F5" s="305"/>
      <c r="G5" s="305"/>
      <c r="H5" s="305"/>
      <c r="I5" s="305" t="s">
        <v>838</v>
      </c>
      <c r="J5" s="305"/>
      <c r="K5" s="305"/>
      <c r="L5" s="305"/>
      <c r="M5" s="305"/>
      <c r="N5" s="305"/>
      <c r="O5" s="305"/>
      <c r="Q5" s="277"/>
    </row>
    <row r="6" spans="2:21" ht="15.75">
      <c r="B6" s="305" t="str">
        <f>+'Sys INPUT'!B2</f>
        <v>For the  Fiscal Year Ended June 30, 2023</v>
      </c>
      <c r="C6" s="305"/>
      <c r="D6" s="305"/>
      <c r="E6" s="305"/>
      <c r="F6" s="305"/>
      <c r="G6" s="305"/>
      <c r="H6" s="305"/>
      <c r="I6" s="305" t="str">
        <f>+B6</f>
        <v>For the  Fiscal Year Ended June 30, 2023</v>
      </c>
      <c r="J6" s="305"/>
      <c r="K6" s="305"/>
      <c r="L6" s="305"/>
      <c r="M6" s="305"/>
      <c r="N6" s="305"/>
      <c r="O6" s="305"/>
      <c r="Q6" s="277"/>
    </row>
    <row r="7" spans="2:21" ht="15.75">
      <c r="B7" s="307"/>
      <c r="C7" s="307"/>
      <c r="D7" s="307"/>
      <c r="E7" s="307"/>
      <c r="F7" s="307"/>
      <c r="G7" s="307"/>
      <c r="H7" s="307"/>
      <c r="I7" s="307" t="s">
        <v>253</v>
      </c>
      <c r="J7" s="307"/>
      <c r="K7" s="305"/>
      <c r="L7" s="305"/>
      <c r="M7" s="305"/>
      <c r="N7" s="305"/>
      <c r="O7" s="305"/>
      <c r="Q7" s="277"/>
    </row>
    <row r="8" spans="2:21" ht="15.75" hidden="1">
      <c r="E8" s="277"/>
      <c r="F8" s="277"/>
      <c r="G8" s="305"/>
      <c r="H8" s="305"/>
      <c r="K8" s="305"/>
      <c r="L8" s="305"/>
      <c r="M8" s="305"/>
      <c r="N8" s="305"/>
      <c r="O8" s="305"/>
      <c r="Q8" s="277"/>
    </row>
    <row r="9" spans="2:21" ht="15.75" hidden="1">
      <c r="E9" s="277"/>
      <c r="F9" s="277"/>
      <c r="G9" s="305"/>
      <c r="H9" s="305"/>
      <c r="K9" s="305"/>
      <c r="L9" s="305"/>
      <c r="M9" s="305"/>
      <c r="N9" s="305"/>
      <c r="O9" s="305"/>
      <c r="Q9" s="284"/>
    </row>
    <row r="10" spans="2:21" ht="15.75">
      <c r="E10" s="277"/>
      <c r="F10" s="277"/>
      <c r="G10" s="305"/>
      <c r="H10" s="305"/>
      <c r="K10" s="305"/>
      <c r="L10" s="305"/>
      <c r="M10" s="305"/>
      <c r="N10" s="305"/>
      <c r="O10" s="305"/>
      <c r="Q10" s="284"/>
    </row>
    <row r="11" spans="2:21" ht="15.75">
      <c r="E11" s="277"/>
      <c r="F11" s="277"/>
      <c r="G11" s="305"/>
      <c r="H11" s="305"/>
      <c r="K11" s="305"/>
      <c r="L11" s="305"/>
      <c r="M11" s="305"/>
      <c r="N11" s="305"/>
      <c r="O11" s="305"/>
      <c r="Q11" s="277"/>
    </row>
    <row r="12" spans="2:21" ht="15.75">
      <c r="B12" s="276"/>
      <c r="C12" s="276"/>
      <c r="D12" s="276"/>
      <c r="E12" s="287"/>
      <c r="F12" s="287"/>
      <c r="G12" s="287"/>
      <c r="H12" s="287"/>
      <c r="I12" s="276"/>
      <c r="J12" s="276"/>
      <c r="K12" s="287" t="s">
        <v>308</v>
      </c>
      <c r="L12" s="287"/>
      <c r="M12" s="287"/>
      <c r="N12" s="287"/>
      <c r="O12" s="287"/>
      <c r="U12" s="287"/>
    </row>
    <row r="13" spans="2:21" ht="15.75">
      <c r="B13" s="308"/>
      <c r="C13" s="308"/>
      <c r="D13" s="287"/>
      <c r="E13" s="287"/>
      <c r="F13" s="287" t="s">
        <v>193</v>
      </c>
      <c r="G13" s="287"/>
      <c r="H13" s="287" t="s">
        <v>900</v>
      </c>
      <c r="I13" s="308"/>
      <c r="J13" s="308"/>
      <c r="K13" s="287" t="s">
        <v>68</v>
      </c>
      <c r="L13" s="287"/>
      <c r="M13" s="287" t="s">
        <v>69</v>
      </c>
      <c r="N13" s="287"/>
      <c r="O13" s="287"/>
      <c r="U13" s="287"/>
    </row>
    <row r="14" spans="2:21" ht="15.75">
      <c r="B14" s="308"/>
      <c r="C14" s="308"/>
      <c r="D14" s="290"/>
      <c r="E14" s="287"/>
      <c r="F14" s="290" t="s">
        <v>1131</v>
      </c>
      <c r="G14" s="276"/>
      <c r="H14" s="290" t="s">
        <v>1131</v>
      </c>
      <c r="I14" s="308"/>
      <c r="J14" s="308"/>
      <c r="K14" s="290" t="s">
        <v>194</v>
      </c>
      <c r="L14" s="287"/>
      <c r="M14" s="290" t="s">
        <v>1131</v>
      </c>
      <c r="N14" s="276"/>
      <c r="O14" s="290" t="s">
        <v>315</v>
      </c>
      <c r="U14" s="290" t="s">
        <v>372</v>
      </c>
    </row>
    <row r="15" spans="2:21" ht="15.75">
      <c r="B15" s="308" t="s">
        <v>148</v>
      </c>
      <c r="C15" s="308"/>
      <c r="D15" s="276"/>
      <c r="E15" s="276"/>
      <c r="F15" s="276"/>
      <c r="G15" s="276"/>
      <c r="H15" s="276"/>
      <c r="I15" s="308" t="s">
        <v>148</v>
      </c>
      <c r="J15" s="308"/>
      <c r="K15" s="276"/>
      <c r="L15" s="287"/>
      <c r="M15" s="276"/>
      <c r="N15" s="276"/>
      <c r="O15" s="276"/>
      <c r="P15" s="276"/>
      <c r="Q15" s="276"/>
      <c r="U15" s="276"/>
    </row>
    <row r="16" spans="2:21" ht="15.75">
      <c r="B16" s="276" t="s">
        <v>367</v>
      </c>
      <c r="C16" s="276"/>
      <c r="D16" s="292">
        <f>+INPUT!CB13-INPUT!CB89+'ENT BS'!D62+D124-D135+INPUT!CB250-D145-0</f>
        <v>0</v>
      </c>
      <c r="E16" s="303"/>
      <c r="F16" s="292">
        <f>+INPUT!CD13-INPUT!CD89+'ENT BS'!F62+F124-F134-H1193-0</f>
        <v>129873</v>
      </c>
      <c r="G16" s="303"/>
      <c r="H16" s="292">
        <f>+INPUT!CE13-INPUT!CE89+'ENT BS'!H62+H124-H134-H138</f>
        <v>165220</v>
      </c>
      <c r="I16" s="276" t="s">
        <v>367</v>
      </c>
      <c r="J16" s="276"/>
      <c r="K16" s="292">
        <f>+INPUT!CF13-INPUT!CF89+'ENT BS'!H62+K124-K134-K138</f>
        <v>1392910</v>
      </c>
      <c r="L16" s="287"/>
      <c r="M16" s="292">
        <f>+INPUT!CH13-INPUT!CH89+'ENT BS'!H62+M124-M134-M138</f>
        <v>43285</v>
      </c>
      <c r="N16" s="303"/>
      <c r="O16" s="292">
        <f>SUM(C16:N16)</f>
        <v>1731288</v>
      </c>
      <c r="P16" s="276"/>
      <c r="Q16" s="276"/>
      <c r="R16" s="288">
        <f>+'ENT IS'!N16-'ENT BS'!N19+704049</f>
        <v>2244993</v>
      </c>
      <c r="S16" s="288">
        <f>+R16-O16</f>
        <v>513705</v>
      </c>
      <c r="U16" s="294" t="e">
        <f>+'ENT IS'!#REF!-'ENT BS'!T19+7+'ENT BS'!T62-0</f>
        <v>#REF!</v>
      </c>
    </row>
    <row r="17" spans="2:23" ht="15.75">
      <c r="B17" s="276" t="s">
        <v>368</v>
      </c>
      <c r="C17" s="276"/>
      <c r="D17" s="294">
        <f>-INPUT!CB32-INPUT!CB246+D125+INPUT!CB306-'ENT BS'!D24-INPUT!CB33-INPUT!CB247-INPUT!CB248-INPUT!CB250+INPUT!CB307+INPUT!CB308+D145</f>
        <v>0</v>
      </c>
      <c r="E17" s="303"/>
      <c r="F17" s="294">
        <f>-INPUT!CD32-INPUT!CD246+INPUT!CD258+INPUT!CD306-INPUT!CD318-INPUT!CD33-INPUT!CD247+INPUT!CD307+F138</f>
        <v>-75544</v>
      </c>
      <c r="G17" s="303"/>
      <c r="H17" s="294">
        <f>-INPUT!CE32-INPUT!CE246+INPUT!CE258+INPUT!CE306-INPUT!CE318-INPUT!CE33-INPUT!CE247+INPUT!CE307+H138</f>
        <v>-176001</v>
      </c>
      <c r="I17" s="276" t="s">
        <v>368</v>
      </c>
      <c r="J17" s="276"/>
      <c r="K17" s="294">
        <f>-INPUT!CF32-INPUT!CF246+INPUT!CF258+INPUT!CF306-INPUT!CF318-INPUT!CF33-INPUT!CF247+INPUT!CF307+K138+K150-K151</f>
        <v>-1437286</v>
      </c>
      <c r="L17" s="287"/>
      <c r="M17" s="294">
        <f>-INPUT!CH32-INPUT!CH246+INPUT!CH258+INPUT!CH306-INPUT!CH318-INPUT!CH33-INPUT!CH247+INPUT!CH307+M138</f>
        <v>-15113</v>
      </c>
      <c r="N17" s="303"/>
      <c r="O17" s="294">
        <f>SUM(C17:N17)</f>
        <v>-1703944</v>
      </c>
      <c r="P17" s="276"/>
      <c r="Q17" s="276"/>
      <c r="R17" s="288">
        <f>+'ENT IS'!N22+'ENT IS'!N23+'ENT IS'!N24-'IS BS'!L49-'IS BS'!L57+'IS BS'!L24-'IS BS'!L67+66964+129526-14007+102405</f>
        <v>1889943</v>
      </c>
      <c r="S17" s="288">
        <f>+O17+O18+R17</f>
        <v>119032</v>
      </c>
      <c r="U17" s="294" t="e">
        <f>-'ENT IS'!#REF!-'ENT IS'!#REF!+'ENT BS'!T59-0</f>
        <v>#REF!</v>
      </c>
      <c r="W17" s="288" t="s">
        <v>373</v>
      </c>
    </row>
    <row r="18" spans="2:23" ht="15.75">
      <c r="B18" s="276" t="s">
        <v>369</v>
      </c>
      <c r="C18" s="276"/>
      <c r="D18" s="294">
        <f>-INPUT!CB31-INPUT!CB245-INPUT!CB265-INPUT!CB269+INPUT!CB305+INPUT!CB321+INPUT!CB329-0</f>
        <v>0</v>
      </c>
      <c r="E18" s="303"/>
      <c r="F18" s="294">
        <f>-INPUT!CD31-INPUT!CD245-INPUT!CD269+INPUT!CD305+INPUT!CD329</f>
        <v>-30387</v>
      </c>
      <c r="G18" s="303"/>
      <c r="H18" s="294">
        <f>-INPUT!CE31-INPUT!CE245-INPUT!CE269+INPUT!CE305+INPUT!CE329</f>
        <v>-19459</v>
      </c>
      <c r="I18" s="276" t="s">
        <v>369</v>
      </c>
      <c r="J18" s="276"/>
      <c r="K18" s="294">
        <f>-INPUT!CF31-INPUT!CF245-INPUT!CF269+INPUT!CF305+INPUT!CF329</f>
        <v>0</v>
      </c>
      <c r="L18" s="287"/>
      <c r="M18" s="294">
        <f>-INPUT!CH31-INPUT!CH245-INPUT!CH269+INPUT!CH305+INPUT!CH329</f>
        <v>-17121</v>
      </c>
      <c r="N18" s="303"/>
      <c r="O18" s="294">
        <f>SUM(C18:N18)</f>
        <v>-66967</v>
      </c>
      <c r="P18" s="276"/>
      <c r="Q18" s="276"/>
      <c r="U18" s="294" t="e">
        <f>-'ENT IS'!#REF!</f>
        <v>#REF!</v>
      </c>
      <c r="W18" s="288" t="s">
        <v>756</v>
      </c>
    </row>
    <row r="19" spans="2:23" ht="15.75" hidden="1">
      <c r="B19" s="276" t="s">
        <v>680</v>
      </c>
      <c r="C19" s="276"/>
      <c r="D19" s="294">
        <f>+INPUT!CB15</f>
        <v>0</v>
      </c>
      <c r="E19" s="303"/>
      <c r="F19" s="294">
        <f>+INPUT!CD15</f>
        <v>0</v>
      </c>
      <c r="G19" s="303"/>
      <c r="H19" s="294">
        <f>+INPUT!CE15</f>
        <v>0</v>
      </c>
      <c r="I19" s="276" t="s">
        <v>680</v>
      </c>
      <c r="J19" s="276"/>
      <c r="K19" s="294">
        <f>+INPUT!CF15</f>
        <v>0</v>
      </c>
      <c r="L19" s="287"/>
      <c r="M19" s="294">
        <f>+INPUT!CH15</f>
        <v>0</v>
      </c>
      <c r="N19" s="303"/>
      <c r="O19" s="294">
        <f>SUM(C19:N19)</f>
        <v>0</v>
      </c>
      <c r="P19" s="276"/>
      <c r="Q19" s="276"/>
      <c r="U19" s="294">
        <v>0</v>
      </c>
    </row>
    <row r="20" spans="2:23" ht="15.75">
      <c r="B20" s="276" t="s">
        <v>751</v>
      </c>
      <c r="C20" s="276"/>
      <c r="D20" s="294">
        <v>0</v>
      </c>
      <c r="E20" s="303"/>
      <c r="F20" s="294">
        <v>0</v>
      </c>
      <c r="G20" s="303"/>
      <c r="H20" s="294">
        <v>0</v>
      </c>
      <c r="I20" s="276" t="s">
        <v>751</v>
      </c>
      <c r="J20" s="276"/>
      <c r="K20" s="294">
        <f>-K135+'ENT BS'!J75+'ENT BS'!J65</f>
        <v>-15300</v>
      </c>
      <c r="L20" s="287"/>
      <c r="M20" s="294">
        <v>0</v>
      </c>
      <c r="N20" s="303"/>
      <c r="O20" s="294">
        <f>SUM(C20:N20)</f>
        <v>-15300</v>
      </c>
      <c r="P20" s="276"/>
      <c r="Q20" s="276"/>
      <c r="U20" s="294">
        <v>0</v>
      </c>
    </row>
    <row r="21" spans="2:23" ht="15.75">
      <c r="B21" s="308" t="s">
        <v>1105</v>
      </c>
      <c r="C21" s="308"/>
      <c r="D21" s="298"/>
      <c r="E21" s="303"/>
      <c r="F21" s="298"/>
      <c r="G21" s="303"/>
      <c r="H21" s="298"/>
      <c r="I21" s="308" t="s">
        <v>1105</v>
      </c>
      <c r="J21" s="308"/>
      <c r="K21" s="298"/>
      <c r="L21" s="287"/>
      <c r="M21" s="298"/>
      <c r="N21" s="303"/>
      <c r="O21" s="298"/>
      <c r="P21" s="276"/>
      <c r="Q21" s="276"/>
      <c r="U21" s="294"/>
    </row>
    <row r="22" spans="2:23" ht="15.75">
      <c r="B22" s="308" t="s">
        <v>1106</v>
      </c>
      <c r="C22" s="308"/>
      <c r="D22" s="301">
        <f>SUM(D16:D20)</f>
        <v>0</v>
      </c>
      <c r="E22" s="303"/>
      <c r="F22" s="301">
        <f>SUM(F16:F20)</f>
        <v>23942</v>
      </c>
      <c r="G22" s="303"/>
      <c r="H22" s="301">
        <f>SUM(H16:H20)</f>
        <v>-30240</v>
      </c>
      <c r="I22" s="308" t="s">
        <v>1106</v>
      </c>
      <c r="J22" s="308"/>
      <c r="K22" s="301">
        <f>SUM(K16:K20)</f>
        <v>-59676</v>
      </c>
      <c r="L22" s="287"/>
      <c r="M22" s="301">
        <f>SUM(M16:M20)</f>
        <v>11051</v>
      </c>
      <c r="N22" s="303"/>
      <c r="O22" s="301">
        <f>SUM(O16:O20)</f>
        <v>-54923</v>
      </c>
      <c r="P22" s="276"/>
      <c r="Q22" s="276"/>
      <c r="U22" s="301" t="e">
        <f>SUM(U16:U20)</f>
        <v>#REF!</v>
      </c>
    </row>
    <row r="23" spans="2:23" ht="15.75" customHeight="1">
      <c r="B23" s="276"/>
      <c r="C23" s="276"/>
      <c r="D23" s="294"/>
      <c r="E23" s="303"/>
      <c r="F23" s="294"/>
      <c r="G23" s="303"/>
      <c r="H23" s="294"/>
      <c r="I23" s="276"/>
      <c r="J23" s="276"/>
      <c r="K23" s="294"/>
      <c r="L23" s="287"/>
      <c r="M23" s="294"/>
      <c r="N23" s="303"/>
      <c r="O23" s="294"/>
      <c r="P23" s="276"/>
      <c r="Q23" s="276"/>
      <c r="U23" s="294"/>
    </row>
    <row r="24" spans="2:23" ht="15.75" customHeight="1">
      <c r="B24" s="308" t="s">
        <v>242</v>
      </c>
      <c r="C24" s="308"/>
      <c r="D24" s="294"/>
      <c r="E24" s="303"/>
      <c r="F24" s="294"/>
      <c r="G24" s="303"/>
      <c r="H24" s="294"/>
      <c r="I24" s="308" t="s">
        <v>242</v>
      </c>
      <c r="J24" s="308"/>
      <c r="K24" s="294"/>
      <c r="L24" s="287"/>
      <c r="M24" s="294"/>
      <c r="N24" s="303"/>
      <c r="O24" s="294"/>
      <c r="P24" s="276"/>
      <c r="Q24" s="276"/>
      <c r="U24" s="294"/>
    </row>
    <row r="25" spans="2:23" ht="15.75" customHeight="1">
      <c r="B25" s="276" t="s">
        <v>572</v>
      </c>
      <c r="C25" s="276"/>
      <c r="D25" s="294"/>
      <c r="E25" s="303"/>
      <c r="F25" s="294"/>
      <c r="G25" s="303"/>
      <c r="H25" s="294"/>
      <c r="I25" s="276" t="s">
        <v>572</v>
      </c>
      <c r="J25" s="276"/>
      <c r="K25" s="294"/>
      <c r="L25" s="287"/>
      <c r="M25" s="294"/>
      <c r="N25" s="303"/>
      <c r="O25" s="294"/>
      <c r="P25" s="276"/>
      <c r="Q25" s="276"/>
      <c r="U25" s="294">
        <v>0</v>
      </c>
    </row>
    <row r="26" spans="2:23" ht="15.75" hidden="1" customHeight="1">
      <c r="B26" s="276" t="s">
        <v>765</v>
      </c>
      <c r="C26" s="276"/>
      <c r="D26" s="294">
        <f>-'ENT BS'!D20-'ENT BS'!D34+'ENT CF'!D123+0</f>
        <v>0</v>
      </c>
      <c r="E26" s="303"/>
      <c r="F26" s="294">
        <v>0</v>
      </c>
      <c r="G26" s="303"/>
      <c r="H26" s="294">
        <v>0</v>
      </c>
      <c r="I26" s="276" t="s">
        <v>765</v>
      </c>
      <c r="J26" s="276"/>
      <c r="K26" s="294">
        <v>0</v>
      </c>
      <c r="L26" s="287"/>
      <c r="M26" s="294">
        <v>0</v>
      </c>
      <c r="N26" s="303"/>
      <c r="O26" s="294">
        <f t="shared" ref="O26:O35" si="0">SUM(C26:N26)</f>
        <v>0</v>
      </c>
      <c r="P26" s="276"/>
      <c r="Q26" s="276"/>
      <c r="U26" s="294">
        <v>0</v>
      </c>
    </row>
    <row r="27" spans="2:23" ht="15.75" hidden="1" customHeight="1">
      <c r="B27" s="276" t="s">
        <v>1380</v>
      </c>
      <c r="C27" s="276"/>
      <c r="D27" s="294">
        <v>0</v>
      </c>
      <c r="E27" s="303"/>
      <c r="F27" s="294"/>
      <c r="G27" s="303"/>
      <c r="H27" s="294"/>
      <c r="I27" s="276"/>
      <c r="J27" s="276"/>
      <c r="K27" s="294"/>
      <c r="L27" s="287"/>
      <c r="M27" s="294"/>
      <c r="N27" s="303"/>
      <c r="O27" s="294"/>
      <c r="P27" s="276"/>
      <c r="Q27" s="276"/>
      <c r="U27" s="294"/>
    </row>
    <row r="28" spans="2:23" ht="15.75" hidden="1" customHeight="1">
      <c r="B28" s="276" t="s">
        <v>1650</v>
      </c>
      <c r="C28" s="276"/>
      <c r="D28" s="294">
        <f>+'Sys INPUT'!CB12</f>
        <v>0</v>
      </c>
      <c r="E28" s="303"/>
      <c r="F28" s="294">
        <f>+'Sys INPUT'!CD12</f>
        <v>0</v>
      </c>
      <c r="G28" s="303"/>
      <c r="H28" s="294">
        <f>+'Sys INPUT'!CE12</f>
        <v>0</v>
      </c>
      <c r="I28" s="276"/>
      <c r="J28" s="276"/>
      <c r="K28" s="294">
        <f>+'Sys INPUT'!CF12</f>
        <v>0</v>
      </c>
      <c r="L28" s="287"/>
      <c r="M28" s="294">
        <f>+'Sys INPUT'!CH12</f>
        <v>0</v>
      </c>
      <c r="N28" s="303"/>
      <c r="O28" s="294">
        <f>SUM(C28:N28)</f>
        <v>0</v>
      </c>
      <c r="P28" s="276"/>
      <c r="Q28" s="276"/>
      <c r="U28" s="294"/>
    </row>
    <row r="29" spans="2:23" ht="15.75" hidden="1" customHeight="1">
      <c r="B29" s="276" t="s">
        <v>480</v>
      </c>
      <c r="C29" s="276"/>
      <c r="D29" s="294">
        <v>0</v>
      </c>
      <c r="E29" s="303"/>
      <c r="F29" s="294">
        <v>0</v>
      </c>
      <c r="G29" s="303"/>
      <c r="H29" s="294">
        <v>0</v>
      </c>
      <c r="I29" s="276" t="s">
        <v>480</v>
      </c>
      <c r="J29" s="276"/>
      <c r="K29" s="294">
        <v>0</v>
      </c>
      <c r="L29" s="287"/>
      <c r="M29" s="294">
        <v>0</v>
      </c>
      <c r="N29" s="303"/>
      <c r="O29" s="294">
        <f t="shared" si="0"/>
        <v>0</v>
      </c>
      <c r="P29" s="276"/>
      <c r="Q29" s="276"/>
      <c r="U29" s="294">
        <v>0</v>
      </c>
    </row>
    <row r="30" spans="2:23" ht="15.75" hidden="1" customHeight="1">
      <c r="B30" s="276" t="s">
        <v>873</v>
      </c>
      <c r="C30" s="276"/>
      <c r="D30" s="294">
        <f>+'ENT IS'!D50</f>
        <v>0</v>
      </c>
      <c r="E30" s="303"/>
      <c r="F30" s="294">
        <f>+'ENT IS'!F50</f>
        <v>0</v>
      </c>
      <c r="G30" s="303"/>
      <c r="H30" s="294">
        <f>+'ENT IS'!H50</f>
        <v>0</v>
      </c>
      <c r="I30" s="276" t="s">
        <v>873</v>
      </c>
      <c r="J30" s="276"/>
      <c r="K30" s="294">
        <f>+'ENT IS'!J50</f>
        <v>0</v>
      </c>
      <c r="L30" s="287"/>
      <c r="M30" s="294">
        <f>+'ENT IS'!L50</f>
        <v>0</v>
      </c>
      <c r="N30" s="303"/>
      <c r="O30" s="294">
        <f t="shared" si="0"/>
        <v>0</v>
      </c>
      <c r="P30" s="276"/>
      <c r="Q30" s="276"/>
      <c r="U30" s="294"/>
    </row>
    <row r="31" spans="2:23" ht="15.75" customHeight="1">
      <c r="B31" s="276" t="s">
        <v>86</v>
      </c>
      <c r="C31" s="276"/>
      <c r="D31" s="294">
        <f>+'ENT IS'!D51</f>
        <v>0</v>
      </c>
      <c r="E31" s="303"/>
      <c r="F31" s="294">
        <f>+'ENT IS'!F51</f>
        <v>-82</v>
      </c>
      <c r="G31" s="303"/>
      <c r="H31" s="294">
        <f>+'ENT IS'!H51</f>
        <v>0</v>
      </c>
      <c r="I31" s="276" t="s">
        <v>86</v>
      </c>
      <c r="J31" s="276"/>
      <c r="K31" s="294">
        <f>+'ENT IS'!J51</f>
        <v>0</v>
      </c>
      <c r="L31" s="287"/>
      <c r="M31" s="294">
        <f>+'ENT IS'!L51</f>
        <v>0</v>
      </c>
      <c r="N31" s="303"/>
      <c r="O31" s="294">
        <f t="shared" si="0"/>
        <v>-82</v>
      </c>
      <c r="P31" s="276"/>
      <c r="Q31" s="276"/>
      <c r="U31" s="294"/>
    </row>
    <row r="32" spans="2:23" ht="15.75" hidden="1" customHeight="1">
      <c r="B32" s="276" t="s">
        <v>1227</v>
      </c>
      <c r="C32" s="276"/>
      <c r="D32" s="294">
        <f>+'ENT BS'!D61-D134+0</f>
        <v>0</v>
      </c>
      <c r="E32" s="303"/>
      <c r="F32" s="294">
        <v>0</v>
      </c>
      <c r="G32" s="303"/>
      <c r="H32" s="294">
        <v>0</v>
      </c>
      <c r="I32" s="276" t="s">
        <v>1227</v>
      </c>
      <c r="J32" s="276"/>
      <c r="K32" s="294">
        <v>0</v>
      </c>
      <c r="L32" s="287"/>
      <c r="M32" s="294">
        <v>0</v>
      </c>
      <c r="N32" s="303"/>
      <c r="O32" s="294">
        <f t="shared" si="0"/>
        <v>0</v>
      </c>
      <c r="P32" s="276"/>
      <c r="Q32" s="276"/>
      <c r="U32" s="294">
        <v>0</v>
      </c>
    </row>
    <row r="33" spans="2:21" ht="15.75" hidden="1" customHeight="1">
      <c r="B33" s="276" t="s">
        <v>56</v>
      </c>
      <c r="C33" s="276"/>
      <c r="D33" s="294">
        <f>+'ENT BS'!D67-'ENT CF'!D136</f>
        <v>0</v>
      </c>
      <c r="E33" s="303"/>
      <c r="F33" s="294"/>
      <c r="G33" s="303"/>
      <c r="H33" s="294"/>
      <c r="I33" s="276"/>
      <c r="J33" s="276"/>
      <c r="K33" s="294"/>
      <c r="L33" s="287"/>
      <c r="M33" s="294"/>
      <c r="N33" s="303"/>
      <c r="O33" s="294"/>
      <c r="P33" s="276"/>
      <c r="Q33" s="276"/>
      <c r="U33" s="294"/>
    </row>
    <row r="34" spans="2:21" ht="15.75" hidden="1" customHeight="1">
      <c r="B34" s="276" t="s">
        <v>1218</v>
      </c>
      <c r="C34" s="276"/>
      <c r="D34" s="294">
        <v>0</v>
      </c>
      <c r="E34" s="303"/>
      <c r="F34" s="294">
        <v>0</v>
      </c>
      <c r="G34" s="303"/>
      <c r="H34" s="294">
        <v>0</v>
      </c>
      <c r="I34" s="276" t="s">
        <v>1218</v>
      </c>
      <c r="J34" s="276"/>
      <c r="K34" s="294">
        <v>0</v>
      </c>
      <c r="L34" s="287"/>
      <c r="M34" s="294">
        <v>0</v>
      </c>
      <c r="N34" s="303"/>
      <c r="O34" s="294">
        <f t="shared" si="0"/>
        <v>0</v>
      </c>
      <c r="P34" s="276"/>
      <c r="Q34" s="276"/>
      <c r="U34" s="294"/>
    </row>
    <row r="35" spans="2:21" ht="15.75" hidden="1" customHeight="1">
      <c r="B35" s="276" t="s">
        <v>764</v>
      </c>
      <c r="C35" s="276"/>
      <c r="D35" s="294">
        <v>0</v>
      </c>
      <c r="E35" s="303"/>
      <c r="F35" s="294">
        <v>0</v>
      </c>
      <c r="G35" s="303"/>
      <c r="H35" s="294">
        <v>0</v>
      </c>
      <c r="I35" s="276" t="s">
        <v>764</v>
      </c>
      <c r="J35" s="276"/>
      <c r="K35" s="294">
        <v>0</v>
      </c>
      <c r="L35" s="287"/>
      <c r="M35" s="294">
        <v>0</v>
      </c>
      <c r="N35" s="303"/>
      <c r="O35" s="294">
        <f t="shared" si="0"/>
        <v>0</v>
      </c>
      <c r="P35" s="276"/>
      <c r="Q35" s="276"/>
      <c r="U35" s="294">
        <v>0</v>
      </c>
    </row>
    <row r="36" spans="2:21" ht="9" customHeight="1">
      <c r="B36" s="276"/>
      <c r="C36" s="276"/>
      <c r="D36" s="294"/>
      <c r="E36" s="303"/>
      <c r="F36" s="294"/>
      <c r="G36" s="303"/>
      <c r="H36" s="294"/>
      <c r="I36" s="276"/>
      <c r="J36" s="276"/>
      <c r="K36" s="294"/>
      <c r="L36" s="287"/>
      <c r="M36" s="294"/>
      <c r="N36" s="303"/>
      <c r="O36" s="294"/>
      <c r="P36" s="276"/>
      <c r="Q36" s="276"/>
      <c r="U36" s="317"/>
    </row>
    <row r="37" spans="2:21" ht="15.75" customHeight="1">
      <c r="B37" s="308" t="s">
        <v>1105</v>
      </c>
      <c r="C37" s="308"/>
      <c r="D37" s="298"/>
      <c r="E37" s="303"/>
      <c r="F37" s="298"/>
      <c r="G37" s="303"/>
      <c r="H37" s="298"/>
      <c r="I37" s="308" t="s">
        <v>1105</v>
      </c>
      <c r="J37" s="308"/>
      <c r="K37" s="298"/>
      <c r="L37" s="287"/>
      <c r="M37" s="298"/>
      <c r="N37" s="303"/>
      <c r="O37" s="298"/>
      <c r="P37" s="276"/>
      <c r="Q37" s="276"/>
      <c r="U37" s="294"/>
    </row>
    <row r="38" spans="2:21" ht="15.75" customHeight="1">
      <c r="B38" s="308" t="s">
        <v>1107</v>
      </c>
      <c r="C38" s="308"/>
      <c r="D38" s="301">
        <f>SUM(D25:D36)</f>
        <v>0</v>
      </c>
      <c r="E38" s="303"/>
      <c r="F38" s="301">
        <f>SUM(F25:F36)</f>
        <v>-82</v>
      </c>
      <c r="G38" s="303"/>
      <c r="H38" s="301">
        <f>SUM(H25:H36)</f>
        <v>0</v>
      </c>
      <c r="I38" s="308" t="s">
        <v>1107</v>
      </c>
      <c r="J38" s="308"/>
      <c r="K38" s="301">
        <f>SUM(K25:K36)</f>
        <v>0</v>
      </c>
      <c r="L38" s="287"/>
      <c r="M38" s="301">
        <f>SUM(M25:M36)</f>
        <v>0</v>
      </c>
      <c r="N38" s="303"/>
      <c r="O38" s="301">
        <f>SUM(O25:O36)</f>
        <v>-82</v>
      </c>
      <c r="P38" s="276"/>
      <c r="Q38" s="276"/>
      <c r="U38" s="301">
        <f>SUM(U25:U36)</f>
        <v>0</v>
      </c>
    </row>
    <row r="39" spans="2:21" ht="15.75" customHeight="1">
      <c r="B39" s="276"/>
      <c r="C39" s="276"/>
      <c r="D39" s="294"/>
      <c r="E39" s="303"/>
      <c r="F39" s="294"/>
      <c r="G39" s="303"/>
      <c r="H39" s="294"/>
      <c r="I39" s="276"/>
      <c r="J39" s="276"/>
      <c r="K39" s="294"/>
      <c r="L39" s="287"/>
      <c r="M39" s="294"/>
      <c r="N39" s="303"/>
      <c r="O39" s="294"/>
      <c r="P39" s="276"/>
      <c r="Q39" s="276"/>
      <c r="U39" s="294"/>
    </row>
    <row r="40" spans="2:21" ht="15.75" customHeight="1">
      <c r="B40" s="308" t="s">
        <v>146</v>
      </c>
      <c r="C40" s="308"/>
      <c r="D40" s="294"/>
      <c r="E40" s="303"/>
      <c r="F40" s="294"/>
      <c r="G40" s="303"/>
      <c r="H40" s="294"/>
      <c r="I40" s="308" t="s">
        <v>146</v>
      </c>
      <c r="J40" s="308"/>
      <c r="K40" s="294"/>
      <c r="L40" s="287"/>
      <c r="M40" s="294"/>
      <c r="N40" s="303"/>
      <c r="O40" s="294"/>
      <c r="P40" s="276"/>
      <c r="Q40" s="276"/>
      <c r="U40" s="294"/>
    </row>
    <row r="41" spans="2:21" ht="15.75">
      <c r="B41" s="276" t="s">
        <v>520</v>
      </c>
      <c r="C41" s="276"/>
      <c r="D41" s="294">
        <f>-'ENT BS'!D38-'ENT BS'!D39-'ENT IS'!D26+D129+D153-D154</f>
        <v>0</v>
      </c>
      <c r="E41" s="303"/>
      <c r="F41" s="294">
        <f>-'ENT BS'!F38-'ENT BS'!F39-'ENT IS'!F26+F128+F142+2</f>
        <v>2</v>
      </c>
      <c r="G41" s="303"/>
      <c r="H41" s="294">
        <f>-'ENT BS'!H38-'ENT BS'!H39-'ENT IS'!H26+H128+H142+H146-H147+0</f>
        <v>-73850</v>
      </c>
      <c r="I41" s="276" t="s">
        <v>520</v>
      </c>
      <c r="J41" s="276"/>
      <c r="K41" s="294">
        <f>-'ENT BS'!J38-'ENT BS'!J39-'ENT IS'!J26+K128+K142+0</f>
        <v>0</v>
      </c>
      <c r="L41" s="287"/>
      <c r="M41" s="294">
        <f>-'ENT BS'!L38-'ENT BS'!L39-'ENT IS'!L26+M128+M142+0</f>
        <v>0</v>
      </c>
      <c r="N41" s="303"/>
      <c r="O41" s="294">
        <f t="shared" ref="O41:O50" si="1">SUM(C41:N41)</f>
        <v>-73848</v>
      </c>
      <c r="P41" s="276"/>
      <c r="Q41" s="276"/>
      <c r="U41" s="294"/>
    </row>
    <row r="42" spans="2:21" ht="15.75" hidden="1">
      <c r="B42" s="276" t="s">
        <v>1239</v>
      </c>
      <c r="C42" s="276"/>
      <c r="D42" s="294">
        <v>0</v>
      </c>
      <c r="E42" s="303"/>
      <c r="F42" s="294">
        <f>+'ENT IS'!F41</f>
        <v>0</v>
      </c>
      <c r="G42" s="303"/>
      <c r="H42" s="294">
        <f>+'ENT IS'!H41</f>
        <v>0</v>
      </c>
      <c r="I42" s="276" t="s">
        <v>1239</v>
      </c>
      <c r="J42" s="276"/>
      <c r="K42" s="294">
        <v>0</v>
      </c>
      <c r="L42" s="287"/>
      <c r="M42" s="294">
        <v>0</v>
      </c>
      <c r="N42" s="303"/>
      <c r="O42" s="294">
        <f t="shared" si="1"/>
        <v>0</v>
      </c>
      <c r="P42" s="276"/>
      <c r="Q42" s="276"/>
      <c r="U42" s="294">
        <v>0</v>
      </c>
    </row>
    <row r="43" spans="2:21" ht="15.75" hidden="1">
      <c r="B43" s="276" t="s">
        <v>1654</v>
      </c>
      <c r="C43" s="276"/>
      <c r="D43" s="294">
        <f>+'ENT IS'!D42-0</f>
        <v>0</v>
      </c>
      <c r="E43" s="303"/>
      <c r="F43" s="294"/>
      <c r="G43" s="303"/>
      <c r="H43" s="294"/>
      <c r="I43" s="276"/>
      <c r="J43" s="276"/>
      <c r="K43" s="294"/>
      <c r="L43" s="287"/>
      <c r="M43" s="294"/>
      <c r="N43" s="303"/>
      <c r="O43" s="294"/>
      <c r="P43" s="276"/>
      <c r="Q43" s="276"/>
      <c r="U43" s="294"/>
    </row>
    <row r="44" spans="2:21" ht="15.75" hidden="1">
      <c r="B44" s="276" t="s">
        <v>481</v>
      </c>
      <c r="C44" s="276"/>
      <c r="D44" s="294">
        <v>0</v>
      </c>
      <c r="E44" s="303"/>
      <c r="F44" s="294">
        <v>0</v>
      </c>
      <c r="G44" s="303"/>
      <c r="H44" s="294">
        <v>0</v>
      </c>
      <c r="I44" s="276" t="s">
        <v>481</v>
      </c>
      <c r="J44" s="276"/>
      <c r="K44" s="294">
        <v>0</v>
      </c>
      <c r="L44" s="287"/>
      <c r="M44" s="294">
        <v>0</v>
      </c>
      <c r="N44" s="303"/>
      <c r="O44" s="294">
        <f t="shared" si="1"/>
        <v>0</v>
      </c>
      <c r="P44" s="276"/>
      <c r="Q44" s="276"/>
      <c r="U44" s="294"/>
    </row>
    <row r="45" spans="2:21" ht="15.75" hidden="1">
      <c r="B45" s="276" t="s">
        <v>124</v>
      </c>
      <c r="C45" s="276"/>
      <c r="D45" s="294">
        <v>0</v>
      </c>
      <c r="E45" s="303"/>
      <c r="F45" s="294">
        <v>0</v>
      </c>
      <c r="G45" s="303"/>
      <c r="H45" s="294">
        <v>0</v>
      </c>
      <c r="I45" s="276" t="s">
        <v>124</v>
      </c>
      <c r="J45" s="276"/>
      <c r="K45" s="294">
        <v>0</v>
      </c>
      <c r="L45" s="287"/>
      <c r="M45" s="294">
        <v>0</v>
      </c>
      <c r="N45" s="303"/>
      <c r="O45" s="294">
        <f t="shared" si="1"/>
        <v>0</v>
      </c>
      <c r="P45" s="276"/>
      <c r="Q45" s="276"/>
      <c r="U45" s="294">
        <v>0</v>
      </c>
    </row>
    <row r="46" spans="2:21" ht="15.75" hidden="1">
      <c r="B46" s="276" t="s">
        <v>125</v>
      </c>
      <c r="C46" s="276"/>
      <c r="D46" s="294">
        <f>-D146-0</f>
        <v>0</v>
      </c>
      <c r="E46" s="303"/>
      <c r="F46" s="294">
        <f>-F139</f>
        <v>0</v>
      </c>
      <c r="G46" s="303"/>
      <c r="H46" s="294">
        <f>-H139</f>
        <v>0</v>
      </c>
      <c r="I46" s="276" t="s">
        <v>125</v>
      </c>
      <c r="J46" s="276"/>
      <c r="K46" s="294">
        <f>-K139</f>
        <v>0</v>
      </c>
      <c r="L46" s="287"/>
      <c r="M46" s="294">
        <f>-M139</f>
        <v>0</v>
      </c>
      <c r="N46" s="303"/>
      <c r="O46" s="294">
        <f t="shared" si="1"/>
        <v>0</v>
      </c>
      <c r="P46" s="276"/>
      <c r="Q46" s="276"/>
      <c r="U46" s="294"/>
    </row>
    <row r="47" spans="2:21" ht="15.75" hidden="1">
      <c r="B47" s="276" t="s">
        <v>923</v>
      </c>
      <c r="C47" s="276"/>
      <c r="D47" s="294">
        <f>-D147</f>
        <v>0</v>
      </c>
      <c r="E47" s="303"/>
      <c r="F47" s="294">
        <f>-F140</f>
        <v>0</v>
      </c>
      <c r="G47" s="303"/>
      <c r="H47" s="294">
        <f>-H140</f>
        <v>0</v>
      </c>
      <c r="I47" s="276" t="s">
        <v>923</v>
      </c>
      <c r="J47" s="276"/>
      <c r="K47" s="294">
        <f>-K140</f>
        <v>0</v>
      </c>
      <c r="L47" s="287"/>
      <c r="M47" s="294">
        <f>-M140</f>
        <v>0</v>
      </c>
      <c r="N47" s="303"/>
      <c r="O47" s="294">
        <f t="shared" si="1"/>
        <v>0</v>
      </c>
      <c r="P47" s="276"/>
      <c r="Q47" s="276"/>
      <c r="U47" s="294"/>
    </row>
    <row r="48" spans="2:21" ht="15.75" hidden="1">
      <c r="B48" s="276" t="s">
        <v>1202</v>
      </c>
      <c r="C48" s="276"/>
      <c r="D48" s="294">
        <v>0</v>
      </c>
      <c r="E48" s="303"/>
      <c r="F48" s="294">
        <v>0</v>
      </c>
      <c r="G48" s="303"/>
      <c r="H48" s="294">
        <v>0</v>
      </c>
      <c r="I48" s="276" t="s">
        <v>1202</v>
      </c>
      <c r="J48" s="276"/>
      <c r="K48" s="294">
        <v>0</v>
      </c>
      <c r="L48" s="287"/>
      <c r="M48" s="294">
        <v>0</v>
      </c>
      <c r="N48" s="303"/>
      <c r="O48" s="294">
        <f t="shared" si="1"/>
        <v>0</v>
      </c>
      <c r="P48" s="276"/>
      <c r="Q48" s="276"/>
      <c r="U48" s="294"/>
    </row>
    <row r="49" spans="2:21" ht="15.75" hidden="1">
      <c r="B49" s="276" t="s">
        <v>1240</v>
      </c>
      <c r="C49" s="276"/>
      <c r="D49" s="294">
        <f>+'ENT IS'!D36+0</f>
        <v>0</v>
      </c>
      <c r="E49" s="303"/>
      <c r="F49" s="294">
        <f>+'ENT IS'!F36</f>
        <v>0</v>
      </c>
      <c r="G49" s="303"/>
      <c r="H49" s="294">
        <f>+'ENT IS'!H36</f>
        <v>0</v>
      </c>
      <c r="I49" s="276" t="s">
        <v>1240</v>
      </c>
      <c r="J49" s="276"/>
      <c r="K49" s="294">
        <f>+'ENT IS'!J36</f>
        <v>0</v>
      </c>
      <c r="L49" s="287"/>
      <c r="M49" s="294">
        <f>+'ENT IS'!L36</f>
        <v>0</v>
      </c>
      <c r="N49" s="303"/>
      <c r="O49" s="294">
        <f t="shared" si="1"/>
        <v>0</v>
      </c>
      <c r="P49" s="276"/>
      <c r="Q49" s="276"/>
      <c r="U49" s="294"/>
    </row>
    <row r="50" spans="2:21" ht="15" hidden="1" customHeight="1">
      <c r="B50" s="276" t="s">
        <v>840</v>
      </c>
      <c r="C50" s="276"/>
      <c r="D50" s="294">
        <f>+'ENT IS'!D49</f>
        <v>0</v>
      </c>
      <c r="E50" s="303"/>
      <c r="F50" s="294">
        <f>+'ENT IS'!F49</f>
        <v>0</v>
      </c>
      <c r="G50" s="303"/>
      <c r="H50" s="294">
        <f>+'ENT IS'!H49</f>
        <v>0</v>
      </c>
      <c r="I50" s="276" t="s">
        <v>840</v>
      </c>
      <c r="J50" s="276"/>
      <c r="K50" s="294">
        <f>+'ENT IS'!J49</f>
        <v>0</v>
      </c>
      <c r="L50" s="287"/>
      <c r="M50" s="294">
        <f>+'ENT IS'!L49</f>
        <v>0</v>
      </c>
      <c r="N50" s="303"/>
      <c r="O50" s="294">
        <f t="shared" si="1"/>
        <v>0</v>
      </c>
      <c r="P50" s="276"/>
      <c r="Q50" s="276"/>
      <c r="U50" s="317"/>
    </row>
    <row r="51" spans="2:21" ht="15.75">
      <c r="B51" s="308" t="s">
        <v>1105</v>
      </c>
      <c r="C51" s="308"/>
      <c r="D51" s="298"/>
      <c r="E51" s="303"/>
      <c r="F51" s="298"/>
      <c r="G51" s="303"/>
      <c r="H51" s="298"/>
      <c r="I51" s="308" t="s">
        <v>1105</v>
      </c>
      <c r="J51" s="308"/>
      <c r="K51" s="298"/>
      <c r="L51" s="287"/>
      <c r="M51" s="298"/>
      <c r="N51" s="303"/>
      <c r="O51" s="298"/>
      <c r="P51" s="276"/>
      <c r="Q51" s="276"/>
      <c r="U51" s="294"/>
    </row>
    <row r="52" spans="2:21" ht="15.75">
      <c r="B52" s="308" t="s">
        <v>635</v>
      </c>
      <c r="C52" s="308"/>
      <c r="D52" s="301">
        <f>SUM(D41:D50)</f>
        <v>0</v>
      </c>
      <c r="E52" s="303"/>
      <c r="F52" s="301">
        <f>SUM(F41:F50)</f>
        <v>2</v>
      </c>
      <c r="G52" s="303"/>
      <c r="H52" s="301">
        <f>SUM(H41:H50)</f>
        <v>-73850</v>
      </c>
      <c r="I52" s="308" t="s">
        <v>635</v>
      </c>
      <c r="J52" s="308"/>
      <c r="K52" s="301">
        <f>SUM(K41:K50)</f>
        <v>0</v>
      </c>
      <c r="L52" s="287"/>
      <c r="M52" s="301">
        <f>SUM(M41:M50)</f>
        <v>0</v>
      </c>
      <c r="N52" s="303"/>
      <c r="O52" s="301">
        <f>SUM(O41:O50)</f>
        <v>-73848</v>
      </c>
      <c r="P52" s="276"/>
      <c r="Q52" s="276"/>
      <c r="U52" s="301">
        <f>SUM(U41:U50)</f>
        <v>0</v>
      </c>
    </row>
    <row r="53" spans="2:21" ht="15.75">
      <c r="B53" s="276"/>
      <c r="C53" s="276"/>
      <c r="D53" s="294"/>
      <c r="E53" s="303"/>
      <c r="F53" s="294"/>
      <c r="G53" s="303"/>
      <c r="H53" s="294"/>
      <c r="I53" s="276"/>
      <c r="J53" s="276"/>
      <c r="K53" s="294"/>
      <c r="L53" s="287"/>
      <c r="M53" s="294"/>
      <c r="N53" s="303"/>
      <c r="O53" s="294"/>
      <c r="P53" s="276"/>
      <c r="Q53" s="276"/>
      <c r="U53" s="294"/>
    </row>
    <row r="54" spans="2:21" ht="15.75">
      <c r="B54" s="308" t="s">
        <v>147</v>
      </c>
      <c r="C54" s="308"/>
      <c r="D54" s="294"/>
      <c r="E54" s="303"/>
      <c r="F54" s="294"/>
      <c r="G54" s="303"/>
      <c r="H54" s="294"/>
      <c r="I54" s="308" t="s">
        <v>147</v>
      </c>
      <c r="J54" s="308"/>
      <c r="K54" s="294"/>
      <c r="L54" s="287"/>
      <c r="M54" s="294"/>
      <c r="N54" s="303"/>
      <c r="O54" s="294"/>
      <c r="P54" s="276"/>
      <c r="Q54" s="276"/>
      <c r="U54" s="294"/>
    </row>
    <row r="55" spans="2:21" ht="15.75">
      <c r="B55" s="276" t="s">
        <v>508</v>
      </c>
      <c r="C55" s="276"/>
      <c r="D55" s="294">
        <f>+'ENT IS'!D35+INPUT!CB227+INPUT!CB230-INPUT!CB287-INPUT!CB290</f>
        <v>0</v>
      </c>
      <c r="E55" s="303"/>
      <c r="F55" s="294">
        <f>+'ENT IS'!F35+INPUT!CD227+INPUT!CD230-INPUT!CD287-INPUT!CD290-2</f>
        <v>581</v>
      </c>
      <c r="G55" s="303"/>
      <c r="H55" s="294">
        <f>+'ENT IS'!H35+INPUT!CE227+INPUT!CE230-INPUT!CE287-INPUT!CE290-0</f>
        <v>1126</v>
      </c>
      <c r="I55" s="276" t="s">
        <v>508</v>
      </c>
      <c r="J55" s="276"/>
      <c r="K55" s="294">
        <f>+'ENT IS'!J35+INPUT!CF227+INPUT!CF230-INPUT!CF287-INPUT!CF290</f>
        <v>32023</v>
      </c>
      <c r="L55" s="287"/>
      <c r="M55" s="294">
        <f>+'ENT IS'!L35+INPUT!CH227+INPUT!CH230-INPUT!CH287-INPUT!CH290</f>
        <v>3622</v>
      </c>
      <c r="N55" s="303"/>
      <c r="O55" s="294">
        <f>SUM(C55:N55)</f>
        <v>37352</v>
      </c>
      <c r="P55" s="276"/>
      <c r="Q55" s="276"/>
      <c r="U55" s="294"/>
    </row>
    <row r="56" spans="2:21" ht="15.75">
      <c r="B56" s="276" t="s">
        <v>3286</v>
      </c>
      <c r="C56" s="276"/>
      <c r="D56" s="318">
        <f>-'ENT BS'!D16-'ENT BS'!D31+D121+D128-0</f>
        <v>0</v>
      </c>
      <c r="E56" s="303"/>
      <c r="F56" s="318">
        <f>-'ENT BS'!F16-'ENT BS'!F31+INPUT!CD100+F121+F127-F141</f>
        <v>-4931</v>
      </c>
      <c r="G56" s="303"/>
      <c r="H56" s="318">
        <f>-'ENT BS'!H16-'ENT BS'!H31+INPUT!CE100+H121+H127-H141+0</f>
        <v>4733</v>
      </c>
      <c r="I56" s="276" t="s">
        <v>509</v>
      </c>
      <c r="J56" s="276"/>
      <c r="K56" s="318">
        <f>-'ENT BS'!J16-'ENT BS'!J31+INPUT!CF100+K121+K127-K141</f>
        <v>-106004</v>
      </c>
      <c r="L56" s="287"/>
      <c r="M56" s="318">
        <f>-'ENT BS'!L16-'ENT BS'!L31+INPUT!CH100+M121+M127-M141</f>
        <v>-11622</v>
      </c>
      <c r="N56" s="303"/>
      <c r="O56" s="318">
        <f>SUM(C56:N56)</f>
        <v>-117824</v>
      </c>
      <c r="P56" s="276"/>
      <c r="Q56" s="276"/>
      <c r="U56" s="294"/>
    </row>
    <row r="57" spans="2:21" ht="15.75" hidden="1" customHeight="1">
      <c r="B57" s="276" t="s">
        <v>1193</v>
      </c>
      <c r="C57" s="276"/>
      <c r="D57" s="294"/>
      <c r="E57" s="303"/>
      <c r="F57" s="294"/>
      <c r="G57" s="303"/>
      <c r="H57" s="294"/>
      <c r="I57" s="276" t="s">
        <v>1193</v>
      </c>
      <c r="J57" s="276"/>
      <c r="K57" s="294"/>
      <c r="L57" s="287"/>
      <c r="M57" s="294"/>
      <c r="N57" s="303"/>
      <c r="O57" s="294">
        <f>SUM(C57:N57)</f>
        <v>0</v>
      </c>
      <c r="P57" s="276"/>
      <c r="Q57" s="276"/>
      <c r="U57" s="294"/>
    </row>
    <row r="58" spans="2:21" ht="15.75">
      <c r="B58" s="276"/>
      <c r="C58" s="276"/>
      <c r="D58" s="337"/>
      <c r="E58" s="303"/>
      <c r="F58" s="337"/>
      <c r="G58" s="303"/>
      <c r="H58" s="337"/>
      <c r="I58" s="276"/>
      <c r="J58" s="276"/>
      <c r="K58" s="337"/>
      <c r="L58" s="287"/>
      <c r="M58" s="337"/>
      <c r="N58" s="303"/>
      <c r="O58" s="337"/>
      <c r="P58" s="276"/>
      <c r="Q58" s="276"/>
      <c r="U58" s="317"/>
    </row>
    <row r="59" spans="2:21" ht="15.75">
      <c r="B59" s="308" t="s">
        <v>1105</v>
      </c>
      <c r="C59" s="308"/>
      <c r="D59" s="294"/>
      <c r="E59" s="303"/>
      <c r="F59" s="294"/>
      <c r="G59" s="303"/>
      <c r="H59" s="294"/>
      <c r="I59" s="308" t="s">
        <v>1105</v>
      </c>
      <c r="J59" s="308"/>
      <c r="K59" s="294"/>
      <c r="L59" s="287"/>
      <c r="M59" s="294"/>
      <c r="N59" s="303"/>
      <c r="O59" s="294"/>
      <c r="P59" s="276"/>
      <c r="Q59" s="276"/>
      <c r="U59" s="294"/>
    </row>
    <row r="60" spans="2:21" ht="15.75">
      <c r="B60" s="308" t="s">
        <v>510</v>
      </c>
      <c r="C60" s="308"/>
      <c r="D60" s="301">
        <f>SUM(D55:D58)</f>
        <v>0</v>
      </c>
      <c r="E60" s="303"/>
      <c r="F60" s="301">
        <f>SUM(F55:F58)</f>
        <v>-4350</v>
      </c>
      <c r="G60" s="303"/>
      <c r="H60" s="301">
        <f>SUM(H55:H58)</f>
        <v>5859</v>
      </c>
      <c r="I60" s="308" t="s">
        <v>510</v>
      </c>
      <c r="J60" s="308"/>
      <c r="K60" s="301">
        <f>SUM(K55:K58)</f>
        <v>-73981</v>
      </c>
      <c r="L60" s="287"/>
      <c r="M60" s="301">
        <f>SUM(M55:M58)</f>
        <v>-8000</v>
      </c>
      <c r="N60" s="303"/>
      <c r="O60" s="301">
        <f>SUM(O55:O58)</f>
        <v>-80472</v>
      </c>
      <c r="P60" s="276"/>
      <c r="Q60" s="276"/>
      <c r="U60" s="301">
        <f>SUM(U55:U58)</f>
        <v>0</v>
      </c>
    </row>
    <row r="61" spans="2:21" ht="15.75">
      <c r="B61" s="276"/>
      <c r="C61" s="276"/>
      <c r="D61" s="294"/>
      <c r="E61" s="303"/>
      <c r="F61" s="294"/>
      <c r="G61" s="294"/>
      <c r="H61" s="294"/>
      <c r="I61" s="294"/>
      <c r="J61" s="294"/>
      <c r="K61" s="294"/>
      <c r="L61" s="294"/>
      <c r="M61" s="294"/>
      <c r="N61" s="294"/>
      <c r="O61" s="294"/>
      <c r="P61" s="276"/>
      <c r="Q61" s="276"/>
      <c r="U61" s="294"/>
    </row>
    <row r="62" spans="2:21" ht="15.75">
      <c r="B62" s="308" t="s">
        <v>511</v>
      </c>
      <c r="C62" s="308"/>
      <c r="E62" s="303"/>
      <c r="G62" s="303"/>
      <c r="I62" s="308" t="s">
        <v>511</v>
      </c>
      <c r="J62" s="308"/>
      <c r="L62" s="287"/>
      <c r="N62" s="303"/>
      <c r="P62" s="276"/>
      <c r="Q62" s="276"/>
      <c r="U62" s="300" t="e">
        <f>+U60+U52+U38+U22</f>
        <v>#REF!</v>
      </c>
    </row>
    <row r="63" spans="2:21" ht="15.75">
      <c r="B63" s="308" t="s">
        <v>512</v>
      </c>
      <c r="C63" s="308"/>
      <c r="D63" s="300">
        <f>+D60+D52+D38+D22</f>
        <v>0</v>
      </c>
      <c r="E63" s="303"/>
      <c r="F63" s="300">
        <f>+F60+F52+F38+F22</f>
        <v>19512</v>
      </c>
      <c r="G63" s="303"/>
      <c r="H63" s="300">
        <f>+H60+H52+H38+H22</f>
        <v>-98231</v>
      </c>
      <c r="I63" s="308" t="s">
        <v>512</v>
      </c>
      <c r="J63" s="308"/>
      <c r="K63" s="300">
        <f>+K60+K52+K38+K22</f>
        <v>-133657</v>
      </c>
      <c r="L63" s="287"/>
      <c r="M63" s="300">
        <f>+M60+M52+M38+M22</f>
        <v>3051</v>
      </c>
      <c r="N63" s="303"/>
      <c r="O63" s="300">
        <f>+O60+O52+O38+O22</f>
        <v>-209325</v>
      </c>
      <c r="P63" s="276"/>
      <c r="Q63" s="276"/>
      <c r="U63" s="294"/>
    </row>
    <row r="64" spans="2:21" ht="15.75">
      <c r="B64" s="276"/>
      <c r="C64" s="276"/>
      <c r="D64" s="294"/>
      <c r="E64" s="303"/>
      <c r="F64" s="294"/>
      <c r="G64" s="294"/>
      <c r="H64" s="294"/>
      <c r="I64" s="294"/>
      <c r="J64" s="294"/>
      <c r="K64" s="294"/>
      <c r="L64" s="294"/>
      <c r="M64" s="294"/>
      <c r="N64" s="294"/>
      <c r="O64" s="294"/>
      <c r="P64" s="276"/>
      <c r="Q64" s="276"/>
      <c r="U64" s="294"/>
    </row>
    <row r="65" spans="2:21" ht="15.75">
      <c r="B65" s="276" t="s">
        <v>513</v>
      </c>
      <c r="C65" s="276"/>
      <c r="D65" s="317">
        <f>+D120+D127</f>
        <v>0</v>
      </c>
      <c r="E65" s="303"/>
      <c r="F65" s="317">
        <f>+F120+F126-0</f>
        <v>10198</v>
      </c>
      <c r="G65" s="303"/>
      <c r="H65" s="317">
        <f>+H120+H126</f>
        <v>118849</v>
      </c>
      <c r="I65" s="276" t="s">
        <v>513</v>
      </c>
      <c r="J65" s="276"/>
      <c r="K65" s="317">
        <f>+K120+K126</f>
        <v>1114284</v>
      </c>
      <c r="L65" s="287"/>
      <c r="M65" s="317">
        <f>+M120+M126</f>
        <v>93517</v>
      </c>
      <c r="N65" s="303"/>
      <c r="O65" s="317">
        <f>SUM(C65:N65)</f>
        <v>1336848</v>
      </c>
      <c r="P65" s="276"/>
      <c r="Q65" s="276"/>
      <c r="U65" s="317">
        <v>5</v>
      </c>
    </row>
    <row r="66" spans="2:21" ht="15.75">
      <c r="B66" s="276"/>
      <c r="C66" s="276"/>
      <c r="D66" s="294"/>
      <c r="E66" s="303"/>
      <c r="F66" s="294"/>
      <c r="G66" s="303"/>
      <c r="H66" s="294"/>
      <c r="I66" s="276"/>
      <c r="J66" s="276"/>
      <c r="K66" s="294"/>
      <c r="L66" s="287"/>
      <c r="M66" s="294"/>
      <c r="N66" s="303"/>
      <c r="O66" s="294"/>
      <c r="P66" s="276"/>
      <c r="Q66" s="276"/>
      <c r="U66" s="294"/>
    </row>
    <row r="67" spans="2:21" ht="16.5" thickBot="1">
      <c r="B67" s="308" t="s">
        <v>1371</v>
      </c>
      <c r="C67" s="308"/>
      <c r="D67" s="302">
        <f>+D65+D63</f>
        <v>0</v>
      </c>
      <c r="E67" s="303"/>
      <c r="F67" s="302">
        <f>+F65+F63</f>
        <v>29710</v>
      </c>
      <c r="G67" s="303"/>
      <c r="H67" s="302">
        <f>+H65+H63</f>
        <v>20618</v>
      </c>
      <c r="I67" s="308" t="s">
        <v>1371</v>
      </c>
      <c r="J67" s="308"/>
      <c r="K67" s="302">
        <f>+K65+K63</f>
        <v>980627</v>
      </c>
      <c r="L67" s="287"/>
      <c r="M67" s="302">
        <f>+M65+M63</f>
        <v>96568</v>
      </c>
      <c r="N67" s="303"/>
      <c r="O67" s="302">
        <f>+O65+O63</f>
        <v>1127523</v>
      </c>
      <c r="P67" s="276"/>
      <c r="Q67" s="276"/>
      <c r="U67" s="299" t="e">
        <f>+U65+U62</f>
        <v>#REF!</v>
      </c>
    </row>
    <row r="68" spans="2:21" ht="16.5" thickTop="1">
      <c r="B68" s="276"/>
      <c r="C68" s="276"/>
      <c r="D68" s="294" t="str">
        <f>IF(D67-D74=0," ","ERR")</f>
        <v xml:space="preserve"> </v>
      </c>
      <c r="E68" s="303"/>
      <c r="F68" s="348" t="str">
        <f>IF(F67-'ENT BS'!F15+'ENT BS'!F30=0," ",+'ENT BS'!F15+'ENT BS'!F30)</f>
        <v xml:space="preserve"> </v>
      </c>
      <c r="G68" s="303"/>
      <c r="H68" s="348" t="str">
        <f>IF(H67-'ENT BS'!H15+'ENT BS'!H30=0," ",+'ENT BS'!H15+'ENT BS'!H30)</f>
        <v xml:space="preserve"> </v>
      </c>
      <c r="I68" s="276"/>
      <c r="J68" s="276"/>
      <c r="K68" s="348" t="str">
        <f>IF(K67-(ROUND('ENT BS'!J15+'ENT BS'!J30,0))=0," ",+'ENT BS'!J15+'ENT BS'!J30)</f>
        <v xml:space="preserve"> </v>
      </c>
      <c r="L68" s="287"/>
      <c r="M68" s="348" t="str">
        <f>IF(M67-(ROUND('ENT BS'!L15+'ENT BS'!L30,0))=0," ",+'ENT BS'!L15+'ENT BS'!L30)</f>
        <v xml:space="preserve"> </v>
      </c>
      <c r="N68" s="303"/>
      <c r="O68" s="294" t="str">
        <f>IF(O67-(ROUND('ENT BS'!N15+'ENT BS'!N30,0))=0," ",+'ENT BS'!N15+'ENT BS'!N30)</f>
        <v xml:space="preserve"> </v>
      </c>
      <c r="P68" s="276">
        <f>+'ENT BS'!D15+PROPNA!F15+'ENT BS'!D30+PROPNA!F30</f>
        <v>3528257</v>
      </c>
      <c r="Q68" s="276">
        <f>+P68+O68</f>
        <v>3528257</v>
      </c>
      <c r="U68" s="294" t="e">
        <f>IF(U67-(ROUND('ENT BS'!T15+'ENT BS'!T30,0))=0," ",+'ENT BS'!T15+'ENT BS'!T30)</f>
        <v>#REF!</v>
      </c>
    </row>
    <row r="69" spans="2:21" ht="15.75" customHeight="1">
      <c r="B69" s="276"/>
      <c r="C69" s="276"/>
      <c r="D69" s="294"/>
      <c r="E69" s="303"/>
      <c r="F69" s="348"/>
      <c r="G69" s="303"/>
      <c r="H69" s="348"/>
      <c r="I69" s="276"/>
      <c r="J69" s="276"/>
      <c r="K69" s="348"/>
      <c r="L69" s="287"/>
      <c r="M69" s="348"/>
      <c r="N69" s="303"/>
      <c r="O69" s="294"/>
      <c r="P69" s="276"/>
      <c r="Q69" s="276"/>
      <c r="U69" s="294"/>
    </row>
    <row r="70" spans="2:21" ht="15.75">
      <c r="B70" s="276"/>
      <c r="C70" s="276"/>
      <c r="D70" s="294" t="str">
        <f>IF(+D67-D68=0," ",+D67-D68)</f>
        <v xml:space="preserve"> </v>
      </c>
      <c r="E70" s="303"/>
      <c r="F70" s="348" t="str">
        <f>IF(+F68=0," ",+F67-F68)</f>
        <v xml:space="preserve"> </v>
      </c>
      <c r="G70" s="303"/>
      <c r="H70" s="348" t="str">
        <f>IF(+H68=0," ",+H67-H68)</f>
        <v xml:space="preserve"> </v>
      </c>
      <c r="I70" s="276"/>
      <c r="J70" s="276"/>
      <c r="K70" s="348" t="str">
        <f>IF(+K68=0," ",+K67-K68)</f>
        <v xml:space="preserve"> </v>
      </c>
      <c r="L70" s="287"/>
      <c r="M70" s="348" t="str">
        <f>IF(+M68=0," ",+M67-M68)</f>
        <v xml:space="preserve"> </v>
      </c>
      <c r="N70" s="303"/>
      <c r="O70" s="294"/>
      <c r="U70" s="294" t="e">
        <f>IF(+U68=0," ",+U67-U68)</f>
        <v>#REF!</v>
      </c>
    </row>
    <row r="71" spans="2:21" ht="15.75">
      <c r="B71" s="276" t="s">
        <v>834</v>
      </c>
      <c r="C71" s="276"/>
      <c r="D71" s="292">
        <f>+'ENT BS'!D15</f>
        <v>0</v>
      </c>
      <c r="E71" s="303"/>
      <c r="F71" s="292">
        <f>+'ENT BS'!F15</f>
        <v>29710</v>
      </c>
      <c r="G71" s="292">
        <f>+'ENT BS'!G15</f>
        <v>0</v>
      </c>
      <c r="H71" s="292">
        <f>+'ENT BS'!H15</f>
        <v>20618</v>
      </c>
      <c r="I71" s="276" t="s">
        <v>834</v>
      </c>
      <c r="J71" s="276"/>
      <c r="K71" s="292">
        <f>+'ENT BS'!J15</f>
        <v>980627</v>
      </c>
      <c r="L71" s="287"/>
      <c r="M71" s="292">
        <f>+'ENT BS'!L15</f>
        <v>96568</v>
      </c>
      <c r="N71" s="303"/>
      <c r="O71" s="292">
        <f>SUM(C71:N71)</f>
        <v>1127523</v>
      </c>
      <c r="U71" s="294"/>
    </row>
    <row r="72" spans="2:21" ht="15.75" hidden="1">
      <c r="B72" s="276" t="s">
        <v>195</v>
      </c>
      <c r="C72" s="276"/>
      <c r="D72" s="294">
        <f>+'ENT BS'!D30</f>
        <v>0</v>
      </c>
      <c r="E72" s="303"/>
      <c r="F72" s="294">
        <f>+'ENT BS'!F30</f>
        <v>0</v>
      </c>
      <c r="G72" s="294">
        <f>+'ENT BS'!G30</f>
        <v>0</v>
      </c>
      <c r="H72" s="294">
        <f>+'ENT BS'!H30</f>
        <v>0</v>
      </c>
      <c r="I72" s="276" t="s">
        <v>195</v>
      </c>
      <c r="J72" s="276"/>
      <c r="K72" s="294">
        <f>+'ENT BS'!J30</f>
        <v>0</v>
      </c>
      <c r="L72" s="287"/>
      <c r="M72" s="294">
        <f>+'ENT BS'!L30</f>
        <v>0</v>
      </c>
      <c r="N72" s="303"/>
      <c r="O72" s="294">
        <f>SUM(C72:N72)</f>
        <v>0</v>
      </c>
      <c r="U72" s="294"/>
    </row>
    <row r="73" spans="2:21" ht="15.75">
      <c r="B73" s="276"/>
      <c r="C73" s="276"/>
      <c r="D73" s="298"/>
      <c r="E73" s="303"/>
      <c r="F73" s="298"/>
      <c r="G73" s="303"/>
      <c r="H73" s="298"/>
      <c r="I73" s="276"/>
      <c r="J73" s="276"/>
      <c r="K73" s="298"/>
      <c r="L73" s="287"/>
      <c r="M73" s="298"/>
      <c r="N73" s="303"/>
      <c r="O73" s="298"/>
      <c r="U73" s="294"/>
    </row>
    <row r="74" spans="2:21" ht="16.5" thickBot="1">
      <c r="B74" s="308" t="s">
        <v>196</v>
      </c>
      <c r="C74" s="308"/>
      <c r="D74" s="302">
        <f>SUM(D71:D72)</f>
        <v>0</v>
      </c>
      <c r="E74" s="319"/>
      <c r="F74" s="302">
        <f>SUM(F71:F72)</f>
        <v>29710</v>
      </c>
      <c r="G74" s="303"/>
      <c r="H74" s="302">
        <f>SUM(H71:H72)</f>
        <v>20618</v>
      </c>
      <c r="I74" s="308" t="s">
        <v>196</v>
      </c>
      <c r="J74" s="308"/>
      <c r="K74" s="302">
        <f>SUM(K71:K72)</f>
        <v>980627</v>
      </c>
      <c r="L74" s="287"/>
      <c r="M74" s="302">
        <f>SUM(M71:M72)</f>
        <v>96568</v>
      </c>
      <c r="N74" s="303"/>
      <c r="O74" s="302">
        <f>SUM(O71:O72)</f>
        <v>1127523</v>
      </c>
      <c r="U74" s="294"/>
    </row>
    <row r="75" spans="2:21" ht="16.5" thickTop="1">
      <c r="B75" s="276"/>
      <c r="C75" s="276"/>
      <c r="D75" s="294"/>
      <c r="E75" s="303"/>
      <c r="F75" s="294"/>
      <c r="G75" s="303"/>
      <c r="H75" s="294"/>
      <c r="I75" s="276"/>
      <c r="J75" s="276"/>
      <c r="K75" s="294"/>
      <c r="L75" s="287"/>
      <c r="M75" s="294"/>
      <c r="N75" s="303"/>
      <c r="O75" s="294"/>
      <c r="U75" s="294"/>
    </row>
    <row r="76" spans="2:21" ht="15.75">
      <c r="B76" s="308" t="s">
        <v>267</v>
      </c>
      <c r="C76" s="308"/>
      <c r="D76" s="294"/>
      <c r="E76" s="303"/>
      <c r="F76" s="294"/>
      <c r="G76" s="303"/>
      <c r="H76" s="294"/>
      <c r="I76" s="308" t="s">
        <v>267</v>
      </c>
      <c r="J76" s="308"/>
      <c r="K76" s="294"/>
      <c r="L76" s="287"/>
      <c r="M76" s="294"/>
      <c r="N76" s="303"/>
      <c r="O76" s="294"/>
      <c r="U76" s="294"/>
    </row>
    <row r="77" spans="2:21" ht="15.75">
      <c r="B77" s="308" t="s">
        <v>268</v>
      </c>
      <c r="C77" s="308"/>
      <c r="D77" s="294"/>
      <c r="E77" s="303"/>
      <c r="F77" s="294"/>
      <c r="G77" s="303"/>
      <c r="H77" s="294"/>
      <c r="I77" s="308" t="s">
        <v>268</v>
      </c>
      <c r="J77" s="308"/>
      <c r="K77" s="294"/>
      <c r="L77" s="294"/>
      <c r="M77" s="294"/>
      <c r="N77" s="303"/>
      <c r="O77" s="294"/>
      <c r="U77" s="294"/>
    </row>
    <row r="78" spans="2:21" ht="15.75">
      <c r="B78" s="276" t="s">
        <v>289</v>
      </c>
      <c r="C78" s="276"/>
      <c r="D78" s="292">
        <f>+'ENT IS'!D30</f>
        <v>0</v>
      </c>
      <c r="E78" s="303"/>
      <c r="F78" s="292">
        <f>+'ENT IS'!F30</f>
        <v>21642</v>
      </c>
      <c r="G78" s="303"/>
      <c r="H78" s="292">
        <f>+'ENT IS'!H30</f>
        <v>-40214</v>
      </c>
      <c r="I78" s="276" t="s">
        <v>289</v>
      </c>
      <c r="J78" s="276"/>
      <c r="K78" s="292">
        <f>+'ENT IS'!J30</f>
        <v>-37175</v>
      </c>
      <c r="L78" s="292"/>
      <c r="M78" s="292">
        <f>+'ENT IS'!L30</f>
        <v>10775</v>
      </c>
      <c r="N78" s="303"/>
      <c r="O78" s="292">
        <f>SUM(C78:N78)</f>
        <v>-44972</v>
      </c>
      <c r="U78" s="294" t="e">
        <f>+'ENT IS'!#REF!</f>
        <v>#REF!</v>
      </c>
    </row>
    <row r="79" spans="2:21" ht="15.75">
      <c r="B79" s="276"/>
      <c r="C79" s="276"/>
      <c r="D79" s="294"/>
      <c r="E79" s="303"/>
      <c r="F79" s="294"/>
      <c r="G79" s="303"/>
      <c r="H79" s="294"/>
      <c r="I79" s="276"/>
      <c r="J79" s="276"/>
      <c r="K79" s="294"/>
      <c r="L79" s="294"/>
      <c r="M79" s="294"/>
      <c r="N79" s="303"/>
      <c r="O79" s="294"/>
      <c r="U79" s="294"/>
    </row>
    <row r="80" spans="2:21" ht="15.75">
      <c r="B80" s="308" t="s">
        <v>269</v>
      </c>
      <c r="C80" s="308"/>
      <c r="D80" s="294"/>
      <c r="E80" s="303"/>
      <c r="F80" s="294"/>
      <c r="G80" s="303"/>
      <c r="H80" s="294"/>
      <c r="I80" s="308" t="s">
        <v>269</v>
      </c>
      <c r="J80" s="308"/>
      <c r="K80" s="294"/>
      <c r="L80" s="294"/>
      <c r="M80" s="294"/>
      <c r="N80" s="303"/>
      <c r="O80" s="294"/>
      <c r="U80" s="294"/>
    </row>
    <row r="81" spans="2:21" ht="15.75">
      <c r="B81" s="308" t="s">
        <v>475</v>
      </c>
      <c r="C81" s="308"/>
      <c r="D81" s="294"/>
      <c r="E81" s="303"/>
      <c r="F81" s="294"/>
      <c r="G81" s="303"/>
      <c r="H81" s="294"/>
      <c r="I81" s="308" t="s">
        <v>475</v>
      </c>
      <c r="J81" s="308"/>
      <c r="K81" s="294"/>
      <c r="L81" s="294"/>
      <c r="M81" s="294"/>
      <c r="N81" s="303"/>
      <c r="O81" s="294"/>
      <c r="U81" s="294"/>
    </row>
    <row r="82" spans="2:21" ht="15.75">
      <c r="B82" s="276" t="s">
        <v>287</v>
      </c>
      <c r="C82" s="276"/>
      <c r="D82" s="294">
        <f>+'ENT IS'!D26</f>
        <v>0</v>
      </c>
      <c r="E82" s="303"/>
      <c r="F82" s="294">
        <f>+'ENT IS'!F26</f>
        <v>2755</v>
      </c>
      <c r="G82" s="303"/>
      <c r="H82" s="294">
        <f>+'ENT IS'!H26</f>
        <v>10674</v>
      </c>
      <c r="I82" s="276" t="s">
        <v>287</v>
      </c>
      <c r="J82" s="276"/>
      <c r="K82" s="294">
        <f>+'ENT IS'!J26</f>
        <v>0</v>
      </c>
      <c r="L82" s="294"/>
      <c r="M82" s="294">
        <f>+'ENT IS'!L26</f>
        <v>0</v>
      </c>
      <c r="N82" s="303"/>
      <c r="O82" s="294">
        <f>SUM(C82:N82)</f>
        <v>13429</v>
      </c>
      <c r="U82" s="294">
        <v>0</v>
      </c>
    </row>
    <row r="83" spans="2:21" ht="15.75">
      <c r="D83" s="294"/>
      <c r="E83" s="303"/>
      <c r="F83" s="294"/>
      <c r="G83" s="303"/>
      <c r="H83" s="294"/>
      <c r="K83" s="294"/>
      <c r="L83" s="294"/>
      <c r="M83" s="294"/>
      <c r="N83" s="303"/>
      <c r="O83" s="294"/>
      <c r="U83" s="294"/>
    </row>
    <row r="84" spans="2:21" ht="15.75">
      <c r="B84" s="276" t="s">
        <v>936</v>
      </c>
      <c r="C84" s="276"/>
      <c r="E84" s="303"/>
      <c r="G84" s="303"/>
      <c r="I84" s="276" t="s">
        <v>936</v>
      </c>
      <c r="J84" s="276"/>
      <c r="N84" s="303"/>
      <c r="O84" s="294"/>
    </row>
    <row r="85" spans="2:21" ht="15.75">
      <c r="B85" s="276" t="s">
        <v>140</v>
      </c>
      <c r="C85" s="276"/>
      <c r="D85" s="294">
        <f>D124-'ENT BS'!D19</f>
        <v>0</v>
      </c>
      <c r="E85" s="303"/>
      <c r="F85" s="294">
        <f>-'ENT BS'!F19+F124</f>
        <v>-839</v>
      </c>
      <c r="G85" s="303"/>
      <c r="H85" s="294">
        <f>-'ENT BS'!H19+H124</f>
        <v>-1157</v>
      </c>
      <c r="I85" s="276" t="s">
        <v>140</v>
      </c>
      <c r="J85" s="276"/>
      <c r="K85" s="294">
        <f>-'ENT BS'!J19+K124</f>
        <v>-9816</v>
      </c>
      <c r="L85" s="294"/>
      <c r="M85" s="294">
        <f>-'ENT BS'!L19+M124</f>
        <v>-77</v>
      </c>
      <c r="N85" s="303"/>
      <c r="O85" s="294">
        <f t="shared" ref="O85:O96" si="2">SUM(C85:N85)</f>
        <v>-11889</v>
      </c>
      <c r="U85" s="294">
        <f>-'ENT BS'!T19+7</f>
        <v>1</v>
      </c>
    </row>
    <row r="86" spans="2:21" ht="15.75" hidden="1">
      <c r="B86" s="276" t="s">
        <v>2059</v>
      </c>
      <c r="C86" s="276"/>
      <c r="D86" s="294">
        <v>0</v>
      </c>
      <c r="E86" s="303"/>
      <c r="F86" s="294"/>
      <c r="G86" s="303"/>
      <c r="H86" s="294"/>
      <c r="I86" s="276"/>
      <c r="J86" s="276"/>
      <c r="K86" s="294"/>
      <c r="L86" s="294"/>
      <c r="M86" s="294"/>
      <c r="N86" s="303"/>
      <c r="O86" s="294"/>
      <c r="U86" s="294"/>
    </row>
    <row r="87" spans="2:21" ht="15.75" hidden="1">
      <c r="B87" s="276" t="s">
        <v>679</v>
      </c>
      <c r="C87" s="276"/>
      <c r="D87" s="294">
        <f>D125-'ENT BS'!D24</f>
        <v>0</v>
      </c>
      <c r="E87" s="303"/>
      <c r="F87" s="294">
        <f>-'ENT BS'!F24+F125</f>
        <v>0</v>
      </c>
      <c r="G87" s="303"/>
      <c r="H87" s="294">
        <f>-'ENT BS'!H24+H125</f>
        <v>0</v>
      </c>
      <c r="I87" s="276" t="s">
        <v>679</v>
      </c>
      <c r="J87" s="276"/>
      <c r="K87" s="294">
        <f>-'ENT BS'!J24+K125</f>
        <v>0</v>
      </c>
      <c r="L87" s="294"/>
      <c r="M87" s="294">
        <f>-'ENT BS'!L24+M125</f>
        <v>0</v>
      </c>
      <c r="N87" s="303"/>
      <c r="O87" s="294">
        <f t="shared" si="2"/>
        <v>0</v>
      </c>
      <c r="U87" s="294">
        <v>0</v>
      </c>
    </row>
    <row r="88" spans="2:21" ht="15.75" hidden="1">
      <c r="B88" s="276" t="s">
        <v>2475</v>
      </c>
      <c r="C88" s="276"/>
      <c r="D88" s="294">
        <f>D131-'ENT BS'!D55</f>
        <v>0</v>
      </c>
      <c r="E88" s="303"/>
      <c r="F88" s="294"/>
      <c r="G88" s="303"/>
      <c r="H88" s="294"/>
      <c r="I88" s="276"/>
      <c r="J88" s="276"/>
      <c r="K88" s="294"/>
      <c r="L88" s="294"/>
      <c r="M88" s="294"/>
      <c r="N88" s="303"/>
      <c r="O88" s="294"/>
      <c r="U88" s="294"/>
    </row>
    <row r="89" spans="2:21" ht="15.75" hidden="1">
      <c r="B89" s="276" t="s">
        <v>371</v>
      </c>
      <c r="C89" s="276"/>
      <c r="D89" s="294">
        <f>'ENT BS'!D55-D135</f>
        <v>0</v>
      </c>
      <c r="E89" s="303"/>
      <c r="F89" s="294">
        <f>-F134</f>
        <v>0</v>
      </c>
      <c r="G89" s="303"/>
      <c r="H89" s="294">
        <f>-H134</f>
        <v>0</v>
      </c>
      <c r="I89" s="276" t="s">
        <v>371</v>
      </c>
      <c r="J89" s="276"/>
      <c r="K89" s="294">
        <f>-K134</f>
        <v>0</v>
      </c>
      <c r="L89" s="294"/>
      <c r="M89" s="294">
        <f>-M134</f>
        <v>0</v>
      </c>
      <c r="N89" s="303"/>
      <c r="O89" s="294">
        <f t="shared" si="2"/>
        <v>0</v>
      </c>
      <c r="U89" s="294">
        <f>+'ENT BS'!T62-0</f>
        <v>15</v>
      </c>
    </row>
    <row r="90" spans="2:21" ht="15.75">
      <c r="B90" s="276" t="s">
        <v>75</v>
      </c>
      <c r="C90" s="276"/>
      <c r="D90" s="294">
        <f>+'ENT BS'!D76+'ENT BS'!D68-D138</f>
        <v>0</v>
      </c>
      <c r="E90" s="303"/>
      <c r="F90" s="294">
        <f>+'ENT BS'!F76+'ENT BS'!F68-F136</f>
        <v>384</v>
      </c>
      <c r="G90" s="303"/>
      <c r="H90" s="294">
        <f>+'ENT BS'!H76+'ENT BS'!H68-H136</f>
        <v>457</v>
      </c>
      <c r="I90" s="276" t="s">
        <v>75</v>
      </c>
      <c r="J90" s="276"/>
      <c r="K90" s="294">
        <f>+'ENT BS'!J76+'ENT BS'!J68-K136</f>
        <v>0</v>
      </c>
      <c r="L90" s="294"/>
      <c r="M90" s="294">
        <f>+'ENT BS'!L76+'ENT BS'!L68-M136</f>
        <v>353</v>
      </c>
      <c r="N90" s="303"/>
      <c r="O90" s="294">
        <f t="shared" si="2"/>
        <v>1194</v>
      </c>
      <c r="U90" s="294">
        <v>0</v>
      </c>
    </row>
    <row r="91" spans="2:21" ht="15.75">
      <c r="B91" s="276" t="s">
        <v>389</v>
      </c>
      <c r="C91" s="276"/>
      <c r="D91" s="294">
        <f>+'ENT BS'!D59-D133</f>
        <v>0</v>
      </c>
      <c r="E91" s="303"/>
      <c r="F91" s="294">
        <f>+'ENT BS'!F59-F132</f>
        <v>0</v>
      </c>
      <c r="G91" s="303"/>
      <c r="H91" s="294">
        <f>+'ENT BS'!H59-H132</f>
        <v>0</v>
      </c>
      <c r="I91" s="276" t="s">
        <v>389</v>
      </c>
      <c r="J91" s="276"/>
      <c r="K91" s="294">
        <f>+'ENT BS'!J59-K132</f>
        <v>2615</v>
      </c>
      <c r="L91" s="294"/>
      <c r="M91" s="294">
        <f>+'ENT BS'!L59-M132</f>
        <v>0</v>
      </c>
      <c r="N91" s="303"/>
      <c r="O91" s="294">
        <f t="shared" si="2"/>
        <v>2615</v>
      </c>
      <c r="U91" s="294">
        <f>+'ENT BS'!T59-0</f>
        <v>2</v>
      </c>
    </row>
    <row r="92" spans="2:21" ht="15.75" hidden="1" customHeight="1">
      <c r="B92" s="276" t="s">
        <v>1006</v>
      </c>
      <c r="C92" s="276"/>
      <c r="D92" s="294">
        <f>-D153+D154</f>
        <v>0</v>
      </c>
      <c r="E92" s="303"/>
      <c r="F92" s="294">
        <f>-F146+F147</f>
        <v>0</v>
      </c>
      <c r="G92" s="303"/>
      <c r="H92" s="294">
        <f>-H146+H147</f>
        <v>0</v>
      </c>
      <c r="I92" s="303"/>
      <c r="J92" s="294">
        <f>-J146+J147</f>
        <v>0</v>
      </c>
      <c r="K92" s="303"/>
      <c r="L92" s="294">
        <f>-L146+L147</f>
        <v>0</v>
      </c>
      <c r="M92" s="303"/>
      <c r="N92" s="303"/>
      <c r="O92" s="294">
        <f t="shared" si="2"/>
        <v>0</v>
      </c>
      <c r="U92" s="294"/>
    </row>
    <row r="93" spans="2:21" ht="15.75" hidden="1" customHeight="1">
      <c r="B93" s="276" t="s">
        <v>2275</v>
      </c>
      <c r="C93" s="276"/>
      <c r="D93" s="294">
        <v>0</v>
      </c>
      <c r="E93" s="303"/>
      <c r="F93" s="294"/>
      <c r="G93" s="303"/>
      <c r="H93" s="294"/>
      <c r="I93" s="303"/>
      <c r="J93" s="294"/>
      <c r="K93" s="303"/>
      <c r="L93" s="294"/>
      <c r="M93" s="303"/>
      <c r="N93" s="303"/>
      <c r="O93" s="294"/>
      <c r="U93" s="294"/>
    </row>
    <row r="94" spans="2:21" ht="15.75" hidden="1" customHeight="1">
      <c r="B94" s="276" t="s">
        <v>766</v>
      </c>
      <c r="C94" s="276"/>
      <c r="D94" s="294">
        <v>0</v>
      </c>
      <c r="E94" s="303"/>
      <c r="F94" s="294"/>
      <c r="G94" s="303"/>
      <c r="H94" s="294"/>
      <c r="I94" s="303"/>
      <c r="J94" s="294"/>
      <c r="K94" s="303"/>
      <c r="L94" s="294"/>
      <c r="M94" s="303"/>
      <c r="N94" s="303"/>
      <c r="O94" s="294"/>
      <c r="U94" s="294"/>
    </row>
    <row r="95" spans="2:21" ht="15.75">
      <c r="B95" s="276" t="s">
        <v>1201</v>
      </c>
      <c r="C95" s="276"/>
      <c r="D95" s="294">
        <v>0</v>
      </c>
      <c r="E95" s="303"/>
      <c r="F95" s="294">
        <v>0</v>
      </c>
      <c r="G95" s="303"/>
      <c r="H95" s="294">
        <v>0</v>
      </c>
      <c r="I95" s="276" t="s">
        <v>1201</v>
      </c>
      <c r="J95" s="276"/>
      <c r="K95" s="294">
        <f>-K135+'ENT BS'!J65+'ENT BS'!J75</f>
        <v>-15300</v>
      </c>
      <c r="L95" s="294"/>
      <c r="M95" s="294">
        <v>0</v>
      </c>
      <c r="N95" s="303"/>
      <c r="O95" s="294">
        <f t="shared" si="2"/>
        <v>-15300</v>
      </c>
      <c r="U95" s="294">
        <v>0</v>
      </c>
    </row>
    <row r="96" spans="2:21" ht="15.75" hidden="1" customHeight="1">
      <c r="B96" s="276" t="s">
        <v>2579</v>
      </c>
      <c r="C96" s="276"/>
      <c r="D96" s="294">
        <f>+'ENT BS'!D77-'ENT CF'!D139</f>
        <v>0</v>
      </c>
      <c r="E96" s="303"/>
      <c r="F96" s="294">
        <v>0</v>
      </c>
      <c r="G96" s="303"/>
      <c r="H96" s="294">
        <v>0</v>
      </c>
      <c r="I96" s="276" t="s">
        <v>806</v>
      </c>
      <c r="J96" s="276"/>
      <c r="K96" s="294">
        <v>0</v>
      </c>
      <c r="L96" s="294"/>
      <c r="M96" s="294">
        <v>0</v>
      </c>
      <c r="N96" s="303"/>
      <c r="O96" s="294">
        <f t="shared" si="2"/>
        <v>0</v>
      </c>
      <c r="U96" s="294">
        <v>0</v>
      </c>
    </row>
    <row r="97" spans="2:21" ht="15.75" hidden="1" customHeight="1">
      <c r="B97" s="276" t="s">
        <v>550</v>
      </c>
      <c r="C97" s="276"/>
      <c r="D97" s="294">
        <f>+'ENT BS'!D78-'ENT CF'!D140</f>
        <v>0</v>
      </c>
      <c r="E97" s="303"/>
      <c r="F97" s="294"/>
      <c r="G97" s="303"/>
      <c r="H97" s="294"/>
      <c r="I97" s="276"/>
      <c r="J97" s="276"/>
      <c r="K97" s="294"/>
      <c r="L97" s="294"/>
      <c r="M97" s="294"/>
      <c r="N97" s="303"/>
      <c r="O97" s="294"/>
      <c r="U97" s="294"/>
    </row>
    <row r="98" spans="2:21" ht="15.75" hidden="1" customHeight="1">
      <c r="B98" s="276" t="s">
        <v>896</v>
      </c>
      <c r="C98" s="276"/>
      <c r="D98" s="294">
        <f>+'ENT BS'!D79-'ENT CF'!D142</f>
        <v>0</v>
      </c>
      <c r="E98" s="303"/>
      <c r="F98" s="294"/>
      <c r="G98" s="303"/>
      <c r="H98" s="294"/>
      <c r="I98" s="276"/>
      <c r="J98" s="276"/>
      <c r="K98" s="294"/>
      <c r="L98" s="294"/>
      <c r="M98" s="294"/>
      <c r="N98" s="303"/>
      <c r="O98" s="294"/>
      <c r="U98" s="294"/>
    </row>
    <row r="99" spans="2:21" ht="15.75" hidden="1" customHeight="1">
      <c r="B99" s="276" t="s">
        <v>2478</v>
      </c>
      <c r="C99" s="276"/>
      <c r="D99" s="294">
        <f>+'ENT BS'!D99-'ENT CF'!D142</f>
        <v>0</v>
      </c>
      <c r="E99" s="303"/>
      <c r="F99" s="294"/>
      <c r="G99" s="303"/>
      <c r="H99" s="294"/>
      <c r="I99" s="276"/>
      <c r="J99" s="276"/>
      <c r="K99" s="294"/>
      <c r="L99" s="294"/>
      <c r="M99" s="294"/>
      <c r="N99" s="303"/>
      <c r="O99" s="294"/>
      <c r="U99" s="294"/>
    </row>
    <row r="100" spans="2:21" ht="15.75">
      <c r="B100" s="276"/>
      <c r="C100" s="276"/>
      <c r="D100" s="337"/>
      <c r="E100" s="303"/>
      <c r="F100" s="298"/>
      <c r="G100" s="303"/>
      <c r="H100" s="298"/>
      <c r="I100" s="276"/>
      <c r="J100" s="276"/>
      <c r="K100" s="298"/>
      <c r="L100" s="294"/>
      <c r="M100" s="298"/>
      <c r="N100" s="303"/>
      <c r="O100" s="298"/>
      <c r="U100" s="337"/>
    </row>
    <row r="101" spans="2:21" ht="16.5" thickBot="1">
      <c r="B101" s="308" t="s">
        <v>243</v>
      </c>
      <c r="C101" s="308"/>
      <c r="D101" s="302">
        <f>SUM(D78:D99)</f>
        <v>0</v>
      </c>
      <c r="E101" s="303"/>
      <c r="F101" s="302">
        <f>SUM(F78:F99)</f>
        <v>23942</v>
      </c>
      <c r="G101" s="303"/>
      <c r="H101" s="302">
        <f>SUM(H78:H99)</f>
        <v>-30240</v>
      </c>
      <c r="I101" s="308" t="s">
        <v>243</v>
      </c>
      <c r="J101" s="308"/>
      <c r="K101" s="302">
        <f>SUM(K78:K99)</f>
        <v>-59676</v>
      </c>
      <c r="L101" s="294"/>
      <c r="M101" s="302">
        <f>SUM(M78:M99)</f>
        <v>11051</v>
      </c>
      <c r="N101" s="303"/>
      <c r="O101" s="302">
        <f>SUM(O78:O99)</f>
        <v>-54923</v>
      </c>
      <c r="U101" s="301" t="e">
        <f>SUM(U78:U99)</f>
        <v>#REF!</v>
      </c>
    </row>
    <row r="102" spans="2:21" ht="16.5" thickTop="1">
      <c r="B102" s="276"/>
      <c r="C102" s="276"/>
      <c r="D102" s="294" t="str">
        <f>IF((+D101-D22)=0," ",+D101-D22)</f>
        <v xml:space="preserve"> </v>
      </c>
      <c r="E102" s="303"/>
      <c r="F102" s="346" t="str">
        <f>IF((+F101-F22)=0," ",+F101-F22)</f>
        <v xml:space="preserve"> </v>
      </c>
      <c r="G102" s="346"/>
      <c r="H102" s="346" t="str">
        <f>IF((+H101-H22)=0," ",+H101-H22)</f>
        <v xml:space="preserve"> </v>
      </c>
      <c r="I102" s="334"/>
      <c r="J102" s="334"/>
      <c r="K102" s="346" t="str">
        <f>IF((+K101-K22)=0," ",+K101-K22)</f>
        <v xml:space="preserve"> </v>
      </c>
      <c r="L102" s="346"/>
      <c r="M102" s="346" t="str">
        <f>IF((+M101-M22)=0," ",+M101-M22)</f>
        <v xml:space="preserve"> </v>
      </c>
      <c r="N102" s="423"/>
      <c r="O102" s="346"/>
      <c r="U102" s="294"/>
    </row>
    <row r="103" spans="2:21" ht="15.75" hidden="1">
      <c r="B103" s="276"/>
      <c r="C103" s="276"/>
      <c r="D103" s="294">
        <f>+D101-D22</f>
        <v>0</v>
      </c>
      <c r="E103" s="303"/>
      <c r="F103" s="294"/>
      <c r="G103" s="294"/>
      <c r="H103" s="294"/>
      <c r="I103" s="276"/>
      <c r="J103" s="276"/>
      <c r="K103" s="294"/>
      <c r="L103" s="294"/>
      <c r="M103" s="294"/>
      <c r="N103" s="294"/>
      <c r="O103" s="294"/>
      <c r="U103" s="294" t="e">
        <f>+U101-U22</f>
        <v>#REF!</v>
      </c>
    </row>
    <row r="104" spans="2:21" ht="15.75">
      <c r="B104" s="308" t="s">
        <v>1036</v>
      </c>
      <c r="C104" s="308"/>
      <c r="D104" s="294"/>
      <c r="E104" s="303"/>
      <c r="F104" s="294"/>
      <c r="G104" s="294"/>
      <c r="H104" s="294"/>
      <c r="I104" s="308" t="s">
        <v>1036</v>
      </c>
      <c r="J104" s="308"/>
      <c r="K104" s="294"/>
      <c r="L104" s="294"/>
      <c r="M104" s="294"/>
      <c r="N104" s="294"/>
      <c r="O104" s="294"/>
      <c r="U104" s="294" t="e">
        <f>+U103+U70</f>
        <v>#REF!</v>
      </c>
    </row>
    <row r="105" spans="2:21" ht="15.75" hidden="1">
      <c r="B105" s="276" t="s">
        <v>3171</v>
      </c>
      <c r="C105" s="276"/>
      <c r="D105" s="294">
        <f>+INPUT!CB287-D148</f>
        <v>0</v>
      </c>
      <c r="E105" s="303"/>
      <c r="F105" s="294">
        <f>+'ENT IS'!F49</f>
        <v>0</v>
      </c>
      <c r="G105" s="294"/>
      <c r="H105" s="294">
        <f>+'ENT IS'!H49</f>
        <v>0</v>
      </c>
      <c r="I105" s="276" t="s">
        <v>3171</v>
      </c>
      <c r="J105" s="276"/>
      <c r="K105" s="294">
        <f>+'ENT IS'!K49</f>
        <v>0</v>
      </c>
      <c r="L105" s="294"/>
      <c r="M105" s="294">
        <f>+'ENT IS'!M49</f>
        <v>0</v>
      </c>
      <c r="N105" s="294"/>
      <c r="O105" s="294">
        <f>SUM(E105:N105)</f>
        <v>0</v>
      </c>
      <c r="Q105" s="1217" t="s">
        <v>3335</v>
      </c>
      <c r="U105" s="294">
        <v>0</v>
      </c>
    </row>
    <row r="106" spans="2:21" ht="15.75" hidden="1">
      <c r="B106" s="276" t="s">
        <v>1158</v>
      </c>
      <c r="C106" s="276"/>
      <c r="D106" s="294">
        <v>0</v>
      </c>
      <c r="E106" s="303"/>
      <c r="F106" s="294"/>
      <c r="G106" s="294"/>
      <c r="H106" s="294"/>
      <c r="I106" s="276" t="s">
        <v>1202</v>
      </c>
      <c r="J106" s="276"/>
      <c r="K106" s="294"/>
      <c r="L106" s="294"/>
      <c r="M106" s="294"/>
      <c r="N106" s="294"/>
      <c r="O106" s="294">
        <f>SUM(E106:N106)</f>
        <v>0</v>
      </c>
      <c r="U106" s="294"/>
    </row>
    <row r="107" spans="2:21" ht="15.75" hidden="1">
      <c r="B107" s="276" t="s">
        <v>816</v>
      </c>
      <c r="C107" s="276"/>
      <c r="D107" s="292">
        <v>0</v>
      </c>
      <c r="E107" s="303"/>
      <c r="F107" s="294">
        <v>0</v>
      </c>
      <c r="G107" s="294"/>
      <c r="H107" s="294">
        <v>0</v>
      </c>
      <c r="I107" s="276"/>
      <c r="J107" s="276"/>
      <c r="K107" s="294">
        <v>0</v>
      </c>
      <c r="L107" s="294"/>
      <c r="M107" s="294">
        <v>0</v>
      </c>
      <c r="N107" s="294"/>
      <c r="O107" s="294">
        <f t="shared" ref="O107:O114" si="3">SUM(C107:N107)</f>
        <v>0</v>
      </c>
      <c r="U107" s="294"/>
    </row>
    <row r="108" spans="2:21" ht="15.75">
      <c r="B108" s="276" t="s">
        <v>832</v>
      </c>
      <c r="C108" s="276"/>
      <c r="D108" s="294">
        <v>0</v>
      </c>
      <c r="E108" s="303"/>
      <c r="F108" s="292">
        <f>+INPUT!CD334</f>
        <v>121</v>
      </c>
      <c r="G108" s="292"/>
      <c r="H108" s="292">
        <f>+INPUT!CE334</f>
        <v>448</v>
      </c>
      <c r="I108" s="293" t="s">
        <v>832</v>
      </c>
      <c r="J108" s="293"/>
      <c r="K108" s="292">
        <f>+INPUT!CF334</f>
        <v>3485</v>
      </c>
      <c r="L108" s="292"/>
      <c r="M108" s="292">
        <f>+INPUT!CH334</f>
        <v>73</v>
      </c>
      <c r="N108" s="292"/>
      <c r="O108" s="292">
        <f t="shared" si="3"/>
        <v>4127</v>
      </c>
      <c r="U108" s="294"/>
    </row>
    <row r="109" spans="2:21" ht="15.75" hidden="1">
      <c r="B109" s="276" t="s">
        <v>2312</v>
      </c>
      <c r="C109" s="276"/>
      <c r="D109" s="294">
        <v>0</v>
      </c>
      <c r="E109" s="303"/>
      <c r="F109" s="292"/>
      <c r="G109" s="292"/>
      <c r="H109" s="292"/>
      <c r="I109" s="293"/>
      <c r="J109" s="293"/>
      <c r="K109" s="292"/>
      <c r="L109" s="292"/>
      <c r="M109" s="292"/>
      <c r="N109" s="292"/>
      <c r="O109" s="292"/>
      <c r="U109" s="294"/>
    </row>
    <row r="110" spans="2:21" ht="15.75" hidden="1">
      <c r="B110" s="276" t="s">
        <v>127</v>
      </c>
      <c r="C110" s="276"/>
      <c r="D110" s="294">
        <v>0</v>
      </c>
      <c r="E110" s="303"/>
      <c r="F110" s="294">
        <v>0</v>
      </c>
      <c r="G110" s="294"/>
      <c r="H110" s="294">
        <v>0</v>
      </c>
      <c r="I110" s="276" t="s">
        <v>127</v>
      </c>
      <c r="J110" s="276"/>
      <c r="K110" s="294">
        <v>0</v>
      </c>
      <c r="L110" s="294"/>
      <c r="M110" s="294"/>
      <c r="N110" s="294"/>
      <c r="O110" s="294">
        <f t="shared" si="3"/>
        <v>0</v>
      </c>
      <c r="U110" s="294"/>
    </row>
    <row r="111" spans="2:21" ht="15.75" hidden="1">
      <c r="B111" s="276" t="s">
        <v>1005</v>
      </c>
      <c r="C111" s="276"/>
      <c r="D111" s="294">
        <v>0</v>
      </c>
      <c r="E111" s="303"/>
      <c r="F111" s="294">
        <v>0</v>
      </c>
      <c r="G111" s="294"/>
      <c r="H111" s="294">
        <v>0</v>
      </c>
      <c r="I111" s="276" t="s">
        <v>208</v>
      </c>
      <c r="J111" s="276"/>
      <c r="K111" s="294">
        <v>0</v>
      </c>
      <c r="L111" s="294"/>
      <c r="M111" s="294"/>
      <c r="N111" s="294"/>
      <c r="O111" s="294">
        <f t="shared" si="3"/>
        <v>0</v>
      </c>
      <c r="U111" s="294">
        <v>0</v>
      </c>
    </row>
    <row r="112" spans="2:21" ht="15.75" hidden="1">
      <c r="B112" s="276" t="s">
        <v>2276</v>
      </c>
      <c r="C112" s="276"/>
      <c r="D112" s="294">
        <v>0</v>
      </c>
      <c r="F112" s="294">
        <f>F145</f>
        <v>0</v>
      </c>
      <c r="G112" s="294"/>
      <c r="H112" s="294">
        <f>H145</f>
        <v>0</v>
      </c>
      <c r="I112" s="276" t="s">
        <v>1366</v>
      </c>
      <c r="J112" s="276"/>
      <c r="K112" s="294">
        <f>K145</f>
        <v>0</v>
      </c>
      <c r="L112" s="294"/>
      <c r="M112" s="294">
        <f>M145</f>
        <v>0</v>
      </c>
      <c r="N112" s="294"/>
      <c r="O112" s="294">
        <f t="shared" si="3"/>
        <v>0</v>
      </c>
      <c r="U112" s="294"/>
    </row>
    <row r="113" spans="2:21" ht="15.75" hidden="1">
      <c r="B113" s="276" t="s">
        <v>1771</v>
      </c>
      <c r="C113" s="276"/>
      <c r="D113" s="294">
        <v>0</v>
      </c>
      <c r="F113" s="294">
        <v>0</v>
      </c>
      <c r="G113" s="294"/>
      <c r="H113" s="294">
        <v>0</v>
      </c>
      <c r="I113" s="276"/>
      <c r="J113" s="276"/>
      <c r="K113" s="294">
        <v>0</v>
      </c>
      <c r="L113" s="294"/>
      <c r="M113" s="294">
        <v>0</v>
      </c>
      <c r="N113" s="294"/>
      <c r="O113" s="294">
        <f t="shared" si="3"/>
        <v>0</v>
      </c>
      <c r="U113" s="294"/>
    </row>
    <row r="114" spans="2:21" ht="15.75" hidden="1">
      <c r="B114" s="276" t="s">
        <v>1701</v>
      </c>
      <c r="C114" s="276"/>
      <c r="D114" s="294">
        <v>0</v>
      </c>
      <c r="F114" s="294">
        <f>-F143</f>
        <v>0</v>
      </c>
      <c r="H114" s="294">
        <f>-H143</f>
        <v>0</v>
      </c>
      <c r="I114" s="276" t="s">
        <v>647</v>
      </c>
      <c r="J114" s="276"/>
      <c r="K114" s="294">
        <v>0</v>
      </c>
      <c r="L114" s="294"/>
      <c r="M114" s="294">
        <v>0</v>
      </c>
      <c r="N114" s="294"/>
      <c r="O114" s="294">
        <f t="shared" si="3"/>
        <v>0</v>
      </c>
    </row>
    <row r="115" spans="2:21" ht="15.75">
      <c r="B115" s="276"/>
      <c r="C115" s="276"/>
      <c r="F115" s="294"/>
      <c r="H115" s="294"/>
      <c r="I115" s="276"/>
      <c r="J115" s="276"/>
      <c r="K115" s="294"/>
      <c r="L115" s="294"/>
      <c r="M115" s="294"/>
      <c r="N115" s="294"/>
      <c r="O115" s="294"/>
    </row>
    <row r="116" spans="2:21" ht="15.75">
      <c r="O116" s="294"/>
    </row>
    <row r="119" spans="2:21" ht="15.75">
      <c r="F119" s="1059" t="s">
        <v>3489</v>
      </c>
      <c r="G119" s="357"/>
      <c r="H119" s="357"/>
      <c r="I119" s="357"/>
      <c r="J119" s="357"/>
      <c r="K119" s="357"/>
      <c r="L119" s="357"/>
      <c r="M119" s="357"/>
    </row>
    <row r="120" spans="2:21" ht="15.75">
      <c r="B120" s="288" t="s">
        <v>1363</v>
      </c>
      <c r="D120" s="310">
        <v>0</v>
      </c>
      <c r="F120" s="310">
        <v>10198</v>
      </c>
      <c r="G120" s="276"/>
      <c r="H120" s="310">
        <v>118849</v>
      </c>
      <c r="I120" s="276"/>
      <c r="J120" s="276"/>
      <c r="K120" s="310">
        <v>1114284</v>
      </c>
      <c r="L120" s="310"/>
      <c r="M120" s="310">
        <v>93517</v>
      </c>
    </row>
    <row r="121" spans="2:21" ht="15.75">
      <c r="B121" s="288" t="s">
        <v>661</v>
      </c>
      <c r="D121" s="310">
        <v>0</v>
      </c>
      <c r="F121" s="310">
        <v>744</v>
      </c>
      <c r="G121" s="276"/>
      <c r="H121" s="310">
        <v>8671</v>
      </c>
      <c r="I121" s="276"/>
      <c r="J121" s="276"/>
      <c r="K121" s="310">
        <v>81298</v>
      </c>
      <c r="L121" s="310"/>
      <c r="M121" s="310">
        <v>6823</v>
      </c>
    </row>
    <row r="122" spans="2:21" ht="15.75">
      <c r="B122" s="288" t="s">
        <v>320</v>
      </c>
      <c r="D122" s="310"/>
      <c r="F122" s="310"/>
      <c r="G122" s="276"/>
      <c r="H122" s="310"/>
      <c r="I122" s="276" t="s">
        <v>320</v>
      </c>
      <c r="J122" s="276"/>
      <c r="K122" s="310"/>
      <c r="L122" s="310"/>
      <c r="M122" s="310"/>
    </row>
    <row r="123" spans="2:21" ht="15.75">
      <c r="B123" s="288" t="s">
        <v>1631</v>
      </c>
      <c r="D123" s="310">
        <v>0</v>
      </c>
      <c r="F123" s="310"/>
      <c r="G123" s="276"/>
      <c r="H123" s="310"/>
      <c r="I123" s="276"/>
      <c r="J123" s="276"/>
      <c r="K123" s="310"/>
      <c r="L123" s="310"/>
      <c r="M123" s="310"/>
    </row>
    <row r="124" spans="2:21" ht="15.75">
      <c r="B124" s="288" t="s">
        <v>662</v>
      </c>
      <c r="D124" s="310">
        <v>0</v>
      </c>
      <c r="F124" s="310">
        <v>5096</v>
      </c>
      <c r="G124" s="276"/>
      <c r="H124" s="310">
        <v>20797</v>
      </c>
      <c r="I124" s="276"/>
      <c r="J124" s="276"/>
      <c r="K124" s="310">
        <v>160956</v>
      </c>
      <c r="L124" s="310"/>
      <c r="M124" s="310">
        <v>3495</v>
      </c>
      <c r="O124" s="391"/>
    </row>
    <row r="125" spans="2:21" ht="15.75">
      <c r="B125" s="288" t="s">
        <v>1365</v>
      </c>
      <c r="D125" s="310">
        <v>0</v>
      </c>
      <c r="F125" s="310">
        <v>0</v>
      </c>
      <c r="G125" s="276"/>
      <c r="H125" s="310">
        <v>0</v>
      </c>
      <c r="I125" s="276" t="s">
        <v>1365</v>
      </c>
      <c r="J125" s="276"/>
      <c r="K125" s="310"/>
      <c r="L125" s="310"/>
      <c r="M125" s="310"/>
    </row>
    <row r="126" spans="2:21" ht="15.75">
      <c r="B126" s="288" t="s">
        <v>1364</v>
      </c>
      <c r="D126" s="310">
        <v>0</v>
      </c>
      <c r="F126" s="310"/>
      <c r="G126" s="276"/>
      <c r="H126" s="310"/>
      <c r="I126" s="276" t="s">
        <v>1364</v>
      </c>
      <c r="J126" s="276"/>
      <c r="K126" s="310"/>
      <c r="L126" s="310"/>
      <c r="M126" s="310"/>
    </row>
    <row r="127" spans="2:21" ht="15.75">
      <c r="B127" s="288" t="s">
        <v>663</v>
      </c>
      <c r="D127" s="310">
        <v>0</v>
      </c>
      <c r="F127" s="310"/>
      <c r="G127" s="276"/>
      <c r="H127" s="310"/>
      <c r="I127" s="276" t="s">
        <v>663</v>
      </c>
      <c r="J127" s="276"/>
      <c r="K127" s="310"/>
      <c r="L127" s="310"/>
      <c r="M127" s="310"/>
    </row>
    <row r="128" spans="2:21" ht="15.75">
      <c r="B128" s="288" t="s">
        <v>711</v>
      </c>
      <c r="D128" s="310">
        <v>0</v>
      </c>
      <c r="F128" s="310">
        <v>11363</v>
      </c>
      <c r="G128" s="276"/>
      <c r="H128" s="310">
        <v>73482</v>
      </c>
      <c r="I128" s="276" t="s">
        <v>711</v>
      </c>
      <c r="J128" s="276"/>
      <c r="K128" s="310">
        <v>54611</v>
      </c>
      <c r="L128" s="310"/>
      <c r="M128" s="310">
        <v>3587</v>
      </c>
    </row>
    <row r="129" spans="2:15" ht="15.75">
      <c r="D129" s="310">
        <v>0</v>
      </c>
      <c r="F129" s="310"/>
      <c r="G129" s="276"/>
      <c r="H129" s="310"/>
      <c r="I129" s="276"/>
      <c r="J129" s="276"/>
      <c r="K129" s="310"/>
      <c r="L129" s="310"/>
      <c r="M129" s="310"/>
    </row>
    <row r="130" spans="2:15" ht="15.75">
      <c r="D130" s="310"/>
      <c r="F130" s="310"/>
      <c r="G130" s="276"/>
      <c r="H130" s="310"/>
      <c r="I130" s="276"/>
      <c r="J130" s="276"/>
      <c r="K130" s="310"/>
      <c r="L130" s="310"/>
      <c r="M130" s="310"/>
    </row>
    <row r="131" spans="2:15" ht="15.75">
      <c r="D131" s="310">
        <v>0</v>
      </c>
      <c r="F131" s="310"/>
      <c r="G131" s="276"/>
      <c r="H131" s="310"/>
      <c r="I131" s="276"/>
      <c r="J131" s="276"/>
      <c r="K131" s="310"/>
      <c r="L131" s="310"/>
      <c r="M131" s="310"/>
    </row>
    <row r="132" spans="2:15" ht="15.75">
      <c r="B132" s="288" t="s">
        <v>274</v>
      </c>
      <c r="D132" s="310"/>
      <c r="F132" s="310">
        <v>0</v>
      </c>
      <c r="G132" s="276"/>
      <c r="H132" s="310">
        <v>0</v>
      </c>
      <c r="I132" s="276" t="s">
        <v>274</v>
      </c>
      <c r="J132" s="276"/>
      <c r="K132" s="310">
        <v>94684</v>
      </c>
      <c r="L132" s="310"/>
      <c r="M132" s="310"/>
    </row>
    <row r="133" spans="2:15" ht="15.75">
      <c r="B133" s="288" t="s">
        <v>240</v>
      </c>
      <c r="D133" s="310">
        <v>0</v>
      </c>
      <c r="F133" s="310"/>
      <c r="G133" s="276"/>
      <c r="H133" s="310"/>
      <c r="I133" s="276" t="s">
        <v>240</v>
      </c>
      <c r="J133" s="276"/>
      <c r="K133" s="310"/>
      <c r="L133" s="310"/>
      <c r="M133" s="310"/>
    </row>
    <row r="134" spans="2:15" ht="15.75">
      <c r="B134" s="288" t="s">
        <v>712</v>
      </c>
      <c r="D134" s="310">
        <v>0</v>
      </c>
      <c r="F134" s="310">
        <v>0</v>
      </c>
      <c r="G134" s="276"/>
      <c r="H134" s="310">
        <v>0</v>
      </c>
      <c r="I134" s="276" t="s">
        <v>712</v>
      </c>
      <c r="J134" s="276"/>
      <c r="K134" s="310"/>
      <c r="L134" s="310"/>
      <c r="M134" s="310"/>
    </row>
    <row r="135" spans="2:15" ht="15.75">
      <c r="B135" s="288" t="s">
        <v>276</v>
      </c>
      <c r="D135" s="310">
        <v>0</v>
      </c>
      <c r="F135" s="310">
        <v>0</v>
      </c>
      <c r="G135" s="276"/>
      <c r="H135" s="310">
        <v>0</v>
      </c>
      <c r="I135" s="276" t="s">
        <v>276</v>
      </c>
      <c r="J135" s="276"/>
      <c r="K135" s="310">
        <f>26775+15300</f>
        <v>42075</v>
      </c>
      <c r="L135" s="310"/>
      <c r="M135" s="310"/>
    </row>
    <row r="136" spans="2:15" ht="15.75">
      <c r="B136" s="288" t="s">
        <v>149</v>
      </c>
      <c r="D136" s="310"/>
      <c r="F136" s="276">
        <f>+INPUT!CD269</f>
        <v>164</v>
      </c>
      <c r="G136" s="276"/>
      <c r="H136" s="276">
        <f>+INPUT!CE269</f>
        <v>2658</v>
      </c>
      <c r="I136" s="276" t="s">
        <v>149</v>
      </c>
      <c r="J136" s="276"/>
      <c r="K136" s="276">
        <f>+INPUT!CF269</f>
        <v>0</v>
      </c>
      <c r="L136" s="276"/>
      <c r="M136" s="276">
        <f>+INPUT!CH269</f>
        <v>656</v>
      </c>
    </row>
    <row r="137" spans="2:15" ht="15.75">
      <c r="D137" s="310"/>
      <c r="F137" s="310"/>
      <c r="G137" s="276"/>
      <c r="H137" s="310"/>
      <c r="I137" s="276"/>
      <c r="J137" s="276"/>
      <c r="K137" s="310"/>
      <c r="L137" s="310"/>
      <c r="M137" s="310"/>
    </row>
    <row r="138" spans="2:15" ht="15.75">
      <c r="B138" s="288" t="s">
        <v>1192</v>
      </c>
      <c r="D138" s="310">
        <v>0</v>
      </c>
      <c r="F138" s="310"/>
      <c r="G138" s="276"/>
      <c r="H138" s="310"/>
      <c r="I138" s="276" t="s">
        <v>1192</v>
      </c>
      <c r="J138" s="276"/>
      <c r="K138" s="310"/>
      <c r="L138" s="310"/>
      <c r="M138" s="310"/>
    </row>
    <row r="139" spans="2:15" ht="15.75">
      <c r="B139" s="288" t="s">
        <v>277</v>
      </c>
      <c r="D139" s="310">
        <v>0</v>
      </c>
      <c r="F139" s="310">
        <v>0</v>
      </c>
      <c r="G139" s="276"/>
      <c r="H139" s="310"/>
      <c r="I139" s="276" t="s">
        <v>277</v>
      </c>
      <c r="J139" s="276"/>
      <c r="K139" s="310"/>
      <c r="L139" s="310"/>
      <c r="M139" s="310"/>
    </row>
    <row r="140" spans="2:15" ht="15.75">
      <c r="B140" s="288" t="s">
        <v>660</v>
      </c>
      <c r="D140" s="276">
        <f>+INPUT!CB265</f>
        <v>0</v>
      </c>
      <c r="F140" s="310"/>
      <c r="G140" s="276"/>
      <c r="H140" s="310"/>
      <c r="I140" s="276" t="s">
        <v>660</v>
      </c>
      <c r="J140" s="276"/>
      <c r="K140" s="310"/>
      <c r="L140" s="310"/>
      <c r="M140" s="310"/>
      <c r="O140" s="748"/>
    </row>
    <row r="141" spans="2:15" ht="15.75">
      <c r="B141" s="288" t="s">
        <v>275</v>
      </c>
      <c r="D141" s="276"/>
      <c r="F141" s="310">
        <f>+INPUT!CD227</f>
        <v>0</v>
      </c>
      <c r="G141" s="276"/>
      <c r="H141" s="310">
        <f>+INPUT!CE227</f>
        <v>0</v>
      </c>
      <c r="I141" s="276" t="s">
        <v>275</v>
      </c>
      <c r="J141" s="276"/>
      <c r="K141" s="310">
        <f>+INPUT!CF227</f>
        <v>0</v>
      </c>
      <c r="L141" s="310"/>
      <c r="M141" s="310">
        <f>+INPUT!CH227</f>
        <v>0</v>
      </c>
    </row>
    <row r="142" spans="2:15" ht="15.75">
      <c r="B142" s="288" t="s">
        <v>238</v>
      </c>
      <c r="D142" s="310">
        <v>0</v>
      </c>
      <c r="F142" s="310"/>
      <c r="G142" s="276"/>
      <c r="H142" s="310"/>
      <c r="I142" s="276" t="s">
        <v>238</v>
      </c>
      <c r="J142" s="276"/>
      <c r="K142" s="310"/>
      <c r="L142" s="310"/>
      <c r="M142" s="310"/>
    </row>
    <row r="143" spans="2:15" ht="15.75">
      <c r="B143" s="288" t="s">
        <v>239</v>
      </c>
      <c r="D143" s="310"/>
      <c r="F143" s="327"/>
      <c r="H143" s="327"/>
      <c r="I143" s="288" t="s">
        <v>239</v>
      </c>
    </row>
    <row r="144" spans="2:15" ht="15.75">
      <c r="D144" s="310">
        <v>0</v>
      </c>
      <c r="F144" s="327"/>
      <c r="H144" s="327"/>
    </row>
    <row r="145" spans="2:13" ht="15.75">
      <c r="B145" s="288" t="s">
        <v>1309</v>
      </c>
      <c r="D145" s="276">
        <f>+INPUT!CB310</f>
        <v>0</v>
      </c>
      <c r="I145" s="288" t="s">
        <v>1309</v>
      </c>
    </row>
    <row r="146" spans="2:13" ht="15.75">
      <c r="B146" s="524" t="s">
        <v>416</v>
      </c>
      <c r="D146" s="487">
        <v>0</v>
      </c>
      <c r="F146" s="288">
        <f>+INPUT!CD309</f>
        <v>0</v>
      </c>
      <c r="H146" s="288">
        <f>+INPUT!CE309</f>
        <v>0</v>
      </c>
      <c r="I146" s="288">
        <f>+INPUT!CF309</f>
        <v>0</v>
      </c>
      <c r="K146" s="288">
        <f>+INPUT!CF309</f>
        <v>0</v>
      </c>
      <c r="M146" s="288">
        <f>+INPUT!CG309</f>
        <v>0</v>
      </c>
    </row>
    <row r="147" spans="2:13" ht="15.75">
      <c r="B147" s="524" t="s">
        <v>415</v>
      </c>
      <c r="D147" s="310">
        <v>0</v>
      </c>
      <c r="F147" s="288">
        <f>+INPUT!CD249</f>
        <v>0</v>
      </c>
      <c r="H147" s="288">
        <f>+INPUT!CE249</f>
        <v>0</v>
      </c>
      <c r="I147" s="288">
        <f>+INPUT!CF249</f>
        <v>0</v>
      </c>
      <c r="K147" s="288">
        <f>+INPUT!CF249</f>
        <v>0</v>
      </c>
      <c r="M147" s="288">
        <f>+INPUT!CG249</f>
        <v>6344</v>
      </c>
    </row>
    <row r="148" spans="2:13" ht="15.75">
      <c r="D148" s="310">
        <f>+INPUT!CB227</f>
        <v>0</v>
      </c>
    </row>
    <row r="149" spans="2:13" ht="15.75">
      <c r="D149" s="310"/>
    </row>
    <row r="150" spans="2:13" ht="15.75">
      <c r="B150" s="288" t="s">
        <v>2310</v>
      </c>
      <c r="D150" s="310"/>
      <c r="K150" s="288">
        <v>0</v>
      </c>
    </row>
    <row r="151" spans="2:13" ht="15.75">
      <c r="B151" s="288" t="s">
        <v>2425</v>
      </c>
      <c r="D151" s="310"/>
      <c r="K151" s="391">
        <v>0</v>
      </c>
    </row>
    <row r="152" spans="2:13" ht="15.75">
      <c r="D152" s="310"/>
    </row>
    <row r="153" spans="2:13" ht="15.75">
      <c r="D153" s="276">
        <f>+INPUT!CB309</f>
        <v>0</v>
      </c>
    </row>
    <row r="154" spans="2:13" ht="15.75">
      <c r="D154" s="276">
        <f>+INPUT!CB249</f>
        <v>0</v>
      </c>
    </row>
  </sheetData>
  <phoneticPr fontId="0" type="noConversion"/>
  <printOptions horizontalCentered="1"/>
  <pageMargins left="0.5" right="0.5" top="0.5" bottom="0.5" header="0.25" footer="0.25"/>
  <pageSetup scale="65" firstPageNumber="119" orientation="portrait" useFirstPageNumber="1" r:id="rId1"/>
  <headerFooter alignWithMargins="0">
    <oddFooter xml:space="preserve">&amp;C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ransitionEvaluation="1" codeName="Sheet36"/>
  <dimension ref="A3:V104"/>
  <sheetViews>
    <sheetView showGridLines="0" topLeftCell="A13" zoomScale="70" zoomScaleNormal="77" workbookViewId="0">
      <selection activeCell="R54" sqref="R54"/>
    </sheetView>
  </sheetViews>
  <sheetFormatPr defaultColWidth="9.7109375" defaultRowHeight="12.75"/>
  <cols>
    <col min="1" max="1" width="2.7109375" style="288" customWidth="1"/>
    <col min="2" max="2" width="56.7109375" style="288" customWidth="1"/>
    <col min="3" max="3" width="18.7109375" style="288" customWidth="1"/>
    <col min="4" max="4" width="2.7109375" style="288" customWidth="1"/>
    <col min="5" max="5" width="18.7109375" style="288" customWidth="1"/>
    <col min="6" max="6" width="2.7109375" style="288" customWidth="1"/>
    <col min="7" max="7" width="18.7109375" style="288" customWidth="1"/>
    <col min="8" max="8" width="2.7109375" style="288" customWidth="1"/>
    <col min="9" max="9" width="18.7109375" style="288" customWidth="1"/>
    <col min="10" max="10" width="2.7109375" style="288" customWidth="1"/>
    <col min="11" max="11" width="56.7109375" style="288" customWidth="1"/>
    <col min="12" max="12" width="19" style="288" customWidth="1"/>
    <col min="13" max="13" width="2.7109375" style="288" customWidth="1"/>
    <col min="14" max="14" width="18.7109375" style="288" customWidth="1"/>
    <col min="15" max="15" width="2.7109375" style="288" customWidth="1"/>
    <col min="16" max="16" width="18.7109375" style="288" customWidth="1"/>
    <col min="17" max="17" width="2.7109375" style="288" customWidth="1"/>
    <col min="18" max="18" width="18.7109375" style="288" customWidth="1"/>
    <col min="19" max="19" width="20.7109375" style="288" customWidth="1"/>
    <col min="20" max="20" width="2.85546875" style="288" customWidth="1"/>
    <col min="21" max="21" width="2.7109375" style="288" customWidth="1"/>
    <col min="22" max="22" width="8.5703125" style="288" customWidth="1"/>
    <col min="23" max="16384" width="9.7109375" style="288"/>
  </cols>
  <sheetData>
    <row r="3" spans="2:22" ht="15.75">
      <c r="B3" s="305" t="s">
        <v>1049</v>
      </c>
      <c r="C3" s="305"/>
      <c r="D3" s="305"/>
      <c r="E3" s="305"/>
      <c r="F3" s="305"/>
      <c r="G3" s="305"/>
      <c r="H3" s="305"/>
      <c r="I3" s="305"/>
      <c r="J3" s="305"/>
      <c r="K3" s="305" t="str">
        <f>B3</f>
        <v>LEWIS AND CLARK COUNTY, MONTANA</v>
      </c>
      <c r="L3" s="305"/>
      <c r="M3" s="305"/>
      <c r="N3" s="305"/>
      <c r="O3" s="305"/>
      <c r="P3" s="305"/>
      <c r="Q3" s="305"/>
      <c r="R3" s="305"/>
    </row>
    <row r="4" spans="2:22" ht="15.75">
      <c r="B4" s="305" t="s">
        <v>1672</v>
      </c>
      <c r="C4" s="305"/>
      <c r="D4" s="305"/>
      <c r="E4" s="305"/>
      <c r="F4" s="305"/>
      <c r="G4" s="305"/>
      <c r="H4" s="305"/>
      <c r="I4" s="305"/>
      <c r="J4" s="305"/>
      <c r="K4" s="305" t="str">
        <f>B4</f>
        <v>STATEMENT OF NET POSITION</v>
      </c>
      <c r="L4" s="305"/>
      <c r="M4" s="305"/>
      <c r="N4" s="305"/>
      <c r="O4" s="305"/>
      <c r="P4" s="305"/>
      <c r="Q4" s="305"/>
      <c r="R4" s="305"/>
    </row>
    <row r="5" spans="2:22" ht="15.75">
      <c r="B5" s="305" t="s">
        <v>869</v>
      </c>
      <c r="C5" s="305"/>
      <c r="D5" s="305"/>
      <c r="E5" s="305"/>
      <c r="F5" s="305"/>
      <c r="G5" s="305"/>
      <c r="H5" s="305"/>
      <c r="I5" s="305"/>
      <c r="J5" s="305"/>
      <c r="K5" s="305" t="str">
        <f>B5</f>
        <v>INTERNAL SERVICE FUNDS</v>
      </c>
      <c r="L5" s="305"/>
      <c r="M5" s="305"/>
      <c r="N5" s="305"/>
      <c r="O5" s="305"/>
      <c r="P5" s="305"/>
      <c r="Q5" s="305"/>
      <c r="R5" s="305"/>
    </row>
    <row r="6" spans="2:22" ht="15.75">
      <c r="B6" s="307">
        <f>+'Sys INPUT'!B1</f>
        <v>45107</v>
      </c>
      <c r="C6" s="307"/>
      <c r="D6" s="307"/>
      <c r="E6" s="307"/>
      <c r="F6" s="307"/>
      <c r="G6" s="307"/>
      <c r="H6" s="307"/>
      <c r="I6" s="307"/>
      <c r="J6" s="307"/>
      <c r="K6" s="307">
        <f>B6</f>
        <v>45107</v>
      </c>
      <c r="L6" s="307"/>
      <c r="M6" s="307"/>
      <c r="N6" s="307"/>
      <c r="O6" s="307"/>
      <c r="P6" s="307"/>
      <c r="Q6" s="307"/>
      <c r="R6" s="307"/>
    </row>
    <row r="7" spans="2:22" ht="15.75">
      <c r="B7" s="305" t="s">
        <v>252</v>
      </c>
      <c r="C7" s="305"/>
      <c r="D7" s="305"/>
      <c r="E7" s="305"/>
      <c r="F7" s="305"/>
      <c r="G7" s="305"/>
      <c r="H7" s="305"/>
      <c r="I7" s="305"/>
      <c r="J7" s="305"/>
      <c r="K7" s="305" t="s">
        <v>253</v>
      </c>
      <c r="L7" s="305"/>
      <c r="M7" s="305"/>
      <c r="N7" s="305"/>
      <c r="O7" s="305"/>
      <c r="P7" s="305"/>
      <c r="Q7" s="305"/>
      <c r="R7" s="305"/>
    </row>
    <row r="8" spans="2:22" ht="15.75">
      <c r="B8" s="308"/>
      <c r="C8" s="308"/>
      <c r="D8" s="308"/>
      <c r="E8" s="308"/>
      <c r="F8" s="308"/>
      <c r="G8" s="308"/>
      <c r="H8" s="308"/>
      <c r="I8" s="308"/>
      <c r="J8" s="287"/>
      <c r="K8" s="308"/>
      <c r="L8" s="287"/>
      <c r="M8" s="287"/>
      <c r="N8" s="287"/>
      <c r="O8" s="305"/>
      <c r="P8" s="305"/>
      <c r="Q8" s="305"/>
      <c r="R8" s="305"/>
    </row>
    <row r="9" spans="2:22" ht="15.75">
      <c r="B9" s="308"/>
      <c r="C9" s="308"/>
      <c r="D9" s="308"/>
      <c r="E9" s="308"/>
      <c r="F9" s="308"/>
      <c r="G9" s="308"/>
      <c r="H9" s="308"/>
      <c r="I9" s="308"/>
      <c r="J9" s="308"/>
      <c r="K9" s="308"/>
      <c r="L9" s="308"/>
      <c r="M9" s="308"/>
      <c r="N9" s="308"/>
      <c r="O9" s="308"/>
      <c r="P9" s="308"/>
      <c r="Q9" s="308"/>
      <c r="R9" s="308"/>
      <c r="S9" s="308"/>
      <c r="T9" s="308"/>
      <c r="U9" s="308"/>
      <c r="V9" s="308"/>
    </row>
    <row r="10" spans="2:22" ht="15.75">
      <c r="B10" s="308"/>
      <c r="C10" s="287" t="str">
        <f>INPUT!CL5</f>
        <v>BUILDING</v>
      </c>
      <c r="D10" s="287"/>
      <c r="E10" s="287" t="str">
        <f>INPUT!CM5</f>
        <v>HEALTH</v>
      </c>
      <c r="F10" s="287"/>
      <c r="G10" s="287"/>
      <c r="H10" s="287"/>
      <c r="I10" s="287"/>
      <c r="J10" s="287"/>
      <c r="K10" s="308"/>
      <c r="L10" s="287" t="str">
        <f>INPUT!CP5</f>
        <v>INFORMATION</v>
      </c>
      <c r="M10" s="287"/>
      <c r="N10" s="287"/>
      <c r="O10" s="308"/>
      <c r="P10" s="308"/>
      <c r="Q10" s="308"/>
      <c r="R10" s="287" t="str">
        <f>INPUT!CU5</f>
        <v>TOTAL</v>
      </c>
      <c r="S10" s="287"/>
      <c r="T10" s="287"/>
      <c r="U10" s="287"/>
      <c r="V10" s="287"/>
    </row>
    <row r="11" spans="2:22" ht="15.75">
      <c r="B11" s="308"/>
      <c r="C11" s="287" t="str">
        <f>INPUT!CL6</f>
        <v>MAINTENANCE</v>
      </c>
      <c r="D11" s="287"/>
      <c r="E11" s="287" t="str">
        <f>INPUT!CM6</f>
        <v>CARE</v>
      </c>
      <c r="F11" s="287"/>
      <c r="G11" s="287" t="str">
        <f>INPUT!CN6</f>
        <v>COUNTY</v>
      </c>
      <c r="H11" s="287"/>
      <c r="I11" s="287" t="str">
        <f>INPUT!CO6</f>
        <v>FUEL</v>
      </c>
      <c r="J11" s="287"/>
      <c r="K11" s="308"/>
      <c r="L11" s="287" t="str">
        <f>INPUT!CP6</f>
        <v>TECHNOLOGY</v>
      </c>
      <c r="M11" s="287"/>
      <c r="N11" s="287" t="str">
        <f>INPUT!CQ6</f>
        <v>LIABILITY</v>
      </c>
      <c r="O11" s="308"/>
      <c r="P11" s="287" t="str">
        <f>INPUT!CR6</f>
        <v>HEALTH</v>
      </c>
      <c r="Q11" s="287"/>
      <c r="R11" s="287" t="str">
        <f>INPUT!CU6</f>
        <v>INTERNAL</v>
      </c>
      <c r="S11" s="287"/>
      <c r="T11" s="287"/>
      <c r="U11" s="287"/>
      <c r="V11" s="287"/>
    </row>
    <row r="12" spans="2:22" ht="15.75">
      <c r="B12" s="308"/>
      <c r="C12" s="290" t="str">
        <f>INPUT!CL7</f>
        <v>SERVICES</v>
      </c>
      <c r="D12" s="287"/>
      <c r="E12" s="290" t="str">
        <f>INPUT!CM7</f>
        <v>FACILITIES</v>
      </c>
      <c r="F12" s="287"/>
      <c r="G12" s="290" t="str">
        <f>INPUT!CN7</f>
        <v>SHOP</v>
      </c>
      <c r="H12" s="287"/>
      <c r="I12" s="290" t="str">
        <f>INPUT!CO7</f>
        <v>REVOLVING</v>
      </c>
      <c r="J12" s="287"/>
      <c r="K12" s="308"/>
      <c r="L12" s="290" t="str">
        <f>INPUT!CP7</f>
        <v>&amp; SERVICES</v>
      </c>
      <c r="M12" s="287"/>
      <c r="N12" s="290" t="str">
        <f>INPUT!CQ7</f>
        <v>INSURANCE</v>
      </c>
      <c r="O12" s="308"/>
      <c r="P12" s="290" t="str">
        <f>INPUT!CR7</f>
        <v>INSURANCE</v>
      </c>
      <c r="Q12" s="287"/>
      <c r="R12" s="290" t="str">
        <f>INPUT!CU7</f>
        <v>SERVICE</v>
      </c>
      <c r="S12" s="287"/>
      <c r="T12" s="287"/>
      <c r="U12" s="287"/>
      <c r="V12" s="287"/>
    </row>
    <row r="13" spans="2:22" ht="15.75">
      <c r="B13" s="308" t="str">
        <f>INPUT!B83</f>
        <v>ASSETS</v>
      </c>
      <c r="C13" s="276"/>
      <c r="D13" s="276"/>
      <c r="E13" s="276"/>
      <c r="F13" s="276"/>
      <c r="G13" s="276"/>
      <c r="H13" s="276"/>
      <c r="I13" s="276"/>
      <c r="J13" s="276"/>
      <c r="K13" s="308" t="str">
        <f t="shared" ref="K13:K26" si="0">B13</f>
        <v>ASSETS</v>
      </c>
      <c r="L13" s="276"/>
      <c r="M13" s="276"/>
      <c r="N13" s="276"/>
      <c r="O13" s="308"/>
      <c r="P13" s="276"/>
      <c r="Q13" s="276"/>
      <c r="R13" s="276"/>
      <c r="S13" s="276"/>
      <c r="T13" s="276"/>
      <c r="U13" s="276"/>
      <c r="V13" s="276"/>
    </row>
    <row r="14" spans="2:22" ht="15.75">
      <c r="B14" s="276" t="str">
        <f>INPUT!B84</f>
        <v>Current assets:</v>
      </c>
      <c r="C14" s="276"/>
      <c r="D14" s="276"/>
      <c r="E14" s="276"/>
      <c r="F14" s="276"/>
      <c r="G14" s="276"/>
      <c r="H14" s="276"/>
      <c r="I14" s="276"/>
      <c r="J14" s="276"/>
      <c r="K14" s="296" t="str">
        <f t="shared" si="0"/>
        <v>Current assets:</v>
      </c>
      <c r="L14" s="276"/>
      <c r="M14" s="276"/>
      <c r="N14" s="276"/>
      <c r="O14" s="296"/>
      <c r="P14" s="276"/>
      <c r="Q14" s="276"/>
      <c r="R14" s="276"/>
      <c r="S14" s="276"/>
      <c r="T14" s="276"/>
      <c r="U14" s="276"/>
      <c r="V14" s="276"/>
    </row>
    <row r="15" spans="2:22" ht="15.75">
      <c r="B15" s="276" t="str">
        <f>INPUT!B85</f>
        <v xml:space="preserve">     Cash and cash equivalents</v>
      </c>
      <c r="C15" s="292">
        <f>+INPUT!CL85</f>
        <v>1933543</v>
      </c>
      <c r="D15" s="276"/>
      <c r="E15" s="292">
        <f>+INPUT!CM85</f>
        <v>321755</v>
      </c>
      <c r="F15" s="276"/>
      <c r="G15" s="292">
        <f>+INPUT!CN85</f>
        <v>302133</v>
      </c>
      <c r="H15" s="276"/>
      <c r="I15" s="292">
        <f>+INPUT!CO85</f>
        <v>79121</v>
      </c>
      <c r="J15" s="276"/>
      <c r="K15" s="296" t="str">
        <f t="shared" si="0"/>
        <v xml:space="preserve">     Cash and cash equivalents</v>
      </c>
      <c r="L15" s="292">
        <f>+INPUT!CP85</f>
        <v>1177948</v>
      </c>
      <c r="M15" s="276"/>
      <c r="N15" s="292">
        <f>+INPUT!CQ85</f>
        <v>673058</v>
      </c>
      <c r="O15" s="296"/>
      <c r="P15" s="292">
        <f>+INPUT!CR85</f>
        <v>81800</v>
      </c>
      <c r="Q15" s="276"/>
      <c r="R15" s="292">
        <f>SUM(C15:Q15)</f>
        <v>4569358</v>
      </c>
      <c r="S15" s="276"/>
      <c r="T15" s="276"/>
      <c r="U15" s="276"/>
      <c r="V15" s="276"/>
    </row>
    <row r="16" spans="2:22" ht="15.75">
      <c r="B16" s="276" t="str">
        <f>INPUT!B86</f>
        <v xml:space="preserve">     Investments </v>
      </c>
      <c r="C16" s="294">
        <f>+INPUT!CL86+INPUT!CL100</f>
        <v>369311</v>
      </c>
      <c r="D16" s="296"/>
      <c r="E16" s="294">
        <f>+INPUT!CM86+INPUT!CM100</f>
        <v>61456</v>
      </c>
      <c r="F16" s="296"/>
      <c r="G16" s="294">
        <f>+INPUT!CN86+INPUT!CN100</f>
        <v>57708</v>
      </c>
      <c r="H16" s="296"/>
      <c r="I16" s="294">
        <f>+INPUT!CO86+INPUT!CO100</f>
        <v>15112</v>
      </c>
      <c r="J16" s="296"/>
      <c r="K16" s="296" t="str">
        <f t="shared" si="0"/>
        <v xml:space="preserve">     Investments </v>
      </c>
      <c r="L16" s="294">
        <f>+INPUT!CP86+INPUT!CP100</f>
        <v>224990</v>
      </c>
      <c r="M16" s="296"/>
      <c r="N16" s="294">
        <f>+INPUT!CQ86+INPUT!CQ100</f>
        <v>128556</v>
      </c>
      <c r="O16" s="296"/>
      <c r="P16" s="294">
        <f>+INPUT!CR86+INPUT!CR100</f>
        <v>15624</v>
      </c>
      <c r="Q16" s="296"/>
      <c r="R16" s="294">
        <f>SUM(C16:Q16)</f>
        <v>872757</v>
      </c>
      <c r="S16" s="276"/>
      <c r="T16" s="276"/>
      <c r="U16" s="276"/>
      <c r="V16" s="276"/>
    </row>
    <row r="17" spans="1:22" ht="15.75">
      <c r="B17" s="276" t="str">
        <f>INPUT!B87</f>
        <v xml:space="preserve">     Receivables (net of allowance):</v>
      </c>
      <c r="C17" s="294"/>
      <c r="D17" s="296"/>
      <c r="E17" s="294"/>
      <c r="F17" s="296"/>
      <c r="G17" s="294"/>
      <c r="H17" s="296"/>
      <c r="I17" s="294"/>
      <c r="J17" s="296"/>
      <c r="K17" s="296" t="str">
        <f t="shared" si="0"/>
        <v xml:space="preserve">     Receivables (net of allowance):</v>
      </c>
      <c r="L17" s="294"/>
      <c r="M17" s="296"/>
      <c r="N17" s="294"/>
      <c r="O17" s="296"/>
      <c r="P17" s="294"/>
      <c r="Q17" s="296"/>
      <c r="R17" s="294"/>
      <c r="S17" s="276"/>
      <c r="T17" s="276"/>
      <c r="U17" s="276"/>
      <c r="V17" s="276"/>
    </row>
    <row r="18" spans="1:22" ht="15" hidden="1" customHeight="1">
      <c r="A18" s="288" t="s">
        <v>299</v>
      </c>
      <c r="B18" s="276" t="str">
        <f>INPUT!B88</f>
        <v xml:space="preserve">          Taxes/assessments</v>
      </c>
      <c r="C18" s="294">
        <f>+INPUT!CL88</f>
        <v>0</v>
      </c>
      <c r="D18" s="296"/>
      <c r="E18" s="294">
        <f>+INPUT!CM88</f>
        <v>0</v>
      </c>
      <c r="F18" s="296"/>
      <c r="G18" s="294">
        <f>+INPUT!CN88</f>
        <v>0</v>
      </c>
      <c r="H18" s="296"/>
      <c r="I18" s="294">
        <f>+INPUT!CO88</f>
        <v>0</v>
      </c>
      <c r="J18" s="296"/>
      <c r="K18" s="296" t="str">
        <f t="shared" si="0"/>
        <v xml:space="preserve">          Taxes/assessments</v>
      </c>
      <c r="L18" s="294">
        <f>+INPUT!CP88</f>
        <v>0</v>
      </c>
      <c r="M18" s="296"/>
      <c r="N18" s="294">
        <f>+INPUT!CQ88</f>
        <v>0</v>
      </c>
      <c r="O18" s="296"/>
      <c r="P18" s="294">
        <f>+INPUT!CR88</f>
        <v>0</v>
      </c>
      <c r="Q18" s="296"/>
      <c r="R18" s="294">
        <f t="shared" ref="R18:R25" si="1">SUM(C18:Q18)</f>
        <v>0</v>
      </c>
      <c r="S18" s="276"/>
      <c r="T18" s="276"/>
      <c r="U18" s="276"/>
      <c r="V18" s="276"/>
    </row>
    <row r="19" spans="1:22" ht="15.75">
      <c r="B19" s="276" t="str">
        <f>INPUT!B89</f>
        <v xml:space="preserve">          Accounts/contracts</v>
      </c>
      <c r="C19" s="294">
        <f>+INPUT!CL89</f>
        <v>0</v>
      </c>
      <c r="D19" s="296"/>
      <c r="E19" s="294">
        <f>+INPUT!CM89</f>
        <v>0</v>
      </c>
      <c r="F19" s="296"/>
      <c r="G19" s="294">
        <f>+INPUT!CN89</f>
        <v>0</v>
      </c>
      <c r="H19" s="296"/>
      <c r="I19" s="294">
        <f>+INPUT!CO89</f>
        <v>0</v>
      </c>
      <c r="J19" s="296"/>
      <c r="K19" s="296" t="str">
        <f t="shared" si="0"/>
        <v xml:space="preserve">          Accounts/contracts</v>
      </c>
      <c r="L19" s="294">
        <f>+INPUT!CP89</f>
        <v>0</v>
      </c>
      <c r="M19" s="296"/>
      <c r="N19" s="294">
        <f>+INPUT!CQ89</f>
        <v>0</v>
      </c>
      <c r="O19" s="296"/>
      <c r="P19" s="294">
        <f>+INPUT!CR89</f>
        <v>262150</v>
      </c>
      <c r="Q19" s="296"/>
      <c r="R19" s="294">
        <f t="shared" si="1"/>
        <v>262150</v>
      </c>
      <c r="S19" s="276"/>
      <c r="T19" s="276"/>
      <c r="U19" s="276"/>
      <c r="V19" s="276"/>
    </row>
    <row r="20" spans="1:22" ht="15.75" hidden="1">
      <c r="B20" s="276" t="str">
        <f>INPUT!B90</f>
        <v xml:space="preserve">          Notes receivable</v>
      </c>
      <c r="C20" s="294">
        <f>+INPUT!CL90</f>
        <v>0</v>
      </c>
      <c r="D20" s="296"/>
      <c r="E20" s="294">
        <f>+INPUT!CM90</f>
        <v>0</v>
      </c>
      <c r="F20" s="296"/>
      <c r="G20" s="294">
        <f>+INPUT!CN90</f>
        <v>0</v>
      </c>
      <c r="H20" s="296"/>
      <c r="I20" s="294">
        <f>+INPUT!CO90</f>
        <v>0</v>
      </c>
      <c r="J20" s="296"/>
      <c r="K20" s="296" t="str">
        <f t="shared" si="0"/>
        <v xml:space="preserve">          Notes receivable</v>
      </c>
      <c r="L20" s="294">
        <f>+INPUT!CP90</f>
        <v>0</v>
      </c>
      <c r="M20" s="296"/>
      <c r="N20" s="294">
        <f>+INPUT!CQ90</f>
        <v>0</v>
      </c>
      <c r="O20" s="296"/>
      <c r="P20" s="294">
        <f>+INPUT!CR90</f>
        <v>0</v>
      </c>
      <c r="Q20" s="296"/>
      <c r="R20" s="294">
        <f t="shared" si="1"/>
        <v>0</v>
      </c>
      <c r="S20" s="276"/>
      <c r="T20" s="276"/>
      <c r="U20" s="276"/>
      <c r="V20" s="276"/>
    </row>
    <row r="21" spans="1:22" ht="15.75">
      <c r="B21" s="276" t="str">
        <f>INPUT!B91</f>
        <v xml:space="preserve">          Leases</v>
      </c>
      <c r="C21" s="294">
        <f>+INPUT!CL91</f>
        <v>0</v>
      </c>
      <c r="D21" s="296"/>
      <c r="E21" s="294">
        <f>+INPUT!CM91</f>
        <v>422140</v>
      </c>
      <c r="F21" s="296"/>
      <c r="G21" s="294">
        <f>+INPUT!CN91</f>
        <v>0</v>
      </c>
      <c r="H21" s="296"/>
      <c r="I21" s="294">
        <f>+INPUT!CO91</f>
        <v>0</v>
      </c>
      <c r="J21" s="296"/>
      <c r="K21" s="296" t="str">
        <f t="shared" ref="K21" si="2">B21</f>
        <v xml:space="preserve">          Leases</v>
      </c>
      <c r="L21" s="294">
        <f>+INPUT!CP91</f>
        <v>0</v>
      </c>
      <c r="M21" s="296"/>
      <c r="N21" s="294">
        <f>+INPUT!CQ91</f>
        <v>0</v>
      </c>
      <c r="O21" s="296"/>
      <c r="P21" s="294">
        <f>+INPUT!CR91</f>
        <v>0</v>
      </c>
      <c r="Q21" s="296"/>
      <c r="R21" s="294">
        <f t="shared" ref="R21" si="3">SUM(C21:Q21)</f>
        <v>422140</v>
      </c>
      <c r="S21" s="276"/>
      <c r="T21" s="276"/>
      <c r="U21" s="276"/>
      <c r="V21" s="276"/>
    </row>
    <row r="22" spans="1:22" ht="15" hidden="1" customHeight="1">
      <c r="A22" s="288" t="s">
        <v>299</v>
      </c>
      <c r="B22" s="276" t="str">
        <f>INPUT!B92</f>
        <v xml:space="preserve">     Due from other funds</v>
      </c>
      <c r="C22" s="294">
        <f>+INPUT!CL92</f>
        <v>0</v>
      </c>
      <c r="D22" s="296"/>
      <c r="E22" s="294">
        <f>+INPUT!CM92</f>
        <v>0</v>
      </c>
      <c r="F22" s="296"/>
      <c r="G22" s="294">
        <f>+INPUT!CN92</f>
        <v>0</v>
      </c>
      <c r="H22" s="296"/>
      <c r="I22" s="294">
        <f>+INPUT!CO92</f>
        <v>0</v>
      </c>
      <c r="J22" s="296"/>
      <c r="K22" s="296" t="str">
        <f t="shared" si="0"/>
        <v xml:space="preserve">     Due from other funds</v>
      </c>
      <c r="L22" s="294">
        <f>+INPUT!CP92</f>
        <v>0</v>
      </c>
      <c r="M22" s="296"/>
      <c r="N22" s="294">
        <f>+INPUT!CQ92</f>
        <v>0</v>
      </c>
      <c r="O22" s="296"/>
      <c r="P22" s="294">
        <f>+INPUT!CR92</f>
        <v>0</v>
      </c>
      <c r="Q22" s="296"/>
      <c r="R22" s="294">
        <f t="shared" si="1"/>
        <v>0</v>
      </c>
      <c r="S22" s="276"/>
      <c r="T22" s="276"/>
      <c r="U22" s="276"/>
      <c r="V22" s="276"/>
    </row>
    <row r="23" spans="1:22" ht="15" hidden="1" customHeight="1">
      <c r="A23" s="288" t="s">
        <v>299</v>
      </c>
      <c r="B23" s="276" t="str">
        <f>INPUT!B93</f>
        <v xml:space="preserve">     Due from other governments</v>
      </c>
      <c r="C23" s="294">
        <f>+INPUT!CL93</f>
        <v>0</v>
      </c>
      <c r="D23" s="296"/>
      <c r="E23" s="294">
        <f>+INPUT!CM93</f>
        <v>0</v>
      </c>
      <c r="F23" s="296"/>
      <c r="G23" s="294">
        <f>+INPUT!CN93</f>
        <v>0</v>
      </c>
      <c r="H23" s="296"/>
      <c r="I23" s="294">
        <f>+INPUT!CO93</f>
        <v>0</v>
      </c>
      <c r="J23" s="296"/>
      <c r="K23" s="296" t="str">
        <f t="shared" si="0"/>
        <v xml:space="preserve">     Due from other governments</v>
      </c>
      <c r="L23" s="294">
        <f>+INPUT!CP93</f>
        <v>0</v>
      </c>
      <c r="M23" s="296"/>
      <c r="N23" s="294">
        <f>+INPUT!CQ93</f>
        <v>0</v>
      </c>
      <c r="O23" s="296"/>
      <c r="P23" s="294">
        <f>+INPUT!CR93</f>
        <v>0</v>
      </c>
      <c r="Q23" s="296"/>
      <c r="R23" s="294">
        <f t="shared" si="1"/>
        <v>0</v>
      </c>
      <c r="S23" s="276"/>
      <c r="T23" s="276"/>
      <c r="U23" s="276"/>
      <c r="V23" s="276"/>
    </row>
    <row r="24" spans="1:22" ht="15.75">
      <c r="B24" s="276" t="str">
        <f>INPUT!B94</f>
        <v xml:space="preserve">     Inventories</v>
      </c>
      <c r="C24" s="294">
        <f>+INPUT!CL94</f>
        <v>0</v>
      </c>
      <c r="D24" s="296"/>
      <c r="E24" s="294">
        <f>+INPUT!CM94</f>
        <v>0</v>
      </c>
      <c r="F24" s="296"/>
      <c r="G24" s="294">
        <f>+INPUT!CN94</f>
        <v>10200</v>
      </c>
      <c r="H24" s="296"/>
      <c r="I24" s="294">
        <f>+INPUT!CO94</f>
        <v>25592</v>
      </c>
      <c r="J24" s="296"/>
      <c r="K24" s="296" t="str">
        <f t="shared" si="0"/>
        <v xml:space="preserve">     Inventories</v>
      </c>
      <c r="L24" s="294">
        <f>+INPUT!CP94</f>
        <v>0</v>
      </c>
      <c r="M24" s="296"/>
      <c r="N24" s="294">
        <f>+INPUT!CQ94</f>
        <v>0</v>
      </c>
      <c r="O24" s="296"/>
      <c r="P24" s="294">
        <f>+INPUT!CR94</f>
        <v>0</v>
      </c>
      <c r="Q24" s="296"/>
      <c r="R24" s="294">
        <f t="shared" si="1"/>
        <v>35792</v>
      </c>
      <c r="S24" s="276"/>
      <c r="T24" s="276"/>
      <c r="U24" s="276"/>
      <c r="V24" s="276"/>
    </row>
    <row r="25" spans="1:22" ht="15.75" hidden="1">
      <c r="B25" s="276" t="str">
        <f>INPUT!B95</f>
        <v xml:space="preserve">     Prepaid charges</v>
      </c>
      <c r="C25" s="294">
        <f>+INPUT!CL95</f>
        <v>0</v>
      </c>
      <c r="D25" s="296"/>
      <c r="E25" s="294">
        <f>+INPUT!CM95</f>
        <v>0</v>
      </c>
      <c r="F25" s="296"/>
      <c r="G25" s="294">
        <f>+INPUT!CN95</f>
        <v>0</v>
      </c>
      <c r="H25" s="296"/>
      <c r="I25" s="294">
        <f>+INPUT!CO95</f>
        <v>0</v>
      </c>
      <c r="J25" s="296"/>
      <c r="K25" s="296" t="str">
        <f t="shared" si="0"/>
        <v xml:space="preserve">     Prepaid charges</v>
      </c>
      <c r="L25" s="294">
        <f>+INPUT!CP95</f>
        <v>0</v>
      </c>
      <c r="M25" s="296"/>
      <c r="N25" s="294">
        <f>+INPUT!CQ95</f>
        <v>0</v>
      </c>
      <c r="O25" s="296"/>
      <c r="P25" s="294">
        <f>+INPUT!CR95</f>
        <v>0</v>
      </c>
      <c r="Q25" s="296"/>
      <c r="R25" s="294">
        <f t="shared" si="1"/>
        <v>0</v>
      </c>
      <c r="S25" s="276"/>
      <c r="T25" s="276"/>
      <c r="U25" s="276"/>
      <c r="V25" s="276"/>
    </row>
    <row r="26" spans="1:22" ht="15.75">
      <c r="B26" s="276" t="s">
        <v>344</v>
      </c>
      <c r="C26" s="521">
        <f>SUM(C15:C25)</f>
        <v>2302854</v>
      </c>
      <c r="D26" s="296"/>
      <c r="E26" s="521">
        <f>SUM(E15:E25)</f>
        <v>805351</v>
      </c>
      <c r="F26" s="296"/>
      <c r="G26" s="521">
        <f>SUM(G15:G25)</f>
        <v>370041</v>
      </c>
      <c r="H26" s="296"/>
      <c r="I26" s="521">
        <f>SUM(I15:I25)</f>
        <v>119825</v>
      </c>
      <c r="J26" s="296"/>
      <c r="K26" s="296" t="str">
        <f t="shared" si="0"/>
        <v xml:space="preserve">           Total current assets</v>
      </c>
      <c r="L26" s="521">
        <f>SUM(L15:L25)</f>
        <v>1402938</v>
      </c>
      <c r="M26" s="296"/>
      <c r="N26" s="521">
        <f>SUM(N15:N25)</f>
        <v>801614</v>
      </c>
      <c r="O26" s="296"/>
      <c r="P26" s="521">
        <f>SUM(P15:P25)</f>
        <v>359574</v>
      </c>
      <c r="Q26" s="296"/>
      <c r="R26" s="521">
        <f>SUM(R15:R25)</f>
        <v>6162197</v>
      </c>
      <c r="S26" s="276"/>
      <c r="T26" s="276"/>
      <c r="U26" s="276"/>
      <c r="V26" s="276"/>
    </row>
    <row r="27" spans="1:22" ht="15.75">
      <c r="B27" s="276"/>
      <c r="C27" s="294"/>
      <c r="D27" s="294"/>
      <c r="E27" s="294"/>
      <c r="F27" s="294"/>
      <c r="G27" s="294"/>
      <c r="H27" s="294"/>
      <c r="I27" s="294"/>
      <c r="J27" s="294"/>
      <c r="K27" s="294"/>
      <c r="L27" s="294"/>
      <c r="M27" s="294"/>
      <c r="N27" s="294"/>
      <c r="O27" s="294"/>
      <c r="P27" s="294"/>
      <c r="Q27" s="294"/>
      <c r="R27" s="294"/>
      <c r="S27" s="276"/>
      <c r="T27" s="276"/>
      <c r="U27" s="276"/>
      <c r="V27" s="276"/>
    </row>
    <row r="28" spans="1:22" ht="15.75">
      <c r="B28" s="276" t="str">
        <f>INPUT!B96</f>
        <v>Noncurrent assets:</v>
      </c>
      <c r="C28" s="294"/>
      <c r="D28" s="296"/>
      <c r="E28" s="294"/>
      <c r="F28" s="296"/>
      <c r="G28" s="294"/>
      <c r="H28" s="296"/>
      <c r="I28" s="294"/>
      <c r="J28" s="296"/>
      <c r="K28" s="296" t="str">
        <f t="shared" ref="K28:K42" si="4">B28</f>
        <v>Noncurrent assets:</v>
      </c>
      <c r="L28" s="294"/>
      <c r="M28" s="296"/>
      <c r="N28" s="294"/>
      <c r="O28" s="296"/>
      <c r="P28" s="294"/>
      <c r="Q28" s="296"/>
      <c r="R28" s="294"/>
      <c r="S28" s="276"/>
      <c r="T28" s="276"/>
      <c r="U28" s="276"/>
      <c r="V28" s="276"/>
    </row>
    <row r="29" spans="1:22" ht="15" hidden="1" customHeight="1">
      <c r="B29" s="276" t="str">
        <f>INPUT!B97</f>
        <v xml:space="preserve">     Restricted assets:</v>
      </c>
      <c r="C29" s="294"/>
      <c r="D29" s="296"/>
      <c r="E29" s="294"/>
      <c r="F29" s="296"/>
      <c r="G29" s="294"/>
      <c r="H29" s="296"/>
      <c r="I29" s="294"/>
      <c r="J29" s="296"/>
      <c r="K29" s="296" t="str">
        <f t="shared" si="4"/>
        <v xml:space="preserve">     Restricted assets:</v>
      </c>
      <c r="L29" s="294"/>
      <c r="M29" s="296"/>
      <c r="N29" s="294"/>
      <c r="O29" s="296"/>
      <c r="P29" s="294"/>
      <c r="Q29" s="296"/>
      <c r="R29" s="294"/>
      <c r="S29" s="276"/>
      <c r="T29" s="276"/>
      <c r="U29" s="276"/>
      <c r="V29" s="276"/>
    </row>
    <row r="30" spans="1:22" ht="15.75" hidden="1">
      <c r="B30" s="276" t="str">
        <f>INPUT!B98</f>
        <v xml:space="preserve">          Cash and cash equivalents</v>
      </c>
      <c r="C30" s="294">
        <f>+INPUT!CL98</f>
        <v>0</v>
      </c>
      <c r="D30" s="296"/>
      <c r="E30" s="294">
        <f>+INPUT!CM98</f>
        <v>0</v>
      </c>
      <c r="F30" s="296"/>
      <c r="G30" s="294">
        <f>+INPUT!CN98</f>
        <v>0</v>
      </c>
      <c r="H30" s="296"/>
      <c r="I30" s="294">
        <f>+INPUT!CO98</f>
        <v>0</v>
      </c>
      <c r="J30" s="296"/>
      <c r="K30" s="296" t="str">
        <f t="shared" si="4"/>
        <v xml:space="preserve">          Cash and cash equivalents</v>
      </c>
      <c r="L30" s="294">
        <f>+INPUT!CP98</f>
        <v>0</v>
      </c>
      <c r="M30" s="296"/>
      <c r="N30" s="294">
        <f>+INPUT!CQ98</f>
        <v>0</v>
      </c>
      <c r="O30" s="296"/>
      <c r="P30" s="294">
        <f>+INPUT!CR98</f>
        <v>0</v>
      </c>
      <c r="Q30" s="296"/>
      <c r="R30" s="294">
        <f t="shared" ref="R30:R36" si="5">SUM(C30:Q30)</f>
        <v>0</v>
      </c>
      <c r="S30" s="276"/>
      <c r="T30" s="276"/>
      <c r="U30" s="276"/>
      <c r="V30" s="276"/>
    </row>
    <row r="31" spans="1:22" ht="15" hidden="1" customHeight="1">
      <c r="B31" s="276" t="str">
        <f>INPUT!B99</f>
        <v xml:space="preserve">          Investments</v>
      </c>
      <c r="C31" s="294">
        <f>+INPUT!CL99</f>
        <v>0</v>
      </c>
      <c r="D31" s="296"/>
      <c r="E31" s="294">
        <f>+INPUT!CM99</f>
        <v>0</v>
      </c>
      <c r="F31" s="296"/>
      <c r="G31" s="294">
        <f>+INPUT!CN99</f>
        <v>0</v>
      </c>
      <c r="H31" s="296"/>
      <c r="I31" s="294">
        <f>+INPUT!CO99</f>
        <v>0</v>
      </c>
      <c r="J31" s="296"/>
      <c r="K31" s="296" t="str">
        <f t="shared" si="4"/>
        <v xml:space="preserve">          Investments</v>
      </c>
      <c r="L31" s="294">
        <f>+INPUT!CP99</f>
        <v>0</v>
      </c>
      <c r="M31" s="296"/>
      <c r="N31" s="294">
        <f>+INPUT!CQ99</f>
        <v>0</v>
      </c>
      <c r="O31" s="296"/>
      <c r="P31" s="294">
        <f>+INPUT!CR99</f>
        <v>0</v>
      </c>
      <c r="Q31" s="296"/>
      <c r="R31" s="294">
        <f t="shared" si="5"/>
        <v>0</v>
      </c>
      <c r="S31" s="276"/>
      <c r="T31" s="276"/>
      <c r="U31" s="276"/>
      <c r="V31" s="276"/>
    </row>
    <row r="32" spans="1:22" ht="15" hidden="1" customHeight="1">
      <c r="A32" s="276" t="s">
        <v>299</v>
      </c>
      <c r="B32" s="276" t="str">
        <f>INPUT!B100</f>
        <v xml:space="preserve">     Valuation of investments to fair value</v>
      </c>
      <c r="C32" s="294"/>
      <c r="D32" s="296"/>
      <c r="E32" s="294"/>
      <c r="F32" s="296"/>
      <c r="G32" s="294"/>
      <c r="H32" s="296"/>
      <c r="I32" s="294">
        <f>+INPUT!CO100</f>
        <v>0</v>
      </c>
      <c r="J32" s="296"/>
      <c r="K32" s="296" t="str">
        <f t="shared" si="4"/>
        <v xml:space="preserve">     Valuation of investments to fair value</v>
      </c>
      <c r="L32" s="294"/>
      <c r="M32" s="296"/>
      <c r="N32" s="294"/>
      <c r="O32" s="296"/>
      <c r="P32" s="294"/>
      <c r="Q32" s="296"/>
      <c r="R32" s="294">
        <f t="shared" si="5"/>
        <v>0</v>
      </c>
      <c r="S32" s="276"/>
      <c r="T32" s="276"/>
      <c r="U32" s="276"/>
      <c r="V32" s="276"/>
    </row>
    <row r="33" spans="1:22" ht="15" hidden="1" customHeight="1">
      <c r="A33" s="276"/>
      <c r="B33" s="276" t="str">
        <f>INPUT!B101</f>
        <v xml:space="preserve">     Long-term accounts/contracts receivable</v>
      </c>
      <c r="C33" s="294"/>
      <c r="D33" s="296"/>
      <c r="E33" s="294"/>
      <c r="F33" s="296"/>
      <c r="G33" s="294"/>
      <c r="H33" s="296"/>
      <c r="I33" s="294"/>
      <c r="J33" s="296"/>
      <c r="K33" s="296" t="str">
        <f t="shared" si="4"/>
        <v xml:space="preserve">     Long-term accounts/contracts receivable</v>
      </c>
      <c r="L33" s="294"/>
      <c r="M33" s="296"/>
      <c r="N33" s="294"/>
      <c r="O33" s="296"/>
      <c r="P33" s="294"/>
      <c r="Q33" s="296"/>
      <c r="R33" s="294">
        <f t="shared" si="5"/>
        <v>0</v>
      </c>
      <c r="S33" s="276"/>
      <c r="T33" s="276"/>
      <c r="U33" s="276"/>
      <c r="V33" s="276"/>
    </row>
    <row r="34" spans="1:22" ht="15" hidden="1" customHeight="1">
      <c r="A34" s="276"/>
      <c r="B34" s="276" t="str">
        <f>INPUT!B102</f>
        <v xml:space="preserve">     Long-term notes receivable</v>
      </c>
      <c r="C34" s="294"/>
      <c r="D34" s="296"/>
      <c r="E34" s="294"/>
      <c r="F34" s="296"/>
      <c r="G34" s="294"/>
      <c r="H34" s="296"/>
      <c r="I34" s="294"/>
      <c r="J34" s="296"/>
      <c r="K34" s="296" t="str">
        <f t="shared" si="4"/>
        <v xml:space="preserve">     Long-term notes receivable</v>
      </c>
      <c r="L34" s="294"/>
      <c r="M34" s="296"/>
      <c r="N34" s="294"/>
      <c r="O34" s="296"/>
      <c r="P34" s="294"/>
      <c r="Q34" s="296"/>
      <c r="R34" s="294">
        <f t="shared" si="5"/>
        <v>0</v>
      </c>
      <c r="S34" s="276"/>
      <c r="T34" s="276"/>
      <c r="U34" s="276"/>
      <c r="V34" s="276"/>
    </row>
    <row r="35" spans="1:22" ht="15" hidden="1" customHeight="1">
      <c r="A35" s="276" t="s">
        <v>299</v>
      </c>
      <c r="B35" s="276" t="str">
        <f>INPUT!B103</f>
        <v xml:space="preserve">     Advances to other funds</v>
      </c>
      <c r="C35" s="294" t="str">
        <f>IF(+INPUT!CL103&lt;&gt;0,+INPUT!CL103,"-  ")</f>
        <v xml:space="preserve">-  </v>
      </c>
      <c r="D35" s="296"/>
      <c r="E35" s="294" t="str">
        <f>IF(+INPUT!CM103&lt;&gt;0,+INPUT!CM103,"-  ")</f>
        <v xml:space="preserve">-  </v>
      </c>
      <c r="F35" s="296"/>
      <c r="G35" s="294" t="str">
        <f>IF(+INPUT!CN103&lt;&gt;0,+INPUT!CN103,"-  ")</f>
        <v xml:space="preserve">-  </v>
      </c>
      <c r="H35" s="296"/>
      <c r="I35" s="294">
        <f>+INPUT!CO103</f>
        <v>0</v>
      </c>
      <c r="J35" s="296"/>
      <c r="K35" s="296" t="str">
        <f t="shared" si="4"/>
        <v xml:space="preserve">     Advances to other funds</v>
      </c>
      <c r="L35" s="294" t="str">
        <f>IF(+INPUT!CP103&lt;&gt;0,+INPUT!CP103,"-")</f>
        <v>-</v>
      </c>
      <c r="M35" s="296"/>
      <c r="N35" s="294" t="str">
        <f>IF(+INPUT!CQ103&lt;&gt;0,+INPUT!CQ103,"-")</f>
        <v>-</v>
      </c>
      <c r="O35" s="296"/>
      <c r="P35" s="294" t="str">
        <f>IF(+INPUT!CR103&lt;&gt;0,+INPUT!CR103,"-")</f>
        <v>-</v>
      </c>
      <c r="Q35" s="296"/>
      <c r="R35" s="294">
        <f t="shared" si="5"/>
        <v>0</v>
      </c>
      <c r="S35" s="276"/>
      <c r="T35" s="276"/>
      <c r="U35" s="276"/>
      <c r="V35" s="276"/>
    </row>
    <row r="36" spans="1:22" ht="15" hidden="1" customHeight="1">
      <c r="A36" s="276" t="s">
        <v>299</v>
      </c>
      <c r="B36" s="276" t="str">
        <f>INPUT!B118</f>
        <v xml:space="preserve">     Deferred charges - Revenue bond issuance costs</v>
      </c>
      <c r="C36" s="294"/>
      <c r="D36" s="296"/>
      <c r="E36" s="294"/>
      <c r="F36" s="296"/>
      <c r="G36" s="294"/>
      <c r="H36" s="296"/>
      <c r="I36" s="294">
        <f>+INPUT!CO118</f>
        <v>0</v>
      </c>
      <c r="J36" s="296"/>
      <c r="K36" s="296" t="str">
        <f t="shared" si="4"/>
        <v xml:space="preserve">     Deferred charges - Revenue bond issuance costs</v>
      </c>
      <c r="L36" s="294"/>
      <c r="M36" s="296"/>
      <c r="N36" s="294"/>
      <c r="O36" s="296"/>
      <c r="P36" s="294"/>
      <c r="Q36" s="296"/>
      <c r="R36" s="294">
        <f t="shared" si="5"/>
        <v>0</v>
      </c>
      <c r="S36" s="276"/>
      <c r="T36" s="276"/>
      <c r="U36" s="276"/>
      <c r="V36" s="276"/>
    </row>
    <row r="37" spans="1:22" ht="15" hidden="1" customHeight="1">
      <c r="B37" s="276" t="str">
        <f>INPUT!B104</f>
        <v xml:space="preserve">     Capital Assets:</v>
      </c>
      <c r="C37" s="294"/>
      <c r="D37" s="296"/>
      <c r="E37" s="294"/>
      <c r="F37" s="296"/>
      <c r="G37" s="294"/>
      <c r="H37" s="296"/>
      <c r="I37" s="294">
        <f>+INPUT!CO104</f>
        <v>0</v>
      </c>
      <c r="J37" s="296"/>
      <c r="K37" s="296" t="str">
        <f t="shared" si="4"/>
        <v xml:space="preserve">     Capital Assets:</v>
      </c>
      <c r="L37" s="294"/>
      <c r="M37" s="296"/>
      <c r="N37" s="294"/>
      <c r="O37" s="296"/>
      <c r="P37" s="294"/>
      <c r="Q37" s="296"/>
      <c r="R37" s="294"/>
      <c r="S37" s="276"/>
      <c r="T37" s="276"/>
      <c r="U37" s="276"/>
      <c r="V37" s="276"/>
    </row>
    <row r="38" spans="1:22" ht="15" hidden="1" customHeight="1">
      <c r="A38" s="276" t="s">
        <v>299</v>
      </c>
      <c r="B38" s="276" t="str">
        <f>INPUT!B105</f>
        <v xml:space="preserve">     Land held for resale</v>
      </c>
      <c r="C38" s="294" t="str">
        <f>IF(+INPUT!CL105&lt;&gt;0,+INPUT!CL105,"-  ")</f>
        <v xml:space="preserve">-  </v>
      </c>
      <c r="D38" s="296"/>
      <c r="E38" s="294" t="str">
        <f>IF(+INPUT!CM105&lt;&gt;0,+INPUT!CM105,"-  ")</f>
        <v xml:space="preserve">-  </v>
      </c>
      <c r="F38" s="296"/>
      <c r="G38" s="294" t="str">
        <f>IF(+INPUT!CN105&lt;&gt;0,+INPUT!CN105,"-  ")</f>
        <v xml:space="preserve">-  </v>
      </c>
      <c r="H38" s="296"/>
      <c r="I38" s="294">
        <f>+INPUT!CO105</f>
        <v>0</v>
      </c>
      <c r="J38" s="296"/>
      <c r="K38" s="296" t="str">
        <f t="shared" si="4"/>
        <v xml:space="preserve">     Land held for resale</v>
      </c>
      <c r="L38" s="294" t="str">
        <f>IF(+INPUT!CP105&lt;&gt;0,+INPUT!CP105,"-")</f>
        <v>-</v>
      </c>
      <c r="M38" s="296"/>
      <c r="N38" s="294" t="str">
        <f>IF(+INPUT!CQ105&lt;&gt;0,+INPUT!CQ105,"-")</f>
        <v>-</v>
      </c>
      <c r="O38" s="296"/>
      <c r="P38" s="294" t="str">
        <f>IF(+INPUT!CR105&lt;&gt;0,+INPUT!CR105,"-")</f>
        <v>-</v>
      </c>
      <c r="Q38" s="296"/>
      <c r="R38" s="294">
        <f>SUM(C38:Q38)</f>
        <v>0</v>
      </c>
      <c r="S38" s="276"/>
      <c r="T38" s="276"/>
      <c r="U38" s="276"/>
      <c r="V38" s="276"/>
    </row>
    <row r="39" spans="1:22" ht="15.75">
      <c r="B39" s="276" t="str">
        <f>INPUT!B107</f>
        <v xml:space="preserve">     Land and construction in progress</v>
      </c>
      <c r="C39" s="294">
        <f>+INPUT!CL107</f>
        <v>0</v>
      </c>
      <c r="D39" s="294"/>
      <c r="E39" s="294">
        <f>+INPUT!CM107</f>
        <v>212844</v>
      </c>
      <c r="F39" s="294"/>
      <c r="G39" s="294">
        <f>+INPUT!CN107</f>
        <v>0</v>
      </c>
      <c r="H39" s="294"/>
      <c r="I39" s="294">
        <f>+INPUT!CO107</f>
        <v>0</v>
      </c>
      <c r="J39" s="294"/>
      <c r="K39" s="296" t="str">
        <f t="shared" si="4"/>
        <v xml:space="preserve">     Land and construction in progress</v>
      </c>
      <c r="L39" s="294">
        <f>+INPUT!CP107</f>
        <v>0</v>
      </c>
      <c r="M39" s="294"/>
      <c r="N39" s="294">
        <f>+INPUT!CQ107</f>
        <v>0</v>
      </c>
      <c r="O39" s="312"/>
      <c r="P39" s="294">
        <f>+INPUT!CR107</f>
        <v>0</v>
      </c>
      <c r="Q39" s="294"/>
      <c r="R39" s="294">
        <f>SUM(C39:Q39)</f>
        <v>212844</v>
      </c>
      <c r="S39" s="294"/>
      <c r="T39" s="294"/>
      <c r="U39" s="294"/>
      <c r="V39" s="276"/>
    </row>
    <row r="40" spans="1:22" ht="15.75">
      <c r="B40" s="276" t="str">
        <f>INPUT!B108</f>
        <v xml:space="preserve">     Buildings, improvements, vehicles and equipment (net)</v>
      </c>
      <c r="C40" s="294">
        <f>+INPUT!CL108</f>
        <v>29874</v>
      </c>
      <c r="D40" s="294"/>
      <c r="E40" s="294">
        <f>+INPUT!CM108</f>
        <v>382552</v>
      </c>
      <c r="F40" s="294"/>
      <c r="G40" s="294">
        <f>+INPUT!CN108</f>
        <v>5807</v>
      </c>
      <c r="H40" s="294"/>
      <c r="I40" s="294">
        <f>+INPUT!CO108</f>
        <v>0</v>
      </c>
      <c r="J40" s="294"/>
      <c r="K40" s="525" t="str">
        <f t="shared" si="4"/>
        <v xml:space="preserve">     Buildings, improvements, vehicles and equipment (net)</v>
      </c>
      <c r="L40" s="294">
        <f>+INPUT!CP108</f>
        <v>6609</v>
      </c>
      <c r="M40" s="294"/>
      <c r="N40" s="294">
        <f>+INPUT!CQ108</f>
        <v>0</v>
      </c>
      <c r="O40" s="312"/>
      <c r="P40" s="294">
        <f>+INPUT!CR108</f>
        <v>0</v>
      </c>
      <c r="Q40" s="294"/>
      <c r="R40" s="294">
        <f>SUM(C40:Q40)</f>
        <v>424842</v>
      </c>
      <c r="S40" s="294"/>
      <c r="T40" s="294"/>
      <c r="U40" s="294"/>
      <c r="V40" s="276"/>
    </row>
    <row r="41" spans="1:22" ht="15.75">
      <c r="B41" s="276" t="str">
        <f>INPUT!B109</f>
        <v xml:space="preserve">     SBITA assets (net)</v>
      </c>
      <c r="C41" s="294">
        <f>+INPUT!CL109</f>
        <v>0</v>
      </c>
      <c r="D41" s="294"/>
      <c r="E41" s="294">
        <f>+INPUT!CM109</f>
        <v>0</v>
      </c>
      <c r="F41" s="294"/>
      <c r="G41" s="294">
        <f>+INPUT!CN109</f>
        <v>0</v>
      </c>
      <c r="H41" s="294"/>
      <c r="I41" s="294">
        <f>+INPUT!CO109</f>
        <v>0</v>
      </c>
      <c r="J41" s="294"/>
      <c r="K41" s="525" t="str">
        <f t="shared" ref="K41" si="6">B41</f>
        <v xml:space="preserve">     SBITA assets (net)</v>
      </c>
      <c r="L41" s="294">
        <f>+INPUT!CP109</f>
        <v>520227</v>
      </c>
      <c r="M41" s="294"/>
      <c r="N41" s="294">
        <f>+INPUT!CQ109</f>
        <v>0</v>
      </c>
      <c r="O41" s="312"/>
      <c r="P41" s="294">
        <f>+INPUT!CR109</f>
        <v>0</v>
      </c>
      <c r="Q41" s="294"/>
      <c r="R41" s="294">
        <f>SUM(C41:Q41)</f>
        <v>520227</v>
      </c>
      <c r="S41" s="294"/>
      <c r="T41" s="294"/>
      <c r="U41" s="294"/>
      <c r="V41" s="276"/>
    </row>
    <row r="42" spans="1:22" ht="15.75">
      <c r="B42" s="276" t="s">
        <v>1140</v>
      </c>
      <c r="C42" s="521">
        <f>SUM(C30:C41)</f>
        <v>29874</v>
      </c>
      <c r="D42" s="296"/>
      <c r="E42" s="521">
        <f t="shared" ref="E42" si="7">SUM(E30:E41)</f>
        <v>595396</v>
      </c>
      <c r="F42" s="296"/>
      <c r="G42" s="521">
        <f t="shared" ref="G42" si="8">SUM(G30:G41)</f>
        <v>5807</v>
      </c>
      <c r="H42" s="296"/>
      <c r="I42" s="521">
        <f t="shared" ref="I42" si="9">SUM(I30:I41)</f>
        <v>0</v>
      </c>
      <c r="J42" s="296"/>
      <c r="K42" s="296" t="str">
        <f t="shared" si="4"/>
        <v xml:space="preserve">                 Total noncurrent assets</v>
      </c>
      <c r="L42" s="521">
        <f>SUM(L30:L41)</f>
        <v>526836</v>
      </c>
      <c r="M42" s="296"/>
      <c r="N42" s="521">
        <f t="shared" ref="N42" si="10">SUM(N30:N41)</f>
        <v>0</v>
      </c>
      <c r="O42" s="296"/>
      <c r="P42" s="521">
        <f t="shared" ref="P42" si="11">SUM(P30:P41)</f>
        <v>0</v>
      </c>
      <c r="Q42" s="296"/>
      <c r="R42" s="521">
        <f>SUM(R30:R41)</f>
        <v>1157913</v>
      </c>
      <c r="S42" s="276"/>
      <c r="T42" s="276"/>
      <c r="U42" s="276"/>
      <c r="V42" s="276"/>
    </row>
    <row r="43" spans="1:22" ht="15.75">
      <c r="B43" s="276"/>
      <c r="C43" s="294"/>
      <c r="D43" s="296"/>
      <c r="E43" s="294"/>
      <c r="F43" s="296"/>
      <c r="G43" s="294"/>
      <c r="H43" s="296"/>
      <c r="I43" s="294"/>
      <c r="J43" s="296"/>
      <c r="K43" s="296"/>
      <c r="L43" s="294"/>
      <c r="M43" s="296"/>
      <c r="N43" s="294"/>
      <c r="O43" s="312"/>
      <c r="P43" s="294"/>
      <c r="Q43" s="296"/>
      <c r="R43" s="294"/>
      <c r="S43" s="276"/>
      <c r="T43" s="276"/>
      <c r="U43" s="276"/>
      <c r="V43" s="276"/>
    </row>
    <row r="44" spans="1:22" ht="15.75">
      <c r="B44" s="308" t="s">
        <v>2581</v>
      </c>
      <c r="C44" s="301">
        <f>+C42+C26</f>
        <v>2332728</v>
      </c>
      <c r="D44" s="314"/>
      <c r="E44" s="301">
        <f>+E42+E26</f>
        <v>1400747</v>
      </c>
      <c r="F44" s="314"/>
      <c r="G44" s="301">
        <f>+G42+G26</f>
        <v>375848</v>
      </c>
      <c r="H44" s="314"/>
      <c r="I44" s="301">
        <f>+I42+I26</f>
        <v>119825</v>
      </c>
      <c r="J44" s="314"/>
      <c r="K44" s="314" t="str">
        <f>B44</f>
        <v xml:space="preserve">             Total assets</v>
      </c>
      <c r="L44" s="301">
        <f>+L42+L26</f>
        <v>1929774</v>
      </c>
      <c r="M44" s="314"/>
      <c r="N44" s="301">
        <f>+N42+N26</f>
        <v>801614</v>
      </c>
      <c r="O44" s="314"/>
      <c r="P44" s="301">
        <f>+P42+P26</f>
        <v>359574</v>
      </c>
      <c r="Q44" s="314"/>
      <c r="R44" s="301">
        <f>+R42+R26</f>
        <v>7320110</v>
      </c>
      <c r="S44" s="308"/>
      <c r="T44" s="308"/>
      <c r="U44" s="308"/>
      <c r="V44" s="308"/>
    </row>
    <row r="45" spans="1:22" ht="15.75" hidden="1">
      <c r="B45" s="276"/>
      <c r="C45" s="294"/>
      <c r="D45" s="296"/>
      <c r="E45" s="296"/>
      <c r="F45" s="296"/>
      <c r="G45" s="294"/>
      <c r="H45" s="296"/>
      <c r="I45" s="294"/>
      <c r="J45" s="296"/>
      <c r="K45" s="296"/>
      <c r="L45" s="294"/>
      <c r="M45" s="296"/>
      <c r="N45" s="294"/>
      <c r="O45" s="296"/>
      <c r="P45" s="294"/>
      <c r="Q45" s="296"/>
      <c r="R45" s="294"/>
      <c r="S45" s="276"/>
      <c r="T45" s="276"/>
      <c r="U45" s="276"/>
      <c r="V45" s="276"/>
    </row>
    <row r="46" spans="1:22" ht="15.75" customHeight="1">
      <c r="B46" s="308"/>
      <c r="C46" s="294"/>
      <c r="D46" s="296"/>
      <c r="E46" s="296"/>
      <c r="F46" s="296"/>
      <c r="G46" s="294"/>
      <c r="H46" s="296"/>
      <c r="I46" s="294"/>
      <c r="J46" s="296"/>
      <c r="K46" s="314"/>
      <c r="L46" s="294"/>
      <c r="M46" s="296"/>
      <c r="N46" s="294"/>
      <c r="O46" s="314"/>
      <c r="P46" s="294"/>
      <c r="Q46" s="296"/>
      <c r="R46" s="294"/>
      <c r="S46" s="276"/>
      <c r="T46" s="276"/>
      <c r="U46" s="276"/>
      <c r="V46" s="276"/>
    </row>
    <row r="47" spans="1:22" ht="15.75">
      <c r="B47" s="308" t="str">
        <f>INPUT!B130</f>
        <v>LIABILITIES</v>
      </c>
      <c r="C47" s="294"/>
      <c r="D47" s="296"/>
      <c r="E47" s="296"/>
      <c r="F47" s="296"/>
      <c r="G47" s="294"/>
      <c r="H47" s="296"/>
      <c r="I47" s="294"/>
      <c r="J47" s="296"/>
      <c r="K47" s="314" t="str">
        <f t="shared" ref="K47:K60" si="12">B47</f>
        <v>LIABILITIES</v>
      </c>
      <c r="L47" s="294"/>
      <c r="M47" s="296"/>
      <c r="N47" s="294"/>
      <c r="O47" s="314"/>
      <c r="P47" s="294"/>
      <c r="Q47" s="296"/>
      <c r="R47" s="294"/>
      <c r="S47" s="276"/>
      <c r="T47" s="276"/>
      <c r="U47" s="276"/>
      <c r="V47" s="276"/>
    </row>
    <row r="48" spans="1:22" ht="15.75">
      <c r="B48" s="276" t="str">
        <f>INPUT!B131</f>
        <v>Current liabilities:</v>
      </c>
      <c r="C48" s="294"/>
      <c r="D48" s="296"/>
      <c r="E48" s="296"/>
      <c r="F48" s="296"/>
      <c r="G48" s="294"/>
      <c r="H48" s="296"/>
      <c r="I48" s="294"/>
      <c r="J48" s="296"/>
      <c r="K48" s="296" t="str">
        <f t="shared" si="12"/>
        <v>Current liabilities:</v>
      </c>
      <c r="L48" s="294"/>
      <c r="M48" s="296"/>
      <c r="N48" s="294"/>
      <c r="O48" s="296"/>
      <c r="P48" s="294"/>
      <c r="Q48" s="296"/>
      <c r="R48" s="294"/>
      <c r="S48" s="276"/>
      <c r="T48" s="276"/>
      <c r="U48" s="276"/>
      <c r="V48" s="276"/>
    </row>
    <row r="49" spans="1:22" ht="15.75">
      <c r="B49" s="276" t="str">
        <f>INPUT!B132</f>
        <v xml:space="preserve">     Accounts payable</v>
      </c>
      <c r="C49" s="292">
        <f>+INPUT!CL132</f>
        <v>0</v>
      </c>
      <c r="D49" s="296"/>
      <c r="E49" s="292">
        <f>+INPUT!CM132</f>
        <v>0</v>
      </c>
      <c r="F49" s="296"/>
      <c r="G49" s="292">
        <f>+INPUT!CN132</f>
        <v>0</v>
      </c>
      <c r="H49" s="296"/>
      <c r="I49" s="292">
        <f>+INPUT!CO132</f>
        <v>0</v>
      </c>
      <c r="J49" s="296"/>
      <c r="K49" s="296" t="str">
        <f t="shared" si="12"/>
        <v xml:space="preserve">     Accounts payable</v>
      </c>
      <c r="L49" s="292">
        <f>+INPUT!CP132</f>
        <v>48189</v>
      </c>
      <c r="M49" s="296"/>
      <c r="N49" s="292">
        <f>+INPUT!CQ132</f>
        <v>0</v>
      </c>
      <c r="O49" s="296"/>
      <c r="P49" s="292">
        <f>+INPUT!CR132</f>
        <v>0</v>
      </c>
      <c r="Q49" s="296"/>
      <c r="R49" s="292">
        <f t="shared" ref="R49:R59" si="13">SUM(C49:Q49)</f>
        <v>48189</v>
      </c>
      <c r="S49" s="276"/>
      <c r="T49" s="276"/>
      <c r="U49" s="276"/>
      <c r="V49" s="276"/>
    </row>
    <row r="50" spans="1:22" ht="15" hidden="1" customHeight="1">
      <c r="B50" s="276" t="str">
        <f>INPUT!B133</f>
        <v xml:space="preserve">     Contracts/loans payable - current</v>
      </c>
      <c r="C50" s="294">
        <f>+INPUT!CL133</f>
        <v>0</v>
      </c>
      <c r="D50" s="296"/>
      <c r="E50" s="294">
        <f>+INPUT!CM133</f>
        <v>0</v>
      </c>
      <c r="F50" s="296"/>
      <c r="G50" s="294">
        <f>+INPUT!CN133</f>
        <v>0</v>
      </c>
      <c r="H50" s="296"/>
      <c r="I50" s="294">
        <f>+INPUT!CO133</f>
        <v>0</v>
      </c>
      <c r="J50" s="296"/>
      <c r="K50" s="296" t="str">
        <f t="shared" si="12"/>
        <v xml:space="preserve">     Contracts/loans payable - current</v>
      </c>
      <c r="L50" s="294">
        <f>+INPUT!CP133</f>
        <v>0</v>
      </c>
      <c r="M50" s="296"/>
      <c r="N50" s="294">
        <f>+INPUT!CQ133</f>
        <v>0</v>
      </c>
      <c r="O50" s="296"/>
      <c r="P50" s="294">
        <f>+INPUT!CR133</f>
        <v>0</v>
      </c>
      <c r="Q50" s="296"/>
      <c r="R50" s="294">
        <f t="shared" si="13"/>
        <v>0</v>
      </c>
      <c r="S50" s="276"/>
      <c r="T50" s="276"/>
      <c r="U50" s="276"/>
      <c r="V50" s="276"/>
    </row>
    <row r="51" spans="1:22" ht="15" hidden="1" customHeight="1">
      <c r="B51" s="276" t="str">
        <f>INPUT!B135</f>
        <v xml:space="preserve">     Due to other funds</v>
      </c>
      <c r="C51" s="294">
        <f>+INPUT!CL135</f>
        <v>0</v>
      </c>
      <c r="D51" s="296"/>
      <c r="E51" s="294">
        <f>+INPUT!CM135</f>
        <v>0</v>
      </c>
      <c r="F51" s="296"/>
      <c r="G51" s="294">
        <f>+INPUT!CN135</f>
        <v>0</v>
      </c>
      <c r="H51" s="296"/>
      <c r="I51" s="294">
        <f>+INPUT!CO135</f>
        <v>0</v>
      </c>
      <c r="J51" s="296"/>
      <c r="K51" s="296" t="str">
        <f t="shared" si="12"/>
        <v xml:space="preserve">     Due to other funds</v>
      </c>
      <c r="L51" s="294">
        <f>+INPUT!CP135</f>
        <v>0</v>
      </c>
      <c r="M51" s="296"/>
      <c r="N51" s="294">
        <f>+INPUT!CQ135</f>
        <v>0</v>
      </c>
      <c r="O51" s="296"/>
      <c r="P51" s="294">
        <f>+INPUT!CR135</f>
        <v>0</v>
      </c>
      <c r="Q51" s="296"/>
      <c r="R51" s="294">
        <f t="shared" si="13"/>
        <v>0</v>
      </c>
      <c r="S51" s="276"/>
      <c r="T51" s="276"/>
      <c r="U51" s="276"/>
      <c r="V51" s="276"/>
    </row>
    <row r="52" spans="1:22" ht="15" hidden="1" customHeight="1">
      <c r="A52" s="288" t="s">
        <v>299</v>
      </c>
      <c r="B52" s="276" t="str">
        <f>INPUT!B157</f>
        <v xml:space="preserve">     Deferred inflows of tax revenues</v>
      </c>
      <c r="C52" s="294">
        <f>+INPUT!CL157</f>
        <v>0</v>
      </c>
      <c r="D52" s="296"/>
      <c r="E52" s="294">
        <f>+INPUT!CM157</f>
        <v>0</v>
      </c>
      <c r="F52" s="296"/>
      <c r="G52" s="294">
        <f>+INPUT!CN157</f>
        <v>0</v>
      </c>
      <c r="H52" s="296"/>
      <c r="I52" s="294">
        <f>+INPUT!CO157</f>
        <v>0</v>
      </c>
      <c r="J52" s="296"/>
      <c r="K52" s="296" t="str">
        <f t="shared" si="12"/>
        <v xml:space="preserve">     Deferred inflows of tax revenues</v>
      </c>
      <c r="L52" s="294">
        <f>+INPUT!CP157</f>
        <v>0</v>
      </c>
      <c r="M52" s="296"/>
      <c r="N52" s="294">
        <f>+INPUT!CQ157</f>
        <v>0</v>
      </c>
      <c r="O52" s="296"/>
      <c r="P52" s="294">
        <f>+INPUT!CR157</f>
        <v>0</v>
      </c>
      <c r="Q52" s="296"/>
      <c r="R52" s="294">
        <f t="shared" si="13"/>
        <v>0</v>
      </c>
      <c r="S52" s="276"/>
      <c r="T52" s="276"/>
      <c r="U52" s="276"/>
      <c r="V52" s="276"/>
    </row>
    <row r="53" spans="1:22" ht="15" hidden="1" customHeight="1">
      <c r="A53" s="288" t="s">
        <v>299</v>
      </c>
      <c r="B53" s="276" t="str">
        <f>INPUT!B136</f>
        <v xml:space="preserve">     Advanced lease payments - current</v>
      </c>
      <c r="C53" s="294">
        <f>+INPUT!CL136</f>
        <v>0</v>
      </c>
      <c r="E53" s="294">
        <f>+INPUT!CN136</f>
        <v>0</v>
      </c>
      <c r="G53" s="294">
        <f>+INPUT!CNN136</f>
        <v>0</v>
      </c>
      <c r="I53" s="294">
        <f>+INPUT!CR136</f>
        <v>0</v>
      </c>
      <c r="K53" s="296" t="str">
        <f t="shared" si="12"/>
        <v xml:space="preserve">     Advanced lease payments - current</v>
      </c>
      <c r="L53" s="294">
        <f>+INPUT!CP136</f>
        <v>0</v>
      </c>
      <c r="N53" s="294">
        <f>+INPUT!CR136</f>
        <v>0</v>
      </c>
      <c r="P53" s="294">
        <f>+INPUT!CT136</f>
        <v>0</v>
      </c>
      <c r="R53" s="294">
        <f>SUM(C53:Q53)</f>
        <v>0</v>
      </c>
      <c r="S53" s="276"/>
      <c r="T53" s="276"/>
      <c r="U53" s="276"/>
      <c r="V53" s="276"/>
    </row>
    <row r="54" spans="1:22" ht="15" customHeight="1">
      <c r="B54" s="276" t="str">
        <f>INPUT!B137</f>
        <v xml:space="preserve">     SBITA payments - current</v>
      </c>
      <c r="C54" s="294">
        <f>+INPUT!CL137</f>
        <v>0</v>
      </c>
      <c r="E54" s="294">
        <f>+INPUT!CN137</f>
        <v>0</v>
      </c>
      <c r="G54" s="294">
        <f>+INPUT!CN137</f>
        <v>0</v>
      </c>
      <c r="I54" s="294">
        <f>+INPUT!CR137</f>
        <v>0</v>
      </c>
      <c r="K54" s="296" t="str">
        <f t="shared" si="12"/>
        <v xml:space="preserve">     SBITA payments - current</v>
      </c>
      <c r="L54" s="294">
        <f>+INPUT!CP137</f>
        <v>234179</v>
      </c>
      <c r="N54" s="294">
        <f>+INPUT!CR137</f>
        <v>0</v>
      </c>
      <c r="P54" s="294">
        <f>+INPUT!CT137</f>
        <v>0</v>
      </c>
      <c r="R54" s="294">
        <f t="shared" ref="R54:R56" si="14">SUM(C54:Q54)</f>
        <v>234179</v>
      </c>
      <c r="S54" s="276"/>
      <c r="T54" s="276"/>
      <c r="U54" s="276"/>
      <c r="V54" s="276"/>
    </row>
    <row r="55" spans="1:22" ht="15.75" hidden="1">
      <c r="B55" s="276" t="str">
        <f>INPUT!B138</f>
        <v xml:space="preserve">     Revenue bonds payable</v>
      </c>
      <c r="C55" s="294">
        <f>+INPUT!CL138</f>
        <v>0</v>
      </c>
      <c r="D55" s="296"/>
      <c r="E55" s="294">
        <f>+INPUT!CM138</f>
        <v>0</v>
      </c>
      <c r="F55" s="296"/>
      <c r="G55" s="294">
        <f>+INPUT!CN138</f>
        <v>0</v>
      </c>
      <c r="H55" s="296"/>
      <c r="I55" s="294">
        <f>+INPUT!CO138</f>
        <v>0</v>
      </c>
      <c r="J55" s="296"/>
      <c r="K55" s="296" t="str">
        <f t="shared" si="12"/>
        <v xml:space="preserve">     Revenue bonds payable</v>
      </c>
      <c r="L55" s="294">
        <f>+INPUT!CP138</f>
        <v>0</v>
      </c>
      <c r="M55" s="296"/>
      <c r="N55" s="294">
        <f>+INPUT!CQ138</f>
        <v>0</v>
      </c>
      <c r="O55" s="296"/>
      <c r="P55" s="294">
        <f>+INPUT!CR138</f>
        <v>0</v>
      </c>
      <c r="Q55" s="296"/>
      <c r="R55" s="294">
        <f t="shared" si="14"/>
        <v>0</v>
      </c>
      <c r="S55" s="276"/>
      <c r="T55" s="276"/>
      <c r="U55" s="276"/>
      <c r="V55" s="276"/>
    </row>
    <row r="56" spans="1:22" ht="15" hidden="1" customHeight="1">
      <c r="A56" s="288" t="s">
        <v>299</v>
      </c>
      <c r="B56" s="276" t="str">
        <f>INPUT!B139</f>
        <v xml:space="preserve">     Landfill postclosure costs payable - current</v>
      </c>
      <c r="C56" s="294">
        <f>+INPUT!CL139</f>
        <v>0</v>
      </c>
      <c r="D56" s="296"/>
      <c r="E56" s="294">
        <f>+INPUT!CM139</f>
        <v>0</v>
      </c>
      <c r="F56" s="296"/>
      <c r="G56" s="294">
        <f>+INPUT!CN139</f>
        <v>0</v>
      </c>
      <c r="H56" s="296"/>
      <c r="I56" s="294">
        <f>+INPUT!CO139</f>
        <v>0</v>
      </c>
      <c r="J56" s="296"/>
      <c r="K56" s="296" t="str">
        <f t="shared" si="12"/>
        <v xml:space="preserve">     Landfill postclosure costs payable - current</v>
      </c>
      <c r="L56" s="294">
        <f>+INPUT!CP139</f>
        <v>0</v>
      </c>
      <c r="M56" s="296"/>
      <c r="N56" s="294">
        <f>+INPUT!CQ139</f>
        <v>0</v>
      </c>
      <c r="O56" s="296"/>
      <c r="P56" s="294">
        <f>+INPUT!CR139</f>
        <v>0</v>
      </c>
      <c r="Q56" s="296"/>
      <c r="R56" s="294">
        <f t="shared" si="14"/>
        <v>0</v>
      </c>
      <c r="S56" s="276"/>
      <c r="T56" s="276"/>
      <c r="U56" s="276"/>
      <c r="V56" s="276"/>
    </row>
    <row r="57" spans="1:22" ht="15.75">
      <c r="B57" s="276" t="str">
        <f>INPUT!B140</f>
        <v xml:space="preserve">     Claims payable</v>
      </c>
      <c r="C57" s="294">
        <f>+INPUT!CL140</f>
        <v>0</v>
      </c>
      <c r="D57" s="296"/>
      <c r="E57" s="294">
        <f>+INPUT!CM140</f>
        <v>0</v>
      </c>
      <c r="F57" s="296"/>
      <c r="G57" s="294">
        <f>+INPUT!CN140</f>
        <v>0</v>
      </c>
      <c r="H57" s="296"/>
      <c r="I57" s="294">
        <f>+INPUT!CO140</f>
        <v>0</v>
      </c>
      <c r="J57" s="296"/>
      <c r="K57" s="296" t="str">
        <f t="shared" si="12"/>
        <v xml:space="preserve">     Claims payable</v>
      </c>
      <c r="L57" s="294">
        <f>+INPUT!CP140</f>
        <v>0</v>
      </c>
      <c r="M57" s="296"/>
      <c r="N57" s="294">
        <f>+INPUT!CQ140</f>
        <v>0</v>
      </c>
      <c r="O57" s="296"/>
      <c r="P57" s="294">
        <f>+INPUT!CR140</f>
        <v>482991</v>
      </c>
      <c r="Q57" s="296"/>
      <c r="R57" s="294">
        <f t="shared" si="13"/>
        <v>482991</v>
      </c>
      <c r="S57" s="276"/>
      <c r="T57" s="276"/>
      <c r="U57" s="276"/>
      <c r="V57" s="276"/>
    </row>
    <row r="58" spans="1:22" ht="15" hidden="1" customHeight="1">
      <c r="B58" s="276" t="str">
        <f>INPUT!B141</f>
        <v xml:space="preserve">     Advances from other funds</v>
      </c>
      <c r="C58" s="294">
        <f>+INPUT!CL141</f>
        <v>0</v>
      </c>
      <c r="D58" s="296"/>
      <c r="E58" s="294">
        <f>+INPUT!CM141</f>
        <v>0</v>
      </c>
      <c r="F58" s="296"/>
      <c r="G58" s="294">
        <f>+INPUT!CN141</f>
        <v>0</v>
      </c>
      <c r="H58" s="296"/>
      <c r="I58" s="294">
        <f>+INPUT!CO141</f>
        <v>0</v>
      </c>
      <c r="J58" s="296"/>
      <c r="K58" s="296" t="str">
        <f t="shared" si="12"/>
        <v xml:space="preserve">     Advances from other funds</v>
      </c>
      <c r="L58" s="294">
        <f>+INPUT!CP141</f>
        <v>0</v>
      </c>
      <c r="M58" s="296"/>
      <c r="N58" s="294">
        <f>+INPUT!CQ141</f>
        <v>0</v>
      </c>
      <c r="O58" s="296"/>
      <c r="P58" s="294">
        <f>+INPUT!CR141</f>
        <v>0</v>
      </c>
      <c r="Q58" s="296"/>
      <c r="R58" s="294">
        <f t="shared" si="13"/>
        <v>0</v>
      </c>
      <c r="S58" s="276"/>
      <c r="T58" s="276"/>
      <c r="U58" s="276"/>
      <c r="V58" s="276"/>
    </row>
    <row r="59" spans="1:22" ht="15.75">
      <c r="B59" s="276" t="str">
        <f>INPUT!B149</f>
        <v xml:space="preserve">     Compensated absences payable</v>
      </c>
      <c r="C59" s="294">
        <f>ROUND(+INPUT!CL149*0.1,0)</f>
        <v>6797</v>
      </c>
      <c r="D59" s="296"/>
      <c r="E59" s="294">
        <f>ROUND(+INPUT!CM149*0.1,0)</f>
        <v>0</v>
      </c>
      <c r="F59" s="296"/>
      <c r="G59" s="294">
        <f>ROUND(+INPUT!CN149*0.1,0)</f>
        <v>6644</v>
      </c>
      <c r="H59" s="296"/>
      <c r="I59" s="294">
        <f>ROUND(+INPUT!CO149*0.1,0)</f>
        <v>0</v>
      </c>
      <c r="J59" s="296"/>
      <c r="K59" s="296" t="str">
        <f t="shared" si="12"/>
        <v xml:space="preserve">     Compensated absences payable</v>
      </c>
      <c r="L59" s="294">
        <f>ROUND(+INPUT!CP149*0.1,0)</f>
        <v>13497</v>
      </c>
      <c r="M59" s="296"/>
      <c r="N59" s="294">
        <f>ROUND(+INPUT!CQ149*0.1,0)</f>
        <v>0</v>
      </c>
      <c r="O59" s="296"/>
      <c r="P59" s="294">
        <f>ROUND(+INPUT!CR149*0.1,0)</f>
        <v>592</v>
      </c>
      <c r="Q59" s="296"/>
      <c r="R59" s="294">
        <f t="shared" si="13"/>
        <v>27530</v>
      </c>
      <c r="S59" s="276"/>
      <c r="T59" s="276"/>
      <c r="U59" s="276"/>
      <c r="V59" s="276"/>
    </row>
    <row r="60" spans="1:22" ht="15.75">
      <c r="B60" s="276" t="s">
        <v>1139</v>
      </c>
      <c r="C60" s="521">
        <f>SUM(C49:C59)</f>
        <v>6797</v>
      </c>
      <c r="D60" s="296"/>
      <c r="E60" s="521">
        <f>SUM(E49:E59)</f>
        <v>0</v>
      </c>
      <c r="F60" s="296"/>
      <c r="G60" s="521">
        <f>SUM(G49:G59)</f>
        <v>6644</v>
      </c>
      <c r="H60" s="296"/>
      <c r="I60" s="521">
        <f>SUM(I49:I59)</f>
        <v>0</v>
      </c>
      <c r="J60" s="296"/>
      <c r="K60" s="296" t="str">
        <f t="shared" si="12"/>
        <v xml:space="preserve">          Total current liabilities</v>
      </c>
      <c r="L60" s="521">
        <f>SUM(L49:L59)</f>
        <v>295865</v>
      </c>
      <c r="M60" s="296"/>
      <c r="N60" s="521">
        <f>SUM(N49:N59)</f>
        <v>0</v>
      </c>
      <c r="O60" s="296"/>
      <c r="P60" s="521">
        <f>SUM(P49:P59)</f>
        <v>483583</v>
      </c>
      <c r="Q60" s="296"/>
      <c r="R60" s="521">
        <f>SUM(R49:R59)</f>
        <v>792889</v>
      </c>
      <c r="S60" s="276"/>
      <c r="T60" s="276"/>
      <c r="U60" s="276"/>
      <c r="V60" s="276"/>
    </row>
    <row r="61" spans="1:22" ht="15.75">
      <c r="B61" s="276"/>
      <c r="C61" s="294"/>
      <c r="D61" s="296"/>
      <c r="E61" s="294"/>
      <c r="F61" s="296"/>
      <c r="G61" s="294"/>
      <c r="H61" s="296"/>
      <c r="I61" s="294"/>
      <c r="J61" s="296"/>
      <c r="K61" s="296"/>
      <c r="L61" s="294"/>
      <c r="M61" s="296"/>
      <c r="N61" s="294"/>
      <c r="O61" s="296"/>
      <c r="P61" s="294"/>
      <c r="Q61" s="296"/>
      <c r="R61" s="294"/>
      <c r="S61" s="276"/>
      <c r="T61" s="276"/>
      <c r="U61" s="276"/>
      <c r="V61" s="276"/>
    </row>
    <row r="62" spans="1:22" ht="15.75">
      <c r="B62" s="276" t="str">
        <f>INPUT!B144</f>
        <v>Noncurrent liabilities:</v>
      </c>
      <c r="C62" s="294"/>
      <c r="D62" s="296"/>
      <c r="E62" s="294"/>
      <c r="F62" s="296"/>
      <c r="G62" s="294"/>
      <c r="H62" s="296"/>
      <c r="I62" s="294"/>
      <c r="J62" s="296"/>
      <c r="K62" s="296" t="str">
        <f t="shared" ref="K62:K70" si="15">B62</f>
        <v>Noncurrent liabilities:</v>
      </c>
      <c r="L62" s="294"/>
      <c r="M62" s="296"/>
      <c r="N62" s="294"/>
      <c r="O62" s="296"/>
      <c r="P62" s="294"/>
      <c r="Q62" s="296"/>
      <c r="R62" s="294"/>
      <c r="S62" s="276"/>
      <c r="T62" s="276"/>
      <c r="U62" s="276"/>
      <c r="V62" s="276"/>
    </row>
    <row r="63" spans="1:22" ht="15.75" hidden="1">
      <c r="B63" s="276" t="str">
        <f>INPUT!B145</f>
        <v xml:space="preserve">     Contracts/loans payable</v>
      </c>
      <c r="C63" s="294">
        <f>+INPUT!CL145</f>
        <v>0</v>
      </c>
      <c r="D63" s="296"/>
      <c r="E63" s="294">
        <f>+INPUT!CM145</f>
        <v>0</v>
      </c>
      <c r="F63" s="296"/>
      <c r="G63" s="294">
        <f>+INPUT!CN145</f>
        <v>0</v>
      </c>
      <c r="H63" s="296"/>
      <c r="I63" s="294">
        <f>+INPUT!CO145</f>
        <v>0</v>
      </c>
      <c r="J63" s="296"/>
      <c r="K63" s="296" t="str">
        <f t="shared" si="15"/>
        <v xml:space="preserve">     Contracts/loans payable</v>
      </c>
      <c r="L63" s="294">
        <f>+INPUT!CP145</f>
        <v>0</v>
      </c>
      <c r="M63" s="296"/>
      <c r="N63" s="294">
        <f>+INPUT!CQ145</f>
        <v>0</v>
      </c>
      <c r="O63" s="296"/>
      <c r="P63" s="294">
        <f>+INPUT!CR145</f>
        <v>0</v>
      </c>
      <c r="Q63" s="296"/>
      <c r="R63" s="294">
        <f>SUM(C63:Q63)</f>
        <v>0</v>
      </c>
      <c r="S63" s="276"/>
      <c r="T63" s="276"/>
      <c r="U63" s="276"/>
      <c r="V63" s="276"/>
    </row>
    <row r="64" spans="1:22" ht="15.75" hidden="1">
      <c r="B64" s="276" t="str">
        <f>INPUT!B146</f>
        <v xml:space="preserve">     Revenue bonds payable</v>
      </c>
      <c r="C64" s="294">
        <f>+INPUT!CL146</f>
        <v>0</v>
      </c>
      <c r="D64" s="296"/>
      <c r="E64" s="294">
        <f>+INPUT!CM146</f>
        <v>0</v>
      </c>
      <c r="F64" s="296"/>
      <c r="G64" s="294">
        <f>+INPUT!CN146</f>
        <v>0</v>
      </c>
      <c r="H64" s="296"/>
      <c r="I64" s="294">
        <f>+INPUT!CO146</f>
        <v>0</v>
      </c>
      <c r="J64" s="296"/>
      <c r="K64" s="296" t="str">
        <f t="shared" si="15"/>
        <v xml:space="preserve">     Revenue bonds payable</v>
      </c>
      <c r="L64" s="294">
        <f>+INPUT!CP146</f>
        <v>0</v>
      </c>
      <c r="M64" s="296"/>
      <c r="N64" s="294">
        <f>+INPUT!CQ146</f>
        <v>0</v>
      </c>
      <c r="O64" s="296"/>
      <c r="P64" s="294">
        <f>+INPUT!CR146</f>
        <v>0</v>
      </c>
      <c r="Q64" s="296"/>
      <c r="R64" s="294">
        <f>SUM(C64:Q64)</f>
        <v>0</v>
      </c>
      <c r="S64" s="276"/>
      <c r="T64" s="276"/>
      <c r="U64" s="276"/>
      <c r="V64" s="276"/>
    </row>
    <row r="65" spans="1:22" ht="15" hidden="1" customHeight="1">
      <c r="A65" s="288" t="s">
        <v>299</v>
      </c>
      <c r="B65" s="276">
        <f>INPUT!B147</f>
        <v>0</v>
      </c>
      <c r="C65" s="294">
        <f>+INPUT!CL147</f>
        <v>0</v>
      </c>
      <c r="D65" s="296"/>
      <c r="E65" s="294">
        <f>+INPUT!CM147</f>
        <v>0</v>
      </c>
      <c r="F65" s="296"/>
      <c r="G65" s="294">
        <f>+INPUT!CN147</f>
        <v>0</v>
      </c>
      <c r="H65" s="296"/>
      <c r="I65" s="294">
        <f>+INPUT!CO147</f>
        <v>0</v>
      </c>
      <c r="J65" s="296"/>
      <c r="K65" s="296">
        <f t="shared" si="15"/>
        <v>0</v>
      </c>
      <c r="L65" s="294">
        <f>+INPUT!CP147</f>
        <v>0</v>
      </c>
      <c r="M65" s="296"/>
      <c r="N65" s="294">
        <f>+INPUT!CQ147</f>
        <v>0</v>
      </c>
      <c r="O65" s="296"/>
      <c r="P65" s="294">
        <f>+INPUT!CR147</f>
        <v>0</v>
      </c>
      <c r="Q65" s="296"/>
      <c r="R65" s="294">
        <f>SUM(C65:Q65)</f>
        <v>0</v>
      </c>
      <c r="S65" s="276"/>
      <c r="T65" s="276"/>
      <c r="U65" s="276"/>
      <c r="V65" s="276"/>
    </row>
    <row r="66" spans="1:22" ht="15" hidden="1" customHeight="1">
      <c r="A66" s="288" t="s">
        <v>299</v>
      </c>
      <c r="B66" s="276" t="str">
        <f>INPUT!B148</f>
        <v xml:space="preserve">     Landfill postclosure costs payable</v>
      </c>
      <c r="C66" s="294">
        <f>+INPUT!CL148</f>
        <v>0</v>
      </c>
      <c r="D66" s="296"/>
      <c r="E66" s="294">
        <f>+INPUT!CM148</f>
        <v>0</v>
      </c>
      <c r="F66" s="296"/>
      <c r="G66" s="294">
        <f>+INPUT!CN148</f>
        <v>0</v>
      </c>
      <c r="H66" s="296"/>
      <c r="I66" s="294">
        <f>+INPUT!CO148</f>
        <v>0</v>
      </c>
      <c r="J66" s="296"/>
      <c r="K66" s="296" t="str">
        <f t="shared" si="15"/>
        <v xml:space="preserve">     Landfill postclosure costs payable</v>
      </c>
      <c r="L66" s="294">
        <f>+INPUT!CP148</f>
        <v>0</v>
      </c>
      <c r="M66" s="296"/>
      <c r="N66" s="294">
        <f>+INPUT!CQ148</f>
        <v>0</v>
      </c>
      <c r="O66" s="296"/>
      <c r="P66" s="294">
        <f>+INPUT!CR148</f>
        <v>0</v>
      </c>
      <c r="Q66" s="296"/>
      <c r="R66" s="294">
        <f>SUM(C66:Q66)</f>
        <v>0</v>
      </c>
      <c r="S66" s="276"/>
      <c r="T66" s="276"/>
      <c r="U66" s="276"/>
      <c r="V66" s="276"/>
    </row>
    <row r="67" spans="1:22" ht="15.75">
      <c r="B67" s="276" t="str">
        <f>INPUT!B149</f>
        <v xml:space="preserve">     Compensated absences payable</v>
      </c>
      <c r="C67" s="294">
        <f>+INPUT!CL149-C59</f>
        <v>61174</v>
      </c>
      <c r="D67" s="296"/>
      <c r="E67" s="294">
        <f>+INPUT!CM149-E59</f>
        <v>0</v>
      </c>
      <c r="F67" s="296"/>
      <c r="G67" s="294">
        <f>+INPUT!CN149-G59</f>
        <v>59791</v>
      </c>
      <c r="H67" s="296"/>
      <c r="I67" s="294">
        <f>+INPUT!CO149-I59</f>
        <v>0</v>
      </c>
      <c r="J67" s="296"/>
      <c r="K67" s="296" t="str">
        <f t="shared" si="15"/>
        <v xml:space="preserve">     Compensated absences payable</v>
      </c>
      <c r="L67" s="294">
        <f>+INPUT!CP149-L59</f>
        <v>121476</v>
      </c>
      <c r="M67" s="296"/>
      <c r="N67" s="294">
        <f>+INPUT!CQ149-N59</f>
        <v>0</v>
      </c>
      <c r="O67" s="296"/>
      <c r="P67" s="294">
        <f>+INPUT!CR149-P59</f>
        <v>5327</v>
      </c>
      <c r="Q67" s="296"/>
      <c r="R67" s="294">
        <f>SUM(C67:Q67)</f>
        <v>247768</v>
      </c>
      <c r="S67" s="276"/>
      <c r="T67" s="276"/>
      <c r="U67" s="276"/>
      <c r="V67" s="276"/>
    </row>
    <row r="68" spans="1:22" ht="15.75" hidden="1">
      <c r="B68" s="276" t="str">
        <f>INPUT!B152</f>
        <v xml:space="preserve">     Advanced lease payments</v>
      </c>
      <c r="C68" s="294">
        <f>+INPUT!CL152</f>
        <v>0</v>
      </c>
      <c r="D68" s="296"/>
      <c r="E68" s="294">
        <f>+INPUT!CM152</f>
        <v>0</v>
      </c>
      <c r="F68" s="296"/>
      <c r="G68" s="294">
        <f>+INPUT!CN152</f>
        <v>0</v>
      </c>
      <c r="H68" s="296"/>
      <c r="I68" s="294">
        <f>+INPUT!CO152</f>
        <v>0</v>
      </c>
      <c r="J68" s="296"/>
      <c r="K68" s="296" t="str">
        <f t="shared" si="15"/>
        <v xml:space="preserve">     Advanced lease payments</v>
      </c>
      <c r="L68" s="294">
        <f>+INPUT!CP152</f>
        <v>0</v>
      </c>
      <c r="M68" s="296"/>
      <c r="N68" s="294">
        <f>+INPUT!CQ152</f>
        <v>0</v>
      </c>
      <c r="O68" s="296"/>
      <c r="P68" s="294">
        <f>+INPUT!CR152</f>
        <v>0</v>
      </c>
      <c r="Q68" s="296"/>
      <c r="R68" s="294">
        <f t="shared" ref="R68" si="16">SUM(C68:Q68)</f>
        <v>0</v>
      </c>
      <c r="S68" s="276"/>
      <c r="T68" s="276"/>
      <c r="U68" s="276"/>
      <c r="V68" s="276"/>
    </row>
    <row r="69" spans="1:22" ht="15.75">
      <c r="B69" s="276" t="str">
        <f>INPUT!B153</f>
        <v xml:space="preserve">     SBITA payments</v>
      </c>
      <c r="C69" s="294">
        <f>+INPUT!CL153</f>
        <v>0</v>
      </c>
      <c r="D69" s="296"/>
      <c r="E69" s="294">
        <f>+INPUT!CM153</f>
        <v>0</v>
      </c>
      <c r="F69" s="296"/>
      <c r="G69" s="294">
        <f>+INPUT!CN153</f>
        <v>0</v>
      </c>
      <c r="H69" s="296"/>
      <c r="I69" s="294">
        <f>+INPUT!CO153</f>
        <v>0</v>
      </c>
      <c r="J69" s="296"/>
      <c r="K69" s="296" t="str">
        <f>B69</f>
        <v xml:space="preserve">     SBITA payments</v>
      </c>
      <c r="L69" s="294">
        <f>+INPUT!CP153</f>
        <v>74584</v>
      </c>
      <c r="M69" s="296"/>
      <c r="N69" s="294">
        <f>+INPUT!CQ153</f>
        <v>0</v>
      </c>
      <c r="O69" s="296"/>
      <c r="P69" s="294">
        <f>+INPUT!CR153</f>
        <v>0</v>
      </c>
      <c r="Q69" s="296"/>
      <c r="R69" s="294">
        <f>SUM(C69:Q69)</f>
        <v>74584</v>
      </c>
      <c r="S69" s="276"/>
      <c r="T69" s="276"/>
      <c r="U69" s="276"/>
      <c r="V69" s="276"/>
    </row>
    <row r="70" spans="1:22" ht="15.75">
      <c r="B70" s="276" t="s">
        <v>41</v>
      </c>
      <c r="C70" s="521">
        <f>SUM(C63:C69)</f>
        <v>61174</v>
      </c>
      <c r="D70" s="296"/>
      <c r="E70" s="521">
        <f t="shared" ref="E70" si="17">SUM(E63:E69)</f>
        <v>0</v>
      </c>
      <c r="F70" s="296"/>
      <c r="G70" s="521">
        <f t="shared" ref="G70" si="18">SUM(G63:G69)</f>
        <v>59791</v>
      </c>
      <c r="H70" s="296"/>
      <c r="I70" s="521">
        <f t="shared" ref="I70" si="19">SUM(I63:I69)</f>
        <v>0</v>
      </c>
      <c r="J70" s="296"/>
      <c r="K70" s="296" t="str">
        <f t="shared" si="15"/>
        <v xml:space="preserve">          Total noncurrent liabilities</v>
      </c>
      <c r="L70" s="521">
        <f>SUM(L63:L69)</f>
        <v>196060</v>
      </c>
      <c r="M70" s="296"/>
      <c r="N70" s="521">
        <f t="shared" ref="N70" si="20">SUM(N63:N69)</f>
        <v>0</v>
      </c>
      <c r="O70" s="296"/>
      <c r="P70" s="521">
        <f>SUM(P63:P69)</f>
        <v>5327</v>
      </c>
      <c r="Q70" s="296"/>
      <c r="R70" s="521">
        <f>SUM(R63:R69)</f>
        <v>322352</v>
      </c>
      <c r="S70" s="276"/>
      <c r="T70" s="276"/>
      <c r="U70" s="276"/>
      <c r="V70" s="276"/>
    </row>
    <row r="71" spans="1:22" ht="15.75">
      <c r="B71" s="276"/>
      <c r="C71" s="294"/>
      <c r="D71" s="296"/>
      <c r="E71" s="294"/>
      <c r="F71" s="296"/>
      <c r="G71" s="294"/>
      <c r="H71" s="296"/>
      <c r="I71" s="294"/>
      <c r="J71" s="296"/>
      <c r="K71" s="296"/>
      <c r="L71" s="294"/>
      <c r="M71" s="296"/>
      <c r="N71" s="294"/>
      <c r="O71" s="296"/>
      <c r="P71" s="294"/>
      <c r="Q71" s="296"/>
      <c r="R71" s="294"/>
      <c r="S71" s="276"/>
      <c r="T71" s="276"/>
      <c r="U71" s="276"/>
      <c r="V71" s="276"/>
    </row>
    <row r="72" spans="1:22" ht="15.75">
      <c r="B72" s="308" t="s">
        <v>1141</v>
      </c>
      <c r="C72" s="301">
        <f>+C70+C60</f>
        <v>67971</v>
      </c>
      <c r="D72" s="314"/>
      <c r="E72" s="301">
        <f>+E70+E60</f>
        <v>0</v>
      </c>
      <c r="F72" s="314"/>
      <c r="G72" s="301">
        <f>+G70+G60</f>
        <v>66435</v>
      </c>
      <c r="H72" s="314"/>
      <c r="I72" s="301">
        <f>+I70+I60</f>
        <v>0</v>
      </c>
      <c r="J72" s="314"/>
      <c r="K72" s="314" t="str">
        <f>B72</f>
        <v xml:space="preserve">              Total liabilities</v>
      </c>
      <c r="L72" s="301">
        <f>+L70+L60</f>
        <v>491925</v>
      </c>
      <c r="M72" s="314"/>
      <c r="N72" s="301">
        <f>+N70+N60</f>
        <v>0</v>
      </c>
      <c r="O72" s="314"/>
      <c r="P72" s="301">
        <f>+P70+P60</f>
        <v>488910</v>
      </c>
      <c r="Q72" s="314"/>
      <c r="R72" s="301">
        <f>+R70+R60</f>
        <v>1115241</v>
      </c>
      <c r="S72" s="308"/>
      <c r="T72" s="308"/>
      <c r="U72" s="308"/>
      <c r="V72" s="308"/>
    </row>
    <row r="73" spans="1:22" ht="15.75">
      <c r="B73" s="308"/>
      <c r="C73" s="300"/>
      <c r="D73" s="314"/>
      <c r="E73" s="300"/>
      <c r="F73" s="314"/>
      <c r="G73" s="300"/>
      <c r="H73" s="314"/>
      <c r="I73" s="300"/>
      <c r="J73" s="314"/>
      <c r="K73" s="314"/>
      <c r="L73" s="300"/>
      <c r="M73" s="314"/>
      <c r="N73" s="300"/>
      <c r="O73" s="314"/>
      <c r="P73" s="300"/>
      <c r="Q73" s="314"/>
      <c r="R73" s="300"/>
      <c r="S73" s="308"/>
      <c r="T73" s="308"/>
      <c r="U73" s="308"/>
      <c r="V73" s="308"/>
    </row>
    <row r="74" spans="1:22" ht="15.75">
      <c r="B74" s="314" t="str">
        <f>INPUT!B156</f>
        <v>DEFERRED INFLOWS OF RESOURCES</v>
      </c>
      <c r="C74" s="300"/>
      <c r="D74" s="314"/>
      <c r="E74" s="300"/>
      <c r="F74" s="314"/>
      <c r="G74" s="300"/>
      <c r="H74" s="314"/>
      <c r="I74" s="300"/>
      <c r="J74" s="314"/>
      <c r="K74" s="314" t="str">
        <f>+B74</f>
        <v>DEFERRED INFLOWS OF RESOURCES</v>
      </c>
      <c r="L74" s="300"/>
      <c r="M74" s="314"/>
      <c r="N74" s="300"/>
      <c r="O74" s="314"/>
      <c r="P74" s="300"/>
      <c r="Q74" s="314"/>
      <c r="R74" s="300"/>
      <c r="S74" s="308"/>
      <c r="T74" s="308"/>
      <c r="U74" s="308"/>
      <c r="V74" s="308"/>
    </row>
    <row r="75" spans="1:22" ht="15.75">
      <c r="B75" s="296" t="str">
        <f>INPUT!B158</f>
        <v xml:space="preserve">     Deferred inflows related to leases</v>
      </c>
      <c r="C75" s="294">
        <f>+INPUT!CL158</f>
        <v>0</v>
      </c>
      <c r="D75" s="296"/>
      <c r="E75" s="294">
        <f>+INPUT!CM158</f>
        <v>405009</v>
      </c>
      <c r="F75" s="296"/>
      <c r="G75" s="294">
        <f>+INPUT!CN158</f>
        <v>0</v>
      </c>
      <c r="H75" s="296"/>
      <c r="I75" s="294">
        <f>+INPUT!CO158</f>
        <v>0</v>
      </c>
      <c r="J75" s="314"/>
      <c r="K75" s="314" t="str">
        <f>+B75</f>
        <v xml:space="preserve">     Deferred inflows related to leases</v>
      </c>
      <c r="L75" s="294">
        <f>+INPUT!CP158</f>
        <v>0</v>
      </c>
      <c r="M75" s="296"/>
      <c r="N75" s="294">
        <f>+INPUT!CQ158</f>
        <v>0</v>
      </c>
      <c r="O75" s="296"/>
      <c r="P75" s="294">
        <f>+INPUT!CR158</f>
        <v>0</v>
      </c>
      <c r="Q75" s="296"/>
      <c r="R75" s="294">
        <f t="shared" ref="R75" si="21">SUM(C75:Q75)</f>
        <v>405009</v>
      </c>
      <c r="S75" s="308"/>
      <c r="T75" s="308"/>
      <c r="U75" s="308"/>
      <c r="V75" s="308"/>
    </row>
    <row r="76" spans="1:22" ht="15.75">
      <c r="B76" s="276"/>
      <c r="C76" s="294"/>
      <c r="D76" s="296"/>
      <c r="E76" s="296"/>
      <c r="F76" s="296"/>
      <c r="G76" s="294"/>
      <c r="H76" s="296"/>
      <c r="I76" s="294"/>
      <c r="J76" s="296"/>
      <c r="K76" s="296"/>
      <c r="L76" s="294"/>
      <c r="M76" s="296"/>
      <c r="N76" s="294"/>
      <c r="O76" s="296"/>
      <c r="P76" s="294"/>
      <c r="Q76" s="296"/>
      <c r="R76" s="294"/>
      <c r="S76" s="276"/>
      <c r="T76" s="276"/>
      <c r="U76" s="276"/>
      <c r="V76" s="276"/>
    </row>
    <row r="77" spans="1:22" ht="15.75">
      <c r="B77" s="308" t="str">
        <f>INPUT!B175</f>
        <v>NET POSITION</v>
      </c>
      <c r="C77" s="294"/>
      <c r="D77" s="296"/>
      <c r="E77" s="296"/>
      <c r="F77" s="296"/>
      <c r="G77" s="294"/>
      <c r="H77" s="296"/>
      <c r="I77" s="294"/>
      <c r="J77" s="296"/>
      <c r="K77" s="314" t="str">
        <f t="shared" ref="K77:K84" si="22">B77</f>
        <v>NET POSITION</v>
      </c>
      <c r="L77" s="294"/>
      <c r="M77" s="296"/>
      <c r="N77" s="294"/>
      <c r="O77" s="314"/>
      <c r="P77" s="294"/>
      <c r="Q77" s="296"/>
      <c r="R77" s="294"/>
      <c r="S77" s="276"/>
      <c r="T77" s="276"/>
      <c r="U77" s="276"/>
      <c r="V77" s="276"/>
    </row>
    <row r="78" spans="1:22" ht="15" hidden="1" customHeight="1">
      <c r="B78" s="276" t="str">
        <f>INPUT!B178</f>
        <v xml:space="preserve">     Contributed capital</v>
      </c>
      <c r="C78" s="294">
        <f>+INPUT!CL178</f>
        <v>0</v>
      </c>
      <c r="D78" s="296"/>
      <c r="E78" s="294">
        <f>+INPUT!CM178</f>
        <v>0</v>
      </c>
      <c r="F78" s="296"/>
      <c r="G78" s="294">
        <f>+INPUT!CN178</f>
        <v>0</v>
      </c>
      <c r="H78" s="296"/>
      <c r="I78" s="294">
        <f>++INPUT!CO178</f>
        <v>0</v>
      </c>
      <c r="J78" s="296"/>
      <c r="K78" s="296" t="str">
        <f t="shared" si="22"/>
        <v xml:space="preserve">     Contributed capital</v>
      </c>
      <c r="L78" s="294">
        <f>+INPUT!CP178</f>
        <v>0</v>
      </c>
      <c r="M78" s="296"/>
      <c r="N78" s="294">
        <f>+INPUT!CQ178</f>
        <v>0</v>
      </c>
      <c r="O78" s="296"/>
      <c r="P78" s="294">
        <f>+INPUT!CR178</f>
        <v>0</v>
      </c>
      <c r="Q78" s="296"/>
      <c r="R78" s="294">
        <f t="shared" ref="R78:R84" si="23">SUM(C78:Q78)</f>
        <v>0</v>
      </c>
      <c r="S78" s="276"/>
      <c r="T78" s="276"/>
      <c r="U78" s="276"/>
      <c r="V78" s="276"/>
    </row>
    <row r="79" spans="1:22" ht="15.75">
      <c r="B79" s="276" t="str">
        <f>INPUT!B176</f>
        <v xml:space="preserve">     Net investment in capital assets</v>
      </c>
      <c r="C79" s="294">
        <f>+INPUT!CL176</f>
        <v>29874</v>
      </c>
      <c r="D79" s="296"/>
      <c r="E79" s="294">
        <f>+INPUT!CM176</f>
        <v>595396</v>
      </c>
      <c r="F79" s="296"/>
      <c r="G79" s="294">
        <f>+INPUT!CN176</f>
        <v>5807</v>
      </c>
      <c r="H79" s="296"/>
      <c r="I79" s="294">
        <f>+INPUT!CO176</f>
        <v>0</v>
      </c>
      <c r="J79" s="296"/>
      <c r="K79" s="296" t="str">
        <f t="shared" si="22"/>
        <v xml:space="preserve">     Net investment in capital assets</v>
      </c>
      <c r="L79" s="294">
        <f>+INPUT!CP176</f>
        <v>452252</v>
      </c>
      <c r="M79" s="296"/>
      <c r="N79" s="294">
        <f>+INPUT!CQ176</f>
        <v>0</v>
      </c>
      <c r="O79" s="296"/>
      <c r="P79" s="294">
        <f>+INPUT!CR176</f>
        <v>0</v>
      </c>
      <c r="Q79" s="296"/>
      <c r="R79" s="294">
        <f t="shared" si="23"/>
        <v>1083329</v>
      </c>
      <c r="S79" s="276"/>
      <c r="T79" s="276"/>
      <c r="U79" s="276"/>
      <c r="V79" s="276"/>
    </row>
    <row r="80" spans="1:22" ht="15.75" hidden="1">
      <c r="B80" s="276" t="str">
        <f>INPUT!B181</f>
        <v xml:space="preserve">     Restricted for bond reserve</v>
      </c>
      <c r="C80" s="294">
        <f>+INPUT!CL181</f>
        <v>0</v>
      </c>
      <c r="D80" s="296"/>
      <c r="E80" s="294">
        <f>+INPUT!CM181</f>
        <v>0</v>
      </c>
      <c r="F80" s="296"/>
      <c r="G80" s="294">
        <f>+INPUT!CN181</f>
        <v>0</v>
      </c>
      <c r="H80" s="296"/>
      <c r="I80" s="294">
        <f>+INPUT!CO181</f>
        <v>0</v>
      </c>
      <c r="J80" s="296"/>
      <c r="K80" s="296" t="str">
        <f t="shared" si="22"/>
        <v xml:space="preserve">     Restricted for bond reserve</v>
      </c>
      <c r="L80" s="294">
        <f>+INPUT!CP181</f>
        <v>0</v>
      </c>
      <c r="M80" s="296"/>
      <c r="N80" s="294">
        <f>+INPUT!CQ181</f>
        <v>0</v>
      </c>
      <c r="O80" s="296"/>
      <c r="P80" s="294">
        <f>+INPUT!CR181</f>
        <v>0</v>
      </c>
      <c r="Q80" s="296"/>
      <c r="R80" s="294">
        <f t="shared" si="23"/>
        <v>0</v>
      </c>
      <c r="S80" s="276"/>
      <c r="T80" s="276"/>
      <c r="U80" s="276"/>
      <c r="V80" s="276"/>
    </row>
    <row r="81" spans="1:22" ht="15" hidden="1" customHeight="1">
      <c r="A81" s="288" t="s">
        <v>299</v>
      </c>
      <c r="B81" s="276" t="str">
        <f>INPUT!B182</f>
        <v xml:space="preserve">     Restricted for debt service</v>
      </c>
      <c r="C81" s="294">
        <f>+INPUT!CL182</f>
        <v>0</v>
      </c>
      <c r="D81" s="296"/>
      <c r="E81" s="294">
        <f>+INPUT!CM182</f>
        <v>0</v>
      </c>
      <c r="F81" s="296"/>
      <c r="G81" s="294">
        <f>+INPUT!CN182</f>
        <v>0</v>
      </c>
      <c r="H81" s="296"/>
      <c r="I81" s="294">
        <f>+INPUT!CO182</f>
        <v>0</v>
      </c>
      <c r="J81" s="296"/>
      <c r="K81" s="296" t="str">
        <f t="shared" si="22"/>
        <v xml:space="preserve">     Restricted for debt service</v>
      </c>
      <c r="L81" s="294">
        <f>+INPUT!CP182</f>
        <v>0</v>
      </c>
      <c r="M81" s="296"/>
      <c r="N81" s="294">
        <f>+INPUT!CQ182</f>
        <v>0</v>
      </c>
      <c r="O81" s="296"/>
      <c r="P81" s="294">
        <f>+INPUT!CR182</f>
        <v>0</v>
      </c>
      <c r="Q81" s="296"/>
      <c r="R81" s="294">
        <f t="shared" si="23"/>
        <v>0</v>
      </c>
      <c r="S81" s="276"/>
      <c r="T81" s="276"/>
      <c r="U81" s="276"/>
      <c r="V81" s="276"/>
    </row>
    <row r="82" spans="1:22" ht="15" hidden="1" customHeight="1">
      <c r="A82" s="288" t="s">
        <v>299</v>
      </c>
      <c r="B82" s="276" t="str">
        <f>INPUT!B183</f>
        <v xml:space="preserve">     Restricted for construction</v>
      </c>
      <c r="C82" s="294">
        <f>+INPUT!CL183</f>
        <v>0</v>
      </c>
      <c r="D82" s="296"/>
      <c r="E82" s="294">
        <f>+INPUT!CM183</f>
        <v>0</v>
      </c>
      <c r="F82" s="296"/>
      <c r="G82" s="294">
        <f>+INPUT!CN183</f>
        <v>0</v>
      </c>
      <c r="H82" s="296"/>
      <c r="I82" s="294">
        <f>+INPUT!CO183</f>
        <v>0</v>
      </c>
      <c r="J82" s="296"/>
      <c r="K82" s="296" t="str">
        <f t="shared" si="22"/>
        <v xml:space="preserve">     Restricted for construction</v>
      </c>
      <c r="L82" s="294">
        <f>+INPUT!CP183</f>
        <v>0</v>
      </c>
      <c r="M82" s="296"/>
      <c r="N82" s="294">
        <f>+INPUT!CQ183</f>
        <v>0</v>
      </c>
      <c r="O82" s="296"/>
      <c r="P82" s="294">
        <f>+INPUT!CR183</f>
        <v>0</v>
      </c>
      <c r="Q82" s="296"/>
      <c r="R82" s="294">
        <f t="shared" si="23"/>
        <v>0</v>
      </c>
      <c r="S82" s="276"/>
      <c r="T82" s="276"/>
      <c r="U82" s="276"/>
      <c r="V82" s="276"/>
    </row>
    <row r="83" spans="1:22" ht="15.75" hidden="1">
      <c r="B83" s="276" t="str">
        <f>INPUT!B184</f>
        <v xml:space="preserve">     Restricted for other purposes</v>
      </c>
      <c r="C83" s="294">
        <f>+INPUT!CL184</f>
        <v>0</v>
      </c>
      <c r="D83" s="296"/>
      <c r="E83" s="294">
        <f>+INPUT!CM184</f>
        <v>0</v>
      </c>
      <c r="F83" s="296"/>
      <c r="G83" s="294">
        <f>+INPUT!CN184</f>
        <v>0</v>
      </c>
      <c r="H83" s="296"/>
      <c r="I83" s="294">
        <f>+INPUT!CO184</f>
        <v>0</v>
      </c>
      <c r="J83" s="296"/>
      <c r="K83" s="296" t="str">
        <f t="shared" si="22"/>
        <v xml:space="preserve">     Restricted for other purposes</v>
      </c>
      <c r="L83" s="294">
        <f>+INPUT!CP184</f>
        <v>0</v>
      </c>
      <c r="M83" s="296"/>
      <c r="N83" s="294">
        <f>+INPUT!CQ184</f>
        <v>0</v>
      </c>
      <c r="O83" s="296"/>
      <c r="P83" s="294">
        <f>+INPUT!CR184</f>
        <v>0</v>
      </c>
      <c r="Q83" s="296"/>
      <c r="R83" s="294">
        <f t="shared" si="23"/>
        <v>0</v>
      </c>
      <c r="S83" s="276"/>
      <c r="T83" s="276"/>
      <c r="U83" s="276"/>
      <c r="V83" s="276"/>
    </row>
    <row r="84" spans="1:22" ht="15.75">
      <c r="B84" s="276" t="str">
        <f>INPUT!B185</f>
        <v xml:space="preserve">     Unrestricted</v>
      </c>
      <c r="C84" s="317">
        <f>+INPUT!CL185</f>
        <v>2234883</v>
      </c>
      <c r="D84" s="296"/>
      <c r="E84" s="317">
        <f>+INPUT!CM185</f>
        <v>400342</v>
      </c>
      <c r="F84" s="296"/>
      <c r="G84" s="317">
        <f>+INPUT!CN185</f>
        <v>303606</v>
      </c>
      <c r="H84" s="296"/>
      <c r="I84" s="317">
        <f>+INPUT!CO185</f>
        <v>119825</v>
      </c>
      <c r="J84" s="296"/>
      <c r="K84" s="296" t="str">
        <f t="shared" si="22"/>
        <v xml:space="preserve">     Unrestricted</v>
      </c>
      <c r="L84" s="317">
        <f>+INPUT!CP185</f>
        <v>985597</v>
      </c>
      <c r="M84" s="296"/>
      <c r="N84" s="317">
        <f>+INPUT!CQ185</f>
        <v>801614</v>
      </c>
      <c r="O84" s="296"/>
      <c r="P84" s="317">
        <f>+INPUT!CR185</f>
        <v>-129336</v>
      </c>
      <c r="Q84" s="296"/>
      <c r="R84" s="317">
        <f t="shared" si="23"/>
        <v>4716531</v>
      </c>
      <c r="S84" s="276"/>
      <c r="T84" s="276"/>
      <c r="U84" s="276"/>
      <c r="V84" s="276"/>
    </row>
    <row r="85" spans="1:22" ht="15.75">
      <c r="B85" s="276"/>
      <c r="C85" s="294"/>
      <c r="D85" s="296"/>
      <c r="E85" s="296"/>
      <c r="F85" s="296"/>
      <c r="G85" s="294"/>
      <c r="H85" s="296"/>
      <c r="I85" s="294"/>
      <c r="J85" s="296"/>
      <c r="K85" s="296"/>
      <c r="L85" s="294"/>
      <c r="M85" s="296"/>
      <c r="N85" s="294"/>
      <c r="O85" s="296"/>
      <c r="P85" s="294"/>
      <c r="Q85" s="296"/>
      <c r="R85" s="294"/>
      <c r="S85" s="276"/>
      <c r="T85" s="276"/>
      <c r="U85" s="276"/>
      <c r="V85" s="276"/>
    </row>
    <row r="86" spans="1:22" ht="16.5" thickBot="1">
      <c r="B86" s="308" t="s">
        <v>1683</v>
      </c>
      <c r="C86" s="302">
        <f>SUM(C78:C85)</f>
        <v>2264757</v>
      </c>
      <c r="D86" s="300"/>
      <c r="E86" s="302">
        <f>SUM(E78:E85)</f>
        <v>995738</v>
      </c>
      <c r="F86" s="300"/>
      <c r="G86" s="302">
        <f>SUM(G78:G85)</f>
        <v>309413</v>
      </c>
      <c r="H86" s="300"/>
      <c r="I86" s="302">
        <f>SUM(I78:I85)</f>
        <v>119825</v>
      </c>
      <c r="J86" s="300"/>
      <c r="K86" s="314" t="str">
        <f>B86</f>
        <v xml:space="preserve">              Total net position</v>
      </c>
      <c r="L86" s="302">
        <f>SUM(L78:L85)</f>
        <v>1437849</v>
      </c>
      <c r="M86" s="300"/>
      <c r="N86" s="302">
        <f>SUM(N78:N85)</f>
        <v>801614</v>
      </c>
      <c r="O86" s="314"/>
      <c r="P86" s="302">
        <f>SUM(P78:P85)</f>
        <v>-129336</v>
      </c>
      <c r="Q86" s="300"/>
      <c r="R86" s="302">
        <f>SUM(R78:R85)</f>
        <v>5799860</v>
      </c>
      <c r="S86" s="308"/>
      <c r="T86" s="308"/>
      <c r="U86" s="308"/>
      <c r="V86" s="308"/>
    </row>
    <row r="87" spans="1:22" ht="16.5" thickTop="1">
      <c r="B87" s="276"/>
      <c r="C87" s="294"/>
      <c r="D87" s="296"/>
      <c r="E87" s="294"/>
      <c r="F87" s="296"/>
      <c r="G87" s="294"/>
      <c r="H87" s="296"/>
      <c r="I87" s="294"/>
      <c r="J87" s="296"/>
      <c r="K87" s="296"/>
      <c r="L87" s="294"/>
      <c r="M87" s="296"/>
      <c r="N87" s="294"/>
      <c r="O87" s="296"/>
      <c r="P87" s="294"/>
      <c r="Q87" s="296"/>
      <c r="R87" s="294"/>
      <c r="S87" s="276"/>
      <c r="T87" s="276"/>
      <c r="U87" s="276"/>
      <c r="V87" s="276"/>
    </row>
    <row r="88" spans="1:22" ht="16.5" thickBot="1">
      <c r="B88" s="308" t="s">
        <v>1676</v>
      </c>
      <c r="C88" s="302">
        <f>SUM(C72+C75+C86)</f>
        <v>2332728</v>
      </c>
      <c r="D88" s="300"/>
      <c r="E88" s="302">
        <f t="shared" ref="E88" si="24">SUM(E72+E75+E86)</f>
        <v>1400747</v>
      </c>
      <c r="F88" s="300"/>
      <c r="G88" s="302">
        <f t="shared" ref="G88" si="25">SUM(G72+G75+G86)</f>
        <v>375848</v>
      </c>
      <c r="H88" s="300"/>
      <c r="I88" s="302">
        <f t="shared" ref="I88" si="26">SUM(I72+I75+I86)</f>
        <v>119825</v>
      </c>
      <c r="J88" s="300"/>
      <c r="K88" s="314" t="str">
        <f>B88</f>
        <v>Total liabilities and net position</v>
      </c>
      <c r="L88" s="302">
        <f>SUM(L72+L75+L86)</f>
        <v>1929774</v>
      </c>
      <c r="M88" s="300"/>
      <c r="N88" s="302">
        <f t="shared" ref="N88" si="27">SUM(N72+N75+N86)</f>
        <v>801614</v>
      </c>
      <c r="O88" s="300"/>
      <c r="P88" s="302">
        <f t="shared" ref="P88" si="28">SUM(P72+P75+P86)</f>
        <v>359574</v>
      </c>
      <c r="Q88" s="300"/>
      <c r="R88" s="302">
        <f>SUM(R72+R75+R86)</f>
        <v>7320110</v>
      </c>
      <c r="S88" s="308"/>
      <c r="T88" s="308"/>
      <c r="U88" s="308"/>
      <c r="V88" s="308"/>
    </row>
    <row r="89" spans="1:22" ht="16.5" thickTop="1">
      <c r="B89" s="276"/>
      <c r="C89" s="294"/>
      <c r="D89" s="294"/>
      <c r="E89" s="294"/>
      <c r="F89" s="294"/>
      <c r="G89" s="294"/>
      <c r="H89" s="294"/>
      <c r="I89" s="294"/>
      <c r="J89" s="294"/>
      <c r="K89" s="460"/>
      <c r="L89" s="294"/>
      <c r="M89" s="294"/>
      <c r="N89" s="294"/>
      <c r="O89" s="460"/>
      <c r="P89" s="294"/>
      <c r="Q89" s="294"/>
      <c r="R89" s="294"/>
      <c r="S89" s="276"/>
      <c r="T89" s="276"/>
      <c r="U89" s="276"/>
      <c r="V89" s="276"/>
    </row>
    <row r="90" spans="1:22">
      <c r="C90" s="288">
        <f>+C44-C88</f>
        <v>0</v>
      </c>
      <c r="E90" s="288">
        <f>+E44-E88</f>
        <v>0</v>
      </c>
      <c r="G90" s="288">
        <f>+G44-G88</f>
        <v>0</v>
      </c>
      <c r="I90" s="288">
        <f>+I44-I88</f>
        <v>0</v>
      </c>
    </row>
    <row r="91" spans="1:22">
      <c r="C91" s="288">
        <f>+'IS IS'!D61</f>
        <v>2264757</v>
      </c>
      <c r="E91" s="288">
        <f>+'IS IS'!F61</f>
        <v>995738</v>
      </c>
      <c r="G91" s="288">
        <f>+'IS IS'!H61</f>
        <v>309413</v>
      </c>
      <c r="I91" s="288">
        <f>+'IS IS'!J61</f>
        <v>119825</v>
      </c>
      <c r="L91" s="288">
        <f>+L45-L89</f>
        <v>0</v>
      </c>
      <c r="N91" s="288">
        <f>+N45-N89</f>
        <v>0</v>
      </c>
      <c r="P91" s="288">
        <f>+P45-P89</f>
        <v>0</v>
      </c>
      <c r="R91" s="288">
        <f>+R44-R88</f>
        <v>0</v>
      </c>
    </row>
    <row r="92" spans="1:22">
      <c r="C92" s="288">
        <f>+C91-SUM(C78:C84)</f>
        <v>0</v>
      </c>
      <c r="E92" s="288">
        <f>+E91-SUM(E78:E84)</f>
        <v>0</v>
      </c>
      <c r="G92" s="288">
        <f>+G91-SUM(G78:G84)</f>
        <v>0</v>
      </c>
      <c r="I92" s="288">
        <f>+I91-SUM(I78:I84)</f>
        <v>0</v>
      </c>
      <c r="L92" s="288">
        <f>+'IS IS'!N61</f>
        <v>1437849</v>
      </c>
      <c r="N92" s="288">
        <f>+'IS IS'!P61</f>
        <v>801614</v>
      </c>
      <c r="P92" s="288">
        <f>+'IS IS'!R61</f>
        <v>-129336</v>
      </c>
      <c r="R92" s="288">
        <f>+'IS IS'!T61</f>
        <v>5799860</v>
      </c>
    </row>
    <row r="93" spans="1:22">
      <c r="L93" s="288">
        <f>+L92-SUM(L79:L84)</f>
        <v>0</v>
      </c>
      <c r="N93" s="288">
        <f>+N92-SUM(N79:N84)</f>
        <v>0</v>
      </c>
      <c r="P93" s="288">
        <f>+P92-SUM(P79:P84)</f>
        <v>0</v>
      </c>
      <c r="R93" s="288">
        <f>+R92-SUM(R79:R84)</f>
        <v>0</v>
      </c>
    </row>
    <row r="104" spans="9:9">
      <c r="I104" s="288">
        <f>+I88-I44</f>
        <v>0</v>
      </c>
    </row>
  </sheetData>
  <phoneticPr fontId="0" type="noConversion"/>
  <printOptions horizontalCentered="1"/>
  <pageMargins left="0.4" right="0.4" top="0.5" bottom="0.75" header="0.5" footer="0.25"/>
  <pageSetup scale="65" firstPageNumber="121" orientation="portrait" useFirstPageNumber="1" r:id="rId1"/>
  <headerFooter alignWithMargins="0">
    <oddFooter xml:space="preserve">&amp;C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ransitionEvaluation="1" codeName="Sheet37"/>
  <dimension ref="B3:X89"/>
  <sheetViews>
    <sheetView showGridLines="0" topLeftCell="A6" zoomScale="70" zoomScaleNormal="70" workbookViewId="0">
      <selection activeCell="W48" sqref="W48"/>
    </sheetView>
  </sheetViews>
  <sheetFormatPr defaultColWidth="9.7109375" defaultRowHeight="12.75"/>
  <cols>
    <col min="1" max="1" width="2.7109375" style="288" customWidth="1"/>
    <col min="2" max="2" width="58.85546875" style="288" customWidth="1"/>
    <col min="3" max="3" width="2.7109375" style="288" customWidth="1"/>
    <col min="4" max="4" width="18.7109375" style="288" customWidth="1"/>
    <col min="5" max="5" width="2.7109375" style="288" customWidth="1"/>
    <col min="6" max="6" width="18.7109375" style="288" customWidth="1"/>
    <col min="7" max="7" width="2.7109375" style="288" customWidth="1"/>
    <col min="8" max="8" width="18.7109375" style="288" customWidth="1"/>
    <col min="9" max="9" width="2.7109375" style="288" customWidth="1"/>
    <col min="10" max="10" width="18.7109375" style="288" customWidth="1"/>
    <col min="11" max="11" width="3.7109375" style="288" customWidth="1"/>
    <col min="12" max="12" width="59.42578125" style="288" customWidth="1"/>
    <col min="13" max="13" width="2.7109375" style="288" customWidth="1"/>
    <col min="14" max="14" width="17.7109375" style="288" customWidth="1"/>
    <col min="15" max="15" width="2.7109375" style="288" customWidth="1"/>
    <col min="16" max="16" width="16.7109375" style="288" customWidth="1"/>
    <col min="17" max="17" width="2.7109375" style="288" customWidth="1"/>
    <col min="18" max="18" width="16.7109375" style="288" customWidth="1"/>
    <col min="19" max="19" width="2.7109375" style="288" customWidth="1"/>
    <col min="20" max="20" width="18.7109375" style="288" customWidth="1"/>
    <col min="21" max="21" width="2.7109375" style="288" customWidth="1"/>
    <col min="22" max="22" width="16.7109375" style="288" customWidth="1"/>
    <col min="23" max="23" width="2.7109375" style="288" customWidth="1"/>
    <col min="24" max="24" width="18.7109375" style="288" customWidth="1"/>
    <col min="25" max="25" width="2.7109375" style="288" customWidth="1"/>
    <col min="26" max="26" width="16.7109375" style="288" customWidth="1"/>
    <col min="27" max="16384" width="9.7109375" style="288"/>
  </cols>
  <sheetData>
    <row r="3" spans="2:20" ht="15.75">
      <c r="B3" s="305" t="s">
        <v>1049</v>
      </c>
      <c r="C3" s="305"/>
      <c r="D3" s="277"/>
      <c r="E3" s="277"/>
      <c r="F3" s="277"/>
      <c r="G3" s="277"/>
      <c r="H3" s="277"/>
      <c r="I3" s="277"/>
      <c r="J3" s="277"/>
      <c r="K3" s="305"/>
      <c r="L3" s="305" t="str">
        <f>B3</f>
        <v>LEWIS AND CLARK COUNTY, MONTANA</v>
      </c>
      <c r="M3" s="305"/>
      <c r="N3" s="277"/>
      <c r="O3" s="277"/>
      <c r="P3" s="277"/>
      <c r="Q3" s="277"/>
      <c r="R3" s="277"/>
      <c r="S3" s="305"/>
      <c r="T3" s="305"/>
    </row>
    <row r="4" spans="2:20" ht="15.75">
      <c r="B4" s="305" t="s">
        <v>388</v>
      </c>
      <c r="C4" s="305"/>
      <c r="D4" s="277"/>
      <c r="E4" s="277"/>
      <c r="F4" s="277"/>
      <c r="G4" s="277"/>
      <c r="H4" s="277"/>
      <c r="I4" s="277"/>
      <c r="J4" s="277"/>
      <c r="K4" s="305"/>
      <c r="L4" s="305" t="str">
        <f>B4</f>
        <v>STATEMENT OF REVENUES, EXPENSES AND</v>
      </c>
      <c r="M4" s="305"/>
      <c r="N4" s="277"/>
      <c r="O4" s="277"/>
      <c r="P4" s="277"/>
      <c r="Q4" s="277"/>
      <c r="R4" s="277"/>
      <c r="S4" s="305"/>
      <c r="T4" s="305"/>
    </row>
    <row r="5" spans="2:20" ht="15.75">
      <c r="B5" s="305" t="s">
        <v>1677</v>
      </c>
      <c r="C5" s="305"/>
      <c r="D5" s="277"/>
      <c r="E5" s="277"/>
      <c r="F5" s="277"/>
      <c r="G5" s="277"/>
      <c r="H5" s="277"/>
      <c r="I5" s="277"/>
      <c r="J5" s="277"/>
      <c r="K5" s="305"/>
      <c r="L5" s="305" t="str">
        <f>B5</f>
        <v>CHANGES IN NET POSITION</v>
      </c>
      <c r="M5" s="305"/>
      <c r="N5" s="277"/>
      <c r="O5" s="277"/>
      <c r="P5" s="277"/>
      <c r="Q5" s="277"/>
      <c r="R5" s="277"/>
      <c r="S5" s="305"/>
      <c r="T5" s="305"/>
    </row>
    <row r="6" spans="2:20" ht="15.75">
      <c r="B6" s="305" t="s">
        <v>869</v>
      </c>
      <c r="C6" s="305"/>
      <c r="D6" s="277"/>
      <c r="E6" s="277"/>
      <c r="F6" s="277"/>
      <c r="G6" s="277"/>
      <c r="H6" s="277"/>
      <c r="I6" s="277"/>
      <c r="J6" s="277"/>
      <c r="K6" s="305"/>
      <c r="L6" s="305" t="str">
        <f>B6</f>
        <v>INTERNAL SERVICE FUNDS</v>
      </c>
      <c r="M6" s="305"/>
      <c r="N6" s="277"/>
      <c r="O6" s="277"/>
      <c r="P6" s="277"/>
      <c r="Q6" s="277"/>
      <c r="R6" s="277"/>
      <c r="S6" s="305"/>
      <c r="T6" s="305"/>
    </row>
    <row r="7" spans="2:20" ht="15.75">
      <c r="B7" s="395" t="str">
        <f>+'Sys INPUT'!B2</f>
        <v>For the  Fiscal Year Ended June 30, 2023</v>
      </c>
      <c r="C7" s="305"/>
      <c r="D7" s="277"/>
      <c r="E7" s="277"/>
      <c r="F7" s="277"/>
      <c r="G7" s="277"/>
      <c r="H7" s="277"/>
      <c r="I7" s="277"/>
      <c r="J7" s="277"/>
      <c r="K7" s="305"/>
      <c r="L7" s="395" t="str">
        <f>B7</f>
        <v>For the  Fiscal Year Ended June 30, 2023</v>
      </c>
      <c r="M7" s="305"/>
      <c r="N7" s="277"/>
      <c r="O7" s="277"/>
      <c r="P7" s="277"/>
      <c r="Q7" s="277"/>
      <c r="R7" s="277"/>
      <c r="S7" s="305"/>
      <c r="T7" s="305"/>
    </row>
    <row r="8" spans="2:20" ht="15.75">
      <c r="B8" s="305" t="s">
        <v>252</v>
      </c>
      <c r="C8" s="305"/>
      <c r="D8" s="277"/>
      <c r="E8" s="277"/>
      <c r="F8" s="277"/>
      <c r="G8" s="277"/>
      <c r="H8" s="277"/>
      <c r="I8" s="277"/>
      <c r="J8" s="277"/>
      <c r="K8" s="305"/>
      <c r="L8" s="305" t="s">
        <v>253</v>
      </c>
      <c r="M8" s="305"/>
      <c r="N8" s="277"/>
      <c r="O8" s="277"/>
      <c r="P8" s="277"/>
      <c r="Q8" s="277"/>
      <c r="R8" s="277"/>
      <c r="S8" s="305"/>
      <c r="T8" s="305"/>
    </row>
    <row r="9" spans="2:20" ht="15.75">
      <c r="B9" s="305"/>
      <c r="C9" s="305"/>
      <c r="D9" s="277"/>
      <c r="E9" s="277"/>
      <c r="F9" s="277"/>
      <c r="G9" s="277"/>
      <c r="H9" s="277"/>
      <c r="I9" s="277"/>
      <c r="J9" s="277"/>
      <c r="K9" s="305"/>
      <c r="L9" s="305"/>
      <c r="M9" s="305"/>
      <c r="N9" s="277"/>
      <c r="O9" s="277"/>
      <c r="P9" s="277"/>
      <c r="Q9" s="284"/>
      <c r="R9" s="284"/>
      <c r="S9" s="284"/>
    </row>
    <row r="10" spans="2:20" ht="15.75">
      <c r="B10" s="305"/>
      <c r="C10" s="305"/>
      <c r="D10" s="277"/>
      <c r="E10" s="277"/>
      <c r="F10" s="277"/>
      <c r="G10" s="277"/>
      <c r="H10" s="277"/>
      <c r="I10" s="277"/>
      <c r="J10" s="277"/>
      <c r="K10" s="305"/>
      <c r="L10" s="305"/>
      <c r="M10" s="305"/>
      <c r="N10" s="277"/>
      <c r="O10" s="277"/>
      <c r="P10" s="277"/>
      <c r="Q10" s="277"/>
      <c r="R10" s="284"/>
      <c r="S10" s="284"/>
      <c r="T10" s="284"/>
    </row>
    <row r="11" spans="2:20" ht="15.75">
      <c r="B11" s="276"/>
      <c r="C11" s="276"/>
      <c r="D11" s="287" t="s">
        <v>310</v>
      </c>
      <c r="E11" s="276"/>
      <c r="F11" s="287" t="s">
        <v>1298</v>
      </c>
      <c r="G11" s="276"/>
      <c r="H11" s="287"/>
      <c r="I11" s="276"/>
      <c r="J11" s="287"/>
      <c r="K11" s="276"/>
      <c r="L11" s="276"/>
      <c r="M11" s="276"/>
      <c r="N11" s="287" t="s">
        <v>948</v>
      </c>
      <c r="O11" s="276"/>
      <c r="P11" s="287"/>
      <c r="Q11" s="276"/>
      <c r="R11" s="287"/>
      <c r="S11" s="276"/>
      <c r="T11" s="287"/>
    </row>
    <row r="12" spans="2:20" ht="15.75">
      <c r="B12" s="276"/>
      <c r="C12" s="276"/>
      <c r="D12" s="287" t="s">
        <v>72</v>
      </c>
      <c r="E12" s="276"/>
      <c r="F12" s="287" t="s">
        <v>73</v>
      </c>
      <c r="G12" s="276"/>
      <c r="H12" s="287" t="s">
        <v>517</v>
      </c>
      <c r="I12" s="276"/>
      <c r="J12" s="287" t="s">
        <v>74</v>
      </c>
      <c r="K12" s="276"/>
      <c r="L12" s="276"/>
      <c r="M12" s="276"/>
      <c r="N12" s="287" t="s">
        <v>949</v>
      </c>
      <c r="O12" s="276"/>
      <c r="P12" s="287" t="s">
        <v>532</v>
      </c>
      <c r="Q12" s="276"/>
      <c r="R12" s="287" t="s">
        <v>1298</v>
      </c>
      <c r="S12" s="276"/>
      <c r="T12" s="287"/>
    </row>
    <row r="13" spans="2:20" ht="15.75">
      <c r="B13" s="276"/>
      <c r="C13" s="276"/>
      <c r="D13" s="290" t="s">
        <v>1267</v>
      </c>
      <c r="E13" s="276"/>
      <c r="F13" s="290" t="s">
        <v>539</v>
      </c>
      <c r="G13" s="276"/>
      <c r="H13" s="290" t="s">
        <v>1268</v>
      </c>
      <c r="I13" s="276"/>
      <c r="J13" s="290" t="s">
        <v>222</v>
      </c>
      <c r="K13" s="276"/>
      <c r="L13" s="276"/>
      <c r="M13" s="276"/>
      <c r="N13" s="290" t="s">
        <v>1269</v>
      </c>
      <c r="O13" s="276"/>
      <c r="P13" s="290" t="s">
        <v>1270</v>
      </c>
      <c r="Q13" s="276"/>
      <c r="R13" s="290" t="s">
        <v>1270</v>
      </c>
      <c r="S13" s="276"/>
      <c r="T13" s="290" t="s">
        <v>315</v>
      </c>
    </row>
    <row r="14" spans="2:20" ht="15.75">
      <c r="B14" s="308" t="s">
        <v>1091</v>
      </c>
      <c r="C14" s="308"/>
      <c r="D14" s="276"/>
      <c r="E14" s="308"/>
      <c r="F14" s="276"/>
      <c r="G14" s="308"/>
      <c r="H14" s="276"/>
      <c r="I14" s="308"/>
      <c r="J14" s="276"/>
      <c r="K14" s="308"/>
      <c r="L14" s="308" t="str">
        <f>B14</f>
        <v>OPERATING REVENUES</v>
      </c>
      <c r="M14" s="308"/>
      <c r="N14" s="276"/>
      <c r="O14" s="308"/>
      <c r="P14" s="276"/>
      <c r="Q14" s="308"/>
      <c r="R14" s="276"/>
      <c r="S14" s="308"/>
      <c r="T14" s="276"/>
    </row>
    <row r="15" spans="2:20" ht="15.75">
      <c r="B15" s="276" t="str">
        <f>INPUT!B13</f>
        <v xml:space="preserve">     Charges for services</v>
      </c>
      <c r="C15" s="308"/>
      <c r="D15" s="292">
        <f>+INPUT!CL13</f>
        <v>0</v>
      </c>
      <c r="E15" s="276"/>
      <c r="F15" s="292">
        <f>+INPUT!CM13</f>
        <v>553465</v>
      </c>
      <c r="G15" s="276"/>
      <c r="H15" s="292">
        <f>+INPUT!CN13</f>
        <v>871228</v>
      </c>
      <c r="I15" s="276"/>
      <c r="J15" s="292">
        <f>+INPUT!CO13</f>
        <v>503094</v>
      </c>
      <c r="K15" s="276"/>
      <c r="L15" s="296" t="str">
        <f>B15</f>
        <v xml:space="preserve">     Charges for services</v>
      </c>
      <c r="M15" s="276"/>
      <c r="N15" s="292">
        <f>+INPUT!CP13</f>
        <v>2785270</v>
      </c>
      <c r="O15" s="276"/>
      <c r="P15" s="292">
        <f>+INPUT!CQ13</f>
        <v>809227</v>
      </c>
      <c r="Q15" s="276"/>
      <c r="R15" s="292">
        <f>+INPUT!CR13</f>
        <v>6742394</v>
      </c>
      <c r="S15" s="276"/>
      <c r="T15" s="292">
        <f>SUM(B15:R15)</f>
        <v>12264678</v>
      </c>
    </row>
    <row r="16" spans="2:20" ht="15.75">
      <c r="B16" s="276" t="str">
        <f>INPUT!B15</f>
        <v xml:space="preserve">     Miscellaneous</v>
      </c>
      <c r="C16" s="276"/>
      <c r="D16" s="317">
        <f>+INPUT!CL15</f>
        <v>1842365</v>
      </c>
      <c r="E16" s="276"/>
      <c r="F16" s="317">
        <f>+INPUT!CM15</f>
        <v>0</v>
      </c>
      <c r="G16" s="276"/>
      <c r="H16" s="317">
        <f>+INPUT!CN15</f>
        <v>9000</v>
      </c>
      <c r="I16" s="276"/>
      <c r="J16" s="317">
        <f>+INPUT!CO15</f>
        <v>0</v>
      </c>
      <c r="K16" s="276"/>
      <c r="L16" s="296" t="str">
        <f>B16</f>
        <v xml:space="preserve">     Miscellaneous</v>
      </c>
      <c r="M16" s="276"/>
      <c r="N16" s="317">
        <f>+INPUT!CP15</f>
        <v>0</v>
      </c>
      <c r="O16" s="276"/>
      <c r="P16" s="317">
        <f>+INPUT!CQ15</f>
        <v>0</v>
      </c>
      <c r="Q16" s="276"/>
      <c r="R16" s="317">
        <f>+INPUT!CR15</f>
        <v>0</v>
      </c>
      <c r="S16" s="276"/>
      <c r="T16" s="317">
        <f>SUM(B16:R16)</f>
        <v>1851365</v>
      </c>
    </row>
    <row r="17" spans="2:20" ht="15.75">
      <c r="B17" s="276"/>
      <c r="C17" s="276"/>
      <c r="D17" s="294"/>
      <c r="E17" s="276"/>
      <c r="F17" s="294"/>
      <c r="G17" s="276"/>
      <c r="H17" s="294"/>
      <c r="I17" s="276"/>
      <c r="J17" s="294"/>
      <c r="K17" s="276"/>
      <c r="L17" s="296"/>
      <c r="M17" s="276"/>
      <c r="N17" s="294"/>
      <c r="O17" s="276"/>
      <c r="P17" s="294"/>
      <c r="Q17" s="276"/>
      <c r="R17" s="294"/>
      <c r="S17" s="276"/>
      <c r="T17" s="294"/>
    </row>
    <row r="18" spans="2:20" ht="15.75">
      <c r="B18" s="308" t="s">
        <v>380</v>
      </c>
      <c r="C18" s="308"/>
      <c r="D18" s="301">
        <f>SUM(D15:D17)</f>
        <v>1842365</v>
      </c>
      <c r="E18" s="308"/>
      <c r="F18" s="301">
        <f>SUM(F15:F17)</f>
        <v>553465</v>
      </c>
      <c r="G18" s="308"/>
      <c r="H18" s="301">
        <f>SUM(H15:H17)</f>
        <v>880228</v>
      </c>
      <c r="I18" s="308"/>
      <c r="J18" s="301">
        <f>SUM(J15:J17)</f>
        <v>503094</v>
      </c>
      <c r="K18" s="308"/>
      <c r="L18" s="314" t="str">
        <f>B18</f>
        <v xml:space="preserve">  Total Operating Revenues</v>
      </c>
      <c r="M18" s="308"/>
      <c r="N18" s="301">
        <f>SUM(N15:N17)</f>
        <v>2785270</v>
      </c>
      <c r="O18" s="308"/>
      <c r="P18" s="301">
        <f>SUM(P15:P17)</f>
        <v>809227</v>
      </c>
      <c r="Q18" s="308"/>
      <c r="R18" s="301">
        <f>SUM(R15:R17)</f>
        <v>6742394</v>
      </c>
      <c r="S18" s="308"/>
      <c r="T18" s="301">
        <f>SUM(T15:T17)</f>
        <v>14116043</v>
      </c>
    </row>
    <row r="19" spans="2:20" ht="15.75">
      <c r="B19" s="276"/>
      <c r="C19" s="276"/>
      <c r="D19" s="294"/>
      <c r="E19" s="276"/>
      <c r="F19" s="294"/>
      <c r="G19" s="276"/>
      <c r="H19" s="294"/>
      <c r="I19" s="276"/>
      <c r="J19" s="294"/>
      <c r="K19" s="276"/>
      <c r="L19" s="296"/>
      <c r="M19" s="276"/>
      <c r="N19" s="294"/>
      <c r="O19" s="276"/>
      <c r="P19" s="294"/>
      <c r="Q19" s="276"/>
      <c r="R19" s="294"/>
      <c r="S19" s="276"/>
      <c r="T19" s="294"/>
    </row>
    <row r="20" spans="2:20" ht="15.75">
      <c r="B20" s="308" t="s">
        <v>1092</v>
      </c>
      <c r="C20" s="308"/>
      <c r="D20" s="294"/>
      <c r="E20" s="308"/>
      <c r="F20" s="294"/>
      <c r="G20" s="308"/>
      <c r="H20" s="294"/>
      <c r="I20" s="308"/>
      <c r="J20" s="294"/>
      <c r="K20" s="308"/>
      <c r="L20" s="314" t="str">
        <f t="shared" ref="L20:L25" si="0">B20</f>
        <v>OPERATING EXPENSES</v>
      </c>
      <c r="M20" s="308"/>
      <c r="N20" s="294"/>
      <c r="O20" s="308"/>
      <c r="P20" s="294"/>
      <c r="Q20" s="308"/>
      <c r="R20" s="294"/>
      <c r="S20" s="308"/>
      <c r="T20" s="294"/>
    </row>
    <row r="21" spans="2:20" ht="15.75">
      <c r="B21" s="276" t="str">
        <f>INPUT!B31</f>
        <v xml:space="preserve">     Personal services</v>
      </c>
      <c r="C21" s="276"/>
      <c r="D21" s="294">
        <f>+INPUT!CL31</f>
        <v>756423</v>
      </c>
      <c r="E21" s="276"/>
      <c r="F21" s="294">
        <f>+INPUT!CM31</f>
        <v>0</v>
      </c>
      <c r="G21" s="276"/>
      <c r="H21" s="294">
        <f>+INPUT!CN31</f>
        <v>454798</v>
      </c>
      <c r="I21" s="276"/>
      <c r="J21" s="294">
        <f>+INPUT!CO31</f>
        <v>0</v>
      </c>
      <c r="K21" s="276"/>
      <c r="L21" s="296" t="str">
        <f t="shared" si="0"/>
        <v xml:space="preserve">     Personal services</v>
      </c>
      <c r="M21" s="276"/>
      <c r="N21" s="294">
        <f>+INPUT!CP31</f>
        <v>1337152</v>
      </c>
      <c r="O21" s="276"/>
      <c r="P21" s="294">
        <f>+INPUT!CQ31</f>
        <v>0</v>
      </c>
      <c r="Q21" s="276"/>
      <c r="R21" s="294">
        <f>+INPUT!CR31</f>
        <v>51052</v>
      </c>
      <c r="S21" s="276"/>
      <c r="T21" s="294">
        <f>SUM(B21:R21)</f>
        <v>2599425</v>
      </c>
    </row>
    <row r="22" spans="2:20" ht="15.75">
      <c r="B22" s="276" t="str">
        <f>INPUT!B32</f>
        <v xml:space="preserve">     Supplies</v>
      </c>
      <c r="C22" s="276"/>
      <c r="D22" s="294">
        <f>+INPUT!CL32</f>
        <v>335541</v>
      </c>
      <c r="E22" s="276"/>
      <c r="F22" s="294">
        <f>+INPUT!CM32</f>
        <v>77920</v>
      </c>
      <c r="G22" s="276"/>
      <c r="H22" s="294">
        <f>+INPUT!CN32</f>
        <v>271209</v>
      </c>
      <c r="I22" s="276"/>
      <c r="J22" s="294">
        <f>+INPUT!CO32</f>
        <v>493147</v>
      </c>
      <c r="K22" s="276"/>
      <c r="L22" s="296" t="str">
        <f t="shared" si="0"/>
        <v xml:space="preserve">     Supplies</v>
      </c>
      <c r="M22" s="276"/>
      <c r="N22" s="294">
        <f>+INPUT!CP32</f>
        <v>445425</v>
      </c>
      <c r="O22" s="276"/>
      <c r="P22" s="294">
        <f>+INPUT!CQ32</f>
        <v>0</v>
      </c>
      <c r="Q22" s="276"/>
      <c r="R22" s="294">
        <f>+INPUT!CR32</f>
        <v>761095</v>
      </c>
      <c r="S22" s="276"/>
      <c r="T22" s="294">
        <f>SUM(B22:R22)</f>
        <v>2384337</v>
      </c>
    </row>
    <row r="23" spans="2:20" ht="15.75">
      <c r="B23" s="276" t="str">
        <f>INPUT!B33</f>
        <v xml:space="preserve">     Purchased services</v>
      </c>
      <c r="C23" s="276"/>
      <c r="D23" s="294">
        <f>+INPUT!CL33</f>
        <v>771977</v>
      </c>
      <c r="E23" s="276"/>
      <c r="F23" s="294">
        <f>+INPUT!CM33</f>
        <v>137181</v>
      </c>
      <c r="G23" s="276"/>
      <c r="H23" s="294">
        <f>+INPUT!CN33</f>
        <v>77237</v>
      </c>
      <c r="I23" s="276"/>
      <c r="J23" s="294">
        <f>+INPUT!CO33</f>
        <v>3130</v>
      </c>
      <c r="K23" s="276"/>
      <c r="L23" s="296" t="str">
        <f t="shared" si="0"/>
        <v xml:space="preserve">     Purchased services</v>
      </c>
      <c r="M23" s="276"/>
      <c r="N23" s="294">
        <f>+INPUT!CP33</f>
        <v>280564</v>
      </c>
      <c r="O23" s="276"/>
      <c r="P23" s="294">
        <f>+INPUT!CQ33</f>
        <v>1158274</v>
      </c>
      <c r="Q23" s="276"/>
      <c r="R23" s="294">
        <f>+INPUT!CR33</f>
        <v>8115671</v>
      </c>
      <c r="S23" s="276"/>
      <c r="T23" s="294">
        <f>SUM(B23:R23)</f>
        <v>10544034</v>
      </c>
    </row>
    <row r="24" spans="2:20" ht="15.75" hidden="1">
      <c r="B24" s="276" t="str">
        <f>INPUT!B34</f>
        <v xml:space="preserve">     Other</v>
      </c>
      <c r="C24" s="276"/>
      <c r="D24" s="294">
        <f>+INPUT!CL34</f>
        <v>0</v>
      </c>
      <c r="E24" s="276"/>
      <c r="F24" s="294">
        <f>+INPUT!CM34</f>
        <v>0</v>
      </c>
      <c r="G24" s="276"/>
      <c r="H24" s="294">
        <f>+INPUT!CN34</f>
        <v>0</v>
      </c>
      <c r="I24" s="276"/>
      <c r="J24" s="294">
        <f>+INPUT!CO34</f>
        <v>0</v>
      </c>
      <c r="K24" s="276"/>
      <c r="L24" s="296" t="str">
        <f t="shared" si="0"/>
        <v xml:space="preserve">     Other</v>
      </c>
      <c r="M24" s="276"/>
      <c r="N24" s="294">
        <f>+INPUT!CP34</f>
        <v>0</v>
      </c>
      <c r="O24" s="276"/>
      <c r="P24" s="294">
        <f>+INPUT!CQ34</f>
        <v>0</v>
      </c>
      <c r="Q24" s="276"/>
      <c r="R24" s="294">
        <f>+INPUT!CR34</f>
        <v>0</v>
      </c>
      <c r="S24" s="276"/>
      <c r="T24" s="294">
        <f>SUM(B24:R24)</f>
        <v>0</v>
      </c>
    </row>
    <row r="25" spans="2:20" ht="15.75">
      <c r="B25" s="276" t="str">
        <f>INPUT!B38</f>
        <v xml:space="preserve">     Depreciation/Amortization</v>
      </c>
      <c r="C25" s="276"/>
      <c r="D25" s="317">
        <f>+INPUT!CL38</f>
        <v>28166</v>
      </c>
      <c r="E25" s="276"/>
      <c r="F25" s="317">
        <f>+INPUT!CM38</f>
        <v>34063</v>
      </c>
      <c r="G25" s="276"/>
      <c r="H25" s="317">
        <f>+INPUT!CN38</f>
        <v>3661</v>
      </c>
      <c r="I25" s="276"/>
      <c r="J25" s="317">
        <f>+INPUT!CO38</f>
        <v>0</v>
      </c>
      <c r="K25" s="276"/>
      <c r="L25" s="296" t="str">
        <f t="shared" si="0"/>
        <v xml:space="preserve">     Depreciation/Amortization</v>
      </c>
      <c r="M25" s="276"/>
      <c r="N25" s="317">
        <f>+INPUT!CP38</f>
        <v>296450</v>
      </c>
      <c r="O25" s="276"/>
      <c r="P25" s="317">
        <f>+INPUT!CQ38</f>
        <v>0</v>
      </c>
      <c r="Q25" s="276"/>
      <c r="R25" s="317">
        <f>+INPUT!CR38</f>
        <v>0</v>
      </c>
      <c r="S25" s="276"/>
      <c r="T25" s="317">
        <f>SUM(B25:R25)</f>
        <v>362340</v>
      </c>
    </row>
    <row r="26" spans="2:20" ht="15.75">
      <c r="B26" s="276"/>
      <c r="C26" s="276"/>
      <c r="D26" s="294"/>
      <c r="E26" s="276"/>
      <c r="F26" s="294"/>
      <c r="G26" s="276"/>
      <c r="H26" s="294"/>
      <c r="I26" s="276"/>
      <c r="J26" s="294"/>
      <c r="K26" s="276"/>
      <c r="L26" s="296"/>
      <c r="M26" s="276"/>
      <c r="N26" s="294"/>
      <c r="O26" s="276"/>
      <c r="P26" s="294"/>
      <c r="Q26" s="276"/>
      <c r="R26" s="294"/>
      <c r="S26" s="276"/>
      <c r="T26" s="294"/>
    </row>
    <row r="27" spans="2:20" ht="15.75">
      <c r="B27" s="308" t="s">
        <v>381</v>
      </c>
      <c r="C27" s="308"/>
      <c r="D27" s="301">
        <f>SUM(D21:D26)</f>
        <v>1892107</v>
      </c>
      <c r="E27" s="308"/>
      <c r="F27" s="301">
        <f>SUM(F21:F26)</f>
        <v>249164</v>
      </c>
      <c r="G27" s="308"/>
      <c r="H27" s="301">
        <f>SUM(H21:H26)</f>
        <v>806905</v>
      </c>
      <c r="I27" s="308"/>
      <c r="J27" s="301">
        <f>SUM(J21:J26)</f>
        <v>496277</v>
      </c>
      <c r="K27" s="308"/>
      <c r="L27" s="314" t="str">
        <f>B27</f>
        <v xml:space="preserve">   Total Operating Expenses</v>
      </c>
      <c r="M27" s="308"/>
      <c r="N27" s="301">
        <f>SUM(N21:N26)</f>
        <v>2359591</v>
      </c>
      <c r="O27" s="308"/>
      <c r="P27" s="301">
        <f>SUM(P21:P26)</f>
        <v>1158274</v>
      </c>
      <c r="Q27" s="308"/>
      <c r="R27" s="301">
        <f>SUM(R21:R26)</f>
        <v>8927818</v>
      </c>
      <c r="S27" s="308"/>
      <c r="T27" s="301">
        <f>SUM(T21:T26)</f>
        <v>15890136</v>
      </c>
    </row>
    <row r="28" spans="2:20" ht="15.75">
      <c r="B28" s="276"/>
      <c r="C28" s="276"/>
      <c r="D28" s="294"/>
      <c r="E28" s="276"/>
      <c r="F28" s="294"/>
      <c r="G28" s="276"/>
      <c r="H28" s="294"/>
      <c r="I28" s="276"/>
      <c r="J28" s="294"/>
      <c r="K28" s="276"/>
      <c r="L28" s="296"/>
      <c r="M28" s="276"/>
      <c r="N28" s="294"/>
      <c r="O28" s="276"/>
      <c r="P28" s="294"/>
      <c r="Q28" s="276"/>
      <c r="R28" s="294"/>
      <c r="S28" s="276"/>
      <c r="T28" s="294"/>
    </row>
    <row r="29" spans="2:20" ht="15.75">
      <c r="B29" s="308" t="str">
        <f>'ENT IS'!B30</f>
        <v xml:space="preserve">     Operating income (loss)</v>
      </c>
      <c r="C29" s="276"/>
      <c r="D29" s="300">
        <f>SUM(D18-D27)</f>
        <v>-49742</v>
      </c>
      <c r="E29" s="276"/>
      <c r="F29" s="300">
        <f>SUM(F18-F27)</f>
        <v>304301</v>
      </c>
      <c r="G29" s="276"/>
      <c r="H29" s="300">
        <f>SUM(H18-H27)</f>
        <v>73323</v>
      </c>
      <c r="I29" s="276"/>
      <c r="J29" s="300">
        <f>SUM(J18-J27)</f>
        <v>6817</v>
      </c>
      <c r="K29" s="276"/>
      <c r="L29" s="314" t="str">
        <f>B29</f>
        <v xml:space="preserve">     Operating income (loss)</v>
      </c>
      <c r="M29" s="276"/>
      <c r="N29" s="300">
        <f>SUM(N18-N27)</f>
        <v>425679</v>
      </c>
      <c r="O29" s="276"/>
      <c r="P29" s="300">
        <f>SUM(P18-P27)</f>
        <v>-349047</v>
      </c>
      <c r="Q29" s="276"/>
      <c r="R29" s="300">
        <f>SUM(R18-R27)</f>
        <v>-2185424</v>
      </c>
      <c r="S29" s="276"/>
      <c r="T29" s="300">
        <f>SUM(T18-T27)</f>
        <v>-1774093</v>
      </c>
    </row>
    <row r="30" spans="2:20" ht="15.75">
      <c r="B30" s="276"/>
      <c r="C30" s="276"/>
      <c r="D30" s="294"/>
      <c r="E30" s="276"/>
      <c r="F30" s="294"/>
      <c r="G30" s="276"/>
      <c r="H30" s="294"/>
      <c r="I30" s="276"/>
      <c r="J30" s="294"/>
      <c r="K30" s="276"/>
      <c r="L30" s="296"/>
      <c r="M30" s="276"/>
      <c r="N30" s="294"/>
      <c r="O30" s="276"/>
      <c r="P30" s="294"/>
      <c r="Q30" s="276"/>
      <c r="R30" s="294"/>
      <c r="S30" s="276"/>
      <c r="T30" s="294"/>
    </row>
    <row r="31" spans="2:20" ht="15.75">
      <c r="B31" s="308" t="s">
        <v>1109</v>
      </c>
      <c r="C31" s="308"/>
      <c r="D31" s="294"/>
      <c r="E31" s="308"/>
      <c r="F31" s="294"/>
      <c r="G31" s="308"/>
      <c r="H31" s="294"/>
      <c r="I31" s="308"/>
      <c r="J31" s="294"/>
      <c r="K31" s="308"/>
      <c r="L31" s="314" t="str">
        <f t="shared" ref="L31:L37" si="1">B31</f>
        <v>NONOPERATING REVENUES (EXPENSES)</v>
      </c>
      <c r="M31" s="308"/>
      <c r="N31" s="294"/>
      <c r="O31" s="308"/>
      <c r="P31" s="294"/>
      <c r="Q31" s="308"/>
      <c r="R31" s="294"/>
      <c r="S31" s="308"/>
      <c r="T31" s="294"/>
    </row>
    <row r="32" spans="2:20" ht="15.75" hidden="1">
      <c r="B32" s="276" t="str">
        <f>+INPUT!B12</f>
        <v xml:space="preserve">     Intergovernmental</v>
      </c>
      <c r="C32" s="308"/>
      <c r="D32" s="294">
        <f>+INPUT!CL12</f>
        <v>0</v>
      </c>
      <c r="E32" s="276"/>
      <c r="F32" s="294">
        <f>INPUT!CM12</f>
        <v>0</v>
      </c>
      <c r="G32" s="276"/>
      <c r="H32" s="294">
        <f>+INPUT!CN12</f>
        <v>0</v>
      </c>
      <c r="I32" s="276"/>
      <c r="J32" s="294">
        <f>+INPUT!CO12</f>
        <v>0</v>
      </c>
      <c r="K32" s="276"/>
      <c r="L32" s="296" t="str">
        <f>B32</f>
        <v xml:space="preserve">     Intergovernmental</v>
      </c>
      <c r="M32" s="276"/>
      <c r="N32" s="294">
        <f>+INPUT!CP12</f>
        <v>0</v>
      </c>
      <c r="O32" s="276"/>
      <c r="P32" s="294">
        <f>+INPUT!CQ12</f>
        <v>0</v>
      </c>
      <c r="Q32" s="276"/>
      <c r="R32" s="294">
        <f>+INPUT!CR12</f>
        <v>0</v>
      </c>
      <c r="S32" s="276"/>
      <c r="T32" s="294">
        <f t="shared" ref="T32:T37" si="2">SUM(B32:R32)</f>
        <v>0</v>
      </c>
    </row>
    <row r="33" spans="2:23" ht="15.75">
      <c r="B33" s="276" t="s">
        <v>1110</v>
      </c>
      <c r="C33" s="276"/>
      <c r="D33" s="294">
        <f>INPUT!CL16</f>
        <v>68501</v>
      </c>
      <c r="E33" s="276"/>
      <c r="F33" s="294">
        <f>INPUT!CM16</f>
        <v>20826</v>
      </c>
      <c r="G33" s="276"/>
      <c r="H33" s="294">
        <f>INPUT!CN16</f>
        <v>18060</v>
      </c>
      <c r="I33" s="276"/>
      <c r="J33" s="294">
        <f>+INPUT!CO16</f>
        <v>2411</v>
      </c>
      <c r="K33" s="276"/>
      <c r="L33" s="296" t="str">
        <f t="shared" si="1"/>
        <v xml:space="preserve">     Interest income</v>
      </c>
      <c r="M33" s="276"/>
      <c r="N33" s="294">
        <f>+INPUT!CP16</f>
        <v>37985</v>
      </c>
      <c r="O33" s="276"/>
      <c r="P33" s="294">
        <f>+INPUT!CQ16</f>
        <v>20709</v>
      </c>
      <c r="Q33" s="276"/>
      <c r="R33" s="294">
        <f>+INPUT!CR16</f>
        <v>18291</v>
      </c>
      <c r="S33" s="276"/>
      <c r="T33" s="294">
        <f t="shared" si="2"/>
        <v>186783</v>
      </c>
      <c r="U33" s="288">
        <f>+T33+T18</f>
        <v>14302826</v>
      </c>
    </row>
    <row r="34" spans="2:23" ht="15.75">
      <c r="B34" s="276" t="str">
        <f>INPUT!B37</f>
        <v xml:space="preserve">     Interest expense</v>
      </c>
      <c r="C34" s="276"/>
      <c r="D34" s="294">
        <f>-+INPUT!CL37</f>
        <v>0</v>
      </c>
      <c r="E34" s="276"/>
      <c r="F34" s="294">
        <f>-+INPUT!CM37</f>
        <v>0</v>
      </c>
      <c r="G34" s="276"/>
      <c r="H34" s="294">
        <f>-+INPUT!CN37</f>
        <v>0</v>
      </c>
      <c r="I34" s="276"/>
      <c r="J34" s="294">
        <f>-+INPUT!CO37</f>
        <v>0</v>
      </c>
      <c r="K34" s="276"/>
      <c r="L34" s="296" t="str">
        <f t="shared" si="1"/>
        <v xml:space="preserve">     Interest expense</v>
      </c>
      <c r="M34" s="276"/>
      <c r="N34" s="294">
        <f>-+INPUT!CP37</f>
        <v>-4540</v>
      </c>
      <c r="O34" s="276"/>
      <c r="P34" s="294">
        <f>-+INPUT!CQ37</f>
        <v>0</v>
      </c>
      <c r="Q34" s="276"/>
      <c r="R34" s="294">
        <f>-+INPUT!CR37</f>
        <v>0</v>
      </c>
      <c r="S34" s="276"/>
      <c r="T34" s="294">
        <f t="shared" si="2"/>
        <v>-4540</v>
      </c>
      <c r="U34" s="288">
        <v>51352</v>
      </c>
      <c r="V34" s="288" t="s">
        <v>790</v>
      </c>
    </row>
    <row r="35" spans="2:23" ht="15.75" hidden="1">
      <c r="B35" s="276" t="str">
        <f>INPUT!B36</f>
        <v xml:space="preserve">     Amortization of revenue bond issuance costs</v>
      </c>
      <c r="C35" s="276"/>
      <c r="D35" s="294"/>
      <c r="E35" s="276"/>
      <c r="F35" s="294"/>
      <c r="G35" s="276"/>
      <c r="H35" s="294"/>
      <c r="I35" s="276"/>
      <c r="J35" s="294"/>
      <c r="K35" s="276"/>
      <c r="L35" s="296" t="str">
        <f t="shared" si="1"/>
        <v xml:space="preserve">     Amortization of revenue bond issuance costs</v>
      </c>
      <c r="M35" s="276"/>
      <c r="N35" s="294"/>
      <c r="O35" s="276"/>
      <c r="P35" s="294"/>
      <c r="Q35" s="276"/>
      <c r="R35" s="294"/>
      <c r="S35" s="276"/>
      <c r="T35" s="294">
        <f t="shared" si="2"/>
        <v>0</v>
      </c>
    </row>
    <row r="36" spans="2:23" ht="15.75" hidden="1">
      <c r="B36" s="276" t="s">
        <v>2389</v>
      </c>
      <c r="C36" s="276"/>
      <c r="D36" s="294">
        <f>+INPUT!CL50</f>
        <v>0</v>
      </c>
      <c r="E36" s="276"/>
      <c r="F36" s="294">
        <f>+INPUT!CM50</f>
        <v>0</v>
      </c>
      <c r="G36" s="276"/>
      <c r="H36" s="294">
        <f>+INPUT!CN50</f>
        <v>0</v>
      </c>
      <c r="I36" s="276"/>
      <c r="J36" s="294">
        <f>+INPUT!CO50</f>
        <v>0</v>
      </c>
      <c r="K36" s="276"/>
      <c r="L36" s="296" t="str">
        <f t="shared" si="1"/>
        <v xml:space="preserve">     Proceeds from long-term debt</v>
      </c>
      <c r="M36" s="276"/>
      <c r="N36" s="294">
        <f>+INPUT!CP50</f>
        <v>0</v>
      </c>
      <c r="O36" s="276"/>
      <c r="P36" s="294">
        <f>+INPUT!CQ50</f>
        <v>0</v>
      </c>
      <c r="Q36" s="276"/>
      <c r="R36" s="294">
        <f>+INPUT!CR50</f>
        <v>0</v>
      </c>
      <c r="S36" s="276"/>
      <c r="T36" s="294">
        <f t="shared" si="2"/>
        <v>0</v>
      </c>
    </row>
    <row r="37" spans="2:23" ht="15.75" hidden="1">
      <c r="B37" s="321" t="s">
        <v>1277</v>
      </c>
      <c r="C37" s="276"/>
      <c r="D37" s="294">
        <f>+INPUT!CL54</f>
        <v>0</v>
      </c>
      <c r="E37" s="276"/>
      <c r="F37" s="294">
        <f>+INPUT!CM54-F32</f>
        <v>0</v>
      </c>
      <c r="G37" s="276"/>
      <c r="H37" s="294">
        <f>+INPUT!CN54</f>
        <v>0</v>
      </c>
      <c r="I37" s="276"/>
      <c r="J37" s="294">
        <f>+INPUT!CO54</f>
        <v>0</v>
      </c>
      <c r="K37" s="276"/>
      <c r="L37" s="296" t="str">
        <f t="shared" si="1"/>
        <v xml:space="preserve">     Gain/(Loss) on disposition of capital assets</v>
      </c>
      <c r="M37" s="276"/>
      <c r="N37" s="294">
        <f>+INPUT!CP54</f>
        <v>0</v>
      </c>
      <c r="O37" s="276"/>
      <c r="P37" s="294">
        <f>+INPUT!CQ54</f>
        <v>0</v>
      </c>
      <c r="Q37" s="276"/>
      <c r="R37" s="294">
        <f>+INPUT!CR54</f>
        <v>0</v>
      </c>
      <c r="S37" s="276"/>
      <c r="T37" s="294">
        <f t="shared" si="2"/>
        <v>0</v>
      </c>
    </row>
    <row r="38" spans="2:23" ht="15.75" hidden="1">
      <c r="O38" s="276"/>
      <c r="Q38" s="276"/>
      <c r="S38" s="276"/>
    </row>
    <row r="39" spans="2:23" ht="15.75">
      <c r="B39" s="276"/>
      <c r="C39" s="276"/>
      <c r="D39" s="298"/>
      <c r="E39" s="276"/>
      <c r="F39" s="298"/>
      <c r="G39" s="276"/>
      <c r="H39" s="298"/>
      <c r="I39" s="276"/>
      <c r="J39" s="298"/>
      <c r="K39" s="276"/>
      <c r="L39" s="296"/>
      <c r="M39" s="276"/>
      <c r="N39" s="298"/>
      <c r="O39" s="276"/>
      <c r="P39" s="298"/>
      <c r="Q39" s="276"/>
      <c r="R39" s="298"/>
      <c r="S39" s="276"/>
      <c r="T39" s="298"/>
    </row>
    <row r="40" spans="2:23" ht="15.75">
      <c r="B40" s="308" t="s">
        <v>927</v>
      </c>
      <c r="C40" s="308"/>
      <c r="D40" s="301">
        <f>SUM(D32:D38)</f>
        <v>68501</v>
      </c>
      <c r="E40" s="308"/>
      <c r="F40" s="301">
        <f>SUM(F32:F38)</f>
        <v>20826</v>
      </c>
      <c r="G40" s="308"/>
      <c r="H40" s="301">
        <f>SUM(H32:H38)</f>
        <v>18060</v>
      </c>
      <c r="I40" s="308"/>
      <c r="J40" s="301">
        <f>SUM(J32:J38)</f>
        <v>2411</v>
      </c>
      <c r="K40" s="308"/>
      <c r="L40" s="314" t="str">
        <f>B40</f>
        <v xml:space="preserve">     Total Nonoperating Revenues (Expenses)</v>
      </c>
      <c r="M40" s="308"/>
      <c r="N40" s="301">
        <f>SUM(N32:N38)</f>
        <v>33445</v>
      </c>
      <c r="O40" s="276"/>
      <c r="P40" s="301">
        <f>SUM(P32:P38)</f>
        <v>20709</v>
      </c>
      <c r="Q40" s="276"/>
      <c r="R40" s="301">
        <f>SUM(R32:R38)</f>
        <v>18291</v>
      </c>
      <c r="S40" s="276"/>
      <c r="T40" s="301">
        <f>SUM(T32:T38)</f>
        <v>182243</v>
      </c>
    </row>
    <row r="41" spans="2:23" ht="15.75">
      <c r="B41" s="276"/>
      <c r="C41" s="276"/>
      <c r="D41" s="294"/>
      <c r="E41" s="276"/>
      <c r="F41" s="294"/>
      <c r="G41" s="276"/>
      <c r="H41" s="294"/>
      <c r="I41" s="276"/>
      <c r="J41" s="294"/>
      <c r="K41" s="276"/>
      <c r="L41" s="296"/>
      <c r="M41" s="276"/>
      <c r="N41" s="294"/>
      <c r="O41" s="276"/>
      <c r="P41" s="294"/>
      <c r="Q41" s="276"/>
      <c r="R41" s="294"/>
      <c r="S41" s="276"/>
      <c r="T41" s="294"/>
    </row>
    <row r="42" spans="2:23" ht="15.75">
      <c r="B42" s="308" t="str">
        <f>+PROPREV!B47</f>
        <v xml:space="preserve">     Income (loss) before contributions</v>
      </c>
      <c r="C42" s="276"/>
      <c r="D42" s="294"/>
      <c r="E42" s="276"/>
      <c r="F42" s="294"/>
      <c r="G42" s="276"/>
      <c r="H42" s="294"/>
      <c r="I42" s="276"/>
      <c r="J42" s="294"/>
      <c r="K42" s="276"/>
      <c r="L42" s="314" t="str">
        <f>+B42</f>
        <v xml:space="preserve">     Income (loss) before contributions</v>
      </c>
      <c r="M42" s="276"/>
      <c r="N42" s="294"/>
      <c r="O42" s="276"/>
      <c r="P42" s="294"/>
      <c r="Q42" s="276"/>
      <c r="R42" s="294"/>
      <c r="S42" s="276"/>
      <c r="T42" s="294"/>
    </row>
    <row r="43" spans="2:23" ht="15.75">
      <c r="B43" s="308" t="str">
        <f>+PROPREV!B48</f>
        <v xml:space="preserve">         and transfers</v>
      </c>
      <c r="C43" s="276"/>
      <c r="D43" s="300">
        <f>SUM(D29+D40)</f>
        <v>18759</v>
      </c>
      <c r="E43" s="276"/>
      <c r="F43" s="300">
        <f>SUM(F29+F40)</f>
        <v>325127</v>
      </c>
      <c r="G43" s="276"/>
      <c r="H43" s="300">
        <f>SUM(H29+H40)</f>
        <v>91383</v>
      </c>
      <c r="I43" s="276"/>
      <c r="J43" s="300">
        <f>SUM(J29+J40)</f>
        <v>9228</v>
      </c>
      <c r="K43" s="276"/>
      <c r="L43" s="314" t="str">
        <f>+B43</f>
        <v xml:space="preserve">         and transfers</v>
      </c>
      <c r="M43" s="276"/>
      <c r="N43" s="300">
        <f>SUM(N29+N40)</f>
        <v>459124</v>
      </c>
      <c r="O43" s="276"/>
      <c r="P43" s="300">
        <f>SUM(P29+P40)</f>
        <v>-328338</v>
      </c>
      <c r="Q43" s="276"/>
      <c r="R43" s="300">
        <f>SUM(R29+R40)</f>
        <v>-2167133</v>
      </c>
      <c r="S43" s="276"/>
      <c r="T43" s="300">
        <f>SUM(T29+T40)</f>
        <v>-1591850</v>
      </c>
    </row>
    <row r="44" spans="2:23" ht="15.75" hidden="1">
      <c r="B44" s="276" t="str">
        <f>INPUT!B56</f>
        <v xml:space="preserve">     Capital contributions</v>
      </c>
      <c r="C44" s="276"/>
      <c r="D44" s="294">
        <f>+INPUT!CL56</f>
        <v>0</v>
      </c>
      <c r="E44" s="276"/>
      <c r="F44" s="294">
        <f>+INPUT!CM56</f>
        <v>0</v>
      </c>
      <c r="G44" s="276"/>
      <c r="H44" s="294">
        <v>0</v>
      </c>
      <c r="I44" s="276"/>
      <c r="J44" s="294">
        <v>0</v>
      </c>
      <c r="K44" s="276"/>
      <c r="L44" s="296" t="str">
        <f>B44</f>
        <v xml:space="preserve">     Capital contributions</v>
      </c>
      <c r="M44" s="276"/>
      <c r="N44" s="294">
        <v>0</v>
      </c>
      <c r="O44" s="276"/>
      <c r="P44" s="294">
        <v>0</v>
      </c>
      <c r="Q44" s="276"/>
      <c r="R44" s="294">
        <v>0</v>
      </c>
      <c r="S44" s="276"/>
      <c r="T44" s="294">
        <f>SUM(B44:R44)</f>
        <v>0</v>
      </c>
      <c r="W44" s="543" t="s">
        <v>3333</v>
      </c>
    </row>
    <row r="45" spans="2:23" ht="15.75">
      <c r="B45" s="276" t="str">
        <f>INPUT!B46</f>
        <v xml:space="preserve">     Transfers in</v>
      </c>
      <c r="C45" s="276"/>
      <c r="D45" s="294">
        <f>+INPUT!CL46</f>
        <v>555742</v>
      </c>
      <c r="E45" s="276"/>
      <c r="F45" s="294">
        <f>+INPUT!CM46</f>
        <v>0</v>
      </c>
      <c r="G45" s="276"/>
      <c r="H45" s="294">
        <f>+INPUT!CN46</f>
        <v>0</v>
      </c>
      <c r="I45" s="276"/>
      <c r="J45" s="294">
        <f>+INPUT!CO46</f>
        <v>0</v>
      </c>
      <c r="K45" s="276"/>
      <c r="L45" s="296" t="str">
        <f>B45</f>
        <v xml:space="preserve">     Transfers in</v>
      </c>
      <c r="M45" s="276"/>
      <c r="N45" s="294">
        <f>+INPUT!CP46</f>
        <v>1135</v>
      </c>
      <c r="O45" s="276"/>
      <c r="P45" s="294">
        <f>+INPUT!CQ46</f>
        <v>100000</v>
      </c>
      <c r="Q45" s="276"/>
      <c r="R45" s="294">
        <f>+INPUT!CR46</f>
        <v>1500000</v>
      </c>
      <c r="S45" s="276"/>
      <c r="T45" s="294">
        <f>SUM(B45:R45)</f>
        <v>2156877</v>
      </c>
    </row>
    <row r="46" spans="2:23" ht="15.75">
      <c r="B46" s="276" t="str">
        <f>INPUT!B47</f>
        <v xml:space="preserve">     Transfers out</v>
      </c>
      <c r="C46" s="276"/>
      <c r="D46" s="294">
        <f>+INPUT!CL47</f>
        <v>0</v>
      </c>
      <c r="E46" s="276"/>
      <c r="F46" s="294">
        <f>+INPUT!CM47</f>
        <v>-297020</v>
      </c>
      <c r="G46" s="276"/>
      <c r="H46" s="294">
        <f>+INPUT!CN47</f>
        <v>-269037</v>
      </c>
      <c r="I46" s="276"/>
      <c r="J46" s="294">
        <f>+INPUT!CO47</f>
        <v>0</v>
      </c>
      <c r="K46" s="276"/>
      <c r="L46" s="296" t="str">
        <f>B46</f>
        <v xml:space="preserve">     Transfers out</v>
      </c>
      <c r="M46" s="276"/>
      <c r="N46" s="294">
        <f>+INPUT!CP47</f>
        <v>0</v>
      </c>
      <c r="O46" s="276"/>
      <c r="P46" s="294">
        <f>+INPUT!CQ47</f>
        <v>0</v>
      </c>
      <c r="Q46" s="276"/>
      <c r="R46" s="294">
        <f>+INPUT!CR47</f>
        <v>0</v>
      </c>
      <c r="S46" s="276"/>
      <c r="T46" s="294">
        <f>SUM(B46:R46)</f>
        <v>-566057</v>
      </c>
    </row>
    <row r="47" spans="2:23" hidden="1"/>
    <row r="48" spans="2:23" ht="15.75">
      <c r="B48" s="276"/>
      <c r="C48" s="276"/>
      <c r="D48" s="337"/>
      <c r="E48" s="276"/>
      <c r="F48" s="337"/>
      <c r="G48" s="276"/>
      <c r="H48" s="337"/>
      <c r="I48" s="276"/>
      <c r="J48" s="337"/>
      <c r="K48" s="276"/>
      <c r="L48" s="296"/>
      <c r="M48" s="276"/>
      <c r="N48" s="337"/>
      <c r="O48" s="276"/>
      <c r="P48" s="337"/>
      <c r="Q48" s="276"/>
      <c r="R48" s="337"/>
      <c r="S48" s="276"/>
      <c r="T48" s="337"/>
    </row>
    <row r="49" spans="2:24" ht="15.75">
      <c r="B49" s="308" t="str">
        <f>'ENT IS'!B53</f>
        <v xml:space="preserve">     Change in net position</v>
      </c>
      <c r="C49" s="276"/>
      <c r="D49" s="300">
        <f>SUM(D43:D48)</f>
        <v>574501</v>
      </c>
      <c r="E49" s="276"/>
      <c r="F49" s="300">
        <f>SUM(F43:F48)</f>
        <v>28107</v>
      </c>
      <c r="G49" s="276"/>
      <c r="H49" s="300">
        <f>SUM(H43:H48)</f>
        <v>-177654</v>
      </c>
      <c r="I49" s="276"/>
      <c r="J49" s="300">
        <f>SUM(J43:J48)</f>
        <v>9228</v>
      </c>
      <c r="K49" s="276"/>
      <c r="L49" s="314" t="str">
        <f>B49</f>
        <v xml:space="preserve">     Change in net position</v>
      </c>
      <c r="M49" s="276"/>
      <c r="N49" s="300">
        <f>SUM(N43:N48)</f>
        <v>460259</v>
      </c>
      <c r="O49" s="276"/>
      <c r="P49" s="300">
        <f>SUM(P43:P48)</f>
        <v>-228338</v>
      </c>
      <c r="Q49" s="276"/>
      <c r="R49" s="300">
        <f>SUM(R43:R48)</f>
        <v>-667133</v>
      </c>
      <c r="S49" s="276"/>
      <c r="T49" s="300">
        <f>SUM(T43:T48)</f>
        <v>-1030</v>
      </c>
    </row>
    <row r="50" spans="2:24" ht="15.75">
      <c r="B50" s="276"/>
      <c r="C50" s="276"/>
      <c r="D50" s="294"/>
      <c r="E50" s="276"/>
      <c r="F50" s="294"/>
      <c r="G50" s="276"/>
      <c r="H50" s="294"/>
      <c r="I50" s="276"/>
      <c r="J50" s="294"/>
      <c r="K50" s="276"/>
      <c r="L50" s="296"/>
      <c r="M50" s="276"/>
      <c r="N50" s="294"/>
      <c r="O50" s="276"/>
      <c r="P50" s="294"/>
      <c r="Q50" s="276"/>
      <c r="R50" s="294"/>
      <c r="S50" s="276"/>
      <c r="T50" s="294"/>
    </row>
    <row r="51" spans="2:24" ht="15.75" hidden="1">
      <c r="B51" s="276" t="str">
        <f>INPUT!B65</f>
        <v xml:space="preserve">     Add back depreciation that reduces contributed capital</v>
      </c>
      <c r="C51" s="276"/>
      <c r="D51" s="294">
        <f>+INPUT!CL65</f>
        <v>0</v>
      </c>
      <c r="E51" s="276"/>
      <c r="F51" s="294">
        <f>+INPUT!CM65</f>
        <v>0</v>
      </c>
      <c r="G51" s="276"/>
      <c r="H51" s="294">
        <f>+INPUT!CN65</f>
        <v>0</v>
      </c>
      <c r="I51" s="276"/>
      <c r="J51" s="294">
        <f>+INPUT!CO65</f>
        <v>0</v>
      </c>
      <c r="K51" s="276"/>
      <c r="L51" s="296" t="str">
        <f>B51</f>
        <v xml:space="preserve">     Add back depreciation that reduces contributed capital</v>
      </c>
      <c r="M51" s="276"/>
      <c r="N51" s="294">
        <f>+INPUT!CP65</f>
        <v>0</v>
      </c>
      <c r="O51" s="276"/>
      <c r="P51" s="294">
        <f>+INPUT!CQ65</f>
        <v>0</v>
      </c>
      <c r="Q51" s="276"/>
      <c r="R51" s="294">
        <f>+INPUT!CR65</f>
        <v>0</v>
      </c>
      <c r="S51" s="276"/>
      <c r="T51" s="294">
        <f>SUM(B51:R51)</f>
        <v>0</v>
      </c>
    </row>
    <row r="52" spans="2:24" ht="15.75" hidden="1">
      <c r="B52" s="276"/>
      <c r="C52" s="276"/>
      <c r="D52" s="294"/>
      <c r="E52" s="276"/>
      <c r="F52" s="294"/>
      <c r="G52" s="276"/>
      <c r="H52" s="294"/>
      <c r="I52" s="276"/>
      <c r="J52" s="294"/>
      <c r="K52" s="276"/>
      <c r="L52" s="296"/>
      <c r="M52" s="276"/>
      <c r="N52" s="294"/>
      <c r="O52" s="276"/>
      <c r="P52" s="294"/>
      <c r="Q52" s="276"/>
      <c r="R52" s="294"/>
      <c r="S52" s="276"/>
      <c r="T52" s="294"/>
    </row>
    <row r="53" spans="2:24" ht="15.75">
      <c r="B53" s="276" t="str">
        <f>INPUT!B64</f>
        <v xml:space="preserve">     Total net position, beginning</v>
      </c>
      <c r="C53" s="276"/>
      <c r="D53" s="294">
        <f>+INPUT!CL63</f>
        <v>1690256</v>
      </c>
      <c r="E53" s="276"/>
      <c r="F53" s="294">
        <f>+INPUT!CM63</f>
        <v>967631</v>
      </c>
      <c r="G53" s="276"/>
      <c r="H53" s="294">
        <f>+INPUT!CN63</f>
        <v>487067</v>
      </c>
      <c r="I53" s="276"/>
      <c r="J53" s="294">
        <f>+INPUT!CO63</f>
        <v>110597</v>
      </c>
      <c r="K53" s="276"/>
      <c r="L53" s="296" t="str">
        <f>B53</f>
        <v xml:space="preserve">     Total net position, beginning</v>
      </c>
      <c r="M53" s="276"/>
      <c r="N53" s="294">
        <f>+INPUT!CP63</f>
        <v>977590</v>
      </c>
      <c r="O53" s="276"/>
      <c r="P53" s="294">
        <f>+INPUT!CQ63</f>
        <v>1029952</v>
      </c>
      <c r="Q53" s="276"/>
      <c r="R53" s="294">
        <f>+INPUT!CR63</f>
        <v>537797</v>
      </c>
      <c r="S53" s="276"/>
      <c r="T53" s="294">
        <f>SUM(B53:R53)</f>
        <v>5800890</v>
      </c>
    </row>
    <row r="54" spans="2:24" ht="15.75" hidden="1">
      <c r="B54" s="276"/>
      <c r="C54" s="276"/>
      <c r="D54" s="294"/>
      <c r="E54" s="276"/>
      <c r="F54" s="294"/>
      <c r="G54" s="276"/>
      <c r="H54" s="294"/>
      <c r="I54" s="276"/>
      <c r="J54" s="294"/>
      <c r="K54" s="276"/>
      <c r="L54" s="296"/>
      <c r="M54" s="276"/>
      <c r="N54" s="294"/>
      <c r="O54" s="276"/>
      <c r="P54" s="294"/>
      <c r="Q54" s="276"/>
      <c r="R54" s="294"/>
      <c r="S54" s="276"/>
      <c r="T54" s="294"/>
    </row>
    <row r="55" spans="2:24" ht="15.75" hidden="1">
      <c r="B55" s="276" t="str">
        <f>INPUT!B66</f>
        <v xml:space="preserve">     Prior period adjustments</v>
      </c>
      <c r="C55" s="276"/>
      <c r="D55" s="317">
        <f>+INPUT!CL66</f>
        <v>0</v>
      </c>
      <c r="E55" s="276"/>
      <c r="F55" s="317">
        <f>+INPUT!CM66</f>
        <v>0</v>
      </c>
      <c r="G55" s="276"/>
      <c r="H55" s="317">
        <f>+INPUT!CN66</f>
        <v>0</v>
      </c>
      <c r="I55" s="276"/>
      <c r="J55" s="317">
        <f>+INPUT!CO66</f>
        <v>0</v>
      </c>
      <c r="K55" s="276"/>
      <c r="L55" s="296" t="str">
        <f>B55</f>
        <v xml:space="preserve">     Prior period adjustments</v>
      </c>
      <c r="M55" s="276"/>
      <c r="N55" s="317">
        <f>+INPUT!CP66</f>
        <v>0</v>
      </c>
      <c r="O55" s="276"/>
      <c r="P55" s="317">
        <f>+INPUT!CQ66</f>
        <v>0</v>
      </c>
      <c r="Q55" s="276"/>
      <c r="R55" s="317">
        <f>+INPUT!CR66</f>
        <v>0</v>
      </c>
      <c r="S55" s="276"/>
      <c r="T55" s="317">
        <f>SUM(B55:R55)</f>
        <v>0</v>
      </c>
    </row>
    <row r="56" spans="2:24" ht="15.75" hidden="1">
      <c r="B56" s="276"/>
      <c r="C56" s="276"/>
      <c r="D56" s="294"/>
      <c r="E56" s="276"/>
      <c r="F56" s="294"/>
      <c r="G56" s="276"/>
      <c r="H56" s="294"/>
      <c r="I56" s="276"/>
      <c r="J56" s="294"/>
      <c r="K56" s="276"/>
      <c r="L56" s="296"/>
      <c r="M56" s="276"/>
      <c r="N56" s="294"/>
      <c r="O56" s="276"/>
      <c r="P56" s="294"/>
      <c r="Q56" s="276"/>
      <c r="R56" s="294"/>
      <c r="S56" s="276"/>
      <c r="T56" s="294"/>
    </row>
    <row r="57" spans="2:24" ht="15.75" hidden="1">
      <c r="B57" s="308" t="str">
        <f>INPUT!B69</f>
        <v xml:space="preserve">     Total net position, beginning, as restated</v>
      </c>
      <c r="C57" s="308"/>
      <c r="D57" s="314">
        <f>SUM(D53+D55)</f>
        <v>1690256</v>
      </c>
      <c r="E57" s="308"/>
      <c r="F57" s="314">
        <f>SUM(F53+F55)</f>
        <v>967631</v>
      </c>
      <c r="G57" s="308"/>
      <c r="H57" s="314">
        <f>SUM(H53+H55)</f>
        <v>487067</v>
      </c>
      <c r="I57" s="308"/>
      <c r="J57" s="314">
        <f>SUM(J53+J55)</f>
        <v>110597</v>
      </c>
      <c r="K57" s="308"/>
      <c r="L57" s="314" t="str">
        <f>B57</f>
        <v xml:space="preserve">     Total net position, beginning, as restated</v>
      </c>
      <c r="M57" s="308"/>
      <c r="N57" s="314">
        <f>+SUM(N53+N55)</f>
        <v>977590</v>
      </c>
      <c r="O57" s="308"/>
      <c r="P57" s="314">
        <f>+SUM(P53+P55)</f>
        <v>1029952</v>
      </c>
      <c r="Q57" s="308"/>
      <c r="R57" s="314">
        <f>+SUM(R53+R55)</f>
        <v>537797</v>
      </c>
      <c r="S57" s="308"/>
      <c r="T57" s="314">
        <f>+SUM(T53+T55)</f>
        <v>5800890</v>
      </c>
    </row>
    <row r="58" spans="2:24" ht="15.75" hidden="1">
      <c r="B58" s="276"/>
      <c r="C58" s="276"/>
      <c r="D58" s="296"/>
      <c r="E58" s="276"/>
      <c r="F58" s="296"/>
      <c r="G58" s="276"/>
      <c r="H58" s="296"/>
      <c r="I58" s="276"/>
      <c r="J58" s="296"/>
      <c r="K58" s="276"/>
      <c r="L58" s="296"/>
      <c r="M58" s="276"/>
      <c r="N58" s="296"/>
      <c r="O58" s="276"/>
      <c r="P58" s="296"/>
      <c r="Q58" s="276"/>
      <c r="R58" s="296"/>
      <c r="S58" s="276"/>
      <c r="T58" s="296"/>
    </row>
    <row r="59" spans="2:24" ht="15.75" hidden="1">
      <c r="B59" s="276" t="str">
        <f>INPUT!B71</f>
        <v xml:space="preserve">     Residual equity transfers</v>
      </c>
      <c r="C59" s="276"/>
      <c r="D59" s="317">
        <f>+INPUT!CL71</f>
        <v>0</v>
      </c>
      <c r="E59" s="276"/>
      <c r="F59" s="317">
        <f>+INPUT!CM71</f>
        <v>0</v>
      </c>
      <c r="G59" s="276"/>
      <c r="H59" s="317">
        <f>+INPUT!CN71</f>
        <v>0</v>
      </c>
      <c r="I59" s="276"/>
      <c r="J59" s="317">
        <f>+INPUT!CO71</f>
        <v>0</v>
      </c>
      <c r="K59" s="276"/>
      <c r="L59" s="296" t="str">
        <f>B59</f>
        <v xml:space="preserve">     Residual equity transfers</v>
      </c>
      <c r="M59" s="276"/>
      <c r="N59" s="317">
        <f>+INPUT!CP71</f>
        <v>0</v>
      </c>
      <c r="O59" s="276"/>
      <c r="P59" s="317">
        <f>+INPUT!CQ71</f>
        <v>0</v>
      </c>
      <c r="Q59" s="276"/>
      <c r="R59" s="317">
        <f>+INPUT!CR71</f>
        <v>0</v>
      </c>
      <c r="S59" s="276"/>
      <c r="T59" s="317">
        <f>SUM(B59:R59)</f>
        <v>0</v>
      </c>
    </row>
    <row r="60" spans="2:24" ht="15.75">
      <c r="B60" s="276"/>
      <c r="C60" s="276"/>
      <c r="D60" s="337"/>
      <c r="E60" s="276"/>
      <c r="F60" s="337"/>
      <c r="G60" s="276"/>
      <c r="H60" s="337"/>
      <c r="I60" s="276"/>
      <c r="J60" s="337"/>
      <c r="K60" s="276"/>
      <c r="L60" s="296"/>
      <c r="M60" s="276"/>
      <c r="N60" s="337"/>
      <c r="O60" s="276"/>
      <c r="P60" s="337"/>
      <c r="Q60" s="276"/>
      <c r="R60" s="337"/>
      <c r="S60" s="276"/>
      <c r="T60" s="337"/>
    </row>
    <row r="61" spans="2:24" ht="16.5" thickBot="1">
      <c r="B61" s="308" t="str">
        <f>INPUT!B74</f>
        <v xml:space="preserve">     Total net position, ending</v>
      </c>
      <c r="C61" s="319"/>
      <c r="D61" s="302">
        <f>SUM(D49+D51+D57)</f>
        <v>2264757</v>
      </c>
      <c r="E61" s="319"/>
      <c r="F61" s="302">
        <f>SUM(F49+F51+F57)</f>
        <v>995738</v>
      </c>
      <c r="G61" s="319"/>
      <c r="H61" s="302">
        <f>SUM(H49+H51+H57)</f>
        <v>309413</v>
      </c>
      <c r="I61" s="319"/>
      <c r="J61" s="302">
        <f>+SUM(J49+J51+J57+J59)</f>
        <v>119825</v>
      </c>
      <c r="K61" s="319"/>
      <c r="L61" s="314" t="str">
        <f>B61</f>
        <v xml:space="preserve">     Total net position, ending</v>
      </c>
      <c r="M61" s="319"/>
      <c r="N61" s="302">
        <f>SUM(N49+N51+N57+N59)</f>
        <v>1437849</v>
      </c>
      <c r="O61" s="319"/>
      <c r="P61" s="302">
        <f>SUM(P49+P51+P57+P59)</f>
        <v>801614</v>
      </c>
      <c r="Q61" s="319"/>
      <c r="R61" s="302">
        <f>SUM(R49+R51+R57+R59)</f>
        <v>-129336</v>
      </c>
      <c r="S61" s="319"/>
      <c r="T61" s="302">
        <f>SUM(T49+T51+T57+T59)</f>
        <v>5799860</v>
      </c>
      <c r="X61" s="288">
        <f>SUM(D61:R61)</f>
        <v>5799860</v>
      </c>
    </row>
    <row r="62" spans="2:24" ht="13.5" thickTop="1"/>
    <row r="65" spans="2:20" ht="16.5" thickBot="1">
      <c r="B65" s="334" t="s">
        <v>1752</v>
      </c>
      <c r="D65" s="619">
        <v>1690256</v>
      </c>
      <c r="E65" s="526"/>
      <c r="F65" s="619">
        <v>967631</v>
      </c>
      <c r="G65" s="526"/>
      <c r="H65" s="619">
        <v>487067</v>
      </c>
      <c r="I65" s="526"/>
      <c r="J65" s="619">
        <v>110597</v>
      </c>
      <c r="K65" s="522"/>
      <c r="L65" s="391" t="s">
        <v>2426</v>
      </c>
      <c r="M65" s="391"/>
      <c r="N65" s="620">
        <v>977590</v>
      </c>
      <c r="O65" s="527"/>
      <c r="P65" s="620">
        <v>1029952</v>
      </c>
      <c r="Q65" s="527"/>
      <c r="R65" s="620">
        <v>537797</v>
      </c>
      <c r="T65" s="292">
        <f>SUM(D65:R65)</f>
        <v>5800890</v>
      </c>
    </row>
    <row r="66" spans="2:20" ht="13.5" thickTop="1">
      <c r="B66" s="391" t="s">
        <v>3273</v>
      </c>
      <c r="D66" s="288">
        <f>+D65-D53</f>
        <v>0</v>
      </c>
      <c r="F66" s="288">
        <f>+F65-F53</f>
        <v>0</v>
      </c>
      <c r="H66" s="288">
        <f>+H65-H53</f>
        <v>0</v>
      </c>
      <c r="J66" s="288">
        <f>+J65-J53</f>
        <v>0</v>
      </c>
      <c r="N66" s="288">
        <f>+N65-N53</f>
        <v>0</v>
      </c>
      <c r="P66" s="288">
        <f>+P65-P53</f>
        <v>0</v>
      </c>
      <c r="R66" s="288">
        <f>+R65-R53</f>
        <v>0</v>
      </c>
      <c r="T66" s="288">
        <f>+T65-T53</f>
        <v>0</v>
      </c>
    </row>
    <row r="67" spans="2:20" ht="15.75">
      <c r="B67" s="308"/>
      <c r="T67" s="294"/>
    </row>
    <row r="68" spans="2:20" ht="15.75">
      <c r="B68" s="276"/>
      <c r="T68" s="294">
        <f>-T34</f>
        <v>4540</v>
      </c>
    </row>
    <row r="69" spans="2:20" ht="15.75">
      <c r="B69" s="308"/>
      <c r="T69" s="294"/>
    </row>
    <row r="70" spans="2:20" ht="15.75">
      <c r="B70" s="276"/>
      <c r="T70" s="294">
        <f>-T33</f>
        <v>-186783</v>
      </c>
    </row>
    <row r="71" spans="2:20" ht="15.75">
      <c r="B71" s="308"/>
      <c r="T71" s="317">
        <f>-T45-T46</f>
        <v>-1590820</v>
      </c>
    </row>
    <row r="72" spans="2:20" ht="15.75">
      <c r="T72" s="294"/>
    </row>
    <row r="73" spans="2:20" ht="15.75">
      <c r="B73" s="308"/>
      <c r="T73" s="294">
        <f>SUM(T65:T72)</f>
        <v>4027827</v>
      </c>
    </row>
    <row r="74" spans="2:20" ht="15.75">
      <c r="B74" s="373" t="s">
        <v>506</v>
      </c>
      <c r="T74" s="294"/>
    </row>
    <row r="75" spans="2:20" ht="15.75">
      <c r="B75" s="288" t="s">
        <v>1086</v>
      </c>
      <c r="F75" s="288">
        <f>+F18+F33+F45</f>
        <v>574291</v>
      </c>
      <c r="T75" s="294"/>
    </row>
    <row r="76" spans="2:20" ht="15.75">
      <c r="T76" s="294"/>
    </row>
    <row r="77" spans="2:20" ht="15.75">
      <c r="B77" s="288" t="s">
        <v>1087</v>
      </c>
      <c r="F77" s="288">
        <f>+F27-F25</f>
        <v>215101</v>
      </c>
      <c r="T77" s="294"/>
    </row>
    <row r="78" spans="2:20" ht="15.75">
      <c r="T78" s="294"/>
    </row>
    <row r="79" spans="2:20" ht="15.75">
      <c r="B79" s="330" t="s">
        <v>958</v>
      </c>
      <c r="F79" s="288">
        <f>+F75-F77</f>
        <v>359190</v>
      </c>
      <c r="T79" s="294"/>
    </row>
    <row r="80" spans="2:20" ht="15.75">
      <c r="T80" s="294"/>
    </row>
    <row r="81" spans="2:20" ht="15.75">
      <c r="T81" s="294"/>
    </row>
    <row r="82" spans="2:20" ht="15.75">
      <c r="T82" s="294"/>
    </row>
    <row r="83" spans="2:20" ht="15.75">
      <c r="B83" s="288" t="s">
        <v>405</v>
      </c>
      <c r="F83" s="327">
        <v>68315</v>
      </c>
      <c r="G83" s="474" t="s">
        <v>336</v>
      </c>
      <c r="H83" s="327" t="s">
        <v>120</v>
      </c>
      <c r="T83" s="294"/>
    </row>
    <row r="84" spans="2:20" ht="15.75">
      <c r="H84" s="327" t="s">
        <v>1285</v>
      </c>
      <c r="T84" s="294"/>
    </row>
    <row r="85" spans="2:20" ht="15.75">
      <c r="B85" s="288" t="s">
        <v>406</v>
      </c>
      <c r="F85" s="389">
        <f>+F79/F83</f>
        <v>5.2578496669838248</v>
      </c>
      <c r="H85" s="477" t="s">
        <v>1286</v>
      </c>
      <c r="T85" s="294"/>
    </row>
    <row r="86" spans="2:20" ht="15.75">
      <c r="T86" s="294"/>
    </row>
    <row r="87" spans="2:20" ht="15.75">
      <c r="B87" s="288" t="s">
        <v>943</v>
      </c>
      <c r="T87" s="294"/>
    </row>
    <row r="88" spans="2:20" ht="15.75">
      <c r="T88" s="294"/>
    </row>
    <row r="89" spans="2:20" ht="15.75">
      <c r="T89" s="294"/>
    </row>
  </sheetData>
  <phoneticPr fontId="0" type="noConversion"/>
  <printOptions horizontalCentered="1"/>
  <pageMargins left="0.47499999999999998" right="0.47499999999999998" top="0.5" bottom="0.75" header="0.5" footer="0.25"/>
  <pageSetup scale="65" firstPageNumber="124" orientation="portrait" useFirstPageNumber="1" r:id="rId1"/>
  <headerFooter alignWithMargins="0">
    <oddFooter xml:space="preserve">&amp;C&amp;14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ransitionEvaluation="1" codeName="Sheet38"/>
  <dimension ref="B1:AC187"/>
  <sheetViews>
    <sheetView showGridLines="0" topLeftCell="A11" zoomScale="70" zoomScaleNormal="70" workbookViewId="0">
      <selection activeCell="T54" activeCellId="1" sqref="T53 T54"/>
    </sheetView>
  </sheetViews>
  <sheetFormatPr defaultColWidth="9.7109375" defaultRowHeight="12.75"/>
  <cols>
    <col min="1" max="1" width="2.7109375" style="288" customWidth="1"/>
    <col min="2" max="2" width="62.7109375" style="288" customWidth="1"/>
    <col min="3" max="3" width="18.7109375" style="288" customWidth="1"/>
    <col min="4" max="4" width="2.7109375" style="288" customWidth="1"/>
    <col min="5" max="5" width="18.7109375" style="288" customWidth="1"/>
    <col min="6" max="6" width="2.7109375" style="288" customWidth="1"/>
    <col min="7" max="7" width="18.7109375" style="288" customWidth="1"/>
    <col min="8" max="8" width="2.7109375" style="288" customWidth="1"/>
    <col min="9" max="9" width="18.7109375" style="288" customWidth="1"/>
    <col min="10" max="11" width="2.7109375" style="288" customWidth="1"/>
    <col min="12" max="12" width="60.7109375" style="288" customWidth="1"/>
    <col min="13" max="13" width="2.7109375" style="288" customWidth="1"/>
    <col min="14" max="14" width="15.7109375" style="288" bestFit="1" customWidth="1"/>
    <col min="15" max="15" width="2.7109375" style="288" customWidth="1"/>
    <col min="16" max="16" width="15.42578125" style="288" bestFit="1" customWidth="1"/>
    <col min="17" max="17" width="2.7109375" style="288" customWidth="1"/>
    <col min="18" max="18" width="15.42578125" style="288" bestFit="1" customWidth="1"/>
    <col min="19" max="19" width="2.7109375" style="288" customWidth="1"/>
    <col min="20" max="20" width="18.85546875" style="288" customWidth="1"/>
    <col min="21" max="21" width="3.7109375" style="288" customWidth="1"/>
    <col min="22" max="22" width="16.7109375" style="288" customWidth="1"/>
    <col min="23" max="23" width="10.5703125" style="288" bestFit="1" customWidth="1"/>
    <col min="24" max="24" width="11.42578125" style="288" bestFit="1" customWidth="1"/>
    <col min="25" max="28" width="9.7109375" style="288"/>
    <col min="29" max="29" width="11" style="288" bestFit="1" customWidth="1"/>
    <col min="30" max="16384" width="9.7109375" style="288"/>
  </cols>
  <sheetData>
    <row r="1" spans="2:29" ht="12.75" customHeight="1"/>
    <row r="2" spans="2:29" ht="12.75" customHeight="1"/>
    <row r="3" spans="2:29" ht="15.75">
      <c r="B3" s="1313" t="s">
        <v>1049</v>
      </c>
      <c r="C3" s="1313"/>
      <c r="D3" s="1313"/>
      <c r="E3" s="1313"/>
      <c r="F3" s="1313"/>
      <c r="G3" s="1313"/>
      <c r="H3" s="1313"/>
      <c r="I3" s="1313"/>
      <c r="L3" s="305" t="s">
        <v>1049</v>
      </c>
      <c r="M3" s="277"/>
      <c r="N3" s="277"/>
      <c r="O3" s="277"/>
      <c r="P3" s="277"/>
      <c r="Q3" s="277"/>
      <c r="R3" s="277"/>
      <c r="S3" s="277"/>
      <c r="T3" s="277"/>
    </row>
    <row r="4" spans="2:29" ht="15.75">
      <c r="B4" s="305" t="s">
        <v>366</v>
      </c>
      <c r="C4" s="305"/>
      <c r="D4" s="305"/>
      <c r="E4" s="305"/>
      <c r="F4" s="305"/>
      <c r="G4" s="305"/>
      <c r="H4" s="305"/>
      <c r="I4" s="305"/>
      <c r="J4" s="305"/>
      <c r="K4" s="305"/>
      <c r="L4" s="305" t="str">
        <f>+B4</f>
        <v>COMBINING STATEMENT OF CASH FLOWS</v>
      </c>
      <c r="M4" s="277"/>
      <c r="N4" s="277"/>
      <c r="O4" s="277"/>
      <c r="P4" s="277"/>
      <c r="Q4" s="277"/>
      <c r="R4" s="277"/>
      <c r="S4" s="277"/>
      <c r="T4" s="277"/>
    </row>
    <row r="5" spans="2:29" ht="15.75">
      <c r="B5" s="1313" t="s">
        <v>869</v>
      </c>
      <c r="C5" s="1307"/>
      <c r="D5" s="1307"/>
      <c r="E5" s="1307"/>
      <c r="F5" s="1307"/>
      <c r="G5" s="1307"/>
      <c r="H5" s="1307"/>
      <c r="I5" s="1307"/>
      <c r="J5" s="1330"/>
      <c r="L5" s="1313" t="s">
        <v>869</v>
      </c>
      <c r="M5" s="1307"/>
      <c r="N5" s="1307"/>
      <c r="O5" s="1307"/>
      <c r="P5" s="1307"/>
      <c r="Q5" s="1307"/>
      <c r="R5" s="1307"/>
      <c r="S5" s="1307"/>
      <c r="T5" s="1330"/>
    </row>
    <row r="6" spans="2:29" ht="15.75">
      <c r="B6" s="1313" t="str">
        <f>+'Sys INPUT'!B2</f>
        <v>For the  Fiscal Year Ended June 30, 2023</v>
      </c>
      <c r="C6" s="1313"/>
      <c r="D6" s="1313"/>
      <c r="E6" s="1313"/>
      <c r="F6" s="1313"/>
      <c r="G6" s="1313"/>
      <c r="H6" s="1313"/>
      <c r="I6" s="1313"/>
      <c r="J6" s="1313"/>
      <c r="K6" s="287"/>
      <c r="L6" s="305" t="str">
        <f>+B6</f>
        <v>For the  Fiscal Year Ended June 30, 2023</v>
      </c>
      <c r="M6" s="277"/>
      <c r="N6" s="277"/>
      <c r="O6" s="277"/>
      <c r="P6" s="277"/>
      <c r="Q6" s="277"/>
      <c r="R6" s="277"/>
      <c r="S6" s="277"/>
      <c r="T6" s="277"/>
    </row>
    <row r="7" spans="2:29" ht="15.75">
      <c r="B7" s="1313" t="s">
        <v>252</v>
      </c>
      <c r="C7" s="1313"/>
      <c r="D7" s="1313"/>
      <c r="E7" s="1313"/>
      <c r="F7" s="1313"/>
      <c r="G7" s="1313"/>
      <c r="H7" s="1313"/>
      <c r="I7" s="1313"/>
      <c r="J7" s="1313"/>
      <c r="K7" s="287"/>
      <c r="L7" s="305" t="s">
        <v>253</v>
      </c>
      <c r="M7" s="277"/>
      <c r="N7" s="277"/>
      <c r="O7" s="277"/>
      <c r="P7" s="277"/>
      <c r="Q7" s="277"/>
      <c r="R7" s="277"/>
      <c r="S7" s="277"/>
      <c r="T7" s="277"/>
    </row>
    <row r="8" spans="2:29" ht="15.75">
      <c r="C8" s="277"/>
      <c r="D8" s="277"/>
      <c r="E8" s="277"/>
      <c r="F8" s="277"/>
      <c r="G8" s="277"/>
      <c r="H8" s="277"/>
      <c r="I8" s="277"/>
      <c r="J8" s="277"/>
      <c r="K8" s="277"/>
      <c r="M8" s="277"/>
      <c r="N8" s="277"/>
      <c r="O8" s="277"/>
      <c r="P8" s="277"/>
      <c r="Q8" s="277"/>
      <c r="R8" s="277"/>
      <c r="S8" s="277"/>
      <c r="T8" s="305"/>
    </row>
    <row r="9" spans="2:29" ht="8.25" hidden="1" customHeight="1">
      <c r="B9" s="305"/>
      <c r="C9" s="277"/>
      <c r="D9" s="277"/>
      <c r="E9" s="277"/>
      <c r="F9" s="277"/>
      <c r="G9" s="277"/>
      <c r="H9" s="277"/>
      <c r="I9" s="277"/>
      <c r="J9" s="277"/>
      <c r="K9" s="277"/>
      <c r="L9" s="305"/>
      <c r="M9" s="277"/>
      <c r="N9" s="277"/>
      <c r="O9" s="277"/>
      <c r="P9" s="277"/>
      <c r="Q9" s="277"/>
      <c r="R9" s="277"/>
      <c r="S9" s="284"/>
      <c r="T9" s="284"/>
    </row>
    <row r="10" spans="2:29" ht="15.75">
      <c r="B10" s="305"/>
      <c r="C10" s="277"/>
      <c r="D10" s="277"/>
      <c r="E10" s="277"/>
      <c r="F10" s="277"/>
      <c r="G10" s="277"/>
      <c r="H10" s="277"/>
      <c r="I10" s="277"/>
      <c r="J10" s="277"/>
      <c r="K10" s="277"/>
      <c r="L10" s="305"/>
      <c r="M10" s="277"/>
      <c r="N10" s="277"/>
      <c r="O10" s="277"/>
      <c r="P10" s="277"/>
      <c r="Q10" s="277"/>
      <c r="R10" s="277"/>
      <c r="S10" s="277"/>
      <c r="T10" s="277"/>
    </row>
    <row r="11" spans="2:29" ht="15.75">
      <c r="B11" s="276"/>
      <c r="C11" s="287" t="s">
        <v>310</v>
      </c>
      <c r="D11" s="287"/>
      <c r="E11" s="287" t="s">
        <v>1298</v>
      </c>
      <c r="F11" s="287"/>
      <c r="G11" s="287"/>
      <c r="H11" s="287"/>
      <c r="I11" s="287"/>
      <c r="J11" s="287"/>
      <c r="K11" s="287"/>
      <c r="L11" s="276"/>
      <c r="M11" s="276"/>
      <c r="N11" s="287" t="s">
        <v>948</v>
      </c>
      <c r="O11" s="276"/>
      <c r="P11" s="287"/>
      <c r="Q11" s="287"/>
      <c r="R11" s="287"/>
      <c r="S11" s="277"/>
      <c r="T11" s="287"/>
    </row>
    <row r="12" spans="2:29" ht="15.75">
      <c r="B12" s="308"/>
      <c r="C12" s="287" t="s">
        <v>72</v>
      </c>
      <c r="D12" s="287"/>
      <c r="E12" s="287" t="s">
        <v>73</v>
      </c>
      <c r="F12" s="287"/>
      <c r="G12" s="287" t="s">
        <v>517</v>
      </c>
      <c r="H12" s="287"/>
      <c r="I12" s="287" t="s">
        <v>74</v>
      </c>
      <c r="J12" s="287"/>
      <c r="K12" s="287"/>
      <c r="L12" s="308"/>
      <c r="M12" s="287"/>
      <c r="N12" s="287" t="s">
        <v>949</v>
      </c>
      <c r="O12" s="287"/>
      <c r="P12" s="287" t="s">
        <v>532</v>
      </c>
      <c r="Q12" s="287"/>
      <c r="R12" s="287" t="s">
        <v>1298</v>
      </c>
      <c r="S12" s="277"/>
      <c r="T12" s="287"/>
    </row>
    <row r="13" spans="2:29" ht="15.75">
      <c r="B13" s="308"/>
      <c r="C13" s="290" t="s">
        <v>1267</v>
      </c>
      <c r="D13" s="276"/>
      <c r="E13" s="290" t="s">
        <v>539</v>
      </c>
      <c r="F13" s="276"/>
      <c r="G13" s="290" t="s">
        <v>1268</v>
      </c>
      <c r="H13" s="276"/>
      <c r="I13" s="290" t="s">
        <v>222</v>
      </c>
      <c r="J13" s="276"/>
      <c r="K13" s="276"/>
      <c r="L13" s="276"/>
      <c r="M13" s="276"/>
      <c r="N13" s="290" t="s">
        <v>1269</v>
      </c>
      <c r="O13" s="276"/>
      <c r="P13" s="290" t="s">
        <v>1270</v>
      </c>
      <c r="Q13" s="276"/>
      <c r="R13" s="290" t="s">
        <v>1270</v>
      </c>
      <c r="S13" s="276"/>
      <c r="T13" s="290" t="s">
        <v>315</v>
      </c>
    </row>
    <row r="14" spans="2:29" ht="15.75">
      <c r="B14" s="308" t="s">
        <v>148</v>
      </c>
      <c r="C14" s="276"/>
      <c r="D14" s="276"/>
      <c r="E14" s="276"/>
      <c r="F14" s="276"/>
      <c r="G14" s="276"/>
      <c r="H14" s="276"/>
      <c r="I14" s="276"/>
      <c r="J14" s="276"/>
      <c r="K14" s="276"/>
      <c r="L14" s="308" t="s">
        <v>148</v>
      </c>
      <c r="M14" s="276"/>
      <c r="N14" s="276"/>
      <c r="O14" s="276"/>
      <c r="P14" s="276"/>
      <c r="Q14" s="276"/>
      <c r="R14" s="276"/>
      <c r="S14" s="276"/>
      <c r="T14" s="276"/>
      <c r="U14" s="276"/>
      <c r="V14" s="276"/>
    </row>
    <row r="15" spans="2:29" ht="15.75">
      <c r="B15" s="276" t="s">
        <v>367</v>
      </c>
      <c r="C15" s="292">
        <f>+INPUT!CL13-INPUT!CL89+'IS BS'!C52+C119-C128-C134</f>
        <v>0</v>
      </c>
      <c r="D15" s="292"/>
      <c r="E15" s="294">
        <f>+INPUT!CM13-INPUT!CM89+'IS BS'!E52+E119+E120-E128-E134-'IS BS'!E21+'IS BS'!E75-E132</f>
        <v>541365</v>
      </c>
      <c r="F15" s="292"/>
      <c r="G15" s="292">
        <f>+INPUT!CN13-INPUT!CN89+'IS BS'!E52+G119-G128-G134+0</f>
        <v>871228</v>
      </c>
      <c r="H15" s="292"/>
      <c r="I15" s="292">
        <f>+INPUT!CO13-INPUT!CO89+'IS BS'!E52+I119-I128-I134</f>
        <v>503094</v>
      </c>
      <c r="J15" s="292"/>
      <c r="K15" s="292"/>
      <c r="L15" s="276" t="s">
        <v>367</v>
      </c>
      <c r="M15" s="292"/>
      <c r="N15" s="292">
        <f>+INPUT!CP13-INPUT!CP89+'IS BS'!L52+N119-N128-N134-0</f>
        <v>2785270</v>
      </c>
      <c r="O15" s="292"/>
      <c r="P15" s="292">
        <f>+INPUT!CQ13-INPUT!CQ89+'IS BS'!N52+P119-P128-P134</f>
        <v>809227</v>
      </c>
      <c r="Q15" s="292"/>
      <c r="R15" s="292">
        <f>+INPUT!CR13-INPUT!CR89+'IS BS'!P52+R119-R128-R134</f>
        <v>6740589</v>
      </c>
      <c r="S15" s="292"/>
      <c r="T15" s="292">
        <f>SUM(C15:R15)</f>
        <v>12250773</v>
      </c>
      <c r="U15" s="276"/>
      <c r="V15" s="276"/>
      <c r="W15" s="288">
        <f>+'IS IS'!T15-'IS BS'!R19+22442</f>
        <v>12024970</v>
      </c>
      <c r="X15" s="288">
        <f>+W15-T15</f>
        <v>-225803</v>
      </c>
      <c r="Y15" s="431" t="s">
        <v>750</v>
      </c>
      <c r="AB15" s="288">
        <f>-238719-266330</f>
        <v>-505049</v>
      </c>
      <c r="AC15" s="294">
        <f>+N16+'Sys INPUT'!CP32+'Sys INPUT'!CP33</f>
        <v>505047</v>
      </c>
    </row>
    <row r="16" spans="2:29" ht="15.75">
      <c r="B16" s="276" t="s">
        <v>368</v>
      </c>
      <c r="C16" s="294">
        <f>-INPUT!CL32-INPUT!CL246+INPUT!CL258+INPUT!CL306-INPUT!CL318-INPUT!CL33-INPUT!CL247+INPUT!CL307+C134-C145+C147</f>
        <v>-1107518</v>
      </c>
      <c r="D16" s="303"/>
      <c r="E16" s="294">
        <f>-INPUT!CM32-INPUT!CM246+INPUT!CM258+INPUT!CM306-INPUT!CM318-INPUT!CM33-INPUT!CM247-INPUT!CM249+INPUT!CM307+E134-E145+E152</f>
        <v>-215101</v>
      </c>
      <c r="F16" s="303"/>
      <c r="G16" s="294">
        <f>-INPUT!CN32-INPUT!CN246+INPUT!CN258+INPUT!CN306-INPUT!CN318-INPUT!CN33-INPUT!CN247+INPUT!CN307+G134-G145+G147-3</f>
        <v>-345905</v>
      </c>
      <c r="H16" s="303"/>
      <c r="I16" s="294">
        <f>-INPUT!CO32-INPUT!CO246+INPUT!CO258+INPUT!CO306-INPUT!CO318-INPUT!CO33-INPUT!CO247+INPUT!CO307+I134+3</f>
        <v>-475530</v>
      </c>
      <c r="J16" s="303"/>
      <c r="K16" s="303"/>
      <c r="L16" s="276" t="s">
        <v>368</v>
      </c>
      <c r="M16" s="303"/>
      <c r="N16" s="294">
        <f>-INPUT!CP32-INPUT!CP246+INPUT!CP258+INPUT!CP306-INPUT!CP318-INPUT!CP33-INPUT!CP247+INPUT!CP307+N134+0</f>
        <v>-725989</v>
      </c>
      <c r="O16" s="303"/>
      <c r="P16" s="294">
        <f>-INPUT!CQ32-INPUT!CQ246+INPUT!CQ258+INPUT!CQ306-INPUT!CQ318-INPUT!CQ33-INPUT!CQ247+INPUT!CQ307+P134</f>
        <v>-1158274</v>
      </c>
      <c r="Q16" s="303"/>
      <c r="R16" s="294">
        <f>-INPUT!CR32-INPUT!CR246+INPUT!CR258+INPUT!CR306-INPUT!CR318-INPUT!CR33-INPUT!CR247+INPUT!CR307+R134</f>
        <v>-9012012</v>
      </c>
      <c r="S16" s="303"/>
      <c r="T16" s="294">
        <f>SUM(C16:R16)</f>
        <v>-13040329</v>
      </c>
      <c r="U16" s="276"/>
      <c r="V16" s="276"/>
      <c r="W16" s="288">
        <f>+'IS IS'!T21+'IS IS'!T22+'IS IS'!T23-'IS BS'!R49-'IS BS'!R57+'IS BS'!R24-'IS BS'!R67+66964+129526-14007+102405</f>
        <v>15069528</v>
      </c>
      <c r="X16" s="288">
        <f>+T16+T17+W16</f>
        <v>-587286</v>
      </c>
      <c r="Y16" s="288" t="s">
        <v>123</v>
      </c>
    </row>
    <row r="17" spans="2:24" ht="15.75">
      <c r="B17" s="276" t="s">
        <v>369</v>
      </c>
      <c r="C17" s="294">
        <f>-INPUT!CL31-INPUT!CL245-INPUT!CL269+INPUT!CL305+INPUT!CL329</f>
        <v>-740556</v>
      </c>
      <c r="D17" s="303"/>
      <c r="E17" s="294">
        <f>-INPUT!CM31-INPUT!CM245-INPUT!CM269+INPUT!CM305+INPUT!CM329</f>
        <v>0</v>
      </c>
      <c r="F17" s="303"/>
      <c r="G17" s="294">
        <f>-INPUT!CN31-INPUT!CN245-INPUT!CN269+INPUT!CN305+INPUT!CN329-0</f>
        <v>-454451</v>
      </c>
      <c r="H17" s="303"/>
      <c r="I17" s="294">
        <f>-INPUT!CO31-INPUT!CO245-INPUT!CO269+INPUT!CO305+INPUT!CO329-0</f>
        <v>0</v>
      </c>
      <c r="J17" s="303"/>
      <c r="K17" s="303"/>
      <c r="L17" s="276" t="s">
        <v>369</v>
      </c>
      <c r="M17" s="303"/>
      <c r="N17" s="294">
        <f>-INPUT!CP31-INPUT!CP245-INPUT!CP269+INPUT!CP305+INPUT!CP329-0</f>
        <v>-1369136</v>
      </c>
      <c r="O17" s="303"/>
      <c r="P17" s="294">
        <f>-INPUT!CQ31-INPUT!CQ245-INPUT!CQ269+INPUT!CQ305+INPUT!CQ329-0</f>
        <v>0</v>
      </c>
      <c r="Q17" s="303"/>
      <c r="R17" s="294">
        <f>-INPUT!CR31-INPUT!CR245-INPUT!CR269+INPUT!CR305+INPUT!CR329+1</f>
        <v>-52342</v>
      </c>
      <c r="S17" s="303"/>
      <c r="T17" s="294">
        <f>SUM(C17:R17)</f>
        <v>-2616485</v>
      </c>
      <c r="U17" s="276"/>
      <c r="V17" s="276"/>
    </row>
    <row r="18" spans="2:24" ht="15.75">
      <c r="B18" s="276" t="s">
        <v>680</v>
      </c>
      <c r="C18" s="294">
        <f>+INPUT!CL15</f>
        <v>1842365</v>
      </c>
      <c r="D18" s="303"/>
      <c r="E18" s="294">
        <f>+INPUT!CM15</f>
        <v>0</v>
      </c>
      <c r="F18" s="303"/>
      <c r="G18" s="294">
        <f>+INPUT!CN15</f>
        <v>9000</v>
      </c>
      <c r="H18" s="303"/>
      <c r="I18" s="294">
        <f>+INPUT!CO15</f>
        <v>0</v>
      </c>
      <c r="J18" s="303"/>
      <c r="K18" s="303"/>
      <c r="L18" s="276" t="s">
        <v>680</v>
      </c>
      <c r="M18" s="303"/>
      <c r="N18" s="294">
        <f>+INPUT!CP15</f>
        <v>0</v>
      </c>
      <c r="O18" s="303"/>
      <c r="P18" s="294">
        <f>+INPUT!CQ15</f>
        <v>0</v>
      </c>
      <c r="Q18" s="303"/>
      <c r="R18" s="294">
        <f>+INPUT!CR15</f>
        <v>0</v>
      </c>
      <c r="S18" s="303"/>
      <c r="T18" s="294">
        <f>SUM(C18:R18)</f>
        <v>1851365</v>
      </c>
      <c r="U18" s="276"/>
      <c r="V18" s="276"/>
    </row>
    <row r="19" spans="2:24" ht="15" hidden="1" customHeight="1">
      <c r="B19" s="276" t="s">
        <v>85</v>
      </c>
      <c r="C19" s="294">
        <v>0</v>
      </c>
      <c r="D19" s="303"/>
      <c r="E19" s="294">
        <v>0</v>
      </c>
      <c r="F19" s="303"/>
      <c r="G19" s="294">
        <v>0</v>
      </c>
      <c r="H19" s="303"/>
      <c r="I19" s="294">
        <v>0</v>
      </c>
      <c r="J19" s="303"/>
      <c r="K19" s="303"/>
      <c r="L19" s="276" t="s">
        <v>85</v>
      </c>
      <c r="M19" s="303"/>
      <c r="N19" s="294">
        <v>0</v>
      </c>
      <c r="O19" s="303"/>
      <c r="P19" s="294">
        <v>0</v>
      </c>
      <c r="Q19" s="303"/>
      <c r="R19" s="294">
        <v>0</v>
      </c>
      <c r="S19" s="303"/>
      <c r="T19" s="294">
        <f>SUM(C19:R19)</f>
        <v>0</v>
      </c>
      <c r="U19" s="276"/>
      <c r="V19" s="276"/>
    </row>
    <row r="20" spans="2:24" ht="15.75">
      <c r="B20" s="308" t="s">
        <v>1105</v>
      </c>
      <c r="C20" s="298"/>
      <c r="D20" s="303"/>
      <c r="E20" s="298"/>
      <c r="F20" s="303"/>
      <c r="G20" s="298"/>
      <c r="H20" s="303"/>
      <c r="I20" s="298"/>
      <c r="J20" s="303"/>
      <c r="K20" s="303"/>
      <c r="L20" s="308" t="s">
        <v>1105</v>
      </c>
      <c r="M20" s="303"/>
      <c r="N20" s="298"/>
      <c r="O20" s="303"/>
      <c r="P20" s="298"/>
      <c r="Q20" s="303"/>
      <c r="R20" s="298"/>
      <c r="S20" s="303"/>
      <c r="T20" s="298"/>
      <c r="U20" s="276"/>
      <c r="V20" s="276"/>
    </row>
    <row r="21" spans="2:24" ht="15.75">
      <c r="B21" s="308" t="s">
        <v>1106</v>
      </c>
      <c r="C21" s="301">
        <f>SUM(C15:C19)</f>
        <v>-5709</v>
      </c>
      <c r="D21" s="303"/>
      <c r="E21" s="301">
        <f>SUM(E15:E19)</f>
        <v>326264</v>
      </c>
      <c r="F21" s="303"/>
      <c r="G21" s="301">
        <f>SUM(G15:G19)</f>
        <v>79872</v>
      </c>
      <c r="H21" s="303"/>
      <c r="I21" s="301">
        <f>SUM(I15:I19)</f>
        <v>27564</v>
      </c>
      <c r="J21" s="303"/>
      <c r="K21" s="303"/>
      <c r="L21" s="308" t="s">
        <v>1106</v>
      </c>
      <c r="M21" s="303"/>
      <c r="N21" s="301">
        <f>SUM(N15:N19)</f>
        <v>690145</v>
      </c>
      <c r="O21" s="303"/>
      <c r="P21" s="301">
        <f>SUM(P15:P19)</f>
        <v>-349047</v>
      </c>
      <c r="Q21" s="303"/>
      <c r="R21" s="301">
        <f>SUM(R15:R19)</f>
        <v>-2323765</v>
      </c>
      <c r="S21" s="303"/>
      <c r="T21" s="301">
        <f>SUM(T15:T19)</f>
        <v>-1554676</v>
      </c>
      <c r="U21" s="276"/>
      <c r="V21" s="276"/>
    </row>
    <row r="22" spans="2:24" ht="15.75">
      <c r="B22" s="276"/>
      <c r="C22" s="294"/>
      <c r="D22" s="303"/>
      <c r="E22" s="294"/>
      <c r="F22" s="303"/>
      <c r="G22" s="294"/>
      <c r="H22" s="303"/>
      <c r="I22" s="294"/>
      <c r="J22" s="303"/>
      <c r="K22" s="303"/>
      <c r="L22" s="276"/>
      <c r="M22" s="303"/>
      <c r="N22" s="294"/>
      <c r="O22" s="303"/>
      <c r="P22" s="294"/>
      <c r="Q22" s="303"/>
      <c r="R22" s="294"/>
      <c r="S22" s="303"/>
      <c r="T22" s="294"/>
      <c r="U22" s="276"/>
      <c r="V22" s="276"/>
    </row>
    <row r="23" spans="2:24" ht="15.75">
      <c r="B23" s="308" t="s">
        <v>242</v>
      </c>
      <c r="C23" s="294"/>
      <c r="D23" s="303"/>
      <c r="E23" s="294"/>
      <c r="F23" s="303"/>
      <c r="G23" s="294"/>
      <c r="H23" s="303"/>
      <c r="I23" s="294"/>
      <c r="J23" s="303"/>
      <c r="K23" s="303"/>
      <c r="L23" s="308" t="s">
        <v>242</v>
      </c>
      <c r="M23" s="303"/>
      <c r="N23" s="294"/>
      <c r="O23" s="303"/>
      <c r="P23" s="294"/>
      <c r="Q23" s="303"/>
      <c r="R23" s="294"/>
      <c r="S23" s="303"/>
      <c r="T23" s="294"/>
      <c r="U23" s="276"/>
      <c r="V23" s="276"/>
    </row>
    <row r="24" spans="2:24" ht="15" hidden="1" customHeight="1">
      <c r="B24" s="276" t="s">
        <v>572</v>
      </c>
      <c r="C24" s="294"/>
      <c r="D24" s="303"/>
      <c r="E24" s="294"/>
      <c r="F24" s="303"/>
      <c r="G24" s="294"/>
      <c r="H24" s="303"/>
      <c r="I24" s="294"/>
      <c r="J24" s="303"/>
      <c r="K24" s="303"/>
      <c r="L24" s="276" t="s">
        <v>572</v>
      </c>
      <c r="M24" s="303"/>
      <c r="N24" s="294"/>
      <c r="O24" s="303"/>
      <c r="P24" s="294"/>
      <c r="Q24" s="303"/>
      <c r="R24" s="294"/>
      <c r="S24" s="303"/>
      <c r="T24" s="294"/>
      <c r="U24" s="276"/>
      <c r="V24" s="276"/>
    </row>
    <row r="25" spans="2:24" ht="15" hidden="1" customHeight="1">
      <c r="B25" s="276" t="s">
        <v>765</v>
      </c>
      <c r="C25" s="294">
        <v>0</v>
      </c>
      <c r="D25" s="303"/>
      <c r="E25" s="294">
        <f>+'IS BS'!E58-0</f>
        <v>0</v>
      </c>
      <c r="F25" s="303"/>
      <c r="G25" s="294">
        <f>+'IS BS'!G58-0</f>
        <v>0</v>
      </c>
      <c r="H25" s="303"/>
      <c r="I25" s="294">
        <f>+'IS BS'!I58-0</f>
        <v>0</v>
      </c>
      <c r="J25" s="303"/>
      <c r="K25" s="303"/>
      <c r="L25" s="276" t="s">
        <v>765</v>
      </c>
      <c r="M25" s="303"/>
      <c r="N25" s="294">
        <f>+'IS BS'!L58-0</f>
        <v>0</v>
      </c>
      <c r="O25" s="303"/>
      <c r="P25" s="294">
        <f>+'IS BS'!N58-0</f>
        <v>0</v>
      </c>
      <c r="Q25" s="303"/>
      <c r="R25" s="294">
        <f>+'IS BS'!P58-0</f>
        <v>0</v>
      </c>
      <c r="S25" s="303"/>
      <c r="T25" s="294">
        <f t="shared" ref="T25:T34" si="0">SUM(C25:R25)</f>
        <v>0</v>
      </c>
      <c r="U25" s="276"/>
      <c r="V25" s="276"/>
    </row>
    <row r="26" spans="2:24" ht="15" customHeight="1">
      <c r="B26" s="276" t="s">
        <v>3518</v>
      </c>
      <c r="C26" s="294">
        <v>0</v>
      </c>
      <c r="D26" s="303"/>
      <c r="E26" s="294">
        <v>0</v>
      </c>
      <c r="F26" s="303"/>
      <c r="G26" s="294">
        <v>0</v>
      </c>
      <c r="H26" s="303"/>
      <c r="I26" s="294">
        <v>0</v>
      </c>
      <c r="J26" s="303"/>
      <c r="K26" s="303"/>
      <c r="L26" s="276" t="s">
        <v>3518</v>
      </c>
      <c r="M26" s="303"/>
      <c r="N26" s="294">
        <f>+'IS BS'!L54+'IS BS'!L69-N131-N145</f>
        <v>-238719</v>
      </c>
      <c r="O26" s="303"/>
      <c r="P26" s="294">
        <v>0</v>
      </c>
      <c r="Q26" s="303"/>
      <c r="R26" s="294">
        <v>0</v>
      </c>
      <c r="S26" s="303"/>
      <c r="T26" s="294">
        <f t="shared" ref="T26" si="1">SUM(C26:R26)</f>
        <v>-238719</v>
      </c>
      <c r="U26" s="276"/>
      <c r="V26" s="276"/>
      <c r="X26" s="288">
        <f>+N26+N33</f>
        <v>308763</v>
      </c>
    </row>
    <row r="27" spans="2:24" ht="15" hidden="1" customHeight="1">
      <c r="B27" s="276" t="s">
        <v>1650</v>
      </c>
      <c r="C27" s="294">
        <f>+INPUT!CL12</f>
        <v>0</v>
      </c>
      <c r="D27" s="303"/>
      <c r="E27" s="294">
        <v>0</v>
      </c>
      <c r="F27" s="303"/>
      <c r="G27" s="294">
        <v>0</v>
      </c>
      <c r="H27" s="303"/>
      <c r="I27" s="294">
        <v>0</v>
      </c>
      <c r="J27" s="303"/>
      <c r="K27" s="303"/>
      <c r="L27" s="276" t="s">
        <v>1650</v>
      </c>
      <c r="M27" s="303"/>
      <c r="N27" s="294">
        <f>+'IS IS'!N32</f>
        <v>0</v>
      </c>
      <c r="O27" s="303"/>
      <c r="P27" s="294">
        <v>0</v>
      </c>
      <c r="Q27" s="303"/>
      <c r="R27" s="294">
        <v>0</v>
      </c>
      <c r="S27" s="303"/>
      <c r="T27" s="294">
        <f t="shared" si="0"/>
        <v>0</v>
      </c>
      <c r="U27" s="276"/>
      <c r="V27" s="276"/>
      <c r="X27" s="288">
        <f>+X26+N40</f>
        <v>-505049</v>
      </c>
    </row>
    <row r="28" spans="2:24" ht="15" hidden="1" customHeight="1">
      <c r="B28" s="276" t="s">
        <v>480</v>
      </c>
      <c r="C28" s="294">
        <v>0</v>
      </c>
      <c r="D28" s="303"/>
      <c r="E28" s="294">
        <v>0</v>
      </c>
      <c r="F28" s="303"/>
      <c r="G28" s="294">
        <v>0</v>
      </c>
      <c r="H28" s="303"/>
      <c r="I28" s="294">
        <v>0</v>
      </c>
      <c r="J28" s="303"/>
      <c r="K28" s="303"/>
      <c r="L28" s="276" t="s">
        <v>480</v>
      </c>
      <c r="M28" s="303"/>
      <c r="N28" s="294">
        <v>0</v>
      </c>
      <c r="O28" s="303"/>
      <c r="P28" s="294">
        <v>0</v>
      </c>
      <c r="Q28" s="303"/>
      <c r="R28" s="294">
        <v>0</v>
      </c>
      <c r="S28" s="303"/>
      <c r="T28" s="294">
        <f t="shared" si="0"/>
        <v>0</v>
      </c>
      <c r="U28" s="276"/>
      <c r="V28" s="276"/>
    </row>
    <row r="29" spans="2:24" ht="15.75">
      <c r="B29" s="276" t="s">
        <v>873</v>
      </c>
      <c r="C29" s="294">
        <f>+'IS IS'!D45</f>
        <v>555742</v>
      </c>
      <c r="D29" s="303"/>
      <c r="E29" s="294">
        <f>+'IS IS'!F45</f>
        <v>0</v>
      </c>
      <c r="F29" s="303"/>
      <c r="G29" s="294">
        <f>+'IS IS'!H45</f>
        <v>0</v>
      </c>
      <c r="H29" s="303"/>
      <c r="I29" s="294">
        <f>+'IS IS'!J45</f>
        <v>0</v>
      </c>
      <c r="J29" s="303"/>
      <c r="K29" s="303"/>
      <c r="L29" s="276" t="s">
        <v>873</v>
      </c>
      <c r="M29" s="303"/>
      <c r="N29" s="294">
        <f>+'IS IS'!N45</f>
        <v>1135</v>
      </c>
      <c r="O29" s="303"/>
      <c r="P29" s="294">
        <f>+'IS IS'!P45-P147+P148</f>
        <v>100000</v>
      </c>
      <c r="Q29" s="303"/>
      <c r="R29" s="294">
        <f>+'IS IS'!R45</f>
        <v>1500000</v>
      </c>
      <c r="S29" s="303"/>
      <c r="T29" s="294">
        <f t="shared" si="0"/>
        <v>2156877</v>
      </c>
      <c r="U29" s="276"/>
      <c r="V29" s="276"/>
    </row>
    <row r="30" spans="2:24" ht="15.75">
      <c r="B30" s="276" t="s">
        <v>86</v>
      </c>
      <c r="C30" s="294">
        <f>+'IS IS'!D46</f>
        <v>0</v>
      </c>
      <c r="D30" s="303"/>
      <c r="E30" s="294">
        <f>+'IS IS'!F46</f>
        <v>-297020</v>
      </c>
      <c r="F30" s="303"/>
      <c r="G30" s="294">
        <f>+'IS IS'!H46</f>
        <v>-269037</v>
      </c>
      <c r="H30" s="303"/>
      <c r="I30" s="294">
        <f>+'IS IS'!J46</f>
        <v>0</v>
      </c>
      <c r="J30" s="303"/>
      <c r="K30" s="303"/>
      <c r="L30" s="276" t="s">
        <v>86</v>
      </c>
      <c r="M30" s="303"/>
      <c r="N30" s="294">
        <f>+'IS IS'!N46</f>
        <v>0</v>
      </c>
      <c r="O30" s="303"/>
      <c r="P30" s="294">
        <f>+'IS IS'!P46</f>
        <v>0</v>
      </c>
      <c r="Q30" s="303"/>
      <c r="R30" s="294">
        <f>+'IS IS'!R46</f>
        <v>0</v>
      </c>
      <c r="S30" s="303"/>
      <c r="T30" s="294">
        <f t="shared" si="0"/>
        <v>-566057</v>
      </c>
      <c r="U30" s="276"/>
      <c r="V30" s="276"/>
    </row>
    <row r="31" spans="2:24" ht="15.75" hidden="1">
      <c r="B31" s="276" t="s">
        <v>1227</v>
      </c>
      <c r="C31" s="294">
        <v>0</v>
      </c>
      <c r="D31" s="303"/>
      <c r="E31" s="294">
        <v>0</v>
      </c>
      <c r="F31" s="303"/>
      <c r="G31" s="294">
        <v>0</v>
      </c>
      <c r="H31" s="303"/>
      <c r="I31" s="294">
        <f>+'IS BS'!I51-'IS CF'!I127</f>
        <v>0</v>
      </c>
      <c r="J31" s="303"/>
      <c r="K31" s="303"/>
      <c r="L31" s="276" t="s">
        <v>1227</v>
      </c>
      <c r="M31" s="303"/>
      <c r="N31" s="294">
        <v>0</v>
      </c>
      <c r="O31" s="303"/>
      <c r="P31" s="294">
        <v>0</v>
      </c>
      <c r="Q31" s="303"/>
      <c r="R31" s="294">
        <v>0</v>
      </c>
      <c r="S31" s="303"/>
      <c r="T31" s="294">
        <f t="shared" si="0"/>
        <v>0</v>
      </c>
      <c r="U31" s="276"/>
      <c r="V31" s="276"/>
    </row>
    <row r="32" spans="2:24" ht="15.75" hidden="1">
      <c r="B32" s="276" t="s">
        <v>1218</v>
      </c>
      <c r="C32" s="294">
        <v>0</v>
      </c>
      <c r="D32" s="303"/>
      <c r="E32" s="294">
        <v>0</v>
      </c>
      <c r="F32" s="303"/>
      <c r="G32" s="294">
        <v>0</v>
      </c>
      <c r="H32" s="303"/>
      <c r="I32" s="294">
        <v>0</v>
      </c>
      <c r="J32" s="303"/>
      <c r="K32" s="303"/>
      <c r="L32" s="276" t="s">
        <v>1218</v>
      </c>
      <c r="M32" s="303"/>
      <c r="N32" s="294">
        <v>0</v>
      </c>
      <c r="O32" s="303"/>
      <c r="P32" s="294">
        <v>0</v>
      </c>
      <c r="Q32" s="303"/>
      <c r="R32" s="294">
        <v>0</v>
      </c>
      <c r="S32" s="303"/>
      <c r="T32" s="294">
        <f t="shared" si="0"/>
        <v>0</v>
      </c>
      <c r="U32" s="276"/>
      <c r="V32" s="276"/>
    </row>
    <row r="33" spans="2:24" ht="15.75">
      <c r="B33" s="276" t="s">
        <v>3502</v>
      </c>
      <c r="C33" s="294">
        <v>0</v>
      </c>
      <c r="D33" s="303"/>
      <c r="E33" s="294">
        <v>0</v>
      </c>
      <c r="F33" s="303"/>
      <c r="G33" s="294">
        <v>0</v>
      </c>
      <c r="H33" s="303"/>
      <c r="I33" s="294">
        <v>0</v>
      </c>
      <c r="J33" s="303"/>
      <c r="K33" s="303"/>
      <c r="L33" s="276" t="s">
        <v>3502</v>
      </c>
      <c r="M33" s="303"/>
      <c r="N33" s="294">
        <f>+N145</f>
        <v>547482</v>
      </c>
      <c r="O33" s="303"/>
      <c r="P33" s="294"/>
      <c r="Q33" s="303"/>
      <c r="R33" s="294"/>
      <c r="S33" s="303"/>
      <c r="T33" s="294">
        <f t="shared" si="0"/>
        <v>547482</v>
      </c>
      <c r="U33" s="276"/>
      <c r="V33" s="276"/>
      <c r="X33" s="288">
        <f>+N33+N40</f>
        <v>-266330</v>
      </c>
    </row>
    <row r="34" spans="2:24" ht="15.75" hidden="1">
      <c r="B34" s="276" t="s">
        <v>764</v>
      </c>
      <c r="C34" s="294">
        <v>0</v>
      </c>
      <c r="D34" s="303"/>
      <c r="E34" s="294">
        <v>0</v>
      </c>
      <c r="F34" s="303"/>
      <c r="G34" s="294">
        <v>0</v>
      </c>
      <c r="H34" s="303"/>
      <c r="I34" s="294">
        <f>+'IS IS'!J59</f>
        <v>0</v>
      </c>
      <c r="J34" s="303"/>
      <c r="K34" s="303"/>
      <c r="L34" s="276" t="s">
        <v>764</v>
      </c>
      <c r="M34" s="303"/>
      <c r="N34" s="294">
        <v>0</v>
      </c>
      <c r="O34" s="303"/>
      <c r="P34" s="294">
        <v>0</v>
      </c>
      <c r="Q34" s="303"/>
      <c r="R34" s="294">
        <v>0</v>
      </c>
      <c r="S34" s="303"/>
      <c r="T34" s="294">
        <f t="shared" si="0"/>
        <v>0</v>
      </c>
      <c r="U34" s="276"/>
      <c r="V34" s="276"/>
    </row>
    <row r="35" spans="2:24" ht="9" customHeight="1">
      <c r="B35" s="276"/>
      <c r="C35" s="294"/>
      <c r="D35" s="303"/>
      <c r="E35" s="294"/>
      <c r="F35" s="303"/>
      <c r="G35" s="294"/>
      <c r="H35" s="303"/>
      <c r="I35" s="294"/>
      <c r="J35" s="303"/>
      <c r="K35" s="303"/>
      <c r="L35" s="276"/>
      <c r="M35" s="303"/>
      <c r="N35" s="294"/>
      <c r="O35" s="303"/>
      <c r="P35" s="294"/>
      <c r="Q35" s="303"/>
      <c r="R35" s="294"/>
      <c r="S35" s="303"/>
      <c r="T35" s="294"/>
      <c r="U35" s="276"/>
      <c r="V35" s="276"/>
    </row>
    <row r="36" spans="2:24" ht="15.75">
      <c r="B36" s="308" t="s">
        <v>1105</v>
      </c>
      <c r="C36" s="298"/>
      <c r="D36" s="303"/>
      <c r="E36" s="298"/>
      <c r="F36" s="303"/>
      <c r="G36" s="298"/>
      <c r="H36" s="303"/>
      <c r="I36" s="298"/>
      <c r="J36" s="303"/>
      <c r="K36" s="303"/>
      <c r="L36" s="308" t="s">
        <v>1105</v>
      </c>
      <c r="M36" s="303"/>
      <c r="N36" s="298"/>
      <c r="O36" s="303"/>
      <c r="P36" s="298"/>
      <c r="Q36" s="303"/>
      <c r="R36" s="298"/>
      <c r="S36" s="303"/>
      <c r="T36" s="298"/>
      <c r="U36" s="276"/>
      <c r="V36" s="276"/>
    </row>
    <row r="37" spans="2:24" ht="15.75">
      <c r="B37" s="308" t="s">
        <v>1107</v>
      </c>
      <c r="C37" s="301">
        <f>SUM(C24:C35)</f>
        <v>555742</v>
      </c>
      <c r="D37" s="303"/>
      <c r="E37" s="301">
        <f>SUM(E24:E35)</f>
        <v>-297020</v>
      </c>
      <c r="F37" s="303"/>
      <c r="G37" s="301">
        <f>SUM(G24:G35)</f>
        <v>-269037</v>
      </c>
      <c r="H37" s="303"/>
      <c r="I37" s="301">
        <f>SUM(I24:I35)</f>
        <v>0</v>
      </c>
      <c r="J37" s="303"/>
      <c r="K37" s="303"/>
      <c r="L37" s="308" t="s">
        <v>1107</v>
      </c>
      <c r="M37" s="303"/>
      <c r="N37" s="301">
        <f>SUM(N24:N35)</f>
        <v>309898</v>
      </c>
      <c r="O37" s="303"/>
      <c r="P37" s="301">
        <f>SUM(P24:P35)</f>
        <v>100000</v>
      </c>
      <c r="Q37" s="303"/>
      <c r="R37" s="301">
        <f>SUM(R24:R35)</f>
        <v>1500000</v>
      </c>
      <c r="S37" s="303"/>
      <c r="T37" s="301">
        <f>SUM(T24:T35)</f>
        <v>1899583</v>
      </c>
      <c r="U37" s="276"/>
      <c r="V37" s="276"/>
    </row>
    <row r="38" spans="2:24" ht="15.75">
      <c r="B38" s="276"/>
      <c r="C38" s="294"/>
      <c r="D38" s="303"/>
      <c r="E38" s="294"/>
      <c r="F38" s="303"/>
      <c r="G38" s="294"/>
      <c r="H38" s="303"/>
      <c r="I38" s="294"/>
      <c r="J38" s="303"/>
      <c r="K38" s="303"/>
      <c r="L38" s="276"/>
      <c r="M38" s="303"/>
      <c r="N38" s="294"/>
      <c r="O38" s="303"/>
      <c r="P38" s="294"/>
      <c r="Q38" s="303"/>
      <c r="R38" s="294"/>
      <c r="S38" s="303"/>
      <c r="T38" s="294"/>
      <c r="U38" s="276"/>
      <c r="V38" s="276"/>
    </row>
    <row r="39" spans="2:24" ht="15.75">
      <c r="B39" s="308" t="s">
        <v>146</v>
      </c>
      <c r="C39" s="294"/>
      <c r="D39" s="303"/>
      <c r="E39" s="294"/>
      <c r="F39" s="303"/>
      <c r="G39" s="294"/>
      <c r="H39" s="303"/>
      <c r="I39" s="294"/>
      <c r="J39" s="303"/>
      <c r="K39" s="303"/>
      <c r="L39" s="308" t="s">
        <v>146</v>
      </c>
      <c r="M39" s="303"/>
      <c r="N39" s="294"/>
      <c r="O39" s="303"/>
      <c r="P39" s="294"/>
      <c r="Q39" s="303"/>
      <c r="R39" s="294"/>
      <c r="S39" s="303"/>
      <c r="T39" s="294"/>
      <c r="U39" s="276"/>
      <c r="V39" s="276"/>
    </row>
    <row r="40" spans="2:24" ht="15.75">
      <c r="B40" s="276" t="s">
        <v>520</v>
      </c>
      <c r="C40" s="294">
        <f>-'IS BS'!C39-'IS BS'!C40-'IS IS'!D25+C124+C138+C142-C143</f>
        <v>0</v>
      </c>
      <c r="D40" s="303"/>
      <c r="E40" s="294">
        <f>-'IS BS'!E39-'IS BS'!E40-'IS IS'!F25+E124+E138</f>
        <v>0</v>
      </c>
      <c r="F40" s="303"/>
      <c r="G40" s="294">
        <f>-'IS BS'!G39-'IS BS'!G40-'IS IS'!H25+G124+G138-0</f>
        <v>0</v>
      </c>
      <c r="H40" s="303"/>
      <c r="I40" s="294">
        <f>-'IS BS'!I39-'IS BS'!I40-'IS IS'!J25+I124+I138-0</f>
        <v>0</v>
      </c>
      <c r="J40" s="303"/>
      <c r="K40" s="303"/>
      <c r="L40" s="276" t="s">
        <v>520</v>
      </c>
      <c r="M40" s="303"/>
      <c r="N40" s="294">
        <f>-'IS BS'!L39-'IS BS'!L40-'IS IS'!N25+N124+N138-N147+N148+1</f>
        <v>-813812</v>
      </c>
      <c r="O40" s="303"/>
      <c r="P40" s="294">
        <f>-'IS BS'!N39-'IS BS'!N40-'IS IS'!P25+P124+P138</f>
        <v>0</v>
      </c>
      <c r="Q40" s="303"/>
      <c r="R40" s="294">
        <f>-'IS BS'!P39-'IS BS'!P40-'IS IS'!R25+R124+R138</f>
        <v>0</v>
      </c>
      <c r="S40" s="303"/>
      <c r="T40" s="294">
        <f t="shared" ref="T40:T48" si="2">SUM(C40:R40)</f>
        <v>-813812</v>
      </c>
      <c r="U40" s="276"/>
      <c r="V40" s="276"/>
    </row>
    <row r="41" spans="2:24" ht="15" hidden="1" customHeight="1">
      <c r="B41" s="276" t="s">
        <v>1239</v>
      </c>
      <c r="C41" s="294">
        <f>'IS IS'!D37</f>
        <v>0</v>
      </c>
      <c r="D41" s="303"/>
      <c r="E41" s="294">
        <f>+'IS IS'!F37</f>
        <v>0</v>
      </c>
      <c r="F41" s="303"/>
      <c r="G41" s="294">
        <f>+'IS IS'!H37</f>
        <v>0</v>
      </c>
      <c r="H41" s="303"/>
      <c r="I41" s="294">
        <f>+'IS IS'!J37</f>
        <v>0</v>
      </c>
      <c r="J41" s="303"/>
      <c r="K41" s="303"/>
      <c r="L41" s="276" t="s">
        <v>1239</v>
      </c>
      <c r="M41" s="303"/>
      <c r="N41" s="294">
        <f>+'IS IS'!N37</f>
        <v>0</v>
      </c>
      <c r="O41" s="303"/>
      <c r="P41" s="294">
        <f>+'IS IS'!P37</f>
        <v>0</v>
      </c>
      <c r="Q41" s="303"/>
      <c r="R41" s="294">
        <f>+'IS IS'!R37</f>
        <v>0</v>
      </c>
      <c r="S41" s="303"/>
      <c r="T41" s="294">
        <f t="shared" si="2"/>
        <v>0</v>
      </c>
      <c r="U41" s="276"/>
      <c r="V41" s="276"/>
    </row>
    <row r="42" spans="2:24" ht="15" hidden="1" customHeight="1">
      <c r="B42" s="276" t="s">
        <v>481</v>
      </c>
      <c r="C42" s="294">
        <v>0</v>
      </c>
      <c r="D42" s="303"/>
      <c r="E42" s="294">
        <v>0</v>
      </c>
      <c r="F42" s="303"/>
      <c r="G42" s="294">
        <v>0</v>
      </c>
      <c r="H42" s="303"/>
      <c r="I42" s="294">
        <v>0</v>
      </c>
      <c r="J42" s="303"/>
      <c r="K42" s="303"/>
      <c r="L42" s="276" t="s">
        <v>481</v>
      </c>
      <c r="M42" s="303"/>
      <c r="N42" s="294">
        <v>0</v>
      </c>
      <c r="O42" s="303"/>
      <c r="P42" s="294">
        <v>0</v>
      </c>
      <c r="Q42" s="303"/>
      <c r="R42" s="294">
        <v>0</v>
      </c>
      <c r="S42" s="303"/>
      <c r="T42" s="294">
        <f t="shared" si="2"/>
        <v>0</v>
      </c>
      <c r="U42" s="276"/>
      <c r="V42" s="276"/>
    </row>
    <row r="43" spans="2:24" ht="15" hidden="1" customHeight="1">
      <c r="B43" s="276" t="s">
        <v>124</v>
      </c>
      <c r="C43" s="294">
        <v>0</v>
      </c>
      <c r="D43" s="303"/>
      <c r="E43" s="294">
        <v>0</v>
      </c>
      <c r="F43" s="303"/>
      <c r="G43" s="294">
        <v>0</v>
      </c>
      <c r="H43" s="303"/>
      <c r="I43" s="294">
        <v>0</v>
      </c>
      <c r="J43" s="303"/>
      <c r="K43" s="303"/>
      <c r="L43" s="276" t="s">
        <v>124</v>
      </c>
      <c r="M43" s="303"/>
      <c r="N43" s="294">
        <v>0</v>
      </c>
      <c r="O43" s="303"/>
      <c r="P43" s="294">
        <v>0</v>
      </c>
      <c r="Q43" s="303"/>
      <c r="R43" s="294">
        <v>0</v>
      </c>
      <c r="S43" s="303"/>
      <c r="T43" s="294">
        <f t="shared" si="2"/>
        <v>0</v>
      </c>
      <c r="U43" s="276"/>
      <c r="V43" s="276"/>
    </row>
    <row r="44" spans="2:24" ht="15.75" hidden="1">
      <c r="B44" s="276" t="s">
        <v>125</v>
      </c>
      <c r="C44" s="294">
        <f>-C135</f>
        <v>0</v>
      </c>
      <c r="D44" s="303"/>
      <c r="E44" s="294">
        <f>-E135</f>
        <v>0</v>
      </c>
      <c r="F44" s="303"/>
      <c r="G44" s="294">
        <f>-G135</f>
        <v>0</v>
      </c>
      <c r="H44" s="303"/>
      <c r="I44" s="294">
        <f>-I135+0</f>
        <v>0</v>
      </c>
      <c r="J44" s="303"/>
      <c r="K44" s="303"/>
      <c r="L44" s="276" t="s">
        <v>125</v>
      </c>
      <c r="M44" s="303"/>
      <c r="N44" s="294">
        <f>-N135</f>
        <v>0</v>
      </c>
      <c r="O44" s="303"/>
      <c r="P44" s="294">
        <f>-P135</f>
        <v>0</v>
      </c>
      <c r="Q44" s="303"/>
      <c r="R44" s="294">
        <f>-R135</f>
        <v>0</v>
      </c>
      <c r="S44" s="303"/>
      <c r="T44" s="294">
        <f t="shared" si="2"/>
        <v>0</v>
      </c>
      <c r="U44" s="276"/>
      <c r="V44" s="276"/>
    </row>
    <row r="45" spans="2:24" ht="15" hidden="1" customHeight="1">
      <c r="B45" s="276" t="s">
        <v>923</v>
      </c>
      <c r="C45" s="294">
        <f>-C136</f>
        <v>0</v>
      </c>
      <c r="D45" s="303"/>
      <c r="E45" s="294">
        <f>-E136</f>
        <v>0</v>
      </c>
      <c r="F45" s="303"/>
      <c r="G45" s="294">
        <f>-G136</f>
        <v>0</v>
      </c>
      <c r="H45" s="303"/>
      <c r="I45" s="294">
        <f>-I136</f>
        <v>0</v>
      </c>
      <c r="J45" s="303"/>
      <c r="K45" s="303"/>
      <c r="L45" s="276" t="s">
        <v>923</v>
      </c>
      <c r="M45" s="303"/>
      <c r="N45" s="294">
        <f>-N136</f>
        <v>0</v>
      </c>
      <c r="O45" s="303"/>
      <c r="P45" s="294">
        <f>-P136</f>
        <v>0</v>
      </c>
      <c r="Q45" s="303"/>
      <c r="R45" s="294">
        <f>-R136</f>
        <v>0</v>
      </c>
      <c r="S45" s="303"/>
      <c r="T45" s="294">
        <f t="shared" si="2"/>
        <v>0</v>
      </c>
      <c r="U45" s="276"/>
      <c r="V45" s="276"/>
    </row>
    <row r="46" spans="2:24" ht="15" hidden="1" customHeight="1">
      <c r="B46" s="276" t="s">
        <v>1202</v>
      </c>
      <c r="C46" s="294">
        <v>0</v>
      </c>
      <c r="D46" s="303"/>
      <c r="E46" s="294">
        <v>0</v>
      </c>
      <c r="F46" s="303"/>
      <c r="G46" s="294">
        <v>0</v>
      </c>
      <c r="H46" s="303"/>
      <c r="I46" s="294">
        <v>0</v>
      </c>
      <c r="J46" s="303"/>
      <c r="K46" s="303"/>
      <c r="L46" s="276" t="s">
        <v>1202</v>
      </c>
      <c r="M46" s="303"/>
      <c r="N46" s="294">
        <v>0</v>
      </c>
      <c r="O46" s="303"/>
      <c r="P46" s="294">
        <v>0</v>
      </c>
      <c r="Q46" s="303"/>
      <c r="R46" s="294">
        <v>0</v>
      </c>
      <c r="S46" s="303"/>
      <c r="T46" s="294">
        <f t="shared" si="2"/>
        <v>0</v>
      </c>
      <c r="U46" s="276"/>
      <c r="V46" s="276"/>
    </row>
    <row r="47" spans="2:24" ht="15.75" hidden="1">
      <c r="B47" s="276" t="s">
        <v>1240</v>
      </c>
      <c r="C47" s="294">
        <f>+'IS IS'!D34</f>
        <v>0</v>
      </c>
      <c r="D47" s="303"/>
      <c r="E47" s="294">
        <f>+'IS IS'!F34+0</f>
        <v>0</v>
      </c>
      <c r="F47" s="303"/>
      <c r="G47" s="294">
        <f>+'IS IS'!H34</f>
        <v>0</v>
      </c>
      <c r="H47" s="303"/>
      <c r="I47" s="294">
        <f>+'IS IS'!J34</f>
        <v>0</v>
      </c>
      <c r="J47" s="303"/>
      <c r="K47" s="303"/>
      <c r="L47" s="276" t="s">
        <v>1240</v>
      </c>
      <c r="M47" s="303"/>
      <c r="N47" s="294">
        <f>+'IS IS'!N34+N144</f>
        <v>0</v>
      </c>
      <c r="O47" s="303"/>
      <c r="P47" s="294">
        <f>+'IS IS'!P34</f>
        <v>0</v>
      </c>
      <c r="Q47" s="303"/>
      <c r="R47" s="294">
        <f>+'IS IS'!R34</f>
        <v>0</v>
      </c>
      <c r="S47" s="303"/>
      <c r="T47" s="294">
        <f t="shared" si="2"/>
        <v>0</v>
      </c>
      <c r="U47" s="276"/>
      <c r="V47" s="276"/>
    </row>
    <row r="48" spans="2:24" ht="15" hidden="1" customHeight="1">
      <c r="B48" s="276" t="s">
        <v>840</v>
      </c>
      <c r="C48" s="294">
        <f>+'IS IS'!D44</f>
        <v>0</v>
      </c>
      <c r="D48" s="303"/>
      <c r="E48" s="294">
        <f>+'IS IS'!F44-0</f>
        <v>0</v>
      </c>
      <c r="F48" s="303"/>
      <c r="G48" s="294">
        <f>+'IS IS'!H44</f>
        <v>0</v>
      </c>
      <c r="H48" s="303"/>
      <c r="I48" s="294">
        <f>+'IS IS'!J44</f>
        <v>0</v>
      </c>
      <c r="J48" s="303"/>
      <c r="K48" s="303"/>
      <c r="L48" s="276" t="s">
        <v>840</v>
      </c>
      <c r="M48" s="303"/>
      <c r="N48" s="294">
        <f>+'IS IS'!N44</f>
        <v>0</v>
      </c>
      <c r="O48" s="303"/>
      <c r="P48" s="294">
        <f>+'IS IS'!P44</f>
        <v>0</v>
      </c>
      <c r="Q48" s="303"/>
      <c r="R48" s="294">
        <f>+'IS IS'!R44</f>
        <v>0</v>
      </c>
      <c r="S48" s="303"/>
      <c r="T48" s="294">
        <f t="shared" si="2"/>
        <v>0</v>
      </c>
      <c r="U48" s="276"/>
      <c r="V48" s="276"/>
    </row>
    <row r="49" spans="2:22" ht="15.75">
      <c r="B49" s="308" t="s">
        <v>1105</v>
      </c>
      <c r="C49" s="298"/>
      <c r="D49" s="303"/>
      <c r="E49" s="298"/>
      <c r="F49" s="303"/>
      <c r="G49" s="298"/>
      <c r="H49" s="303"/>
      <c r="I49" s="298"/>
      <c r="J49" s="303"/>
      <c r="K49" s="303"/>
      <c r="L49" s="308" t="s">
        <v>1105</v>
      </c>
      <c r="M49" s="303"/>
      <c r="N49" s="298"/>
      <c r="O49" s="303"/>
      <c r="P49" s="298"/>
      <c r="Q49" s="303"/>
      <c r="R49" s="298"/>
      <c r="S49" s="303"/>
      <c r="T49" s="298"/>
      <c r="U49" s="276"/>
      <c r="V49" s="276"/>
    </row>
    <row r="50" spans="2:22" ht="15.75">
      <c r="B50" s="308" t="s">
        <v>635</v>
      </c>
      <c r="C50" s="301">
        <f>SUM(C40:C48)</f>
        <v>0</v>
      </c>
      <c r="D50" s="303"/>
      <c r="E50" s="301">
        <f>SUM(E40:E48)</f>
        <v>0</v>
      </c>
      <c r="F50" s="303"/>
      <c r="G50" s="301">
        <f>SUM(G40:G48)</f>
        <v>0</v>
      </c>
      <c r="H50" s="303"/>
      <c r="I50" s="301">
        <f>SUM(I40:I48)</f>
        <v>0</v>
      </c>
      <c r="J50" s="303"/>
      <c r="K50" s="303"/>
      <c r="L50" s="308" t="s">
        <v>635</v>
      </c>
      <c r="M50" s="303"/>
      <c r="N50" s="301">
        <f>SUM(N40:N48)</f>
        <v>-813812</v>
      </c>
      <c r="O50" s="303"/>
      <c r="P50" s="301">
        <f>SUM(P40:P48)</f>
        <v>0</v>
      </c>
      <c r="Q50" s="303"/>
      <c r="R50" s="301">
        <f>SUM(R40:R48)</f>
        <v>0</v>
      </c>
      <c r="S50" s="303"/>
      <c r="T50" s="301">
        <f>SUM(T40:T48)</f>
        <v>-813812</v>
      </c>
      <c r="U50" s="276"/>
      <c r="V50" s="276"/>
    </row>
    <row r="51" spans="2:22" ht="15.75">
      <c r="B51" s="276"/>
      <c r="C51" s="294"/>
      <c r="D51" s="303"/>
      <c r="E51" s="294"/>
      <c r="F51" s="303"/>
      <c r="G51" s="294"/>
      <c r="H51" s="303"/>
      <c r="I51" s="294"/>
      <c r="J51" s="303"/>
      <c r="K51" s="303"/>
      <c r="L51" s="276"/>
      <c r="M51" s="303"/>
      <c r="N51" s="294"/>
      <c r="O51" s="303"/>
      <c r="P51" s="294"/>
      <c r="Q51" s="303"/>
      <c r="R51" s="294"/>
      <c r="S51" s="303"/>
      <c r="T51" s="294"/>
      <c r="U51" s="276"/>
      <c r="V51" s="276"/>
    </row>
    <row r="52" spans="2:22" ht="15.75">
      <c r="B52" s="308" t="s">
        <v>147</v>
      </c>
      <c r="C52" s="294"/>
      <c r="D52" s="303"/>
      <c r="E52" s="294"/>
      <c r="F52" s="303"/>
      <c r="G52" s="294"/>
      <c r="H52" s="303"/>
      <c r="I52" s="294"/>
      <c r="J52" s="303"/>
      <c r="K52" s="303"/>
      <c r="L52" s="308" t="s">
        <v>147</v>
      </c>
      <c r="M52" s="303"/>
      <c r="N52" s="294"/>
      <c r="O52" s="303"/>
      <c r="P52" s="294"/>
      <c r="Q52" s="303"/>
      <c r="R52" s="294"/>
      <c r="S52" s="303"/>
      <c r="T52" s="294"/>
      <c r="U52" s="276"/>
      <c r="V52" s="276"/>
    </row>
    <row r="53" spans="2:22" ht="15.75">
      <c r="B53" s="276" t="s">
        <v>508</v>
      </c>
      <c r="C53" s="294">
        <f>+'IS IS'!D33</f>
        <v>68501</v>
      </c>
      <c r="D53" s="303"/>
      <c r="E53" s="294">
        <f>+'IS IS'!F33+INPUT!CM227+INPUT!CM230-INPUT!CM287-INPUT!CM290</f>
        <v>20826</v>
      </c>
      <c r="F53" s="303"/>
      <c r="G53" s="294">
        <f>+'IS IS'!H33+3</f>
        <v>18063</v>
      </c>
      <c r="H53" s="303"/>
      <c r="I53" s="294">
        <f>+'IS IS'!J33</f>
        <v>2411</v>
      </c>
      <c r="J53" s="303"/>
      <c r="K53" s="303"/>
      <c r="L53" s="276" t="s">
        <v>508</v>
      </c>
      <c r="M53" s="303"/>
      <c r="N53" s="294">
        <f>+'IS IS'!N33+INPUT!CP227+INPUT!CP230-INPUT!CP287-INPUT!CP290-0</f>
        <v>37985</v>
      </c>
      <c r="O53" s="303"/>
      <c r="P53" s="294">
        <f>+'IS IS'!P33+INPUT!CQ227+INPUT!CQ230-INPUT!CQ287-INPUT!CQ290</f>
        <v>20709</v>
      </c>
      <c r="Q53" s="303"/>
      <c r="R53" s="294">
        <f>+'IS IS'!R33+INPUT!CR227+INPUT!CR230-INPUT!CR287-INPUT!CR290-1</f>
        <v>18290</v>
      </c>
      <c r="S53" s="303"/>
      <c r="T53" s="294">
        <f>SUM(C53:R53)</f>
        <v>186785</v>
      </c>
      <c r="U53" s="276"/>
      <c r="V53" s="276"/>
    </row>
    <row r="54" spans="2:22" ht="15.75">
      <c r="B54" s="276" t="s">
        <v>3286</v>
      </c>
      <c r="C54" s="294">
        <f>-'IS BS'!C16-'IS BS'!C31+INPUT!CL100+C118+C123-C137-0</f>
        <v>-254779</v>
      </c>
      <c r="D54" s="303"/>
      <c r="E54" s="294">
        <f>-'IS BS'!E16-'IS BS'!E31+INPUT!CM100+E118+E123-E137-0</f>
        <v>-38803</v>
      </c>
      <c r="F54" s="303"/>
      <c r="G54" s="294">
        <f>-'IS BS'!G16-'IS BS'!G31+INPUT!CN100+G118+G123-G137</f>
        <v>-21604</v>
      </c>
      <c r="H54" s="303"/>
      <c r="I54" s="294">
        <f>-'IS BS'!I16-'IS BS'!I31-'IS BS'!I32+I118+I123-I137-3</f>
        <v>-10745</v>
      </c>
      <c r="J54" s="303"/>
      <c r="K54" s="303"/>
      <c r="L54" s="276" t="s">
        <v>3286</v>
      </c>
      <c r="M54" s="303"/>
      <c r="N54" s="294">
        <f>-'IS BS'!L16-'IS BS'!L31+INPUT!CP100+N118+N123-N137+0</f>
        <v>-144838</v>
      </c>
      <c r="O54" s="303"/>
      <c r="P54" s="294">
        <f>-'IS BS'!N16-'IS BS'!N31+INPUT!CQ100+P118+P123-P137</f>
        <v>-58520</v>
      </c>
      <c r="Q54" s="303"/>
      <c r="R54" s="294">
        <f>-'IS BS'!P16-'IS BS'!P31+INPUT!CR100+R118+R123-R137</f>
        <v>45772</v>
      </c>
      <c r="S54" s="303"/>
      <c r="T54" s="294">
        <f>SUM(C54:R54)</f>
        <v>-483517</v>
      </c>
      <c r="U54" s="276"/>
      <c r="V54" s="276"/>
    </row>
    <row r="55" spans="2:22" ht="15" hidden="1" customHeight="1">
      <c r="B55" s="276" t="s">
        <v>1193</v>
      </c>
      <c r="C55" s="294"/>
      <c r="D55" s="303"/>
      <c r="E55" s="294"/>
      <c r="F55" s="303"/>
      <c r="G55" s="294"/>
      <c r="H55" s="303"/>
      <c r="I55" s="294"/>
      <c r="J55" s="303"/>
      <c r="K55" s="303"/>
      <c r="L55" s="276" t="s">
        <v>1193</v>
      </c>
      <c r="M55" s="303"/>
      <c r="N55" s="294">
        <v>0</v>
      </c>
      <c r="O55" s="303"/>
      <c r="P55" s="294">
        <v>0</v>
      </c>
      <c r="Q55" s="303"/>
      <c r="R55" s="294">
        <v>0</v>
      </c>
      <c r="S55" s="303"/>
      <c r="T55" s="294">
        <f>SUM(C55:R55)</f>
        <v>0</v>
      </c>
      <c r="U55" s="276"/>
      <c r="V55" s="276"/>
    </row>
    <row r="56" spans="2:22" ht="9" customHeight="1">
      <c r="B56" s="276"/>
      <c r="C56" s="294"/>
      <c r="D56" s="303"/>
      <c r="E56" s="294"/>
      <c r="F56" s="303"/>
      <c r="G56" s="294"/>
      <c r="H56" s="303"/>
      <c r="I56" s="294"/>
      <c r="J56" s="303"/>
      <c r="K56" s="303"/>
      <c r="L56" s="276"/>
      <c r="M56" s="303"/>
      <c r="N56" s="294"/>
      <c r="O56" s="303"/>
      <c r="P56" s="294"/>
      <c r="Q56" s="303"/>
      <c r="R56" s="294"/>
      <c r="S56" s="303"/>
      <c r="T56" s="294"/>
      <c r="U56" s="276"/>
      <c r="V56" s="276"/>
    </row>
    <row r="57" spans="2:22" ht="15.75">
      <c r="B57" s="308" t="s">
        <v>1105</v>
      </c>
      <c r="C57" s="298"/>
      <c r="D57" s="303"/>
      <c r="E57" s="298"/>
      <c r="F57" s="303"/>
      <c r="G57" s="298"/>
      <c r="H57" s="303"/>
      <c r="I57" s="298"/>
      <c r="J57" s="303"/>
      <c r="K57" s="303"/>
      <c r="L57" s="308" t="s">
        <v>1105</v>
      </c>
      <c r="M57" s="303"/>
      <c r="N57" s="298"/>
      <c r="O57" s="303"/>
      <c r="P57" s="298"/>
      <c r="Q57" s="303"/>
      <c r="R57" s="298"/>
      <c r="S57" s="303"/>
      <c r="T57" s="298"/>
      <c r="U57" s="276"/>
      <c r="V57" s="276"/>
    </row>
    <row r="58" spans="2:22" ht="15.75">
      <c r="B58" s="308" t="s">
        <v>510</v>
      </c>
      <c r="C58" s="301">
        <f>SUM(C53:C56)</f>
        <v>-186278</v>
      </c>
      <c r="D58" s="303"/>
      <c r="E58" s="301">
        <f>SUM(E53:E56)</f>
        <v>-17977</v>
      </c>
      <c r="F58" s="303"/>
      <c r="G58" s="301">
        <f>SUM(G53:G56)</f>
        <v>-3541</v>
      </c>
      <c r="H58" s="303"/>
      <c r="I58" s="301">
        <f>SUM(I53:I56)</f>
        <v>-8334</v>
      </c>
      <c r="J58" s="303"/>
      <c r="K58" s="303"/>
      <c r="L58" s="308" t="s">
        <v>510</v>
      </c>
      <c r="M58" s="303"/>
      <c r="N58" s="301">
        <f>SUM(N53:N56)</f>
        <v>-106853</v>
      </c>
      <c r="O58" s="303"/>
      <c r="P58" s="301">
        <f>SUM(P53:P56)</f>
        <v>-37811</v>
      </c>
      <c r="Q58" s="303"/>
      <c r="R58" s="301">
        <f>SUM(R53:R56)</f>
        <v>64062</v>
      </c>
      <c r="S58" s="303"/>
      <c r="T58" s="301">
        <f>SUM(T53:T56)</f>
        <v>-296732</v>
      </c>
      <c r="U58" s="276"/>
      <c r="V58" s="276"/>
    </row>
    <row r="59" spans="2:22" ht="15.75">
      <c r="B59" s="276"/>
      <c r="C59" s="294"/>
      <c r="D59" s="303"/>
      <c r="E59" s="294"/>
      <c r="F59" s="303"/>
      <c r="G59" s="294"/>
      <c r="H59" s="303"/>
      <c r="I59" s="294"/>
      <c r="J59" s="303"/>
      <c r="K59" s="303"/>
      <c r="L59" s="276"/>
      <c r="M59" s="303"/>
      <c r="N59" s="294"/>
      <c r="O59" s="303"/>
      <c r="P59" s="294"/>
      <c r="Q59" s="303"/>
      <c r="R59" s="294"/>
      <c r="S59" s="303"/>
      <c r="T59" s="294"/>
      <c r="U59" s="276"/>
      <c r="V59" s="276"/>
    </row>
    <row r="60" spans="2:22" ht="15.75">
      <c r="B60" s="308" t="s">
        <v>511</v>
      </c>
      <c r="L60" s="308" t="s">
        <v>511</v>
      </c>
      <c r="U60" s="276"/>
      <c r="V60" s="276"/>
    </row>
    <row r="61" spans="2:22" ht="15.75">
      <c r="B61" s="308" t="s">
        <v>512</v>
      </c>
      <c r="C61" s="300">
        <f>+C58+C50+C37+C21</f>
        <v>363755</v>
      </c>
      <c r="D61" s="303"/>
      <c r="E61" s="300">
        <f>+E58+E50+E37+E21</f>
        <v>11267</v>
      </c>
      <c r="F61" s="303"/>
      <c r="G61" s="300">
        <f>+G58+G50+G37+G21</f>
        <v>-192706</v>
      </c>
      <c r="H61" s="303"/>
      <c r="I61" s="300">
        <f>+I58+I50+I37+I21</f>
        <v>19230</v>
      </c>
      <c r="J61" s="303"/>
      <c r="K61" s="303"/>
      <c r="L61" s="308" t="s">
        <v>512</v>
      </c>
      <c r="M61" s="303"/>
      <c r="N61" s="300">
        <f>+N58+N50+N37+N21</f>
        <v>79378</v>
      </c>
      <c r="O61" s="303"/>
      <c r="P61" s="300">
        <f>+P58+P50+P37+P21</f>
        <v>-286858</v>
      </c>
      <c r="Q61" s="303"/>
      <c r="R61" s="300">
        <f>+R58+R50+R37+R21</f>
        <v>-759703</v>
      </c>
      <c r="S61" s="303"/>
      <c r="T61" s="300">
        <f>+T58+T50+T37+T21</f>
        <v>-765637</v>
      </c>
      <c r="U61" s="276"/>
      <c r="V61" s="276"/>
    </row>
    <row r="62" spans="2:22" ht="15.75">
      <c r="B62" s="276"/>
      <c r="C62" s="294"/>
      <c r="D62" s="303"/>
      <c r="E62" s="294"/>
      <c r="F62" s="303"/>
      <c r="G62" s="294"/>
      <c r="H62" s="303"/>
      <c r="I62" s="294"/>
      <c r="J62" s="303"/>
      <c r="K62" s="303"/>
      <c r="L62" s="276"/>
      <c r="M62" s="303"/>
      <c r="N62" s="294"/>
      <c r="O62" s="303"/>
      <c r="P62" s="294"/>
      <c r="Q62" s="303"/>
      <c r="R62" s="294"/>
      <c r="S62" s="303"/>
      <c r="T62" s="294"/>
      <c r="U62" s="276"/>
      <c r="V62" s="276"/>
    </row>
    <row r="63" spans="2:22" ht="15.75">
      <c r="B63" s="276" t="s">
        <v>513</v>
      </c>
      <c r="C63" s="294">
        <f>+C117+C122</f>
        <v>1569788</v>
      </c>
      <c r="D63" s="303"/>
      <c r="E63" s="294">
        <f>+E117+E122</f>
        <v>310488</v>
      </c>
      <c r="F63" s="303"/>
      <c r="G63" s="294">
        <f>+G117+G122-0</f>
        <v>494839</v>
      </c>
      <c r="H63" s="303"/>
      <c r="I63" s="294">
        <f>+I117+I122-0</f>
        <v>59891</v>
      </c>
      <c r="J63" s="303"/>
      <c r="K63" s="303"/>
      <c r="L63" s="276" t="s">
        <v>513</v>
      </c>
      <c r="M63" s="303"/>
      <c r="N63" s="294">
        <f>+N117+N122+0</f>
        <v>1098570</v>
      </c>
      <c r="O63" s="303"/>
      <c r="P63" s="294">
        <f>+P117+P122</f>
        <v>959916</v>
      </c>
      <c r="Q63" s="303"/>
      <c r="R63" s="294">
        <f>+R117+R122</f>
        <v>841503</v>
      </c>
      <c r="S63" s="303"/>
      <c r="T63" s="294">
        <f>SUM(C63:R63)</f>
        <v>5334995</v>
      </c>
      <c r="U63" s="303"/>
      <c r="V63" s="276"/>
    </row>
    <row r="64" spans="2:22" ht="15.75">
      <c r="B64" s="276"/>
      <c r="C64" s="337"/>
      <c r="D64" s="303"/>
      <c r="E64" s="337"/>
      <c r="F64" s="303"/>
      <c r="G64" s="337"/>
      <c r="H64" s="303"/>
      <c r="I64" s="337"/>
      <c r="J64" s="303"/>
      <c r="K64" s="303"/>
      <c r="L64" s="276"/>
      <c r="M64" s="303"/>
      <c r="N64" s="337"/>
      <c r="O64" s="303"/>
      <c r="P64" s="337"/>
      <c r="Q64" s="303"/>
      <c r="R64" s="337"/>
      <c r="S64" s="303"/>
      <c r="T64" s="337"/>
      <c r="U64" s="303"/>
      <c r="V64" s="276"/>
    </row>
    <row r="65" spans="2:22" ht="16.5" thickBot="1">
      <c r="B65" s="308" t="s">
        <v>1371</v>
      </c>
      <c r="C65" s="302">
        <f>+C63+C61</f>
        <v>1933543</v>
      </c>
      <c r="D65" s="292"/>
      <c r="E65" s="302">
        <f>+E63+E61</f>
        <v>321755</v>
      </c>
      <c r="F65" s="292"/>
      <c r="G65" s="302">
        <f>+G63+G61</f>
        <v>302133</v>
      </c>
      <c r="H65" s="292">
        <v>0</v>
      </c>
      <c r="I65" s="302">
        <f>+I63+I61</f>
        <v>79121</v>
      </c>
      <c r="J65" s="292"/>
      <c r="K65" s="292"/>
      <c r="L65" s="308" t="s">
        <v>1371</v>
      </c>
      <c r="M65" s="292"/>
      <c r="N65" s="302">
        <f>+N63+N61</f>
        <v>1177948</v>
      </c>
      <c r="O65" s="292"/>
      <c r="P65" s="302">
        <f>+P63+P61</f>
        <v>673058</v>
      </c>
      <c r="Q65" s="292"/>
      <c r="R65" s="302">
        <f>+R63+R61</f>
        <v>81800</v>
      </c>
      <c r="S65" s="292"/>
      <c r="T65" s="302">
        <f>+T63+T61</f>
        <v>4569358</v>
      </c>
      <c r="U65" s="276"/>
      <c r="V65" s="276"/>
    </row>
    <row r="66" spans="2:22" ht="16.5" thickTop="1">
      <c r="B66" s="276"/>
      <c r="C66" s="348" t="str">
        <f>IF(C65-'IS BS'!C15+'IS BS'!C30=0," ",+'IS BS'!C15+'IS BS'!C30)</f>
        <v xml:space="preserve"> </v>
      </c>
      <c r="D66" s="348"/>
      <c r="E66" s="348" t="str">
        <f>IF(+E65-(ROUND('IS BS'!E15+'IS BS'!E30,0))=0," ",+'IS BS'!E15+'IS BS'!E30)</f>
        <v xml:space="preserve"> </v>
      </c>
      <c r="F66" s="348"/>
      <c r="G66" s="348" t="str">
        <f>IF(G65-'IS BS'!G15+'IS BS'!G30=0," ",+'IS BS'!G15+'IS BS'!G30)</f>
        <v xml:space="preserve"> </v>
      </c>
      <c r="H66" s="348"/>
      <c r="I66" s="348" t="str">
        <f>IF(I65-'IS BS'!I15+'IS BS'!I30=0," ",+'IS BS'!I15+'IS BS'!I30)</f>
        <v xml:space="preserve"> </v>
      </c>
      <c r="J66" s="348"/>
      <c r="K66" s="348"/>
      <c r="L66" s="310"/>
      <c r="M66" s="348"/>
      <c r="N66" s="348" t="str">
        <f>IF(N65-'IS BS'!L15+'IS BS'!L30=0," ",+'IS BS'!L15+'IS BS'!L30)</f>
        <v xml:space="preserve"> </v>
      </c>
      <c r="O66" s="348"/>
      <c r="P66" s="348" t="str">
        <f>IF(P65-'IS BS'!N15+'IS BS'!N30=0," ",+'IS BS'!N15+'IS BS'!N30)</f>
        <v xml:space="preserve"> </v>
      </c>
      <c r="Q66" s="348"/>
      <c r="R66" s="348" t="str">
        <f>IF(R65-'IS BS'!P15+'IS BS'!P30=0," ",+'IS BS'!P15+'IS BS'!P30)</f>
        <v xml:space="preserve"> </v>
      </c>
      <c r="S66" s="348"/>
      <c r="T66" s="348" t="str">
        <f>IF(+T65-(ROUND('IS BS'!R15+'IS BS'!R30,0))=0," ",+'IS BS'!R15+'IS BS'!R30)</f>
        <v xml:space="preserve"> </v>
      </c>
      <c r="U66" s="276"/>
      <c r="V66" s="276"/>
    </row>
    <row r="67" spans="2:22" ht="14.25" customHeight="1">
      <c r="B67" s="276"/>
      <c r="C67" s="348" t="str">
        <f>IF(+C66=0," ",+C65-C66)</f>
        <v xml:space="preserve"> </v>
      </c>
      <c r="D67" s="348"/>
      <c r="E67" s="348" t="str">
        <f>IF(+E66=0," ",+E65-E66)</f>
        <v xml:space="preserve"> </v>
      </c>
      <c r="G67" s="348" t="str">
        <f>IF(+G66=0," ",+G65-G66)</f>
        <v xml:space="preserve"> </v>
      </c>
      <c r="H67" s="348"/>
      <c r="I67" s="348" t="str">
        <f>IF(+I66=0," ",+I65-I66)</f>
        <v xml:space="preserve"> </v>
      </c>
      <c r="J67" s="348"/>
      <c r="K67" s="348"/>
      <c r="L67" s="310"/>
      <c r="M67" s="348"/>
      <c r="N67" s="348" t="str">
        <f>IF(+N66=0," ",+N65-N66)</f>
        <v xml:space="preserve"> </v>
      </c>
      <c r="O67" s="348"/>
      <c r="P67" s="348" t="str">
        <f>IF(+P66=0," ",+P65-P66)</f>
        <v xml:space="preserve"> </v>
      </c>
      <c r="Q67" s="348"/>
      <c r="R67" s="348" t="str">
        <f>IF(+R66=0," ",+R65-R66)</f>
        <v xml:space="preserve"> </v>
      </c>
      <c r="S67" s="348"/>
      <c r="T67" s="348" t="str">
        <f>IF(+T66=0," ",+T65-T66)</f>
        <v xml:space="preserve"> </v>
      </c>
      <c r="U67" s="276"/>
      <c r="V67" s="276"/>
    </row>
    <row r="68" spans="2:22" ht="15.75">
      <c r="B68" s="276"/>
      <c r="C68" s="348" t="str">
        <f>IF(+C66=0," ",+C65-C66)</f>
        <v xml:space="preserve"> </v>
      </c>
      <c r="D68" s="348"/>
      <c r="E68" s="348" t="str">
        <f>IF(+E66=0," ",+E65-E66)</f>
        <v xml:space="preserve"> </v>
      </c>
      <c r="F68" s="348"/>
      <c r="G68" s="348" t="str">
        <f>IF(+G66=0," ",+G65-G66)</f>
        <v xml:space="preserve"> </v>
      </c>
      <c r="H68" s="348"/>
      <c r="I68" s="348" t="str">
        <f>IF(+I66=0," ",+I65-I66)</f>
        <v xml:space="preserve"> </v>
      </c>
      <c r="J68" s="348"/>
      <c r="K68" s="348"/>
      <c r="L68" s="310"/>
      <c r="M68" s="348"/>
      <c r="N68" s="348" t="str">
        <f>IF(+N66=0," ",+N65-N66)</f>
        <v xml:space="preserve"> </v>
      </c>
      <c r="O68" s="348"/>
      <c r="P68" s="348" t="str">
        <f>IF(+P66=0," ",+P65-P66)</f>
        <v xml:space="preserve"> </v>
      </c>
      <c r="Q68" s="348"/>
      <c r="R68" s="348" t="str">
        <f>IF(+R66=0," ",+R65-R66)</f>
        <v xml:space="preserve"> </v>
      </c>
      <c r="S68" s="348"/>
      <c r="T68" s="348" t="str">
        <f>IF(+T66=0," ",+T65-T66)</f>
        <v xml:space="preserve"> </v>
      </c>
      <c r="V68" s="288">
        <f>+T68-49376</f>
        <v>-49376</v>
      </c>
    </row>
    <row r="69" spans="2:22" ht="15.75">
      <c r="B69" s="276" t="s">
        <v>834</v>
      </c>
      <c r="C69" s="292">
        <f>+'IS BS'!C15</f>
        <v>1933543</v>
      </c>
      <c r="D69" s="294"/>
      <c r="E69" s="292">
        <f>+'IS BS'!E15</f>
        <v>321755</v>
      </c>
      <c r="F69" s="294"/>
      <c r="G69" s="292">
        <f>+'IS BS'!G15</f>
        <v>302133</v>
      </c>
      <c r="H69" s="294"/>
      <c r="I69" s="292">
        <f>+'IS BS'!I15</f>
        <v>79121</v>
      </c>
      <c r="J69" s="294"/>
      <c r="K69" s="294"/>
      <c r="L69" s="276" t="s">
        <v>834</v>
      </c>
      <c r="M69" s="294"/>
      <c r="N69" s="292">
        <f>+'IS BS'!L15</f>
        <v>1177948</v>
      </c>
      <c r="O69" s="294"/>
      <c r="P69" s="292">
        <f>+'IS BS'!N15</f>
        <v>673058</v>
      </c>
      <c r="Q69" s="294"/>
      <c r="R69" s="292">
        <f>+'IS BS'!P15</f>
        <v>81800</v>
      </c>
      <c r="S69" s="294"/>
      <c r="T69" s="292">
        <f>SUM(C69:R69)</f>
        <v>4569358</v>
      </c>
    </row>
    <row r="70" spans="2:22" ht="15.75" hidden="1">
      <c r="B70" s="276" t="s">
        <v>195</v>
      </c>
      <c r="C70" s="294">
        <f>+'IS BS'!C30</f>
        <v>0</v>
      </c>
      <c r="D70" s="294"/>
      <c r="E70" s="294">
        <f>+'IS BS'!E30</f>
        <v>0</v>
      </c>
      <c r="F70" s="294"/>
      <c r="G70" s="294">
        <f>+'IS BS'!G30</f>
        <v>0</v>
      </c>
      <c r="H70" s="294"/>
      <c r="I70" s="294">
        <f>+'IS BS'!I30</f>
        <v>0</v>
      </c>
      <c r="J70" s="294"/>
      <c r="K70" s="294"/>
      <c r="L70" s="276" t="s">
        <v>195</v>
      </c>
      <c r="M70" s="294"/>
      <c r="N70" s="294">
        <f>+'IS BS'!L30</f>
        <v>0</v>
      </c>
      <c r="O70" s="294"/>
      <c r="P70" s="294">
        <f>+'IS BS'!N30</f>
        <v>0</v>
      </c>
      <c r="Q70" s="294"/>
      <c r="R70" s="294">
        <f>+'IS BS'!P30</f>
        <v>0</v>
      </c>
      <c r="S70" s="294"/>
      <c r="T70" s="294">
        <f>SUM(C70:R70)</f>
        <v>0</v>
      </c>
    </row>
    <row r="71" spans="2:22" ht="15.75">
      <c r="B71" s="276"/>
      <c r="C71" s="298"/>
      <c r="D71" s="294"/>
      <c r="E71" s="298"/>
      <c r="F71" s="294"/>
      <c r="G71" s="298"/>
      <c r="H71" s="294"/>
      <c r="I71" s="298"/>
      <c r="J71" s="294"/>
      <c r="K71" s="294"/>
      <c r="L71" s="276"/>
      <c r="M71" s="294"/>
      <c r="N71" s="298"/>
      <c r="O71" s="294"/>
      <c r="P71" s="298"/>
      <c r="Q71" s="294"/>
      <c r="R71" s="298"/>
      <c r="S71" s="294"/>
      <c r="T71" s="298"/>
    </row>
    <row r="72" spans="2:22" ht="16.5" thickBot="1">
      <c r="B72" s="308" t="s">
        <v>196</v>
      </c>
      <c r="C72" s="302">
        <f>SUM(C69:C70)</f>
        <v>1933543</v>
      </c>
      <c r="D72" s="294"/>
      <c r="E72" s="302">
        <f>SUM(E69:E70)</f>
        <v>321755</v>
      </c>
      <c r="F72" s="294"/>
      <c r="G72" s="302">
        <f>SUM(G69:G70)</f>
        <v>302133</v>
      </c>
      <c r="H72" s="294"/>
      <c r="I72" s="302">
        <f>SUM(I69:I70)</f>
        <v>79121</v>
      </c>
      <c r="J72" s="294"/>
      <c r="K72" s="294"/>
      <c r="L72" s="308" t="s">
        <v>1371</v>
      </c>
      <c r="M72" s="294"/>
      <c r="N72" s="302">
        <f>SUM(N69:N70)</f>
        <v>1177948</v>
      </c>
      <c r="O72" s="294"/>
      <c r="P72" s="302">
        <f>SUM(P69:P70)</f>
        <v>673058</v>
      </c>
      <c r="Q72" s="294"/>
      <c r="R72" s="302">
        <f>SUM(R69:R70)</f>
        <v>81800</v>
      </c>
      <c r="S72" s="294"/>
      <c r="T72" s="302">
        <f>SUM(T69:T70)</f>
        <v>4569358</v>
      </c>
    </row>
    <row r="73" spans="2:22" ht="16.5" thickTop="1">
      <c r="B73" s="276"/>
      <c r="C73" s="294"/>
      <c r="D73" s="294"/>
      <c r="E73" s="294"/>
      <c r="F73" s="348"/>
      <c r="G73" s="294"/>
      <c r="H73" s="294"/>
      <c r="I73" s="294"/>
      <c r="J73" s="294"/>
      <c r="K73" s="294"/>
      <c r="L73" s="276"/>
      <c r="M73" s="294"/>
      <c r="N73" s="294"/>
      <c r="O73" s="348"/>
      <c r="P73" s="294"/>
      <c r="Q73" s="294"/>
      <c r="R73" s="294"/>
      <c r="S73" s="294"/>
      <c r="T73" s="294"/>
    </row>
    <row r="74" spans="2:22" ht="15.75">
      <c r="B74" s="308" t="s">
        <v>267</v>
      </c>
      <c r="C74" s="294"/>
      <c r="D74" s="294"/>
      <c r="E74" s="294"/>
      <c r="F74" s="294"/>
      <c r="G74" s="294"/>
      <c r="H74" s="294"/>
      <c r="I74" s="294"/>
      <c r="J74" s="294"/>
      <c r="K74" s="294"/>
      <c r="L74" s="308" t="s">
        <v>267</v>
      </c>
      <c r="M74" s="294"/>
      <c r="N74" s="294"/>
      <c r="O74" s="294"/>
      <c r="P74" s="294"/>
      <c r="Q74" s="294"/>
      <c r="R74" s="294"/>
      <c r="S74" s="294"/>
      <c r="T74" s="294"/>
    </row>
    <row r="75" spans="2:22" ht="15.75">
      <c r="B75" s="308" t="s">
        <v>268</v>
      </c>
      <c r="C75" s="294"/>
      <c r="D75" s="294"/>
      <c r="E75" s="294"/>
      <c r="F75" s="294"/>
      <c r="G75" s="294"/>
      <c r="H75" s="294"/>
      <c r="I75" s="294"/>
      <c r="J75" s="294"/>
      <c r="K75" s="294"/>
      <c r="L75" s="308" t="s">
        <v>268</v>
      </c>
      <c r="M75" s="294"/>
      <c r="N75" s="294"/>
      <c r="O75" s="294"/>
      <c r="P75" s="294"/>
      <c r="Q75" s="294"/>
      <c r="R75" s="294"/>
      <c r="S75" s="294"/>
      <c r="T75" s="294"/>
    </row>
    <row r="76" spans="2:22" ht="15.75">
      <c r="B76" s="276" t="s">
        <v>289</v>
      </c>
      <c r="C76" s="292">
        <f>+'IS IS'!D29</f>
        <v>-49742</v>
      </c>
      <c r="D76" s="292"/>
      <c r="E76" s="292">
        <f>+'IS IS'!F29</f>
        <v>304301</v>
      </c>
      <c r="F76" s="292"/>
      <c r="G76" s="292">
        <f>+'IS IS'!H29</f>
        <v>73323</v>
      </c>
      <c r="H76" s="292"/>
      <c r="I76" s="292">
        <f>+'IS IS'!J29</f>
        <v>6817</v>
      </c>
      <c r="J76" s="292"/>
      <c r="K76" s="292"/>
      <c r="L76" s="276" t="s">
        <v>289</v>
      </c>
      <c r="M76" s="292"/>
      <c r="N76" s="292">
        <f>+'IS IS'!N29</f>
        <v>425679</v>
      </c>
      <c r="O76" s="292"/>
      <c r="P76" s="292">
        <f>+'IS IS'!P29</f>
        <v>-349047</v>
      </c>
      <c r="Q76" s="292"/>
      <c r="R76" s="292">
        <f>+'IS IS'!R29</f>
        <v>-2185424</v>
      </c>
      <c r="S76" s="292"/>
      <c r="T76" s="292">
        <f>SUM(C76:R76)</f>
        <v>-1774093</v>
      </c>
    </row>
    <row r="77" spans="2:22" ht="15.75">
      <c r="B77" s="276"/>
      <c r="C77" s="294"/>
      <c r="D77" s="303"/>
      <c r="E77" s="294"/>
      <c r="F77" s="303"/>
      <c r="G77" s="294"/>
      <c r="H77" s="303"/>
      <c r="I77" s="294"/>
      <c r="J77" s="303"/>
      <c r="K77" s="303"/>
      <c r="L77" s="276"/>
      <c r="M77" s="303"/>
      <c r="N77" s="294"/>
      <c r="O77" s="303"/>
      <c r="P77" s="294"/>
      <c r="Q77" s="303"/>
      <c r="R77" s="294"/>
      <c r="S77" s="303"/>
      <c r="T77" s="294"/>
    </row>
    <row r="78" spans="2:22" ht="15.75">
      <c r="B78" s="308" t="s">
        <v>269</v>
      </c>
      <c r="C78" s="294"/>
      <c r="D78" s="303"/>
      <c r="E78" s="294"/>
      <c r="F78" s="303"/>
      <c r="G78" s="294"/>
      <c r="H78" s="303"/>
      <c r="I78" s="294"/>
      <c r="J78" s="303"/>
      <c r="K78" s="303"/>
      <c r="L78" s="308" t="s">
        <v>269</v>
      </c>
      <c r="M78" s="303"/>
      <c r="N78" s="294"/>
      <c r="O78" s="303"/>
      <c r="P78" s="294"/>
      <c r="Q78" s="303"/>
      <c r="R78" s="294"/>
      <c r="S78" s="303"/>
      <c r="T78" s="294"/>
    </row>
    <row r="79" spans="2:22" ht="15.75">
      <c r="B79" s="308" t="s">
        <v>475</v>
      </c>
      <c r="C79" s="294"/>
      <c r="D79" s="303"/>
      <c r="E79" s="294"/>
      <c r="F79" s="303"/>
      <c r="G79" s="294"/>
      <c r="H79" s="303"/>
      <c r="I79" s="294"/>
      <c r="J79" s="303"/>
      <c r="K79" s="303"/>
      <c r="L79" s="308" t="s">
        <v>475</v>
      </c>
      <c r="M79" s="303"/>
      <c r="N79" s="294"/>
      <c r="O79" s="303"/>
      <c r="P79" s="294"/>
      <c r="Q79" s="303"/>
      <c r="R79" s="294"/>
      <c r="S79" s="303"/>
      <c r="T79" s="294"/>
    </row>
    <row r="80" spans="2:22" ht="15.75">
      <c r="B80" s="276" t="s">
        <v>3503</v>
      </c>
      <c r="C80" s="294">
        <f>+'IS IS'!D25</f>
        <v>28166</v>
      </c>
      <c r="D80" s="303"/>
      <c r="E80" s="294">
        <f>+'IS IS'!F25</f>
        <v>34063</v>
      </c>
      <c r="F80" s="303"/>
      <c r="G80" s="294">
        <f>+'IS IS'!H25</f>
        <v>3661</v>
      </c>
      <c r="H80" s="303"/>
      <c r="I80" s="294">
        <f>+'IS IS'!J25</f>
        <v>0</v>
      </c>
      <c r="J80" s="303"/>
      <c r="K80" s="303"/>
      <c r="L80" s="276" t="s">
        <v>3503</v>
      </c>
      <c r="M80" s="303"/>
      <c r="N80" s="294">
        <f>+'IS IS'!N25</f>
        <v>296450</v>
      </c>
      <c r="O80" s="303"/>
      <c r="P80" s="294">
        <f>+'IS IS'!P25</f>
        <v>0</v>
      </c>
      <c r="Q80" s="303"/>
      <c r="R80" s="294">
        <f>+'IS IS'!R25</f>
        <v>0</v>
      </c>
      <c r="S80" s="303"/>
      <c r="T80" s="294">
        <f>SUM(C80:R80)</f>
        <v>362340</v>
      </c>
    </row>
    <row r="81" spans="2:20" ht="15.75">
      <c r="C81" s="294"/>
      <c r="D81" s="303"/>
      <c r="E81" s="294"/>
      <c r="F81" s="303"/>
      <c r="G81" s="294"/>
      <c r="H81" s="303"/>
      <c r="I81" s="294"/>
      <c r="J81" s="303"/>
      <c r="K81" s="303"/>
      <c r="M81" s="303"/>
      <c r="N81" s="294"/>
      <c r="O81" s="303"/>
      <c r="P81" s="294"/>
      <c r="Q81" s="303"/>
      <c r="R81" s="294"/>
      <c r="S81" s="303"/>
      <c r="T81" s="294"/>
    </row>
    <row r="82" spans="2:20" ht="15.75">
      <c r="B82" s="276" t="s">
        <v>936</v>
      </c>
      <c r="D82" s="303"/>
      <c r="F82" s="303"/>
      <c r="H82" s="303"/>
      <c r="J82" s="303"/>
      <c r="K82" s="303"/>
      <c r="L82" s="276" t="s">
        <v>936</v>
      </c>
      <c r="M82" s="303"/>
      <c r="O82" s="303"/>
      <c r="Q82" s="303"/>
      <c r="S82" s="303"/>
      <c r="T82" s="294"/>
    </row>
    <row r="83" spans="2:20" ht="15.75">
      <c r="B83" s="276" t="s">
        <v>140</v>
      </c>
      <c r="C83" s="294">
        <f>-'IS BS'!C19+C119</f>
        <v>0</v>
      </c>
      <c r="D83" s="303"/>
      <c r="E83" s="294">
        <f>-'IS BS'!E19+E119</f>
        <v>0</v>
      </c>
      <c r="F83" s="303"/>
      <c r="G83" s="294">
        <f>-'IS BS'!G19+G119</f>
        <v>0</v>
      </c>
      <c r="H83" s="303"/>
      <c r="I83" s="294">
        <f>-'IS BS'!I19+I119</f>
        <v>0</v>
      </c>
      <c r="J83" s="303"/>
      <c r="K83" s="303"/>
      <c r="L83" s="276" t="s">
        <v>140</v>
      </c>
      <c r="M83" s="303"/>
      <c r="N83" s="294">
        <f>-'IS BS'!L19+N119-0</f>
        <v>0</v>
      </c>
      <c r="O83" s="303"/>
      <c r="P83" s="294">
        <f>-'IS BS'!N19+P119</f>
        <v>0</v>
      </c>
      <c r="Q83" s="303"/>
      <c r="R83" s="294">
        <f>-'IS BS'!P19+R119+1</f>
        <v>-1804</v>
      </c>
      <c r="S83" s="303"/>
      <c r="T83" s="294">
        <f t="shared" ref="T83:T97" si="3">SUM(C83:R83)</f>
        <v>-1804</v>
      </c>
    </row>
    <row r="84" spans="2:20" ht="15.75" hidden="1">
      <c r="B84" s="276"/>
      <c r="C84" s="294"/>
      <c r="D84" s="303"/>
      <c r="E84" s="294"/>
      <c r="F84" s="303"/>
      <c r="G84" s="294"/>
      <c r="H84" s="303"/>
      <c r="I84" s="294"/>
      <c r="J84" s="303"/>
      <c r="K84" s="303"/>
      <c r="L84" s="276"/>
      <c r="M84" s="303"/>
      <c r="N84" s="294"/>
      <c r="O84" s="303"/>
      <c r="P84" s="294"/>
      <c r="Q84" s="303"/>
      <c r="R84" s="294"/>
      <c r="S84" s="303"/>
      <c r="T84" s="294"/>
    </row>
    <row r="85" spans="2:20" ht="15.75">
      <c r="B85" s="276" t="s">
        <v>3283</v>
      </c>
      <c r="C85" s="294">
        <v>0</v>
      </c>
      <c r="D85" s="303"/>
      <c r="E85" s="294">
        <f>-'IS BS'!E21+E120</f>
        <v>235276</v>
      </c>
      <c r="F85" s="303"/>
      <c r="G85" s="294">
        <v>0</v>
      </c>
      <c r="H85" s="303"/>
      <c r="I85" s="294">
        <v>0</v>
      </c>
      <c r="J85" s="303"/>
      <c r="K85" s="303"/>
      <c r="L85" s="276" t="s">
        <v>3283</v>
      </c>
      <c r="M85" s="303"/>
      <c r="N85" s="294">
        <v>0</v>
      </c>
      <c r="O85" s="303"/>
      <c r="P85" s="294">
        <v>0</v>
      </c>
      <c r="Q85" s="303"/>
      <c r="R85" s="294">
        <v>0</v>
      </c>
      <c r="S85" s="303"/>
      <c r="T85" s="294">
        <f t="shared" ref="T85" si="4">SUM(C85:R85)</f>
        <v>235276</v>
      </c>
    </row>
    <row r="86" spans="2:20" ht="15.75" hidden="1">
      <c r="B86" s="276" t="s">
        <v>2059</v>
      </c>
      <c r="C86" s="294">
        <v>0</v>
      </c>
      <c r="D86" s="303"/>
      <c r="E86" s="294">
        <v>0</v>
      </c>
      <c r="F86" s="303"/>
      <c r="G86" s="294">
        <v>0</v>
      </c>
      <c r="H86" s="303"/>
      <c r="I86" s="294">
        <v>0</v>
      </c>
      <c r="J86" s="303"/>
      <c r="K86" s="303"/>
      <c r="L86" s="276" t="s">
        <v>2059</v>
      </c>
      <c r="M86" s="303"/>
      <c r="N86" s="294">
        <v>0</v>
      </c>
      <c r="O86" s="303"/>
      <c r="P86" s="294">
        <f>-P148</f>
        <v>0</v>
      </c>
      <c r="Q86" s="303"/>
      <c r="R86" s="294">
        <v>0</v>
      </c>
      <c r="S86" s="303"/>
      <c r="T86" s="294">
        <f t="shared" si="3"/>
        <v>0</v>
      </c>
    </row>
    <row r="87" spans="2:20" ht="15.75">
      <c r="B87" s="276" t="s">
        <v>679</v>
      </c>
      <c r="C87" s="294">
        <f>-'IS BS'!C24+C121</f>
        <v>0</v>
      </c>
      <c r="D87" s="303"/>
      <c r="E87" s="294">
        <f>-'IS BS'!E24+E121</f>
        <v>0</v>
      </c>
      <c r="F87" s="303"/>
      <c r="G87" s="294">
        <f>-'IS BS'!G24+G121-3</f>
        <v>2541</v>
      </c>
      <c r="H87" s="303"/>
      <c r="I87" s="294">
        <f>-'IS BS'!I24+I121</f>
        <v>20747</v>
      </c>
      <c r="J87" s="303"/>
      <c r="K87" s="303"/>
      <c r="L87" s="276" t="s">
        <v>679</v>
      </c>
      <c r="M87" s="303"/>
      <c r="N87" s="294">
        <f>-'IS BS'!L24+N121</f>
        <v>0</v>
      </c>
      <c r="O87" s="303"/>
      <c r="P87" s="294">
        <f>-'IS BS'!N24+P121</f>
        <v>0</v>
      </c>
      <c r="Q87" s="303"/>
      <c r="R87" s="294">
        <f>-'IS BS'!P24+R121</f>
        <v>0</v>
      </c>
      <c r="S87" s="303"/>
      <c r="T87" s="294">
        <f t="shared" si="3"/>
        <v>23288</v>
      </c>
    </row>
    <row r="88" spans="2:20" ht="15.75" hidden="1">
      <c r="B88" s="276" t="s">
        <v>371</v>
      </c>
      <c r="C88" s="294">
        <f>-C128</f>
        <v>0</v>
      </c>
      <c r="D88" s="303"/>
      <c r="E88" s="294">
        <f>-E128</f>
        <v>0</v>
      </c>
      <c r="F88" s="303"/>
      <c r="G88" s="294">
        <f>-G128</f>
        <v>0</v>
      </c>
      <c r="H88" s="303"/>
      <c r="I88" s="294">
        <f>-I128</f>
        <v>0</v>
      </c>
      <c r="J88" s="303"/>
      <c r="K88" s="303"/>
      <c r="L88" s="276" t="s">
        <v>371</v>
      </c>
      <c r="M88" s="303"/>
      <c r="N88" s="294">
        <f>-N128</f>
        <v>0</v>
      </c>
      <c r="O88" s="303"/>
      <c r="P88" s="294">
        <f>-P128</f>
        <v>0</v>
      </c>
      <c r="Q88" s="303"/>
      <c r="R88" s="294">
        <f>-R128</f>
        <v>0</v>
      </c>
      <c r="S88" s="303"/>
      <c r="T88" s="294">
        <f t="shared" si="3"/>
        <v>0</v>
      </c>
    </row>
    <row r="89" spans="2:20" ht="15.75">
      <c r="B89" s="276" t="s">
        <v>75</v>
      </c>
      <c r="C89" s="294">
        <f>+'IS BS'!C67+'IS BS'!C59-C130</f>
        <v>15867</v>
      </c>
      <c r="D89" s="303"/>
      <c r="E89" s="294">
        <f>+'IS BS'!E67+'IS BS'!E59-E130</f>
        <v>0</v>
      </c>
      <c r="F89" s="303"/>
      <c r="G89" s="294">
        <f>+'IS BS'!G67+'IS BS'!G59-G130</f>
        <v>347</v>
      </c>
      <c r="H89" s="303"/>
      <c r="I89" s="294">
        <f>+'IS BS'!I67+'IS BS'!I59-I130</f>
        <v>0</v>
      </c>
      <c r="J89" s="303"/>
      <c r="K89" s="303"/>
      <c r="L89" s="276" t="s">
        <v>75</v>
      </c>
      <c r="M89" s="303"/>
      <c r="N89" s="294">
        <f>+'IS BS'!L67+'IS BS'!L59-N130-0</f>
        <v>-24075</v>
      </c>
      <c r="O89" s="303"/>
      <c r="P89" s="294">
        <f>+'IS BS'!N67+'IS BS'!N59-P130</f>
        <v>0</v>
      </c>
      <c r="Q89" s="303"/>
      <c r="R89" s="294">
        <f>+'IS BS'!P67+'IS BS'!P59-R130</f>
        <v>-1291</v>
      </c>
      <c r="S89" s="303"/>
      <c r="T89" s="294">
        <f t="shared" si="3"/>
        <v>-9152</v>
      </c>
    </row>
    <row r="90" spans="2:20" ht="15.75">
      <c r="B90" s="276" t="s">
        <v>389</v>
      </c>
      <c r="C90" s="294">
        <f>+'IS BS'!C49-C126-C142+C143</f>
        <v>0</v>
      </c>
      <c r="D90" s="303"/>
      <c r="E90" s="294">
        <f>+'IS BS'!E49-E126</f>
        <v>0</v>
      </c>
      <c r="F90" s="303"/>
      <c r="G90" s="294">
        <f>+'IS BS'!G49-G126-0</f>
        <v>0</v>
      </c>
      <c r="H90" s="303"/>
      <c r="I90" s="294">
        <f>+'IS BS'!I49-I126</f>
        <v>0</v>
      </c>
      <c r="J90" s="303"/>
      <c r="K90" s="303"/>
      <c r="L90" s="276" t="s">
        <v>389</v>
      </c>
      <c r="M90" s="303"/>
      <c r="N90" s="294">
        <f>+'IS BS'!L49-N126-N144</f>
        <v>-7909</v>
      </c>
      <c r="O90" s="303"/>
      <c r="P90" s="294">
        <f>+'IS BS'!N49-P126-P86</f>
        <v>0</v>
      </c>
      <c r="Q90" s="303"/>
      <c r="R90" s="294">
        <f>+'IS BS'!P49-R126</f>
        <v>0</v>
      </c>
      <c r="S90" s="303"/>
      <c r="T90" s="294">
        <f t="shared" si="3"/>
        <v>-7909</v>
      </c>
    </row>
    <row r="91" spans="2:20" ht="15.75" hidden="1">
      <c r="B91" s="276" t="s">
        <v>3490</v>
      </c>
      <c r="C91" s="294"/>
      <c r="D91" s="303"/>
      <c r="E91" s="294"/>
      <c r="F91" s="303"/>
      <c r="G91" s="294"/>
      <c r="H91" s="303"/>
      <c r="I91" s="294"/>
      <c r="J91" s="303"/>
      <c r="K91" s="303"/>
      <c r="L91" s="276" t="s">
        <v>3490</v>
      </c>
      <c r="M91" s="303"/>
      <c r="N91" s="294">
        <v>0</v>
      </c>
      <c r="O91" s="303"/>
      <c r="P91" s="294"/>
      <c r="Q91" s="303"/>
      <c r="R91" s="294"/>
      <c r="S91" s="303"/>
      <c r="T91" s="294">
        <f t="shared" si="3"/>
        <v>0</v>
      </c>
    </row>
    <row r="92" spans="2:20" ht="15.75" hidden="1">
      <c r="B92" s="523" t="s">
        <v>1006</v>
      </c>
      <c r="C92" s="294">
        <v>0</v>
      </c>
      <c r="D92" s="303"/>
      <c r="E92" s="294">
        <v>0</v>
      </c>
      <c r="F92" s="303"/>
      <c r="G92" s="294">
        <v>0</v>
      </c>
      <c r="H92" s="303"/>
      <c r="I92" s="294">
        <v>0</v>
      </c>
      <c r="J92" s="303"/>
      <c r="K92" s="303"/>
      <c r="L92" s="523" t="s">
        <v>1006</v>
      </c>
      <c r="M92" s="303"/>
      <c r="N92" s="294">
        <v>0</v>
      </c>
      <c r="O92" s="303"/>
      <c r="P92" s="294">
        <v>0</v>
      </c>
      <c r="Q92" s="303"/>
      <c r="R92" s="294">
        <v>0</v>
      </c>
      <c r="S92" s="303"/>
      <c r="T92" s="294">
        <f t="shared" si="3"/>
        <v>0</v>
      </c>
    </row>
    <row r="93" spans="2:20" ht="15.75" hidden="1">
      <c r="B93" s="276" t="s">
        <v>2045</v>
      </c>
      <c r="C93" s="294">
        <v>0</v>
      </c>
      <c r="D93" s="303"/>
      <c r="E93" s="294">
        <v>0</v>
      </c>
      <c r="F93" s="303"/>
      <c r="G93" s="294">
        <v>0</v>
      </c>
      <c r="H93" s="303"/>
      <c r="I93" s="294">
        <v>0</v>
      </c>
      <c r="J93" s="303"/>
      <c r="K93" s="303"/>
      <c r="L93" s="276" t="s">
        <v>2045</v>
      </c>
      <c r="M93" s="303"/>
      <c r="N93" s="294">
        <v>0</v>
      </c>
      <c r="O93" s="303"/>
      <c r="P93" s="294">
        <v>0</v>
      </c>
      <c r="Q93" s="303"/>
      <c r="R93" s="294">
        <v>0</v>
      </c>
      <c r="S93" s="303"/>
      <c r="T93" s="294">
        <f t="shared" si="3"/>
        <v>0</v>
      </c>
    </row>
    <row r="94" spans="2:20" ht="15.75">
      <c r="B94" s="276" t="s">
        <v>766</v>
      </c>
      <c r="C94" s="294">
        <v>0</v>
      </c>
      <c r="D94" s="303"/>
      <c r="E94" s="294">
        <v>0</v>
      </c>
      <c r="F94" s="303"/>
      <c r="G94" s="294">
        <v>0</v>
      </c>
      <c r="H94" s="303"/>
      <c r="I94" s="294">
        <v>0</v>
      </c>
      <c r="J94" s="303"/>
      <c r="K94" s="303"/>
      <c r="L94" s="276" t="s">
        <v>766</v>
      </c>
      <c r="M94" s="303"/>
      <c r="N94" s="294">
        <v>0</v>
      </c>
      <c r="O94" s="303"/>
      <c r="P94" s="294">
        <v>0</v>
      </c>
      <c r="Q94" s="303"/>
      <c r="R94" s="294">
        <f>+'IS BS'!P57-R133</f>
        <v>-135246</v>
      </c>
      <c r="S94" s="303"/>
      <c r="T94" s="294">
        <f t="shared" si="3"/>
        <v>-135246</v>
      </c>
    </row>
    <row r="95" spans="2:20" ht="15.75" hidden="1">
      <c r="B95" s="276" t="s">
        <v>1201</v>
      </c>
      <c r="C95" s="294"/>
      <c r="D95" s="303"/>
      <c r="F95" s="303"/>
      <c r="G95" s="294"/>
      <c r="H95" s="303"/>
      <c r="I95" s="294"/>
      <c r="J95" s="303"/>
      <c r="K95" s="303"/>
      <c r="L95" s="276" t="s">
        <v>1201</v>
      </c>
      <c r="M95" s="303"/>
      <c r="N95" s="294"/>
      <c r="O95" s="303"/>
      <c r="P95" s="294"/>
      <c r="Q95" s="303"/>
      <c r="R95" s="294"/>
      <c r="S95" s="303"/>
      <c r="T95" s="294">
        <f t="shared" si="3"/>
        <v>0</v>
      </c>
    </row>
    <row r="96" spans="2:20" ht="15.75">
      <c r="B96" s="276" t="s">
        <v>3284</v>
      </c>
      <c r="C96" s="294">
        <v>0</v>
      </c>
      <c r="D96" s="303"/>
      <c r="E96" s="294">
        <f>+'IS BS'!E75-'IS CF'!E132</f>
        <v>-247376</v>
      </c>
      <c r="F96" s="303"/>
      <c r="G96" s="294">
        <v>0</v>
      </c>
      <c r="H96" s="303"/>
      <c r="I96" s="294">
        <v>0</v>
      </c>
      <c r="J96" s="303"/>
      <c r="K96" s="303"/>
      <c r="L96" s="276" t="s">
        <v>3284</v>
      </c>
      <c r="M96" s="303"/>
      <c r="N96" s="294">
        <v>0</v>
      </c>
      <c r="O96" s="303"/>
      <c r="P96" s="294">
        <v>0</v>
      </c>
      <c r="Q96" s="303"/>
      <c r="R96" s="294">
        <v>0</v>
      </c>
      <c r="S96" s="303"/>
      <c r="T96" s="294">
        <f t="shared" si="3"/>
        <v>-247376</v>
      </c>
    </row>
    <row r="97" spans="2:27" ht="15.75" hidden="1">
      <c r="B97" s="276" t="s">
        <v>806</v>
      </c>
      <c r="C97" s="294">
        <v>0</v>
      </c>
      <c r="D97" s="303"/>
      <c r="E97" s="294">
        <v>0</v>
      </c>
      <c r="F97" s="303"/>
      <c r="G97" s="294">
        <v>0</v>
      </c>
      <c r="H97" s="303"/>
      <c r="I97" s="294">
        <v>0</v>
      </c>
      <c r="J97" s="303"/>
      <c r="K97" s="303"/>
      <c r="L97" s="276" t="s">
        <v>806</v>
      </c>
      <c r="M97" s="303"/>
      <c r="N97" s="294">
        <v>0</v>
      </c>
      <c r="O97" s="303"/>
      <c r="P97" s="294">
        <v>0</v>
      </c>
      <c r="Q97" s="303"/>
      <c r="R97" s="294">
        <v>0</v>
      </c>
      <c r="S97" s="303"/>
      <c r="T97" s="294">
        <f t="shared" si="3"/>
        <v>0</v>
      </c>
    </row>
    <row r="98" spans="2:27" ht="15.75">
      <c r="B98" s="276"/>
      <c r="C98" s="337"/>
      <c r="D98" s="303"/>
      <c r="E98" s="337"/>
      <c r="F98" s="303"/>
      <c r="G98" s="337"/>
      <c r="H98" s="303"/>
      <c r="I98" s="337"/>
      <c r="J98" s="303"/>
      <c r="K98" s="303"/>
      <c r="L98" s="276"/>
      <c r="M98" s="303"/>
      <c r="N98" s="337"/>
      <c r="O98" s="303"/>
      <c r="P98" s="337"/>
      <c r="Q98" s="303"/>
      <c r="R98" s="337"/>
      <c r="S98" s="303"/>
      <c r="T98" s="337"/>
    </row>
    <row r="99" spans="2:27" ht="16.5" thickBot="1">
      <c r="B99" s="308" t="s">
        <v>243</v>
      </c>
      <c r="C99" s="302">
        <f>SUM(C76:C98)</f>
        <v>-5709</v>
      </c>
      <c r="D99" s="292"/>
      <c r="E99" s="302">
        <f>SUM(E76:E98)</f>
        <v>326264</v>
      </c>
      <c r="F99" s="292"/>
      <c r="G99" s="302">
        <f>SUM(G76:G98)</f>
        <v>79872</v>
      </c>
      <c r="H99" s="292"/>
      <c r="I99" s="302">
        <f>SUM(I76:I98)</f>
        <v>27564</v>
      </c>
      <c r="J99" s="292"/>
      <c r="K99" s="292"/>
      <c r="L99" s="308" t="s">
        <v>243</v>
      </c>
      <c r="M99" s="292"/>
      <c r="N99" s="302">
        <f>SUM(N76:N98)</f>
        <v>690145</v>
      </c>
      <c r="O99" s="292"/>
      <c r="P99" s="302">
        <f>SUM(P76:P98)</f>
        <v>-349047</v>
      </c>
      <c r="Q99" s="292"/>
      <c r="R99" s="302">
        <f>SUM(R76:R98)</f>
        <v>-2323765</v>
      </c>
      <c r="S99" s="292"/>
      <c r="T99" s="302">
        <f>SUM(T76:T98)</f>
        <v>-1554676</v>
      </c>
      <c r="AA99" s="288">
        <f>+N100-4540</f>
        <v>-4540</v>
      </c>
    </row>
    <row r="100" spans="2:27" ht="16.5" thickTop="1">
      <c r="B100" s="334"/>
      <c r="C100" s="346" t="str">
        <f>IF((+C99-C21)=0," ",+C99-C21)</f>
        <v xml:space="preserve"> </v>
      </c>
      <c r="D100" s="423"/>
      <c r="E100" s="346" t="str">
        <f>IF((+E99-E21)=0," ",+E99-E21)</f>
        <v xml:space="preserve"> </v>
      </c>
      <c r="F100" s="423"/>
      <c r="G100" s="346" t="str">
        <f>IF((+G99-G21)=0," ",+G99-G21)</f>
        <v xml:space="preserve"> </v>
      </c>
      <c r="H100" s="423"/>
      <c r="I100" s="346" t="str">
        <f>IF((+I99-I21)=0," ",+I99-I21)</f>
        <v xml:space="preserve"> </v>
      </c>
      <c r="J100" s="423"/>
      <c r="K100" s="423"/>
      <c r="L100" s="334"/>
      <c r="M100" s="423"/>
      <c r="N100" s="346" t="str">
        <f>IF((+N99-N21)=0," ",+N99-N21)</f>
        <v xml:space="preserve"> </v>
      </c>
      <c r="O100" s="423"/>
      <c r="P100" s="346" t="str">
        <f>IF((+P99-P21)=0," ",+P99-P21)</f>
        <v xml:space="preserve"> </v>
      </c>
      <c r="Q100" s="423"/>
      <c r="R100" s="346" t="str">
        <f>IF((+R99-R21)=0," ",+R99-R21)</f>
        <v xml:space="preserve"> </v>
      </c>
      <c r="S100" s="423"/>
      <c r="T100" s="346"/>
    </row>
    <row r="101" spans="2:27" ht="15.75" hidden="1">
      <c r="B101" s="276"/>
      <c r="C101" s="294">
        <f>+C99-C21</f>
        <v>0</v>
      </c>
      <c r="D101" s="294"/>
      <c r="E101" s="294">
        <f>+E99-E21</f>
        <v>0</v>
      </c>
      <c r="F101" s="294"/>
      <c r="G101" s="294">
        <f>+G99-G21</f>
        <v>0</v>
      </c>
      <c r="H101" s="294"/>
      <c r="I101" s="294">
        <f>+I99-I21</f>
        <v>0</v>
      </c>
      <c r="J101" s="294"/>
      <c r="K101" s="294"/>
      <c r="L101" s="276"/>
      <c r="M101" s="294"/>
      <c r="N101" s="294">
        <f>+N99-N21</f>
        <v>0</v>
      </c>
      <c r="O101" s="294"/>
      <c r="P101" s="294">
        <f>+P99-P21</f>
        <v>0</v>
      </c>
      <c r="Q101" s="294"/>
      <c r="R101" s="294">
        <f>+R99-R21</f>
        <v>0</v>
      </c>
      <c r="S101" s="294"/>
      <c r="T101" s="294">
        <f>+T99-T21</f>
        <v>0</v>
      </c>
    </row>
    <row r="102" spans="2:27" ht="15.75">
      <c r="B102" s="308" t="s">
        <v>1036</v>
      </c>
      <c r="C102" s="294"/>
      <c r="D102" s="294"/>
      <c r="E102" s="294"/>
      <c r="F102" s="294"/>
      <c r="G102" s="294"/>
      <c r="H102" s="294"/>
      <c r="I102" s="294"/>
      <c r="J102" s="294"/>
      <c r="K102" s="294"/>
      <c r="L102" s="308" t="s">
        <v>1036</v>
      </c>
      <c r="M102" s="294"/>
      <c r="N102" s="294"/>
      <c r="O102" s="294"/>
      <c r="P102" s="294"/>
      <c r="Q102" s="294"/>
      <c r="R102" s="294"/>
      <c r="S102" s="294"/>
      <c r="T102" s="294"/>
    </row>
    <row r="103" spans="2:27" ht="15.75" hidden="1">
      <c r="B103" s="276" t="s">
        <v>3171</v>
      </c>
      <c r="C103" s="294">
        <f>+'IS IS'!D44</f>
        <v>0</v>
      </c>
      <c r="D103" s="294"/>
      <c r="E103" s="294">
        <f>+'IS IS'!F44</f>
        <v>0</v>
      </c>
      <c r="F103" s="294"/>
      <c r="G103" s="294">
        <f>+'IS IS'!H44</f>
        <v>0</v>
      </c>
      <c r="H103" s="294"/>
      <c r="I103" s="294">
        <f>+'IS IS'!J44</f>
        <v>0</v>
      </c>
      <c r="J103" s="294"/>
      <c r="K103" s="294"/>
      <c r="L103" s="276" t="s">
        <v>3171</v>
      </c>
      <c r="M103" s="294"/>
      <c r="N103" s="294">
        <f>+'IS IS'!O44</f>
        <v>0</v>
      </c>
      <c r="O103" s="294"/>
      <c r="P103" s="294">
        <f>+'IS IS'!Q44</f>
        <v>0</v>
      </c>
      <c r="Q103" s="294"/>
      <c r="R103" s="294">
        <f>+'IS IS'!S44</f>
        <v>0</v>
      </c>
      <c r="S103" s="294"/>
      <c r="T103" s="294">
        <f>SUM(C103:R103)</f>
        <v>0</v>
      </c>
      <c r="V103" s="1217" t="s">
        <v>3332</v>
      </c>
    </row>
    <row r="104" spans="2:27" ht="15.75" hidden="1">
      <c r="B104" s="276" t="s">
        <v>1202</v>
      </c>
      <c r="C104" s="294"/>
      <c r="D104" s="294"/>
      <c r="E104" s="294"/>
      <c r="F104" s="294"/>
      <c r="G104" s="294"/>
      <c r="H104" s="294"/>
      <c r="I104" s="294"/>
      <c r="J104" s="294"/>
      <c r="K104" s="294"/>
      <c r="L104" s="276" t="s">
        <v>1202</v>
      </c>
      <c r="M104" s="294"/>
      <c r="N104" s="294"/>
      <c r="O104" s="294"/>
      <c r="P104" s="294"/>
      <c r="Q104" s="294"/>
      <c r="R104" s="294"/>
      <c r="S104" s="294"/>
      <c r="T104" s="294">
        <f>SUM(C104:R104)</f>
        <v>0</v>
      </c>
    </row>
    <row r="105" spans="2:27" ht="15.75" hidden="1">
      <c r="B105" s="276"/>
      <c r="C105" s="294"/>
      <c r="D105" s="294"/>
      <c r="E105" s="294"/>
      <c r="F105" s="294"/>
      <c r="G105" s="294"/>
      <c r="H105" s="294"/>
      <c r="I105" s="294"/>
      <c r="J105" s="294"/>
      <c r="K105" s="294"/>
      <c r="L105" s="276"/>
      <c r="M105" s="294"/>
      <c r="N105" s="294"/>
      <c r="O105" s="294"/>
      <c r="P105" s="294"/>
      <c r="Q105" s="294"/>
      <c r="R105" s="294"/>
      <c r="S105" s="294"/>
      <c r="T105" s="294"/>
    </row>
    <row r="106" spans="2:27" ht="15.75" hidden="1">
      <c r="B106" s="276" t="s">
        <v>832</v>
      </c>
      <c r="C106" s="294">
        <f>+INPUT!CL334</f>
        <v>0</v>
      </c>
      <c r="E106" s="294">
        <f>+INPUT!CM334</f>
        <v>0</v>
      </c>
      <c r="G106" s="294">
        <f>+INPUT!CN334</f>
        <v>0</v>
      </c>
      <c r="I106" s="294">
        <f>+INPUT!CO334</f>
        <v>0</v>
      </c>
      <c r="J106" s="294"/>
      <c r="K106" s="294"/>
      <c r="L106" s="276" t="s">
        <v>832</v>
      </c>
      <c r="M106" s="294"/>
      <c r="N106" s="294">
        <f>+INPUT!CP334</f>
        <v>0</v>
      </c>
      <c r="O106" s="294"/>
      <c r="P106" s="294">
        <v>0</v>
      </c>
      <c r="Q106" s="294"/>
      <c r="R106" s="294">
        <v>0</v>
      </c>
      <c r="S106" s="294"/>
      <c r="T106" s="294">
        <f t="shared" ref="T106:T111" si="5">SUM(C106:R106)</f>
        <v>0</v>
      </c>
    </row>
    <row r="107" spans="2:27" ht="15.75" hidden="1">
      <c r="B107" s="276" t="s">
        <v>208</v>
      </c>
      <c r="C107" s="294"/>
      <c r="D107" s="294"/>
      <c r="E107" s="294"/>
      <c r="F107" s="294"/>
      <c r="G107" s="294"/>
      <c r="H107" s="294"/>
      <c r="I107" s="294"/>
      <c r="J107" s="294"/>
      <c r="K107" s="294"/>
      <c r="L107" s="276" t="s">
        <v>208</v>
      </c>
      <c r="M107" s="294"/>
      <c r="N107" s="294"/>
      <c r="O107" s="294"/>
      <c r="P107" s="294"/>
      <c r="Q107" s="294"/>
      <c r="R107" s="294"/>
      <c r="S107" s="294"/>
      <c r="T107" s="294">
        <f t="shared" si="5"/>
        <v>0</v>
      </c>
    </row>
    <row r="108" spans="2:27" ht="15.75" hidden="1">
      <c r="B108" s="276" t="s">
        <v>1005</v>
      </c>
      <c r="C108" s="294">
        <v>0</v>
      </c>
      <c r="D108" s="294"/>
      <c r="E108" s="294">
        <v>0</v>
      </c>
      <c r="F108" s="294"/>
      <c r="G108" s="294">
        <v>0</v>
      </c>
      <c r="H108" s="294"/>
      <c r="I108" s="294">
        <v>0</v>
      </c>
      <c r="J108" s="294"/>
      <c r="K108" s="294"/>
      <c r="L108" s="276" t="s">
        <v>1005</v>
      </c>
      <c r="M108" s="294"/>
      <c r="N108" s="294">
        <v>0</v>
      </c>
      <c r="O108" s="294"/>
      <c r="P108" s="294">
        <v>0</v>
      </c>
      <c r="Q108" s="294"/>
      <c r="R108" s="294">
        <v>0</v>
      </c>
      <c r="S108" s="294"/>
      <c r="T108" s="294">
        <f t="shared" si="5"/>
        <v>0</v>
      </c>
    </row>
    <row r="109" spans="2:27" ht="15.75" hidden="1">
      <c r="B109" s="276" t="s">
        <v>1007</v>
      </c>
      <c r="C109" s="294">
        <v>0</v>
      </c>
      <c r="E109" s="294">
        <f>+E93</f>
        <v>0</v>
      </c>
      <c r="G109" s="294">
        <f>+G140</f>
        <v>0</v>
      </c>
      <c r="I109" s="294">
        <f>+I140</f>
        <v>0</v>
      </c>
      <c r="L109" s="276" t="s">
        <v>1007</v>
      </c>
      <c r="N109" s="294">
        <f>+N140</f>
        <v>0</v>
      </c>
      <c r="P109" s="294">
        <f>+P140</f>
        <v>0</v>
      </c>
      <c r="R109" s="294">
        <f>+R140</f>
        <v>0</v>
      </c>
      <c r="T109" s="294">
        <f t="shared" si="5"/>
        <v>0</v>
      </c>
    </row>
    <row r="110" spans="2:27" ht="15.75">
      <c r="B110" s="276" t="s">
        <v>3506</v>
      </c>
      <c r="C110" s="294">
        <v>0</v>
      </c>
      <c r="E110" s="294">
        <v>0</v>
      </c>
      <c r="G110" s="294">
        <v>0</v>
      </c>
      <c r="I110" s="294">
        <v>0</v>
      </c>
      <c r="L110" s="276" t="s">
        <v>3506</v>
      </c>
      <c r="N110" s="294">
        <f>+N147</f>
        <v>813813</v>
      </c>
      <c r="P110" s="294">
        <v>0</v>
      </c>
      <c r="R110" s="294">
        <v>0</v>
      </c>
      <c r="T110" s="294">
        <f t="shared" si="5"/>
        <v>813813</v>
      </c>
    </row>
    <row r="111" spans="2:27" ht="15.75">
      <c r="B111" s="276" t="s">
        <v>3519</v>
      </c>
      <c r="C111" s="294">
        <v>0</v>
      </c>
      <c r="E111" s="294">
        <v>0</v>
      </c>
      <c r="G111" s="294">
        <v>0</v>
      </c>
      <c r="I111" s="294">
        <v>0</v>
      </c>
      <c r="L111" s="276" t="s">
        <v>3519</v>
      </c>
      <c r="N111" s="294">
        <f>+N145</f>
        <v>547482</v>
      </c>
      <c r="P111" s="294">
        <v>0</v>
      </c>
      <c r="R111" s="294">
        <v>0</v>
      </c>
      <c r="T111" s="294">
        <f t="shared" si="5"/>
        <v>547482</v>
      </c>
    </row>
    <row r="112" spans="2:27" ht="15.75">
      <c r="B112" s="276"/>
    </row>
    <row r="113" spans="2:25">
      <c r="E113" s="288">
        <v>657416</v>
      </c>
    </row>
    <row r="114" spans="2:25" ht="15.75">
      <c r="G114" s="528"/>
    </row>
    <row r="115" spans="2:25" ht="15.75">
      <c r="C115" s="1059" t="s">
        <v>3489</v>
      </c>
      <c r="D115" s="357"/>
      <c r="E115" s="357"/>
      <c r="F115" s="357"/>
      <c r="G115" s="357"/>
      <c r="H115" s="357"/>
      <c r="I115" s="357"/>
      <c r="J115" s="357"/>
      <c r="N115" s="1059" t="s">
        <v>3489</v>
      </c>
      <c r="O115" s="357"/>
      <c r="P115" s="357"/>
      <c r="Q115" s="357"/>
      <c r="R115" s="357"/>
    </row>
    <row r="117" spans="2:25" ht="15.75">
      <c r="B117" s="288" t="s">
        <v>1363</v>
      </c>
      <c r="C117" s="310">
        <v>1569788</v>
      </c>
      <c r="D117" s="310"/>
      <c r="E117" s="310">
        <v>310488</v>
      </c>
      <c r="F117" s="310"/>
      <c r="G117" s="310">
        <v>494839</v>
      </c>
      <c r="H117" s="310"/>
      <c r="I117" s="310">
        <v>59891</v>
      </c>
      <c r="L117" s="288" t="s">
        <v>1363</v>
      </c>
      <c r="N117" s="310">
        <v>1098570</v>
      </c>
      <c r="O117" s="310"/>
      <c r="P117" s="310">
        <v>959916</v>
      </c>
      <c r="Q117" s="310"/>
      <c r="R117" s="310">
        <v>841503</v>
      </c>
      <c r="S117" s="310"/>
      <c r="T117" s="276">
        <f t="shared" ref="T117:T124" si="6">SUM(C117:R117)</f>
        <v>5334995</v>
      </c>
      <c r="Y117" s="288">
        <f>+'IS BS'!R69+'IS BS'!R54</f>
        <v>308763</v>
      </c>
    </row>
    <row r="118" spans="2:25" ht="15.75">
      <c r="B118" s="288" t="s">
        <v>661</v>
      </c>
      <c r="C118" s="310">
        <v>114532</v>
      </c>
      <c r="D118" s="310"/>
      <c r="E118" s="310">
        <v>22653</v>
      </c>
      <c r="F118" s="310"/>
      <c r="G118" s="310">
        <v>36104</v>
      </c>
      <c r="H118" s="310"/>
      <c r="I118" s="310">
        <v>4370</v>
      </c>
      <c r="L118" s="288" t="s">
        <v>661</v>
      </c>
      <c r="N118" s="310">
        <v>80152</v>
      </c>
      <c r="O118" s="310"/>
      <c r="P118" s="310">
        <v>70036</v>
      </c>
      <c r="Q118" s="310"/>
      <c r="R118" s="310">
        <v>61396</v>
      </c>
      <c r="S118" s="310"/>
      <c r="T118" s="276">
        <f t="shared" si="6"/>
        <v>389243</v>
      </c>
    </row>
    <row r="119" spans="2:25" ht="15.75">
      <c r="B119" s="288" t="s">
        <v>662</v>
      </c>
      <c r="C119" s="310"/>
      <c r="D119" s="310"/>
      <c r="E119" s="310"/>
      <c r="F119" s="310"/>
      <c r="G119" s="310">
        <v>0</v>
      </c>
      <c r="H119" s="310"/>
      <c r="I119" s="310"/>
      <c r="L119" s="288" t="s">
        <v>662</v>
      </c>
      <c r="N119" s="310">
        <v>0</v>
      </c>
      <c r="O119" s="310"/>
      <c r="P119" s="310">
        <v>0</v>
      </c>
      <c r="Q119" s="310"/>
      <c r="R119" s="310">
        <v>260345</v>
      </c>
      <c r="S119" s="310"/>
      <c r="T119" s="276">
        <f t="shared" si="6"/>
        <v>260345</v>
      </c>
    </row>
    <row r="120" spans="2:25" ht="15.75">
      <c r="B120" s="288" t="s">
        <v>3282</v>
      </c>
      <c r="C120" s="310"/>
      <c r="D120" s="310"/>
      <c r="E120" s="310">
        <v>657416</v>
      </c>
      <c r="F120" s="310"/>
      <c r="G120" s="310"/>
      <c r="H120" s="310"/>
      <c r="I120" s="310"/>
      <c r="L120" s="288" t="s">
        <v>3282</v>
      </c>
      <c r="N120" s="310"/>
      <c r="O120" s="310"/>
      <c r="P120" s="310"/>
      <c r="Q120" s="310"/>
      <c r="R120" s="310"/>
      <c r="S120" s="310"/>
      <c r="T120" s="276">
        <f t="shared" si="6"/>
        <v>657416</v>
      </c>
    </row>
    <row r="121" spans="2:25" ht="15.75">
      <c r="B121" s="288" t="s">
        <v>1365</v>
      </c>
      <c r="C121" s="310"/>
      <c r="D121" s="310"/>
      <c r="E121" s="310">
        <v>0</v>
      </c>
      <c r="F121" s="310"/>
      <c r="G121" s="310">
        <v>12744</v>
      </c>
      <c r="H121" s="310"/>
      <c r="I121" s="310">
        <f>46336+3</f>
        <v>46339</v>
      </c>
      <c r="L121" s="288" t="s">
        <v>1365</v>
      </c>
      <c r="N121" s="310"/>
      <c r="O121" s="310"/>
      <c r="P121" s="310"/>
      <c r="Q121" s="310"/>
      <c r="R121" s="310"/>
      <c r="S121" s="310"/>
      <c r="T121" s="276">
        <f t="shared" si="6"/>
        <v>59083</v>
      </c>
      <c r="V121" s="391"/>
    </row>
    <row r="122" spans="2:25" ht="15.75">
      <c r="B122" s="288" t="s">
        <v>1364</v>
      </c>
      <c r="C122" s="310"/>
      <c r="D122" s="310"/>
      <c r="E122" s="310"/>
      <c r="F122" s="310"/>
      <c r="G122" s="310"/>
      <c r="H122" s="310"/>
      <c r="I122" s="310"/>
      <c r="L122" s="288" t="s">
        <v>1364</v>
      </c>
      <c r="N122" s="310"/>
      <c r="O122" s="310"/>
      <c r="P122" s="310"/>
      <c r="Q122" s="310"/>
      <c r="R122" s="310"/>
      <c r="S122" s="310"/>
      <c r="T122" s="276">
        <f t="shared" si="6"/>
        <v>0</v>
      </c>
    </row>
    <row r="123" spans="2:25" ht="15.75">
      <c r="B123" s="288" t="s">
        <v>663</v>
      </c>
      <c r="C123" s="310"/>
      <c r="D123" s="310"/>
      <c r="E123" s="310"/>
      <c r="F123" s="310"/>
      <c r="G123" s="310"/>
      <c r="H123" s="310"/>
      <c r="I123" s="310"/>
      <c r="L123" s="288" t="s">
        <v>663</v>
      </c>
      <c r="N123" s="310"/>
      <c r="O123" s="310"/>
      <c r="P123" s="310"/>
      <c r="Q123" s="310"/>
      <c r="R123" s="310"/>
      <c r="S123" s="310"/>
      <c r="T123" s="276">
        <f t="shared" si="6"/>
        <v>0</v>
      </c>
    </row>
    <row r="124" spans="2:25" ht="15.75">
      <c r="B124" s="288" t="s">
        <v>711</v>
      </c>
      <c r="C124" s="310">
        <v>58040</v>
      </c>
      <c r="D124" s="310"/>
      <c r="E124" s="310">
        <v>629459</v>
      </c>
      <c r="F124" s="310"/>
      <c r="G124" s="310">
        <v>9468</v>
      </c>
      <c r="H124" s="310"/>
      <c r="I124" s="310">
        <v>0</v>
      </c>
      <c r="L124" s="288" t="s">
        <v>711</v>
      </c>
      <c r="N124" s="310">
        <v>9474</v>
      </c>
      <c r="O124" s="310"/>
      <c r="P124" s="310"/>
      <c r="Q124" s="310"/>
      <c r="R124" s="310"/>
      <c r="S124" s="310"/>
      <c r="T124" s="276">
        <f t="shared" si="6"/>
        <v>706441</v>
      </c>
    </row>
    <row r="125" spans="2:25" ht="15.75">
      <c r="C125" s="310"/>
      <c r="D125" s="310"/>
      <c r="E125" s="310"/>
      <c r="F125" s="310"/>
      <c r="G125" s="310"/>
      <c r="H125" s="310"/>
      <c r="I125" s="310"/>
      <c r="N125" s="310"/>
      <c r="O125" s="310"/>
      <c r="P125" s="310"/>
      <c r="Q125" s="310"/>
      <c r="R125" s="310"/>
      <c r="S125" s="310"/>
      <c r="T125" s="276"/>
    </row>
    <row r="126" spans="2:25" ht="15.75">
      <c r="B126" s="288" t="s">
        <v>274</v>
      </c>
      <c r="C126" s="310">
        <v>0</v>
      </c>
      <c r="D126" s="310"/>
      <c r="E126" s="310">
        <v>0</v>
      </c>
      <c r="F126" s="310"/>
      <c r="G126" s="528">
        <v>0</v>
      </c>
      <c r="H126" s="310"/>
      <c r="I126" s="310">
        <v>0</v>
      </c>
      <c r="L126" s="288" t="s">
        <v>274</v>
      </c>
      <c r="N126" s="310">
        <v>51558</v>
      </c>
      <c r="O126" s="310"/>
      <c r="P126" s="310">
        <v>0</v>
      </c>
      <c r="Q126" s="310"/>
      <c r="R126" s="310">
        <v>0</v>
      </c>
      <c r="S126" s="310"/>
      <c r="T126" s="276">
        <f t="shared" ref="T126:T140" si="7">SUM(C126:R126)</f>
        <v>51558</v>
      </c>
    </row>
    <row r="127" spans="2:25" ht="15.75">
      <c r="B127" s="288" t="s">
        <v>895</v>
      </c>
      <c r="C127" s="310"/>
      <c r="D127" s="310"/>
      <c r="E127" s="310"/>
      <c r="F127" s="310"/>
      <c r="G127" s="310"/>
      <c r="H127" s="310"/>
      <c r="I127" s="310">
        <v>0</v>
      </c>
      <c r="L127" s="288" t="s">
        <v>240</v>
      </c>
      <c r="N127" s="310"/>
      <c r="O127" s="310"/>
      <c r="P127" s="310"/>
      <c r="Q127" s="310"/>
      <c r="R127" s="310"/>
      <c r="S127" s="310"/>
      <c r="T127" s="276">
        <f t="shared" si="7"/>
        <v>0</v>
      </c>
    </row>
    <row r="128" spans="2:25" ht="15.75">
      <c r="B128" s="288" t="s">
        <v>712</v>
      </c>
      <c r="C128" s="310"/>
      <c r="D128" s="310"/>
      <c r="E128" s="310"/>
      <c r="F128" s="310"/>
      <c r="G128" s="310"/>
      <c r="H128" s="310"/>
      <c r="I128" s="310"/>
      <c r="L128" s="288" t="s">
        <v>712</v>
      </c>
      <c r="N128" s="310"/>
      <c r="O128" s="310"/>
      <c r="P128" s="310"/>
      <c r="Q128" s="310"/>
      <c r="R128" s="310"/>
      <c r="S128" s="310"/>
      <c r="T128" s="276">
        <f t="shared" si="7"/>
        <v>0</v>
      </c>
    </row>
    <row r="129" spans="2:20" ht="15.75">
      <c r="B129" s="288" t="s">
        <v>276</v>
      </c>
      <c r="C129" s="310"/>
      <c r="D129" s="310"/>
      <c r="E129" s="310"/>
      <c r="F129" s="310"/>
      <c r="G129" s="310"/>
      <c r="H129" s="310"/>
      <c r="I129" s="310"/>
      <c r="L129" s="288" t="s">
        <v>276</v>
      </c>
      <c r="N129" s="310"/>
      <c r="O129" s="310"/>
      <c r="P129" s="310"/>
      <c r="Q129" s="310"/>
      <c r="R129" s="310"/>
      <c r="S129" s="310"/>
      <c r="T129" s="276">
        <f t="shared" si="7"/>
        <v>0</v>
      </c>
    </row>
    <row r="130" spans="2:20" ht="15.75">
      <c r="B130" s="288" t="s">
        <v>149</v>
      </c>
      <c r="C130" s="276">
        <f>+INPUT!CL269</f>
        <v>52104</v>
      </c>
      <c r="D130" s="276"/>
      <c r="E130" s="276">
        <f>+INPUT!CM269</f>
        <v>0</v>
      </c>
      <c r="F130" s="276"/>
      <c r="G130" s="276">
        <f>+INPUT!CN269</f>
        <v>66088</v>
      </c>
      <c r="H130" s="276"/>
      <c r="I130" s="276">
        <f>+INPUT!CO269</f>
        <v>0</v>
      </c>
      <c r="L130" s="288" t="s">
        <v>149</v>
      </c>
      <c r="N130" s="276">
        <f>+INPUT!CP269</f>
        <v>159048</v>
      </c>
      <c r="O130" s="276"/>
      <c r="P130" s="276">
        <f>+INPUT!CQ269</f>
        <v>0</v>
      </c>
      <c r="Q130" s="276"/>
      <c r="R130" s="276">
        <f>+INPUT!CR269</f>
        <v>7210</v>
      </c>
      <c r="S130" s="310"/>
      <c r="T130" s="276">
        <f t="shared" si="7"/>
        <v>284450</v>
      </c>
    </row>
    <row r="131" spans="2:20" ht="15.75">
      <c r="B131" s="288" t="s">
        <v>3491</v>
      </c>
      <c r="C131" s="276"/>
      <c r="D131" s="276"/>
      <c r="E131" s="276"/>
      <c r="F131" s="276"/>
      <c r="G131" s="276"/>
      <c r="H131" s="276"/>
      <c r="I131" s="276"/>
      <c r="L131" s="288" t="s">
        <v>3491</v>
      </c>
      <c r="N131" s="310">
        <v>0</v>
      </c>
      <c r="O131" s="276"/>
      <c r="P131" s="276"/>
      <c r="Q131" s="276"/>
      <c r="R131" s="276"/>
      <c r="S131" s="310"/>
      <c r="T131" s="276"/>
    </row>
    <row r="132" spans="2:20" ht="15.75">
      <c r="B132" s="288" t="s">
        <v>3285</v>
      </c>
      <c r="C132" s="276"/>
      <c r="D132" s="276"/>
      <c r="E132" s="310">
        <v>652385</v>
      </c>
      <c r="F132" s="276"/>
      <c r="G132" s="276"/>
      <c r="H132" s="276"/>
      <c r="I132" s="276"/>
      <c r="L132" s="288" t="s">
        <v>3285</v>
      </c>
      <c r="N132" s="276"/>
      <c r="O132" s="276"/>
      <c r="P132" s="276"/>
      <c r="Q132" s="276"/>
      <c r="R132" s="276"/>
      <c r="S132" s="310"/>
      <c r="T132" s="276"/>
    </row>
    <row r="133" spans="2:20" ht="15.75">
      <c r="B133" s="288" t="s">
        <v>241</v>
      </c>
      <c r="C133" s="310"/>
      <c r="D133" s="310"/>
      <c r="E133" s="310"/>
      <c r="F133" s="310"/>
      <c r="G133" s="310"/>
      <c r="H133" s="310"/>
      <c r="I133" s="310"/>
      <c r="L133" s="288" t="s">
        <v>241</v>
      </c>
      <c r="N133" s="310"/>
      <c r="O133" s="310"/>
      <c r="P133" s="310"/>
      <c r="Q133" s="310"/>
      <c r="R133" s="310">
        <v>618237</v>
      </c>
      <c r="S133" s="310"/>
      <c r="T133" s="276">
        <f t="shared" si="7"/>
        <v>618237</v>
      </c>
    </row>
    <row r="134" spans="2:20" ht="15.75">
      <c r="B134" s="288" t="s">
        <v>1192</v>
      </c>
      <c r="C134" s="310"/>
      <c r="D134" s="310"/>
      <c r="E134" s="310"/>
      <c r="F134" s="310"/>
      <c r="G134" s="310"/>
      <c r="H134" s="310"/>
      <c r="I134" s="310"/>
      <c r="L134" s="288" t="s">
        <v>1192</v>
      </c>
      <c r="N134" s="310"/>
      <c r="O134" s="310"/>
      <c r="P134" s="310"/>
      <c r="Q134" s="310"/>
      <c r="R134" s="310"/>
      <c r="S134" s="310"/>
      <c r="T134" s="276">
        <f t="shared" si="7"/>
        <v>0</v>
      </c>
    </row>
    <row r="135" spans="2:20" ht="15.75">
      <c r="B135" s="288" t="s">
        <v>277</v>
      </c>
      <c r="C135" s="310">
        <v>0</v>
      </c>
      <c r="D135" s="310"/>
      <c r="E135" s="276"/>
      <c r="F135" s="310"/>
      <c r="G135" s="310"/>
      <c r="H135" s="310"/>
      <c r="I135" s="310">
        <v>0</v>
      </c>
      <c r="L135" s="288" t="s">
        <v>277</v>
      </c>
      <c r="N135" s="310">
        <v>0</v>
      </c>
      <c r="O135" s="310"/>
      <c r="P135" s="310"/>
      <c r="Q135" s="310"/>
      <c r="R135" s="310"/>
      <c r="S135" s="310"/>
      <c r="T135" s="276">
        <f t="shared" si="7"/>
        <v>0</v>
      </c>
    </row>
    <row r="136" spans="2:20" ht="15.75">
      <c r="B136" s="529" t="s">
        <v>660</v>
      </c>
      <c r="C136" s="310"/>
      <c r="D136" s="310"/>
      <c r="E136" s="310"/>
      <c r="F136" s="310"/>
      <c r="G136" s="310"/>
      <c r="H136" s="310"/>
      <c r="I136" s="310"/>
      <c r="L136" s="288" t="s">
        <v>660</v>
      </c>
      <c r="N136" s="310"/>
      <c r="O136" s="310"/>
      <c r="P136" s="310"/>
      <c r="Q136" s="310"/>
      <c r="R136" s="310"/>
      <c r="S136" s="310"/>
      <c r="T136" s="276">
        <f t="shared" si="7"/>
        <v>0</v>
      </c>
    </row>
    <row r="137" spans="2:20" ht="15.75">
      <c r="B137" s="288" t="s">
        <v>275</v>
      </c>
      <c r="C137" s="310"/>
      <c r="D137" s="310"/>
      <c r="E137" s="310"/>
      <c r="F137" s="310"/>
      <c r="G137" s="310"/>
      <c r="H137" s="310"/>
      <c r="I137" s="310"/>
      <c r="L137" s="288" t="s">
        <v>275</v>
      </c>
      <c r="N137" s="310">
        <f>+INPUT!CP227</f>
        <v>0</v>
      </c>
      <c r="O137" s="310"/>
      <c r="P137" s="310">
        <f>+INPUT!CQ227</f>
        <v>0</v>
      </c>
      <c r="Q137" s="310"/>
      <c r="R137" s="310">
        <f>+INPUT!CR227</f>
        <v>0</v>
      </c>
      <c r="S137" s="310"/>
      <c r="T137" s="276">
        <f t="shared" si="7"/>
        <v>0</v>
      </c>
    </row>
    <row r="138" spans="2:20" ht="15.75">
      <c r="B138" s="288" t="s">
        <v>238</v>
      </c>
      <c r="C138" s="310"/>
      <c r="D138" s="310"/>
      <c r="E138" s="310"/>
      <c r="F138" s="310"/>
      <c r="G138" s="310"/>
      <c r="H138" s="310"/>
      <c r="I138" s="310"/>
      <c r="L138" s="288" t="s">
        <v>238</v>
      </c>
      <c r="N138" s="310"/>
      <c r="O138" s="310"/>
      <c r="P138" s="310"/>
      <c r="Q138" s="310"/>
      <c r="R138" s="310"/>
      <c r="S138" s="310"/>
      <c r="T138" s="276">
        <f t="shared" si="7"/>
        <v>0</v>
      </c>
    </row>
    <row r="139" spans="2:20" ht="15.75">
      <c r="B139" s="288" t="s">
        <v>239</v>
      </c>
      <c r="C139" s="310"/>
      <c r="D139" s="310"/>
      <c r="E139" s="310"/>
      <c r="F139" s="310"/>
      <c r="G139" s="310"/>
      <c r="H139" s="310"/>
      <c r="I139" s="310"/>
      <c r="L139" s="288" t="s">
        <v>239</v>
      </c>
      <c r="N139" s="310"/>
      <c r="O139" s="310"/>
      <c r="P139" s="310"/>
      <c r="Q139" s="310"/>
      <c r="R139" s="310"/>
      <c r="S139" s="310"/>
      <c r="T139" s="276">
        <f t="shared" si="7"/>
        <v>0</v>
      </c>
    </row>
    <row r="140" spans="2:20" ht="15.75">
      <c r="B140" s="288" t="s">
        <v>1309</v>
      </c>
      <c r="C140" s="310"/>
      <c r="D140" s="310"/>
      <c r="E140" s="530">
        <v>0</v>
      </c>
      <c r="F140" s="310"/>
      <c r="G140" s="310">
        <v>0</v>
      </c>
      <c r="H140" s="310"/>
      <c r="I140" s="310">
        <v>0</v>
      </c>
      <c r="L140" s="288" t="s">
        <v>1309</v>
      </c>
      <c r="N140" s="310"/>
      <c r="O140" s="310"/>
      <c r="P140" s="310"/>
      <c r="Q140" s="310"/>
      <c r="R140" s="310"/>
      <c r="S140" s="310"/>
      <c r="T140" s="276">
        <f t="shared" si="7"/>
        <v>0</v>
      </c>
    </row>
    <row r="141" spans="2:20" ht="15.75">
      <c r="N141" s="310"/>
      <c r="O141" s="310"/>
      <c r="P141" s="310"/>
      <c r="Q141" s="310"/>
      <c r="R141" s="310"/>
      <c r="S141" s="310"/>
      <c r="T141" s="276"/>
    </row>
    <row r="142" spans="2:20" ht="15.75">
      <c r="B142" s="288" t="s">
        <v>416</v>
      </c>
      <c r="C142" s="310">
        <v>0</v>
      </c>
      <c r="D142" s="310"/>
      <c r="E142" s="276">
        <f>+INPUT!CM309</f>
        <v>0</v>
      </c>
      <c r="F142" s="310"/>
      <c r="G142" s="310">
        <v>0</v>
      </c>
      <c r="H142" s="310"/>
      <c r="I142" s="310">
        <v>0</v>
      </c>
      <c r="L142" s="288" t="s">
        <v>416</v>
      </c>
      <c r="N142" s="310">
        <v>0</v>
      </c>
      <c r="P142" s="310">
        <v>0</v>
      </c>
      <c r="R142" s="310">
        <v>0</v>
      </c>
      <c r="T142" s="276">
        <f>SUM(C142:R142)</f>
        <v>0</v>
      </c>
    </row>
    <row r="143" spans="2:20" ht="15.75">
      <c r="B143" s="288" t="s">
        <v>122</v>
      </c>
      <c r="C143" s="310">
        <v>0</v>
      </c>
      <c r="D143" s="310"/>
      <c r="E143" s="276">
        <f>+INPUT!CM249</f>
        <v>0</v>
      </c>
      <c r="F143" s="310"/>
      <c r="G143" s="310">
        <v>0</v>
      </c>
      <c r="H143" s="310"/>
      <c r="I143" s="310">
        <v>0</v>
      </c>
      <c r="L143" s="288" t="s">
        <v>122</v>
      </c>
      <c r="N143" s="310">
        <v>0</v>
      </c>
      <c r="P143" s="310">
        <v>0</v>
      </c>
      <c r="R143" s="310">
        <v>0</v>
      </c>
      <c r="T143" s="276">
        <f>SUM(C143:R143)</f>
        <v>0</v>
      </c>
    </row>
    <row r="144" spans="2:20">
      <c r="L144" s="1295" t="s">
        <v>3501</v>
      </c>
      <c r="N144" s="1296">
        <v>4540</v>
      </c>
    </row>
    <row r="145" spans="2:16">
      <c r="B145" s="288" t="s">
        <v>2310</v>
      </c>
      <c r="E145" s="288">
        <v>0</v>
      </c>
      <c r="L145" s="1295" t="s">
        <v>3505</v>
      </c>
      <c r="N145" s="1296">
        <v>547482</v>
      </c>
    </row>
    <row r="146" spans="2:16">
      <c r="L146" s="1295"/>
      <c r="N146" s="1296">
        <v>0</v>
      </c>
    </row>
    <row r="147" spans="2:16" ht="15.75">
      <c r="B147" s="288" t="s">
        <v>2425</v>
      </c>
      <c r="G147" s="618"/>
      <c r="L147" s="1295" t="s">
        <v>3504</v>
      </c>
      <c r="N147" s="1296">
        <f>547483+266330</f>
        <v>813813</v>
      </c>
      <c r="P147" s="288">
        <v>0</v>
      </c>
    </row>
    <row r="148" spans="2:16">
      <c r="L148" s="1295" t="s">
        <v>3507</v>
      </c>
      <c r="N148" s="288">
        <f>293585</f>
        <v>293585</v>
      </c>
      <c r="P148" s="288">
        <v>0</v>
      </c>
    </row>
    <row r="149" spans="2:16">
      <c r="B149" s="524" t="s">
        <v>416</v>
      </c>
    </row>
    <row r="150" spans="2:16">
      <c r="B150" s="524" t="s">
        <v>415</v>
      </c>
    </row>
    <row r="152" spans="2:16">
      <c r="E152" s="748"/>
    </row>
    <row r="155" spans="2:16">
      <c r="N155" s="288">
        <v>505049</v>
      </c>
    </row>
    <row r="157" spans="2:16">
      <c r="N157" s="288">
        <v>293585</v>
      </c>
    </row>
    <row r="165" spans="12:16">
      <c r="L165" s="288" t="s">
        <v>3508</v>
      </c>
      <c r="N165" s="288">
        <v>547481.53999999992</v>
      </c>
    </row>
    <row r="166" spans="12:16">
      <c r="L166" s="288" t="s">
        <v>3509</v>
      </c>
      <c r="P166" s="288">
        <v>547481.53999999992</v>
      </c>
    </row>
    <row r="168" spans="12:16">
      <c r="L168" s="288" t="s">
        <v>3510</v>
      </c>
      <c r="P168" s="288">
        <v>238719.02</v>
      </c>
    </row>
    <row r="169" spans="12:16">
      <c r="L169" s="288" t="s">
        <v>3509</v>
      </c>
      <c r="N169" s="288">
        <v>238719.02</v>
      </c>
    </row>
    <row r="172" spans="12:16">
      <c r="L172" s="288" t="s">
        <v>3511</v>
      </c>
      <c r="N172" s="288">
        <v>266330</v>
      </c>
    </row>
    <row r="173" spans="12:16">
      <c r="L173" s="288" t="s">
        <v>3512</v>
      </c>
      <c r="P173" s="288">
        <v>266330</v>
      </c>
    </row>
    <row r="175" spans="12:16">
      <c r="L175" s="288" t="s">
        <v>3508</v>
      </c>
      <c r="P175" s="288">
        <v>134877.01999999999</v>
      </c>
    </row>
    <row r="176" spans="12:16">
      <c r="L176" s="288" t="s">
        <v>3513</v>
      </c>
      <c r="N176" s="288">
        <v>134877.01999999999</v>
      </c>
    </row>
    <row r="178" spans="12:16">
      <c r="N178" s="288">
        <v>1187407.58</v>
      </c>
      <c r="P178" s="288">
        <v>1187407.58</v>
      </c>
    </row>
    <row r="180" spans="12:16">
      <c r="N180" s="288">
        <v>0</v>
      </c>
    </row>
    <row r="183" spans="12:16">
      <c r="L183" s="288" t="s">
        <v>3514</v>
      </c>
      <c r="N183" s="288">
        <v>293584.99</v>
      </c>
    </row>
    <row r="184" spans="12:16">
      <c r="L184" s="288" t="s">
        <v>3513</v>
      </c>
      <c r="P184" s="288">
        <v>293584.99</v>
      </c>
    </row>
    <row r="186" spans="12:16">
      <c r="L186" s="288" t="s">
        <v>3515</v>
      </c>
      <c r="N186" s="288">
        <v>4539.5663333333332</v>
      </c>
    </row>
    <row r="187" spans="12:16">
      <c r="L187" s="288" t="s">
        <v>3516</v>
      </c>
      <c r="P187" s="288">
        <v>4539.57</v>
      </c>
    </row>
  </sheetData>
  <mergeCells count="5">
    <mergeCell ref="L5:T5"/>
    <mergeCell ref="B7:J7"/>
    <mergeCell ref="B5:J5"/>
    <mergeCell ref="B6:J6"/>
    <mergeCell ref="B3:I3"/>
  </mergeCells>
  <phoneticPr fontId="0" type="noConversion"/>
  <printOptions horizontalCentered="1"/>
  <pageMargins left="0.5" right="0.47499999999999998" top="0.5" bottom="0.75" header="0.25" footer="0.25"/>
  <pageSetup scale="65" firstPageNumber="127" fitToWidth="3" orientation="portrait" useFirstPageNumber="1" r:id="rId1"/>
  <headerFooter alignWithMargins="0">
    <oddFooter xml:space="preserve">&amp;C
</oddFooter>
  </headerFooter>
  <ignoredErrors>
    <ignoredError sqref="T26" formula="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ransitionEvaluation="1" codeName="Sheet39">
    <tabColor rgb="FFFFC000"/>
  </sheetPr>
  <dimension ref="A1:P74"/>
  <sheetViews>
    <sheetView showGridLines="0" zoomScale="70" workbookViewId="0">
      <selection activeCell="M31" sqref="M31"/>
    </sheetView>
  </sheetViews>
  <sheetFormatPr defaultColWidth="9.7109375" defaultRowHeight="12.75"/>
  <cols>
    <col min="1" max="1" width="2.7109375" style="288" customWidth="1"/>
    <col min="2" max="2" width="63.28515625" style="288" customWidth="1"/>
    <col min="3" max="3" width="3.7109375" style="288" customWidth="1"/>
    <col min="4" max="4" width="18.7109375" style="288" customWidth="1"/>
    <col min="5" max="5" width="3.7109375" style="288" customWidth="1"/>
    <col min="6" max="6" width="18.7109375" style="288" customWidth="1"/>
    <col min="7" max="7" width="3.7109375" style="288" customWidth="1"/>
    <col min="8" max="8" width="18.7109375" style="288" customWidth="1"/>
    <col min="9" max="9" width="4.28515625" style="288" customWidth="1"/>
    <col min="10" max="10" width="9.7109375" style="288"/>
    <col min="11" max="11" width="18.7109375" style="288" customWidth="1"/>
    <col min="12" max="12" width="10.5703125" style="288" bestFit="1" customWidth="1"/>
    <col min="13" max="13" width="38.7109375" style="288" bestFit="1" customWidth="1"/>
    <col min="14" max="14" width="14.5703125" style="288" bestFit="1" customWidth="1"/>
    <col min="15" max="15" width="38.28515625" style="288" bestFit="1" customWidth="1"/>
    <col min="16" max="16" width="14.5703125" style="288" bestFit="1" customWidth="1"/>
    <col min="17" max="16384" width="9.7109375" style="288"/>
  </cols>
  <sheetData>
    <row r="1" spans="1:14" ht="15.75">
      <c r="I1" s="296"/>
    </row>
    <row r="2" spans="1:14" ht="15.75">
      <c r="I2" s="296"/>
    </row>
    <row r="3" spans="1:14" ht="15.75">
      <c r="B3" s="305" t="s">
        <v>1049</v>
      </c>
      <c r="C3" s="305"/>
      <c r="D3" s="305"/>
      <c r="E3" s="305"/>
      <c r="F3" s="305"/>
      <c r="G3" s="305"/>
      <c r="H3" s="305"/>
      <c r="I3" s="296"/>
      <c r="K3" s="305"/>
    </row>
    <row r="4" spans="1:14" ht="15.75">
      <c r="B4" s="1313" t="s">
        <v>3357</v>
      </c>
      <c r="C4" s="1313"/>
      <c r="D4" s="1313"/>
      <c r="E4" s="1313"/>
      <c r="F4" s="1313"/>
      <c r="G4" s="1313"/>
      <c r="H4" s="1313"/>
      <c r="I4" s="296"/>
      <c r="K4" s="305"/>
    </row>
    <row r="5" spans="1:14" ht="15.75">
      <c r="B5" s="1313" t="s">
        <v>870</v>
      </c>
      <c r="C5" s="1313"/>
      <c r="D5" s="1313"/>
      <c r="E5" s="1313"/>
      <c r="F5" s="1313"/>
      <c r="G5" s="1313"/>
      <c r="H5" s="1313"/>
      <c r="I5" s="296"/>
      <c r="K5" s="569" t="s">
        <v>1163</v>
      </c>
    </row>
    <row r="6" spans="1:14" ht="15.75">
      <c r="B6" s="1314">
        <f>+'Sys INPUT'!B1</f>
        <v>45107</v>
      </c>
      <c r="C6" s="1314"/>
      <c r="D6" s="1314"/>
      <c r="E6" s="1314"/>
      <c r="F6" s="1314"/>
      <c r="G6" s="1314"/>
      <c r="H6" s="1314"/>
      <c r="I6" s="296"/>
      <c r="K6" s="571" t="s">
        <v>3101</v>
      </c>
    </row>
    <row r="7" spans="1:14" ht="15.75">
      <c r="B7" s="305"/>
      <c r="C7" s="305"/>
      <c r="D7" s="305"/>
      <c r="E7" s="305"/>
      <c r="F7" s="305"/>
      <c r="G7" s="305"/>
      <c r="H7" s="305"/>
      <c r="I7" s="296"/>
      <c r="K7" s="764" t="s">
        <v>3095</v>
      </c>
    </row>
    <row r="8" spans="1:14" ht="15.75">
      <c r="B8" s="308"/>
      <c r="C8" s="308"/>
      <c r="D8" s="287"/>
      <c r="E8" s="308"/>
      <c r="F8" s="567"/>
      <c r="G8" s="567"/>
      <c r="H8" s="567"/>
      <c r="I8" s="296"/>
      <c r="K8" s="287"/>
    </row>
    <row r="9" spans="1:14" ht="15.75">
      <c r="B9" s="308"/>
      <c r="C9" s="305" t="s">
        <v>16</v>
      </c>
      <c r="D9" s="287" t="s">
        <v>1163</v>
      </c>
      <c r="H9" s="567"/>
      <c r="I9" s="296"/>
      <c r="K9" s="287" t="s">
        <v>2381</v>
      </c>
      <c r="N9" s="573"/>
    </row>
    <row r="10" spans="1:14" ht="15.75">
      <c r="B10" s="308"/>
      <c r="C10" s="308"/>
      <c r="D10" s="287" t="s">
        <v>1164</v>
      </c>
      <c r="E10" s="308"/>
      <c r="F10" s="287" t="s">
        <v>1017</v>
      </c>
      <c r="G10" s="287"/>
      <c r="H10" s="287" t="s">
        <v>315</v>
      </c>
      <c r="I10" s="296"/>
      <c r="K10" s="287" t="s">
        <v>3099</v>
      </c>
    </row>
    <row r="11" spans="1:14" ht="15.75">
      <c r="B11" s="308"/>
      <c r="C11" s="308"/>
      <c r="D11" s="287" t="s">
        <v>889</v>
      </c>
      <c r="E11" s="308"/>
      <c r="F11" s="287" t="s">
        <v>889</v>
      </c>
      <c r="G11" s="287"/>
      <c r="H11" s="287" t="s">
        <v>889</v>
      </c>
      <c r="I11" s="296"/>
      <c r="K11" s="287" t="s">
        <v>2963</v>
      </c>
      <c r="M11" s="944"/>
    </row>
    <row r="12" spans="1:14" ht="15.75">
      <c r="B12" s="320"/>
      <c r="C12" s="308"/>
      <c r="D12" s="290" t="s">
        <v>747</v>
      </c>
      <c r="E12" s="308"/>
      <c r="F12" s="290" t="s">
        <v>540</v>
      </c>
      <c r="G12" s="287"/>
      <c r="H12" s="290" t="s">
        <v>540</v>
      </c>
      <c r="I12" s="296"/>
      <c r="K12" s="290"/>
      <c r="M12" s="945"/>
      <c r="N12" s="1058"/>
    </row>
    <row r="13" spans="1:14" ht="15.75">
      <c r="B13" s="308" t="str">
        <f>INPUT!B83</f>
        <v>ASSETS</v>
      </c>
      <c r="C13" s="308"/>
      <c r="D13" s="308"/>
      <c r="E13" s="308"/>
      <c r="F13" s="308"/>
      <c r="G13" s="308"/>
      <c r="H13" s="308"/>
      <c r="I13" s="296"/>
      <c r="K13" s="308"/>
      <c r="M13" s="945"/>
      <c r="N13" s="1058"/>
    </row>
    <row r="14" spans="1:14" ht="15.75">
      <c r="B14" s="276" t="str">
        <f>INPUT!B85</f>
        <v xml:space="preserve">     Cash and cash equivalents</v>
      </c>
      <c r="C14" s="294"/>
      <c r="D14" s="292">
        <f>+K14</f>
        <v>49083341</v>
      </c>
      <c r="E14" s="294"/>
      <c r="F14" s="292">
        <f>+'FID FDS'!N11</f>
        <v>4704521</v>
      </c>
      <c r="G14" s="296"/>
      <c r="H14" s="292">
        <f>SUM(D14:G14)</f>
        <v>53787862</v>
      </c>
      <c r="I14" s="296"/>
      <c r="K14" s="292">
        <f>+INPUT!DQ85+INPUT!DR85</f>
        <v>49083341</v>
      </c>
      <c r="M14" s="945"/>
      <c r="N14" s="1058"/>
    </row>
    <row r="15" spans="1:14" ht="16.5" thickBot="1">
      <c r="B15" s="276" t="str">
        <f>INPUT!B86</f>
        <v xml:space="preserve">     Investments </v>
      </c>
      <c r="C15" s="296"/>
      <c r="D15" s="294">
        <f>+K15</f>
        <v>9375020</v>
      </c>
      <c r="E15" s="296"/>
      <c r="F15" s="294">
        <f>+'FID FDS'!N12</f>
        <v>0</v>
      </c>
      <c r="G15" s="300"/>
      <c r="H15" s="294">
        <f>SUM(D15:G15)</f>
        <v>9375020</v>
      </c>
      <c r="I15" s="296"/>
      <c r="K15" s="1">
        <f>+INPUT!DQ86+INPUT!DR86</f>
        <v>9375020</v>
      </c>
      <c r="M15" s="945"/>
      <c r="N15" s="941"/>
    </row>
    <row r="16" spans="1:14" ht="16.5" thickTop="1">
      <c r="A16" s="276"/>
      <c r="B16" s="276"/>
      <c r="C16" s="314"/>
      <c r="D16" s="337"/>
      <c r="E16" s="314"/>
      <c r="F16" s="337"/>
      <c r="G16" s="294"/>
      <c r="H16" s="337"/>
      <c r="I16" s="294"/>
      <c r="K16" s="337"/>
    </row>
    <row r="17" spans="1:11" ht="15.75">
      <c r="A17" s="276"/>
      <c r="B17" s="308" t="str">
        <f>INPUT!B114</f>
        <v xml:space="preserve">          Total assets</v>
      </c>
      <c r="C17" s="314"/>
      <c r="D17" s="568">
        <f>SUM(D14:D16)</f>
        <v>58458361</v>
      </c>
      <c r="E17" s="314"/>
      <c r="F17" s="568">
        <f>SUM(F14:F16)</f>
        <v>4704521</v>
      </c>
      <c r="G17" s="300"/>
      <c r="H17" s="568">
        <f>SUM(H14:H16)</f>
        <v>63162882</v>
      </c>
      <c r="I17" s="300"/>
      <c r="K17" s="568">
        <f>SUM(K14:K16)</f>
        <v>58458361</v>
      </c>
    </row>
    <row r="18" spans="1:11" ht="15.75">
      <c r="A18" s="276"/>
      <c r="B18" s="276"/>
      <c r="C18" s="314"/>
      <c r="D18" s="314"/>
      <c r="E18" s="314"/>
      <c r="F18" s="314"/>
      <c r="G18" s="314"/>
      <c r="H18" s="314"/>
      <c r="I18" s="314"/>
      <c r="K18" s="314"/>
    </row>
    <row r="19" spans="1:11" ht="15.75">
      <c r="A19" s="276"/>
      <c r="B19" s="308" t="str">
        <f>INPUT!B130</f>
        <v>LIABILITIES</v>
      </c>
      <c r="C19" s="314"/>
      <c r="D19" s="314"/>
      <c r="E19" s="314"/>
      <c r="F19" s="314"/>
      <c r="G19" s="314"/>
      <c r="H19" s="314"/>
      <c r="I19" s="314"/>
      <c r="K19" s="314"/>
    </row>
    <row r="20" spans="1:11" ht="15.75" hidden="1">
      <c r="A20" s="276"/>
      <c r="B20" s="276" t="str">
        <f>INPUT!B132</f>
        <v xml:space="preserve">     Accounts payable</v>
      </c>
      <c r="C20" s="314"/>
      <c r="D20" s="300">
        <v>0</v>
      </c>
      <c r="E20" s="314"/>
      <c r="F20" s="300">
        <v>0</v>
      </c>
      <c r="G20" s="300"/>
      <c r="H20" s="300">
        <f>SUM(D20:G20)</f>
        <v>0</v>
      </c>
      <c r="I20" s="296"/>
      <c r="K20" s="300">
        <v>0</v>
      </c>
    </row>
    <row r="21" spans="1:11" ht="15.75" hidden="1">
      <c r="A21" s="276"/>
      <c r="B21" s="276" t="str">
        <f>INPUT!B134</f>
        <v xml:space="preserve">     Intergovernmental payable</v>
      </c>
      <c r="C21" s="314"/>
      <c r="D21" s="300">
        <v>0</v>
      </c>
      <c r="E21" s="314"/>
      <c r="F21" s="300">
        <v>0</v>
      </c>
      <c r="G21" s="300"/>
      <c r="H21" s="300">
        <f>SUM(D21:G21)</f>
        <v>0</v>
      </c>
      <c r="I21" s="296"/>
      <c r="K21" s="300">
        <v>0</v>
      </c>
    </row>
    <row r="22" spans="1:11" ht="15.75" hidden="1">
      <c r="A22" s="276"/>
      <c r="B22" s="276"/>
      <c r="C22" s="314"/>
      <c r="D22" s="294"/>
      <c r="E22" s="314"/>
      <c r="F22" s="294"/>
      <c r="G22" s="294"/>
      <c r="H22" s="294"/>
      <c r="I22" s="294"/>
      <c r="K22" s="294"/>
    </row>
    <row r="23" spans="1:11" ht="15.75" hidden="1">
      <c r="A23" s="276"/>
      <c r="B23" s="276"/>
      <c r="C23" s="296"/>
      <c r="D23" s="337"/>
      <c r="E23" s="296"/>
      <c r="F23" s="337"/>
      <c r="G23" s="294"/>
      <c r="H23" s="337"/>
      <c r="I23" s="294"/>
      <c r="K23" s="337"/>
    </row>
    <row r="24" spans="1:11" ht="15.75">
      <c r="A24" s="276"/>
      <c r="B24" s="308" t="str">
        <f>INPUT!B154</f>
        <v xml:space="preserve">          Total liabilities</v>
      </c>
      <c r="C24" s="314"/>
      <c r="D24" s="1048">
        <f>SUM(D20:D21)</f>
        <v>0</v>
      </c>
      <c r="E24" s="314"/>
      <c r="F24" s="1048">
        <f>SUM(F20:F21)</f>
        <v>0</v>
      </c>
      <c r="G24" s="300"/>
      <c r="H24" s="1048">
        <f>SUM(H20:H21)</f>
        <v>0</v>
      </c>
      <c r="I24" s="300"/>
      <c r="K24" s="301">
        <f>SUM(K20:K21)</f>
        <v>0</v>
      </c>
    </row>
    <row r="25" spans="1:11" ht="15.75">
      <c r="A25" s="276"/>
      <c r="B25" s="276"/>
      <c r="C25" s="314"/>
      <c r="D25" s="314"/>
      <c r="E25" s="314"/>
      <c r="F25" s="314"/>
      <c r="G25" s="314"/>
      <c r="H25" s="314"/>
      <c r="I25" s="314"/>
      <c r="K25" s="314"/>
    </row>
    <row r="26" spans="1:11" ht="15.75" hidden="1">
      <c r="A26" s="276"/>
      <c r="B26" s="276"/>
      <c r="C26" s="314"/>
      <c r="D26" s="314"/>
      <c r="E26" s="314"/>
      <c r="F26" s="314"/>
      <c r="G26" s="314"/>
      <c r="H26" s="314"/>
      <c r="I26" s="314"/>
      <c r="K26" s="314"/>
    </row>
    <row r="27" spans="1:11" ht="15.75">
      <c r="A27" s="276"/>
      <c r="B27" s="308" t="str">
        <f>+INPUT!B175</f>
        <v>NET POSITION</v>
      </c>
      <c r="C27" s="314"/>
      <c r="D27" s="314"/>
      <c r="E27" s="314"/>
      <c r="F27" s="314"/>
      <c r="G27" s="314"/>
      <c r="H27" s="314"/>
      <c r="I27" s="314"/>
      <c r="K27" s="314"/>
    </row>
    <row r="28" spans="1:11" ht="15.75">
      <c r="A28" s="276"/>
      <c r="B28" s="276" t="s">
        <v>2870</v>
      </c>
      <c r="C28" s="314"/>
      <c r="D28" s="296"/>
      <c r="E28" s="296"/>
      <c r="F28" s="296"/>
      <c r="G28" s="296"/>
      <c r="H28" s="296"/>
      <c r="I28" s="296"/>
      <c r="K28" s="296"/>
    </row>
    <row r="29" spans="1:11" ht="15.75">
      <c r="A29" s="276"/>
      <c r="B29" s="276" t="s">
        <v>969</v>
      </c>
      <c r="C29" s="314"/>
      <c r="D29" s="296">
        <f>+D17</f>
        <v>58458361</v>
      </c>
      <c r="E29" s="296"/>
      <c r="F29" s="294">
        <v>0</v>
      </c>
      <c r="G29" s="294"/>
      <c r="H29" s="294">
        <f>SUM(D29:G29)</f>
        <v>58458361</v>
      </c>
      <c r="I29" s="296"/>
      <c r="K29" s="296">
        <f>+K17</f>
        <v>58458361</v>
      </c>
    </row>
    <row r="30" spans="1:11" ht="15.75">
      <c r="A30" s="276"/>
      <c r="B30" s="276" t="s">
        <v>788</v>
      </c>
      <c r="C30" s="314"/>
      <c r="D30" s="294">
        <v>0</v>
      </c>
      <c r="E30" s="296"/>
      <c r="F30" s="296">
        <f>+F17</f>
        <v>4704521</v>
      </c>
      <c r="G30" s="296"/>
      <c r="H30" s="296">
        <f>SUM(D30:G30)</f>
        <v>4704521</v>
      </c>
      <c r="I30" s="296"/>
      <c r="K30" s="294">
        <v>0</v>
      </c>
    </row>
    <row r="31" spans="1:11" ht="15.75">
      <c r="A31" s="276"/>
      <c r="B31" s="276"/>
      <c r="C31" s="314"/>
      <c r="D31" s="337"/>
      <c r="E31" s="314"/>
      <c r="F31" s="337"/>
      <c r="G31" s="294"/>
      <c r="H31" s="337"/>
      <c r="I31" s="294"/>
      <c r="K31" s="337"/>
    </row>
    <row r="32" spans="1:11" ht="16.5" thickBot="1">
      <c r="A32" s="276"/>
      <c r="B32" s="308" t="s">
        <v>1675</v>
      </c>
      <c r="C32" s="314"/>
      <c r="D32" s="299">
        <f>SUM(D27:D31)</f>
        <v>58458361</v>
      </c>
      <c r="E32" s="314"/>
      <c r="F32" s="299">
        <f>SUM(F27:F31)</f>
        <v>4704521</v>
      </c>
      <c r="G32" s="314"/>
      <c r="H32" s="299">
        <f>SUM(H27:H31)</f>
        <v>63162882</v>
      </c>
      <c r="I32" s="326"/>
      <c r="K32" s="302">
        <f>SUM(K27:K31)</f>
        <v>58458361</v>
      </c>
    </row>
    <row r="33" spans="1:16" ht="16.5" thickTop="1">
      <c r="A33" s="276"/>
      <c r="B33" s="276"/>
      <c r="C33" s="314"/>
      <c r="D33" s="314"/>
      <c r="E33" s="314"/>
      <c r="F33" s="314"/>
      <c r="G33" s="314"/>
      <c r="H33" s="314"/>
      <c r="I33" s="314"/>
      <c r="K33" s="314"/>
    </row>
    <row r="34" spans="1:16" ht="16.5" thickBot="1">
      <c r="A34" s="276"/>
      <c r="B34" s="308" t="str">
        <f>INPUT!B209</f>
        <v>Total liabilities, deferred inflows of resources, and fund balance</v>
      </c>
      <c r="C34" s="300"/>
      <c r="D34" s="302">
        <f>IF(SUM(D24+D32)&lt;&gt;0,SUM(D24+D32),"-")</f>
        <v>58458361</v>
      </c>
      <c r="E34" s="300"/>
      <c r="F34" s="302">
        <f>IF(SUM(F24+F32)&lt;&gt;0,SUM(F24+F32),"-")</f>
        <v>4704521</v>
      </c>
      <c r="G34" s="300"/>
      <c r="H34" s="302">
        <f>IF(SUM(H24+H32)&lt;&gt;0,SUM(H24+H32),"-")</f>
        <v>63162882</v>
      </c>
      <c r="I34" s="300"/>
      <c r="K34" s="299">
        <f>IF(SUM(K24+K32)&lt;&gt;0,SUM(K24+K32),"-")</f>
        <v>58458361</v>
      </c>
      <c r="P34" s="288">
        <v>202462.21</v>
      </c>
    </row>
    <row r="35" spans="1:16" ht="16.5" thickTop="1">
      <c r="A35" s="276"/>
      <c r="B35" s="276"/>
      <c r="C35" s="314"/>
      <c r="D35" s="314"/>
      <c r="E35" s="314"/>
      <c r="F35" s="314"/>
      <c r="G35" s="314"/>
      <c r="H35" s="314"/>
      <c r="I35" s="314"/>
      <c r="K35" s="314"/>
      <c r="P35" s="288">
        <v>173804.67</v>
      </c>
    </row>
    <row r="36" spans="1:16" ht="15.75">
      <c r="A36" s="276"/>
      <c r="B36" s="276"/>
      <c r="C36" s="314"/>
      <c r="D36" s="314">
        <f>+'FIDCOMBCH NP'!D36</f>
        <v>58458361</v>
      </c>
      <c r="E36" s="314"/>
      <c r="F36" s="314">
        <f>+'FIDCOMBCH NP'!F36</f>
        <v>4704521</v>
      </c>
      <c r="G36" s="314"/>
      <c r="H36" s="314">
        <f>+'FIDCOMBCH NP'!H36</f>
        <v>63162882</v>
      </c>
      <c r="I36" s="314"/>
      <c r="K36" s="314"/>
      <c r="P36" s="288">
        <v>22534.58</v>
      </c>
    </row>
    <row r="37" spans="1:16">
      <c r="D37" s="288">
        <f>+D36-D32</f>
        <v>0</v>
      </c>
      <c r="F37" s="288">
        <f t="shared" ref="F37" si="0">+F36-F32</f>
        <v>0</v>
      </c>
      <c r="H37" s="288">
        <f t="shared" ref="H37" si="1">+H36-H32</f>
        <v>0</v>
      </c>
    </row>
    <row r="38" spans="1:16" ht="15.75">
      <c r="F38" s="570" t="s">
        <v>1017</v>
      </c>
      <c r="K38" s="569" t="s">
        <v>1163</v>
      </c>
      <c r="P38" s="288">
        <v>11220.24</v>
      </c>
    </row>
    <row r="39" spans="1:16" ht="15.75">
      <c r="F39" s="572" t="s">
        <v>808</v>
      </c>
      <c r="K39" s="571" t="s">
        <v>134</v>
      </c>
      <c r="P39" s="288">
        <v>3215.91</v>
      </c>
    </row>
    <row r="40" spans="1:16" ht="15.75">
      <c r="F40" s="572" t="s">
        <v>3044</v>
      </c>
      <c r="K40" s="764" t="s">
        <v>3100</v>
      </c>
      <c r="P40" s="288">
        <v>60626.09</v>
      </c>
    </row>
    <row r="41" spans="1:16" ht="15.75">
      <c r="K41" s="764">
        <v>58458361</v>
      </c>
      <c r="P41" s="288">
        <v>10506.19</v>
      </c>
    </row>
    <row r="42" spans="1:16" ht="15.75">
      <c r="E42" s="276"/>
      <c r="F42" s="573"/>
      <c r="K42" s="573" t="s">
        <v>3369</v>
      </c>
      <c r="P42" s="288">
        <v>2268.61</v>
      </c>
    </row>
    <row r="43" spans="1:16" ht="15.75">
      <c r="F43" s="573">
        <f>+F34-'FIDCOMBCH NP'!F36</f>
        <v>0</v>
      </c>
      <c r="P43" s="288">
        <v>2938.76</v>
      </c>
    </row>
    <row r="44" spans="1:16" ht="15.75">
      <c r="F44" s="573" t="s">
        <v>3370</v>
      </c>
      <c r="K44" s="573">
        <f>+K34-K41</f>
        <v>0</v>
      </c>
      <c r="P44" s="288">
        <v>6164.19</v>
      </c>
    </row>
    <row r="45" spans="1:16" ht="15.75">
      <c r="K45" s="573" t="s">
        <v>3370</v>
      </c>
      <c r="P45" s="288">
        <v>20612.88</v>
      </c>
    </row>
    <row r="46" spans="1:16" ht="15.75">
      <c r="K46" s="573"/>
    </row>
    <row r="47" spans="1:16">
      <c r="D47" s="994">
        <f>+D15/(+D14+D15)</f>
        <v>0.16037090057998718</v>
      </c>
      <c r="F47" s="994">
        <f t="shared" ref="F47" si="2">+F15/(+F14+F15)</f>
        <v>0</v>
      </c>
      <c r="I47" s="288">
        <v>204543.42</v>
      </c>
      <c r="J47" s="288">
        <v>2037611.61</v>
      </c>
      <c r="K47" s="288">
        <v>2039692.82</v>
      </c>
      <c r="L47" s="288">
        <v>202462.21</v>
      </c>
      <c r="P47" s="288">
        <v>80357.440000000002</v>
      </c>
    </row>
    <row r="48" spans="1:16">
      <c r="I48" s="288">
        <v>173162.95</v>
      </c>
      <c r="J48" s="288">
        <v>1482734.78</v>
      </c>
      <c r="K48" s="288">
        <v>1482093.06</v>
      </c>
      <c r="L48" s="288">
        <v>173804.67</v>
      </c>
      <c r="P48" s="288">
        <v>5122.55</v>
      </c>
    </row>
    <row r="49" spans="9:16">
      <c r="I49" s="288">
        <v>18835.46</v>
      </c>
      <c r="J49" s="288">
        <v>70402.37</v>
      </c>
      <c r="K49" s="288">
        <v>66703.25</v>
      </c>
      <c r="L49" s="288">
        <v>22534.58</v>
      </c>
      <c r="P49" s="288">
        <v>5443.08</v>
      </c>
    </row>
    <row r="50" spans="9:16">
      <c r="I50" s="288">
        <v>0</v>
      </c>
      <c r="J50" s="288" t="s">
        <v>16</v>
      </c>
      <c r="K50" s="288" t="s">
        <v>16</v>
      </c>
      <c r="L50" s="288">
        <v>0</v>
      </c>
      <c r="P50" s="288">
        <v>2244.73</v>
      </c>
    </row>
    <row r="51" spans="9:16">
      <c r="I51" s="288">
        <v>10395.73</v>
      </c>
      <c r="J51" s="288">
        <v>47182.22</v>
      </c>
      <c r="K51" s="288">
        <v>46357.71</v>
      </c>
      <c r="L51" s="288">
        <v>11220.24</v>
      </c>
      <c r="P51" s="288">
        <v>0</v>
      </c>
    </row>
    <row r="52" spans="9:16">
      <c r="I52" s="288">
        <v>3166.51</v>
      </c>
      <c r="J52" s="288">
        <v>49.4</v>
      </c>
      <c r="K52" s="288" t="s">
        <v>16</v>
      </c>
      <c r="L52" s="288">
        <v>3215.91</v>
      </c>
    </row>
    <row r="53" spans="9:16">
      <c r="I53" s="288">
        <v>37693.54</v>
      </c>
      <c r="J53" s="288">
        <v>161441.94</v>
      </c>
      <c r="K53" s="288">
        <v>138509.39000000001</v>
      </c>
      <c r="L53" s="288">
        <v>60626.09</v>
      </c>
    </row>
    <row r="54" spans="9:16">
      <c r="I54" s="288">
        <v>10967.79</v>
      </c>
      <c r="J54" s="288">
        <v>347017.05</v>
      </c>
      <c r="K54" s="288">
        <v>347478.65</v>
      </c>
      <c r="L54" s="288">
        <v>10506.19</v>
      </c>
    </row>
    <row r="55" spans="9:16">
      <c r="I55" s="288">
        <v>2233.7600000000002</v>
      </c>
      <c r="J55" s="288">
        <v>34.85</v>
      </c>
      <c r="K55" s="288" t="s">
        <v>16</v>
      </c>
      <c r="L55" s="288">
        <v>2268.61</v>
      </c>
    </row>
    <row r="56" spans="9:16">
      <c r="I56" s="288">
        <v>2619.0300000000002</v>
      </c>
      <c r="J56" s="288">
        <v>2988.64</v>
      </c>
      <c r="K56" s="288">
        <v>2668.91</v>
      </c>
      <c r="L56" s="288">
        <v>2938.76</v>
      </c>
    </row>
    <row r="57" spans="9:16">
      <c r="I57" s="288">
        <v>6164.19</v>
      </c>
      <c r="J57" s="288" t="s">
        <v>16</v>
      </c>
      <c r="K57" s="288" t="s">
        <v>16</v>
      </c>
      <c r="L57" s="288">
        <v>6164.19</v>
      </c>
    </row>
    <row r="58" spans="9:16">
      <c r="I58" s="288">
        <v>20296.25</v>
      </c>
      <c r="J58" s="288">
        <v>316.63</v>
      </c>
      <c r="K58" s="288" t="s">
        <v>16</v>
      </c>
      <c r="L58" s="288">
        <v>20612.88</v>
      </c>
    </row>
    <row r="59" spans="9:16">
      <c r="I59" s="288">
        <v>62916.800000000003</v>
      </c>
      <c r="J59" s="288">
        <v>18030.71</v>
      </c>
      <c r="K59" s="288">
        <v>590.07000000000005</v>
      </c>
      <c r="L59" s="288">
        <v>80357.440000000002</v>
      </c>
    </row>
    <row r="60" spans="9:16">
      <c r="I60" s="288">
        <v>6036.18</v>
      </c>
      <c r="J60" s="288">
        <v>112848.83</v>
      </c>
      <c r="K60" s="288">
        <v>113762.46</v>
      </c>
      <c r="L60" s="288">
        <v>5122.55</v>
      </c>
    </row>
    <row r="61" spans="9:16">
      <c r="I61" s="288">
        <v>5359.47</v>
      </c>
      <c r="J61" s="288">
        <v>2083.61</v>
      </c>
      <c r="K61" s="288">
        <v>2000</v>
      </c>
      <c r="L61" s="288">
        <v>5443.08</v>
      </c>
    </row>
    <row r="62" spans="9:16">
      <c r="I62" s="288">
        <v>2210.25</v>
      </c>
      <c r="J62" s="288">
        <v>34.479999999999997</v>
      </c>
      <c r="K62" s="288" t="s">
        <v>16</v>
      </c>
      <c r="L62" s="288">
        <v>2244.73</v>
      </c>
    </row>
    <row r="63" spans="9:16">
      <c r="I63" s="288">
        <v>0</v>
      </c>
      <c r="J63" s="288" t="s">
        <v>16</v>
      </c>
      <c r="K63" s="288" t="s">
        <v>16</v>
      </c>
      <c r="L63" s="288">
        <v>0</v>
      </c>
    </row>
    <row r="64" spans="9:16">
      <c r="I64" s="288">
        <v>58481.760000000002</v>
      </c>
      <c r="J64" s="288">
        <v>1400.63</v>
      </c>
      <c r="K64" s="288">
        <v>2000</v>
      </c>
      <c r="L64" s="288">
        <v>57882.39</v>
      </c>
    </row>
    <row r="65" spans="9:13">
      <c r="I65" s="288">
        <f>SUM(I47:I64)</f>
        <v>625083.09000000008</v>
      </c>
      <c r="J65" s="288">
        <f>SUM(J47:J64)</f>
        <v>4284177.7500000009</v>
      </c>
      <c r="K65" s="288">
        <f>SUM(K47:K64)</f>
        <v>4241856.32</v>
      </c>
      <c r="L65" s="288">
        <f>SUM(L47:L64)</f>
        <v>667404.52</v>
      </c>
      <c r="M65" s="288">
        <f>SUM(M47:M64)</f>
        <v>0</v>
      </c>
    </row>
    <row r="67" spans="9:13">
      <c r="J67" s="288">
        <v>2031020</v>
      </c>
      <c r="K67" s="288">
        <v>2031020</v>
      </c>
    </row>
    <row r="68" spans="9:13">
      <c r="J68" s="288">
        <f>+J65-J67</f>
        <v>2253157.7500000009</v>
      </c>
      <c r="K68" s="288">
        <f>+K65-K67</f>
        <v>2210836.3200000003</v>
      </c>
    </row>
    <row r="69" spans="9:13">
      <c r="J69" s="288">
        <f>+J68-2246566</f>
        <v>6591.7500000009313</v>
      </c>
    </row>
    <row r="71" spans="9:13">
      <c r="J71" s="288">
        <v>203</v>
      </c>
    </row>
    <row r="72" spans="9:13">
      <c r="J72" s="288">
        <f>+J71+J68-J69</f>
        <v>2246769</v>
      </c>
    </row>
    <row r="73" spans="9:13">
      <c r="J73" s="288">
        <f>+J69</f>
        <v>6591.7500000009313</v>
      </c>
    </row>
    <row r="74" spans="9:13">
      <c r="J74" s="288">
        <f>SUM(J71:J73)</f>
        <v>2253563.7500000009</v>
      </c>
    </row>
  </sheetData>
  <mergeCells count="3">
    <mergeCell ref="B4:H4"/>
    <mergeCell ref="B5:H5"/>
    <mergeCell ref="B6:H6"/>
  </mergeCells>
  <phoneticPr fontId="0" type="noConversion"/>
  <printOptions horizontalCentered="1"/>
  <pageMargins left="0.5" right="0.47499999999999998" top="0.5" bottom="0.75" header="0.5" footer="0.25"/>
  <pageSetup scale="75" firstPageNumber="131" orientation="portrait" useFirstPageNumber="1"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ransitionEvaluation="1" codeName="Sheet40">
    <tabColor rgb="FFFFC000"/>
  </sheetPr>
  <dimension ref="A1:R79"/>
  <sheetViews>
    <sheetView showGridLines="0" topLeftCell="B1" zoomScale="80" zoomScaleNormal="80" workbookViewId="0">
      <selection activeCell="P43" sqref="P43"/>
    </sheetView>
  </sheetViews>
  <sheetFormatPr defaultColWidth="9.7109375" defaultRowHeight="12.75"/>
  <cols>
    <col min="1" max="1" width="3.7109375" style="288" hidden="1" customWidth="1"/>
    <col min="2" max="2" width="60" style="288" customWidth="1"/>
    <col min="3" max="3" width="3.7109375" style="288" customWidth="1"/>
    <col min="4" max="4" width="18.7109375" style="288" customWidth="1"/>
    <col min="5" max="5" width="4.28515625" style="288" bestFit="1" customWidth="1"/>
    <col min="6" max="6" width="18.7109375" style="288" customWidth="1"/>
    <col min="7" max="7" width="3.85546875" style="288" customWidth="1"/>
    <col min="8" max="9" width="20.140625" style="288" customWidth="1"/>
    <col min="10" max="10" width="17.7109375" style="288" customWidth="1"/>
    <col min="11" max="11" width="5.7109375" style="288" customWidth="1"/>
    <col min="12" max="14" width="9.7109375" style="288"/>
    <col min="15" max="15" width="23.140625" style="288" bestFit="1" customWidth="1"/>
    <col min="16" max="17" width="9.7109375" style="288"/>
    <col min="18" max="18" width="13.42578125" style="288" bestFit="1" customWidth="1"/>
    <col min="19" max="16384" width="9.7109375" style="288"/>
  </cols>
  <sheetData>
    <row r="1" spans="2:18" ht="15.75">
      <c r="B1" s="276"/>
      <c r="C1" s="276"/>
      <c r="D1" s="276"/>
      <c r="E1" s="276"/>
      <c r="F1" s="276"/>
      <c r="G1" s="276"/>
      <c r="I1" s="287"/>
    </row>
    <row r="2" spans="2:18" ht="15.75">
      <c r="B2" s="276"/>
      <c r="C2" s="276"/>
      <c r="D2" s="276"/>
      <c r="E2" s="276"/>
      <c r="F2" s="276"/>
      <c r="G2" s="276"/>
      <c r="I2" s="287"/>
      <c r="K2" s="288" t="s">
        <v>924</v>
      </c>
    </row>
    <row r="3" spans="2:18" ht="15.75">
      <c r="B3" s="305" t="s">
        <v>1049</v>
      </c>
      <c r="C3" s="305"/>
      <c r="D3" s="305"/>
      <c r="E3" s="305"/>
      <c r="F3" s="305"/>
      <c r="G3" s="305"/>
      <c r="H3" s="289"/>
      <c r="I3" s="287"/>
      <c r="K3" s="288" t="s">
        <v>925</v>
      </c>
    </row>
    <row r="4" spans="2:18" ht="15.75">
      <c r="B4" s="1313" t="s">
        <v>3356</v>
      </c>
      <c r="C4" s="1313"/>
      <c r="D4" s="1313"/>
      <c r="E4" s="1313"/>
      <c r="F4" s="1313"/>
      <c r="G4" s="1313"/>
      <c r="H4" s="1313"/>
      <c r="I4" s="287"/>
    </row>
    <row r="5" spans="2:18" ht="15.75">
      <c r="B5" s="1313" t="s">
        <v>870</v>
      </c>
      <c r="C5" s="1313"/>
      <c r="D5" s="1313"/>
      <c r="E5" s="1313"/>
      <c r="F5" s="1313"/>
      <c r="G5" s="1313"/>
      <c r="H5" s="1313"/>
      <c r="I5" s="287"/>
    </row>
    <row r="6" spans="2:18" ht="15.75">
      <c r="B6" s="1313" t="str">
        <f>+'Sys INPUT'!B2</f>
        <v>For the  Fiscal Year Ended June 30, 2023</v>
      </c>
      <c r="C6" s="1313"/>
      <c r="D6" s="1313"/>
      <c r="E6" s="1313"/>
      <c r="F6" s="1313"/>
      <c r="G6" s="1313"/>
      <c r="H6" s="1313"/>
      <c r="I6" s="287"/>
    </row>
    <row r="7" spans="2:18" ht="15.75">
      <c r="B7" s="305"/>
      <c r="C7" s="305"/>
      <c r="D7" s="305"/>
      <c r="E7" s="305"/>
      <c r="F7" s="305"/>
      <c r="G7" s="305"/>
      <c r="H7" s="499"/>
      <c r="I7" s="287"/>
      <c r="J7" s="289"/>
    </row>
    <row r="8" spans="2:18" ht="15.75">
      <c r="B8" s="276"/>
      <c r="C8" s="303"/>
      <c r="D8" s="303"/>
      <c r="E8" s="303"/>
      <c r="F8" s="303"/>
      <c r="G8" s="303"/>
      <c r="H8" s="427"/>
      <c r="I8" s="287"/>
    </row>
    <row r="9" spans="2:18" ht="15.75">
      <c r="B9" s="276"/>
      <c r="C9" s="303"/>
      <c r="D9" s="287" t="s">
        <v>1163</v>
      </c>
      <c r="H9" s="427"/>
      <c r="I9" s="287"/>
      <c r="O9" s="287" t="s">
        <v>1163</v>
      </c>
    </row>
    <row r="10" spans="2:18" ht="15.75">
      <c r="B10" s="308"/>
      <c r="C10" s="319"/>
      <c r="D10" s="287" t="s">
        <v>1164</v>
      </c>
      <c r="E10" s="308"/>
      <c r="F10" s="287" t="s">
        <v>1017</v>
      </c>
      <c r="G10" s="287"/>
      <c r="H10" s="287" t="s">
        <v>315</v>
      </c>
      <c r="I10" s="287"/>
      <c r="J10" s="570" t="s">
        <v>1163</v>
      </c>
      <c r="L10" s="574"/>
      <c r="O10" s="287" t="s">
        <v>1164</v>
      </c>
    </row>
    <row r="11" spans="2:18" ht="15.75">
      <c r="B11" s="308"/>
      <c r="C11" s="319"/>
      <c r="D11" s="287" t="s">
        <v>889</v>
      </c>
      <c r="E11" s="308"/>
      <c r="F11" s="287" t="s">
        <v>889</v>
      </c>
      <c r="G11" s="287"/>
      <c r="H11" s="287" t="s">
        <v>889</v>
      </c>
      <c r="I11" s="287"/>
      <c r="J11" s="572" t="s">
        <v>134</v>
      </c>
      <c r="K11" s="336"/>
      <c r="L11" s="336"/>
      <c r="M11" s="575"/>
      <c r="O11" s="287" t="s">
        <v>889</v>
      </c>
    </row>
    <row r="12" spans="2:18" ht="15.75">
      <c r="B12" s="308"/>
      <c r="C12" s="319"/>
      <c r="D12" s="290" t="s">
        <v>747</v>
      </c>
      <c r="E12" s="308"/>
      <c r="F12" s="290" t="s">
        <v>540</v>
      </c>
      <c r="G12" s="287"/>
      <c r="H12" s="290" t="s">
        <v>540</v>
      </c>
      <c r="I12" s="287"/>
      <c r="J12" s="572" t="s">
        <v>2630</v>
      </c>
      <c r="K12" s="336"/>
      <c r="L12" s="336"/>
      <c r="O12" s="290" t="s">
        <v>747</v>
      </c>
    </row>
    <row r="13" spans="2:18" ht="15.75">
      <c r="B13" s="308" t="s">
        <v>325</v>
      </c>
      <c r="C13" s="303"/>
      <c r="D13" s="303"/>
      <c r="E13" s="308"/>
      <c r="F13" s="303"/>
      <c r="G13" s="303"/>
      <c r="H13" s="303"/>
      <c r="I13" s="303"/>
      <c r="O13" s="303"/>
    </row>
    <row r="14" spans="2:18" ht="15.75">
      <c r="B14" s="276" t="s">
        <v>3374</v>
      </c>
      <c r="C14" s="303"/>
      <c r="D14" s="292">
        <f>+'Cust Funds Chg in NP'!Y25+'Cust Funds Chg in NP'!AA25</f>
        <v>172447584</v>
      </c>
      <c r="E14" s="308"/>
      <c r="F14" s="292">
        <f>'FIDCH FDS'!T16</f>
        <v>5274294</v>
      </c>
      <c r="G14" s="292"/>
      <c r="H14" s="292">
        <f>SUM(D14:G14)</f>
        <v>177721878</v>
      </c>
      <c r="I14" s="292"/>
      <c r="O14" s="762">
        <v>172447584</v>
      </c>
      <c r="P14" s="574" t="s">
        <v>3371</v>
      </c>
      <c r="R14" s="288">
        <f>+O14-D14</f>
        <v>0</v>
      </c>
    </row>
    <row r="15" spans="2:18" ht="15.75">
      <c r="B15" s="920" t="s">
        <v>2864</v>
      </c>
      <c r="C15" s="303"/>
      <c r="D15" s="294"/>
      <c r="E15" s="308"/>
      <c r="F15" s="294"/>
      <c r="G15" s="294"/>
      <c r="H15" s="294"/>
      <c r="I15" s="294"/>
      <c r="O15" s="946"/>
    </row>
    <row r="16" spans="2:18" ht="15.75">
      <c r="B16" s="920" t="s">
        <v>2867</v>
      </c>
      <c r="C16" s="303"/>
      <c r="D16" s="929">
        <f>+O16</f>
        <v>268777</v>
      </c>
      <c r="E16" s="308"/>
      <c r="F16" s="929">
        <f>ROUND(('FIDCH FDS'!Q17)/0.97,0)+'FIDCH FDS'!C17</f>
        <v>20696</v>
      </c>
      <c r="G16" s="929"/>
      <c r="H16" s="929">
        <f>SUM(D16:G16)</f>
        <v>289473</v>
      </c>
      <c r="I16" s="294"/>
      <c r="O16" s="763">
        <v>268777</v>
      </c>
      <c r="P16" s="574" t="s">
        <v>3371</v>
      </c>
    </row>
    <row r="17" spans="1:18" ht="15.75">
      <c r="B17" s="920" t="s">
        <v>2868</v>
      </c>
      <c r="C17" s="303"/>
      <c r="D17" s="318">
        <f>ROUND(-D16*0.03,0)</f>
        <v>-8063</v>
      </c>
      <c r="E17" s="308"/>
      <c r="F17" s="318">
        <f>ROUND((-F16+'FIDCH FDS'!C17)*0.03,0)</f>
        <v>-621</v>
      </c>
      <c r="G17" s="294"/>
      <c r="H17" s="318">
        <f>SUM(D17:G17)</f>
        <v>-8684</v>
      </c>
      <c r="I17" s="294"/>
      <c r="O17" s="763">
        <v>-8063</v>
      </c>
      <c r="P17" s="574" t="s">
        <v>3371</v>
      </c>
    </row>
    <row r="18" spans="1:18" ht="15.75">
      <c r="B18" s="920" t="s">
        <v>2869</v>
      </c>
      <c r="C18" s="303"/>
      <c r="D18" s="521">
        <f>+D16+D17</f>
        <v>260714</v>
      </c>
      <c r="E18" s="308"/>
      <c r="F18" s="521">
        <f>+F16+F17</f>
        <v>20075</v>
      </c>
      <c r="G18" s="294"/>
      <c r="H18" s="521">
        <f>SUM(D18:G18)</f>
        <v>280789</v>
      </c>
      <c r="I18" s="294"/>
      <c r="O18" s="946"/>
    </row>
    <row r="19" spans="1:18" ht="15.75">
      <c r="B19" s="276"/>
      <c r="C19" s="303"/>
      <c r="D19" s="303"/>
      <c r="E19" s="308"/>
      <c r="F19" s="303"/>
      <c r="G19" s="303"/>
      <c r="H19" s="303"/>
      <c r="I19" s="303"/>
      <c r="J19" s="570" t="s">
        <v>1017</v>
      </c>
      <c r="L19" s="574"/>
      <c r="O19" s="303"/>
    </row>
    <row r="20" spans="1:18" ht="15.75">
      <c r="B20" s="308" t="s">
        <v>789</v>
      </c>
      <c r="C20" s="319"/>
      <c r="D20" s="301">
        <f>+D14+D18</f>
        <v>172708298</v>
      </c>
      <c r="E20" s="308"/>
      <c r="F20" s="301">
        <f t="shared" ref="F20" si="0">+F14+F18</f>
        <v>5294369</v>
      </c>
      <c r="G20" s="300"/>
      <c r="H20" s="301">
        <f t="shared" ref="H20" si="1">+H14+H18</f>
        <v>178002667</v>
      </c>
      <c r="I20" s="300"/>
      <c r="J20" s="572" t="s">
        <v>808</v>
      </c>
      <c r="K20" s="576"/>
      <c r="L20" s="576"/>
      <c r="M20" s="576"/>
      <c r="O20" s="300"/>
    </row>
    <row r="21" spans="1:18" ht="15.75">
      <c r="B21" s="276"/>
      <c r="C21" s="303"/>
      <c r="D21" s="303"/>
      <c r="E21" s="303"/>
      <c r="F21" s="303"/>
      <c r="G21" s="303"/>
      <c r="H21" s="303"/>
      <c r="I21" s="303"/>
      <c r="J21" s="572" t="s">
        <v>3045</v>
      </c>
      <c r="K21" s="576"/>
      <c r="L21" s="576"/>
      <c r="M21" s="576"/>
      <c r="O21" s="303"/>
    </row>
    <row r="22" spans="1:18" ht="15.75">
      <c r="B22" s="308" t="s">
        <v>593</v>
      </c>
      <c r="C22" s="303"/>
      <c r="D22" s="303"/>
      <c r="E22" s="308"/>
      <c r="F22" s="303"/>
      <c r="G22" s="303"/>
      <c r="H22" s="303"/>
      <c r="I22" s="303"/>
      <c r="O22" s="303"/>
    </row>
    <row r="23" spans="1:18" ht="15.75">
      <c r="B23" s="276" t="s">
        <v>3375</v>
      </c>
      <c r="C23" s="303"/>
      <c r="D23" s="294">
        <f>+D20-'FIDCOMBIT NP'!D32+D30+D32</f>
        <v>166997728</v>
      </c>
      <c r="E23" s="308"/>
      <c r="F23" s="294">
        <f>'FIDCH FDS'!T22</f>
        <v>4441691</v>
      </c>
      <c r="G23" s="294"/>
      <c r="H23" s="303">
        <f>SUM(D23:G23)</f>
        <v>171439419</v>
      </c>
      <c r="I23" s="303"/>
      <c r="O23" s="763">
        <v>166997728</v>
      </c>
      <c r="P23" s="574" t="s">
        <v>3371</v>
      </c>
      <c r="R23" s="288">
        <f>+O23-D23</f>
        <v>0</v>
      </c>
    </row>
    <row r="24" spans="1:18" ht="15.75" hidden="1">
      <c r="B24" s="276" t="s">
        <v>353</v>
      </c>
      <c r="C24" s="303"/>
      <c r="D24" s="294">
        <v>0</v>
      </c>
      <c r="E24" s="314"/>
      <c r="F24" s="294">
        <v>0</v>
      </c>
      <c r="G24" s="294"/>
      <c r="H24" s="294">
        <f>SUM(D24:G24)</f>
        <v>0</v>
      </c>
      <c r="I24" s="303"/>
      <c r="O24" s="947"/>
    </row>
    <row r="25" spans="1:18" ht="15.75">
      <c r="B25" s="276"/>
      <c r="C25" s="303"/>
      <c r="D25" s="999"/>
      <c r="E25" s="308"/>
      <c r="F25" s="999"/>
      <c r="G25" s="303"/>
      <c r="H25" s="999"/>
      <c r="I25" s="303"/>
      <c r="O25" s="303"/>
    </row>
    <row r="26" spans="1:18" ht="15.75">
      <c r="B26" s="308" t="s">
        <v>443</v>
      </c>
      <c r="C26" s="319"/>
      <c r="D26" s="301">
        <f>SUM(D23:D24)</f>
        <v>166997728</v>
      </c>
      <c r="E26" s="308"/>
      <c r="F26" s="301">
        <f>SUM(F23:F24)</f>
        <v>4441691</v>
      </c>
      <c r="G26" s="300"/>
      <c r="H26" s="301">
        <f>SUM(H23:H24)</f>
        <v>171439419</v>
      </c>
      <c r="I26" s="300"/>
      <c r="J26" s="374"/>
      <c r="O26" s="300"/>
    </row>
    <row r="27" spans="1:18" ht="15.75">
      <c r="B27" s="276"/>
      <c r="C27" s="303"/>
      <c r="D27" s="303"/>
      <c r="E27" s="308"/>
      <c r="F27" s="303"/>
      <c r="G27" s="303"/>
      <c r="H27" s="303"/>
      <c r="I27" s="303"/>
      <c r="O27" s="303"/>
    </row>
    <row r="28" spans="1:18" ht="15.75">
      <c r="B28" s="925" t="s">
        <v>2890</v>
      </c>
      <c r="C28" s="319"/>
      <c r="D28" s="300">
        <f>SUM(D20-D26)</f>
        <v>5710570</v>
      </c>
      <c r="E28" s="319"/>
      <c r="F28" s="300">
        <f>SUM(F20-F26)</f>
        <v>852678</v>
      </c>
      <c r="G28" s="319"/>
      <c r="H28" s="300">
        <f>SUM(H20-H26)</f>
        <v>6563248</v>
      </c>
      <c r="I28" s="319"/>
      <c r="O28" s="319"/>
    </row>
    <row r="29" spans="1:18" ht="13.9" customHeight="1">
      <c r="B29" s="276"/>
      <c r="C29" s="303"/>
      <c r="D29" s="303"/>
      <c r="E29" s="303"/>
      <c r="F29" s="303"/>
      <c r="G29" s="303"/>
      <c r="H29" s="303"/>
      <c r="I29" s="303"/>
      <c r="J29" s="570" t="s">
        <v>1662</v>
      </c>
      <c r="K29" s="304"/>
      <c r="L29" s="304"/>
      <c r="O29" s="303"/>
    </row>
    <row r="30" spans="1:18" ht="15.75">
      <c r="B30" s="276" t="s">
        <v>3013</v>
      </c>
      <c r="C30" s="303"/>
      <c r="D30" s="317">
        <v>52747791</v>
      </c>
      <c r="E30" s="1086"/>
      <c r="F30" s="317">
        <v>3851843</v>
      </c>
      <c r="G30" s="294"/>
      <c r="H30" s="317">
        <f>SUM(D30:G30)</f>
        <v>56599634</v>
      </c>
      <c r="I30" s="294"/>
      <c r="J30" s="572" t="s">
        <v>2002</v>
      </c>
      <c r="K30" s="576"/>
      <c r="L30" s="576"/>
      <c r="M30" s="323" t="s">
        <v>3308</v>
      </c>
      <c r="O30" s="948"/>
    </row>
    <row r="31" spans="1:18" ht="15.75" hidden="1">
      <c r="B31" s="1087"/>
      <c r="C31" s="303"/>
      <c r="D31" s="303"/>
      <c r="E31" s="303"/>
      <c r="F31" s="303"/>
      <c r="G31" s="303"/>
      <c r="H31" s="303"/>
      <c r="I31" s="303"/>
      <c r="O31" s="303"/>
    </row>
    <row r="32" spans="1:18" ht="15.75" hidden="1">
      <c r="A32" s="288" t="s">
        <v>299</v>
      </c>
      <c r="B32" s="276" t="s">
        <v>385</v>
      </c>
      <c r="C32" s="303"/>
      <c r="D32" s="317">
        <f>-INPUT!DQ66-INPUT!DR66</f>
        <v>0</v>
      </c>
      <c r="E32" s="1114"/>
      <c r="F32" s="317">
        <v>0</v>
      </c>
      <c r="G32" s="294"/>
      <c r="H32" s="317" t="str">
        <f>IF(SUM(D32:F32)&lt;&gt;0,SUM(D32:F32),"-  ")</f>
        <v xml:space="preserve">-  </v>
      </c>
      <c r="I32" s="303"/>
      <c r="O32" s="303"/>
    </row>
    <row r="33" spans="1:15" ht="15.75" hidden="1">
      <c r="A33" s="288" t="s">
        <v>299</v>
      </c>
      <c r="B33" s="276"/>
      <c r="C33" s="303"/>
      <c r="D33" s="303"/>
      <c r="E33" s="303"/>
      <c r="F33" s="303"/>
      <c r="G33" s="303"/>
      <c r="H33" s="303"/>
      <c r="I33" s="303"/>
      <c r="O33" s="303"/>
    </row>
    <row r="34" spans="1:15" ht="15.75" hidden="1">
      <c r="A34" s="288" t="s">
        <v>299</v>
      </c>
      <c r="B34" s="276" t="s">
        <v>3015</v>
      </c>
      <c r="C34" s="303"/>
      <c r="D34" s="294">
        <f>SUM(D30+D32)</f>
        <v>52747791</v>
      </c>
      <c r="E34" s="303"/>
      <c r="F34" s="294">
        <f>SUM(F30+F32)</f>
        <v>3851843</v>
      </c>
      <c r="G34" s="303"/>
      <c r="H34" s="294">
        <f>IF(SUM(D34:F34)&lt;&gt;0,SUM(D34:F34),"-  ")</f>
        <v>56599634</v>
      </c>
      <c r="I34" s="303"/>
      <c r="O34" s="303"/>
    </row>
    <row r="35" spans="1:15" ht="15.75">
      <c r="B35" s="276"/>
      <c r="C35" s="303"/>
      <c r="D35" s="999"/>
      <c r="E35" s="303"/>
      <c r="F35" s="999"/>
      <c r="G35" s="303"/>
      <c r="H35" s="999"/>
      <c r="I35" s="303"/>
      <c r="J35" s="323"/>
      <c r="O35" s="303"/>
    </row>
    <row r="36" spans="1:15" ht="16.5" thickBot="1">
      <c r="B36" s="308" t="s">
        <v>3014</v>
      </c>
      <c r="C36" s="319"/>
      <c r="D36" s="302">
        <f>SUM(D28+D34)</f>
        <v>58458361</v>
      </c>
      <c r="E36" s="326"/>
      <c r="F36" s="302">
        <f>SUM(F28+F34)</f>
        <v>4704521</v>
      </c>
      <c r="G36" s="326"/>
      <c r="H36" s="302">
        <f>SUM(H28+H34)</f>
        <v>63162882</v>
      </c>
      <c r="I36" s="326"/>
      <c r="J36" s="288">
        <f>+'FIDCOMBIT NP'!H32</f>
        <v>63162882</v>
      </c>
      <c r="O36" s="326"/>
    </row>
    <row r="37" spans="1:15" ht="16.5" thickTop="1">
      <c r="B37" s="1087"/>
      <c r="C37" s="427"/>
      <c r="D37" s="427"/>
      <c r="E37" s="427"/>
      <c r="F37" s="427"/>
      <c r="G37" s="427"/>
      <c r="H37" s="427"/>
      <c r="I37" s="427"/>
      <c r="J37" s="573">
        <f>+J36-H36</f>
        <v>0</v>
      </c>
      <c r="L37" s="574" t="s">
        <v>3370</v>
      </c>
    </row>
    <row r="38" spans="1:15">
      <c r="B38" s="577"/>
      <c r="C38" s="501"/>
      <c r="D38" s="427"/>
      <c r="E38" s="427"/>
      <c r="F38" s="427"/>
      <c r="G38" s="427"/>
      <c r="H38" s="427"/>
      <c r="I38" s="427"/>
    </row>
    <row r="39" spans="1:15">
      <c r="C39" s="501"/>
      <c r="D39" s="427"/>
      <c r="E39" s="427"/>
      <c r="F39" s="427"/>
      <c r="G39" s="427"/>
      <c r="H39" s="427"/>
      <c r="I39" s="427"/>
    </row>
    <row r="40" spans="1:15">
      <c r="C40" s="427"/>
      <c r="D40" s="427"/>
      <c r="E40" s="427"/>
      <c r="F40" s="427"/>
      <c r="G40" s="427"/>
      <c r="H40" s="427"/>
      <c r="I40" s="427"/>
    </row>
    <row r="41" spans="1:15">
      <c r="C41" s="427"/>
      <c r="D41" s="427"/>
      <c r="E41" s="427"/>
      <c r="F41" s="427"/>
      <c r="G41" s="427"/>
      <c r="H41" s="427"/>
      <c r="I41" s="427"/>
    </row>
    <row r="42" spans="1:15">
      <c r="C42" s="427"/>
      <c r="D42" s="427"/>
      <c r="E42" s="427"/>
      <c r="F42" s="427"/>
      <c r="G42" s="427"/>
      <c r="H42" s="427"/>
      <c r="I42" s="427"/>
    </row>
    <row r="43" spans="1:15">
      <c r="C43" s="427"/>
      <c r="D43" s="427"/>
      <c r="E43" s="427"/>
      <c r="F43" s="427"/>
      <c r="G43" s="427"/>
      <c r="H43" s="427"/>
      <c r="I43" s="427"/>
    </row>
    <row r="44" spans="1:15">
      <c r="C44" s="427"/>
      <c r="D44" s="427"/>
      <c r="E44" s="427"/>
      <c r="F44" s="427"/>
      <c r="G44" s="427"/>
      <c r="H44" s="427"/>
      <c r="I44" s="427"/>
    </row>
    <row r="45" spans="1:15">
      <c r="C45" s="427"/>
      <c r="D45" s="427"/>
      <c r="E45" s="427"/>
      <c r="F45" s="427"/>
      <c r="G45" s="427"/>
      <c r="H45" s="427"/>
      <c r="I45" s="427"/>
    </row>
    <row r="46" spans="1:15">
      <c r="C46" s="427"/>
      <c r="D46" s="427"/>
      <c r="E46" s="427"/>
      <c r="F46" s="427"/>
      <c r="G46" s="427"/>
      <c r="H46" s="427"/>
      <c r="I46" s="427"/>
    </row>
    <row r="47" spans="1:15">
      <c r="C47" s="427"/>
      <c r="D47" s="427"/>
      <c r="E47" s="427"/>
      <c r="F47" s="427"/>
      <c r="G47" s="427"/>
      <c r="H47" s="427"/>
      <c r="I47" s="427"/>
    </row>
    <row r="48" spans="1:15">
      <c r="C48" s="427"/>
      <c r="D48" s="427"/>
      <c r="E48" s="427"/>
      <c r="F48" s="427"/>
      <c r="G48" s="427"/>
      <c r="H48" s="427"/>
      <c r="I48" s="427"/>
    </row>
    <row r="49" spans="3:9">
      <c r="C49" s="427"/>
      <c r="D49" s="427"/>
      <c r="E49" s="427"/>
      <c r="F49" s="427"/>
      <c r="G49" s="427"/>
      <c r="H49" s="427"/>
      <c r="I49" s="427"/>
    </row>
    <row r="50" spans="3:9">
      <c r="C50" s="427"/>
      <c r="D50" s="427"/>
      <c r="E50" s="427"/>
      <c r="F50" s="427"/>
      <c r="G50" s="427"/>
      <c r="H50" s="427"/>
      <c r="I50" s="427"/>
    </row>
    <row r="51" spans="3:9">
      <c r="C51" s="427"/>
      <c r="D51" s="427"/>
      <c r="E51" s="427"/>
      <c r="F51" s="427"/>
      <c r="G51" s="427"/>
      <c r="H51" s="427"/>
      <c r="I51" s="427"/>
    </row>
    <row r="52" spans="3:9">
      <c r="C52" s="427"/>
      <c r="D52" s="427"/>
      <c r="E52" s="427"/>
      <c r="F52" s="427"/>
      <c r="G52" s="427"/>
      <c r="H52" s="427"/>
      <c r="I52" s="427"/>
    </row>
    <row r="53" spans="3:9" ht="15.75">
      <c r="C53" s="427"/>
      <c r="D53" s="573">
        <f>+D36-'FIDCOMBIT NP'!D34</f>
        <v>0</v>
      </c>
      <c r="E53" s="573"/>
      <c r="F53" s="573">
        <f>+F36-'FIDCOMBIT NP'!F34</f>
        <v>0</v>
      </c>
      <c r="G53" s="573"/>
      <c r="H53" s="427"/>
      <c r="I53" s="427"/>
    </row>
    <row r="54" spans="3:9" ht="15.75">
      <c r="C54" s="427"/>
      <c r="D54" s="574" t="s">
        <v>3184</v>
      </c>
      <c r="E54" s="574"/>
      <c r="F54" s="574" t="s">
        <v>3184</v>
      </c>
      <c r="G54" s="574"/>
      <c r="H54" s="427"/>
      <c r="I54" s="427"/>
    </row>
    <row r="55" spans="3:9">
      <c r="C55" s="427"/>
      <c r="E55" s="427"/>
      <c r="F55" s="427"/>
      <c r="G55" s="427"/>
      <c r="H55" s="427"/>
      <c r="I55" s="427"/>
    </row>
    <row r="56" spans="3:9">
      <c r="C56" s="427"/>
      <c r="E56" s="427"/>
      <c r="F56" s="427"/>
      <c r="G56" s="427"/>
      <c r="H56" s="427"/>
      <c r="I56" s="427"/>
    </row>
    <row r="57" spans="3:9">
      <c r="C57" s="427"/>
      <c r="D57" s="427">
        <f>+'Cust Funds Chg in NP'!Y22+'Cust Funds Chg in NP'!AA22</f>
        <v>172354728</v>
      </c>
      <c r="E57" s="427"/>
      <c r="F57" s="427"/>
      <c r="G57" s="427"/>
      <c r="H57" s="427"/>
      <c r="I57" s="427"/>
    </row>
    <row r="58" spans="3:9">
      <c r="C58" s="427"/>
      <c r="D58" s="427"/>
      <c r="E58" s="427"/>
      <c r="F58" s="427"/>
      <c r="G58" s="427"/>
      <c r="H58" s="427"/>
      <c r="I58" s="427"/>
    </row>
    <row r="59" spans="3:9">
      <c r="C59" s="427"/>
      <c r="D59" s="427"/>
      <c r="E59" s="427"/>
      <c r="F59" s="427"/>
      <c r="G59" s="427"/>
      <c r="H59" s="427"/>
      <c r="I59" s="427"/>
    </row>
    <row r="60" spans="3:9">
      <c r="C60" s="427"/>
      <c r="D60" s="427"/>
      <c r="E60" s="427"/>
      <c r="F60" s="427"/>
      <c r="G60" s="427"/>
      <c r="H60" s="427"/>
      <c r="I60" s="427"/>
    </row>
    <row r="61" spans="3:9">
      <c r="C61" s="427"/>
      <c r="D61" s="427"/>
      <c r="E61" s="427"/>
      <c r="F61" s="427"/>
      <c r="G61" s="427"/>
      <c r="H61" s="427"/>
      <c r="I61" s="427"/>
    </row>
    <row r="62" spans="3:9">
      <c r="C62" s="427"/>
      <c r="D62" s="427"/>
      <c r="E62" s="427"/>
      <c r="F62" s="427"/>
      <c r="G62" s="427"/>
      <c r="H62" s="427"/>
      <c r="I62" s="427"/>
    </row>
    <row r="63" spans="3:9">
      <c r="C63" s="427"/>
      <c r="D63" s="427"/>
      <c r="E63" s="427"/>
      <c r="F63" s="427"/>
      <c r="G63" s="427"/>
      <c r="H63" s="427"/>
      <c r="I63" s="427"/>
    </row>
    <row r="64" spans="3:9">
      <c r="C64" s="427"/>
      <c r="D64" s="427"/>
      <c r="E64" s="427"/>
      <c r="F64" s="427"/>
      <c r="G64" s="427"/>
      <c r="H64" s="427"/>
      <c r="I64" s="427"/>
    </row>
    <row r="65" spans="1:11">
      <c r="C65" s="427"/>
      <c r="D65" s="427"/>
      <c r="E65" s="427"/>
      <c r="F65" s="427"/>
      <c r="G65" s="427"/>
      <c r="H65" s="427"/>
      <c r="I65" s="427"/>
    </row>
    <row r="66" spans="1:11">
      <c r="C66" s="427"/>
      <c r="D66" s="427"/>
      <c r="E66" s="427"/>
      <c r="F66" s="427"/>
      <c r="G66" s="427"/>
      <c r="H66" s="427"/>
      <c r="I66" s="427"/>
    </row>
    <row r="67" spans="1:11">
      <c r="C67" s="427"/>
      <c r="D67" s="427"/>
      <c r="E67" s="427"/>
      <c r="F67" s="427"/>
      <c r="G67" s="427"/>
      <c r="H67" s="427"/>
      <c r="I67" s="427"/>
    </row>
    <row r="68" spans="1:11">
      <c r="C68" s="427"/>
      <c r="D68" s="427"/>
      <c r="E68" s="427"/>
      <c r="F68" s="427"/>
      <c r="G68" s="427"/>
      <c r="H68" s="427"/>
      <c r="I68" s="427"/>
    </row>
    <row r="69" spans="1:11">
      <c r="C69" s="427"/>
      <c r="D69" s="427"/>
      <c r="E69" s="427"/>
      <c r="F69" s="427"/>
      <c r="G69" s="427"/>
      <c r="H69" s="427"/>
      <c r="I69" s="427"/>
    </row>
    <row r="70" spans="1:11">
      <c r="C70" s="427"/>
      <c r="D70" s="427"/>
      <c r="E70" s="427"/>
      <c r="F70" s="427"/>
      <c r="G70" s="427"/>
      <c r="H70" s="427"/>
      <c r="I70" s="427"/>
    </row>
    <row r="71" spans="1:11">
      <c r="C71" s="427"/>
      <c r="D71" s="427"/>
      <c r="E71" s="427"/>
      <c r="F71" s="427"/>
      <c r="G71" s="427"/>
      <c r="H71" s="427"/>
      <c r="I71" s="427"/>
    </row>
    <row r="72" spans="1:11">
      <c r="C72" s="427"/>
      <c r="D72" s="427"/>
      <c r="E72" s="427"/>
      <c r="F72" s="427"/>
      <c r="G72" s="427"/>
      <c r="H72" s="427"/>
      <c r="I72" s="427"/>
    </row>
    <row r="73" spans="1:11">
      <c r="C73" s="427"/>
      <c r="D73" s="427"/>
      <c r="E73" s="427"/>
      <c r="F73" s="427"/>
      <c r="G73" s="427"/>
      <c r="H73" s="427"/>
      <c r="I73" s="427"/>
    </row>
    <row r="74" spans="1:11">
      <c r="C74" s="427"/>
      <c r="D74" s="427"/>
      <c r="E74" s="427"/>
      <c r="F74" s="427"/>
      <c r="G74" s="427"/>
      <c r="H74" s="427"/>
      <c r="I74" s="427"/>
    </row>
    <row r="75" spans="1:11">
      <c r="C75" s="427"/>
      <c r="D75" s="427"/>
      <c r="E75" s="427"/>
      <c r="F75" s="427"/>
      <c r="G75" s="427"/>
      <c r="H75" s="427"/>
      <c r="I75" s="427"/>
    </row>
    <row r="76" spans="1:11">
      <c r="C76" s="427"/>
      <c r="D76" s="427"/>
      <c r="E76" s="427"/>
      <c r="F76" s="427"/>
      <c r="G76" s="427"/>
      <c r="H76" s="427"/>
      <c r="I76" s="427"/>
    </row>
    <row r="77" spans="1:11">
      <c r="C77" s="427"/>
      <c r="D77" s="427"/>
      <c r="E77" s="427"/>
      <c r="F77" s="427"/>
      <c r="G77" s="427"/>
      <c r="H77" s="427"/>
      <c r="I77" s="427"/>
    </row>
    <row r="78" spans="1:11">
      <c r="C78" s="427"/>
      <c r="D78" s="427"/>
      <c r="E78" s="427"/>
      <c r="F78" s="427"/>
      <c r="G78" s="427"/>
      <c r="H78" s="427"/>
      <c r="I78" s="427"/>
    </row>
    <row r="79" spans="1:11">
      <c r="A79" s="289" t="s">
        <v>378</v>
      </c>
      <c r="B79" s="289"/>
      <c r="C79" s="289"/>
      <c r="D79" s="289"/>
      <c r="E79" s="289"/>
      <c r="F79" s="289"/>
      <c r="G79" s="289"/>
      <c r="H79" s="289"/>
      <c r="I79" s="289"/>
      <c r="J79" s="289"/>
      <c r="K79" s="330"/>
    </row>
  </sheetData>
  <mergeCells count="3">
    <mergeCell ref="B4:H4"/>
    <mergeCell ref="B5:H5"/>
    <mergeCell ref="B6:H6"/>
  </mergeCells>
  <phoneticPr fontId="0" type="noConversion"/>
  <printOptions horizontalCentered="1"/>
  <pageMargins left="0.5" right="0.47499999999999998" top="0.5" bottom="0.75" header="0.5" footer="0.25"/>
  <pageSetup scale="75" firstPageNumber="132" orientation="portrait" useFirstPageNumber="1"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ransitionEvaluation="1" codeName="Sheet41"/>
  <dimension ref="A2:CR49"/>
  <sheetViews>
    <sheetView showGridLines="0" topLeftCell="T1" zoomScale="70" zoomScaleNormal="70" workbookViewId="0">
      <selection activeCell="AO21" activeCellId="3" sqref="AO16 AO17 AO19 AO21"/>
    </sheetView>
  </sheetViews>
  <sheetFormatPr defaultColWidth="9.7109375" defaultRowHeight="12.75"/>
  <cols>
    <col min="1" max="1" width="68.42578125" style="288" customWidth="1"/>
    <col min="2" max="2" width="2.5703125" style="288" customWidth="1"/>
    <col min="3" max="3" width="20.7109375" style="288" customWidth="1"/>
    <col min="4" max="4" width="2.5703125" style="288" customWidth="1"/>
    <col min="5" max="5" width="20.7109375" style="288" customWidth="1"/>
    <col min="6" max="6" width="2.5703125" style="288" customWidth="1"/>
    <col min="7" max="7" width="20.7109375" style="288" customWidth="1"/>
    <col min="8" max="8" width="2.7109375" style="288" customWidth="1"/>
    <col min="9" max="9" width="20.7109375" style="288" customWidth="1"/>
    <col min="10" max="10" width="2.7109375" style="288" customWidth="1"/>
    <col min="11" max="11" width="68.140625" style="288" customWidth="1"/>
    <col min="12" max="12" width="2.7109375" style="288" customWidth="1"/>
    <col min="13" max="13" width="20.7109375" style="288" customWidth="1"/>
    <col min="14" max="14" width="2.7109375" style="288" customWidth="1"/>
    <col min="15" max="15" width="20.7109375" style="288" customWidth="1"/>
    <col min="16" max="16" width="2.7109375" style="288" customWidth="1"/>
    <col min="17" max="17" width="20.7109375" style="288" customWidth="1"/>
    <col min="18" max="18" width="2.7109375" style="288" customWidth="1"/>
    <col min="19" max="19" width="20.7109375" style="288" customWidth="1"/>
    <col min="20" max="20" width="2.7109375" style="288" customWidth="1"/>
    <col min="21" max="21" width="68.42578125" style="288" customWidth="1"/>
    <col min="22" max="22" width="2.7109375" style="288" customWidth="1"/>
    <col min="23" max="23" width="20.7109375" style="288" customWidth="1"/>
    <col min="24" max="24" width="2.7109375" style="288" customWidth="1"/>
    <col min="25" max="25" width="20.7109375" style="288" customWidth="1"/>
    <col min="26" max="26" width="2.7109375" style="288" customWidth="1"/>
    <col min="27" max="27" width="20.7109375" style="288" customWidth="1"/>
    <col min="28" max="28" width="2.7109375" style="288" customWidth="1"/>
    <col min="29" max="29" width="20.7109375" style="288" customWidth="1"/>
    <col min="30" max="30" width="2.7109375" style="288" customWidth="1"/>
    <col min="31" max="31" width="67.140625" style="288" customWidth="1"/>
    <col min="32" max="32" width="2.7109375" style="288" customWidth="1"/>
    <col min="33" max="33" width="20.7109375" style="288" customWidth="1"/>
    <col min="34" max="34" width="2.7109375" style="288" customWidth="1"/>
    <col min="35" max="35" width="20.7109375" style="288" customWidth="1"/>
    <col min="36" max="36" width="2.7109375" style="288" customWidth="1"/>
    <col min="37" max="37" width="20.7109375" style="288" customWidth="1"/>
    <col min="38" max="39" width="2.5703125" style="288" customWidth="1"/>
    <col min="40" max="40" width="2.7109375" style="288" customWidth="1"/>
    <col min="41" max="41" width="20.7109375" style="288" customWidth="1"/>
    <col min="42" max="42" width="2.7109375" style="288" customWidth="1"/>
    <col min="43" max="43" width="10.28515625" style="288" customWidth="1"/>
    <col min="44" max="44" width="32.5703125" style="288" customWidth="1"/>
    <col min="45" max="45" width="20.140625" style="288" customWidth="1"/>
    <col min="46" max="46" width="12.85546875" style="288" bestFit="1" customWidth="1"/>
    <col min="47" max="47" width="14.140625" style="288" customWidth="1"/>
    <col min="48" max="48" width="12.42578125" style="288" bestFit="1" customWidth="1"/>
    <col min="49" max="49" width="10.5703125" style="288" bestFit="1" customWidth="1"/>
    <col min="50" max="16384" width="9.7109375" style="288"/>
  </cols>
  <sheetData>
    <row r="2" spans="1:96" ht="15.75">
      <c r="AP2" s="287"/>
    </row>
    <row r="3" spans="1:96" ht="15.75">
      <c r="AP3" s="287"/>
    </row>
    <row r="4" spans="1:96" ht="15.75">
      <c r="AP4" s="287"/>
    </row>
    <row r="5" spans="1:96" ht="15.75">
      <c r="A5" s="305" t="s">
        <v>1049</v>
      </c>
      <c r="B5" s="305"/>
      <c r="C5" s="305"/>
      <c r="D5" s="305"/>
      <c r="E5" s="305"/>
      <c r="F5" s="305"/>
      <c r="G5" s="305"/>
      <c r="H5" s="305"/>
      <c r="I5" s="305"/>
      <c r="J5" s="305"/>
      <c r="K5" s="305" t="str">
        <f>A5</f>
        <v>LEWIS AND CLARK COUNTY, MONTANA</v>
      </c>
      <c r="L5" s="305"/>
      <c r="M5" s="305"/>
      <c r="N5" s="305"/>
      <c r="O5" s="305"/>
      <c r="P5" s="305"/>
      <c r="Q5" s="305"/>
      <c r="R5" s="305"/>
      <c r="S5" s="305"/>
      <c r="T5" s="305"/>
      <c r="U5" s="305" t="str">
        <f>A5</f>
        <v>LEWIS AND CLARK COUNTY, MONTANA</v>
      </c>
      <c r="V5" s="305"/>
      <c r="W5" s="305"/>
      <c r="X5" s="305"/>
      <c r="Y5" s="305"/>
      <c r="Z5" s="305"/>
      <c r="AA5" s="305"/>
      <c r="AB5" s="305"/>
      <c r="AC5" s="305"/>
      <c r="AD5" s="305"/>
      <c r="AE5" s="305" t="str">
        <f>K5</f>
        <v>LEWIS AND CLARK COUNTY, MONTANA</v>
      </c>
      <c r="AF5" s="305"/>
      <c r="AG5" s="305"/>
      <c r="AH5" s="305"/>
      <c r="AI5" s="305"/>
      <c r="AJ5" s="305"/>
      <c r="AK5" s="305"/>
      <c r="AL5" s="305"/>
      <c r="AM5" s="305"/>
      <c r="AN5" s="305"/>
      <c r="AO5" s="305"/>
      <c r="AP5" s="287"/>
      <c r="AQ5" s="287"/>
      <c r="AT5" s="320"/>
    </row>
    <row r="6" spans="1:96" ht="15.75">
      <c r="A6" s="305" t="s">
        <v>1688</v>
      </c>
      <c r="B6" s="305"/>
      <c r="C6" s="305"/>
      <c r="D6" s="305"/>
      <c r="E6" s="305"/>
      <c r="F6" s="305"/>
      <c r="G6" s="305"/>
      <c r="H6" s="305"/>
      <c r="I6" s="305"/>
      <c r="J6" s="305"/>
      <c r="K6" s="305" t="str">
        <f>A6</f>
        <v>STATEMENT OF FIDUCIARY NET POSITION</v>
      </c>
      <c r="L6" s="305"/>
      <c r="M6" s="305"/>
      <c r="N6" s="305"/>
      <c r="O6" s="305"/>
      <c r="P6" s="305"/>
      <c r="Q6" s="305"/>
      <c r="R6" s="305"/>
      <c r="S6" s="305"/>
      <c r="T6" s="305"/>
      <c r="U6" s="305" t="str">
        <f>A6</f>
        <v>STATEMENT OF FIDUCIARY NET POSITION</v>
      </c>
      <c r="V6" s="305"/>
      <c r="W6" s="305"/>
      <c r="X6" s="305"/>
      <c r="Y6" s="305"/>
      <c r="Z6" s="305"/>
      <c r="AA6" s="305"/>
      <c r="AB6" s="305"/>
      <c r="AC6" s="305"/>
      <c r="AD6" s="305"/>
      <c r="AE6" s="305" t="str">
        <f>K6</f>
        <v>STATEMENT OF FIDUCIARY NET POSITION</v>
      </c>
      <c r="AF6" s="305"/>
      <c r="AG6" s="305"/>
      <c r="AH6" s="305"/>
      <c r="AI6" s="305"/>
      <c r="AJ6" s="305"/>
      <c r="AK6" s="305"/>
      <c r="AL6" s="305"/>
      <c r="AM6" s="305"/>
      <c r="AN6" s="305"/>
      <c r="AO6" s="305"/>
      <c r="AP6" s="287"/>
      <c r="AQ6" s="287"/>
      <c r="AT6" s="320"/>
    </row>
    <row r="7" spans="1:96" ht="15.75">
      <c r="A7" s="305" t="s">
        <v>2866</v>
      </c>
      <c r="B7" s="305"/>
      <c r="C7" s="305"/>
      <c r="D7" s="305"/>
      <c r="E7" s="305"/>
      <c r="F7" s="305"/>
      <c r="G7" s="305"/>
      <c r="H7" s="305"/>
      <c r="I7" s="305"/>
      <c r="J7" s="305"/>
      <c r="K7" s="305" t="str">
        <f>A7</f>
        <v>FIDUCIARY FUNDS - CUSTODIAL FUNDS</v>
      </c>
      <c r="L7" s="305"/>
      <c r="M7" s="305"/>
      <c r="N7" s="305"/>
      <c r="O7" s="305"/>
      <c r="P7" s="305"/>
      <c r="Q7" s="305"/>
      <c r="R7" s="305"/>
      <c r="S7" s="305"/>
      <c r="T7" s="305"/>
      <c r="U7" s="305" t="str">
        <f>A7</f>
        <v>FIDUCIARY FUNDS - CUSTODIAL FUNDS</v>
      </c>
      <c r="V7" s="305"/>
      <c r="W7" s="305"/>
      <c r="X7" s="305"/>
      <c r="Y7" s="305"/>
      <c r="Z7" s="305"/>
      <c r="AA7" s="305"/>
      <c r="AB7" s="305"/>
      <c r="AC7" s="305"/>
      <c r="AD7" s="305"/>
      <c r="AE7" s="305" t="str">
        <f>K7</f>
        <v>FIDUCIARY FUNDS - CUSTODIAL FUNDS</v>
      </c>
      <c r="AF7" s="305"/>
      <c r="AG7" s="305"/>
      <c r="AH7" s="305"/>
      <c r="AI7" s="305"/>
      <c r="AJ7" s="305"/>
      <c r="AK7" s="305"/>
      <c r="AL7" s="305"/>
      <c r="AM7" s="305"/>
      <c r="AN7" s="305"/>
      <c r="AO7" s="305"/>
      <c r="AP7" s="287"/>
      <c r="AQ7" s="287"/>
      <c r="AT7" s="320"/>
    </row>
    <row r="8" spans="1:96" ht="15.75">
      <c r="A8" s="307">
        <f>+'Sys INPUT'!B1</f>
        <v>45107</v>
      </c>
      <c r="B8" s="307"/>
      <c r="C8" s="307"/>
      <c r="D8" s="307"/>
      <c r="E8" s="307"/>
      <c r="F8" s="307"/>
      <c r="G8" s="307"/>
      <c r="H8" s="307"/>
      <c r="I8" s="307"/>
      <c r="J8" s="307"/>
      <c r="K8" s="307">
        <f>A8</f>
        <v>45107</v>
      </c>
      <c r="L8" s="307"/>
      <c r="M8" s="307"/>
      <c r="N8" s="307"/>
      <c r="O8" s="307"/>
      <c r="P8" s="307"/>
      <c r="Q8" s="307"/>
      <c r="R8" s="307"/>
      <c r="S8" s="307"/>
      <c r="T8" s="307"/>
      <c r="U8" s="307">
        <f>A8</f>
        <v>45107</v>
      </c>
      <c r="V8" s="307"/>
      <c r="W8" s="307"/>
      <c r="X8" s="307"/>
      <c r="Y8" s="307"/>
      <c r="Z8" s="307"/>
      <c r="AA8" s="307"/>
      <c r="AB8" s="307"/>
      <c r="AC8" s="307"/>
      <c r="AD8" s="307"/>
      <c r="AE8" s="307">
        <f>K8</f>
        <v>45107</v>
      </c>
      <c r="AF8" s="307"/>
      <c r="AG8" s="307"/>
      <c r="AH8" s="307"/>
      <c r="AI8" s="307"/>
      <c r="AJ8" s="307"/>
      <c r="AK8" s="307"/>
      <c r="AL8" s="307"/>
      <c r="AM8" s="307"/>
      <c r="AN8" s="307"/>
      <c r="AO8" s="307"/>
      <c r="AP8" s="287"/>
      <c r="AQ8" s="578"/>
      <c r="AT8" s="320"/>
    </row>
    <row r="9" spans="1:96" ht="15.75">
      <c r="A9" s="305" t="s">
        <v>1661</v>
      </c>
      <c r="B9" s="305"/>
      <c r="C9" s="305"/>
      <c r="D9" s="305"/>
      <c r="E9" s="305"/>
      <c r="F9" s="305"/>
      <c r="G9" s="305"/>
      <c r="H9" s="305"/>
      <c r="I9" s="305"/>
      <c r="J9" s="305"/>
      <c r="K9" s="305" t="s">
        <v>1660</v>
      </c>
      <c r="L9" s="305"/>
      <c r="M9" s="305"/>
      <c r="N9" s="305"/>
      <c r="O9" s="305"/>
      <c r="P9" s="305"/>
      <c r="Q9" s="305"/>
      <c r="R9" s="305"/>
      <c r="S9" s="305"/>
      <c r="T9" s="305"/>
      <c r="U9" s="305" t="s">
        <v>1663</v>
      </c>
      <c r="V9" s="305"/>
      <c r="W9" s="305"/>
      <c r="X9" s="305"/>
      <c r="Y9" s="305"/>
      <c r="Z9" s="305"/>
      <c r="AA9" s="305"/>
      <c r="AB9" s="305"/>
      <c r="AC9" s="305"/>
      <c r="AD9" s="305"/>
      <c r="AE9" s="305" t="s">
        <v>454</v>
      </c>
      <c r="AF9" s="305"/>
      <c r="AG9" s="305"/>
      <c r="AH9" s="305"/>
      <c r="AI9" s="305"/>
      <c r="AJ9" s="305"/>
      <c r="AK9" s="305"/>
      <c r="AL9" s="305"/>
      <c r="AM9" s="305"/>
      <c r="AN9" s="305"/>
      <c r="AO9" s="305"/>
      <c r="AP9" s="287"/>
      <c r="AQ9" s="287"/>
      <c r="AT9" s="320"/>
    </row>
    <row r="10" spans="1:96" ht="15.75">
      <c r="A10" s="308"/>
      <c r="B10" s="287"/>
      <c r="C10" s="287"/>
      <c r="D10" s="287"/>
      <c r="E10" s="287"/>
      <c r="F10" s="287"/>
      <c r="G10" s="287"/>
      <c r="H10" s="305"/>
      <c r="I10" s="305"/>
      <c r="J10" s="305"/>
      <c r="K10" s="308"/>
      <c r="L10" s="305"/>
      <c r="M10" s="305"/>
      <c r="N10" s="305"/>
      <c r="O10" s="305"/>
      <c r="P10" s="305"/>
      <c r="Q10" s="305"/>
      <c r="R10" s="305"/>
      <c r="S10" s="319"/>
      <c r="T10" s="305"/>
      <c r="U10" s="308"/>
      <c r="V10" s="305"/>
      <c r="W10" s="319"/>
      <c r="X10" s="305"/>
      <c r="Y10" s="319"/>
      <c r="Z10" s="319"/>
      <c r="AA10" s="319"/>
      <c r="AB10" s="319"/>
      <c r="AC10" s="319"/>
      <c r="AD10" s="305"/>
      <c r="AE10" s="308"/>
      <c r="AF10" s="319"/>
      <c r="AG10" s="319"/>
      <c r="AH10" s="319"/>
      <c r="AI10" s="305"/>
      <c r="AJ10" s="319"/>
      <c r="AK10" s="305"/>
      <c r="AL10" s="305"/>
      <c r="AM10" s="305"/>
      <c r="AN10" s="319"/>
      <c r="AO10" s="319"/>
      <c r="AP10" s="287"/>
      <c r="AQ10" s="319"/>
      <c r="AT10" s="308"/>
    </row>
    <row r="11" spans="1:96" ht="15.75">
      <c r="A11" s="308"/>
      <c r="B11" s="305"/>
      <c r="C11" s="305"/>
      <c r="D11" s="305"/>
      <c r="E11" s="305"/>
      <c r="F11" s="305"/>
      <c r="G11" s="305"/>
      <c r="H11" s="305" t="s">
        <v>16</v>
      </c>
      <c r="I11" s="305" t="s">
        <v>16</v>
      </c>
      <c r="J11" s="305"/>
      <c r="K11" s="308" t="s">
        <v>16</v>
      </c>
      <c r="L11" s="305"/>
      <c r="M11" s="287"/>
      <c r="N11" s="305"/>
      <c r="O11" s="287"/>
      <c r="P11" s="305"/>
      <c r="Q11" s="287"/>
      <c r="R11" s="305"/>
      <c r="S11" s="305" t="s">
        <v>16</v>
      </c>
      <c r="T11" s="305"/>
      <c r="U11" s="308" t="s">
        <v>16</v>
      </c>
      <c r="V11" s="305"/>
      <c r="W11" s="305" t="s">
        <v>16</v>
      </c>
      <c r="X11" s="305" t="s">
        <v>16</v>
      </c>
      <c r="Y11" s="305" t="s">
        <v>16</v>
      </c>
      <c r="Z11" s="305" t="s">
        <v>16</v>
      </c>
      <c r="AA11" s="305" t="s">
        <v>16</v>
      </c>
      <c r="AB11" s="305"/>
      <c r="AC11" s="305"/>
      <c r="AD11" s="305"/>
      <c r="AE11" s="308" t="s">
        <v>16</v>
      </c>
      <c r="AF11" s="305" t="s">
        <v>16</v>
      </c>
      <c r="AG11" s="305" t="s">
        <v>16</v>
      </c>
      <c r="AH11" s="319"/>
      <c r="AI11" s="305"/>
      <c r="AJ11" s="319"/>
      <c r="AK11" s="305"/>
      <c r="AL11" s="305"/>
      <c r="AM11" s="305"/>
      <c r="AN11" s="319"/>
      <c r="AO11" s="305" t="s">
        <v>16</v>
      </c>
      <c r="AP11" s="287"/>
      <c r="AQ11" s="319"/>
      <c r="AR11" s="305" t="s">
        <v>16</v>
      </c>
      <c r="AS11" s="305" t="s">
        <v>16</v>
      </c>
      <c r="AT11" s="305" t="s">
        <v>16</v>
      </c>
      <c r="AV11" s="305" t="s">
        <v>16</v>
      </c>
      <c r="AW11" s="305" t="s">
        <v>16</v>
      </c>
      <c r="AX11" s="305" t="s">
        <v>16</v>
      </c>
      <c r="AY11" s="305" t="s">
        <v>16</v>
      </c>
      <c r="AZ11" s="305" t="s">
        <v>16</v>
      </c>
      <c r="BA11" s="305" t="s">
        <v>16</v>
      </c>
      <c r="BB11" s="305" t="s">
        <v>16</v>
      </c>
      <c r="BC11" s="305" t="s">
        <v>16</v>
      </c>
      <c r="BD11" s="305" t="s">
        <v>16</v>
      </c>
      <c r="BE11" s="305" t="s">
        <v>16</v>
      </c>
      <c r="BF11" s="305" t="s">
        <v>16</v>
      </c>
      <c r="BG11" s="305" t="s">
        <v>16</v>
      </c>
      <c r="BH11" s="305" t="s">
        <v>16</v>
      </c>
      <c r="BI11" s="305" t="s">
        <v>16</v>
      </c>
      <c r="BJ11" s="305" t="s">
        <v>16</v>
      </c>
      <c r="BK11" s="305" t="s">
        <v>16</v>
      </c>
      <c r="BL11" s="305" t="s">
        <v>16</v>
      </c>
      <c r="BM11" s="305" t="s">
        <v>16</v>
      </c>
      <c r="BN11" s="305" t="s">
        <v>16</v>
      </c>
      <c r="BO11" s="305" t="s">
        <v>16</v>
      </c>
      <c r="BP11" s="305" t="s">
        <v>16</v>
      </c>
      <c r="BQ11" s="305" t="s">
        <v>16</v>
      </c>
      <c r="BR11" s="305" t="s">
        <v>16</v>
      </c>
      <c r="BS11" s="305" t="s">
        <v>16</v>
      </c>
      <c r="BT11" s="305" t="s">
        <v>16</v>
      </c>
      <c r="BU11" s="305" t="s">
        <v>16</v>
      </c>
      <c r="BV11" s="305" t="s">
        <v>16</v>
      </c>
      <c r="BW11" s="305" t="s">
        <v>16</v>
      </c>
      <c r="BX11" s="305" t="s">
        <v>16</v>
      </c>
      <c r="BY11" s="305" t="s">
        <v>16</v>
      </c>
      <c r="BZ11" s="305" t="s">
        <v>16</v>
      </c>
      <c r="CA11" s="305" t="s">
        <v>16</v>
      </c>
      <c r="CB11" s="305" t="s">
        <v>16</v>
      </c>
      <c r="CC11" s="305" t="s">
        <v>16</v>
      </c>
      <c r="CD11" s="305" t="s">
        <v>16</v>
      </c>
      <c r="CE11" s="305" t="s">
        <v>16</v>
      </c>
      <c r="CF11" s="305" t="s">
        <v>16</v>
      </c>
      <c r="CG11" s="305" t="s">
        <v>16</v>
      </c>
      <c r="CH11" s="305" t="s">
        <v>16</v>
      </c>
      <c r="CI11" s="305" t="s">
        <v>16</v>
      </c>
      <c r="CJ11" s="305" t="s">
        <v>16</v>
      </c>
      <c r="CK11" s="305" t="s">
        <v>16</v>
      </c>
      <c r="CL11" s="305" t="s">
        <v>16</v>
      </c>
      <c r="CM11" s="305" t="s">
        <v>16</v>
      </c>
      <c r="CN11" s="305" t="s">
        <v>16</v>
      </c>
      <c r="CO11" s="305" t="s">
        <v>16</v>
      </c>
      <c r="CP11" s="305" t="s">
        <v>16</v>
      </c>
      <c r="CQ11" s="305" t="s">
        <v>16</v>
      </c>
      <c r="CR11" s="305" t="s">
        <v>16</v>
      </c>
    </row>
    <row r="12" spans="1:96" ht="15.75">
      <c r="A12" s="308"/>
      <c r="B12" s="287"/>
      <c r="C12" s="287"/>
      <c r="D12" s="287"/>
      <c r="E12" s="287" t="str">
        <f>INPUT!CY5</f>
        <v>FAIRGROUNDS</v>
      </c>
      <c r="F12" s="287"/>
      <c r="G12" s="287"/>
      <c r="H12" s="287"/>
      <c r="I12" s="287" t="str">
        <f>INPUT!DC5</f>
        <v>SHERIFF</v>
      </c>
      <c r="J12" s="287"/>
      <c r="K12" s="308"/>
      <c r="M12" s="287" t="str">
        <f>INPUT!DD5</f>
        <v>TAX</v>
      </c>
      <c r="O12" s="287"/>
      <c r="P12" s="287"/>
      <c r="Q12" s="287"/>
      <c r="R12" s="287"/>
      <c r="T12" s="287"/>
      <c r="U12" s="308"/>
      <c r="AC12" s="287" t="str">
        <f>+INPUT!DP5</f>
        <v>SUBDIVISION</v>
      </c>
      <c r="AD12" s="287"/>
      <c r="AE12" s="308"/>
      <c r="AG12" s="287"/>
      <c r="AH12" s="319"/>
      <c r="AJ12" s="319"/>
      <c r="AK12" s="287" t="s">
        <v>1357</v>
      </c>
      <c r="AL12" s="305"/>
      <c r="AM12" s="305"/>
      <c r="AN12" s="319"/>
      <c r="AO12" s="287" t="s">
        <v>315</v>
      </c>
      <c r="AP12" s="287"/>
      <c r="AQ12" s="319"/>
      <c r="AS12" s="305" t="s">
        <v>16</v>
      </c>
      <c r="AT12" s="308"/>
    </row>
    <row r="13" spans="1:96" ht="15.75">
      <c r="A13" s="308"/>
      <c r="B13" s="287"/>
      <c r="C13" s="287"/>
      <c r="D13" s="287"/>
      <c r="E13" s="287" t="str">
        <f>INPUT!CY6</f>
        <v>USERS</v>
      </c>
      <c r="F13" s="287"/>
      <c r="G13" s="287" t="str">
        <f>INPUT!DB6</f>
        <v>SHERIFF'S</v>
      </c>
      <c r="H13" s="287"/>
      <c r="I13" s="287" t="str">
        <f>INPUT!DC6</f>
        <v>CIVIL</v>
      </c>
      <c r="J13" s="287"/>
      <c r="K13" s="308"/>
      <c r="M13" s="287" t="str">
        <f>INPUT!DD6</f>
        <v>DEED</v>
      </c>
      <c r="O13" s="287" t="str">
        <f>INPUT!DE6</f>
        <v>CORONER</v>
      </c>
      <c r="Q13" s="287" t="str">
        <f>INPUT!DJ6</f>
        <v>ESTATE</v>
      </c>
      <c r="S13" s="287" t="str">
        <f>INPUT!DL6</f>
        <v>CLERK OF</v>
      </c>
      <c r="T13" s="287"/>
      <c r="U13" s="308"/>
      <c r="W13" s="287"/>
      <c r="Y13" s="287" t="s">
        <v>1297</v>
      </c>
      <c r="AA13" s="287"/>
      <c r="AC13" s="287" t="str">
        <f>+INPUT!DP6</f>
        <v>IMPRV</v>
      </c>
      <c r="AD13" s="287"/>
      <c r="AE13" s="308"/>
      <c r="AH13" s="287"/>
      <c r="AJ13" s="287"/>
      <c r="AK13" s="287" t="s">
        <v>535</v>
      </c>
      <c r="AO13" s="287" t="s">
        <v>2875</v>
      </c>
      <c r="AQ13" s="287"/>
      <c r="AR13" s="287"/>
      <c r="AS13" s="305" t="s">
        <v>16</v>
      </c>
      <c r="AT13" s="305" t="s">
        <v>16</v>
      </c>
      <c r="AV13" s="305" t="s">
        <v>16</v>
      </c>
      <c r="AW13" s="305" t="s">
        <v>16</v>
      </c>
      <c r="AX13" s="305" t="s">
        <v>16</v>
      </c>
      <c r="AY13" s="305" t="s">
        <v>16</v>
      </c>
      <c r="AZ13" s="305" t="s">
        <v>16</v>
      </c>
    </row>
    <row r="14" spans="1:96" ht="15.75">
      <c r="A14" s="320"/>
      <c r="B14" s="287"/>
      <c r="C14" s="290" t="s">
        <v>316</v>
      </c>
      <c r="D14" s="287"/>
      <c r="E14" s="290" t="str">
        <f>INPUT!CY7</f>
        <v>FOUNDATION</v>
      </c>
      <c r="F14" s="287"/>
      <c r="G14" s="290" t="str">
        <f>INPUT!DB7</f>
        <v>COMMISSARY</v>
      </c>
      <c r="H14" s="287"/>
      <c r="I14" s="290" t="str">
        <f>INPUT!DC7</f>
        <v>TRUST</v>
      </c>
      <c r="J14" s="287"/>
      <c r="K14" s="320"/>
      <c r="M14" s="290" t="str">
        <f>INPUT!DD7</f>
        <v>LAND</v>
      </c>
      <c r="O14" s="290" t="str">
        <f>INPUT!DE7</f>
        <v>TRUST</v>
      </c>
      <c r="P14" s="287"/>
      <c r="Q14" s="290" t="str">
        <f>INPUT!DJ7</f>
        <v>ADMINISTRATOR</v>
      </c>
      <c r="R14" s="287"/>
      <c r="S14" s="290" t="str">
        <f>INPUT!DL7</f>
        <v>DISTRICT COURT</v>
      </c>
      <c r="T14" s="287"/>
      <c r="U14" s="320"/>
      <c r="W14" s="290" t="str">
        <f>INPUT!DN6</f>
        <v>RESTITUTION</v>
      </c>
      <c r="Y14" s="290" t="s">
        <v>856</v>
      </c>
      <c r="AA14" s="290" t="s">
        <v>585</v>
      </c>
      <c r="AC14" s="290" t="str">
        <f>+INPUT!DP7</f>
        <v>AGREMNT</v>
      </c>
      <c r="AD14" s="287"/>
      <c r="AE14" s="320"/>
      <c r="AG14" s="290" t="s">
        <v>592</v>
      </c>
      <c r="AH14" s="287"/>
      <c r="AI14" s="290" t="s">
        <v>591</v>
      </c>
      <c r="AJ14" s="287"/>
      <c r="AK14" s="290" t="s">
        <v>584</v>
      </c>
      <c r="AN14" s="287"/>
      <c r="AO14" s="290" t="s">
        <v>540</v>
      </c>
      <c r="AP14" s="287"/>
      <c r="AQ14" s="287"/>
      <c r="AR14" s="765" t="s">
        <v>3093</v>
      </c>
      <c r="AS14" s="305"/>
      <c r="AT14" s="308"/>
    </row>
    <row r="15" spans="1:96" ht="15.75">
      <c r="A15" s="308" t="str">
        <f>INPUT!B83</f>
        <v>ASSETS</v>
      </c>
      <c r="B15" s="287"/>
      <c r="C15" s="303"/>
      <c r="D15" s="287"/>
      <c r="E15" s="303"/>
      <c r="F15" s="287"/>
      <c r="G15" s="303"/>
      <c r="H15" s="303"/>
      <c r="I15" s="303"/>
      <c r="J15" s="303"/>
      <c r="K15" s="308" t="str">
        <f t="shared" ref="K15:K21" si="0">A15</f>
        <v>ASSETS</v>
      </c>
      <c r="M15" s="303"/>
      <c r="O15" s="303"/>
      <c r="P15" s="303"/>
      <c r="Q15" s="303"/>
      <c r="R15" s="303"/>
      <c r="S15" s="303"/>
      <c r="T15" s="303"/>
      <c r="U15" s="308" t="str">
        <f>A15</f>
        <v>ASSETS</v>
      </c>
      <c r="W15" s="303"/>
      <c r="Y15" s="303"/>
      <c r="AA15" s="303"/>
      <c r="AC15" s="303"/>
      <c r="AD15" s="303"/>
      <c r="AE15" s="308" t="str">
        <f>K15</f>
        <v>ASSETS</v>
      </c>
      <c r="AG15" s="303"/>
      <c r="AH15" s="303"/>
      <c r="AI15" s="303"/>
      <c r="AJ15" s="303"/>
      <c r="AK15" s="303"/>
      <c r="AN15" s="303"/>
      <c r="AO15" s="303"/>
      <c r="AP15" s="303"/>
      <c r="AQ15" s="303"/>
      <c r="AR15" s="579" t="s">
        <v>3094</v>
      </c>
      <c r="AS15" s="305" t="s">
        <v>16</v>
      </c>
      <c r="AT15" s="305" t="s">
        <v>16</v>
      </c>
      <c r="AV15" s="305" t="s">
        <v>16</v>
      </c>
      <c r="AW15" s="305" t="s">
        <v>16</v>
      </c>
      <c r="AX15" s="305" t="s">
        <v>16</v>
      </c>
      <c r="AY15" s="305" t="s">
        <v>16</v>
      </c>
      <c r="AZ15" s="305" t="s">
        <v>16</v>
      </c>
    </row>
    <row r="16" spans="1:96" ht="15.75">
      <c r="A16" s="276" t="str">
        <f>INPUT!B85</f>
        <v xml:space="preserve">     Cash and cash equivalents</v>
      </c>
      <c r="B16" s="287"/>
      <c r="C16" s="292">
        <f>+INPUT!CW85</f>
        <v>3267547</v>
      </c>
      <c r="D16" s="287"/>
      <c r="E16" s="292">
        <f>+INPUT!CY85</f>
        <v>27580</v>
      </c>
      <c r="F16" s="287"/>
      <c r="G16" s="292">
        <f>+INPUT!DB85</f>
        <v>37080</v>
      </c>
      <c r="H16" s="292"/>
      <c r="I16" s="292">
        <f>+INPUT!DC85</f>
        <v>7063</v>
      </c>
      <c r="J16" s="292"/>
      <c r="K16" s="276" t="str">
        <f t="shared" si="0"/>
        <v xml:space="preserve">     Cash and cash equivalents</v>
      </c>
      <c r="M16" s="292">
        <f>+INPUT!DD85</f>
        <v>0</v>
      </c>
      <c r="O16" s="292">
        <f>+INPUT!DE85</f>
        <v>7228</v>
      </c>
      <c r="P16" s="292"/>
      <c r="Q16" s="292">
        <f>+INPUT!DJ85</f>
        <v>248613</v>
      </c>
      <c r="R16" s="292"/>
      <c r="S16" s="292">
        <f>+INPUT!DL85</f>
        <v>1113022</v>
      </c>
      <c r="T16" s="292"/>
      <c r="U16" s="276" t="str">
        <f>A16</f>
        <v xml:space="preserve">     Cash and cash equivalents</v>
      </c>
      <c r="W16" s="292">
        <f>+INPUT!DN85</f>
        <v>75989</v>
      </c>
      <c r="Y16" s="292">
        <v>0</v>
      </c>
      <c r="AA16" s="292">
        <v>0</v>
      </c>
      <c r="AC16" s="292">
        <f>+INPUT!DP85</f>
        <v>28842</v>
      </c>
      <c r="AD16" s="292"/>
      <c r="AE16" s="276" t="str">
        <f>K16</f>
        <v xml:space="preserve">     Cash and cash equivalents</v>
      </c>
      <c r="AG16" s="292">
        <f>+INPUT!DS85</f>
        <v>739119</v>
      </c>
      <c r="AH16" s="292"/>
      <c r="AI16" s="292">
        <f>+INPUT!DT85</f>
        <v>1100819</v>
      </c>
      <c r="AJ16" s="292"/>
      <c r="AK16" s="292">
        <f>+INPUT!DY85</f>
        <v>155027</v>
      </c>
      <c r="AN16" s="292"/>
      <c r="AO16" s="292">
        <f>+SUM(B16:AN16)</f>
        <v>6807929</v>
      </c>
      <c r="AP16" s="292"/>
      <c r="AQ16" s="581" t="s">
        <v>2631</v>
      </c>
      <c r="AR16" s="558">
        <f>7384822+538797</f>
        <v>7923619</v>
      </c>
      <c r="AS16" s="580" t="s">
        <v>3364</v>
      </c>
      <c r="AT16" s="308"/>
    </row>
    <row r="17" spans="1:52" ht="15.75">
      <c r="A17" s="276" t="str">
        <f>INPUT!B86</f>
        <v xml:space="preserve">     Investments </v>
      </c>
      <c r="B17" s="287"/>
      <c r="C17" s="294">
        <f>+INPUT!CW86</f>
        <v>624108</v>
      </c>
      <c r="D17" s="287"/>
      <c r="E17" s="294">
        <f>+INPUT!CY86+INPUT!CY100</f>
        <v>5268</v>
      </c>
      <c r="F17" s="287"/>
      <c r="G17" s="294">
        <f>+INPUT!DB86+INPUT!DB100</f>
        <v>7082</v>
      </c>
      <c r="H17" s="296"/>
      <c r="I17" s="294">
        <f>+INPUT!DC86+INPUT!DC100</f>
        <v>1349</v>
      </c>
      <c r="J17" s="296"/>
      <c r="K17" s="276" t="str">
        <f t="shared" si="0"/>
        <v xml:space="preserve">     Investments </v>
      </c>
      <c r="M17" s="294">
        <f>+INPUT!DD86+INPUT!DD100</f>
        <v>0</v>
      </c>
      <c r="O17" s="294">
        <f>+INPUT!DE86+INPUT!DE100</f>
        <v>1380</v>
      </c>
      <c r="P17" s="296"/>
      <c r="Q17" s="294">
        <f>+INPUT!DJ86+INPUT!DJ100</f>
        <v>47486</v>
      </c>
      <c r="R17" s="296"/>
      <c r="S17" s="294">
        <f>+INPUT!DL86+INPUT!DL100</f>
        <v>212589</v>
      </c>
      <c r="T17" s="296"/>
      <c r="U17" s="276" t="str">
        <f>A17</f>
        <v xml:space="preserve">     Investments </v>
      </c>
      <c r="W17" s="294">
        <f>+INPUT!DN86+INPUT!DN100</f>
        <v>14514</v>
      </c>
      <c r="Y17" s="294">
        <v>0</v>
      </c>
      <c r="AA17" s="294">
        <v>0</v>
      </c>
      <c r="AC17" s="294">
        <f>+INPUT!DP86+INPUT!DP100</f>
        <v>5509</v>
      </c>
      <c r="AD17" s="296"/>
      <c r="AE17" s="276" t="str">
        <f>K17</f>
        <v xml:space="preserve">     Investments </v>
      </c>
      <c r="AG17" s="294">
        <f>+INPUT!DS86+INPUT!DS100</f>
        <v>141173</v>
      </c>
      <c r="AH17" s="296"/>
      <c r="AI17" s="294">
        <f>+INPUT!DT86+INPUT!DT100</f>
        <v>210259</v>
      </c>
      <c r="AJ17" s="296"/>
      <c r="AK17" s="294">
        <f>+INPUT!DY86</f>
        <v>0</v>
      </c>
      <c r="AN17" s="294"/>
      <c r="AO17" s="294">
        <f>+SUM(B17:AN17)</f>
        <v>1270717</v>
      </c>
      <c r="AP17" s="296"/>
      <c r="AQ17" s="581"/>
      <c r="AR17" s="1074">
        <f>+AO16+AO17-AR16</f>
        <v>155027</v>
      </c>
      <c r="AS17" s="1075" t="s">
        <v>3050</v>
      </c>
      <c r="AT17" s="305" t="s">
        <v>16</v>
      </c>
      <c r="AV17" s="305" t="s">
        <v>16</v>
      </c>
      <c r="AW17" s="305" t="s">
        <v>16</v>
      </c>
      <c r="AX17" s="305" t="s">
        <v>16</v>
      </c>
      <c r="AY17" s="305" t="s">
        <v>16</v>
      </c>
      <c r="AZ17" s="305" t="s">
        <v>16</v>
      </c>
    </row>
    <row r="18" spans="1:52" ht="15.75">
      <c r="A18" s="276" t="str">
        <f>INPUT!B87</f>
        <v xml:space="preserve">     Receivables (net of allowance):</v>
      </c>
      <c r="B18" s="287"/>
      <c r="C18" s="294"/>
      <c r="D18" s="287"/>
      <c r="E18" s="294"/>
      <c r="F18" s="287"/>
      <c r="G18" s="294"/>
      <c r="H18" s="296"/>
      <c r="I18" s="294"/>
      <c r="J18" s="296"/>
      <c r="K18" s="276" t="str">
        <f t="shared" si="0"/>
        <v xml:space="preserve">     Receivables (net of allowance):</v>
      </c>
      <c r="M18" s="294"/>
      <c r="O18" s="294"/>
      <c r="P18" s="296"/>
      <c r="Q18" s="294"/>
      <c r="R18" s="296"/>
      <c r="S18" s="294"/>
      <c r="T18" s="296"/>
      <c r="U18" s="276" t="str">
        <f>A18</f>
        <v xml:space="preserve">     Receivables (net of allowance):</v>
      </c>
      <c r="W18" s="294"/>
      <c r="Y18" s="294"/>
      <c r="AA18" s="294"/>
      <c r="AC18" s="294"/>
      <c r="AD18" s="296"/>
      <c r="AE18" s="276" t="str">
        <f>K18</f>
        <v xml:space="preserve">     Receivables (net of allowance):</v>
      </c>
      <c r="AG18" s="294"/>
      <c r="AH18" s="296"/>
      <c r="AI18" s="294"/>
      <c r="AJ18" s="296"/>
      <c r="AK18" s="294"/>
      <c r="AN18" s="294"/>
      <c r="AO18" s="294"/>
      <c r="AP18" s="296"/>
      <c r="AQ18" s="581"/>
      <c r="AR18" s="303"/>
      <c r="AS18" s="1073" t="s">
        <v>3229</v>
      </c>
      <c r="AT18" s="308"/>
    </row>
    <row r="19" spans="1:52" ht="15.75">
      <c r="A19" s="276" t="str">
        <f>INPUT!B88</f>
        <v xml:space="preserve">          Taxes/assessments</v>
      </c>
      <c r="B19" s="287"/>
      <c r="C19" s="294">
        <f>+INPUT!CW88</f>
        <v>88650</v>
      </c>
      <c r="D19" s="287"/>
      <c r="E19" s="294">
        <f>+INPUT!CY88</f>
        <v>0</v>
      </c>
      <c r="F19" s="287"/>
      <c r="G19" s="294">
        <f>+INPUT!DB88</f>
        <v>0</v>
      </c>
      <c r="H19" s="296"/>
      <c r="I19" s="294">
        <f>+INPUT!DC88</f>
        <v>0</v>
      </c>
      <c r="J19" s="296"/>
      <c r="K19" s="276" t="str">
        <f t="shared" si="0"/>
        <v xml:space="preserve">          Taxes/assessments</v>
      </c>
      <c r="M19" s="294">
        <f>+INPUT!DD88</f>
        <v>0</v>
      </c>
      <c r="O19" s="294">
        <f>+INPUT!DE88</f>
        <v>0</v>
      </c>
      <c r="P19" s="296"/>
      <c r="Q19" s="294">
        <f>+INPUT!DJ88</f>
        <v>0</v>
      </c>
      <c r="R19" s="296"/>
      <c r="S19" s="294">
        <f>+INPUT!DL88</f>
        <v>0</v>
      </c>
      <c r="T19" s="296"/>
      <c r="U19" s="276" t="str">
        <f>A19</f>
        <v xml:space="preserve">          Taxes/assessments</v>
      </c>
      <c r="W19" s="294">
        <f>+INPUT!DN88</f>
        <v>0</v>
      </c>
      <c r="Y19" s="294">
        <f>+INPUT!DQ88</f>
        <v>97743</v>
      </c>
      <c r="AA19" s="294">
        <f>+INPUT!DR88</f>
        <v>1270594</v>
      </c>
      <c r="AC19" s="294">
        <f>+INPUT!DP88</f>
        <v>0</v>
      </c>
      <c r="AD19" s="296"/>
      <c r="AE19" s="276" t="str">
        <f>K19</f>
        <v xml:space="preserve">          Taxes/assessments</v>
      </c>
      <c r="AG19" s="294">
        <f>+INPUT!DS88</f>
        <v>891729</v>
      </c>
      <c r="AH19" s="296"/>
      <c r="AI19" s="294">
        <f>+INPUT!DT88</f>
        <v>422764</v>
      </c>
      <c r="AJ19" s="296"/>
      <c r="AK19" s="294">
        <f>+INPUT!DY88</f>
        <v>0</v>
      </c>
      <c r="AN19" s="294"/>
      <c r="AO19" s="294">
        <f>+SUM(B19:AN19)</f>
        <v>2771480</v>
      </c>
      <c r="AP19" s="296"/>
      <c r="AQ19" s="581" t="s">
        <v>2632</v>
      </c>
      <c r="AR19" s="1076">
        <f>+'Sys INPUT'!DW86-INPUT!DW334</f>
        <v>2771480</v>
      </c>
      <c r="AS19" s="1073" t="s">
        <v>3229</v>
      </c>
      <c r="AT19" s="573">
        <f>+AR19-AO19</f>
        <v>0</v>
      </c>
      <c r="AW19" s="582"/>
    </row>
    <row r="20" spans="1:52" ht="15.75" hidden="1">
      <c r="A20" s="276" t="str">
        <f>INPUT!B92</f>
        <v xml:space="preserve">     Due from other funds</v>
      </c>
      <c r="B20" s="287"/>
      <c r="C20" s="294">
        <v>0</v>
      </c>
      <c r="D20" s="287"/>
      <c r="E20" s="294">
        <v>0</v>
      </c>
      <c r="F20" s="287"/>
      <c r="G20" s="294">
        <v>0</v>
      </c>
      <c r="H20" s="296"/>
      <c r="I20" s="294">
        <v>0</v>
      </c>
      <c r="J20" s="296"/>
      <c r="K20" s="276" t="str">
        <f t="shared" si="0"/>
        <v xml:space="preserve">     Due from other funds</v>
      </c>
      <c r="M20" s="294">
        <v>0</v>
      </c>
      <c r="O20" s="294">
        <v>0</v>
      </c>
      <c r="P20" s="296"/>
      <c r="Q20" s="294">
        <v>0</v>
      </c>
      <c r="R20" s="296"/>
      <c r="S20" s="294">
        <v>0</v>
      </c>
      <c r="T20" s="296"/>
      <c r="U20" s="276" t="str">
        <f>K20</f>
        <v xml:space="preserve">     Due from other funds</v>
      </c>
      <c r="W20" s="294">
        <v>0</v>
      </c>
      <c r="Y20" s="294">
        <v>0</v>
      </c>
      <c r="AA20" s="294">
        <v>0</v>
      </c>
      <c r="AC20" s="294">
        <v>0</v>
      </c>
      <c r="AD20" s="296"/>
      <c r="AE20" s="276" t="str">
        <f>U20</f>
        <v xml:space="preserve">     Due from other funds</v>
      </c>
      <c r="AG20" s="294">
        <v>0</v>
      </c>
      <c r="AI20" s="294">
        <v>0</v>
      </c>
      <c r="AK20" s="294">
        <v>0</v>
      </c>
      <c r="AN20" s="294"/>
      <c r="AO20" s="294">
        <f>+SUM(B20:AN20)</f>
        <v>0</v>
      </c>
      <c r="AP20" s="296"/>
      <c r="AQ20" s="581"/>
      <c r="AR20" s="558">
        <v>0</v>
      </c>
      <c r="AS20" s="580" t="s">
        <v>2750</v>
      </c>
      <c r="AT20" s="573">
        <f>+AR20-AO20</f>
        <v>0</v>
      </c>
      <c r="AW20" s="582"/>
    </row>
    <row r="21" spans="1:52" ht="15.75">
      <c r="A21" s="276" t="str">
        <f>INPUT!B105</f>
        <v xml:space="preserve">     Land held for resale</v>
      </c>
      <c r="B21" s="287"/>
      <c r="C21" s="294">
        <f>+INPUT!CW105</f>
        <v>0</v>
      </c>
      <c r="D21" s="287"/>
      <c r="E21" s="294">
        <f>+INPUT!CY105</f>
        <v>0</v>
      </c>
      <c r="F21" s="287"/>
      <c r="G21" s="294">
        <f>+INPUT!DB105</f>
        <v>0</v>
      </c>
      <c r="H21" s="296"/>
      <c r="I21" s="294">
        <f>+INPUT!DC105</f>
        <v>0</v>
      </c>
      <c r="J21" s="296"/>
      <c r="K21" s="276" t="str">
        <f t="shared" si="0"/>
        <v xml:space="preserve">     Land held for resale</v>
      </c>
      <c r="M21" s="294">
        <f>+INPUT!DD105</f>
        <v>15629</v>
      </c>
      <c r="O21" s="294">
        <f>+INPUT!DE105</f>
        <v>0</v>
      </c>
      <c r="P21" s="296"/>
      <c r="Q21" s="294">
        <f>+INPUT!DJ105</f>
        <v>0</v>
      </c>
      <c r="R21" s="296"/>
      <c r="S21" s="294">
        <f>+INPUT!DL105</f>
        <v>0</v>
      </c>
      <c r="T21" s="296"/>
      <c r="U21" s="276" t="str">
        <f>A21</f>
        <v xml:space="preserve">     Land held for resale</v>
      </c>
      <c r="W21" s="294">
        <f>+INPUT!DN105</f>
        <v>0</v>
      </c>
      <c r="Y21" s="294">
        <f>+INPUT!DQ105</f>
        <v>0</v>
      </c>
      <c r="AA21" s="294">
        <f>+INPUT!DR105</f>
        <v>0</v>
      </c>
      <c r="AC21" s="294">
        <f>+INPUT!DP105</f>
        <v>0</v>
      </c>
      <c r="AD21" s="296"/>
      <c r="AE21" s="276" t="str">
        <f>K21</f>
        <v xml:space="preserve">     Land held for resale</v>
      </c>
      <c r="AG21" s="294">
        <f>+INPUT!DS105</f>
        <v>0</v>
      </c>
      <c r="AH21" s="296"/>
      <c r="AI21" s="294">
        <f>+INPUT!DT105</f>
        <v>0</v>
      </c>
      <c r="AJ21" s="296"/>
      <c r="AK21" s="294">
        <f>+INPUT!DY105</f>
        <v>0</v>
      </c>
      <c r="AN21" s="294"/>
      <c r="AO21" s="294">
        <f>+SUM(B21:AN21)</f>
        <v>15629</v>
      </c>
      <c r="AP21" s="296"/>
      <c r="AQ21" s="581" t="s">
        <v>2633</v>
      </c>
      <c r="AR21" s="558">
        <v>19098</v>
      </c>
      <c r="AS21" s="580" t="s">
        <v>3228</v>
      </c>
      <c r="AT21" s="573">
        <f>+AR21-AO21</f>
        <v>3469</v>
      </c>
    </row>
    <row r="22" spans="1:52" ht="15.75">
      <c r="A22" s="276"/>
      <c r="B22" s="287"/>
      <c r="C22" s="337"/>
      <c r="D22" s="287"/>
      <c r="E22" s="337"/>
      <c r="F22" s="287"/>
      <c r="G22" s="337"/>
      <c r="H22" s="296"/>
      <c r="I22" s="337"/>
      <c r="J22" s="296"/>
      <c r="K22" s="276"/>
      <c r="M22" s="337"/>
      <c r="O22" s="337"/>
      <c r="P22" s="296"/>
      <c r="Q22" s="337"/>
      <c r="R22" s="296"/>
      <c r="S22" s="337"/>
      <c r="T22" s="296"/>
      <c r="U22" s="276"/>
      <c r="W22" s="337"/>
      <c r="Y22" s="337"/>
      <c r="AA22" s="337"/>
      <c r="AC22" s="337"/>
      <c r="AD22" s="296"/>
      <c r="AE22" s="276"/>
      <c r="AG22" s="337"/>
      <c r="AH22" s="296"/>
      <c r="AI22" s="337"/>
      <c r="AJ22" s="296"/>
      <c r="AK22" s="337"/>
      <c r="AN22" s="294"/>
      <c r="AO22" s="337"/>
      <c r="AP22" s="296"/>
      <c r="AQ22" s="296"/>
      <c r="AR22" s="558" t="s">
        <v>3051</v>
      </c>
      <c r="AS22" s="305"/>
      <c r="AT22" s="276"/>
    </row>
    <row r="23" spans="1:52" ht="16.5" thickBot="1">
      <c r="A23" s="308" t="str">
        <f>INPUT!B114</f>
        <v xml:space="preserve">          Total assets</v>
      </c>
      <c r="B23" s="287"/>
      <c r="C23" s="302">
        <f>SUM(C16:C22)</f>
        <v>3980305</v>
      </c>
      <c r="D23" s="287"/>
      <c r="E23" s="302">
        <f>SUM(E16:E22)</f>
        <v>32848</v>
      </c>
      <c r="F23" s="287"/>
      <c r="G23" s="302">
        <f>SUM(G16:G22)</f>
        <v>44162</v>
      </c>
      <c r="H23" s="314"/>
      <c r="I23" s="302">
        <f>SUM(I16:I22)</f>
        <v>8412</v>
      </c>
      <c r="J23" s="314"/>
      <c r="K23" s="308" t="str">
        <f>A23</f>
        <v xml:space="preserve">          Total assets</v>
      </c>
      <c r="M23" s="302">
        <f>SUM(M16:M22)</f>
        <v>15629</v>
      </c>
      <c r="O23" s="302">
        <f>SUM(O16:O22)</f>
        <v>8608</v>
      </c>
      <c r="P23" s="296"/>
      <c r="Q23" s="302">
        <f>SUM(Q16:Q22)</f>
        <v>296099</v>
      </c>
      <c r="R23" s="296"/>
      <c r="S23" s="302">
        <f>SUM(S16:S22)</f>
        <v>1325611</v>
      </c>
      <c r="T23" s="314"/>
      <c r="U23" s="308" t="str">
        <f>A23</f>
        <v xml:space="preserve">          Total assets</v>
      </c>
      <c r="W23" s="302">
        <f>SUM(W16:W22)</f>
        <v>90503</v>
      </c>
      <c r="Y23" s="302">
        <f>SUM(Y16:Y22)</f>
        <v>97743</v>
      </c>
      <c r="AA23" s="302">
        <f>SUM(AA16:AA22)</f>
        <v>1270594</v>
      </c>
      <c r="AC23" s="302">
        <f>SUM(AC16:AC22)</f>
        <v>34351</v>
      </c>
      <c r="AD23" s="314"/>
      <c r="AE23" s="308" t="str">
        <f>K23</f>
        <v xml:space="preserve">          Total assets</v>
      </c>
      <c r="AG23" s="302">
        <f>SUM(AG16:AG22)</f>
        <v>1772021</v>
      </c>
      <c r="AH23" s="314"/>
      <c r="AI23" s="302">
        <f>SUM(AI16:AI22)</f>
        <v>1733842</v>
      </c>
      <c r="AJ23" s="314"/>
      <c r="AK23" s="302">
        <f>SUM(AK16:AK22)</f>
        <v>155027</v>
      </c>
      <c r="AN23" s="326"/>
      <c r="AO23" s="302">
        <f>SUM(AO16:AO22)</f>
        <v>10865755</v>
      </c>
      <c r="AP23" s="296"/>
      <c r="AQ23" s="296"/>
      <c r="AR23" s="303"/>
      <c r="AS23" s="303"/>
      <c r="AT23" s="308"/>
    </row>
    <row r="24" spans="1:52" ht="19.5" customHeight="1" thickTop="1">
      <c r="A24" s="276"/>
      <c r="B24" s="287"/>
      <c r="C24" s="294"/>
      <c r="D24" s="287"/>
      <c r="E24" s="294"/>
      <c r="F24" s="287"/>
      <c r="G24" s="294"/>
      <c r="H24" s="296"/>
      <c r="I24" s="294"/>
      <c r="J24" s="296"/>
      <c r="K24" s="276"/>
      <c r="M24" s="294"/>
      <c r="O24" s="294"/>
      <c r="P24" s="296"/>
      <c r="Q24" s="294"/>
      <c r="R24" s="296"/>
      <c r="S24" s="294"/>
      <c r="T24" s="296"/>
      <c r="U24" s="276"/>
      <c r="W24" s="294"/>
      <c r="Y24" s="294"/>
      <c r="AA24" s="294"/>
      <c r="AC24" s="294"/>
      <c r="AD24" s="296"/>
      <c r="AE24" s="276"/>
      <c r="AG24" s="294"/>
      <c r="AH24" s="296"/>
      <c r="AI24" s="294"/>
      <c r="AJ24" s="296"/>
      <c r="AK24" s="294"/>
      <c r="AN24" s="294"/>
      <c r="AO24" s="294"/>
      <c r="AP24" s="296"/>
      <c r="AQ24" s="296"/>
      <c r="AR24" s="303"/>
      <c r="AS24" s="303"/>
      <c r="AT24" s="276"/>
    </row>
    <row r="25" spans="1:52" ht="15.75">
      <c r="A25" s="308" t="str">
        <f>INPUT!B130</f>
        <v>LIABILITIES</v>
      </c>
      <c r="B25" s="287"/>
      <c r="C25" s="294"/>
      <c r="D25" s="287"/>
      <c r="E25" s="294"/>
      <c r="F25" s="287"/>
      <c r="G25" s="294"/>
      <c r="H25" s="296"/>
      <c r="I25" s="294"/>
      <c r="J25" s="296"/>
      <c r="K25" s="308" t="str">
        <f>A25</f>
        <v>LIABILITIES</v>
      </c>
      <c r="M25" s="294"/>
      <c r="O25" s="294"/>
      <c r="P25" s="296"/>
      <c r="Q25" s="294"/>
      <c r="R25" s="296"/>
      <c r="S25" s="294"/>
      <c r="T25" s="296"/>
      <c r="U25" s="308" t="str">
        <f>A25</f>
        <v>LIABILITIES</v>
      </c>
      <c r="W25" s="294"/>
      <c r="Y25" s="294"/>
      <c r="AA25" s="294"/>
      <c r="AC25" s="294"/>
      <c r="AD25" s="296"/>
      <c r="AE25" s="308" t="str">
        <f>K25</f>
        <v>LIABILITIES</v>
      </c>
      <c r="AG25" s="294"/>
      <c r="AH25" s="296"/>
      <c r="AI25" s="294"/>
      <c r="AJ25" s="296"/>
      <c r="AK25" s="294"/>
      <c r="AN25" s="294"/>
      <c r="AO25" s="294"/>
      <c r="AP25" s="296"/>
      <c r="AQ25" s="296"/>
      <c r="AR25" s="303"/>
      <c r="AS25" s="303"/>
      <c r="AT25" s="276"/>
    </row>
    <row r="26" spans="1:52" ht="15.75">
      <c r="A26" s="276" t="str">
        <f>INPUT!B132</f>
        <v xml:space="preserve">     Accounts payable</v>
      </c>
      <c r="B26" s="287"/>
      <c r="C26" s="292">
        <f>+INPUT!CW132</f>
        <v>0</v>
      </c>
      <c r="D26" s="287"/>
      <c r="E26" s="292">
        <f>+INPUT!CY132</f>
        <v>0</v>
      </c>
      <c r="F26" s="287"/>
      <c r="G26" s="292">
        <f>+INPUT!DB132</f>
        <v>0</v>
      </c>
      <c r="H26" s="292"/>
      <c r="I26" s="292">
        <f>INPUT!DC132</f>
        <v>0</v>
      </c>
      <c r="J26" s="292"/>
      <c r="K26" s="276" t="str">
        <f>A26</f>
        <v xml:space="preserve">     Accounts payable</v>
      </c>
      <c r="M26" s="292">
        <f>+INPUT!DD132</f>
        <v>15629</v>
      </c>
      <c r="O26" s="292">
        <f>+INPUT!DE132</f>
        <v>0</v>
      </c>
      <c r="P26" s="292"/>
      <c r="Q26" s="292">
        <f>+INPUT!DJ132</f>
        <v>0</v>
      </c>
      <c r="R26" s="292"/>
      <c r="S26" s="292">
        <f>+INPUT!DL132</f>
        <v>0</v>
      </c>
      <c r="T26" s="292"/>
      <c r="U26" s="276" t="str">
        <f>A26</f>
        <v xml:space="preserve">     Accounts payable</v>
      </c>
      <c r="W26" s="292">
        <f>+INPUT!DN132</f>
        <v>0</v>
      </c>
      <c r="Y26" s="292">
        <f>+INPUT!DQ132</f>
        <v>0</v>
      </c>
      <c r="Z26" s="361"/>
      <c r="AA26" s="292">
        <f>INPUT!DR132</f>
        <v>2554271</v>
      </c>
      <c r="AB26" s="361"/>
      <c r="AC26" s="292">
        <f>+INPUT!DP132</f>
        <v>0</v>
      </c>
      <c r="AD26" s="292"/>
      <c r="AE26" s="276" t="str">
        <f>K26</f>
        <v xml:space="preserve">     Accounts payable</v>
      </c>
      <c r="AG26" s="292">
        <f>+INPUT!DS132</f>
        <v>0</v>
      </c>
      <c r="AH26" s="293"/>
      <c r="AI26" s="292">
        <f>+INPUT!DT132</f>
        <v>239308</v>
      </c>
      <c r="AJ26" s="293"/>
      <c r="AK26" s="292">
        <f>+INPUT!DY132</f>
        <v>0</v>
      </c>
      <c r="AL26" s="361"/>
      <c r="AM26" s="361"/>
      <c r="AN26" s="292"/>
      <c r="AO26" s="292">
        <f>+SUM(B26:AN26)</f>
        <v>2809208</v>
      </c>
      <c r="AP26" s="292"/>
      <c r="AQ26" s="581" t="s">
        <v>2634</v>
      </c>
      <c r="AR26" s="1076">
        <f>+INPUT!DW132</f>
        <v>2809208</v>
      </c>
      <c r="AS26" s="580" t="s">
        <v>3230</v>
      </c>
      <c r="AT26" s="573">
        <f>+AR26-AO26</f>
        <v>0</v>
      </c>
    </row>
    <row r="27" spans="1:52" ht="15.75" hidden="1">
      <c r="A27" s="276" t="str">
        <f>INPUT!B134</f>
        <v xml:space="preserve">     Intergovernmental payable</v>
      </c>
      <c r="B27" s="287"/>
      <c r="C27" s="294">
        <f>+INPUT!CW134</f>
        <v>0</v>
      </c>
      <c r="D27" s="287"/>
      <c r="E27" s="294">
        <f>+INPUT!CY134</f>
        <v>0</v>
      </c>
      <c r="F27" s="287"/>
      <c r="G27" s="294" t="str">
        <f>IF(+INPUT!DB134&lt;&gt;0,+INPUT!DB134,"-")</f>
        <v>-</v>
      </c>
      <c r="H27" s="296"/>
      <c r="I27" s="294">
        <f>+INPUT!DC134</f>
        <v>0</v>
      </c>
      <c r="J27" s="296"/>
      <c r="K27" s="276" t="str">
        <f>A27</f>
        <v xml:space="preserve">     Intergovernmental payable</v>
      </c>
      <c r="M27" s="294">
        <f>+INPUT!DD134</f>
        <v>0</v>
      </c>
      <c r="O27" s="294">
        <f>+INPUT!DE134</f>
        <v>0</v>
      </c>
      <c r="P27" s="296"/>
      <c r="Q27" s="294">
        <f>INPUT!DJ134</f>
        <v>0</v>
      </c>
      <c r="R27" s="296"/>
      <c r="S27" s="294">
        <f>+INPUT!DL134</f>
        <v>0</v>
      </c>
      <c r="T27" s="296"/>
      <c r="U27" s="276" t="str">
        <f>A27</f>
        <v xml:space="preserve">     Intergovernmental payable</v>
      </c>
      <c r="W27" s="294">
        <f>+INPUT!DN134</f>
        <v>0</v>
      </c>
      <c r="Y27" s="294">
        <f>+INPUT!DQ134</f>
        <v>0</v>
      </c>
      <c r="AA27" s="294">
        <f>+INPUT!DR134</f>
        <v>0</v>
      </c>
      <c r="AC27" s="294">
        <f>+INPUT!DP134</f>
        <v>0</v>
      </c>
      <c r="AD27" s="296"/>
      <c r="AE27" s="276" t="str">
        <f>K27</f>
        <v xml:space="preserve">     Intergovernmental payable</v>
      </c>
      <c r="AG27" s="294">
        <f>+INPUT!DS134</f>
        <v>0</v>
      </c>
      <c r="AH27" s="296"/>
      <c r="AI27" s="294">
        <f>+INPUT!DT134</f>
        <v>0</v>
      </c>
      <c r="AJ27" s="296"/>
      <c r="AK27" s="294">
        <f>+INPUT!DY134</f>
        <v>0</v>
      </c>
      <c r="AN27" s="294"/>
      <c r="AO27" s="294">
        <f>+SUM(B27:AN27)</f>
        <v>0</v>
      </c>
      <c r="AP27" s="296"/>
      <c r="AQ27" s="581" t="s">
        <v>2635</v>
      </c>
      <c r="AR27" s="558">
        <v>10425827</v>
      </c>
      <c r="AS27" s="580" t="s">
        <v>2750</v>
      </c>
      <c r="AT27" s="573">
        <f>+AR27-AO27</f>
        <v>10425827</v>
      </c>
    </row>
    <row r="28" spans="1:52" ht="15.75" hidden="1" customHeight="1">
      <c r="A28" s="276" t="str">
        <f>INPUT!B135</f>
        <v xml:space="preserve">     Due to other funds</v>
      </c>
      <c r="B28" s="287"/>
      <c r="C28" s="294">
        <v>0</v>
      </c>
      <c r="D28" s="287"/>
      <c r="E28" s="294">
        <v>0</v>
      </c>
      <c r="F28" s="287"/>
      <c r="G28" s="294">
        <v>0</v>
      </c>
      <c r="H28" s="296"/>
      <c r="I28" s="294"/>
      <c r="J28" s="296"/>
      <c r="K28" s="276" t="str">
        <f>A28</f>
        <v xml:space="preserve">     Due to other funds</v>
      </c>
      <c r="M28" s="294"/>
      <c r="O28" s="294">
        <v>0</v>
      </c>
      <c r="P28" s="296"/>
      <c r="Q28" s="294">
        <v>0</v>
      </c>
      <c r="R28" s="296"/>
      <c r="S28" s="294">
        <v>0</v>
      </c>
      <c r="T28" s="296"/>
      <c r="U28" s="276" t="str">
        <f>A28</f>
        <v xml:space="preserve">     Due to other funds</v>
      </c>
      <c r="W28" s="294">
        <v>0</v>
      </c>
      <c r="Y28" s="294">
        <f>INPUT!DQ145</f>
        <v>0</v>
      </c>
      <c r="AA28" s="294">
        <v>0</v>
      </c>
      <c r="AC28" s="294">
        <f>INPUT!DP145</f>
        <v>0</v>
      </c>
      <c r="AD28" s="296"/>
      <c r="AE28" s="276" t="str">
        <f>K28</f>
        <v xml:space="preserve">     Due to other funds</v>
      </c>
      <c r="AG28" s="294">
        <v>0</v>
      </c>
      <c r="AH28" s="296"/>
      <c r="AI28" s="294">
        <v>0</v>
      </c>
      <c r="AJ28" s="296"/>
      <c r="AK28" s="294">
        <v>0</v>
      </c>
      <c r="AN28" s="294"/>
      <c r="AO28" s="294">
        <f>+SUM(B28:AN28)</f>
        <v>0</v>
      </c>
      <c r="AP28" s="296"/>
      <c r="AQ28" s="581" t="s">
        <v>2416</v>
      </c>
      <c r="AR28" s="558">
        <v>0</v>
      </c>
      <c r="AS28" s="580" t="s">
        <v>2750</v>
      </c>
      <c r="AT28" s="573">
        <f>+AR28-AO28</f>
        <v>0</v>
      </c>
    </row>
    <row r="29" spans="1:52" ht="15.75">
      <c r="A29" s="276"/>
      <c r="B29" s="287"/>
      <c r="C29" s="337"/>
      <c r="D29" s="287"/>
      <c r="E29" s="337"/>
      <c r="F29" s="287"/>
      <c r="G29" s="337"/>
      <c r="H29" s="296"/>
      <c r="I29" s="337"/>
      <c r="J29" s="296"/>
      <c r="K29" s="276"/>
      <c r="M29" s="337"/>
      <c r="O29" s="337"/>
      <c r="P29" s="296"/>
      <c r="Q29" s="337"/>
      <c r="R29" s="296"/>
      <c r="S29" s="337"/>
      <c r="T29" s="296"/>
      <c r="U29" s="276"/>
      <c r="W29" s="337"/>
      <c r="Y29" s="337"/>
      <c r="AA29" s="337"/>
      <c r="AC29" s="337"/>
      <c r="AD29" s="296"/>
      <c r="AE29" s="276"/>
      <c r="AG29" s="337"/>
      <c r="AH29" s="296"/>
      <c r="AI29" s="337"/>
      <c r="AJ29" s="296"/>
      <c r="AK29" s="337"/>
      <c r="AN29" s="294"/>
      <c r="AO29" s="337"/>
      <c r="AP29" s="296"/>
      <c r="AQ29" s="296"/>
      <c r="AR29" s="276"/>
      <c r="AS29" s="276"/>
      <c r="AT29" s="276"/>
    </row>
    <row r="30" spans="1:52" ht="16.5" thickBot="1">
      <c r="A30" s="308" t="str">
        <f>INPUT!B154</f>
        <v xml:space="preserve">          Total liabilities</v>
      </c>
      <c r="B30" s="287"/>
      <c r="C30" s="299">
        <f>SUM(C26:C28)</f>
        <v>0</v>
      </c>
      <c r="D30" s="287"/>
      <c r="E30" s="299">
        <f>SUM(E26:E28)</f>
        <v>0</v>
      </c>
      <c r="F30" s="287"/>
      <c r="G30" s="299">
        <f>SUM(G26:G28)</f>
        <v>0</v>
      </c>
      <c r="H30" s="314"/>
      <c r="I30" s="299">
        <f>SUM(I26:I28)</f>
        <v>0</v>
      </c>
      <c r="J30" s="314"/>
      <c r="K30" s="308" t="str">
        <f>A30</f>
        <v xml:space="preserve">          Total liabilities</v>
      </c>
      <c r="M30" s="299">
        <f>SUM(M26:M28)</f>
        <v>15629</v>
      </c>
      <c r="O30" s="299">
        <f>SUM(O26:O28)</f>
        <v>0</v>
      </c>
      <c r="P30" s="314"/>
      <c r="Q30" s="299">
        <f>SUM(Q26:Q28)</f>
        <v>0</v>
      </c>
      <c r="R30" s="314"/>
      <c r="S30" s="299">
        <f>SUM(S26:S28)</f>
        <v>0</v>
      </c>
      <c r="T30" s="314"/>
      <c r="U30" s="308" t="str">
        <f>A30</f>
        <v xml:space="preserve">          Total liabilities</v>
      </c>
      <c r="W30" s="299">
        <f>SUM(W26:W28)</f>
        <v>0</v>
      </c>
      <c r="Y30" s="299">
        <f>SUM(Y26:Y28)</f>
        <v>0</v>
      </c>
      <c r="AA30" s="299">
        <f>SUM(AA26:AA28)</f>
        <v>2554271</v>
      </c>
      <c r="AC30" s="299">
        <f>SUM(AC26:AC28)</f>
        <v>0</v>
      </c>
      <c r="AD30" s="314"/>
      <c r="AE30" s="308" t="str">
        <f>K30</f>
        <v xml:space="preserve">          Total liabilities</v>
      </c>
      <c r="AG30" s="299">
        <f>SUM(AG26:AG28)</f>
        <v>0</v>
      </c>
      <c r="AH30" s="296"/>
      <c r="AI30" s="299">
        <f>SUM(AI26:AI28)</f>
        <v>239308</v>
      </c>
      <c r="AJ30" s="296"/>
      <c r="AK30" s="299">
        <f>SUM(AK26:AK28)</f>
        <v>0</v>
      </c>
      <c r="AN30" s="326"/>
      <c r="AO30" s="299">
        <f>SUM(AO26:AO28)</f>
        <v>2809208</v>
      </c>
      <c r="AP30" s="314"/>
      <c r="AQ30" s="296"/>
      <c r="AR30" s="319"/>
      <c r="AS30" s="319"/>
      <c r="AT30" s="308"/>
    </row>
    <row r="31" spans="1:52" ht="16.5" thickTop="1">
      <c r="A31" s="276"/>
      <c r="B31" s="287"/>
      <c r="C31" s="294"/>
      <c r="D31" s="287"/>
      <c r="E31" s="294"/>
      <c r="F31" s="287"/>
      <c r="G31" s="294"/>
      <c r="H31" s="296"/>
      <c r="I31" s="294"/>
      <c r="J31" s="296"/>
      <c r="K31" s="276"/>
      <c r="M31" s="294"/>
      <c r="O31" s="294"/>
      <c r="P31" s="296"/>
      <c r="Q31" s="294"/>
      <c r="R31" s="296"/>
      <c r="S31" s="294"/>
      <c r="T31" s="296"/>
      <c r="U31" s="276"/>
      <c r="W31" s="294"/>
      <c r="Y31" s="294"/>
      <c r="AA31" s="294"/>
      <c r="AC31" s="294"/>
      <c r="AD31" s="296"/>
      <c r="AE31" s="276"/>
      <c r="AG31" s="294"/>
      <c r="AH31" s="296"/>
      <c r="AI31" s="294"/>
      <c r="AJ31" s="296"/>
      <c r="AK31" s="294"/>
      <c r="AN31" s="294"/>
      <c r="AO31" s="294"/>
      <c r="AP31" s="296"/>
      <c r="AQ31" s="296"/>
      <c r="AR31" s="303"/>
      <c r="AS31" s="303"/>
      <c r="AT31" s="276"/>
    </row>
    <row r="32" spans="1:52" ht="15.75">
      <c r="A32" s="308" t="s">
        <v>1673</v>
      </c>
      <c r="B32" s="276"/>
      <c r="C32" s="300"/>
      <c r="D32" s="287"/>
      <c r="E32" s="300"/>
      <c r="F32" s="287"/>
      <c r="G32" s="300"/>
      <c r="H32" s="287"/>
      <c r="I32" s="300"/>
      <c r="J32" s="314"/>
      <c r="K32" s="308" t="s">
        <v>1673</v>
      </c>
      <c r="M32" s="300"/>
      <c r="N32" s="287"/>
      <c r="O32" s="300"/>
      <c r="P32" s="287"/>
      <c r="Q32" s="300"/>
      <c r="R32" s="287"/>
      <c r="S32" s="300"/>
      <c r="T32" s="314"/>
      <c r="U32" s="308" t="s">
        <v>1673</v>
      </c>
      <c r="W32" s="300"/>
      <c r="Y32" s="300"/>
      <c r="Z32" s="287"/>
      <c r="AA32" s="300"/>
      <c r="AB32" s="287"/>
      <c r="AC32" s="300"/>
      <c r="AD32" s="314"/>
      <c r="AE32" s="308" t="s">
        <v>1673</v>
      </c>
      <c r="AF32" s="287"/>
      <c r="AG32" s="300"/>
      <c r="AH32" s="296"/>
      <c r="AI32" s="300"/>
      <c r="AJ32" s="287"/>
      <c r="AK32" s="300"/>
      <c r="AL32" s="287"/>
      <c r="AM32" s="287"/>
      <c r="AN32" s="287"/>
      <c r="AO32" s="300"/>
      <c r="AP32" s="314"/>
      <c r="AQ32" s="296"/>
      <c r="AR32" s="303"/>
      <c r="AS32" s="303"/>
      <c r="AT32" s="276"/>
    </row>
    <row r="33" spans="1:46" ht="15.75">
      <c r="A33" s="276" t="s">
        <v>2870</v>
      </c>
      <c r="B33" s="276"/>
      <c r="C33" s="300"/>
      <c r="D33" s="287"/>
      <c r="E33" s="300"/>
      <c r="F33" s="287"/>
      <c r="G33" s="300"/>
      <c r="H33" s="287"/>
      <c r="I33" s="300"/>
      <c r="J33" s="296"/>
      <c r="K33" s="276" t="s">
        <v>2870</v>
      </c>
      <c r="M33" s="300"/>
      <c r="N33" s="287"/>
      <c r="O33" s="300"/>
      <c r="P33" s="287"/>
      <c r="Q33" s="300"/>
      <c r="R33" s="287"/>
      <c r="S33" s="300"/>
      <c r="T33" s="296"/>
      <c r="U33" s="276" t="s">
        <v>2870</v>
      </c>
      <c r="W33" s="300"/>
      <c r="Y33" s="300"/>
      <c r="Z33" s="287"/>
      <c r="AA33" s="300"/>
      <c r="AB33" s="287"/>
      <c r="AC33" s="300"/>
      <c r="AD33" s="296"/>
      <c r="AE33" s="276" t="s">
        <v>2870</v>
      </c>
      <c r="AF33" s="287"/>
      <c r="AG33" s="300"/>
      <c r="AI33" s="300"/>
      <c r="AJ33" s="287"/>
      <c r="AK33" s="300"/>
      <c r="AL33" s="287"/>
      <c r="AM33" s="287"/>
      <c r="AN33" s="287"/>
      <c r="AO33" s="300"/>
      <c r="AP33" s="314"/>
      <c r="AQ33" s="296"/>
      <c r="AR33" s="276"/>
      <c r="AS33" s="276"/>
      <c r="AT33" s="303"/>
    </row>
    <row r="34" spans="1:46" ht="16.5" customHeight="1">
      <c r="A34" s="276" t="s">
        <v>2871</v>
      </c>
      <c r="B34" s="276"/>
      <c r="C34" s="300"/>
      <c r="D34" s="287"/>
      <c r="E34" s="300"/>
      <c r="F34" s="287"/>
      <c r="G34" s="300"/>
      <c r="H34" s="287"/>
      <c r="I34" s="300"/>
      <c r="J34" s="296"/>
      <c r="K34" s="276" t="s">
        <v>2871</v>
      </c>
      <c r="M34" s="300"/>
      <c r="N34" s="287"/>
      <c r="O34" s="300"/>
      <c r="P34" s="287"/>
      <c r="Q34" s="300"/>
      <c r="R34" s="287"/>
      <c r="S34" s="300"/>
      <c r="T34" s="296"/>
      <c r="U34" s="276" t="s">
        <v>2871</v>
      </c>
      <c r="W34" s="300"/>
      <c r="Y34" s="300"/>
      <c r="Z34" s="287"/>
      <c r="AA34" s="300"/>
      <c r="AB34" s="287"/>
      <c r="AC34" s="300"/>
      <c r="AD34" s="296"/>
      <c r="AE34" s="276" t="s">
        <v>2871</v>
      </c>
      <c r="AF34" s="287"/>
      <c r="AG34" s="300"/>
      <c r="AH34" s="294"/>
      <c r="AI34" s="300"/>
      <c r="AJ34" s="287"/>
      <c r="AK34" s="300"/>
      <c r="AL34" s="287"/>
      <c r="AM34" s="287"/>
      <c r="AN34" s="287"/>
      <c r="AO34" s="300"/>
      <c r="AP34" s="296"/>
      <c r="AQ34" s="296"/>
      <c r="AR34" s="303"/>
      <c r="AS34" s="303"/>
      <c r="AT34" s="276"/>
    </row>
    <row r="35" spans="1:46" ht="16.5" customHeight="1">
      <c r="A35" s="276" t="s">
        <v>2874</v>
      </c>
      <c r="B35" s="276"/>
      <c r="C35" s="568">
        <f>+INPUT!CW207</f>
        <v>3980305</v>
      </c>
      <c r="D35" s="287"/>
      <c r="E35" s="568">
        <f>+INPUT!CY207</f>
        <v>32848</v>
      </c>
      <c r="F35" s="287"/>
      <c r="G35" s="568">
        <f>+INPUT!DB207</f>
        <v>44162</v>
      </c>
      <c r="H35" s="287"/>
      <c r="I35" s="568">
        <f>+INPUT!DC207</f>
        <v>8412</v>
      </c>
      <c r="J35" s="296"/>
      <c r="K35" s="276" t="s">
        <v>2874</v>
      </c>
      <c r="M35" s="568">
        <f>+INPUT!DD207</f>
        <v>0</v>
      </c>
      <c r="N35" s="287"/>
      <c r="O35" s="568">
        <f>+INPUT!DE207</f>
        <v>8608</v>
      </c>
      <c r="P35" s="287"/>
      <c r="Q35" s="568">
        <f>+INPUT!DJ207</f>
        <v>296099</v>
      </c>
      <c r="R35" s="287"/>
      <c r="S35" s="568">
        <f>+INPUT!DL207</f>
        <v>1325611</v>
      </c>
      <c r="T35" s="296"/>
      <c r="U35" s="276" t="s">
        <v>2874</v>
      </c>
      <c r="W35" s="568">
        <f>+INPUT!DN207</f>
        <v>90503</v>
      </c>
      <c r="Y35" s="568">
        <f>+INPUT!DQ207-INPUT!DQ85-INPUT!DQ86</f>
        <v>97743</v>
      </c>
      <c r="Z35" s="287"/>
      <c r="AA35" s="568">
        <f>+INPUT!DR207-INPUT!DR85-INPUT!DR86</f>
        <v>-1283677</v>
      </c>
      <c r="AB35" s="287"/>
      <c r="AC35" s="568">
        <f>+INPUT!DP207</f>
        <v>34351</v>
      </c>
      <c r="AD35" s="296"/>
      <c r="AE35" s="276" t="s">
        <v>2874</v>
      </c>
      <c r="AF35" s="287"/>
      <c r="AG35" s="568">
        <f>+INPUT!DS207</f>
        <v>1772021</v>
      </c>
      <c r="AH35" s="294"/>
      <c r="AI35" s="568">
        <f>+INPUT!DT207</f>
        <v>1494534</v>
      </c>
      <c r="AJ35" s="287"/>
      <c r="AK35" s="568">
        <f>+INPUT!DY207</f>
        <v>155027</v>
      </c>
      <c r="AL35" s="287"/>
      <c r="AM35" s="287"/>
      <c r="AN35" s="287"/>
      <c r="AO35" s="568">
        <f>SUM(B35:AN35)</f>
        <v>8056547</v>
      </c>
      <c r="AP35" s="296"/>
      <c r="AQ35" s="296"/>
      <c r="AR35" s="303"/>
      <c r="AS35" s="303"/>
      <c r="AT35" s="276"/>
    </row>
    <row r="36" spans="1:46" ht="16.5" customHeight="1">
      <c r="A36" s="276"/>
      <c r="B36" s="276"/>
      <c r="C36" s="300"/>
      <c r="D36" s="287"/>
      <c r="E36" s="300"/>
      <c r="F36" s="287"/>
      <c r="G36" s="300"/>
      <c r="H36" s="287"/>
      <c r="I36" s="300"/>
      <c r="J36" s="296"/>
      <c r="K36" s="276"/>
      <c r="M36" s="300"/>
      <c r="N36" s="287"/>
      <c r="O36" s="300"/>
      <c r="P36" s="287"/>
      <c r="Q36" s="300"/>
      <c r="R36" s="287"/>
      <c r="S36" s="300"/>
      <c r="T36" s="296"/>
      <c r="U36" s="276"/>
      <c r="W36" s="300"/>
      <c r="Y36" s="300"/>
      <c r="Z36" s="287"/>
      <c r="AA36" s="300"/>
      <c r="AB36" s="287"/>
      <c r="AC36" s="300"/>
      <c r="AD36" s="296"/>
      <c r="AE36" s="276"/>
      <c r="AF36" s="287"/>
      <c r="AG36" s="300"/>
      <c r="AH36" s="294"/>
      <c r="AI36" s="300"/>
      <c r="AJ36" s="287"/>
      <c r="AK36" s="300"/>
      <c r="AL36" s="287"/>
      <c r="AM36" s="287"/>
      <c r="AN36" s="287"/>
      <c r="AO36" s="300"/>
      <c r="AP36" s="296"/>
      <c r="AQ36" s="296"/>
      <c r="AR36" s="303"/>
      <c r="AS36" s="303"/>
      <c r="AT36" s="276"/>
    </row>
    <row r="37" spans="1:46" ht="16.5" customHeight="1" thickBot="1">
      <c r="A37" s="308" t="s">
        <v>2872</v>
      </c>
      <c r="B37" s="276"/>
      <c r="C37" s="1049">
        <f>SUM(C34:C35)</f>
        <v>3980305</v>
      </c>
      <c r="D37" s="287"/>
      <c r="E37" s="1049">
        <f t="shared" ref="E37" si="1">SUM(E34:E35)</f>
        <v>32848</v>
      </c>
      <c r="F37" s="287"/>
      <c r="G37" s="1049">
        <f t="shared" ref="G37" si="2">SUM(G34:G35)</f>
        <v>44162</v>
      </c>
      <c r="H37" s="287"/>
      <c r="I37" s="1049">
        <f t="shared" ref="I37" si="3">SUM(I34:I35)</f>
        <v>8412</v>
      </c>
      <c r="J37" s="296"/>
      <c r="K37" s="308" t="s">
        <v>2872</v>
      </c>
      <c r="M37" s="1049">
        <f>SUM(M34:M35)</f>
        <v>0</v>
      </c>
      <c r="N37" s="287"/>
      <c r="O37" s="1049">
        <f t="shared" ref="O37" si="4">SUM(O34:O35)</f>
        <v>8608</v>
      </c>
      <c r="P37" s="287"/>
      <c r="Q37" s="1049">
        <f t="shared" ref="Q37" si="5">SUM(Q34:Q35)</f>
        <v>296099</v>
      </c>
      <c r="R37" s="287"/>
      <c r="S37" s="1049">
        <f t="shared" ref="S37" si="6">SUM(S34:S35)</f>
        <v>1325611</v>
      </c>
      <c r="T37" s="296"/>
      <c r="U37" s="308" t="s">
        <v>2872</v>
      </c>
      <c r="W37" s="1049">
        <f>SUM(W34:W35)</f>
        <v>90503</v>
      </c>
      <c r="Y37" s="1049">
        <f t="shared" ref="Y37" si="7">SUM(Y34:Y35)</f>
        <v>97743</v>
      </c>
      <c r="Z37" s="287"/>
      <c r="AA37" s="1049">
        <f t="shared" ref="AA37" si="8">SUM(AA34:AA35)</f>
        <v>-1283677</v>
      </c>
      <c r="AB37" s="287"/>
      <c r="AC37" s="1049">
        <f>SUM(AC34:AC35)</f>
        <v>34351</v>
      </c>
      <c r="AD37" s="296"/>
      <c r="AE37" s="308" t="s">
        <v>2872</v>
      </c>
      <c r="AF37" s="287"/>
      <c r="AG37" s="1049">
        <f t="shared" ref="AG37" si="9">SUM(AG34:AG35)</f>
        <v>1772021</v>
      </c>
      <c r="AH37" s="294"/>
      <c r="AI37" s="1049">
        <f>SUM(AI34:AI35)</f>
        <v>1494534</v>
      </c>
      <c r="AJ37" s="287"/>
      <c r="AK37" s="1049">
        <f t="shared" ref="AK37" si="10">SUM(AK34:AK35)</f>
        <v>155027</v>
      </c>
      <c r="AL37" s="287"/>
      <c r="AM37" s="287"/>
      <c r="AN37" s="287"/>
      <c r="AO37" s="1049">
        <f>SUM(AO34:AO35)</f>
        <v>8056547</v>
      </c>
      <c r="AP37" s="296"/>
      <c r="AQ37" s="296"/>
      <c r="AR37" s="303"/>
      <c r="AS37" s="303"/>
      <c r="AT37" s="276"/>
    </row>
    <row r="38" spans="1:46" ht="13.5" thickTop="1"/>
    <row r="39" spans="1:46" ht="16.5" thickBot="1">
      <c r="A39" s="308" t="s">
        <v>2349</v>
      </c>
      <c r="C39" s="837">
        <f>+C37+C30</f>
        <v>3980305</v>
      </c>
      <c r="D39" s="326"/>
      <c r="E39" s="837">
        <f t="shared" ref="E39:J39" si="11">+E37+E30</f>
        <v>32848</v>
      </c>
      <c r="F39" s="326"/>
      <c r="G39" s="837">
        <f t="shared" si="11"/>
        <v>44162</v>
      </c>
      <c r="H39" s="326"/>
      <c r="I39" s="837">
        <f t="shared" si="11"/>
        <v>8412</v>
      </c>
      <c r="J39" s="326">
        <f t="shared" si="11"/>
        <v>0</v>
      </c>
      <c r="K39" s="308" t="s">
        <v>2349</v>
      </c>
      <c r="M39" s="837">
        <f>+M37+M30</f>
        <v>15629</v>
      </c>
      <c r="N39" s="326"/>
      <c r="O39" s="837">
        <f t="shared" ref="O39:S39" si="12">+O37+O30</f>
        <v>8608</v>
      </c>
      <c r="P39" s="326"/>
      <c r="Q39" s="837">
        <f t="shared" si="12"/>
        <v>296099</v>
      </c>
      <c r="R39" s="326"/>
      <c r="S39" s="837">
        <f t="shared" si="12"/>
        <v>1325611</v>
      </c>
      <c r="U39" s="308" t="s">
        <v>2349</v>
      </c>
      <c r="W39" s="837">
        <f>+W37+W30</f>
        <v>90503</v>
      </c>
      <c r="X39" s="326"/>
      <c r="Y39" s="837">
        <f t="shared" ref="Y39:AC39" si="13">+Y37+Y30</f>
        <v>97743</v>
      </c>
      <c r="Z39" s="326"/>
      <c r="AA39" s="837">
        <f t="shared" si="13"/>
        <v>1270594</v>
      </c>
      <c r="AB39" s="326"/>
      <c r="AC39" s="837">
        <f t="shared" si="13"/>
        <v>34351</v>
      </c>
      <c r="AE39" s="308" t="s">
        <v>2349</v>
      </c>
      <c r="AG39" s="837">
        <f>+AG37+AG30</f>
        <v>1772021</v>
      </c>
      <c r="AH39" s="326"/>
      <c r="AI39" s="837">
        <f t="shared" ref="AI39:AO39" si="14">+AI37+AI30</f>
        <v>1733842</v>
      </c>
      <c r="AJ39" s="326"/>
      <c r="AK39" s="837">
        <f t="shared" si="14"/>
        <v>155027</v>
      </c>
      <c r="AL39" s="326"/>
      <c r="AM39" s="326"/>
      <c r="AO39" s="837">
        <f t="shared" si="14"/>
        <v>10865755</v>
      </c>
    </row>
    <row r="40" spans="1:46" ht="13.5" thickTop="1"/>
    <row r="42" spans="1:46" ht="15.75">
      <c r="C42" s="276">
        <f>+C23-C30-C35</f>
        <v>0</v>
      </c>
      <c r="E42" s="276">
        <f t="shared" ref="E42" si="15">+E23-E30-E35</f>
        <v>0</v>
      </c>
      <c r="G42" s="276">
        <f t="shared" ref="G42" si="16">+G23-G30-G35</f>
        <v>0</v>
      </c>
      <c r="I42" s="276">
        <f t="shared" ref="I42" si="17">+I23-I30-I35</f>
        <v>0</v>
      </c>
      <c r="M42" s="276">
        <f>+M23-M30-M35</f>
        <v>0</v>
      </c>
      <c r="O42" s="276">
        <f t="shared" ref="O42" si="18">+O23-O30-O35</f>
        <v>0</v>
      </c>
      <c r="Q42" s="276">
        <f t="shared" ref="Q42" si="19">+Q23-Q30-Q35</f>
        <v>0</v>
      </c>
      <c r="S42" s="276">
        <f t="shared" ref="S42" si="20">+S23-S30-S35</f>
        <v>0</v>
      </c>
      <c r="W42" s="276">
        <f t="shared" ref="W42:Y42" si="21">+W23-W30-W35</f>
        <v>0</v>
      </c>
      <c r="Y42" s="276">
        <f t="shared" si="21"/>
        <v>0</v>
      </c>
      <c r="Z42" s="276"/>
      <c r="AA42" s="276">
        <f>+AA23-AA30-AA35</f>
        <v>0</v>
      </c>
      <c r="AB42" s="276"/>
      <c r="AC42" s="276">
        <f t="shared" ref="AC42" si="22">+AC23-AC30-AC35</f>
        <v>0</v>
      </c>
      <c r="AF42" s="276"/>
      <c r="AG42" s="276">
        <f>+AG23-AG30-AG35</f>
        <v>0</v>
      </c>
      <c r="AI42" s="276">
        <f t="shared" ref="AI42" si="23">+AI23-AI30-AI35</f>
        <v>0</v>
      </c>
      <c r="AJ42" s="276"/>
      <c r="AK42" s="276">
        <f t="shared" ref="AK42" si="24">+AK23-AK30-AK35</f>
        <v>0</v>
      </c>
      <c r="AL42" s="276"/>
      <c r="AM42" s="276"/>
      <c r="AN42" s="276"/>
      <c r="AO42" s="276">
        <f t="shared" ref="AO42" si="25">+AO23-AO30-AO35</f>
        <v>0</v>
      </c>
    </row>
    <row r="43" spans="1:46" ht="15.75">
      <c r="C43" s="276">
        <f>+'Cust Funds Chg in NP'!C38</f>
        <v>3980305</v>
      </c>
      <c r="E43" s="276">
        <f>+'Cust Funds Chg in NP'!E38</f>
        <v>32848</v>
      </c>
      <c r="G43" s="276">
        <f>+'Cust Funds Chg in NP'!G38</f>
        <v>44162</v>
      </c>
      <c r="I43" s="276">
        <f>+'Cust Funds Chg in NP'!I38</f>
        <v>8412</v>
      </c>
      <c r="M43" s="276">
        <f>+'Cust Funds Chg in NP'!M38</f>
        <v>0</v>
      </c>
      <c r="O43" s="276">
        <f>+'Cust Funds Chg in NP'!O38</f>
        <v>8608</v>
      </c>
      <c r="Q43" s="276">
        <f>+'Cust Funds Chg in NP'!Q38</f>
        <v>296099</v>
      </c>
      <c r="S43" s="276">
        <f>+'Cust Funds Chg in NP'!S38</f>
        <v>1325611</v>
      </c>
      <c r="W43" s="276">
        <f>+'Cust Funds Chg in NP'!W38</f>
        <v>90503</v>
      </c>
      <c r="Y43" s="276">
        <f>+'Cust Funds Chg in NP'!Y38</f>
        <v>97743</v>
      </c>
      <c r="AA43" s="276">
        <f>+'Cust Funds Chg in NP'!AA38</f>
        <v>-1283677</v>
      </c>
      <c r="AC43" s="276">
        <f>+'Cust Funds Chg in NP'!AC38</f>
        <v>34351</v>
      </c>
      <c r="AG43" s="276">
        <f>+'Cust Funds Chg in NP'!AG38</f>
        <v>1772021</v>
      </c>
      <c r="AI43" s="276">
        <f>+'Cust Funds Chg in NP'!AI38</f>
        <v>1494534</v>
      </c>
      <c r="AK43" s="276">
        <f>+'Cust Funds Chg in NP'!AK38</f>
        <v>155027</v>
      </c>
      <c r="AO43" s="276">
        <f>+'Cust Funds Chg in NP'!AO38</f>
        <v>8056547</v>
      </c>
    </row>
    <row r="44" spans="1:46" ht="15.75">
      <c r="C44" s="276">
        <f>+C43-C37</f>
        <v>0</v>
      </c>
      <c r="E44" s="276">
        <f t="shared" ref="E44" si="26">+E43-E37</f>
        <v>0</v>
      </c>
      <c r="G44" s="276">
        <f t="shared" ref="G44" si="27">+G43-G37</f>
        <v>0</v>
      </c>
      <c r="I44" s="276">
        <f>+I43-I37</f>
        <v>0</v>
      </c>
      <c r="M44" s="276">
        <f>+M43-M37</f>
        <v>0</v>
      </c>
      <c r="O44" s="276">
        <f t="shared" ref="O44" si="28">+O43-O37</f>
        <v>0</v>
      </c>
      <c r="Q44" s="276">
        <f t="shared" ref="Q44" si="29">+Q43-Q37</f>
        <v>0</v>
      </c>
      <c r="S44" s="276">
        <f t="shared" ref="S44" si="30">+S43-S37</f>
        <v>0</v>
      </c>
      <c r="W44" s="276">
        <f>+W43-W37</f>
        <v>0</v>
      </c>
      <c r="Y44" s="276">
        <f t="shared" ref="Y44" si="31">+Y43-Y37</f>
        <v>0</v>
      </c>
      <c r="AA44" s="276">
        <f>+AA43-AA37</f>
        <v>0</v>
      </c>
      <c r="AC44" s="276">
        <f>+AC43-AC37</f>
        <v>0</v>
      </c>
      <c r="AG44" s="276">
        <f t="shared" ref="AG44" si="32">+AG43-AG37</f>
        <v>0</v>
      </c>
      <c r="AI44" s="276">
        <f t="shared" ref="AI44" si="33">+AI43-AI37</f>
        <v>0</v>
      </c>
      <c r="AK44" s="276">
        <f t="shared" ref="AK44" si="34">+AK43-AK37</f>
        <v>0</v>
      </c>
      <c r="AO44" s="276">
        <f t="shared" ref="AO44" si="35">+AO43-AO37</f>
        <v>0</v>
      </c>
    </row>
    <row r="49" spans="33:41">
      <c r="AG49" s="994">
        <f t="shared" ref="AG49" si="36">+AG17/(+AG16+AG17)</f>
        <v>0.16037064973895027</v>
      </c>
      <c r="AH49" s="994"/>
      <c r="AI49" s="994">
        <f>+AI17/(+AI16+AI17)</f>
        <v>0.16037108394771327</v>
      </c>
      <c r="AO49" s="994">
        <f>(+AO17)/(+AO16+AO17-AK16)</f>
        <v>0.16037078511725514</v>
      </c>
    </row>
  </sheetData>
  <phoneticPr fontId="0" type="noConversion"/>
  <printOptions horizontalCentered="1"/>
  <pageMargins left="0.5" right="0.47499999999999998" top="0.5" bottom="0.75" header="0.5" footer="0.25"/>
  <pageSetup scale="64" firstPageNumber="135" orientation="portrait" useFirstPageNumber="1" r:id="rId1"/>
  <headerFooter alignWithMargins="0"/>
  <colBreaks count="2" manualBreakCount="2">
    <brk id="10" max="36" man="1"/>
    <brk id="20" max="36" man="1"/>
  </colBreaks>
  <ignoredErrors>
    <ignoredError sqref="U20:U31 K23:K31" formula="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ransitionEvaluation="1" codeName="Sheet62"/>
  <dimension ref="A1:AV81"/>
  <sheetViews>
    <sheetView showGridLines="0" zoomScale="70" zoomScaleNormal="70" workbookViewId="0">
      <selection activeCell="E10" sqref="E10"/>
    </sheetView>
  </sheetViews>
  <sheetFormatPr defaultColWidth="12.5703125" defaultRowHeight="15.75"/>
  <cols>
    <col min="1" max="1" width="52.7109375" style="920" customWidth="1"/>
    <col min="2" max="2" width="2.7109375" style="920" customWidth="1"/>
    <col min="3" max="3" width="21.5703125" style="920" customWidth="1"/>
    <col min="4" max="4" width="2.7109375" style="920" customWidth="1"/>
    <col min="5" max="5" width="21.5703125" style="920" customWidth="1"/>
    <col min="6" max="6" width="2.7109375" style="920" customWidth="1"/>
    <col min="7" max="7" width="21.5703125" style="920" customWidth="1"/>
    <col min="8" max="8" width="2.7109375" style="920" customWidth="1"/>
    <col min="9" max="9" width="21.5703125" style="920" customWidth="1"/>
    <col min="10" max="10" width="3.5703125" style="920" customWidth="1"/>
    <col min="11" max="11" width="52.7109375" style="920" customWidth="1"/>
    <col min="12" max="12" width="2.7109375" style="920" customWidth="1"/>
    <col min="13" max="13" width="19.7109375" style="920" customWidth="1"/>
    <col min="14" max="14" width="2.7109375" style="920" customWidth="1"/>
    <col min="15" max="15" width="19.7109375" style="920" customWidth="1"/>
    <col min="16" max="16" width="2.7109375" style="920" customWidth="1"/>
    <col min="17" max="17" width="19.7109375" style="920" customWidth="1"/>
    <col min="18" max="18" width="2.7109375" style="920" customWidth="1"/>
    <col min="19" max="19" width="19.7109375" style="920" customWidth="1"/>
    <col min="20" max="20" width="2.7109375" style="920" customWidth="1"/>
    <col min="21" max="21" width="52.7109375" style="920" customWidth="1"/>
    <col min="22" max="22" width="2.7109375" style="920" customWidth="1"/>
    <col min="23" max="23" width="20.7109375" style="920" customWidth="1"/>
    <col min="24" max="24" width="2.7109375" style="920" customWidth="1"/>
    <col min="25" max="25" width="20.7109375" style="920" customWidth="1"/>
    <col min="26" max="26" width="2.7109375" style="920" customWidth="1"/>
    <col min="27" max="27" width="20.7109375" style="920" customWidth="1"/>
    <col min="28" max="28" width="2.7109375" style="920" customWidth="1"/>
    <col min="29" max="29" width="20.7109375" style="920" customWidth="1"/>
    <col min="30" max="30" width="2.7109375" style="920" customWidth="1"/>
    <col min="31" max="31" width="52.7109375" style="920" customWidth="1"/>
    <col min="32" max="32" width="2.7109375" style="920" customWidth="1"/>
    <col min="33" max="33" width="20.7109375" style="920" customWidth="1"/>
    <col min="34" max="34" width="2.7109375" style="920" customWidth="1"/>
    <col min="35" max="35" width="20.7109375" style="920" customWidth="1"/>
    <col min="36" max="36" width="2.7109375" style="920" customWidth="1"/>
    <col min="37" max="37" width="20.7109375" style="920" customWidth="1"/>
    <col min="38" max="40" width="2.7109375" style="920" customWidth="1"/>
    <col min="41" max="41" width="20.7109375" style="920" customWidth="1"/>
    <col min="42" max="42" width="2.7109375" style="920" customWidth="1"/>
    <col min="43" max="16384" width="12.5703125" style="920"/>
  </cols>
  <sheetData>
    <row r="1" spans="1:42" ht="15.95" customHeight="1"/>
    <row r="2" spans="1:42" ht="15.95" customHeight="1">
      <c r="A2" s="1352" t="s">
        <v>1049</v>
      </c>
      <c r="B2" s="1352"/>
      <c r="C2" s="1352"/>
      <c r="D2" s="1352"/>
      <c r="E2" s="1352"/>
      <c r="F2" s="1352"/>
      <c r="G2" s="1352"/>
      <c r="H2" s="1352"/>
      <c r="I2" s="1352"/>
      <c r="J2" s="922"/>
      <c r="K2" s="937" t="s">
        <v>1049</v>
      </c>
      <c r="L2" s="922"/>
      <c r="M2" s="922"/>
      <c r="N2" s="922"/>
      <c r="O2" s="922"/>
      <c r="P2" s="922"/>
      <c r="Q2" s="922"/>
      <c r="R2" s="922"/>
      <c r="S2" s="922"/>
      <c r="T2" s="922"/>
      <c r="U2" s="937" t="s">
        <v>1049</v>
      </c>
      <c r="V2" s="922"/>
      <c r="W2" s="922"/>
      <c r="X2" s="922"/>
      <c r="Y2" s="922"/>
      <c r="Z2" s="922"/>
      <c r="AA2" s="922"/>
      <c r="AB2" s="922"/>
      <c r="AC2" s="922"/>
      <c r="AD2" s="922"/>
      <c r="AE2" s="937" t="s">
        <v>1049</v>
      </c>
      <c r="AF2" s="922"/>
      <c r="AG2" s="922"/>
      <c r="AH2" s="922"/>
      <c r="AI2" s="922"/>
      <c r="AJ2" s="922"/>
      <c r="AK2" s="922"/>
      <c r="AL2" s="922"/>
      <c r="AM2" s="922"/>
      <c r="AN2" s="922"/>
      <c r="AO2" s="922"/>
      <c r="AP2" s="922"/>
    </row>
    <row r="3" spans="1:42" ht="15.95" customHeight="1">
      <c r="A3" s="1352" t="s">
        <v>1690</v>
      </c>
      <c r="B3" s="1352"/>
      <c r="C3" s="1352"/>
      <c r="D3" s="1352"/>
      <c r="E3" s="1352"/>
      <c r="F3" s="1352"/>
      <c r="G3" s="1352"/>
      <c r="H3" s="1352"/>
      <c r="I3" s="1352"/>
      <c r="J3" s="922"/>
      <c r="K3" s="937" t="s">
        <v>1690</v>
      </c>
      <c r="L3" s="922"/>
      <c r="M3" s="922"/>
      <c r="N3" s="922"/>
      <c r="O3" s="922"/>
      <c r="P3" s="922"/>
      <c r="Q3" s="922"/>
      <c r="R3" s="922"/>
      <c r="S3" s="922"/>
      <c r="T3" s="922"/>
      <c r="U3" s="937" t="s">
        <v>1690</v>
      </c>
      <c r="V3" s="922"/>
      <c r="W3" s="922"/>
      <c r="X3" s="922"/>
      <c r="Y3" s="922"/>
      <c r="Z3" s="922"/>
      <c r="AA3" s="922"/>
      <c r="AB3" s="922"/>
      <c r="AC3" s="922"/>
      <c r="AD3" s="922"/>
      <c r="AE3" s="937" t="s">
        <v>1690</v>
      </c>
      <c r="AF3" s="922"/>
      <c r="AG3" s="922"/>
      <c r="AH3" s="922"/>
      <c r="AI3" s="922"/>
      <c r="AJ3" s="922"/>
      <c r="AK3" s="922"/>
      <c r="AL3" s="922"/>
      <c r="AM3" s="922"/>
      <c r="AN3" s="922"/>
      <c r="AO3" s="922"/>
      <c r="AP3" s="922"/>
    </row>
    <row r="4" spans="1:42" ht="15.95" customHeight="1">
      <c r="A4" s="1352" t="s">
        <v>2866</v>
      </c>
      <c r="B4" s="1352"/>
      <c r="C4" s="1352"/>
      <c r="D4" s="1352"/>
      <c r="E4" s="1352"/>
      <c r="F4" s="1352"/>
      <c r="G4" s="1352"/>
      <c r="H4" s="1352"/>
      <c r="I4" s="1352"/>
      <c r="J4" s="922"/>
      <c r="K4" s="937" t="s">
        <v>2866</v>
      </c>
      <c r="L4" s="922"/>
      <c r="M4" s="922"/>
      <c r="N4" s="922"/>
      <c r="O4" s="922"/>
      <c r="P4" s="922"/>
      <c r="Q4" s="922"/>
      <c r="R4" s="922"/>
      <c r="S4" s="922"/>
      <c r="T4" s="922"/>
      <c r="U4" s="937" t="s">
        <v>2866</v>
      </c>
      <c r="V4" s="922"/>
      <c r="W4" s="922"/>
      <c r="X4" s="922"/>
      <c r="Y4" s="922"/>
      <c r="Z4" s="922"/>
      <c r="AA4" s="922"/>
      <c r="AB4" s="922"/>
      <c r="AC4" s="922"/>
      <c r="AD4" s="922"/>
      <c r="AE4" s="937" t="s">
        <v>2866</v>
      </c>
      <c r="AF4" s="922"/>
      <c r="AG4" s="922"/>
      <c r="AH4" s="922"/>
      <c r="AI4" s="922"/>
      <c r="AJ4" s="922"/>
      <c r="AK4" s="922"/>
      <c r="AL4" s="922"/>
      <c r="AM4" s="922"/>
      <c r="AN4" s="922"/>
      <c r="AO4" s="922"/>
      <c r="AP4" s="922"/>
    </row>
    <row r="5" spans="1:42" ht="15.95" customHeight="1">
      <c r="A5" s="1313" t="str">
        <f>+'Sys INPUT'!B2</f>
        <v>For the  Fiscal Year Ended June 30, 2023</v>
      </c>
      <c r="B5" s="1313"/>
      <c r="C5" s="1313"/>
      <c r="D5" s="1313"/>
      <c r="E5" s="1313"/>
      <c r="F5" s="1313"/>
      <c r="G5" s="1313"/>
      <c r="H5" s="1313"/>
      <c r="I5" s="1313"/>
      <c r="J5" s="922"/>
      <c r="K5" s="1060" t="str">
        <f>+A5</f>
        <v>For the  Fiscal Year Ended June 30, 2023</v>
      </c>
      <c r="L5" s="922"/>
      <c r="M5" s="922"/>
      <c r="N5" s="922"/>
      <c r="O5" s="922"/>
      <c r="P5" s="922"/>
      <c r="Q5" s="922"/>
      <c r="R5" s="922"/>
      <c r="S5" s="922"/>
      <c r="T5" s="922"/>
      <c r="U5" s="1060" t="str">
        <f>+A5</f>
        <v>For the  Fiscal Year Ended June 30, 2023</v>
      </c>
      <c r="V5" s="922"/>
      <c r="W5" s="922"/>
      <c r="X5" s="922"/>
      <c r="Y5" s="922"/>
      <c r="Z5" s="922"/>
      <c r="AA5" s="922"/>
      <c r="AB5" s="922"/>
      <c r="AC5" s="922"/>
      <c r="AD5" s="922"/>
      <c r="AE5" s="1060" t="str">
        <f>+A5</f>
        <v>For the  Fiscal Year Ended June 30, 2023</v>
      </c>
      <c r="AF5" s="922"/>
      <c r="AG5" s="922"/>
      <c r="AH5" s="922"/>
      <c r="AI5" s="922"/>
      <c r="AJ5" s="922"/>
      <c r="AK5" s="922"/>
      <c r="AL5" s="922"/>
      <c r="AM5" s="922"/>
      <c r="AN5" s="922"/>
      <c r="AO5" s="922"/>
      <c r="AP5" s="922"/>
    </row>
    <row r="6" spans="1:42" ht="15.95" customHeight="1">
      <c r="A6" s="1352" t="s">
        <v>1661</v>
      </c>
      <c r="B6" s="1352"/>
      <c r="C6" s="1352"/>
      <c r="D6" s="1352"/>
      <c r="E6" s="1352"/>
      <c r="F6" s="1352"/>
      <c r="G6" s="1352"/>
      <c r="H6" s="1352"/>
      <c r="I6" s="1352"/>
      <c r="K6" s="937" t="s">
        <v>1660</v>
      </c>
      <c r="L6" s="922"/>
      <c r="M6" s="922"/>
      <c r="N6" s="922"/>
      <c r="O6" s="922"/>
      <c r="P6" s="922"/>
      <c r="Q6" s="922"/>
      <c r="R6" s="922"/>
      <c r="S6" s="922"/>
      <c r="T6" s="922"/>
      <c r="U6" s="937" t="s">
        <v>1663</v>
      </c>
      <c r="V6" s="922"/>
      <c r="W6" s="922"/>
      <c r="X6" s="922"/>
      <c r="Y6" s="922"/>
      <c r="Z6" s="922"/>
      <c r="AA6" s="922"/>
      <c r="AB6" s="922"/>
      <c r="AC6" s="922"/>
      <c r="AE6" s="937" t="s">
        <v>454</v>
      </c>
      <c r="AF6" s="922"/>
      <c r="AG6" s="922"/>
      <c r="AH6" s="922"/>
      <c r="AI6" s="922"/>
      <c r="AJ6" s="922"/>
      <c r="AK6" s="922"/>
      <c r="AL6" s="922"/>
      <c r="AM6" s="922"/>
      <c r="AN6" s="922"/>
      <c r="AO6" s="922"/>
    </row>
    <row r="7" spans="1:42" ht="15.95" customHeight="1"/>
    <row r="8" spans="1:42" ht="15.95" customHeight="1"/>
    <row r="9" spans="1:42" ht="15.95" customHeight="1">
      <c r="E9" s="287"/>
    </row>
    <row r="10" spans="1:42" ht="15.95" customHeight="1">
      <c r="B10" s="924"/>
      <c r="C10" s="924"/>
      <c r="D10" s="924"/>
      <c r="E10" s="287" t="str">
        <f>+INPUT!CY5</f>
        <v>FAIRGROUNDS</v>
      </c>
      <c r="F10" s="287"/>
      <c r="G10" s="287"/>
      <c r="H10" s="287"/>
      <c r="I10" s="287" t="str">
        <f>+INPUT!DC5</f>
        <v>SHERIFF</v>
      </c>
      <c r="J10" s="287"/>
      <c r="L10" s="924"/>
      <c r="M10" s="287" t="str">
        <f>+INPUT!DD5</f>
        <v>TAX</v>
      </c>
      <c r="N10" s="924"/>
      <c r="O10" s="924"/>
      <c r="P10" s="924"/>
      <c r="Q10" s="287"/>
      <c r="R10" s="924"/>
      <c r="S10" s="924"/>
      <c r="T10" s="924"/>
      <c r="V10" s="924"/>
      <c r="W10" s="924"/>
      <c r="X10" s="924"/>
      <c r="Y10" s="924"/>
      <c r="Z10" s="924"/>
      <c r="AA10" s="924"/>
      <c r="AB10" s="924"/>
      <c r="AC10" s="287" t="str">
        <f>+INPUT!DP5</f>
        <v>SUBDIVISION</v>
      </c>
      <c r="AD10" s="924"/>
      <c r="AF10" s="924"/>
      <c r="AG10" s="924"/>
      <c r="AH10" s="924"/>
      <c r="AI10" s="924"/>
      <c r="AJ10" s="924"/>
      <c r="AK10" s="287" t="str">
        <f>+INPUT!DY5</f>
        <v>JUSTICE</v>
      </c>
      <c r="AL10" s="924"/>
      <c r="AM10" s="924"/>
      <c r="AN10" s="924"/>
      <c r="AO10" s="287" t="s">
        <v>315</v>
      </c>
      <c r="AP10" s="924"/>
    </row>
    <row r="11" spans="1:42" ht="15.95" customHeight="1">
      <c r="B11" s="924"/>
      <c r="C11" s="924"/>
      <c r="D11" s="924"/>
      <c r="E11" s="287" t="str">
        <f>+INPUT!CY6</f>
        <v>USERS</v>
      </c>
      <c r="G11" s="287" t="str">
        <f>+INPUT!DB6</f>
        <v>SHERIFF'S</v>
      </c>
      <c r="H11" s="287"/>
      <c r="I11" s="287" t="str">
        <f>+INPUT!DC6</f>
        <v>CIVIL</v>
      </c>
      <c r="L11" s="924"/>
      <c r="M11" s="287" t="str">
        <f>+INPUT!DD6</f>
        <v>DEED</v>
      </c>
      <c r="N11" s="924"/>
      <c r="O11" s="287" t="str">
        <f>+INPUT!DE6</f>
        <v>CORONER</v>
      </c>
      <c r="P11" s="924"/>
      <c r="Q11" s="287" t="str">
        <f>+INPUT!DJ6</f>
        <v>ESTATE</v>
      </c>
      <c r="R11" s="924"/>
      <c r="S11" s="287" t="str">
        <f>+INPUT!DL6</f>
        <v>CLERK OF</v>
      </c>
      <c r="T11" s="924"/>
      <c r="V11" s="924"/>
      <c r="W11" s="287" t="str">
        <f>+INPUT!DN6</f>
        <v>RESTITUTION</v>
      </c>
      <c r="Y11" s="287" t="str">
        <f>+INPUT!DQ6</f>
        <v>SPECIAL</v>
      </c>
      <c r="Z11" s="287"/>
      <c r="AA11" s="287"/>
      <c r="AB11" s="287"/>
      <c r="AC11" s="287" t="str">
        <f>+INPUT!DP6</f>
        <v>IMPRV</v>
      </c>
      <c r="AD11" s="924"/>
      <c r="AF11" s="287"/>
      <c r="AG11" s="287"/>
      <c r="AH11" s="924"/>
      <c r="AI11" s="924"/>
      <c r="AJ11" s="924"/>
      <c r="AK11" s="287" t="str">
        <f>+INPUT!DY6</f>
        <v>COURT</v>
      </c>
      <c r="AL11" s="924"/>
      <c r="AM11" s="924"/>
      <c r="AN11" s="924"/>
      <c r="AO11" s="287" t="s">
        <v>2875</v>
      </c>
      <c r="AP11" s="924"/>
    </row>
    <row r="12" spans="1:42" ht="15.95" customHeight="1">
      <c r="B12" s="924"/>
      <c r="C12" s="290" t="str">
        <f>+INPUT!CW7</f>
        <v>LIBRARY</v>
      </c>
      <c r="D12" s="938"/>
      <c r="E12" s="290" t="str">
        <f>+INPUT!CY7</f>
        <v>FOUNDATION</v>
      </c>
      <c r="F12" s="938"/>
      <c r="G12" s="290" t="str">
        <f>+INPUT!DB7</f>
        <v>COMMISSARY</v>
      </c>
      <c r="H12" s="938"/>
      <c r="I12" s="290" t="str">
        <f>+INPUT!DC7</f>
        <v>TRUST</v>
      </c>
      <c r="L12" s="924"/>
      <c r="M12" s="290" t="str">
        <f>+INPUT!DD7</f>
        <v>LAND</v>
      </c>
      <c r="N12" s="924"/>
      <c r="O12" s="290" t="str">
        <f>+INPUT!DE7</f>
        <v>TRUST</v>
      </c>
      <c r="P12" s="924"/>
      <c r="Q12" s="290" t="str">
        <f>+INPUT!DJ7</f>
        <v>ADMINISTRATOR</v>
      </c>
      <c r="R12" s="924"/>
      <c r="S12" s="290" t="str">
        <f>+INPUT!DL7</f>
        <v>DISTRICT COURT</v>
      </c>
      <c r="T12" s="924"/>
      <c r="V12" s="924"/>
      <c r="W12" s="290" t="str">
        <f>+INPUT!DN7</f>
        <v>FUND</v>
      </c>
      <c r="Y12" s="290" t="str">
        <f>+INPUT!DQ7</f>
        <v>DISTRICTS</v>
      </c>
      <c r="Z12" s="924"/>
      <c r="AA12" s="290" t="str">
        <f>+INPUT!DR7</f>
        <v>SCHOOLS</v>
      </c>
      <c r="AB12" s="924"/>
      <c r="AC12" s="290" t="str">
        <f>+INPUT!DP7</f>
        <v>AGREMNT</v>
      </c>
      <c r="AF12" s="924"/>
      <c r="AG12" s="290" t="str">
        <f>+INPUT!DS7</f>
        <v>CITIES</v>
      </c>
      <c r="AH12" s="924"/>
      <c r="AI12" s="290" t="str">
        <f>+INPUT!DT7</f>
        <v>STATE</v>
      </c>
      <c r="AJ12" s="924"/>
      <c r="AK12" s="290" t="str">
        <f>+INPUT!DY7</f>
        <v>TRUST</v>
      </c>
      <c r="AL12" s="924"/>
      <c r="AM12" s="924"/>
      <c r="AN12" s="924"/>
      <c r="AO12" s="290" t="s">
        <v>540</v>
      </c>
      <c r="AP12" s="924"/>
    </row>
    <row r="13" spans="1:42" ht="15.95" customHeight="1">
      <c r="A13" s="925" t="s">
        <v>325</v>
      </c>
      <c r="B13" s="924"/>
      <c r="C13" s="287"/>
      <c r="D13" s="938"/>
      <c r="E13" s="924"/>
      <c r="F13" s="938"/>
      <c r="G13" s="924"/>
      <c r="H13" s="938"/>
      <c r="I13" s="924"/>
      <c r="K13" s="925" t="s">
        <v>325</v>
      </c>
      <c r="L13" s="924"/>
      <c r="M13" s="924"/>
      <c r="N13" s="924"/>
      <c r="O13" s="924"/>
      <c r="P13" s="924"/>
      <c r="Q13" s="924"/>
      <c r="R13" s="924"/>
      <c r="S13" s="924"/>
      <c r="T13" s="924"/>
      <c r="U13" s="925" t="s">
        <v>325</v>
      </c>
      <c r="V13" s="924"/>
      <c r="W13" s="924"/>
      <c r="Y13" s="924"/>
      <c r="Z13" s="924"/>
      <c r="AA13" s="924"/>
      <c r="AB13" s="924"/>
      <c r="AC13" s="924"/>
      <c r="AE13" s="925" t="s">
        <v>325</v>
      </c>
      <c r="AF13" s="924"/>
      <c r="AG13" s="924"/>
      <c r="AH13" s="924"/>
      <c r="AI13" s="924"/>
      <c r="AJ13" s="924"/>
      <c r="AK13" s="924"/>
      <c r="AL13" s="924"/>
      <c r="AM13" s="924"/>
      <c r="AN13" s="924"/>
      <c r="AO13" s="303"/>
      <c r="AP13" s="924"/>
    </row>
    <row r="14" spans="1:42" ht="15.95" customHeight="1">
      <c r="A14" s="920" t="s">
        <v>2865</v>
      </c>
      <c r="B14" s="924"/>
      <c r="C14" s="292">
        <f>+INPUT!CW10</f>
        <v>3888070</v>
      </c>
      <c r="D14" s="936"/>
      <c r="E14" s="292">
        <f>+INPUT!CY10</f>
        <v>0</v>
      </c>
      <c r="F14" s="936"/>
      <c r="G14" s="292">
        <f>+INPUT!DB10</f>
        <v>0</v>
      </c>
      <c r="H14" s="936"/>
      <c r="I14" s="292">
        <f>+INPUT!DC10</f>
        <v>0</v>
      </c>
      <c r="K14" s="920" t="s">
        <v>2865</v>
      </c>
      <c r="L14" s="924"/>
      <c r="M14" s="292">
        <f>+INPUT!DD10</f>
        <v>0</v>
      </c>
      <c r="N14" s="924"/>
      <c r="O14" s="292">
        <f>+INPUT!DE10</f>
        <v>0</v>
      </c>
      <c r="P14" s="924"/>
      <c r="Q14" s="292">
        <f>+INPUT!DJ10</f>
        <v>0</v>
      </c>
      <c r="R14" s="924"/>
      <c r="S14" s="292">
        <f>+INPUT!DL10</f>
        <v>0</v>
      </c>
      <c r="T14" s="924"/>
      <c r="U14" s="920" t="s">
        <v>2865</v>
      </c>
      <c r="V14" s="924"/>
      <c r="W14" s="292">
        <f>+INPUT!DN10</f>
        <v>0</v>
      </c>
      <c r="Y14" s="292">
        <f>+INPUT!DQ10</f>
        <v>3698257</v>
      </c>
      <c r="Z14" s="936"/>
      <c r="AA14" s="292">
        <f>+INPUT!DR10</f>
        <v>51771391</v>
      </c>
      <c r="AB14" s="936"/>
      <c r="AC14" s="292">
        <f>+INPUT!DP10</f>
        <v>0</v>
      </c>
      <c r="AE14" s="920" t="s">
        <v>2865</v>
      </c>
      <c r="AF14" s="936"/>
      <c r="AG14" s="292">
        <f>+INPUT!DS10</f>
        <v>30562981</v>
      </c>
      <c r="AH14" s="924"/>
      <c r="AI14" s="292">
        <f>+INPUT!DT10</f>
        <v>17403903</v>
      </c>
      <c r="AJ14" s="936"/>
      <c r="AK14" s="292">
        <f>+INPUT!DY10</f>
        <v>0</v>
      </c>
      <c r="AL14" s="936"/>
      <c r="AM14" s="936"/>
      <c r="AN14" s="936"/>
      <c r="AO14" s="292">
        <f>+SUM(B14:AN14)</f>
        <v>107324602</v>
      </c>
      <c r="AP14" s="936"/>
    </row>
    <row r="15" spans="1:42" ht="15.95" customHeight="1">
      <c r="A15" s="920" t="s">
        <v>444</v>
      </c>
      <c r="B15" s="924"/>
      <c r="C15" s="294">
        <f>+INPUT!CW12</f>
        <v>235343</v>
      </c>
      <c r="D15" s="936"/>
      <c r="E15" s="294">
        <f>+INPUT!CY12</f>
        <v>0</v>
      </c>
      <c r="F15" s="936"/>
      <c r="G15" s="294">
        <f>+INPUT!DB12</f>
        <v>0</v>
      </c>
      <c r="H15" s="936"/>
      <c r="I15" s="294">
        <f>+INPUT!DC12</f>
        <v>0</v>
      </c>
      <c r="K15" s="920" t="s">
        <v>444</v>
      </c>
      <c r="L15" s="924"/>
      <c r="M15" s="294">
        <f>+INPUT!DD12</f>
        <v>0</v>
      </c>
      <c r="N15" s="924"/>
      <c r="O15" s="294">
        <f>+INPUT!DE12</f>
        <v>0</v>
      </c>
      <c r="P15" s="924"/>
      <c r="Q15" s="294">
        <f>+INPUT!DJ12</f>
        <v>0</v>
      </c>
      <c r="R15" s="924"/>
      <c r="S15" s="294">
        <f>+INPUT!DL12</f>
        <v>0</v>
      </c>
      <c r="T15" s="924"/>
      <c r="U15" s="920" t="s">
        <v>444</v>
      </c>
      <c r="V15" s="924"/>
      <c r="W15" s="294">
        <f>+INPUT!DN12</f>
        <v>0</v>
      </c>
      <c r="Y15" s="294">
        <f>+INPUT!DQ12</f>
        <v>151548</v>
      </c>
      <c r="Z15" s="936"/>
      <c r="AA15" s="294">
        <f>+INPUT!DR12</f>
        <v>0</v>
      </c>
      <c r="AB15" s="936"/>
      <c r="AC15" s="294">
        <f>+INPUT!DP12</f>
        <v>0</v>
      </c>
      <c r="AE15" s="920" t="s">
        <v>444</v>
      </c>
      <c r="AF15" s="936"/>
      <c r="AG15" s="294">
        <f>+INPUT!DS12</f>
        <v>0</v>
      </c>
      <c r="AH15" s="924"/>
      <c r="AI15" s="294">
        <f>+INPUT!DT12</f>
        <v>0</v>
      </c>
      <c r="AJ15" s="936"/>
      <c r="AK15" s="294">
        <f>+INPUT!DY12</f>
        <v>0</v>
      </c>
      <c r="AL15" s="936"/>
      <c r="AM15" s="936"/>
      <c r="AN15" s="936"/>
      <c r="AO15" s="294">
        <f>+SUM(B15:AN15)</f>
        <v>386891</v>
      </c>
      <c r="AP15" s="936"/>
    </row>
    <row r="16" spans="1:42" ht="15.95" customHeight="1">
      <c r="A16" s="920" t="s">
        <v>974</v>
      </c>
      <c r="B16" s="924"/>
      <c r="C16" s="929">
        <f>+INPUT!CW15</f>
        <v>189819</v>
      </c>
      <c r="D16" s="936"/>
      <c r="E16" s="929">
        <f>+INPUT!CY15</f>
        <v>11675</v>
      </c>
      <c r="F16" s="936"/>
      <c r="G16" s="929">
        <f>+INPUT!DB15</f>
        <v>554703</v>
      </c>
      <c r="H16" s="936"/>
      <c r="I16" s="929">
        <f>+INPUT!DC15</f>
        <v>215485</v>
      </c>
      <c r="K16" s="920" t="s">
        <v>974</v>
      </c>
      <c r="L16" s="924"/>
      <c r="M16" s="929">
        <f>+INPUT!DD15</f>
        <v>0</v>
      </c>
      <c r="N16" s="924"/>
      <c r="O16" s="929">
        <f>+INPUT!DE15</f>
        <v>2117</v>
      </c>
      <c r="P16" s="924"/>
      <c r="Q16" s="929">
        <f>+INPUT!DJ15</f>
        <v>0</v>
      </c>
      <c r="R16" s="924"/>
      <c r="S16" s="929">
        <f>+INPUT!DL15</f>
        <v>825294</v>
      </c>
      <c r="T16" s="924"/>
      <c r="U16" s="920" t="s">
        <v>974</v>
      </c>
      <c r="V16" s="924"/>
      <c r="W16" s="929">
        <f>+INPUT!DN15</f>
        <v>168122</v>
      </c>
      <c r="Y16" s="929">
        <f>+INPUT!DQ15</f>
        <v>754424</v>
      </c>
      <c r="Z16" s="936"/>
      <c r="AA16" s="929">
        <f>+INPUT!DR15</f>
        <v>115979108</v>
      </c>
      <c r="AB16" s="936"/>
      <c r="AC16" s="929">
        <f>+INPUT!DP15</f>
        <v>23125</v>
      </c>
      <c r="AE16" s="920" t="s">
        <v>974</v>
      </c>
      <c r="AF16" s="936"/>
      <c r="AG16" s="929">
        <f>+INPUT!DS15</f>
        <v>8612</v>
      </c>
      <c r="AH16" s="924"/>
      <c r="AI16" s="929">
        <f>+INPUT!DT15</f>
        <v>9488085</v>
      </c>
      <c r="AJ16" s="936"/>
      <c r="AK16" s="929">
        <f>+INPUT!DY15</f>
        <v>879061</v>
      </c>
      <c r="AL16" s="936"/>
      <c r="AM16" s="936"/>
      <c r="AN16" s="936"/>
      <c r="AO16" s="294">
        <f>+SUM(B16:AN16)</f>
        <v>129099630</v>
      </c>
      <c r="AP16" s="936"/>
    </row>
    <row r="17" spans="1:48" ht="15.95" customHeight="1">
      <c r="A17" s="920" t="s">
        <v>2864</v>
      </c>
      <c r="B17" s="924"/>
      <c r="C17" s="929"/>
      <c r="D17" s="929"/>
      <c r="E17" s="929"/>
      <c r="F17" s="929"/>
      <c r="G17" s="929"/>
      <c r="H17" s="929"/>
      <c r="I17" s="929"/>
      <c r="K17" s="920" t="s">
        <v>2864</v>
      </c>
      <c r="L17" s="924"/>
      <c r="M17" s="929"/>
      <c r="N17" s="924"/>
      <c r="O17" s="929"/>
      <c r="P17" s="924"/>
      <c r="Q17" s="929"/>
      <c r="R17" s="924"/>
      <c r="S17" s="929"/>
      <c r="T17" s="924"/>
      <c r="U17" s="920" t="s">
        <v>2864</v>
      </c>
      <c r="V17" s="924"/>
      <c r="W17" s="929"/>
      <c r="Y17" s="929"/>
      <c r="Z17" s="929"/>
      <c r="AA17" s="929"/>
      <c r="AB17" s="929"/>
      <c r="AC17" s="929"/>
      <c r="AE17" s="920" t="s">
        <v>2864</v>
      </c>
      <c r="AF17" s="929"/>
      <c r="AG17" s="929"/>
      <c r="AH17" s="924"/>
      <c r="AI17" s="929"/>
      <c r="AJ17" s="929"/>
      <c r="AK17" s="929"/>
      <c r="AL17" s="929"/>
      <c r="AM17" s="929"/>
      <c r="AN17" s="929"/>
      <c r="AO17" s="929"/>
      <c r="AP17" s="929"/>
    </row>
    <row r="18" spans="1:48" ht="15.95" customHeight="1">
      <c r="A18" s="920" t="s">
        <v>2867</v>
      </c>
      <c r="B18" s="924"/>
      <c r="C18" s="929">
        <f>ROUND(+INPUT!CW16/0.97,0)</f>
        <v>106974</v>
      </c>
      <c r="D18" s="929"/>
      <c r="E18" s="929">
        <f>ROUND(+INPUT!CY16/0.97,0)</f>
        <v>1423</v>
      </c>
      <c r="F18" s="929"/>
      <c r="G18" s="929">
        <f>ROUND(+INPUT!DB16/0.97,0)</f>
        <v>0</v>
      </c>
      <c r="H18" s="929"/>
      <c r="I18" s="929">
        <f>ROUND(+INPUT!DC16/0.97,0)</f>
        <v>0</v>
      </c>
      <c r="K18" s="920" t="s">
        <v>2867</v>
      </c>
      <c r="L18" s="924"/>
      <c r="M18" s="929">
        <f>ROUND(+INPUT!DD16/0.97,0)</f>
        <v>0</v>
      </c>
      <c r="N18" s="924"/>
      <c r="O18" s="929">
        <f>ROUND(+INPUT!DE16/0.97,0)</f>
        <v>0</v>
      </c>
      <c r="P18" s="924"/>
      <c r="Q18" s="929">
        <f>ROUND(+INPUT!DJ16/0.97,0)</f>
        <v>0</v>
      </c>
      <c r="R18" s="924"/>
      <c r="S18" s="929">
        <f>ROUND(+INPUT!DL16/0.97,0)</f>
        <v>0</v>
      </c>
      <c r="T18" s="924"/>
      <c r="U18" s="920" t="s">
        <v>2867</v>
      </c>
      <c r="V18" s="924"/>
      <c r="W18" s="929">
        <f>ROUND(+INPUT!DN16/0.97,0)</f>
        <v>0</v>
      </c>
      <c r="Y18" s="929">
        <v>0</v>
      </c>
      <c r="Z18" s="929"/>
      <c r="AA18" s="929">
        <v>0</v>
      </c>
      <c r="AB18" s="929"/>
      <c r="AC18" s="929">
        <f>ROUND(+INPUT!DP16/0.97,0)</f>
        <v>442</v>
      </c>
      <c r="AE18" s="920" t="s">
        <v>2867</v>
      </c>
      <c r="AF18" s="929"/>
      <c r="AG18" s="929">
        <f>ROUND(+INPUT!DS16/0.97,0)</f>
        <v>148</v>
      </c>
      <c r="AH18" s="924"/>
      <c r="AI18" s="929">
        <f>ROUND(+INPUT!DT16/0.97,0)</f>
        <v>22640</v>
      </c>
      <c r="AJ18" s="929"/>
      <c r="AK18" s="929">
        <f>ROUND(+INPUT!DY16/0.97,0)</f>
        <v>0</v>
      </c>
      <c r="AL18" s="929"/>
      <c r="AM18" s="929"/>
      <c r="AN18" s="929"/>
      <c r="AO18" s="929">
        <f>+SUM(B18:AN18)</f>
        <v>131627</v>
      </c>
      <c r="AP18" s="929"/>
    </row>
    <row r="19" spans="1:48" ht="15.95" customHeight="1">
      <c r="A19" s="920" t="s">
        <v>2868</v>
      </c>
      <c r="B19" s="924"/>
      <c r="C19" s="318">
        <f>ROUND(-C18*0.03,0)</f>
        <v>-3209</v>
      </c>
      <c r="D19" s="929"/>
      <c r="E19" s="318">
        <f>ROUND(-E18*0.03,0)</f>
        <v>-43</v>
      </c>
      <c r="F19" s="929"/>
      <c r="G19" s="318">
        <f t="shared" ref="G19:I19" si="0">ROUND(-G18*0.03,0)</f>
        <v>0</v>
      </c>
      <c r="H19" s="929"/>
      <c r="I19" s="318">
        <f t="shared" si="0"/>
        <v>0</v>
      </c>
      <c r="K19" s="920" t="s">
        <v>2868</v>
      </c>
      <c r="L19" s="924"/>
      <c r="M19" s="318">
        <f>ROUND(-M18*0.03,0)</f>
        <v>0</v>
      </c>
      <c r="N19" s="924"/>
      <c r="O19" s="318">
        <f>ROUND(-O18*0.03,0)</f>
        <v>0</v>
      </c>
      <c r="P19" s="924"/>
      <c r="Q19" s="318">
        <f>ROUND(-Q18*0.03,0)</f>
        <v>0</v>
      </c>
      <c r="R19" s="924"/>
      <c r="S19" s="318">
        <f>ROUND(-S18*0.03,0)</f>
        <v>0</v>
      </c>
      <c r="T19" s="924"/>
      <c r="U19" s="920" t="s">
        <v>2868</v>
      </c>
      <c r="V19" s="924"/>
      <c r="W19" s="318">
        <f>ROUND(-W18*0.03,0)</f>
        <v>0</v>
      </c>
      <c r="Y19" s="318">
        <f>ROUND(-Y18*0.03,0)</f>
        <v>0</v>
      </c>
      <c r="Z19" s="929"/>
      <c r="AA19" s="318">
        <f t="shared" ref="AA19" si="1">ROUND(-AA18*0.03,0)</f>
        <v>0</v>
      </c>
      <c r="AB19" s="929"/>
      <c r="AC19" s="318">
        <f>ROUND(-AC18*0.03,0)</f>
        <v>-13</v>
      </c>
      <c r="AE19" s="920" t="s">
        <v>2868</v>
      </c>
      <c r="AF19" s="929"/>
      <c r="AG19" s="318">
        <f t="shared" ref="AG19" si="2">ROUND(-AG18*0.03,0)</f>
        <v>-4</v>
      </c>
      <c r="AH19" s="924"/>
      <c r="AI19" s="318">
        <f>ROUND(-AI18*0.03,0)</f>
        <v>-679</v>
      </c>
      <c r="AJ19" s="929"/>
      <c r="AK19" s="318">
        <f>ROUND(-AK18*0.03,0)</f>
        <v>0</v>
      </c>
      <c r="AL19" s="929"/>
      <c r="AM19" s="929"/>
      <c r="AN19" s="929"/>
      <c r="AO19" s="318">
        <f>+SUM(B19:AN19)</f>
        <v>-3948</v>
      </c>
      <c r="AP19" s="929"/>
    </row>
    <row r="20" spans="1:48" ht="15.95" customHeight="1">
      <c r="A20" s="920" t="s">
        <v>2869</v>
      </c>
      <c r="B20" s="924"/>
      <c r="C20" s="294">
        <f>+C18+C19</f>
        <v>103765</v>
      </c>
      <c r="D20" s="929"/>
      <c r="E20" s="294">
        <f>+E18+E19</f>
        <v>1380</v>
      </c>
      <c r="F20" s="929"/>
      <c r="G20" s="294">
        <f t="shared" ref="G20:I20" si="3">+G18+G19</f>
        <v>0</v>
      </c>
      <c r="H20" s="929"/>
      <c r="I20" s="294">
        <f t="shared" si="3"/>
        <v>0</v>
      </c>
      <c r="K20" s="920" t="s">
        <v>2869</v>
      </c>
      <c r="L20" s="924"/>
      <c r="M20" s="294">
        <f>+M18+M19</f>
        <v>0</v>
      </c>
      <c r="N20" s="924"/>
      <c r="O20" s="294">
        <f>+O18+O19</f>
        <v>0</v>
      </c>
      <c r="P20" s="924"/>
      <c r="Q20" s="294">
        <f>+Q18+Q19</f>
        <v>0</v>
      </c>
      <c r="R20" s="924"/>
      <c r="S20" s="294">
        <f>+S18+S19</f>
        <v>0</v>
      </c>
      <c r="T20" s="924"/>
      <c r="U20" s="920" t="s">
        <v>2869</v>
      </c>
      <c r="V20" s="924"/>
      <c r="W20" s="294">
        <f>+W18+W19</f>
        <v>0</v>
      </c>
      <c r="Y20" s="294">
        <f>+Y18+Y19</f>
        <v>0</v>
      </c>
      <c r="Z20" s="929"/>
      <c r="AA20" s="294">
        <f t="shared" ref="AA20" si="4">+AA18+AA19</f>
        <v>0</v>
      </c>
      <c r="AB20" s="929"/>
      <c r="AC20" s="294">
        <f>+AC18+AC19</f>
        <v>429</v>
      </c>
      <c r="AE20" s="920" t="s">
        <v>2869</v>
      </c>
      <c r="AF20" s="929"/>
      <c r="AG20" s="294">
        <f>+AG18+AG19</f>
        <v>144</v>
      </c>
      <c r="AH20" s="924"/>
      <c r="AI20" s="294">
        <f>+AI18+AI19</f>
        <v>21961</v>
      </c>
      <c r="AJ20" s="929"/>
      <c r="AK20" s="294">
        <f>+AK18+AK19</f>
        <v>0</v>
      </c>
      <c r="AL20" s="929"/>
      <c r="AM20" s="929"/>
      <c r="AN20" s="929"/>
      <c r="AO20" s="294">
        <f>+AO18+AO19</f>
        <v>127679</v>
      </c>
      <c r="AP20" s="929"/>
      <c r="AQ20" s="926">
        <f>+'Sys INPUT'!DW16</f>
        <v>5732893</v>
      </c>
    </row>
    <row r="21" spans="1:48" ht="12" customHeight="1">
      <c r="B21" s="924"/>
      <c r="C21" s="939"/>
      <c r="D21" s="935"/>
      <c r="E21" s="939"/>
      <c r="F21" s="935"/>
      <c r="G21" s="939"/>
      <c r="H21" s="935"/>
      <c r="I21" s="939"/>
      <c r="L21" s="924"/>
      <c r="M21" s="939"/>
      <c r="N21" s="924"/>
      <c r="O21" s="939"/>
      <c r="P21" s="924"/>
      <c r="Q21" s="939"/>
      <c r="R21" s="924"/>
      <c r="S21" s="939"/>
      <c r="T21" s="924"/>
      <c r="V21" s="924"/>
      <c r="W21" s="939"/>
      <c r="Y21" s="939"/>
      <c r="Z21" s="935"/>
      <c r="AA21" s="939"/>
      <c r="AB21" s="935"/>
      <c r="AC21" s="939"/>
      <c r="AF21" s="935"/>
      <c r="AG21" s="939"/>
      <c r="AH21" s="924"/>
      <c r="AI21" s="939"/>
      <c r="AJ21" s="935"/>
      <c r="AK21" s="939"/>
      <c r="AL21" s="935"/>
      <c r="AM21" s="935"/>
      <c r="AN21" s="935"/>
      <c r="AO21" s="939"/>
      <c r="AP21" s="935"/>
    </row>
    <row r="22" spans="1:48" ht="15.95" customHeight="1">
      <c r="A22" s="925" t="s">
        <v>2863</v>
      </c>
      <c r="B22" s="924"/>
      <c r="C22" s="940">
        <f>+C14+C15+C16+C20</f>
        <v>4416997</v>
      </c>
      <c r="D22" s="933"/>
      <c r="E22" s="940">
        <f>+E14+E15+E16+E20</f>
        <v>13055</v>
      </c>
      <c r="F22" s="933"/>
      <c r="G22" s="940">
        <f t="shared" ref="G22:I22" si="5">+G14+G15+G16+G20</f>
        <v>554703</v>
      </c>
      <c r="H22" s="933"/>
      <c r="I22" s="940">
        <f t="shared" si="5"/>
        <v>215485</v>
      </c>
      <c r="K22" s="925" t="s">
        <v>2863</v>
      </c>
      <c r="L22" s="924"/>
      <c r="M22" s="940">
        <f>+M14+M15+M16+M20</f>
        <v>0</v>
      </c>
      <c r="N22" s="924"/>
      <c r="O22" s="940">
        <f t="shared" ref="O22" si="6">+O14+O15+O16+O20</f>
        <v>2117</v>
      </c>
      <c r="P22" s="924"/>
      <c r="Q22" s="940">
        <f t="shared" ref="Q22" si="7">+Q14+Q15+Q16+Q20</f>
        <v>0</v>
      </c>
      <c r="R22" s="924"/>
      <c r="S22" s="940">
        <f t="shared" ref="S22" si="8">+S14+S15+S16+S20</f>
        <v>825294</v>
      </c>
      <c r="T22" s="924"/>
      <c r="U22" s="925" t="s">
        <v>2863</v>
      </c>
      <c r="V22" s="924"/>
      <c r="W22" s="940">
        <f>+W14+W15+W16+W20</f>
        <v>168122</v>
      </c>
      <c r="Y22" s="940">
        <f>+Y14+Y15+Y16+Y20</f>
        <v>4604229</v>
      </c>
      <c r="Z22" s="933"/>
      <c r="AA22" s="940">
        <f>+AA14+AA15+AA16+AA20</f>
        <v>167750499</v>
      </c>
      <c r="AB22" s="933"/>
      <c r="AC22" s="940">
        <f>+AC14+AC15+AC16+AC20</f>
        <v>23554</v>
      </c>
      <c r="AE22" s="925" t="s">
        <v>2863</v>
      </c>
      <c r="AF22" s="933"/>
      <c r="AG22" s="940">
        <f t="shared" ref="AG22" si="9">+AG14+AG15+AG16+AG20</f>
        <v>30571737</v>
      </c>
      <c r="AH22" s="924"/>
      <c r="AI22" s="940">
        <f t="shared" ref="AI22" si="10">+AI14+AI15+AI16+AI20</f>
        <v>26913949</v>
      </c>
      <c r="AJ22" s="933"/>
      <c r="AK22" s="940">
        <f t="shared" ref="AK22" si="11">+AK14+AK15+AK16+AK20</f>
        <v>879061</v>
      </c>
      <c r="AL22" s="933"/>
      <c r="AM22" s="933"/>
      <c r="AN22" s="933"/>
      <c r="AO22" s="940">
        <f t="shared" ref="AO22" si="12">+AO14+AO15+AO16+AO20</f>
        <v>236938802</v>
      </c>
      <c r="AP22" s="933"/>
    </row>
    <row r="23" spans="1:48" ht="15.95" customHeight="1">
      <c r="B23" s="924"/>
      <c r="C23" s="929"/>
      <c r="D23" s="929"/>
      <c r="E23" s="929"/>
      <c r="F23" s="929"/>
      <c r="G23" s="929"/>
      <c r="H23" s="929"/>
      <c r="I23" s="929"/>
      <c r="L23" s="924"/>
      <c r="M23" s="929"/>
      <c r="N23" s="924"/>
      <c r="O23" s="929"/>
      <c r="P23" s="924"/>
      <c r="Q23" s="929"/>
      <c r="R23" s="924"/>
      <c r="S23" s="929"/>
      <c r="T23" s="924"/>
      <c r="V23" s="924"/>
      <c r="W23" s="929"/>
      <c r="Y23" s="929"/>
      <c r="Z23" s="929"/>
      <c r="AA23" s="929"/>
      <c r="AB23" s="929"/>
      <c r="AC23" s="929"/>
      <c r="AF23" s="929"/>
      <c r="AG23" s="929"/>
      <c r="AH23" s="924"/>
      <c r="AI23" s="929"/>
      <c r="AJ23" s="929"/>
      <c r="AK23" s="929"/>
      <c r="AL23" s="929"/>
      <c r="AM23" s="929"/>
      <c r="AN23" s="929"/>
      <c r="AO23" s="929"/>
      <c r="AP23" s="929"/>
    </row>
    <row r="24" spans="1:48" ht="15.95" customHeight="1">
      <c r="A24" s="925" t="s">
        <v>593</v>
      </c>
      <c r="B24" s="924"/>
      <c r="C24" s="929"/>
      <c r="D24" s="929"/>
      <c r="E24" s="929"/>
      <c r="F24" s="929"/>
      <c r="G24" s="929"/>
      <c r="H24" s="929"/>
      <c r="I24" s="929"/>
      <c r="K24" s="925" t="s">
        <v>593</v>
      </c>
      <c r="L24" s="924"/>
      <c r="M24" s="929"/>
      <c r="N24" s="924"/>
      <c r="O24" s="929"/>
      <c r="P24" s="924"/>
      <c r="Q24" s="929"/>
      <c r="R24" s="924"/>
      <c r="S24" s="929"/>
      <c r="T24" s="924"/>
      <c r="U24" s="925" t="s">
        <v>593</v>
      </c>
      <c r="V24" s="924"/>
      <c r="W24" s="929"/>
      <c r="Y24" s="929"/>
      <c r="Z24" s="929"/>
      <c r="AA24" s="929"/>
      <c r="AB24" s="929"/>
      <c r="AC24" s="929"/>
      <c r="AE24" s="925" t="s">
        <v>593</v>
      </c>
      <c r="AF24" s="929"/>
      <c r="AG24" s="929"/>
      <c r="AH24" s="924"/>
      <c r="AI24" s="929"/>
      <c r="AJ24" s="929"/>
      <c r="AK24" s="929"/>
      <c r="AL24" s="929"/>
      <c r="AM24" s="929"/>
      <c r="AN24" s="929"/>
      <c r="AO24" s="929"/>
      <c r="AP24" s="929"/>
    </row>
    <row r="25" spans="1:48" ht="15.95" customHeight="1">
      <c r="A25" s="920" t="s">
        <v>3098</v>
      </c>
      <c r="B25" s="924"/>
      <c r="C25" s="929">
        <v>0</v>
      </c>
      <c r="D25" s="929"/>
      <c r="E25" s="929">
        <v>0</v>
      </c>
      <c r="F25" s="929"/>
      <c r="G25" s="929">
        <v>0</v>
      </c>
      <c r="H25" s="929"/>
      <c r="I25" s="929">
        <v>0</v>
      </c>
      <c r="K25" s="920" t="s">
        <v>3098</v>
      </c>
      <c r="L25" s="924"/>
      <c r="M25" s="929">
        <v>0</v>
      </c>
      <c r="N25" s="924"/>
      <c r="O25" s="929">
        <v>0</v>
      </c>
      <c r="P25" s="924"/>
      <c r="Q25" s="929">
        <v>0</v>
      </c>
      <c r="R25" s="924"/>
      <c r="S25" s="929">
        <v>0</v>
      </c>
      <c r="T25" s="924"/>
      <c r="U25" s="920" t="s">
        <v>3098</v>
      </c>
      <c r="V25" s="924"/>
      <c r="W25" s="929">
        <v>0</v>
      </c>
      <c r="Y25" s="929">
        <f>+Y22-'Cust Funds NP'!Y37+'Cust Funds Chg in NP'!Y67</f>
        <v>4619930</v>
      </c>
      <c r="Z25" s="929"/>
      <c r="AA25" s="929">
        <f>+AA22-'Cust Funds NP'!AA37+'Cust Funds Chg in NP'!AA67-AA68</f>
        <v>167827654</v>
      </c>
      <c r="AB25" s="929"/>
      <c r="AC25" s="929">
        <v>0</v>
      </c>
      <c r="AE25" s="920" t="s">
        <v>3098</v>
      </c>
      <c r="AF25" s="929"/>
      <c r="AG25" s="929">
        <v>0</v>
      </c>
      <c r="AH25" s="924"/>
      <c r="AI25" s="929">
        <v>0</v>
      </c>
      <c r="AJ25" s="929"/>
      <c r="AK25" s="929">
        <v>0</v>
      </c>
      <c r="AL25" s="929"/>
      <c r="AM25" s="929"/>
      <c r="AN25" s="929"/>
      <c r="AO25" s="929">
        <f>+SUM(B25:AN25)</f>
        <v>172447584</v>
      </c>
      <c r="AP25" s="929"/>
    </row>
    <row r="26" spans="1:48" ht="15.95" customHeight="1">
      <c r="A26" s="920" t="s">
        <v>2862</v>
      </c>
      <c r="B26" s="924"/>
      <c r="C26" s="929">
        <f>+INPUT!CW39</f>
        <v>3961847</v>
      </c>
      <c r="D26" s="929"/>
      <c r="E26" s="929">
        <f>+INPUT!CY39</f>
        <v>25951</v>
      </c>
      <c r="F26" s="929"/>
      <c r="G26" s="929">
        <f>+INPUT!DB39</f>
        <v>561603</v>
      </c>
      <c r="H26" s="929"/>
      <c r="I26" s="929">
        <f>+INPUT!DC39</f>
        <v>231220</v>
      </c>
      <c r="K26" s="920" t="s">
        <v>2862</v>
      </c>
      <c r="L26" s="924"/>
      <c r="M26" s="929">
        <f>+INPUT!DD39</f>
        <v>0</v>
      </c>
      <c r="N26" s="924"/>
      <c r="O26" s="929">
        <f>+INPUT!DE39</f>
        <v>0</v>
      </c>
      <c r="P26" s="924"/>
      <c r="Q26" s="929">
        <f>+INPUT!DJ39</f>
        <v>0</v>
      </c>
      <c r="R26" s="924"/>
      <c r="S26" s="929">
        <f>+INPUT!DL39</f>
        <v>400299</v>
      </c>
      <c r="T26" s="924"/>
      <c r="U26" s="920" t="s">
        <v>2862</v>
      </c>
      <c r="V26" s="924"/>
      <c r="W26" s="929">
        <f>+INPUT!DN39</f>
        <v>192303</v>
      </c>
      <c r="Y26" s="929"/>
      <c r="Z26" s="929"/>
      <c r="AA26" s="929"/>
      <c r="AB26" s="929"/>
      <c r="AC26" s="929">
        <f>+INPUT!DP39</f>
        <v>0</v>
      </c>
      <c r="AE26" s="920" t="s">
        <v>2862</v>
      </c>
      <c r="AF26" s="929"/>
      <c r="AG26" s="929">
        <f>+INPUT!DS39</f>
        <v>30644291</v>
      </c>
      <c r="AH26" s="924"/>
      <c r="AI26" s="929">
        <f>+INPUT!DT39</f>
        <v>26717967</v>
      </c>
      <c r="AJ26" s="929"/>
      <c r="AK26" s="929">
        <f>+INPUT!DY39</f>
        <v>835054</v>
      </c>
      <c r="AL26" s="929"/>
      <c r="AM26" s="929"/>
      <c r="AN26" s="929"/>
      <c r="AO26" s="929">
        <f>+SUM(B26:AN26)</f>
        <v>63570535</v>
      </c>
      <c r="AP26" s="929"/>
    </row>
    <row r="27" spans="1:48" ht="12.75" customHeight="1">
      <c r="B27" s="924"/>
      <c r="C27" s="939"/>
      <c r="D27" s="935"/>
      <c r="E27" s="939"/>
      <c r="F27" s="935"/>
      <c r="G27" s="939"/>
      <c r="H27" s="935"/>
      <c r="I27" s="939"/>
      <c r="L27" s="924"/>
      <c r="M27" s="939"/>
      <c r="N27" s="924"/>
      <c r="O27" s="939"/>
      <c r="P27" s="924"/>
      <c r="Q27" s="939"/>
      <c r="R27" s="924"/>
      <c r="S27" s="939"/>
      <c r="T27" s="924"/>
      <c r="V27" s="924"/>
      <c r="W27" s="939"/>
      <c r="Y27" s="939"/>
      <c r="Z27" s="935"/>
      <c r="AA27" s="939"/>
      <c r="AB27" s="935"/>
      <c r="AC27" s="939"/>
      <c r="AF27" s="935"/>
      <c r="AG27" s="939"/>
      <c r="AH27" s="924"/>
      <c r="AI27" s="939"/>
      <c r="AJ27" s="935"/>
      <c r="AK27" s="939"/>
      <c r="AL27" s="935"/>
      <c r="AM27" s="935"/>
      <c r="AN27" s="935"/>
      <c r="AO27" s="939"/>
      <c r="AP27" s="935"/>
    </row>
    <row r="28" spans="1:48" ht="15.95" customHeight="1">
      <c r="A28" s="925" t="s">
        <v>2861</v>
      </c>
      <c r="B28" s="924"/>
      <c r="C28" s="934">
        <f>SUM(C25:C26)</f>
        <v>3961847</v>
      </c>
      <c r="D28" s="933"/>
      <c r="E28" s="934">
        <f>SUM(E25:E26)</f>
        <v>25951</v>
      </c>
      <c r="F28" s="933"/>
      <c r="G28" s="934">
        <f>SUM(G25:G26)</f>
        <v>561603</v>
      </c>
      <c r="H28" s="933"/>
      <c r="I28" s="934">
        <f>SUM(I25:I26)</f>
        <v>231220</v>
      </c>
      <c r="K28" s="925" t="s">
        <v>2861</v>
      </c>
      <c r="L28" s="924"/>
      <c r="M28" s="934">
        <f>SUM(M25:M26)</f>
        <v>0</v>
      </c>
      <c r="N28" s="924"/>
      <c r="O28" s="934">
        <f>SUM(O25:O26)</f>
        <v>0</v>
      </c>
      <c r="P28" s="924"/>
      <c r="Q28" s="934">
        <f>SUM(Q25:Q26)</f>
        <v>0</v>
      </c>
      <c r="R28" s="924"/>
      <c r="S28" s="934">
        <f>SUM(S25:S26)</f>
        <v>400299</v>
      </c>
      <c r="T28" s="924"/>
      <c r="U28" s="925" t="s">
        <v>2861</v>
      </c>
      <c r="V28" s="924"/>
      <c r="W28" s="934">
        <f>SUM(W25:W26)</f>
        <v>192303</v>
      </c>
      <c r="Y28" s="934">
        <f>SUM(Y25:Y26)</f>
        <v>4619930</v>
      </c>
      <c r="Z28" s="933"/>
      <c r="AA28" s="934">
        <f>SUM(AA25:AA26)</f>
        <v>167827654</v>
      </c>
      <c r="AB28" s="933"/>
      <c r="AC28" s="934">
        <f>SUM(AC25:AC26)</f>
        <v>0</v>
      </c>
      <c r="AE28" s="925" t="s">
        <v>2861</v>
      </c>
      <c r="AF28" s="933"/>
      <c r="AG28" s="934">
        <f>SUM(AG25:AG26)</f>
        <v>30644291</v>
      </c>
      <c r="AH28" s="924"/>
      <c r="AI28" s="934">
        <f>SUM(AI25:AI26)</f>
        <v>26717967</v>
      </c>
      <c r="AJ28" s="933"/>
      <c r="AK28" s="934">
        <f>SUM(AK25:AK26)</f>
        <v>835054</v>
      </c>
      <c r="AL28" s="933"/>
      <c r="AM28" s="933"/>
      <c r="AN28" s="933"/>
      <c r="AO28" s="934">
        <f>SUM(AO25:AO26)</f>
        <v>236018119</v>
      </c>
      <c r="AP28" s="933"/>
    </row>
    <row r="29" spans="1:48" ht="15.95" customHeight="1">
      <c r="B29" s="924"/>
      <c r="C29" s="929"/>
      <c r="D29" s="929"/>
      <c r="E29" s="929"/>
      <c r="F29" s="929"/>
      <c r="G29" s="929"/>
      <c r="H29" s="929"/>
      <c r="I29" s="929"/>
      <c r="L29" s="924"/>
      <c r="M29" s="929"/>
      <c r="N29" s="924"/>
      <c r="O29" s="929"/>
      <c r="P29" s="924"/>
      <c r="Q29" s="929"/>
      <c r="R29" s="924"/>
      <c r="S29" s="929"/>
      <c r="T29" s="924"/>
      <c r="V29" s="924"/>
      <c r="W29" s="929"/>
      <c r="Y29" s="929"/>
      <c r="Z29" s="929"/>
      <c r="AA29" s="929"/>
      <c r="AB29" s="929"/>
      <c r="AC29" s="929"/>
      <c r="AF29" s="929"/>
      <c r="AG29" s="929"/>
      <c r="AH29" s="924"/>
      <c r="AI29" s="929"/>
      <c r="AJ29" s="929"/>
      <c r="AK29" s="929"/>
      <c r="AL29" s="929"/>
      <c r="AM29" s="929"/>
      <c r="AN29" s="929"/>
      <c r="AO29" s="929"/>
      <c r="AP29" s="929"/>
    </row>
    <row r="30" spans="1:48" ht="15.95" customHeight="1">
      <c r="A30" s="925" t="s">
        <v>2860</v>
      </c>
      <c r="B30" s="924"/>
      <c r="C30" s="933">
        <f>SUM(C22-C28)</f>
        <v>455150</v>
      </c>
      <c r="D30" s="933"/>
      <c r="E30" s="933">
        <f>SUM(E22-E28)</f>
        <v>-12896</v>
      </c>
      <c r="F30" s="933"/>
      <c r="G30" s="933">
        <f t="shared" ref="G30:I30" si="13">SUM(G22-G28)</f>
        <v>-6900</v>
      </c>
      <c r="H30" s="933"/>
      <c r="I30" s="933">
        <f t="shared" si="13"/>
        <v>-15735</v>
      </c>
      <c r="K30" s="925" t="s">
        <v>2860</v>
      </c>
      <c r="L30" s="924"/>
      <c r="M30" s="933">
        <f>SUM(M22-M28)</f>
        <v>0</v>
      </c>
      <c r="N30" s="924"/>
      <c r="O30" s="933">
        <f t="shared" ref="O30" si="14">SUM(O22-O28)</f>
        <v>2117</v>
      </c>
      <c r="P30" s="924"/>
      <c r="Q30" s="933">
        <f t="shared" ref="Q30" si="15">SUM(Q22-Q28)</f>
        <v>0</v>
      </c>
      <c r="R30" s="924"/>
      <c r="S30" s="933">
        <f t="shared" ref="S30" si="16">SUM(S22-S28)</f>
        <v>424995</v>
      </c>
      <c r="T30" s="924"/>
      <c r="U30" s="925" t="s">
        <v>2860</v>
      </c>
      <c r="V30" s="924"/>
      <c r="W30" s="933">
        <f>SUM(W22-W28)</f>
        <v>-24181</v>
      </c>
      <c r="Y30" s="933">
        <f>SUM(Y22-Y28)</f>
        <v>-15701</v>
      </c>
      <c r="Z30" s="933"/>
      <c r="AA30" s="933">
        <f t="shared" ref="AA30" si="17">SUM(AA22-AA28)</f>
        <v>-77155</v>
      </c>
      <c r="AB30" s="933"/>
      <c r="AC30" s="933">
        <f>SUM(AC22-AC28)</f>
        <v>23554</v>
      </c>
      <c r="AE30" s="925" t="s">
        <v>2860</v>
      </c>
      <c r="AF30" s="933"/>
      <c r="AG30" s="933">
        <f>SUM(AG22-AG28)</f>
        <v>-72554</v>
      </c>
      <c r="AH30" s="924"/>
      <c r="AI30" s="933">
        <f t="shared" ref="AI30" si="18">SUM(AI22-AI28)</f>
        <v>195982</v>
      </c>
      <c r="AJ30" s="933"/>
      <c r="AK30" s="933">
        <f t="shared" ref="AK30" si="19">SUM(AK22-AK28)</f>
        <v>44007</v>
      </c>
      <c r="AL30" s="933"/>
      <c r="AM30" s="933"/>
      <c r="AN30" s="933"/>
      <c r="AO30" s="933">
        <f>SUM(AO22-AO28)</f>
        <v>920683</v>
      </c>
      <c r="AP30" s="933"/>
    </row>
    <row r="31" spans="1:48" ht="15.95" customHeight="1">
      <c r="B31" s="924"/>
      <c r="C31" s="929"/>
      <c r="D31" s="929"/>
      <c r="E31" s="929"/>
      <c r="F31" s="929"/>
      <c r="G31" s="929"/>
      <c r="H31" s="929"/>
      <c r="I31" s="929"/>
      <c r="L31" s="924"/>
      <c r="M31" s="929"/>
      <c r="N31" s="924"/>
      <c r="O31" s="929"/>
      <c r="P31" s="924"/>
      <c r="Q31" s="929"/>
      <c r="R31" s="924"/>
      <c r="S31" s="929"/>
      <c r="T31" s="924"/>
      <c r="V31" s="924"/>
      <c r="W31" s="929"/>
      <c r="Y31" s="929"/>
      <c r="Z31" s="929"/>
      <c r="AA31" s="929"/>
      <c r="AB31" s="929"/>
      <c r="AC31" s="929"/>
      <c r="AF31" s="929"/>
      <c r="AG31" s="929"/>
      <c r="AH31" s="924"/>
      <c r="AI31" s="929"/>
      <c r="AJ31" s="929"/>
      <c r="AK31" s="929"/>
      <c r="AL31" s="929"/>
      <c r="AM31" s="929"/>
      <c r="AN31" s="929"/>
      <c r="AO31" s="929"/>
      <c r="AP31" s="929"/>
      <c r="AR31" s="572" t="s">
        <v>3052</v>
      </c>
      <c r="AS31" s="1077"/>
      <c r="AT31" s="1077"/>
      <c r="AU31" s="1077"/>
      <c r="AV31" s="1077"/>
    </row>
    <row r="32" spans="1:48" ht="15.95" customHeight="1">
      <c r="A32" s="920" t="s">
        <v>2859</v>
      </c>
      <c r="B32" s="931"/>
      <c r="C32" s="930">
        <v>3525155</v>
      </c>
      <c r="D32" s="929"/>
      <c r="E32" s="930">
        <v>45744</v>
      </c>
      <c r="F32" s="929"/>
      <c r="G32" s="930">
        <v>51062</v>
      </c>
      <c r="H32" s="929"/>
      <c r="I32" s="930">
        <v>24147</v>
      </c>
      <c r="K32" s="920" t="s">
        <v>2859</v>
      </c>
      <c r="L32" s="931"/>
      <c r="M32" s="930">
        <v>0</v>
      </c>
      <c r="N32" s="931"/>
      <c r="O32" s="930">
        <v>6491</v>
      </c>
      <c r="P32" s="931"/>
      <c r="Q32" s="930">
        <v>296099</v>
      </c>
      <c r="R32" s="931"/>
      <c r="S32" s="930">
        <v>900616</v>
      </c>
      <c r="T32" s="931"/>
      <c r="U32" s="920" t="s">
        <v>2859</v>
      </c>
      <c r="V32" s="929"/>
      <c r="W32" s="930">
        <v>114684</v>
      </c>
      <c r="X32" s="931"/>
      <c r="Y32" s="930">
        <v>113444</v>
      </c>
      <c r="Z32" s="929"/>
      <c r="AA32" s="930">
        <v>-1206522</v>
      </c>
      <c r="AB32" s="1086"/>
      <c r="AC32" s="930">
        <v>10797</v>
      </c>
      <c r="AE32" s="920" t="s">
        <v>2859</v>
      </c>
      <c r="AF32" s="929"/>
      <c r="AG32" s="930">
        <v>1844575</v>
      </c>
      <c r="AH32" s="931"/>
      <c r="AI32" s="930">
        <v>1298552</v>
      </c>
      <c r="AJ32" s="929"/>
      <c r="AK32" s="930">
        <v>111020</v>
      </c>
      <c r="AL32" s="929"/>
      <c r="AM32" s="929"/>
      <c r="AN32" s="929"/>
      <c r="AO32" s="929">
        <f>+SUM(B32:AN32)</f>
        <v>7135864</v>
      </c>
      <c r="AQ32" s="1078">
        <v>7135864</v>
      </c>
      <c r="AR32" s="572" t="s">
        <v>3053</v>
      </c>
      <c r="AS32" s="576"/>
      <c r="AT32" s="576"/>
      <c r="AU32" s="576"/>
      <c r="AV32" s="576"/>
    </row>
    <row r="33" spans="1:44" ht="15.95" customHeight="1">
      <c r="B33" s="931"/>
      <c r="C33" s="929"/>
      <c r="D33" s="929"/>
      <c r="E33" s="929"/>
      <c r="F33" s="929"/>
      <c r="G33" s="929"/>
      <c r="H33" s="929"/>
      <c r="I33" s="929"/>
      <c r="L33" s="931"/>
      <c r="M33" s="929"/>
      <c r="N33" s="931"/>
      <c r="O33" s="929"/>
      <c r="P33" s="931"/>
      <c r="Q33" s="929"/>
      <c r="R33" s="931"/>
      <c r="S33" s="929"/>
      <c r="T33" s="931"/>
      <c r="V33" s="931"/>
      <c r="W33" s="929"/>
      <c r="Y33" s="929"/>
      <c r="Z33" s="929"/>
      <c r="AA33" s="929"/>
      <c r="AB33" s="929"/>
      <c r="AC33" s="929"/>
      <c r="AF33" s="929"/>
      <c r="AG33" s="929"/>
      <c r="AH33" s="931"/>
      <c r="AI33" s="929"/>
      <c r="AJ33" s="929"/>
      <c r="AK33" s="929"/>
      <c r="AL33" s="929"/>
      <c r="AM33" s="929"/>
      <c r="AN33" s="929"/>
      <c r="AO33" s="929"/>
      <c r="AP33" s="929"/>
      <c r="AQ33" s="1079">
        <f>+AQ32-AO32</f>
        <v>0</v>
      </c>
      <c r="AR33" s="323" t="s">
        <v>3308</v>
      </c>
    </row>
    <row r="34" spans="1:44" ht="15.95" hidden="1" customHeight="1">
      <c r="A34" s="920" t="s">
        <v>2858</v>
      </c>
      <c r="B34" s="931"/>
      <c r="C34" s="932">
        <f>+INPUT!CW66</f>
        <v>0</v>
      </c>
      <c r="D34" s="929"/>
      <c r="E34" s="932">
        <f>+INPUT!CY66</f>
        <v>0</v>
      </c>
      <c r="F34" s="929"/>
      <c r="G34" s="932">
        <f>+INPUT!DB66</f>
        <v>0</v>
      </c>
      <c r="H34" s="929"/>
      <c r="I34" s="932">
        <f>+INPUT!DC66</f>
        <v>0</v>
      </c>
      <c r="K34" s="920" t="s">
        <v>2858</v>
      </c>
      <c r="L34" s="931"/>
      <c r="M34" s="932">
        <f>+INPUT!DD66</f>
        <v>0</v>
      </c>
      <c r="N34" s="931"/>
      <c r="O34" s="932">
        <f>+INPUT!DE66</f>
        <v>0</v>
      </c>
      <c r="P34" s="931"/>
      <c r="Q34" s="932">
        <f>+INPUT!DJ66</f>
        <v>0</v>
      </c>
      <c r="R34" s="931"/>
      <c r="S34" s="932">
        <f>+INPUT!DL66</f>
        <v>0</v>
      </c>
      <c r="T34" s="931"/>
      <c r="U34" s="920" t="s">
        <v>2858</v>
      </c>
      <c r="V34" s="931"/>
      <c r="W34" s="932">
        <f>+INPUT!DN66</f>
        <v>0</v>
      </c>
      <c r="Y34" s="932">
        <f>+INPUT!DQ66</f>
        <v>0</v>
      </c>
      <c r="Z34" s="1086"/>
      <c r="AA34" s="932">
        <f>+INPUT!DR66</f>
        <v>0</v>
      </c>
      <c r="AB34" s="1086"/>
      <c r="AC34" s="932">
        <f>+INPUT!DP66</f>
        <v>0</v>
      </c>
      <c r="AE34" s="920" t="s">
        <v>2858</v>
      </c>
      <c r="AF34" s="929"/>
      <c r="AG34" s="932">
        <f>+INPUT!DS66</f>
        <v>0</v>
      </c>
      <c r="AH34" s="931"/>
      <c r="AI34" s="932">
        <f>+INPUT!DT66</f>
        <v>0</v>
      </c>
      <c r="AJ34" s="929"/>
      <c r="AK34" s="932">
        <f>+INPUT!DY66</f>
        <v>0</v>
      </c>
      <c r="AL34" s="929"/>
      <c r="AM34" s="929"/>
      <c r="AN34" s="929"/>
      <c r="AO34" s="932">
        <f>+SUM(B34:AN34)</f>
        <v>0</v>
      </c>
      <c r="AP34" s="1086" t="s">
        <v>336</v>
      </c>
    </row>
    <row r="35" spans="1:44" ht="15.95" hidden="1" customHeight="1">
      <c r="B35" s="931"/>
      <c r="C35" s="929"/>
      <c r="D35" s="929"/>
      <c r="E35" s="929"/>
      <c r="F35" s="929"/>
      <c r="G35" s="929"/>
      <c r="H35" s="929"/>
      <c r="I35" s="929"/>
      <c r="L35" s="931"/>
      <c r="M35" s="929"/>
      <c r="N35" s="931"/>
      <c r="O35" s="929"/>
      <c r="P35" s="931"/>
      <c r="Q35" s="929"/>
      <c r="R35" s="931"/>
      <c r="S35" s="929"/>
      <c r="T35" s="931"/>
      <c r="V35" s="931"/>
      <c r="W35" s="929"/>
      <c r="Y35" s="929"/>
      <c r="Z35" s="929"/>
      <c r="AA35" s="929"/>
      <c r="AB35" s="929"/>
      <c r="AC35" s="929"/>
      <c r="AF35" s="929"/>
      <c r="AG35" s="929"/>
      <c r="AH35" s="931"/>
      <c r="AI35" s="929"/>
      <c r="AJ35" s="929"/>
      <c r="AK35" s="929"/>
      <c r="AL35" s="929"/>
      <c r="AM35" s="929"/>
      <c r="AN35" s="929"/>
      <c r="AO35" s="929"/>
      <c r="AP35" s="929"/>
    </row>
    <row r="36" spans="1:44" ht="15.95" hidden="1" customHeight="1">
      <c r="A36" s="920" t="s">
        <v>2857</v>
      </c>
      <c r="B36" s="931"/>
      <c r="C36" s="932">
        <f>+C32+C34</f>
        <v>3525155</v>
      </c>
      <c r="D36" s="929"/>
      <c r="E36" s="932">
        <f>+E32+E34</f>
        <v>45744</v>
      </c>
      <c r="F36" s="929"/>
      <c r="G36" s="932">
        <f t="shared" ref="G36:I36" si="20">+G32+G34</f>
        <v>51062</v>
      </c>
      <c r="H36" s="929"/>
      <c r="I36" s="932">
        <f t="shared" si="20"/>
        <v>24147</v>
      </c>
      <c r="K36" s="920" t="s">
        <v>2857</v>
      </c>
      <c r="L36" s="931"/>
      <c r="M36" s="932">
        <f>+M32+M34</f>
        <v>0</v>
      </c>
      <c r="N36" s="931"/>
      <c r="O36" s="932">
        <f t="shared" ref="O36" si="21">+O32+O34</f>
        <v>6491</v>
      </c>
      <c r="P36" s="931"/>
      <c r="Q36" s="932">
        <f t="shared" ref="Q36" si="22">+Q32+Q34</f>
        <v>296099</v>
      </c>
      <c r="R36" s="931"/>
      <c r="S36" s="932">
        <f t="shared" ref="S36" si="23">+S32+S34</f>
        <v>900616</v>
      </c>
      <c r="T36" s="931"/>
      <c r="U36" s="920" t="s">
        <v>2857</v>
      </c>
      <c r="V36" s="931"/>
      <c r="W36" s="932">
        <f>+W32+W34</f>
        <v>114684</v>
      </c>
      <c r="Y36" s="932">
        <f>+Y32+Y34</f>
        <v>113444</v>
      </c>
      <c r="Z36" s="929"/>
      <c r="AA36" s="932">
        <f t="shared" ref="AA36" si="24">+AA32+AA34</f>
        <v>-1206522</v>
      </c>
      <c r="AB36" s="929"/>
      <c r="AC36" s="932">
        <f>+AC32+AC34</f>
        <v>10797</v>
      </c>
      <c r="AE36" s="920" t="s">
        <v>2857</v>
      </c>
      <c r="AF36" s="929"/>
      <c r="AG36" s="932">
        <f>+AG32+AG34</f>
        <v>1844575</v>
      </c>
      <c r="AH36" s="931"/>
      <c r="AI36" s="932">
        <f t="shared" ref="AI36" si="25">+AI32+AI34</f>
        <v>1298552</v>
      </c>
      <c r="AJ36" s="929"/>
      <c r="AK36" s="932">
        <f t="shared" ref="AK36" si="26">+AK32+AK34</f>
        <v>111020</v>
      </c>
      <c r="AL36" s="929"/>
      <c r="AM36" s="929"/>
      <c r="AN36" s="929"/>
      <c r="AO36" s="932">
        <f>+AO32+AO34</f>
        <v>7135864</v>
      </c>
      <c r="AP36" s="929"/>
    </row>
    <row r="37" spans="1:44" ht="15.95" hidden="1" customHeight="1">
      <c r="B37" s="924"/>
      <c r="C37" s="929"/>
      <c r="D37" s="929"/>
      <c r="E37" s="929"/>
      <c r="F37" s="929"/>
      <c r="G37" s="929"/>
      <c r="H37" s="929"/>
      <c r="I37" s="929"/>
      <c r="L37" s="924"/>
      <c r="M37" s="929"/>
      <c r="N37" s="924"/>
      <c r="O37" s="929"/>
      <c r="P37" s="924"/>
      <c r="Q37" s="929"/>
      <c r="R37" s="924"/>
      <c r="S37" s="929"/>
      <c r="T37" s="924"/>
      <c r="V37" s="924"/>
      <c r="W37" s="929"/>
      <c r="Y37" s="929"/>
      <c r="Z37" s="929"/>
      <c r="AA37" s="929"/>
      <c r="AB37" s="929"/>
      <c r="AC37" s="929"/>
      <c r="AF37" s="929"/>
      <c r="AG37" s="929"/>
      <c r="AH37" s="924"/>
      <c r="AI37" s="929"/>
      <c r="AJ37" s="929"/>
      <c r="AK37" s="929"/>
      <c r="AL37" s="929"/>
      <c r="AM37" s="929"/>
      <c r="AN37" s="929"/>
      <c r="AO37" s="929"/>
      <c r="AP37" s="929"/>
      <c r="AR37" s="323" t="s">
        <v>3227</v>
      </c>
    </row>
    <row r="38" spans="1:44" ht="15.95" customHeight="1" thickBot="1">
      <c r="A38" s="925" t="s">
        <v>1680</v>
      </c>
      <c r="B38" s="924"/>
      <c r="C38" s="928">
        <f>+C30+C36</f>
        <v>3980305</v>
      </c>
      <c r="D38" s="923"/>
      <c r="E38" s="928">
        <f>+E30+E36</f>
        <v>32848</v>
      </c>
      <c r="F38" s="923"/>
      <c r="G38" s="928">
        <f t="shared" ref="G38:I38" si="27">+G30+G36</f>
        <v>44162</v>
      </c>
      <c r="H38" s="923"/>
      <c r="I38" s="928">
        <f t="shared" si="27"/>
        <v>8412</v>
      </c>
      <c r="K38" s="925" t="s">
        <v>1680</v>
      </c>
      <c r="L38" s="924"/>
      <c r="M38" s="928">
        <f>+M30+M36</f>
        <v>0</v>
      </c>
      <c r="N38" s="924"/>
      <c r="O38" s="928">
        <f t="shared" ref="O38" si="28">+O30+O36</f>
        <v>8608</v>
      </c>
      <c r="P38" s="924"/>
      <c r="Q38" s="928">
        <f t="shared" ref="Q38" si="29">+Q30+Q36</f>
        <v>296099</v>
      </c>
      <c r="R38" s="924"/>
      <c r="S38" s="928">
        <f t="shared" ref="S38" si="30">+S30+S36</f>
        <v>1325611</v>
      </c>
      <c r="T38" s="924"/>
      <c r="U38" s="925" t="s">
        <v>1680</v>
      </c>
      <c r="V38" s="924"/>
      <c r="W38" s="928">
        <f>+W30+W36</f>
        <v>90503</v>
      </c>
      <c r="Y38" s="928">
        <f>+Y30+Y36</f>
        <v>97743</v>
      </c>
      <c r="Z38" s="923"/>
      <c r="AA38" s="928">
        <f t="shared" ref="AA38" si="31">+AA30+AA36</f>
        <v>-1283677</v>
      </c>
      <c r="AB38" s="923"/>
      <c r="AC38" s="928">
        <f>+AC30+AC36</f>
        <v>34351</v>
      </c>
      <c r="AE38" s="925" t="s">
        <v>1680</v>
      </c>
      <c r="AF38" s="923"/>
      <c r="AG38" s="928">
        <f>+AG30+AG36</f>
        <v>1772021</v>
      </c>
      <c r="AH38" s="924"/>
      <c r="AI38" s="928">
        <f t="shared" ref="AI38" si="32">+AI30+AI36</f>
        <v>1494534</v>
      </c>
      <c r="AJ38" s="923"/>
      <c r="AK38" s="928">
        <f t="shared" ref="AK38" si="33">+AK30+AK36</f>
        <v>155027</v>
      </c>
      <c r="AL38" s="923"/>
      <c r="AM38" s="923"/>
      <c r="AN38" s="923"/>
      <c r="AO38" s="928">
        <f>+AO30+AO36</f>
        <v>8056547</v>
      </c>
      <c r="AP38" s="923"/>
    </row>
    <row r="39" spans="1:44" ht="15.95" customHeight="1" thickTop="1">
      <c r="A39" s="925"/>
      <c r="B39" s="924"/>
      <c r="C39" s="923"/>
      <c r="D39" s="923"/>
      <c r="E39" s="923"/>
      <c r="F39" s="923"/>
      <c r="G39" s="923"/>
      <c r="H39" s="923"/>
      <c r="I39" s="923"/>
      <c r="J39" s="923"/>
      <c r="K39" s="925"/>
      <c r="L39" s="924"/>
      <c r="M39" s="923"/>
      <c r="N39" s="924"/>
      <c r="O39" s="923"/>
      <c r="P39" s="924"/>
      <c r="Q39" s="923"/>
      <c r="R39" s="924"/>
      <c r="S39" s="923"/>
      <c r="T39" s="924"/>
      <c r="U39" s="1087"/>
      <c r="V39" s="924"/>
      <c r="W39" s="923"/>
      <c r="X39" s="923"/>
      <c r="Y39" s="923"/>
      <c r="Z39" s="923"/>
      <c r="AA39" s="923"/>
      <c r="AB39" s="923"/>
      <c r="AC39" s="923"/>
      <c r="AD39" s="923"/>
      <c r="AE39" s="1087"/>
      <c r="AF39" s="923"/>
      <c r="AG39" s="923"/>
      <c r="AH39" s="924"/>
      <c r="AI39" s="923"/>
      <c r="AJ39" s="923"/>
      <c r="AK39" s="923"/>
      <c r="AL39" s="923"/>
      <c r="AM39" s="923"/>
      <c r="AN39" s="923"/>
      <c r="AO39" s="923"/>
      <c r="AP39" s="923"/>
    </row>
    <row r="40" spans="1:44" ht="15.95" customHeight="1">
      <c r="A40" s="925"/>
      <c r="B40" s="924"/>
      <c r="C40" s="923"/>
      <c r="D40" s="923"/>
      <c r="E40" s="923"/>
      <c r="F40" s="923"/>
      <c r="G40" s="923"/>
      <c r="H40" s="923"/>
      <c r="I40" s="923"/>
      <c r="J40" s="923"/>
    </row>
    <row r="41" spans="1:44" ht="15.95" customHeight="1">
      <c r="A41" s="927"/>
      <c r="C41" s="923"/>
      <c r="D41" s="923"/>
      <c r="E41" s="923"/>
      <c r="F41" s="923"/>
      <c r="G41" s="923"/>
      <c r="H41" s="923"/>
      <c r="I41" s="923"/>
      <c r="J41" s="923"/>
    </row>
    <row r="42" spans="1:44" ht="15.95" customHeight="1">
      <c r="A42" s="926"/>
      <c r="C42" s="923"/>
      <c r="D42" s="923"/>
      <c r="E42" s="923"/>
      <c r="F42" s="923"/>
      <c r="G42" s="923"/>
      <c r="H42" s="923"/>
      <c r="I42" s="923"/>
      <c r="J42" s="923"/>
    </row>
    <row r="43" spans="1:44" ht="15.95" customHeight="1">
      <c r="A43" s="925"/>
      <c r="B43" s="924"/>
      <c r="C43" s="923"/>
      <c r="D43" s="923"/>
      <c r="E43" s="923"/>
      <c r="F43" s="923"/>
      <c r="G43" s="923"/>
      <c r="H43" s="923"/>
      <c r="I43" s="923"/>
      <c r="J43" s="923"/>
    </row>
    <row r="44" spans="1:44" ht="15.95" customHeight="1">
      <c r="A44" s="925"/>
      <c r="B44" s="924"/>
      <c r="C44" s="923"/>
      <c r="D44" s="923"/>
      <c r="E44" s="923"/>
      <c r="F44" s="923"/>
      <c r="G44" s="923"/>
      <c r="H44" s="923"/>
      <c r="I44" s="923"/>
      <c r="J44" s="923"/>
    </row>
    <row r="45" spans="1:44" ht="15.95" customHeight="1">
      <c r="A45" s="925"/>
      <c r="B45" s="924"/>
      <c r="C45" s="923"/>
      <c r="D45" s="923"/>
      <c r="E45" s="923"/>
      <c r="F45" s="923"/>
      <c r="G45" s="923"/>
      <c r="H45" s="923"/>
      <c r="I45" s="923"/>
      <c r="J45" s="923"/>
    </row>
    <row r="46" spans="1:44" ht="15.95" customHeight="1">
      <c r="A46" s="925"/>
      <c r="B46" s="924"/>
      <c r="C46" s="923"/>
      <c r="D46" s="923"/>
      <c r="E46" s="923"/>
      <c r="F46" s="923"/>
      <c r="G46" s="923"/>
      <c r="H46" s="923"/>
      <c r="I46" s="923"/>
      <c r="J46" s="923"/>
    </row>
    <row r="47" spans="1:44" ht="15.95" customHeight="1">
      <c r="A47" s="925"/>
      <c r="B47" s="924"/>
      <c r="C47" s="923"/>
      <c r="D47" s="923"/>
      <c r="E47" s="923"/>
      <c r="F47" s="923"/>
      <c r="G47" s="923"/>
      <c r="H47" s="923"/>
      <c r="I47" s="923"/>
      <c r="J47" s="923"/>
    </row>
    <row r="48" spans="1:44" ht="15.95" customHeight="1">
      <c r="A48" s="925"/>
      <c r="B48" s="924"/>
      <c r="C48" s="923"/>
      <c r="D48" s="923"/>
      <c r="E48" s="923"/>
      <c r="F48" s="923"/>
      <c r="G48" s="923"/>
      <c r="H48" s="923"/>
      <c r="I48" s="923"/>
      <c r="J48" s="923"/>
    </row>
    <row r="49" spans="1:10" ht="15.95" customHeight="1">
      <c r="A49" s="925"/>
      <c r="B49" s="924"/>
      <c r="C49" s="923"/>
      <c r="D49" s="923"/>
      <c r="E49" s="923"/>
      <c r="F49" s="923"/>
      <c r="G49" s="923"/>
      <c r="H49" s="923"/>
      <c r="I49" s="923"/>
      <c r="J49" s="923"/>
    </row>
    <row r="50" spans="1:10" ht="15.95" customHeight="1">
      <c r="A50" s="925"/>
      <c r="B50" s="924"/>
      <c r="C50" s="923"/>
      <c r="D50" s="923"/>
      <c r="E50" s="923"/>
      <c r="F50" s="923"/>
      <c r="G50" s="923"/>
      <c r="H50" s="923"/>
      <c r="I50" s="923"/>
      <c r="J50" s="923"/>
    </row>
    <row r="51" spans="1:10" ht="15.95" customHeight="1">
      <c r="A51" s="925"/>
      <c r="B51" s="924"/>
      <c r="C51" s="923"/>
      <c r="D51" s="923"/>
      <c r="E51" s="923"/>
      <c r="F51" s="923"/>
      <c r="G51" s="923"/>
      <c r="H51" s="923"/>
      <c r="I51" s="923"/>
      <c r="J51" s="923"/>
    </row>
    <row r="52" spans="1:10" ht="15.95" customHeight="1">
      <c r="A52" s="925"/>
      <c r="B52" s="924"/>
      <c r="C52" s="923"/>
      <c r="D52" s="923"/>
      <c r="E52" s="923"/>
      <c r="F52" s="923"/>
      <c r="G52" s="923"/>
      <c r="H52" s="923"/>
      <c r="I52" s="923"/>
      <c r="J52" s="923"/>
    </row>
    <row r="53" spans="1:10" ht="15.95" customHeight="1">
      <c r="A53" s="925"/>
      <c r="B53" s="924"/>
      <c r="C53" s="923"/>
      <c r="D53" s="923"/>
      <c r="E53" s="923"/>
      <c r="F53" s="923"/>
      <c r="G53" s="923"/>
      <c r="H53" s="923"/>
      <c r="I53" s="923"/>
      <c r="J53" s="923"/>
    </row>
    <row r="54" spans="1:10" ht="15.95" customHeight="1">
      <c r="A54" s="925"/>
      <c r="B54" s="924"/>
      <c r="C54" s="923"/>
      <c r="D54" s="923"/>
      <c r="E54" s="923"/>
      <c r="F54" s="923"/>
      <c r="G54" s="923"/>
      <c r="H54" s="923"/>
      <c r="I54" s="923"/>
      <c r="J54" s="923"/>
    </row>
    <row r="55" spans="1:10" ht="15.95" customHeight="1">
      <c r="A55" s="925"/>
      <c r="B55" s="924"/>
      <c r="C55" s="923"/>
      <c r="D55" s="923"/>
      <c r="E55" s="923"/>
      <c r="F55" s="923"/>
      <c r="G55" s="923"/>
      <c r="H55" s="923"/>
      <c r="I55" s="923"/>
      <c r="J55" s="923"/>
    </row>
    <row r="56" spans="1:10" ht="15.95" customHeight="1">
      <c r="A56" s="925"/>
      <c r="B56" s="924"/>
      <c r="C56" s="923"/>
      <c r="D56" s="923"/>
      <c r="E56" s="923"/>
      <c r="F56" s="923"/>
      <c r="G56" s="923"/>
      <c r="H56" s="923"/>
      <c r="I56" s="923"/>
      <c r="J56" s="923"/>
    </row>
    <row r="57" spans="1:10" ht="15.95" customHeight="1">
      <c r="A57" s="925"/>
      <c r="B57" s="924"/>
      <c r="C57" s="923"/>
      <c r="D57" s="923"/>
      <c r="E57" s="923"/>
      <c r="F57" s="923"/>
      <c r="G57" s="923"/>
      <c r="H57" s="923"/>
      <c r="I57" s="923"/>
      <c r="J57" s="923"/>
    </row>
    <row r="58" spans="1:10" ht="15.95" customHeight="1">
      <c r="A58" s="925"/>
      <c r="B58" s="924"/>
      <c r="C58" s="923"/>
      <c r="D58" s="923"/>
      <c r="E58" s="923"/>
      <c r="F58" s="923"/>
      <c r="G58" s="923"/>
      <c r="H58" s="923"/>
      <c r="I58" s="923"/>
      <c r="J58" s="923"/>
    </row>
    <row r="59" spans="1:10" ht="15.95" customHeight="1">
      <c r="A59" s="925"/>
      <c r="B59" s="924"/>
      <c r="C59" s="923"/>
      <c r="D59" s="923"/>
      <c r="E59" s="923"/>
      <c r="F59" s="923"/>
      <c r="G59" s="923"/>
      <c r="H59" s="923"/>
      <c r="I59" s="923"/>
      <c r="J59" s="923"/>
    </row>
    <row r="60" spans="1:10" ht="15.95" customHeight="1">
      <c r="A60" s="925"/>
      <c r="B60" s="924"/>
      <c r="C60" s="923"/>
      <c r="D60" s="923"/>
      <c r="E60" s="923"/>
      <c r="F60" s="923"/>
      <c r="G60" s="923"/>
      <c r="H60" s="923"/>
      <c r="I60" s="923"/>
      <c r="J60" s="923"/>
    </row>
    <row r="61" spans="1:10" ht="15.95" customHeight="1">
      <c r="A61" s="925"/>
      <c r="B61" s="924"/>
      <c r="C61" s="923"/>
      <c r="D61" s="923"/>
      <c r="E61" s="923"/>
      <c r="F61" s="923"/>
      <c r="G61" s="923"/>
      <c r="H61" s="923"/>
      <c r="I61" s="923"/>
      <c r="J61" s="923"/>
    </row>
    <row r="62" spans="1:10" ht="15.95" customHeight="1">
      <c r="A62" s="925"/>
      <c r="B62" s="924"/>
      <c r="C62" s="923"/>
      <c r="D62" s="923"/>
      <c r="E62" s="923"/>
      <c r="F62" s="923"/>
      <c r="G62" s="923"/>
      <c r="H62" s="923"/>
      <c r="I62" s="923"/>
      <c r="J62" s="923"/>
    </row>
    <row r="63" spans="1:10" ht="15.95" customHeight="1">
      <c r="A63" s="925"/>
      <c r="B63" s="924"/>
      <c r="C63" s="923"/>
      <c r="D63" s="923"/>
      <c r="E63" s="923"/>
      <c r="F63" s="923"/>
      <c r="G63" s="923"/>
      <c r="H63" s="923"/>
      <c r="I63" s="923"/>
      <c r="J63" s="923"/>
    </row>
    <row r="64" spans="1:10" ht="15.95" customHeight="1">
      <c r="A64" s="925"/>
      <c r="B64" s="924"/>
      <c r="C64" s="923"/>
      <c r="D64" s="923"/>
      <c r="E64" s="923"/>
      <c r="F64" s="923"/>
      <c r="G64" s="923"/>
      <c r="H64" s="923"/>
      <c r="I64" s="923"/>
      <c r="J64" s="923"/>
    </row>
    <row r="65" spans="1:29" ht="13.5" customHeight="1">
      <c r="A65" s="925"/>
      <c r="B65" s="924"/>
      <c r="C65" s="923"/>
      <c r="D65" s="923"/>
      <c r="E65" s="923"/>
      <c r="F65" s="923"/>
      <c r="G65" s="923"/>
      <c r="H65" s="923"/>
      <c r="I65" s="923"/>
      <c r="J65" s="923"/>
    </row>
    <row r="66" spans="1:29" ht="15.95" customHeight="1">
      <c r="A66" s="1331"/>
      <c r="B66" s="1331"/>
      <c r="C66" s="1331"/>
      <c r="D66" s="1331"/>
      <c r="E66" s="1331"/>
      <c r="F66" s="1331"/>
      <c r="G66" s="1331"/>
      <c r="H66" s="1331"/>
      <c r="I66" s="1331"/>
      <c r="J66" s="1331"/>
    </row>
    <row r="67" spans="1:29">
      <c r="W67" s="920" t="s">
        <v>3096</v>
      </c>
      <c r="Y67" s="1089">
        <v>113444</v>
      </c>
      <c r="Z67" s="1089"/>
      <c r="AA67" s="1089">
        <v>1183889</v>
      </c>
      <c r="AC67" s="1126" t="s">
        <v>3226</v>
      </c>
    </row>
    <row r="68" spans="1:29">
      <c r="W68" s="920" t="s">
        <v>3097</v>
      </c>
      <c r="Y68" s="1089"/>
      <c r="Z68" s="1089"/>
      <c r="AA68" s="1089">
        <v>2390411</v>
      </c>
      <c r="AC68" s="1126" t="s">
        <v>3373</v>
      </c>
    </row>
    <row r="69" spans="1:29">
      <c r="Y69" s="323"/>
      <c r="AA69" s="935"/>
      <c r="AC69" s="323" t="s">
        <v>3369</v>
      </c>
    </row>
    <row r="71" spans="1:29">
      <c r="Y71" s="935">
        <f>+Y22+'FIDCOMBCH NP'!D18+'Cust Funds Chg in NP'!AA22</f>
        <v>172615442</v>
      </c>
      <c r="AA71" s="935"/>
    </row>
    <row r="72" spans="1:29">
      <c r="Y72" s="926">
        <f>+'Sys INPUT'!DQ18+'Sys INPUT'!DR18</f>
        <v>183163232</v>
      </c>
      <c r="AA72" s="1088"/>
    </row>
    <row r="73" spans="1:29">
      <c r="Y73" s="929">
        <f>+Y72-Y71</f>
        <v>10547790</v>
      </c>
    </row>
    <row r="80" spans="1:29">
      <c r="A80" s="922"/>
      <c r="B80" s="922"/>
      <c r="C80" s="922"/>
      <c r="D80" s="922"/>
      <c r="E80" s="922"/>
      <c r="F80" s="922"/>
      <c r="G80" s="922"/>
      <c r="H80" s="922"/>
      <c r="I80" s="922"/>
      <c r="J80" s="922"/>
    </row>
    <row r="81" spans="1:20">
      <c r="A81" s="922"/>
      <c r="B81" s="922"/>
      <c r="C81" s="922"/>
      <c r="D81" s="922"/>
      <c r="E81" s="922"/>
      <c r="F81" s="922"/>
      <c r="G81" s="922"/>
      <c r="H81" s="922"/>
      <c r="I81" s="922"/>
      <c r="J81" s="922"/>
      <c r="K81" s="921"/>
      <c r="L81" s="921"/>
      <c r="M81" s="921"/>
      <c r="N81" s="921"/>
      <c r="O81" s="921"/>
      <c r="P81" s="921"/>
      <c r="Q81" s="921"/>
      <c r="R81" s="921"/>
      <c r="T81" s="921"/>
    </row>
  </sheetData>
  <mergeCells count="6">
    <mergeCell ref="A66:J66"/>
    <mergeCell ref="A5:I5"/>
    <mergeCell ref="A2:I2"/>
    <mergeCell ref="A3:I3"/>
    <mergeCell ref="A4:I4"/>
    <mergeCell ref="A6:I6"/>
  </mergeCells>
  <printOptions horizontalCentered="1"/>
  <pageMargins left="0.5" right="0.45" top="0.5" bottom="0.75" header="0.5" footer="0.25"/>
  <pageSetup scale="64" firstPageNumber="4" orientation="portrait" useFirstPageNumber="1" r:id="rId1"/>
  <headerFooter alignWithMargins="0">
    <oddFooter xml:space="preserve">&amp;CThe accompanying notes are an integral part of these financial statements.
</oddFooter>
  </headerFooter>
  <colBreaks count="3" manualBreakCount="3">
    <brk id="10" max="1048575" man="1"/>
    <brk id="20" max="1048575" man="1"/>
    <brk id="30"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ransitionEvaluation="1" codeName="Sheet50">
    <tabColor rgb="FFFFC000"/>
  </sheetPr>
  <dimension ref="A1:X40"/>
  <sheetViews>
    <sheetView workbookViewId="0">
      <selection activeCell="O12" sqref="O12"/>
    </sheetView>
  </sheetViews>
  <sheetFormatPr defaultColWidth="9.7109375" defaultRowHeight="12.75"/>
  <cols>
    <col min="1" max="1" width="20.5703125" bestFit="1" customWidth="1"/>
    <col min="2" max="3" width="11.7109375" bestFit="1" customWidth="1"/>
    <col min="4" max="5" width="11.7109375" customWidth="1"/>
    <col min="6" max="8" width="11.140625" customWidth="1"/>
    <col min="9" max="9" width="12.42578125" bestFit="1" customWidth="1"/>
    <col min="10" max="10" width="13.7109375" bestFit="1" customWidth="1"/>
    <col min="11" max="11" width="3.140625" customWidth="1"/>
    <col min="12" max="12" width="11.7109375" bestFit="1" customWidth="1"/>
    <col min="13" max="13" width="3.140625" customWidth="1"/>
    <col min="14" max="14" width="16.7109375" customWidth="1"/>
    <col min="16" max="16" width="13.42578125" bestFit="1" customWidth="1"/>
  </cols>
  <sheetData>
    <row r="1" spans="1:17">
      <c r="A1" s="26" t="s">
        <v>10</v>
      </c>
      <c r="B1" s="20"/>
      <c r="C1" s="20"/>
      <c r="D1" s="20"/>
      <c r="E1" s="20"/>
      <c r="F1" s="20"/>
      <c r="G1" s="20"/>
      <c r="H1" s="20"/>
      <c r="I1" s="20"/>
      <c r="J1" s="20"/>
      <c r="K1" s="20"/>
      <c r="L1" s="20"/>
      <c r="M1" s="20"/>
      <c r="N1" s="20"/>
    </row>
    <row r="2" spans="1:17">
      <c r="A2" s="26" t="s">
        <v>870</v>
      </c>
      <c r="B2" s="20"/>
      <c r="C2" s="20"/>
      <c r="D2" s="20"/>
      <c r="E2" s="20"/>
      <c r="F2" s="20"/>
      <c r="G2" s="20"/>
      <c r="H2" s="20"/>
      <c r="I2" s="20"/>
      <c r="J2" s="20"/>
      <c r="K2" s="20"/>
      <c r="L2" s="20"/>
      <c r="M2" s="20"/>
      <c r="N2" s="20"/>
    </row>
    <row r="3" spans="1:17">
      <c r="A3" s="26" t="s">
        <v>1692</v>
      </c>
      <c r="B3" s="20"/>
      <c r="C3" s="20"/>
      <c r="D3" s="20"/>
      <c r="E3" s="20"/>
      <c r="F3" s="20"/>
      <c r="G3" s="20"/>
      <c r="H3" s="20"/>
      <c r="I3" s="20"/>
      <c r="J3" s="20"/>
      <c r="K3" s="20"/>
      <c r="L3" s="20"/>
      <c r="M3" s="20"/>
      <c r="N3" s="20"/>
    </row>
    <row r="4" spans="1:17">
      <c r="A4" s="26" t="s">
        <v>209</v>
      </c>
      <c r="B4" s="20"/>
      <c r="C4" s="20"/>
      <c r="D4" s="20"/>
      <c r="E4" s="20"/>
      <c r="F4" s="20"/>
      <c r="G4" s="20"/>
      <c r="H4" s="20"/>
      <c r="I4" s="20"/>
      <c r="J4" s="20"/>
      <c r="K4" s="20"/>
      <c r="L4" s="20"/>
      <c r="M4" s="20"/>
      <c r="N4" s="20"/>
    </row>
    <row r="5" spans="1:17">
      <c r="A5" s="34">
        <f>+'Sys INPUT'!B1</f>
        <v>45107</v>
      </c>
      <c r="B5" s="20"/>
      <c r="C5" s="20"/>
      <c r="D5" s="20"/>
      <c r="E5" s="20"/>
      <c r="F5" s="20"/>
      <c r="G5" s="20"/>
      <c r="H5" s="20"/>
      <c r="I5" s="20"/>
      <c r="J5" s="20"/>
      <c r="K5" s="20"/>
      <c r="L5" s="20"/>
      <c r="M5" s="20"/>
      <c r="N5" s="20"/>
    </row>
    <row r="7" spans="1:17">
      <c r="B7" s="28" t="s">
        <v>212</v>
      </c>
      <c r="C7" s="28" t="s">
        <v>212</v>
      </c>
      <c r="D7" s="28" t="s">
        <v>212</v>
      </c>
      <c r="E7" s="28" t="s">
        <v>212</v>
      </c>
      <c r="F7" s="28" t="s">
        <v>212</v>
      </c>
      <c r="G7" s="28" t="s">
        <v>212</v>
      </c>
      <c r="H7" s="28" t="s">
        <v>212</v>
      </c>
      <c r="I7" s="28" t="s">
        <v>212</v>
      </c>
      <c r="J7" s="28" t="s">
        <v>212</v>
      </c>
      <c r="K7" s="28"/>
      <c r="L7" s="28" t="s">
        <v>212</v>
      </c>
      <c r="M7" s="28"/>
      <c r="N7" s="28" t="s">
        <v>792</v>
      </c>
    </row>
    <row r="8" spans="1:17">
      <c r="B8" s="28" t="s">
        <v>214</v>
      </c>
      <c r="C8" s="28" t="s">
        <v>214</v>
      </c>
      <c r="D8" s="28" t="s">
        <v>214</v>
      </c>
      <c r="E8" s="28" t="s">
        <v>214</v>
      </c>
      <c r="F8" s="28" t="s">
        <v>3048</v>
      </c>
      <c r="G8" s="28" t="s">
        <v>214</v>
      </c>
      <c r="H8" s="28" t="s">
        <v>214</v>
      </c>
      <c r="I8" s="28" t="s">
        <v>214</v>
      </c>
      <c r="J8" s="28" t="s">
        <v>214</v>
      </c>
      <c r="K8" s="28"/>
      <c r="L8" s="28" t="s">
        <v>215</v>
      </c>
      <c r="M8" s="28"/>
      <c r="N8" s="28" t="s">
        <v>216</v>
      </c>
    </row>
    <row r="9" spans="1:17">
      <c r="B9" s="28" t="s">
        <v>772</v>
      </c>
      <c r="C9" s="28" t="s">
        <v>17</v>
      </c>
      <c r="D9" s="28" t="s">
        <v>17</v>
      </c>
      <c r="E9" s="28" t="s">
        <v>17</v>
      </c>
      <c r="F9" s="28" t="s">
        <v>17</v>
      </c>
      <c r="G9" s="28" t="s">
        <v>18</v>
      </c>
      <c r="H9" s="28" t="s">
        <v>18</v>
      </c>
      <c r="I9" s="28" t="s">
        <v>18</v>
      </c>
      <c r="J9" s="28" t="s">
        <v>19</v>
      </c>
      <c r="K9" s="28"/>
      <c r="L9" s="28" t="s">
        <v>1732</v>
      </c>
      <c r="M9" s="28"/>
      <c r="N9" s="28" t="s">
        <v>981</v>
      </c>
    </row>
    <row r="10" spans="1:17">
      <c r="A10" t="s">
        <v>982</v>
      </c>
      <c r="B10" s="28" t="s">
        <v>981</v>
      </c>
      <c r="C10" s="28" t="s">
        <v>1903</v>
      </c>
      <c r="D10" s="28" t="s">
        <v>1904</v>
      </c>
      <c r="E10" s="28" t="s">
        <v>2590</v>
      </c>
      <c r="F10" s="28" t="s">
        <v>3025</v>
      </c>
      <c r="G10" s="28" t="s">
        <v>1903</v>
      </c>
      <c r="H10" s="28" t="s">
        <v>1904</v>
      </c>
      <c r="I10" s="28" t="s">
        <v>3049</v>
      </c>
      <c r="J10" s="28" t="s">
        <v>984</v>
      </c>
      <c r="K10" s="28"/>
      <c r="L10" s="28" t="s">
        <v>1904</v>
      </c>
      <c r="M10" s="28"/>
      <c r="N10" s="28" t="s">
        <v>985</v>
      </c>
    </row>
    <row r="11" spans="1:17">
      <c r="A11" s="21" t="s">
        <v>938</v>
      </c>
      <c r="B11" s="175">
        <v>0</v>
      </c>
      <c r="C11" s="77">
        <v>512</v>
      </c>
      <c r="D11" s="77">
        <v>1057587</v>
      </c>
      <c r="E11" s="77">
        <v>636462</v>
      </c>
      <c r="F11" s="77">
        <v>400094</v>
      </c>
      <c r="G11" s="77">
        <v>273223</v>
      </c>
      <c r="H11" s="77">
        <v>1646545</v>
      </c>
      <c r="I11" s="77">
        <v>282000</v>
      </c>
      <c r="J11" s="77">
        <v>319188</v>
      </c>
      <c r="K11" s="28"/>
      <c r="L11" s="77">
        <v>88910</v>
      </c>
      <c r="N11">
        <f>SUM(B11:M11)</f>
        <v>4704521</v>
      </c>
      <c r="O11" s="176" t="s">
        <v>51</v>
      </c>
      <c r="P11" s="177"/>
    </row>
    <row r="12" spans="1:17">
      <c r="A12" s="21" t="s">
        <v>939</v>
      </c>
      <c r="B12" s="175">
        <v>0</v>
      </c>
      <c r="C12" s="77"/>
      <c r="D12" s="77"/>
      <c r="E12" s="77"/>
      <c r="F12" s="77"/>
      <c r="G12" s="77"/>
      <c r="H12" s="77"/>
      <c r="I12" s="77"/>
      <c r="J12" s="77"/>
      <c r="K12" s="28"/>
      <c r="L12" s="77"/>
      <c r="N12">
        <f>SUM(B12:M12)</f>
        <v>0</v>
      </c>
      <c r="O12" s="178" t="s">
        <v>192</v>
      </c>
      <c r="P12" s="179"/>
    </row>
    <row r="13" spans="1:17">
      <c r="A13" t="s">
        <v>986</v>
      </c>
      <c r="B13" s="126">
        <f>SUM(B11:B12)</f>
        <v>0</v>
      </c>
      <c r="C13" s="126">
        <f t="shared" ref="C13:N13" si="0">SUM(C11:C12)</f>
        <v>512</v>
      </c>
      <c r="D13" s="126">
        <f>SUM(D11:D12)</f>
        <v>1057587</v>
      </c>
      <c r="E13" s="126">
        <f>SUM(E11:E12)</f>
        <v>636462</v>
      </c>
      <c r="F13" s="126">
        <f t="shared" si="0"/>
        <v>400094</v>
      </c>
      <c r="G13" s="126">
        <f>SUM(G11:G12)</f>
        <v>273223</v>
      </c>
      <c r="H13" s="126">
        <f>SUM(H11:H12)</f>
        <v>1646545</v>
      </c>
      <c r="I13" s="126">
        <f t="shared" si="0"/>
        <v>282000</v>
      </c>
      <c r="J13" s="126">
        <f t="shared" si="0"/>
        <v>319188</v>
      </c>
      <c r="K13" s="28"/>
      <c r="L13" s="126">
        <f t="shared" si="0"/>
        <v>88910</v>
      </c>
      <c r="N13" s="126">
        <f t="shared" si="0"/>
        <v>4704521</v>
      </c>
      <c r="P13" s="1067">
        <f>+P14-N13</f>
        <v>0</v>
      </c>
      <c r="Q13" s="264" t="s">
        <v>3365</v>
      </c>
    </row>
    <row r="14" spans="1:17">
      <c r="K14" s="28"/>
      <c r="P14" s="146">
        <v>4704521</v>
      </c>
      <c r="Q14" s="264" t="s">
        <v>3231</v>
      </c>
    </row>
    <row r="15" spans="1:17">
      <c r="A15" t="s">
        <v>987</v>
      </c>
      <c r="K15" s="28"/>
      <c r="Q15" s="264" t="s">
        <v>3365</v>
      </c>
    </row>
    <row r="16" spans="1:17">
      <c r="A16" t="s">
        <v>339</v>
      </c>
      <c r="B16" s="38"/>
      <c r="C16" s="38"/>
      <c r="D16" s="38"/>
      <c r="E16" s="38"/>
      <c r="F16" s="38"/>
      <c r="G16" s="38"/>
      <c r="H16" s="38"/>
      <c r="I16" s="38"/>
      <c r="J16" s="38"/>
      <c r="K16" s="28"/>
      <c r="L16" s="38"/>
      <c r="N16" s="38"/>
    </row>
    <row r="17" spans="1:24">
      <c r="A17" t="s">
        <v>988</v>
      </c>
      <c r="B17">
        <f>SUM(B16)</f>
        <v>0</v>
      </c>
      <c r="C17">
        <f t="shared" ref="C17:L17" si="1">SUM(C16)</f>
        <v>0</v>
      </c>
      <c r="D17">
        <f>SUM(D16)</f>
        <v>0</v>
      </c>
      <c r="E17">
        <f>SUM(E16)</f>
        <v>0</v>
      </c>
      <c r="F17">
        <f t="shared" si="1"/>
        <v>0</v>
      </c>
      <c r="G17">
        <f>SUM(G16)</f>
        <v>0</v>
      </c>
      <c r="H17">
        <f>SUM(H16)</f>
        <v>0</v>
      </c>
      <c r="I17">
        <f t="shared" si="1"/>
        <v>0</v>
      </c>
      <c r="J17">
        <f t="shared" si="1"/>
        <v>0</v>
      </c>
      <c r="K17" s="28"/>
      <c r="L17">
        <f t="shared" si="1"/>
        <v>0</v>
      </c>
      <c r="N17">
        <f>SUM(N16)</f>
        <v>0</v>
      </c>
    </row>
    <row r="18" spans="1:24">
      <c r="B18" s="38"/>
      <c r="C18" s="38"/>
      <c r="D18" s="38"/>
      <c r="E18" s="38"/>
      <c r="F18" s="38"/>
      <c r="G18" s="38"/>
      <c r="H18" s="38"/>
      <c r="I18" s="38"/>
      <c r="J18" s="38"/>
      <c r="K18" s="28"/>
      <c r="L18" s="38"/>
    </row>
    <row r="19" spans="1:24" ht="13.5" thickBot="1">
      <c r="A19" s="21" t="s">
        <v>1691</v>
      </c>
      <c r="B19" s="41">
        <f>SUM(B13-B17)</f>
        <v>0</v>
      </c>
      <c r="C19" s="41">
        <f t="shared" ref="C19:L19" si="2">SUM(C13-C17)</f>
        <v>512</v>
      </c>
      <c r="D19" s="41">
        <f>SUM(D13-D17)</f>
        <v>1057587</v>
      </c>
      <c r="E19" s="41">
        <f>SUM(E13-E17)</f>
        <v>636462</v>
      </c>
      <c r="F19" s="41">
        <f t="shared" si="2"/>
        <v>400094</v>
      </c>
      <c r="G19" s="41">
        <f>SUM(G13-G17)</f>
        <v>273223</v>
      </c>
      <c r="H19" s="41">
        <f>SUM(H13-H17)</f>
        <v>1646545</v>
      </c>
      <c r="I19" s="41">
        <f t="shared" si="2"/>
        <v>282000</v>
      </c>
      <c r="J19" s="41">
        <f t="shared" si="2"/>
        <v>319188</v>
      </c>
      <c r="K19" s="28"/>
      <c r="L19" s="41">
        <f t="shared" si="2"/>
        <v>88910</v>
      </c>
      <c r="N19" s="41">
        <f>SUM(N13-N17)</f>
        <v>4704521</v>
      </c>
    </row>
    <row r="20" spans="1:24" ht="13.5" thickTop="1">
      <c r="K20" s="28"/>
    </row>
    <row r="21" spans="1:24">
      <c r="F21" t="s">
        <v>118</v>
      </c>
      <c r="J21">
        <f>SUM(B19:J19)</f>
        <v>4615611</v>
      </c>
      <c r="K21" s="28"/>
    </row>
    <row r="22" spans="1:24">
      <c r="B22" s="21" t="s">
        <v>2888</v>
      </c>
      <c r="G22">
        <f>+G19+F19</f>
        <v>673317</v>
      </c>
    </row>
    <row r="23" spans="1:24">
      <c r="B23" s="21" t="s">
        <v>2889</v>
      </c>
    </row>
    <row r="28" spans="1:24">
      <c r="C28" s="77" t="s">
        <v>2415</v>
      </c>
      <c r="D28" s="77"/>
      <c r="E28" s="77"/>
      <c r="F28" s="77"/>
      <c r="G28" s="77"/>
      <c r="H28" s="77"/>
      <c r="I28" s="77"/>
      <c r="J28" s="740" t="s">
        <v>3364</v>
      </c>
    </row>
    <row r="29" spans="1:24">
      <c r="C29" s="83" t="s">
        <v>3077</v>
      </c>
      <c r="D29" s="83"/>
      <c r="E29" s="83"/>
      <c r="F29" s="83"/>
      <c r="G29" s="83"/>
      <c r="H29" s="83"/>
      <c r="I29" s="83"/>
      <c r="J29" s="740" t="s">
        <v>3223</v>
      </c>
    </row>
    <row r="30" spans="1:24">
      <c r="F30" s="21"/>
    </row>
    <row r="32" spans="1:24">
      <c r="N32">
        <v>512.08000000000004</v>
      </c>
      <c r="P32">
        <v>512</v>
      </c>
      <c r="Q32">
        <v>1057587</v>
      </c>
      <c r="R32">
        <v>636462</v>
      </c>
      <c r="S32">
        <v>400094</v>
      </c>
      <c r="T32">
        <v>273223</v>
      </c>
      <c r="U32">
        <v>1646545</v>
      </c>
      <c r="V32">
        <v>282000</v>
      </c>
      <c r="W32">
        <v>319188</v>
      </c>
      <c r="X32">
        <v>88911</v>
      </c>
    </row>
    <row r="33" spans="14:14">
      <c r="N33">
        <v>1057586.6000000001</v>
      </c>
    </row>
    <row r="34" spans="14:14">
      <c r="N34">
        <v>636462.18999999994</v>
      </c>
    </row>
    <row r="35" spans="14:14">
      <c r="N35">
        <v>400094.04</v>
      </c>
    </row>
    <row r="36" spans="14:14">
      <c r="N36">
        <v>273223.18</v>
      </c>
    </row>
    <row r="37" spans="14:14">
      <c r="N37">
        <v>1646545.29</v>
      </c>
    </row>
    <row r="38" spans="14:14">
      <c r="N38">
        <v>282000.21999999997</v>
      </c>
    </row>
    <row r="39" spans="14:14">
      <c r="N39">
        <v>319187.57</v>
      </c>
    </row>
    <row r="40" spans="14:14">
      <c r="N40">
        <v>88910.38</v>
      </c>
    </row>
  </sheetData>
  <phoneticPr fontId="0" type="noConversion"/>
  <pageMargins left="0.33" right="0.33" top="0.5" bottom="0.5" header="0.5" footer="0.5"/>
  <pageSetup scale="85" orientation="landscape" r:id="rId1"/>
  <headerFooter alignWithMargins="0">
    <oddFooter>&amp;L&amp;D&amp;R&amp;F  &amp;A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ransitionEvaluation="1" codeName="Sheet51">
    <tabColor rgb="FFFFC000"/>
  </sheetPr>
  <dimension ref="A1:Y75"/>
  <sheetViews>
    <sheetView topLeftCell="A11" zoomScale="80" zoomScaleNormal="80" workbookViewId="0">
      <pane xSplit="2" ySplit="4" topLeftCell="C15" activePane="bottomRight" state="frozen"/>
      <selection activeCell="AS44" sqref="AS44"/>
      <selection pane="topRight" activeCell="AS44" sqref="AS44"/>
      <selection pane="bottomLeft" activeCell="AS44" sqref="AS44"/>
      <selection pane="bottomRight" activeCell="T43" sqref="T43"/>
    </sheetView>
  </sheetViews>
  <sheetFormatPr defaultColWidth="9.7109375" defaultRowHeight="12.75"/>
  <cols>
    <col min="1" max="1" width="35.28515625" customWidth="1"/>
    <col min="2" max="2" width="11.7109375" hidden="1" customWidth="1"/>
    <col min="3" max="3" width="13.5703125" customWidth="1"/>
    <col min="4" max="5" width="11.7109375" hidden="1" customWidth="1"/>
    <col min="6" max="6" width="12.5703125" customWidth="1"/>
    <col min="7" max="13" width="11.7109375" customWidth="1"/>
    <col min="14" max="14" width="11.7109375" hidden="1" customWidth="1"/>
    <col min="15" max="15" width="11.7109375" customWidth="1"/>
    <col min="16" max="16" width="2.42578125" customWidth="1"/>
    <col min="17" max="17" width="13.85546875" bestFit="1" customWidth="1"/>
    <col min="18" max="18" width="3.7109375" bestFit="1" customWidth="1"/>
    <col min="19" max="19" width="0.42578125" customWidth="1"/>
    <col min="20" max="20" width="16.7109375" customWidth="1"/>
    <col min="21" max="21" width="43" bestFit="1" customWidth="1"/>
    <col min="22" max="23" width="18.85546875" bestFit="1" customWidth="1"/>
    <col min="24" max="24" width="13.85546875" bestFit="1" customWidth="1"/>
    <col min="25" max="26" width="19.85546875" bestFit="1" customWidth="1"/>
    <col min="27" max="27" width="11.85546875" customWidth="1"/>
  </cols>
  <sheetData>
    <row r="1" spans="1:24" ht="15.75">
      <c r="A1" s="13" t="s">
        <v>10</v>
      </c>
      <c r="B1" s="20"/>
      <c r="C1" s="20"/>
      <c r="D1" s="20"/>
      <c r="E1" s="20"/>
      <c r="F1" s="20"/>
      <c r="G1" s="20"/>
      <c r="H1" s="20"/>
      <c r="I1" s="20"/>
      <c r="J1" s="20"/>
      <c r="K1" s="20"/>
      <c r="L1" s="20"/>
      <c r="M1" s="20"/>
      <c r="N1" s="20"/>
      <c r="O1" s="20"/>
      <c r="P1" s="20"/>
      <c r="Q1" s="20"/>
      <c r="R1" s="20"/>
      <c r="S1" s="20"/>
      <c r="T1" s="20"/>
      <c r="U1" s="20"/>
    </row>
    <row r="2" spans="1:24" ht="15.75">
      <c r="A2" s="13" t="s">
        <v>870</v>
      </c>
      <c r="B2" s="20"/>
      <c r="C2" s="20"/>
      <c r="D2" s="20"/>
      <c r="E2" s="20"/>
      <c r="F2" s="20"/>
      <c r="G2" s="20"/>
      <c r="H2" s="20"/>
      <c r="I2" s="20"/>
      <c r="J2" s="20"/>
      <c r="K2" s="20"/>
      <c r="L2" s="20"/>
      <c r="M2" s="20"/>
      <c r="N2" s="20"/>
      <c r="O2" s="20"/>
      <c r="P2" s="20"/>
      <c r="Q2" s="20"/>
      <c r="R2" s="20"/>
      <c r="S2" s="20"/>
      <c r="T2" s="20"/>
      <c r="U2" s="20"/>
    </row>
    <row r="3" spans="1:24">
      <c r="A3" s="26"/>
      <c r="B3" s="20"/>
      <c r="C3" s="20"/>
      <c r="D3" s="20"/>
      <c r="E3" s="20"/>
      <c r="F3" s="20"/>
      <c r="G3" s="20"/>
      <c r="H3" s="20"/>
      <c r="I3" s="20"/>
      <c r="J3" s="20"/>
      <c r="K3" s="20"/>
      <c r="L3" s="20"/>
      <c r="M3" s="20"/>
      <c r="N3" s="20"/>
      <c r="O3" s="20"/>
      <c r="P3" s="20"/>
      <c r="Q3" s="20"/>
      <c r="R3" s="20"/>
      <c r="S3" s="20"/>
      <c r="T3" s="20"/>
      <c r="U3" s="20"/>
    </row>
    <row r="4" spans="1:24">
      <c r="A4" s="26" t="s">
        <v>879</v>
      </c>
      <c r="B4" s="20"/>
      <c r="C4" s="20"/>
      <c r="D4" s="20"/>
      <c r="E4" s="20"/>
      <c r="F4" s="20"/>
      <c r="G4" s="20"/>
      <c r="H4" s="20"/>
      <c r="I4" s="20"/>
      <c r="J4" s="20"/>
      <c r="K4" s="20"/>
      <c r="L4" s="20"/>
      <c r="M4" s="20"/>
      <c r="N4" s="20"/>
      <c r="O4" s="20"/>
      <c r="P4" s="20"/>
      <c r="Q4" s="20"/>
      <c r="R4" s="20"/>
      <c r="S4" s="20"/>
      <c r="T4" s="20"/>
      <c r="U4" s="20"/>
    </row>
    <row r="5" spans="1:24">
      <c r="A5" s="26" t="s">
        <v>880</v>
      </c>
      <c r="B5" s="20"/>
      <c r="C5" s="20"/>
      <c r="D5" s="20"/>
      <c r="E5" s="20"/>
      <c r="F5" s="20"/>
      <c r="G5" s="20"/>
      <c r="H5" s="20"/>
      <c r="I5" s="20"/>
      <c r="J5" s="20"/>
      <c r="K5" s="20"/>
      <c r="L5" s="20"/>
      <c r="M5" s="20"/>
      <c r="N5" s="20"/>
      <c r="O5" s="20"/>
      <c r="P5" s="20"/>
      <c r="Q5" s="20"/>
      <c r="R5" s="20"/>
      <c r="S5" s="20"/>
      <c r="T5" s="20"/>
      <c r="U5" s="20"/>
    </row>
    <row r="6" spans="1:24">
      <c r="A6" s="26" t="str">
        <f>+'Sys INPUT'!B2</f>
        <v>For the  Fiscal Year Ended June 30, 2023</v>
      </c>
      <c r="B6" s="20"/>
      <c r="C6" s="20"/>
      <c r="D6" s="20"/>
      <c r="E6" s="20"/>
      <c r="F6" s="20"/>
      <c r="G6" s="20"/>
      <c r="H6" s="20"/>
      <c r="I6" s="20"/>
      <c r="J6" s="20"/>
      <c r="K6" s="20"/>
      <c r="L6" s="20"/>
      <c r="M6" s="20"/>
      <c r="N6" s="20"/>
      <c r="O6" s="20"/>
      <c r="P6" s="20"/>
      <c r="Q6" s="20"/>
      <c r="R6" s="20"/>
      <c r="S6" s="20"/>
      <c r="T6" s="20"/>
      <c r="U6" s="20"/>
    </row>
    <row r="7" spans="1:24">
      <c r="A7" s="22"/>
    </row>
    <row r="8" spans="1:24">
      <c r="Q8" s="21" t="s">
        <v>1541</v>
      </c>
    </row>
    <row r="9" spans="1:24">
      <c r="Q9" t="s">
        <v>318</v>
      </c>
    </row>
    <row r="10" spans="1:24">
      <c r="B10" t="s">
        <v>1265</v>
      </c>
      <c r="F10" s="39"/>
      <c r="G10" s="39"/>
      <c r="H10" s="39"/>
      <c r="I10" s="39"/>
      <c r="J10" s="39"/>
      <c r="K10" s="39"/>
      <c r="L10" s="39"/>
      <c r="M10" s="39"/>
      <c r="N10" s="28"/>
      <c r="O10" s="28"/>
      <c r="P10" s="39"/>
      <c r="Q10" t="s">
        <v>319</v>
      </c>
      <c r="R10" s="39"/>
      <c r="X10" t="s">
        <v>1266</v>
      </c>
    </row>
    <row r="11" spans="1:24">
      <c r="B11" s="28"/>
      <c r="C11" s="26" t="s">
        <v>212</v>
      </c>
      <c r="D11" s="20"/>
      <c r="E11" s="20"/>
      <c r="F11" s="26"/>
      <c r="G11" s="26"/>
      <c r="H11" s="26"/>
      <c r="I11" s="26"/>
      <c r="J11" s="26"/>
      <c r="K11" s="26"/>
      <c r="L11" s="26"/>
      <c r="M11" s="26"/>
      <c r="N11" s="28" t="s">
        <v>212</v>
      </c>
      <c r="O11" s="28" t="s">
        <v>212</v>
      </c>
      <c r="Q11" s="26"/>
      <c r="R11" s="28"/>
      <c r="S11" s="28"/>
      <c r="T11" s="28" t="s">
        <v>792</v>
      </c>
      <c r="X11" s="28" t="s">
        <v>212</v>
      </c>
    </row>
    <row r="12" spans="1:24">
      <c r="B12" s="28" t="s">
        <v>213</v>
      </c>
      <c r="C12" s="74" t="s">
        <v>214</v>
      </c>
      <c r="D12" s="59"/>
      <c r="E12" s="59"/>
      <c r="F12" s="74"/>
      <c r="G12" s="74"/>
      <c r="H12" s="74"/>
      <c r="I12" s="74"/>
      <c r="J12" s="74"/>
      <c r="K12" s="74"/>
      <c r="L12" s="74"/>
      <c r="M12" s="74"/>
      <c r="N12" s="28" t="s">
        <v>215</v>
      </c>
      <c r="O12" s="28" t="s">
        <v>215</v>
      </c>
      <c r="Q12" s="26"/>
      <c r="R12" s="28"/>
      <c r="S12" s="28"/>
      <c r="T12" s="28" t="s">
        <v>216</v>
      </c>
      <c r="X12" s="28" t="s">
        <v>215</v>
      </c>
    </row>
    <row r="13" spans="1:24">
      <c r="B13" s="28" t="s">
        <v>791</v>
      </c>
      <c r="C13" s="28" t="s">
        <v>772</v>
      </c>
      <c r="F13" s="28" t="s">
        <v>17</v>
      </c>
      <c r="G13" s="28" t="s">
        <v>17</v>
      </c>
      <c r="H13" s="28" t="s">
        <v>17</v>
      </c>
      <c r="I13" s="28" t="s">
        <v>17</v>
      </c>
      <c r="J13" s="28" t="s">
        <v>18</v>
      </c>
      <c r="K13" s="28" t="s">
        <v>18</v>
      </c>
      <c r="L13" s="28" t="s">
        <v>18</v>
      </c>
      <c r="M13" s="28" t="s">
        <v>19</v>
      </c>
      <c r="N13" s="28" t="s">
        <v>2735</v>
      </c>
      <c r="O13" s="28" t="s">
        <v>2736</v>
      </c>
      <c r="Q13" s="28" t="s">
        <v>792</v>
      </c>
      <c r="R13" s="28"/>
      <c r="S13" s="28"/>
      <c r="T13" s="28" t="s">
        <v>981</v>
      </c>
      <c r="X13" s="28" t="s">
        <v>217</v>
      </c>
    </row>
    <row r="14" spans="1:24">
      <c r="A14" t="s">
        <v>197</v>
      </c>
      <c r="B14" s="37" t="s">
        <v>983</v>
      </c>
      <c r="C14" s="37" t="s">
        <v>981</v>
      </c>
      <c r="F14" s="37" t="s">
        <v>1903</v>
      </c>
      <c r="G14" s="37" t="s">
        <v>1904</v>
      </c>
      <c r="H14" s="37" t="s">
        <v>2590</v>
      </c>
      <c r="I14" s="37" t="s">
        <v>3025</v>
      </c>
      <c r="J14" s="37" t="s">
        <v>1903</v>
      </c>
      <c r="K14" s="37" t="s">
        <v>1904</v>
      </c>
      <c r="L14" s="37" t="s">
        <v>2590</v>
      </c>
      <c r="M14" s="37" t="s">
        <v>984</v>
      </c>
      <c r="N14" s="37" t="s">
        <v>984</v>
      </c>
      <c r="O14" s="37" t="s">
        <v>1904</v>
      </c>
      <c r="Q14" s="37" t="s">
        <v>984</v>
      </c>
      <c r="R14" s="37"/>
      <c r="S14" s="28"/>
      <c r="T14" s="37" t="s">
        <v>985</v>
      </c>
      <c r="X14" s="37" t="s">
        <v>984</v>
      </c>
    </row>
    <row r="15" spans="1:24" ht="13.5" thickBot="1">
      <c r="B15" s="37"/>
      <c r="C15" s="37"/>
      <c r="F15" s="37" t="s">
        <v>3202</v>
      </c>
      <c r="G15" s="37" t="s">
        <v>3203</v>
      </c>
      <c r="H15" s="37" t="s">
        <v>3204</v>
      </c>
      <c r="I15" s="37" t="s">
        <v>3201</v>
      </c>
      <c r="J15" s="37"/>
      <c r="K15" s="37"/>
      <c r="L15" s="37"/>
      <c r="M15" s="37"/>
      <c r="N15" s="37"/>
      <c r="O15" s="37"/>
      <c r="Q15" s="37"/>
      <c r="R15" s="37"/>
      <c r="S15" s="28"/>
      <c r="T15" s="37"/>
      <c r="X15" s="37"/>
    </row>
    <row r="16" spans="1:24" ht="15.75" thickBot="1">
      <c r="A16" t="s">
        <v>860</v>
      </c>
      <c r="B16" s="87"/>
      <c r="C16" s="77">
        <v>0</v>
      </c>
      <c r="Q16" s="1124">
        <f>ROUND(V20,0)-Q17</f>
        <v>5274294</v>
      </c>
      <c r="R16" s="257" t="s">
        <v>354</v>
      </c>
      <c r="S16" s="28"/>
      <c r="T16" s="68">
        <f>+B16+C16+Q16+S16</f>
        <v>5274294</v>
      </c>
      <c r="U16" s="170"/>
    </row>
    <row r="17" spans="1:24">
      <c r="A17" t="s">
        <v>135</v>
      </c>
      <c r="B17" s="38">
        <f>+B54</f>
        <v>0</v>
      </c>
      <c r="F17" s="146">
        <f>ROUND(+X49,0)+Y49</f>
        <v>2</v>
      </c>
      <c r="G17" s="146">
        <f>ROUND(+X50,0)</f>
        <v>4546</v>
      </c>
      <c r="H17" s="146">
        <f>ROUND(+X51,0)</f>
        <v>2726</v>
      </c>
      <c r="I17" s="146">
        <f>ROUND(+X48,0)</f>
        <v>1656</v>
      </c>
      <c r="J17" s="146">
        <f>ROUND(+X52,0)</f>
        <v>1174</v>
      </c>
      <c r="K17" s="146">
        <f>ROUND(+X53,0)</f>
        <v>7005</v>
      </c>
      <c r="L17" s="146">
        <f>ROUND(+X54,0)</f>
        <v>1213</v>
      </c>
      <c r="M17" s="146">
        <f>ROUND(+X55,0)</f>
        <v>1371</v>
      </c>
      <c r="N17" s="146">
        <f t="shared" ref="N17" si="0">ROUND(+N54,0)</f>
        <v>0</v>
      </c>
      <c r="O17" s="146">
        <f>ROUND(+X58,0)</f>
        <v>382</v>
      </c>
      <c r="Q17">
        <f>SUM(D17:P17)</f>
        <v>20075</v>
      </c>
      <c r="S17" s="28"/>
      <c r="T17" s="79">
        <f>+B17+C17+Q17+S17</f>
        <v>20075</v>
      </c>
      <c r="U17" s="208" t="s">
        <v>2293</v>
      </c>
      <c r="V17" s="127"/>
    </row>
    <row r="18" spans="1:24">
      <c r="S18" s="28"/>
      <c r="T18" s="69"/>
      <c r="U18" s="258" t="s">
        <v>2012</v>
      </c>
    </row>
    <row r="19" spans="1:24">
      <c r="A19" t="s">
        <v>136</v>
      </c>
      <c r="B19">
        <f>SUM(B16:B17)</f>
        <v>0</v>
      </c>
      <c r="C19" s="126">
        <f>SUM(C16:C17)</f>
        <v>0</v>
      </c>
      <c r="Q19" s="126">
        <f>SUM(Q16:Q17)</f>
        <v>5294369</v>
      </c>
      <c r="S19" s="28"/>
      <c r="T19" s="69">
        <f>SUM(T16:T17)</f>
        <v>5294369</v>
      </c>
      <c r="U19" s="258" t="s">
        <v>2749</v>
      </c>
      <c r="V19" s="37" t="s">
        <v>2434</v>
      </c>
      <c r="W19" s="37" t="s">
        <v>2435</v>
      </c>
      <c r="X19" s="37" t="s">
        <v>792</v>
      </c>
    </row>
    <row r="20" spans="1:24">
      <c r="S20" s="28"/>
      <c r="T20" s="69"/>
      <c r="U20" s="258" t="s">
        <v>3217</v>
      </c>
      <c r="V20" s="77">
        <v>5294369</v>
      </c>
      <c r="W20" s="77">
        <v>4441690</v>
      </c>
      <c r="X20" s="77">
        <v>4704521</v>
      </c>
    </row>
    <row r="21" spans="1:24">
      <c r="A21" t="s">
        <v>861</v>
      </c>
      <c r="S21" s="28"/>
      <c r="T21" s="69"/>
      <c r="U21" s="264"/>
      <c r="V21" s="264" t="s">
        <v>3366</v>
      </c>
    </row>
    <row r="22" spans="1:24">
      <c r="A22" t="s">
        <v>137</v>
      </c>
      <c r="B22" s="77"/>
      <c r="C22" s="77">
        <v>0</v>
      </c>
      <c r="Q22" s="1124">
        <f>ROUND(W20,0)+1</f>
        <v>4441691</v>
      </c>
      <c r="R22" s="257" t="s">
        <v>354</v>
      </c>
      <c r="S22" s="28"/>
      <c r="T22" s="69">
        <f>+B22+C22+Q22+S22</f>
        <v>4441691</v>
      </c>
      <c r="U22" s="259"/>
    </row>
    <row r="23" spans="1:24">
      <c r="A23" t="s">
        <v>138</v>
      </c>
      <c r="S23" s="28"/>
      <c r="T23" s="69"/>
      <c r="U23" s="260" t="s">
        <v>1542</v>
      </c>
    </row>
    <row r="24" spans="1:24">
      <c r="S24" s="28"/>
      <c r="T24" s="126"/>
      <c r="U24" s="258" t="s">
        <v>2013</v>
      </c>
      <c r="V24" s="264" t="s">
        <v>3220</v>
      </c>
    </row>
    <row r="25" spans="1:24">
      <c r="A25" t="s">
        <v>139</v>
      </c>
      <c r="B25" s="38">
        <f>SUM(B22:B23)</f>
        <v>0</v>
      </c>
      <c r="C25" s="126">
        <f>SUM(C22:C23)</f>
        <v>0</v>
      </c>
      <c r="Q25" s="126">
        <f>SUM(Q22:Q23)</f>
        <v>4441691</v>
      </c>
      <c r="S25" s="28"/>
      <c r="T25" s="80">
        <f>SUM(T22:T23)</f>
        <v>4441691</v>
      </c>
      <c r="U25" s="259" t="s">
        <v>2011</v>
      </c>
    </row>
    <row r="26" spans="1:24">
      <c r="S26" s="28"/>
      <c r="T26" s="69"/>
      <c r="U26" s="261" t="s">
        <v>3190</v>
      </c>
    </row>
    <row r="27" spans="1:24">
      <c r="A27" t="s">
        <v>862</v>
      </c>
      <c r="B27">
        <f>SUM(B19-B25)</f>
        <v>0</v>
      </c>
      <c r="C27" s="126">
        <f>SUM(C19-C25)</f>
        <v>0</v>
      </c>
      <c r="Q27" s="126">
        <f>SUM(Q19-Q25)</f>
        <v>852678</v>
      </c>
      <c r="S27" s="28"/>
      <c r="T27" s="69">
        <f>SUM(T19-T25)</f>
        <v>852678</v>
      </c>
      <c r="U27" s="262" t="s">
        <v>2937</v>
      </c>
    </row>
    <row r="28" spans="1:24">
      <c r="S28" s="28"/>
      <c r="T28" s="69"/>
      <c r="U28" s="262" t="s">
        <v>1543</v>
      </c>
    </row>
    <row r="29" spans="1:24">
      <c r="A29" s="139" t="s">
        <v>1693</v>
      </c>
      <c r="B29" s="86"/>
      <c r="C29" s="78">
        <v>0</v>
      </c>
      <c r="F29" s="606" t="s">
        <v>920</v>
      </c>
      <c r="Q29" s="78">
        <v>3851843</v>
      </c>
      <c r="R29" s="606" t="s">
        <v>920</v>
      </c>
      <c r="S29" s="28"/>
      <c r="T29" s="69">
        <f>+B29+C29+Q29+S29</f>
        <v>3851843</v>
      </c>
      <c r="U29" s="263">
        <v>7830379</v>
      </c>
      <c r="V29" s="606" t="s">
        <v>920</v>
      </c>
    </row>
    <row r="30" spans="1:24">
      <c r="S30" s="28"/>
      <c r="T30" s="69"/>
      <c r="U30" s="607">
        <f>+U29-T29</f>
        <v>3978536</v>
      </c>
      <c r="V30" s="249" t="s">
        <v>3302</v>
      </c>
    </row>
    <row r="31" spans="1:24" hidden="1">
      <c r="A31" t="s">
        <v>748</v>
      </c>
      <c r="S31" s="28"/>
      <c r="T31" s="69">
        <f>SUM(B31:S31)</f>
        <v>0</v>
      </c>
      <c r="U31" s="259"/>
    </row>
    <row r="32" spans="1:24" hidden="1">
      <c r="S32" s="28"/>
      <c r="T32" s="69"/>
      <c r="U32" s="259"/>
    </row>
    <row r="33" spans="1:24" hidden="1">
      <c r="A33" t="s">
        <v>749</v>
      </c>
      <c r="B33">
        <f>SUM(B29+B31)</f>
        <v>0</v>
      </c>
      <c r="C33">
        <f>SUM(C29+C31)</f>
        <v>0</v>
      </c>
      <c r="Q33">
        <f>SUM(Q29+Q31)</f>
        <v>3851843</v>
      </c>
      <c r="S33" s="28"/>
      <c r="T33" s="69">
        <f>SUM(T29+T31)</f>
        <v>3851843</v>
      </c>
      <c r="U33" s="259"/>
    </row>
    <row r="34" spans="1:24">
      <c r="S34" s="28"/>
      <c r="T34" s="69"/>
      <c r="U34" s="259"/>
    </row>
    <row r="35" spans="1:24" ht="13.5" thickBot="1">
      <c r="A35" s="21" t="s">
        <v>1694</v>
      </c>
      <c r="B35" s="41">
        <f>SUM(B27+B33)</f>
        <v>0</v>
      </c>
      <c r="C35" s="41">
        <f>SUM(C27+C33)</f>
        <v>0</v>
      </c>
      <c r="F35" s="609">
        <f>ROUND(Q69,0)-C35</f>
        <v>0</v>
      </c>
      <c r="G35" s="173"/>
      <c r="H35" s="173"/>
      <c r="I35" s="173"/>
      <c r="Q35" s="41">
        <f>SUM(Q27+Q33)</f>
        <v>4704521</v>
      </c>
      <c r="S35" s="28"/>
      <c r="T35" s="41">
        <f>SUM(T27+T33)</f>
        <v>4704521</v>
      </c>
      <c r="U35" s="258" t="s">
        <v>3222</v>
      </c>
    </row>
    <row r="36" spans="1:24" ht="13.5" thickTop="1">
      <c r="S36" s="28"/>
      <c r="T36" s="69"/>
      <c r="U36" s="258" t="s">
        <v>807</v>
      </c>
    </row>
    <row r="37" spans="1:24">
      <c r="S37" s="28"/>
      <c r="T37" s="171" t="s">
        <v>1544</v>
      </c>
      <c r="U37" s="259"/>
    </row>
    <row r="38" spans="1:24" ht="13.5" thickBot="1">
      <c r="C38" s="174">
        <f>+'FID FDS'!B19</f>
        <v>0</v>
      </c>
      <c r="Q38" s="1125">
        <f>+ROUND(X20,0)</f>
        <v>4704521</v>
      </c>
      <c r="R38" s="257" t="s">
        <v>354</v>
      </c>
      <c r="S38" s="28"/>
      <c r="T38" s="172" t="s">
        <v>989</v>
      </c>
      <c r="U38" s="259"/>
    </row>
    <row r="39" spans="1:24">
      <c r="C39" s="608">
        <f>+C38-C35</f>
        <v>0</v>
      </c>
      <c r="Q39" s="85">
        <f>+Q38-Q35</f>
        <v>0</v>
      </c>
      <c r="S39" s="28"/>
      <c r="T39" s="264" t="s">
        <v>3191</v>
      </c>
      <c r="U39" s="259"/>
      <c r="W39" s="603"/>
    </row>
    <row r="40" spans="1:24">
      <c r="S40" s="28"/>
      <c r="T40" s="264" t="s">
        <v>3367</v>
      </c>
      <c r="U40" s="258" t="s">
        <v>3221</v>
      </c>
      <c r="V40" s="174">
        <f>+'FID FDS'!P14</f>
        <v>4704521</v>
      </c>
      <c r="W40" s="264"/>
    </row>
    <row r="41" spans="1:24">
      <c r="A41" s="36" t="s">
        <v>1203</v>
      </c>
      <c r="I41" s="1211" t="s">
        <v>3301</v>
      </c>
      <c r="J41" s="1211"/>
      <c r="K41" s="1211"/>
      <c r="L41" s="1211"/>
      <c r="S41" s="28"/>
      <c r="U41" s="258" t="s">
        <v>2014</v>
      </c>
      <c r="V41" s="145">
        <f>+V40-Q38</f>
        <v>0</v>
      </c>
      <c r="W41" s="264" t="s">
        <v>3365</v>
      </c>
    </row>
    <row r="42" spans="1:24">
      <c r="A42" s="27"/>
      <c r="B42" s="86"/>
      <c r="S42" s="28"/>
      <c r="U42" s="259"/>
    </row>
    <row r="43" spans="1:24">
      <c r="A43" s="27"/>
      <c r="B43" s="86"/>
      <c r="S43" s="28"/>
      <c r="U43" s="139"/>
    </row>
    <row r="44" spans="1:24">
      <c r="A44" s="27"/>
      <c r="B44" s="86"/>
      <c r="S44" s="28"/>
      <c r="U44" s="161" t="s">
        <v>3224</v>
      </c>
    </row>
    <row r="45" spans="1:24" ht="13.5" thickBot="1">
      <c r="A45" s="27"/>
      <c r="B45" s="86"/>
      <c r="S45" s="28"/>
      <c r="U45" s="264" t="s">
        <v>3366</v>
      </c>
    </row>
    <row r="46" spans="1:24">
      <c r="A46" s="27"/>
      <c r="B46" s="86"/>
      <c r="S46" s="28"/>
      <c r="U46" s="1118" t="s">
        <v>3081</v>
      </c>
      <c r="V46" s="1119"/>
    </row>
    <row r="47" spans="1:24">
      <c r="A47" s="27"/>
      <c r="B47" s="86"/>
      <c r="S47" s="28"/>
      <c r="U47" s="1120" t="s">
        <v>3082</v>
      </c>
      <c r="V47" s="1121"/>
      <c r="W47" s="37" t="s">
        <v>3216</v>
      </c>
      <c r="X47" s="37" t="s">
        <v>3225</v>
      </c>
    </row>
    <row r="48" spans="1:24">
      <c r="A48" s="27"/>
      <c r="B48" s="86"/>
      <c r="S48" s="28"/>
      <c r="U48" s="1120" t="s">
        <v>3083</v>
      </c>
      <c r="V48" s="1121"/>
      <c r="W48" t="s">
        <v>3205</v>
      </c>
      <c r="X48" s="1117">
        <v>1655.81</v>
      </c>
    </row>
    <row r="49" spans="1:25">
      <c r="A49" s="27"/>
      <c r="B49" s="86"/>
      <c r="S49" s="28"/>
      <c r="U49" s="1120" t="s">
        <v>3084</v>
      </c>
      <c r="V49" s="1121"/>
      <c r="W49" t="s">
        <v>3206</v>
      </c>
      <c r="X49" s="1117">
        <v>2.2000000000000002</v>
      </c>
      <c r="Y49" s="1117">
        <v>0</v>
      </c>
    </row>
    <row r="50" spans="1:25">
      <c r="A50" s="27"/>
      <c r="B50" s="86"/>
      <c r="S50" s="28"/>
      <c r="U50" s="1120" t="s">
        <v>3085</v>
      </c>
      <c r="V50" s="1121"/>
      <c r="W50" t="s">
        <v>3207</v>
      </c>
      <c r="X50" s="1117">
        <v>4546.12</v>
      </c>
    </row>
    <row r="51" spans="1:25">
      <c r="A51" s="27"/>
      <c r="B51" s="86"/>
      <c r="S51" s="28"/>
      <c r="U51" s="1120" t="s">
        <v>3086</v>
      </c>
      <c r="V51" s="1121"/>
      <c r="W51" t="s">
        <v>3208</v>
      </c>
      <c r="X51" s="1117">
        <v>2725.65</v>
      </c>
    </row>
    <row r="52" spans="1:25">
      <c r="A52" s="27"/>
      <c r="B52" s="86"/>
      <c r="S52" s="28"/>
      <c r="U52" s="1120" t="s">
        <v>3087</v>
      </c>
      <c r="V52" s="1121"/>
      <c r="W52" t="s">
        <v>3209</v>
      </c>
      <c r="X52" s="1117">
        <v>1173.8499999999999</v>
      </c>
    </row>
    <row r="53" spans="1:25">
      <c r="A53" s="27"/>
      <c r="B53" s="86"/>
      <c r="S53" s="28"/>
      <c r="U53" s="1120" t="s">
        <v>3088</v>
      </c>
      <c r="V53" s="1121"/>
      <c r="W53" t="s">
        <v>3210</v>
      </c>
      <c r="X53" s="1117">
        <v>7005.16</v>
      </c>
    </row>
    <row r="54" spans="1:25" ht="13.5" thickBot="1">
      <c r="B54">
        <f>SUM(B42:B53)</f>
        <v>0</v>
      </c>
      <c r="C54" s="41"/>
      <c r="D54" s="41"/>
      <c r="E54" s="41"/>
      <c r="F54" s="41"/>
      <c r="G54" s="41"/>
      <c r="H54" s="41"/>
      <c r="I54" s="41"/>
      <c r="J54" s="41"/>
      <c r="K54" s="41"/>
      <c r="L54" s="41"/>
      <c r="M54" s="41"/>
      <c r="N54" s="41"/>
      <c r="O54" s="41"/>
      <c r="P54" s="41"/>
      <c r="Q54" s="41"/>
      <c r="R54" s="41"/>
      <c r="S54" s="28"/>
      <c r="T54" s="41">
        <f>SUM(T42:T53)</f>
        <v>0</v>
      </c>
      <c r="U54" s="1120" t="s">
        <v>3089</v>
      </c>
      <c r="V54" s="1121"/>
      <c r="W54" t="s">
        <v>3211</v>
      </c>
      <c r="X54" s="1117">
        <v>1212.93</v>
      </c>
    </row>
    <row r="55" spans="1:25" ht="13.5" thickTop="1">
      <c r="S55" s="28"/>
      <c r="U55" s="1120" t="s">
        <v>3090</v>
      </c>
      <c r="V55" s="1121"/>
      <c r="W55" t="s">
        <v>3212</v>
      </c>
      <c r="X55" s="1117">
        <v>1371.31</v>
      </c>
    </row>
    <row r="56" spans="1:25">
      <c r="C56" s="37" t="s">
        <v>2006</v>
      </c>
      <c r="D56" s="37"/>
      <c r="E56" s="37"/>
      <c r="F56" s="37" t="s">
        <v>2007</v>
      </c>
      <c r="G56" s="210" t="s">
        <v>2008</v>
      </c>
      <c r="H56" s="210"/>
      <c r="I56" s="210"/>
      <c r="J56" s="37" t="s">
        <v>2010</v>
      </c>
      <c r="Q56" s="21" t="s">
        <v>2009</v>
      </c>
      <c r="S56" s="28"/>
      <c r="U56" s="1120" t="s">
        <v>3091</v>
      </c>
      <c r="V56" s="1121"/>
      <c r="W56" t="s">
        <v>3213</v>
      </c>
      <c r="X56" s="1117" t="s">
        <v>3368</v>
      </c>
    </row>
    <row r="57" spans="1:25" ht="13.5" thickBot="1">
      <c r="A57" s="205"/>
      <c r="B57" s="173"/>
      <c r="C57" s="173"/>
      <c r="D57" s="173"/>
      <c r="E57" s="173"/>
      <c r="F57" s="173"/>
      <c r="G57" s="173"/>
      <c r="H57" s="173"/>
      <c r="I57" s="173"/>
      <c r="J57" s="173"/>
      <c r="M57" s="173"/>
      <c r="N57" s="173"/>
      <c r="O57" s="173"/>
      <c r="Q57" s="205"/>
      <c r="R57" s="173"/>
      <c r="S57" s="28"/>
      <c r="U57" s="1122"/>
      <c r="V57" s="1123"/>
      <c r="W57" t="s">
        <v>3214</v>
      </c>
      <c r="X57" s="1117" t="s">
        <v>3368</v>
      </c>
    </row>
    <row r="58" spans="1:25">
      <c r="A58" s="204">
        <v>44012</v>
      </c>
      <c r="W58" t="s">
        <v>3215</v>
      </c>
      <c r="X58" s="1117">
        <v>381.99</v>
      </c>
    </row>
    <row r="59" spans="1:25">
      <c r="A59" s="21" t="s">
        <v>2003</v>
      </c>
      <c r="C59" s="256">
        <v>0</v>
      </c>
    </row>
    <row r="60" spans="1:25" ht="13.5" thickBot="1">
      <c r="A60" s="21" t="s">
        <v>2004</v>
      </c>
      <c r="C60" s="256">
        <v>0</v>
      </c>
      <c r="X60" s="41">
        <f>SUM(X48:X59)</f>
        <v>20075.020000000004</v>
      </c>
    </row>
    <row r="61" spans="1:25" ht="13.5" thickTop="1">
      <c r="A61" s="21" t="s">
        <v>2005</v>
      </c>
      <c r="C61" s="256">
        <v>0</v>
      </c>
      <c r="U61" s="21"/>
    </row>
    <row r="62" spans="1:25">
      <c r="A62" s="206"/>
      <c r="C62" s="256">
        <v>0</v>
      </c>
      <c r="U62" s="21"/>
    </row>
    <row r="63" spans="1:25">
      <c r="A63" s="255">
        <v>0</v>
      </c>
      <c r="C63" s="173">
        <f>-C61+C67</f>
        <v>0</v>
      </c>
      <c r="D63" s="173"/>
      <c r="E63" s="173"/>
      <c r="F63" s="173">
        <f>-C60+C66</f>
        <v>0</v>
      </c>
      <c r="G63" s="173">
        <f>-C59+C65-C62+C68</f>
        <v>0</v>
      </c>
      <c r="H63" s="173"/>
      <c r="I63" s="173"/>
      <c r="J63" s="173">
        <f>SUM(C63:G63)</f>
        <v>0</v>
      </c>
      <c r="M63" s="173">
        <f>+A63+J63</f>
        <v>0</v>
      </c>
      <c r="N63" s="173"/>
      <c r="O63" s="173"/>
      <c r="Q63" s="852">
        <f>+A69</f>
        <v>0</v>
      </c>
      <c r="T63" s="173">
        <f>+Q63-M63</f>
        <v>0</v>
      </c>
      <c r="U63" s="209" t="s">
        <v>2611</v>
      </c>
    </row>
    <row r="64" spans="1:25">
      <c r="A64" s="204">
        <v>44196</v>
      </c>
      <c r="C64" s="173"/>
      <c r="Q64" s="21"/>
      <c r="U64" s="209" t="s">
        <v>2291</v>
      </c>
    </row>
    <row r="65" spans="1:21">
      <c r="A65" s="21" t="s">
        <v>2938</v>
      </c>
      <c r="C65" s="254">
        <v>0</v>
      </c>
      <c r="Q65" s="21"/>
      <c r="U65" s="741" t="s">
        <v>3218</v>
      </c>
    </row>
    <row r="66" spans="1:21">
      <c r="A66" s="21" t="s">
        <v>2939</v>
      </c>
      <c r="C66" s="254">
        <v>0</v>
      </c>
      <c r="Q66" s="21"/>
    </row>
    <row r="67" spans="1:21">
      <c r="A67" s="21" t="s">
        <v>2940</v>
      </c>
      <c r="C67" s="254">
        <v>0</v>
      </c>
      <c r="Q67" s="21"/>
    </row>
    <row r="68" spans="1:21">
      <c r="A68" s="21" t="s">
        <v>2292</v>
      </c>
      <c r="C68" s="254">
        <v>0</v>
      </c>
      <c r="Q68" s="21"/>
      <c r="U68" s="207" t="s">
        <v>2611</v>
      </c>
    </row>
    <row r="69" spans="1:21">
      <c r="A69" s="254">
        <v>0</v>
      </c>
      <c r="B69" s="173"/>
      <c r="C69" s="173">
        <f>+C73</f>
        <v>0</v>
      </c>
      <c r="D69" s="173"/>
      <c r="E69" s="173"/>
      <c r="F69" s="173">
        <f>-C66+C72</f>
        <v>0</v>
      </c>
      <c r="G69" s="173">
        <f>-C65+C71+C74</f>
        <v>0</v>
      </c>
      <c r="H69" s="173"/>
      <c r="I69" s="173"/>
      <c r="J69" s="173">
        <f>SUM(C69:G69)</f>
        <v>0</v>
      </c>
      <c r="M69" s="173">
        <f>+A69+J69</f>
        <v>0</v>
      </c>
      <c r="N69" s="173"/>
      <c r="O69" s="173"/>
      <c r="Q69" s="852">
        <f>+A75</f>
        <v>0</v>
      </c>
      <c r="R69" s="173"/>
      <c r="T69" s="173">
        <f>+Q69-M69</f>
        <v>0</v>
      </c>
      <c r="U69" s="207" t="s">
        <v>2291</v>
      </c>
    </row>
    <row r="70" spans="1:21">
      <c r="A70" s="204">
        <v>44377</v>
      </c>
      <c r="C70" s="173"/>
      <c r="Q70" s="21"/>
      <c r="U70" s="742" t="s">
        <v>3219</v>
      </c>
    </row>
    <row r="71" spans="1:21">
      <c r="A71" s="21" t="s">
        <v>2003</v>
      </c>
      <c r="C71" s="255">
        <v>0</v>
      </c>
    </row>
    <row r="72" spans="1:21">
      <c r="A72" s="21" t="s">
        <v>2004</v>
      </c>
      <c r="C72" s="255">
        <v>0</v>
      </c>
    </row>
    <row r="73" spans="1:21">
      <c r="A73" s="21" t="s">
        <v>2005</v>
      </c>
      <c r="C73" s="255">
        <v>0</v>
      </c>
    </row>
    <row r="74" spans="1:21">
      <c r="A74" s="21" t="s">
        <v>2954</v>
      </c>
      <c r="C74" s="255">
        <v>0</v>
      </c>
    </row>
    <row r="75" spans="1:21">
      <c r="A75" s="255">
        <v>0</v>
      </c>
    </row>
  </sheetData>
  <phoneticPr fontId="0" type="noConversion"/>
  <hyperlinks>
    <hyperlink ref="F35" r:id="rId1" display="=+C34-@round(L68,0)" xr:uid="{00000000-0004-0000-3000-000000000000}"/>
  </hyperlinks>
  <pageMargins left="0.15" right="0.15" top="0.5" bottom="0.5" header="0.5" footer="0.5"/>
  <pageSetup scale="70" orientation="landscape" r:id="rId2"/>
  <headerFooter alignWithMargins="0">
    <oddFooter>&amp;L&amp;D&amp;R&amp;F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7">
    <tabColor theme="9"/>
    <pageSetUpPr fitToPage="1"/>
  </sheetPr>
  <dimension ref="B1:Z155"/>
  <sheetViews>
    <sheetView showGridLines="0" zoomScale="80" zoomScaleNormal="80" workbookViewId="0">
      <selection activeCell="S14" sqref="S14"/>
    </sheetView>
  </sheetViews>
  <sheetFormatPr defaultColWidth="9.140625" defaultRowHeight="15"/>
  <cols>
    <col min="1" max="1" width="5.7109375" style="661" customWidth="1"/>
    <col min="2" max="2" width="51.42578125" style="661" bestFit="1" customWidth="1"/>
    <col min="3" max="3" width="12.7109375" style="661" customWidth="1"/>
    <col min="4" max="4" width="13.85546875" style="661" customWidth="1"/>
    <col min="5" max="5" width="12.7109375" style="661" customWidth="1"/>
    <col min="6" max="6" width="31.5703125" style="661" customWidth="1"/>
    <col min="7" max="16" width="12.7109375" style="661" customWidth="1"/>
    <col min="17" max="17" width="2.7109375" style="661" customWidth="1"/>
    <col min="18" max="19" width="12.7109375" style="661" customWidth="1"/>
    <col min="20" max="20" width="9.85546875" style="661" bestFit="1" customWidth="1"/>
    <col min="21" max="21" width="12.7109375" style="661" customWidth="1"/>
    <col min="22" max="22" width="11.85546875" style="661" customWidth="1"/>
    <col min="23" max="16384" width="9.140625" style="661"/>
  </cols>
  <sheetData>
    <row r="1" spans="2:13" ht="18.75">
      <c r="B1" s="1031" t="s">
        <v>2670</v>
      </c>
      <c r="C1" s="1032"/>
      <c r="D1" s="1033"/>
      <c r="E1" s="1034"/>
      <c r="F1" s="1034"/>
    </row>
    <row r="2" spans="2:13" ht="15.75">
      <c r="B2" s="657"/>
      <c r="C2" s="658"/>
      <c r="D2" s="659"/>
      <c r="E2" s="660"/>
      <c r="F2" s="660"/>
    </row>
    <row r="3" spans="2:13" ht="18.75">
      <c r="B3" s="1279" t="s">
        <v>3420</v>
      </c>
    </row>
    <row r="4" spans="2:13" ht="16.5">
      <c r="B4" s="662"/>
      <c r="C4" s="662"/>
      <c r="D4" s="663"/>
      <c r="E4" s="1261" t="s">
        <v>3409</v>
      </c>
      <c r="F4" s="1263"/>
      <c r="G4" s="1262"/>
      <c r="H4" s="1253"/>
      <c r="I4" s="662"/>
      <c r="J4" s="1251" t="s">
        <v>2554</v>
      </c>
      <c r="K4" s="658"/>
      <c r="L4" s="1251" t="s">
        <v>2472</v>
      </c>
    </row>
    <row r="5" spans="2:13">
      <c r="D5" s="663"/>
      <c r="E5" s="1255"/>
      <c r="F5" s="1254"/>
      <c r="G5" s="665"/>
      <c r="H5" s="1255"/>
      <c r="I5"/>
      <c r="J5" s="665"/>
      <c r="K5" s="658"/>
      <c r="L5" s="665"/>
    </row>
    <row r="6" spans="2:13">
      <c r="B6" s="1258" t="s">
        <v>3392</v>
      </c>
      <c r="D6" s="663"/>
      <c r="E6" s="1256">
        <v>990910</v>
      </c>
      <c r="F6" s="1254"/>
      <c r="G6" s="665"/>
      <c r="H6" s="1257"/>
      <c r="I6"/>
      <c r="J6" s="667"/>
      <c r="K6" s="667"/>
      <c r="L6" s="667"/>
    </row>
    <row r="7" spans="2:13">
      <c r="B7" s="1259" t="s">
        <v>3538</v>
      </c>
      <c r="C7" s="1267" t="s">
        <v>3419</v>
      </c>
      <c r="D7" s="1267"/>
      <c r="E7" s="663"/>
      <c r="F7" s="1254"/>
      <c r="G7" s="1260">
        <v>804106</v>
      </c>
      <c r="H7" s="1252"/>
      <c r="I7" s="1274" t="s">
        <v>3418</v>
      </c>
      <c r="J7" s="1264">
        <f>+R87</f>
        <v>1013809</v>
      </c>
      <c r="K7" s="665"/>
      <c r="L7" s="1264">
        <f>-S87</f>
        <v>1249375</v>
      </c>
    </row>
    <row r="8" spans="2:13">
      <c r="D8" s="667"/>
      <c r="E8" s="1252"/>
      <c r="F8" s="1254"/>
      <c r="G8" s="1252"/>
      <c r="H8" s="1252"/>
      <c r="I8"/>
      <c r="J8" s="1250"/>
      <c r="K8" s="658"/>
      <c r="L8" s="1252"/>
    </row>
    <row r="9" spans="2:13">
      <c r="B9" s="961" t="s">
        <v>3407</v>
      </c>
      <c r="C9" s="1235" t="s">
        <v>3408</v>
      </c>
      <c r="D9" s="667"/>
      <c r="E9" s="1265">
        <v>1</v>
      </c>
      <c r="F9" s="671"/>
      <c r="G9" s="769"/>
      <c r="H9" s="668"/>
      <c r="I9"/>
      <c r="J9" s="1016"/>
      <c r="K9" s="658"/>
      <c r="L9" s="1016"/>
    </row>
    <row r="10" spans="2:13">
      <c r="D10" s="672" t="s">
        <v>3398</v>
      </c>
      <c r="E10" s="770"/>
      <c r="F10" s="671"/>
      <c r="G10" s="672" t="s">
        <v>3410</v>
      </c>
      <c r="H10" s="668"/>
      <c r="I10"/>
      <c r="J10" s="672" t="s">
        <v>3414</v>
      </c>
      <c r="K10" s="658"/>
      <c r="L10" s="672" t="s">
        <v>3415</v>
      </c>
    </row>
    <row r="11" spans="2:13">
      <c r="D11" s="672" t="s">
        <v>3398</v>
      </c>
      <c r="E11" s="770"/>
      <c r="F11" s="671"/>
      <c r="G11" s="1270" t="s">
        <v>3401</v>
      </c>
      <c r="H11" s="1252"/>
      <c r="I11"/>
      <c r="J11" s="1270" t="s">
        <v>3401</v>
      </c>
      <c r="K11" s="658"/>
      <c r="L11" s="1270" t="s">
        <v>3401</v>
      </c>
    </row>
    <row r="12" spans="2:13" ht="15.75" thickBot="1">
      <c r="B12" s="1236"/>
      <c r="C12" s="1236"/>
      <c r="D12" s="1275"/>
      <c r="E12" s="1276"/>
      <c r="F12" s="949"/>
      <c r="G12" s="1277"/>
      <c r="H12" s="666"/>
      <c r="I12" s="75"/>
      <c r="J12" s="1278"/>
      <c r="K12" s="950"/>
      <c r="L12" s="1278"/>
      <c r="M12" s="1236"/>
    </row>
    <row r="13" spans="2:13">
      <c r="D13" s="672"/>
      <c r="E13" s="770"/>
      <c r="F13" s="671"/>
      <c r="G13" s="670"/>
      <c r="H13" s="668"/>
      <c r="I13"/>
      <c r="J13" s="1016"/>
      <c r="K13" s="658"/>
      <c r="L13" s="1016"/>
    </row>
    <row r="14" spans="2:13">
      <c r="B14" s="1267" t="s">
        <v>3413</v>
      </c>
      <c r="C14" s="1274" t="s">
        <v>3418</v>
      </c>
      <c r="D14" s="1274"/>
      <c r="E14" s="1272" t="s">
        <v>3413</v>
      </c>
      <c r="F14" s="1274" t="s">
        <v>3418</v>
      </c>
      <c r="G14" s="1274"/>
      <c r="H14" s="668"/>
      <c r="I14"/>
      <c r="J14" s="1016"/>
      <c r="K14" s="658"/>
      <c r="L14" s="1016"/>
    </row>
    <row r="15" spans="2:13">
      <c r="B15"/>
      <c r="C15"/>
      <c r="D15"/>
      <c r="E15" s="1268">
        <v>15319</v>
      </c>
      <c r="F15" s="1016"/>
      <c r="G15" s="1273"/>
      <c r="H15" s="668"/>
      <c r="I15"/>
      <c r="J15" s="1016"/>
      <c r="K15" s="658"/>
      <c r="L15" s="1016"/>
    </row>
    <row r="16" spans="2:13">
      <c r="B16" s="1268">
        <v>69705</v>
      </c>
      <c r="C16" s="668"/>
      <c r="D16" s="1269"/>
      <c r="E16" s="1016">
        <f>+B16</f>
        <v>69705</v>
      </c>
      <c r="F16" s="1016"/>
      <c r="G16" s="1016"/>
      <c r="H16" s="668"/>
      <c r="I16"/>
      <c r="J16" s="1016"/>
      <c r="K16" s="658"/>
      <c r="L16" s="1016"/>
    </row>
    <row r="17" spans="2:13">
      <c r="B17" s="1268">
        <v>42024</v>
      </c>
      <c r="C17" s="668"/>
      <c r="D17" s="1269"/>
      <c r="E17" s="1016">
        <f t="shared" ref="E17:E20" si="0">+B17</f>
        <v>42024</v>
      </c>
      <c r="F17" s="1016"/>
      <c r="G17" s="1016"/>
      <c r="H17" s="668"/>
      <c r="I17"/>
      <c r="J17" s="1016"/>
      <c r="K17" s="1016"/>
      <c r="L17" s="1016"/>
    </row>
    <row r="18" spans="2:13">
      <c r="B18" s="1268">
        <v>-159527</v>
      </c>
      <c r="C18" s="668"/>
      <c r="D18" s="1269"/>
      <c r="E18" s="1016"/>
      <c r="F18" s="1016"/>
      <c r="G18" s="1016"/>
      <c r="H18" s="668"/>
      <c r="I18"/>
      <c r="J18" s="1016"/>
      <c r="K18" s="1016"/>
      <c r="L18" s="1016"/>
    </row>
    <row r="19" spans="2:13">
      <c r="B19" s="1268">
        <v>-108241</v>
      </c>
      <c r="C19" s="668"/>
      <c r="D19" s="1269"/>
      <c r="E19" s="1016"/>
      <c r="F19" s="1016"/>
      <c r="G19" s="1016"/>
      <c r="H19" s="668"/>
      <c r="I19"/>
      <c r="J19" s="1016"/>
      <c r="K19" s="1016"/>
      <c r="L19" s="1016"/>
    </row>
    <row r="20" spans="2:13">
      <c r="B20" s="1268">
        <v>-30765</v>
      </c>
      <c r="C20" s="668"/>
      <c r="D20" s="1269"/>
      <c r="E20" s="1016">
        <f t="shared" si="0"/>
        <v>-30765</v>
      </c>
      <c r="F20" s="1016"/>
      <c r="G20" s="1016"/>
      <c r="H20" s="668"/>
      <c r="I20"/>
      <c r="J20" s="1016"/>
      <c r="K20" s="1016"/>
      <c r="L20" s="1016"/>
    </row>
    <row r="21" spans="2:13" ht="15.75" thickBot="1">
      <c r="B21" s="670"/>
      <c r="C21" s="668"/>
      <c r="D21"/>
      <c r="E21" s="1271">
        <f>SUM(E15:E20)</f>
        <v>96283</v>
      </c>
      <c r="F21" s="1016"/>
      <c r="G21" s="672" t="s">
        <v>3416</v>
      </c>
      <c r="H21" s="668"/>
      <c r="I21"/>
      <c r="J21" s="1016"/>
      <c r="K21" s="1016"/>
      <c r="L21" s="1016"/>
    </row>
    <row r="22" spans="2:13" ht="15.75" thickTop="1">
      <c r="B22" s="670"/>
      <c r="C22" s="668"/>
      <c r="D22"/>
      <c r="E22" s="1016"/>
      <c r="F22" s="1016"/>
      <c r="G22" s="672" t="s">
        <v>3417</v>
      </c>
      <c r="H22" s="668"/>
      <c r="I22"/>
      <c r="J22" s="1016"/>
      <c r="K22" s="1016"/>
      <c r="L22" s="1016"/>
    </row>
    <row r="23" spans="2:13">
      <c r="B23" s="670"/>
      <c r="C23" s="668"/>
      <c r="D23"/>
      <c r="E23" s="1016"/>
      <c r="F23" s="1016"/>
      <c r="G23" s="1270" t="s">
        <v>3401</v>
      </c>
      <c r="H23" s="668"/>
      <c r="I23"/>
      <c r="J23" s="1016"/>
      <c r="K23" s="1016"/>
      <c r="L23" s="1016"/>
    </row>
    <row r="24" spans="2:13" ht="15.75" thickBot="1">
      <c r="B24" s="1236"/>
      <c r="C24" s="1236"/>
      <c r="D24" s="1275"/>
      <c r="E24" s="1276"/>
      <c r="F24" s="949"/>
      <c r="G24" s="1277"/>
      <c r="H24" s="666"/>
      <c r="I24" s="75"/>
      <c r="J24" s="1278"/>
      <c r="K24" s="950"/>
      <c r="L24" s="1278"/>
      <c r="M24" s="1236"/>
    </row>
    <row r="25" spans="2:13">
      <c r="E25" s="722"/>
    </row>
    <row r="26" spans="2:13">
      <c r="B26" s="1266" t="s">
        <v>3422</v>
      </c>
      <c r="D26" s="1280"/>
      <c r="E26" s="879"/>
    </row>
    <row r="27" spans="2:13">
      <c r="B27" s="1283"/>
      <c r="D27" s="1280"/>
      <c r="E27" s="879"/>
    </row>
    <row r="28" spans="2:13">
      <c r="D28" s="733" t="s">
        <v>2782</v>
      </c>
      <c r="E28" s="722"/>
    </row>
    <row r="29" spans="2:13">
      <c r="B29" s="627"/>
      <c r="C29" s="722"/>
      <c r="D29" s="733" t="s">
        <v>2783</v>
      </c>
      <c r="E29" s="880"/>
    </row>
    <row r="30" spans="2:13">
      <c r="B30" s="627"/>
      <c r="C30" s="722"/>
      <c r="D30" s="733" t="s">
        <v>562</v>
      </c>
      <c r="E30" s="880"/>
    </row>
    <row r="31" spans="2:13">
      <c r="B31" s="627"/>
      <c r="C31" s="722"/>
      <c r="D31" s="734" t="s">
        <v>2473</v>
      </c>
      <c r="E31" s="880"/>
    </row>
    <row r="32" spans="2:13">
      <c r="B32" s="1228" t="str">
        <f>+B6</f>
        <v>Balance at July 1, 2022</v>
      </c>
      <c r="C32" s="722"/>
      <c r="D32" s="878">
        <f>+E6</f>
        <v>990910</v>
      </c>
      <c r="E32" s="880"/>
    </row>
    <row r="33" spans="2:26">
      <c r="B33" s="627" t="s">
        <v>2520</v>
      </c>
      <c r="C33" s="722"/>
      <c r="D33" s="722"/>
      <c r="E33" s="880"/>
    </row>
    <row r="34" spans="2:26">
      <c r="B34" s="627" t="s">
        <v>2521</v>
      </c>
      <c r="C34" s="722"/>
      <c r="D34" s="1099">
        <f>+B16</f>
        <v>69705</v>
      </c>
      <c r="E34" s="722"/>
      <c r="F34" s="1230"/>
    </row>
    <row r="35" spans="2:26">
      <c r="B35" s="627" t="s">
        <v>2522</v>
      </c>
      <c r="C35" s="722"/>
      <c r="D35" s="1099">
        <f>+B17</f>
        <v>42024</v>
      </c>
      <c r="E35" s="722"/>
    </row>
    <row r="36" spans="2:26">
      <c r="B36" s="627" t="s">
        <v>2523</v>
      </c>
      <c r="C36" s="722"/>
      <c r="D36" s="1099">
        <f>+B18</f>
        <v>-159527</v>
      </c>
      <c r="E36" s="770"/>
      <c r="F36" s="671"/>
      <c r="G36" s="670"/>
      <c r="H36" s="668"/>
      <c r="I36"/>
      <c r="J36" s="1016"/>
      <c r="K36" s="1016"/>
      <c r="L36" s="1016"/>
    </row>
    <row r="37" spans="2:26">
      <c r="B37" s="627" t="s">
        <v>2524</v>
      </c>
      <c r="C37" s="722"/>
      <c r="D37" s="1099">
        <f>+B19</f>
        <v>-108241</v>
      </c>
      <c r="E37" s="770"/>
      <c r="F37" s="671"/>
      <c r="G37" s="670"/>
      <c r="H37" s="668"/>
      <c r="I37"/>
      <c r="J37" s="1016"/>
      <c r="K37" s="1016"/>
      <c r="L37" s="1016"/>
    </row>
    <row r="38" spans="2:26">
      <c r="B38" s="627" t="s">
        <v>2974</v>
      </c>
      <c r="C38" s="722"/>
      <c r="D38" s="1099">
        <f>+B20</f>
        <v>-30765</v>
      </c>
    </row>
    <row r="39" spans="2:26">
      <c r="B39" s="627" t="s">
        <v>2525</v>
      </c>
      <c r="C39" s="722"/>
      <c r="D39" s="845">
        <f>SUM(D34:D38)</f>
        <v>-186804</v>
      </c>
    </row>
    <row r="40" spans="2:26" ht="15.75" thickBot="1">
      <c r="B40" s="1228" t="str">
        <f>+B7</f>
        <v>Balance at June 30, 2023</v>
      </c>
      <c r="C40" s="722"/>
      <c r="D40" s="846">
        <f>D32+D39</f>
        <v>804106</v>
      </c>
      <c r="F40" s="1274" t="s">
        <v>3418</v>
      </c>
    </row>
    <row r="41" spans="2:26" ht="15.75" thickTop="1">
      <c r="D41" s="1229" t="str">
        <f>IF(+G7-D40=0," ","ERR")</f>
        <v xml:space="preserve"> </v>
      </c>
    </row>
    <row r="42" spans="2:26">
      <c r="D42" s="669"/>
    </row>
    <row r="43" spans="2:26" ht="18.75">
      <c r="B43" s="1279" t="s">
        <v>3421</v>
      </c>
    </row>
    <row r="44" spans="2:26" s="662" customFormat="1"/>
    <row r="45" spans="2:26" s="664" customFormat="1"/>
    <row r="46" spans="2:26">
      <c r="D46" s="963"/>
    </row>
    <row r="47" spans="2:26" ht="18.75">
      <c r="B47" s="658"/>
      <c r="C47" s="1018" t="s">
        <v>2976</v>
      </c>
      <c r="D47" s="658"/>
      <c r="E47" s="658"/>
      <c r="F47" s="658"/>
      <c r="G47" s="658"/>
      <c r="H47" s="658"/>
      <c r="I47" s="658"/>
      <c r="J47" s="658"/>
      <c r="K47" s="658"/>
      <c r="L47" s="658"/>
      <c r="M47" s="658"/>
      <c r="N47" s="658"/>
      <c r="O47" s="658"/>
      <c r="P47" s="658"/>
      <c r="Q47" s="658"/>
      <c r="R47" s="658"/>
      <c r="S47" s="658"/>
      <c r="T47" s="658"/>
      <c r="U47" s="658"/>
    </row>
    <row r="48" spans="2:26" ht="16.5">
      <c r="B48" s="971" t="s">
        <v>3390</v>
      </c>
      <c r="C48" s="955">
        <v>2017</v>
      </c>
      <c r="D48" s="956"/>
      <c r="E48" s="955">
        <v>2018</v>
      </c>
      <c r="F48" s="956"/>
      <c r="G48" s="955">
        <v>2019</v>
      </c>
      <c r="H48" s="956"/>
      <c r="I48" s="1015">
        <v>2020</v>
      </c>
      <c r="J48" s="1015"/>
      <c r="K48" s="1015">
        <v>2021</v>
      </c>
      <c r="L48" s="1015"/>
      <c r="M48" s="1015">
        <v>2022</v>
      </c>
      <c r="N48" s="1015"/>
      <c r="O48" s="1015">
        <v>2023</v>
      </c>
      <c r="P48" s="1015"/>
      <c r="R48" s="955" t="s">
        <v>792</v>
      </c>
      <c r="S48" s="956"/>
      <c r="U48" s="955" t="s">
        <v>2933</v>
      </c>
      <c r="Z48" s="963" t="s">
        <v>2935</v>
      </c>
    </row>
    <row r="49" spans="2:26">
      <c r="B49" s="970" t="s">
        <v>3152</v>
      </c>
      <c r="C49" s="962" t="s">
        <v>2931</v>
      </c>
      <c r="D49" s="962" t="s">
        <v>2932</v>
      </c>
      <c r="E49" s="962" t="s">
        <v>2931</v>
      </c>
      <c r="F49" s="962" t="s">
        <v>2932</v>
      </c>
      <c r="G49" s="962" t="s">
        <v>2931</v>
      </c>
      <c r="H49" s="962" t="s">
        <v>2932</v>
      </c>
      <c r="I49" s="962" t="s">
        <v>2931</v>
      </c>
      <c r="J49" s="962" t="s">
        <v>2932</v>
      </c>
      <c r="K49" s="962" t="s">
        <v>2931</v>
      </c>
      <c r="L49" s="962" t="s">
        <v>2932</v>
      </c>
      <c r="M49" s="962" t="s">
        <v>2931</v>
      </c>
      <c r="N49" s="962" t="s">
        <v>2932</v>
      </c>
      <c r="O49" s="962" t="s">
        <v>2931</v>
      </c>
      <c r="P49" s="962" t="s">
        <v>2932</v>
      </c>
      <c r="Q49" s="959"/>
      <c r="R49" s="962" t="s">
        <v>2931</v>
      </c>
      <c r="S49" s="962" t="s">
        <v>2932</v>
      </c>
      <c r="T49" s="959"/>
      <c r="U49" s="964" t="s">
        <v>2934</v>
      </c>
      <c r="V49" s="959"/>
      <c r="Z49" s="963" t="s">
        <v>2936</v>
      </c>
    </row>
    <row r="50" spans="2:26">
      <c r="B50" s="1019" t="s">
        <v>2516</v>
      </c>
      <c r="C50" s="1026">
        <v>198657</v>
      </c>
      <c r="D50" s="1026">
        <v>0</v>
      </c>
      <c r="E50" s="1026">
        <v>0</v>
      </c>
      <c r="F50" s="1026">
        <v>0</v>
      </c>
      <c r="G50" s="1026">
        <v>595411</v>
      </c>
      <c r="H50" s="1026">
        <v>0</v>
      </c>
      <c r="I50" s="1026">
        <v>0</v>
      </c>
      <c r="J50" s="1026">
        <v>0</v>
      </c>
      <c r="K50" s="1026">
        <v>0</v>
      </c>
      <c r="L50" s="1026">
        <v>-837213</v>
      </c>
      <c r="M50" s="1026">
        <v>0</v>
      </c>
      <c r="N50" s="1026">
        <v>0</v>
      </c>
      <c r="O50" s="1027">
        <v>0</v>
      </c>
      <c r="P50" s="1056">
        <v>-159527</v>
      </c>
      <c r="Q50" s="959"/>
      <c r="R50" s="966">
        <f>+C50+E50+G50+I50+K50+M50+O50</f>
        <v>794068</v>
      </c>
      <c r="S50" s="966">
        <f>+D50+F50+H50+J50+L50+N50+P50</f>
        <v>-996740</v>
      </c>
      <c r="T50" s="959"/>
      <c r="U50" s="957">
        <f>SUM(R50:T50)</f>
        <v>-202672</v>
      </c>
      <c r="V50" s="957">
        <f>+U50-C51</f>
        <v>-202672</v>
      </c>
      <c r="Z50" s="1030" t="s">
        <v>3394</v>
      </c>
    </row>
    <row r="51" spans="2:26">
      <c r="B51" s="1019" t="s">
        <v>2517</v>
      </c>
      <c r="C51" s="1026">
        <v>0</v>
      </c>
      <c r="D51" s="1026">
        <v>-180113</v>
      </c>
      <c r="E51" s="1026">
        <v>18833</v>
      </c>
      <c r="F51" s="1026">
        <v>0</v>
      </c>
      <c r="G51" s="1026">
        <v>172724</v>
      </c>
      <c r="H51" s="1026">
        <v>0</v>
      </c>
      <c r="I51" s="1026">
        <v>360583</v>
      </c>
      <c r="J51" s="1026">
        <v>0</v>
      </c>
      <c r="K51" s="1026">
        <v>18125</v>
      </c>
      <c r="L51" s="1026">
        <v>-922</v>
      </c>
      <c r="M51" s="1026">
        <v>0</v>
      </c>
      <c r="N51" s="1026">
        <v>-150345</v>
      </c>
      <c r="O51" s="1056">
        <v>0</v>
      </c>
      <c r="P51" s="1027">
        <v>-108241</v>
      </c>
      <c r="Q51" s="959"/>
      <c r="R51" s="966">
        <f>+C51+E51+G51+I51+K51+M51+O51</f>
        <v>570265</v>
      </c>
      <c r="S51" s="966">
        <f>+D51+F51+H51+J51+L51+N51+P51</f>
        <v>-439621</v>
      </c>
      <c r="T51" s="959"/>
      <c r="U51" s="957">
        <f>SUM(R51:T51)</f>
        <v>130644</v>
      </c>
      <c r="V51" s="959"/>
    </row>
    <row r="52" spans="2:26">
      <c r="B52" s="1019" t="s">
        <v>2781</v>
      </c>
      <c r="C52" s="958">
        <f>SUM(C50:C51)</f>
        <v>198657</v>
      </c>
      <c r="D52" s="958">
        <f t="shared" ref="D52:J52" si="1">SUM(D50:D51)</f>
        <v>-180113</v>
      </c>
      <c r="E52" s="958">
        <f t="shared" si="1"/>
        <v>18833</v>
      </c>
      <c r="F52" s="958">
        <f t="shared" si="1"/>
        <v>0</v>
      </c>
      <c r="G52" s="958">
        <f t="shared" si="1"/>
        <v>768135</v>
      </c>
      <c r="H52" s="958">
        <f t="shared" si="1"/>
        <v>0</v>
      </c>
      <c r="I52" s="958">
        <f t="shared" si="1"/>
        <v>360583</v>
      </c>
      <c r="J52" s="958">
        <f t="shared" si="1"/>
        <v>0</v>
      </c>
      <c r="K52" s="958">
        <f t="shared" ref="K52:L52" si="2">SUM(K50:K51)</f>
        <v>18125</v>
      </c>
      <c r="L52" s="958">
        <f t="shared" si="2"/>
        <v>-838135</v>
      </c>
      <c r="M52" s="958">
        <f t="shared" ref="M52:N52" si="3">SUM(M50:M51)</f>
        <v>0</v>
      </c>
      <c r="N52" s="958">
        <f t="shared" si="3"/>
        <v>-150345</v>
      </c>
      <c r="O52" s="958">
        <f t="shared" ref="O52:P52" si="4">SUM(O50:O51)</f>
        <v>0</v>
      </c>
      <c r="P52" s="958">
        <f t="shared" si="4"/>
        <v>-267768</v>
      </c>
      <c r="Q52" s="959"/>
      <c r="R52" s="958">
        <f t="shared" ref="R52" si="5">SUM(R50:R51)</f>
        <v>1364333</v>
      </c>
      <c r="S52" s="958">
        <f t="shared" ref="S52" si="6">SUM(S50:S51)</f>
        <v>-1436361</v>
      </c>
      <c r="T52" s="959"/>
      <c r="U52" s="958">
        <f t="shared" ref="U52" si="7">SUM(U50:U51)</f>
        <v>-72028</v>
      </c>
      <c r="V52" s="959"/>
    </row>
    <row r="53" spans="2:26" ht="15.75" thickBot="1">
      <c r="B53" s="1019" t="s">
        <v>2922</v>
      </c>
      <c r="C53" s="1020">
        <v>13.81</v>
      </c>
      <c r="D53" s="1021"/>
      <c r="E53" s="1020">
        <v>13.81</v>
      </c>
      <c r="F53" s="1021"/>
      <c r="G53" s="1020">
        <v>15.4129</v>
      </c>
      <c r="H53" s="1021"/>
      <c r="I53" s="1225">
        <v>15.4129</v>
      </c>
      <c r="J53" s="1021"/>
      <c r="K53" s="1020">
        <v>16.142199999999999</v>
      </c>
      <c r="L53" s="1021"/>
      <c r="M53" s="1020">
        <v>15.308999999999999</v>
      </c>
      <c r="N53" s="1021"/>
      <c r="O53" s="1224">
        <v>15.959</v>
      </c>
      <c r="P53" s="1021"/>
      <c r="Q53" s="959"/>
      <c r="R53" s="1017">
        <f>+S52+R52</f>
        <v>-72028</v>
      </c>
      <c r="S53" s="967"/>
      <c r="T53" s="959"/>
      <c r="U53" s="957"/>
      <c r="V53" s="959"/>
    </row>
    <row r="54" spans="2:26" ht="15.75" thickTop="1">
      <c r="B54" s="21"/>
      <c r="C54" s="960"/>
      <c r="D54" s="960"/>
      <c r="E54" s="960"/>
      <c r="F54" s="960"/>
      <c r="G54" s="959"/>
      <c r="H54" s="959"/>
      <c r="I54" s="1226" t="s">
        <v>3395</v>
      </c>
      <c r="J54" s="959"/>
      <c r="K54" s="959"/>
      <c r="L54" s="959"/>
      <c r="M54" s="959"/>
      <c r="N54" s="959"/>
      <c r="O54" s="1227" t="s">
        <v>3396</v>
      </c>
      <c r="P54" s="959"/>
      <c r="Q54" s="959"/>
      <c r="R54" s="959"/>
      <c r="S54" s="959"/>
      <c r="T54" s="959"/>
      <c r="U54" s="959"/>
      <c r="V54" s="959"/>
    </row>
    <row r="55" spans="2:26">
      <c r="B55" s="21"/>
      <c r="C55" s="960"/>
      <c r="D55" s="960"/>
      <c r="E55" s="960"/>
      <c r="F55" s="960"/>
      <c r="G55" s="959"/>
      <c r="H55" s="959"/>
      <c r="I55" s="1226"/>
      <c r="J55" s="959"/>
      <c r="K55" s="959"/>
      <c r="L55" s="959"/>
      <c r="M55" s="959"/>
      <c r="N55" s="959"/>
      <c r="O55" s="1227"/>
      <c r="P55" s="959"/>
      <c r="Q55" s="959"/>
      <c r="R55" s="959"/>
      <c r="S55" s="959"/>
      <c r="T55" s="959"/>
      <c r="U55" s="959"/>
      <c r="V55" s="959"/>
    </row>
    <row r="56" spans="2:26">
      <c r="B56" s="21"/>
      <c r="C56" s="960"/>
      <c r="D56" s="960"/>
      <c r="E56" s="960"/>
      <c r="F56" s="960"/>
      <c r="G56" s="959"/>
      <c r="H56" s="959"/>
      <c r="I56" s="1226"/>
      <c r="J56" s="959"/>
      <c r="K56" s="959"/>
      <c r="L56" s="959"/>
      <c r="M56" s="959"/>
      <c r="N56" s="959"/>
      <c r="O56" s="1227"/>
      <c r="P56" s="959"/>
      <c r="Q56" s="959"/>
      <c r="R56" s="959"/>
      <c r="S56" s="959"/>
      <c r="T56" s="959"/>
      <c r="U56" s="959"/>
      <c r="V56" s="959"/>
    </row>
    <row r="57" spans="2:26">
      <c r="B57" s="21"/>
      <c r="C57" s="960"/>
      <c r="D57" s="960"/>
      <c r="E57" s="960"/>
      <c r="F57" s="960"/>
      <c r="G57" s="959"/>
      <c r="H57" s="959"/>
      <c r="I57" s="959"/>
      <c r="J57" s="959"/>
      <c r="K57" s="959"/>
      <c r="L57" s="959"/>
      <c r="M57" s="959"/>
      <c r="N57" s="959"/>
      <c r="O57" s="1227" t="s">
        <v>3397</v>
      </c>
      <c r="P57" s="959"/>
      <c r="Q57" s="959"/>
      <c r="R57" s="959"/>
      <c r="S57" s="959"/>
      <c r="T57" s="959"/>
      <c r="U57" s="959"/>
      <c r="V57" s="959"/>
    </row>
    <row r="58" spans="2:26" ht="16.5">
      <c r="B58" s="970" t="s">
        <v>2474</v>
      </c>
      <c r="C58" s="954" t="s">
        <v>2925</v>
      </c>
      <c r="D58" s="954"/>
      <c r="E58" s="1022"/>
      <c r="F58" s="1022"/>
      <c r="G58" s="1023"/>
      <c r="H58" s="1023"/>
      <c r="I58" s="1023"/>
      <c r="J58" s="1023"/>
      <c r="K58" s="1023"/>
      <c r="L58" s="1023"/>
      <c r="M58" s="1023"/>
      <c r="N58" s="1023"/>
      <c r="O58" s="1023"/>
      <c r="P58" s="1023"/>
      <c r="Q58" s="959"/>
      <c r="R58" s="959"/>
      <c r="S58" s="959"/>
      <c r="T58" s="959"/>
      <c r="U58" s="959"/>
      <c r="V58" s="959"/>
    </row>
    <row r="59" spans="2:26" ht="16.5">
      <c r="B59" s="953" t="s">
        <v>2926</v>
      </c>
      <c r="C59" s="1223">
        <v>2017</v>
      </c>
      <c r="D59" s="1223"/>
      <c r="E59" s="1223">
        <v>2018</v>
      </c>
      <c r="F59" s="1223"/>
      <c r="G59" s="1223">
        <v>2019</v>
      </c>
      <c r="H59" s="1223"/>
      <c r="I59" s="1223">
        <v>2020</v>
      </c>
      <c r="J59" s="1223"/>
      <c r="K59" s="1223">
        <v>2021</v>
      </c>
      <c r="L59" s="1223"/>
      <c r="M59" s="1223">
        <v>2022</v>
      </c>
      <c r="N59" s="1223"/>
      <c r="O59" s="1223">
        <v>2023</v>
      </c>
      <c r="P59" s="1223"/>
      <c r="Q59" s="959"/>
      <c r="R59" s="1223" t="s">
        <v>792</v>
      </c>
      <c r="S59" s="1223"/>
      <c r="T59" s="959"/>
      <c r="U59" s="955" t="s">
        <v>2933</v>
      </c>
      <c r="V59" s="959"/>
    </row>
    <row r="60" spans="2:26">
      <c r="B60" s="951">
        <v>2018</v>
      </c>
      <c r="C60" s="960">
        <v>0</v>
      </c>
      <c r="D60" s="960">
        <v>-8111</v>
      </c>
      <c r="E60" s="960">
        <v>0</v>
      </c>
      <c r="F60" s="960"/>
      <c r="G60" s="960">
        <v>0</v>
      </c>
      <c r="H60" s="960"/>
      <c r="I60" s="960">
        <v>0</v>
      </c>
      <c r="J60" s="960"/>
      <c r="K60" s="960">
        <v>0</v>
      </c>
      <c r="L60" s="960"/>
      <c r="M60" s="960">
        <v>0</v>
      </c>
      <c r="N60" s="960"/>
      <c r="O60" s="960">
        <v>0</v>
      </c>
      <c r="P60" s="960"/>
      <c r="Q60" s="959"/>
      <c r="R60" s="966">
        <f t="shared" ref="R60:S63" si="8">+C60+E60+G60+I60</f>
        <v>0</v>
      </c>
      <c r="S60" s="966">
        <f t="shared" si="8"/>
        <v>-8111</v>
      </c>
      <c r="T60" s="967"/>
      <c r="U60" s="966">
        <f>SUM(R60:T60)</f>
        <v>-8111</v>
      </c>
      <c r="V60" s="959"/>
    </row>
    <row r="61" spans="2:26">
      <c r="B61" s="951">
        <v>2019</v>
      </c>
      <c r="C61" s="960">
        <f>ROUND((+C$50+C$51)/C$53,0)</f>
        <v>14385</v>
      </c>
      <c r="D61" s="960">
        <f>ROUND((+D$50+D$51)/C$53,0)</f>
        <v>-13042</v>
      </c>
      <c r="E61" s="960">
        <f>ROUND((+E$50+E$51)/E$53,0)</f>
        <v>1364</v>
      </c>
      <c r="F61" s="960">
        <f>ROUND((+F$50+F$51)/E$53,0)</f>
        <v>0</v>
      </c>
      <c r="G61" s="960">
        <v>0</v>
      </c>
      <c r="H61" s="960"/>
      <c r="I61" s="960">
        <v>0</v>
      </c>
      <c r="J61" s="960"/>
      <c r="K61" s="960">
        <v>0</v>
      </c>
      <c r="L61" s="960"/>
      <c r="M61" s="960">
        <v>0</v>
      </c>
      <c r="N61" s="960"/>
      <c r="O61" s="960">
        <v>0</v>
      </c>
      <c r="P61" s="960"/>
      <c r="Q61" s="959"/>
      <c r="R61" s="966">
        <f t="shared" si="8"/>
        <v>15749</v>
      </c>
      <c r="S61" s="966">
        <f t="shared" si="8"/>
        <v>-13042</v>
      </c>
      <c r="T61" s="967"/>
      <c r="U61" s="966">
        <f t="shared" ref="U61:U64" si="9">SUM(R61:T61)</f>
        <v>2707</v>
      </c>
      <c r="V61" s="959"/>
    </row>
    <row r="62" spans="2:26">
      <c r="B62" s="951">
        <v>2020</v>
      </c>
      <c r="C62" s="960">
        <f t="shared" ref="C62:O92" si="10">ROUND((+C$50+C$51)/C$53,0)</f>
        <v>14385</v>
      </c>
      <c r="D62" s="960">
        <f t="shared" ref="D62:F91" si="11">ROUND((+D$50+D$51)/C$53,0)</f>
        <v>-13042</v>
      </c>
      <c r="E62" s="960">
        <f t="shared" si="10"/>
        <v>1364</v>
      </c>
      <c r="F62" s="960">
        <f t="shared" si="11"/>
        <v>0</v>
      </c>
      <c r="G62" s="960">
        <f t="shared" si="10"/>
        <v>49837</v>
      </c>
      <c r="H62" s="960">
        <f t="shared" ref="H62" si="12">ROUND((+H$50+H$51)/G$53,0)</f>
        <v>0</v>
      </c>
      <c r="I62" s="960">
        <v>0</v>
      </c>
      <c r="J62" s="960"/>
      <c r="K62" s="960">
        <v>0</v>
      </c>
      <c r="L62" s="960"/>
      <c r="M62" s="960">
        <v>0</v>
      </c>
      <c r="N62" s="960"/>
      <c r="O62" s="1027">
        <v>0</v>
      </c>
      <c r="P62" s="960"/>
      <c r="Q62" s="959"/>
      <c r="R62" s="966">
        <f t="shared" si="8"/>
        <v>65586</v>
      </c>
      <c r="S62" s="966">
        <f t="shared" si="8"/>
        <v>-13042</v>
      </c>
      <c r="T62" s="967"/>
      <c r="U62" s="966">
        <f t="shared" si="9"/>
        <v>52544</v>
      </c>
      <c r="V62" s="959"/>
    </row>
    <row r="63" spans="2:26">
      <c r="B63" s="951">
        <v>2021</v>
      </c>
      <c r="C63" s="960">
        <f t="shared" si="10"/>
        <v>14385</v>
      </c>
      <c r="D63" s="960">
        <f t="shared" si="11"/>
        <v>-13042</v>
      </c>
      <c r="E63" s="960">
        <f t="shared" si="10"/>
        <v>1364</v>
      </c>
      <c r="F63" s="960">
        <f t="shared" si="11"/>
        <v>0</v>
      </c>
      <c r="G63" s="960">
        <f t="shared" si="10"/>
        <v>49837</v>
      </c>
      <c r="H63" s="960">
        <f t="shared" ref="H63" si="13">ROUND((+H$50+H$51)/G$53,0)</f>
        <v>0</v>
      </c>
      <c r="I63" s="960">
        <f t="shared" si="10"/>
        <v>23395</v>
      </c>
      <c r="J63" s="960">
        <f t="shared" ref="J63" si="14">ROUND((+J$50+J$51)/I$53,0)</f>
        <v>0</v>
      </c>
      <c r="K63" s="960">
        <v>0</v>
      </c>
      <c r="L63" s="960"/>
      <c r="M63" s="960">
        <v>0</v>
      </c>
      <c r="N63" s="960"/>
      <c r="O63" s="1027">
        <v>0</v>
      </c>
      <c r="P63" s="960"/>
      <c r="Q63" s="959"/>
      <c r="R63" s="966">
        <f t="shared" si="8"/>
        <v>88981</v>
      </c>
      <c r="S63" s="966">
        <f t="shared" si="8"/>
        <v>-13042</v>
      </c>
      <c r="T63" s="967"/>
      <c r="U63" s="966">
        <f t="shared" si="9"/>
        <v>75939</v>
      </c>
      <c r="V63" s="959"/>
    </row>
    <row r="64" spans="2:26">
      <c r="B64" s="951">
        <v>2022</v>
      </c>
      <c r="C64" s="960">
        <f t="shared" si="10"/>
        <v>14385</v>
      </c>
      <c r="D64" s="960">
        <f t="shared" si="11"/>
        <v>-13042</v>
      </c>
      <c r="E64" s="960">
        <f t="shared" si="10"/>
        <v>1364</v>
      </c>
      <c r="F64" s="960">
        <f t="shared" si="11"/>
        <v>0</v>
      </c>
      <c r="G64" s="960">
        <f t="shared" si="10"/>
        <v>49837</v>
      </c>
      <c r="H64" s="960">
        <f t="shared" ref="H64" si="15">ROUND((+H$50+H$51)/G$53,0)</f>
        <v>0</v>
      </c>
      <c r="I64" s="960">
        <f t="shared" si="10"/>
        <v>23395</v>
      </c>
      <c r="J64" s="960">
        <f t="shared" ref="J64:L64" si="16">ROUND((+J$50+J$51)/I$53,0)</f>
        <v>0</v>
      </c>
      <c r="K64" s="960">
        <f t="shared" si="10"/>
        <v>1123</v>
      </c>
      <c r="L64" s="960">
        <f t="shared" si="16"/>
        <v>-51922</v>
      </c>
      <c r="M64" s="960">
        <v>0</v>
      </c>
      <c r="N64" s="960"/>
      <c r="O64" s="1056">
        <v>0</v>
      </c>
      <c r="P64" s="960"/>
      <c r="Q64" s="959"/>
      <c r="R64" s="966">
        <f>+C64+E64+G64+I64+K64</f>
        <v>90104</v>
      </c>
      <c r="S64" s="966">
        <f>+D64+F64+H64+J64+L64</f>
        <v>-64964</v>
      </c>
      <c r="T64" s="967"/>
      <c r="U64" s="966">
        <f t="shared" si="9"/>
        <v>25140</v>
      </c>
      <c r="V64" s="959"/>
    </row>
    <row r="65" spans="2:22">
      <c r="B65" s="951">
        <v>2023</v>
      </c>
      <c r="C65" s="960">
        <f t="shared" si="10"/>
        <v>14385</v>
      </c>
      <c r="D65" s="960">
        <f t="shared" si="11"/>
        <v>-13042</v>
      </c>
      <c r="E65" s="960">
        <f t="shared" si="10"/>
        <v>1364</v>
      </c>
      <c r="F65" s="960">
        <f t="shared" si="11"/>
        <v>0</v>
      </c>
      <c r="G65" s="960">
        <f t="shared" si="10"/>
        <v>49837</v>
      </c>
      <c r="H65" s="960">
        <f t="shared" ref="H65" si="17">ROUND((+H$50+H$51)/G$53,0)</f>
        <v>0</v>
      </c>
      <c r="I65" s="960">
        <f t="shared" si="10"/>
        <v>23395</v>
      </c>
      <c r="J65" s="960">
        <f t="shared" ref="J65:L65" si="18">ROUND((+J$50+J$51)/I$53,0)</f>
        <v>0</v>
      </c>
      <c r="K65" s="960">
        <f t="shared" si="10"/>
        <v>1123</v>
      </c>
      <c r="L65" s="960">
        <f t="shared" si="18"/>
        <v>-51922</v>
      </c>
      <c r="M65" s="960">
        <f t="shared" si="10"/>
        <v>0</v>
      </c>
      <c r="N65" s="960">
        <f t="shared" ref="N65" si="19">ROUND((+N$50+N$51)/M$53,0)</f>
        <v>-9821</v>
      </c>
      <c r="O65" s="1056">
        <v>0</v>
      </c>
      <c r="P65" s="960"/>
      <c r="Q65" s="959"/>
      <c r="R65" s="966">
        <f>+C65+E65+G65+I65+K65+M65</f>
        <v>90104</v>
      </c>
      <c r="S65" s="966">
        <f>+D65+F65+H65+J65+L65+N65</f>
        <v>-74785</v>
      </c>
      <c r="T65" s="967"/>
      <c r="U65" s="966">
        <f t="shared" ref="U65" si="20">SUM(R65:T65)</f>
        <v>15319</v>
      </c>
      <c r="V65" s="959"/>
    </row>
    <row r="66" spans="2:22">
      <c r="V66" s="959"/>
    </row>
    <row r="67" spans="2:22">
      <c r="B67" s="951"/>
      <c r="C67" s="960"/>
      <c r="D67" s="960"/>
      <c r="E67" s="960"/>
      <c r="F67" s="960"/>
      <c r="G67" s="960"/>
      <c r="H67" s="960"/>
      <c r="I67" s="960"/>
      <c r="J67" s="960"/>
      <c r="K67" s="1056"/>
      <c r="L67" s="960"/>
      <c r="M67" s="1056"/>
      <c r="N67" s="960"/>
      <c r="O67" s="1056"/>
      <c r="P67" s="960"/>
      <c r="Q67" s="959"/>
      <c r="R67" s="966"/>
      <c r="S67" s="966"/>
      <c r="T67" s="967"/>
      <c r="U67" s="966"/>
      <c r="V67" s="959"/>
    </row>
    <row r="68" spans="2:22">
      <c r="B68" s="952" t="s">
        <v>2921</v>
      </c>
      <c r="C68" s="1024">
        <f t="shared" ref="C68:P68" si="21">+C52-SUM(C60:C67)</f>
        <v>126732</v>
      </c>
      <c r="D68" s="1024">
        <f t="shared" si="21"/>
        <v>-106792</v>
      </c>
      <c r="E68" s="1024">
        <f t="shared" si="21"/>
        <v>12013</v>
      </c>
      <c r="F68" s="1024">
        <f t="shared" si="21"/>
        <v>0</v>
      </c>
      <c r="G68" s="1024">
        <f t="shared" si="21"/>
        <v>568787</v>
      </c>
      <c r="H68" s="1024">
        <f t="shared" si="21"/>
        <v>0</v>
      </c>
      <c r="I68" s="1024">
        <f t="shared" si="21"/>
        <v>290398</v>
      </c>
      <c r="J68" s="1024">
        <f t="shared" si="21"/>
        <v>0</v>
      </c>
      <c r="K68" s="1024">
        <f t="shared" si="21"/>
        <v>15879</v>
      </c>
      <c r="L68" s="1024">
        <f t="shared" si="21"/>
        <v>-734291</v>
      </c>
      <c r="M68" s="1024">
        <f t="shared" si="21"/>
        <v>0</v>
      </c>
      <c r="N68" s="1024">
        <f t="shared" si="21"/>
        <v>-140524</v>
      </c>
      <c r="O68" s="1024">
        <f t="shared" si="21"/>
        <v>0</v>
      </c>
      <c r="P68" s="1024">
        <f t="shared" si="21"/>
        <v>-267768</v>
      </c>
      <c r="Q68" s="959"/>
      <c r="R68" s="966">
        <f>+C68+E68+G68+I68+K68+M68+O68</f>
        <v>1013809</v>
      </c>
      <c r="S68" s="966">
        <f>+D68+F68+H68+J68+L68+N68+P68</f>
        <v>-1249375</v>
      </c>
      <c r="T68" s="967"/>
      <c r="U68" s="966">
        <f>SUM(R68:T68)</f>
        <v>-235566</v>
      </c>
      <c r="V68" s="959"/>
    </row>
    <row r="69" spans="2:22">
      <c r="B69" s="959"/>
      <c r="C69" s="959"/>
      <c r="D69" s="960"/>
      <c r="E69" s="959"/>
      <c r="F69" s="960"/>
      <c r="G69" s="959"/>
      <c r="H69" s="960"/>
      <c r="I69" s="959"/>
      <c r="J69" s="960"/>
      <c r="K69" s="959"/>
      <c r="L69" s="960"/>
      <c r="M69" s="959"/>
      <c r="N69" s="960"/>
      <c r="O69" s="959"/>
      <c r="P69" s="960"/>
      <c r="Q69" s="959"/>
      <c r="R69" s="967"/>
      <c r="S69" s="967"/>
      <c r="T69" s="967"/>
      <c r="U69" s="967"/>
      <c r="V69" s="959"/>
    </row>
    <row r="70" spans="2:22" ht="15.75" thickBot="1">
      <c r="B70" s="21"/>
      <c r="C70" s="1025">
        <f t="shared" ref="C70:P70" si="22">SUM(C60:C68)</f>
        <v>198657</v>
      </c>
      <c r="D70" s="1025">
        <f t="shared" si="22"/>
        <v>-180113</v>
      </c>
      <c r="E70" s="1025">
        <f t="shared" si="22"/>
        <v>18833</v>
      </c>
      <c r="F70" s="1025">
        <f t="shared" si="22"/>
        <v>0</v>
      </c>
      <c r="G70" s="1025">
        <f t="shared" si="22"/>
        <v>768135</v>
      </c>
      <c r="H70" s="1025">
        <f t="shared" si="22"/>
        <v>0</v>
      </c>
      <c r="I70" s="1025">
        <f t="shared" si="22"/>
        <v>360583</v>
      </c>
      <c r="J70" s="1025">
        <f t="shared" si="22"/>
        <v>0</v>
      </c>
      <c r="K70" s="1025">
        <f t="shared" si="22"/>
        <v>18125</v>
      </c>
      <c r="L70" s="1025">
        <f t="shared" si="22"/>
        <v>-838135</v>
      </c>
      <c r="M70" s="1025">
        <f t="shared" si="22"/>
        <v>0</v>
      </c>
      <c r="N70" s="1025">
        <f t="shared" si="22"/>
        <v>-150345</v>
      </c>
      <c r="O70" s="1025">
        <f t="shared" si="22"/>
        <v>0</v>
      </c>
      <c r="P70" s="1025">
        <f t="shared" si="22"/>
        <v>-267768</v>
      </c>
      <c r="Q70" s="959"/>
      <c r="R70" s="958">
        <f>SUM(R60:R68)</f>
        <v>1364333</v>
      </c>
      <c r="S70" s="958">
        <f>SUM(S60:S68)</f>
        <v>-1436361</v>
      </c>
      <c r="T70" s="967"/>
      <c r="U70" s="958">
        <f>SUM(U60:U68)</f>
        <v>-72028</v>
      </c>
      <c r="V70" s="959"/>
    </row>
    <row r="71" spans="2:22" ht="15.75" thickTop="1">
      <c r="B71" s="21"/>
      <c r="C71" s="960"/>
      <c r="D71" s="960"/>
      <c r="E71" s="960"/>
      <c r="F71" s="960"/>
      <c r="G71" s="967"/>
      <c r="H71" s="967"/>
      <c r="I71" s="1028"/>
      <c r="J71" s="967"/>
      <c r="K71" s="967"/>
      <c r="L71" s="967"/>
      <c r="M71" s="967"/>
      <c r="N71" s="967"/>
      <c r="O71" s="967"/>
      <c r="P71" s="967"/>
      <c r="Q71" s="967"/>
      <c r="R71" s="967"/>
      <c r="S71" s="966"/>
      <c r="T71" s="967"/>
      <c r="U71" s="967"/>
      <c r="V71" s="959"/>
    </row>
    <row r="72" spans="2:22">
      <c r="B72" s="21"/>
      <c r="C72" s="967"/>
      <c r="D72" s="967"/>
      <c r="E72" s="967"/>
      <c r="F72" s="967"/>
      <c r="G72" s="967"/>
      <c r="H72" s="967"/>
      <c r="I72" s="1028"/>
      <c r="J72" s="967"/>
      <c r="K72" s="967"/>
      <c r="L72" s="967"/>
      <c r="M72" s="967"/>
      <c r="N72" s="967"/>
      <c r="O72" s="967"/>
      <c r="P72" s="967"/>
      <c r="Q72" s="967"/>
      <c r="R72" s="967"/>
      <c r="S72" s="967"/>
      <c r="T72" s="967"/>
      <c r="U72" s="967"/>
      <c r="V72" s="959"/>
    </row>
    <row r="73" spans="2:22">
      <c r="B73" s="965" t="s">
        <v>2928</v>
      </c>
      <c r="C73" s="966">
        <f t="shared" ref="C73:Q73" si="23">SUM(C60)</f>
        <v>0</v>
      </c>
      <c r="D73" s="966">
        <f t="shared" si="23"/>
        <v>-8111</v>
      </c>
      <c r="E73" s="966">
        <f t="shared" si="23"/>
        <v>0</v>
      </c>
      <c r="F73" s="966">
        <f t="shared" si="23"/>
        <v>0</v>
      </c>
      <c r="G73" s="966">
        <f t="shared" si="23"/>
        <v>0</v>
      </c>
      <c r="H73" s="966">
        <f t="shared" si="23"/>
        <v>0</v>
      </c>
      <c r="I73" s="966">
        <f t="shared" si="23"/>
        <v>0</v>
      </c>
      <c r="J73" s="966">
        <f t="shared" si="23"/>
        <v>0</v>
      </c>
      <c r="K73" s="966">
        <f t="shared" si="23"/>
        <v>0</v>
      </c>
      <c r="L73" s="966">
        <f t="shared" si="23"/>
        <v>0</v>
      </c>
      <c r="M73" s="966">
        <f t="shared" si="23"/>
        <v>0</v>
      </c>
      <c r="N73" s="966">
        <f t="shared" si="23"/>
        <v>0</v>
      </c>
      <c r="O73" s="966">
        <f t="shared" si="23"/>
        <v>0</v>
      </c>
      <c r="P73" s="966">
        <f t="shared" si="23"/>
        <v>0</v>
      </c>
      <c r="Q73" s="966">
        <f t="shared" si="23"/>
        <v>0</v>
      </c>
      <c r="R73" s="966">
        <f t="shared" ref="R73:S75" si="24">+C73+E73+G73</f>
        <v>0</v>
      </c>
      <c r="S73" s="966">
        <f t="shared" si="24"/>
        <v>-8111</v>
      </c>
      <c r="T73" s="966"/>
      <c r="U73" s="966">
        <f t="shared" ref="U73:U78" si="25">SUM(R73:T73)</f>
        <v>-8111</v>
      </c>
      <c r="V73" s="959"/>
    </row>
    <row r="74" spans="2:22">
      <c r="B74" s="965" t="s">
        <v>2929</v>
      </c>
      <c r="C74" s="966">
        <f t="shared" ref="C74:Q74" si="26">SUM(C60:C61)</f>
        <v>14385</v>
      </c>
      <c r="D74" s="966">
        <f t="shared" si="26"/>
        <v>-21153</v>
      </c>
      <c r="E74" s="966">
        <f t="shared" si="26"/>
        <v>1364</v>
      </c>
      <c r="F74" s="966">
        <f t="shared" si="26"/>
        <v>0</v>
      </c>
      <c r="G74" s="966">
        <f t="shared" si="26"/>
        <v>0</v>
      </c>
      <c r="H74" s="966">
        <f t="shared" si="26"/>
        <v>0</v>
      </c>
      <c r="I74" s="966">
        <f t="shared" si="26"/>
        <v>0</v>
      </c>
      <c r="J74" s="966">
        <f t="shared" si="26"/>
        <v>0</v>
      </c>
      <c r="K74" s="966">
        <f t="shared" si="26"/>
        <v>0</v>
      </c>
      <c r="L74" s="966">
        <f t="shared" si="26"/>
        <v>0</v>
      </c>
      <c r="M74" s="966">
        <f t="shared" si="26"/>
        <v>0</v>
      </c>
      <c r="N74" s="966">
        <f t="shared" si="26"/>
        <v>0</v>
      </c>
      <c r="O74" s="966">
        <f t="shared" si="26"/>
        <v>0</v>
      </c>
      <c r="P74" s="966">
        <f t="shared" si="26"/>
        <v>0</v>
      </c>
      <c r="Q74" s="966">
        <f t="shared" si="26"/>
        <v>0</v>
      </c>
      <c r="R74" s="966">
        <f t="shared" si="24"/>
        <v>15749</v>
      </c>
      <c r="S74" s="966">
        <f t="shared" si="24"/>
        <v>-21153</v>
      </c>
      <c r="T74" s="966"/>
      <c r="U74" s="966">
        <f t="shared" si="25"/>
        <v>-5404</v>
      </c>
      <c r="V74" s="959"/>
    </row>
    <row r="75" spans="2:22">
      <c r="B75" s="965" t="s">
        <v>2930</v>
      </c>
      <c r="C75" s="966">
        <f t="shared" ref="C75:Q75" si="27">SUM(C60:C62)</f>
        <v>28770</v>
      </c>
      <c r="D75" s="966">
        <f t="shared" si="27"/>
        <v>-34195</v>
      </c>
      <c r="E75" s="966">
        <f t="shared" si="27"/>
        <v>2728</v>
      </c>
      <c r="F75" s="966">
        <f t="shared" si="27"/>
        <v>0</v>
      </c>
      <c r="G75" s="966">
        <f t="shared" si="27"/>
        <v>49837</v>
      </c>
      <c r="H75" s="966">
        <f t="shared" si="27"/>
        <v>0</v>
      </c>
      <c r="I75" s="966">
        <f t="shared" si="27"/>
        <v>0</v>
      </c>
      <c r="J75" s="966">
        <f t="shared" si="27"/>
        <v>0</v>
      </c>
      <c r="K75" s="966">
        <f t="shared" si="27"/>
        <v>0</v>
      </c>
      <c r="L75" s="966">
        <f t="shared" si="27"/>
        <v>0</v>
      </c>
      <c r="M75" s="966">
        <f t="shared" si="27"/>
        <v>0</v>
      </c>
      <c r="N75" s="966">
        <f t="shared" si="27"/>
        <v>0</v>
      </c>
      <c r="O75" s="966">
        <f t="shared" si="27"/>
        <v>0</v>
      </c>
      <c r="P75" s="966">
        <f t="shared" si="27"/>
        <v>0</v>
      </c>
      <c r="Q75" s="966">
        <f t="shared" si="27"/>
        <v>0</v>
      </c>
      <c r="R75" s="966">
        <f t="shared" si="24"/>
        <v>81335</v>
      </c>
      <c r="S75" s="966">
        <f t="shared" si="24"/>
        <v>-34195</v>
      </c>
      <c r="T75" s="966"/>
      <c r="U75" s="966">
        <f t="shared" si="25"/>
        <v>47140</v>
      </c>
      <c r="V75" s="959"/>
    </row>
    <row r="76" spans="2:22">
      <c r="B76" s="965" t="s">
        <v>2975</v>
      </c>
      <c r="C76" s="966">
        <f t="shared" ref="C76:L76" si="28">SUM(C60:C63)</f>
        <v>43155</v>
      </c>
      <c r="D76" s="966">
        <f t="shared" si="28"/>
        <v>-47237</v>
      </c>
      <c r="E76" s="966">
        <f t="shared" si="28"/>
        <v>4092</v>
      </c>
      <c r="F76" s="966">
        <f t="shared" si="28"/>
        <v>0</v>
      </c>
      <c r="G76" s="966">
        <f t="shared" si="28"/>
        <v>99674</v>
      </c>
      <c r="H76" s="966">
        <f t="shared" si="28"/>
        <v>0</v>
      </c>
      <c r="I76" s="966">
        <f t="shared" si="28"/>
        <v>23395</v>
      </c>
      <c r="J76" s="966">
        <f t="shared" si="28"/>
        <v>0</v>
      </c>
      <c r="K76" s="966">
        <f t="shared" si="28"/>
        <v>0</v>
      </c>
      <c r="L76" s="966">
        <f t="shared" si="28"/>
        <v>0</v>
      </c>
      <c r="M76" s="966">
        <f>SUM(M60:M64)</f>
        <v>0</v>
      </c>
      <c r="N76" s="966">
        <f>SUM(N60:N64)</f>
        <v>0</v>
      </c>
      <c r="O76" s="966">
        <f>SUM(O60:O64)</f>
        <v>0</v>
      </c>
      <c r="P76" s="966">
        <f>SUM(P60:P64)</f>
        <v>0</v>
      </c>
      <c r="Q76" s="967"/>
      <c r="R76" s="966">
        <f>+C76+E76+G76+I76</f>
        <v>170316</v>
      </c>
      <c r="S76" s="966">
        <f>+D76+F76+H76+J76</f>
        <v>-47237</v>
      </c>
      <c r="T76" s="966"/>
      <c r="U76" s="966">
        <f t="shared" si="25"/>
        <v>123079</v>
      </c>
      <c r="V76" s="959"/>
    </row>
    <row r="77" spans="2:22">
      <c r="B77" s="965" t="s">
        <v>3016</v>
      </c>
      <c r="C77" s="966">
        <f t="shared" ref="C77:H77" si="29">SUM(C60:C64)</f>
        <v>57540</v>
      </c>
      <c r="D77" s="966">
        <f t="shared" si="29"/>
        <v>-60279</v>
      </c>
      <c r="E77" s="966">
        <f t="shared" si="29"/>
        <v>5456</v>
      </c>
      <c r="F77" s="966">
        <f t="shared" si="29"/>
        <v>0</v>
      </c>
      <c r="G77" s="966">
        <f t="shared" si="29"/>
        <v>149511</v>
      </c>
      <c r="H77" s="966">
        <f t="shared" si="29"/>
        <v>0</v>
      </c>
      <c r="I77" s="966">
        <f>SUM(I61:I64)</f>
        <v>46790</v>
      </c>
      <c r="J77" s="966">
        <f>SUM(J61:J64)</f>
        <v>0</v>
      </c>
      <c r="K77" s="966">
        <f>SUM(K60:K64)</f>
        <v>1123</v>
      </c>
      <c r="L77" s="966">
        <f>SUM(L60:L64)</f>
        <v>-51922</v>
      </c>
      <c r="M77" s="966">
        <f>SUM(M61:M64)</f>
        <v>0</v>
      </c>
      <c r="N77" s="966">
        <f>SUM(N61:N64)</f>
        <v>0</v>
      </c>
      <c r="O77" s="966">
        <f>SUM(O61:O64)</f>
        <v>0</v>
      </c>
      <c r="P77" s="966">
        <f>SUM(P61:P64)</f>
        <v>0</v>
      </c>
      <c r="Q77" s="967"/>
      <c r="R77" s="966">
        <f>+C77+E77+G77+I77+K77</f>
        <v>260420</v>
      </c>
      <c r="S77" s="966">
        <f>+D77+F77+H77+J77+L77</f>
        <v>-112201</v>
      </c>
      <c r="T77" s="966"/>
      <c r="U77" s="966">
        <f>SUM(R77:T77)</f>
        <v>148219</v>
      </c>
      <c r="V77" s="959"/>
    </row>
    <row r="78" spans="2:22">
      <c r="B78" s="965" t="s">
        <v>3186</v>
      </c>
      <c r="C78" s="966">
        <f t="shared" ref="C78:P78" si="30">SUM(C60:C65)</f>
        <v>71925</v>
      </c>
      <c r="D78" s="966">
        <f t="shared" si="30"/>
        <v>-73321</v>
      </c>
      <c r="E78" s="966">
        <f t="shared" si="30"/>
        <v>6820</v>
      </c>
      <c r="F78" s="966">
        <f t="shared" si="30"/>
        <v>0</v>
      </c>
      <c r="G78" s="966">
        <f t="shared" si="30"/>
        <v>199348</v>
      </c>
      <c r="H78" s="966">
        <f t="shared" si="30"/>
        <v>0</v>
      </c>
      <c r="I78" s="966">
        <f t="shared" si="30"/>
        <v>70185</v>
      </c>
      <c r="J78" s="966">
        <f t="shared" si="30"/>
        <v>0</v>
      </c>
      <c r="K78" s="966">
        <f t="shared" si="30"/>
        <v>2246</v>
      </c>
      <c r="L78" s="966">
        <f t="shared" si="30"/>
        <v>-103844</v>
      </c>
      <c r="M78" s="966">
        <f t="shared" si="30"/>
        <v>0</v>
      </c>
      <c r="N78" s="966">
        <f t="shared" si="30"/>
        <v>-9821</v>
      </c>
      <c r="O78" s="966">
        <f t="shared" si="30"/>
        <v>0</v>
      </c>
      <c r="P78" s="966">
        <f t="shared" si="30"/>
        <v>0</v>
      </c>
      <c r="Q78" s="967"/>
      <c r="R78" s="966">
        <f>+C78+E78+G78+I78+K78+M78</f>
        <v>350524</v>
      </c>
      <c r="S78" s="966">
        <f>+D78+F78+H78+J78+L78+N78</f>
        <v>-186986</v>
      </c>
      <c r="T78" s="966"/>
      <c r="U78" s="966">
        <f t="shared" si="25"/>
        <v>163538</v>
      </c>
      <c r="V78" s="959"/>
    </row>
    <row r="79" spans="2:22">
      <c r="B79" s="965"/>
      <c r="C79" s="966"/>
      <c r="D79" s="966"/>
      <c r="E79" s="966"/>
      <c r="F79" s="966"/>
      <c r="G79" s="966"/>
      <c r="H79" s="966"/>
      <c r="I79" s="966"/>
      <c r="J79" s="966"/>
      <c r="K79" s="966"/>
      <c r="L79" s="966"/>
      <c r="M79" s="966"/>
      <c r="N79" s="966"/>
      <c r="O79" s="966"/>
      <c r="P79" s="966"/>
      <c r="Q79" s="967"/>
      <c r="R79" s="966"/>
      <c r="S79" s="966"/>
      <c r="T79" s="967"/>
      <c r="U79" s="966"/>
      <c r="V79" s="959"/>
    </row>
    <row r="80" spans="2:22">
      <c r="B80" s="959"/>
      <c r="C80" s="959"/>
      <c r="D80" s="959"/>
      <c r="E80" s="959"/>
      <c r="F80" s="959"/>
      <c r="G80" s="959"/>
      <c r="H80" s="960"/>
      <c r="I80" s="960"/>
      <c r="J80" s="960"/>
      <c r="K80" s="960"/>
      <c r="L80" s="960"/>
      <c r="M80" s="960"/>
      <c r="N80" s="960"/>
      <c r="O80" s="960"/>
      <c r="P80" s="960"/>
      <c r="Q80" s="959"/>
      <c r="R80" s="959"/>
      <c r="S80" s="959"/>
      <c r="T80" s="959"/>
      <c r="U80" s="959"/>
      <c r="V80" s="959"/>
    </row>
    <row r="81" spans="2:22">
      <c r="B81" s="959"/>
      <c r="C81" s="959"/>
      <c r="D81" s="959"/>
      <c r="E81" s="959"/>
      <c r="F81" s="959"/>
      <c r="G81" s="959"/>
      <c r="H81" s="959"/>
      <c r="I81" s="959"/>
      <c r="J81" s="959"/>
      <c r="K81" s="959"/>
      <c r="L81" s="959"/>
      <c r="M81" s="959"/>
      <c r="N81" s="959"/>
      <c r="O81" s="959"/>
      <c r="P81" s="959"/>
      <c r="Q81" s="959"/>
      <c r="R81" s="959"/>
      <c r="S81" s="959"/>
      <c r="T81" s="959"/>
      <c r="U81" s="959"/>
      <c r="V81" s="959"/>
    </row>
    <row r="82" spans="2:22">
      <c r="B82" s="965" t="s">
        <v>2927</v>
      </c>
      <c r="C82" s="966">
        <f>+C$52-C73</f>
        <v>198657</v>
      </c>
      <c r="D82" s="966">
        <f>+D$52-D73</f>
        <v>-172002</v>
      </c>
      <c r="E82" s="966">
        <f>+E$52-E73</f>
        <v>18833</v>
      </c>
      <c r="F82" s="966">
        <f>+F$52-F73</f>
        <v>0</v>
      </c>
      <c r="G82" s="966"/>
      <c r="H82" s="966"/>
      <c r="I82" s="966"/>
      <c r="J82" s="966"/>
      <c r="K82" s="966"/>
      <c r="L82" s="966"/>
      <c r="M82" s="966"/>
      <c r="N82" s="966"/>
      <c r="O82" s="966"/>
      <c r="P82" s="966"/>
      <c r="Q82" s="966">
        <f>+Q$52+R$52-Q73</f>
        <v>1364333</v>
      </c>
      <c r="R82" s="966">
        <f>+C82+E82</f>
        <v>217490</v>
      </c>
      <c r="S82" s="966">
        <f>+D82+F82</f>
        <v>-172002</v>
      </c>
      <c r="T82" s="966"/>
      <c r="U82" s="966">
        <f t="shared" ref="U82:U87" si="31">SUM(R82:T82)</f>
        <v>45488</v>
      </c>
      <c r="V82" s="959"/>
    </row>
    <row r="83" spans="2:22">
      <c r="B83" s="965" t="s">
        <v>2923</v>
      </c>
      <c r="C83" s="966">
        <f t="shared" ref="C83" si="32">+C$52-C74</f>
        <v>184272</v>
      </c>
      <c r="D83" s="966">
        <f>+D$52-D74</f>
        <v>-158960</v>
      </c>
      <c r="E83" s="966">
        <f t="shared" ref="E83:F83" si="33">+E$52-E74</f>
        <v>17469</v>
      </c>
      <c r="F83" s="966">
        <f t="shared" si="33"/>
        <v>0</v>
      </c>
      <c r="G83" s="966">
        <f t="shared" ref="G83:H83" si="34">+G$52-G74</f>
        <v>768135</v>
      </c>
      <c r="H83" s="966">
        <f t="shared" si="34"/>
        <v>0</v>
      </c>
      <c r="I83" s="966"/>
      <c r="J83" s="966"/>
      <c r="K83" s="1027"/>
      <c r="L83" s="966"/>
      <c r="M83" s="966"/>
      <c r="N83" s="966"/>
      <c r="O83" s="966"/>
      <c r="P83" s="966"/>
      <c r="Q83" s="966">
        <f>+Q$52+R$52-Q74</f>
        <v>1364333</v>
      </c>
      <c r="R83" s="966">
        <f>+C83+E83+G83</f>
        <v>969876</v>
      </c>
      <c r="S83" s="966">
        <f>+D83+F83+H83</f>
        <v>-158960</v>
      </c>
      <c r="T83" s="966"/>
      <c r="U83" s="966">
        <f t="shared" si="31"/>
        <v>810916</v>
      </c>
      <c r="V83" s="959"/>
    </row>
    <row r="84" spans="2:22">
      <c r="B84" s="965" t="s">
        <v>2924</v>
      </c>
      <c r="C84" s="966">
        <f t="shared" ref="C84:D84" si="35">+C$52-C75</f>
        <v>169887</v>
      </c>
      <c r="D84" s="966">
        <f t="shared" si="35"/>
        <v>-145918</v>
      </c>
      <c r="E84" s="966">
        <f t="shared" ref="E84:F84" si="36">+E$52-E75</f>
        <v>16105</v>
      </c>
      <c r="F84" s="966">
        <f t="shared" si="36"/>
        <v>0</v>
      </c>
      <c r="G84" s="966">
        <f t="shared" ref="G84:H84" si="37">+G$52-G75</f>
        <v>718298</v>
      </c>
      <c r="H84" s="966">
        <f t="shared" si="37"/>
        <v>0</v>
      </c>
      <c r="I84" s="966">
        <f t="shared" ref="I84:J84" si="38">+I$52-I75</f>
        <v>360583</v>
      </c>
      <c r="J84" s="966">
        <f t="shared" si="38"/>
        <v>0</v>
      </c>
      <c r="K84" s="1027"/>
      <c r="L84" s="966"/>
      <c r="M84" s="966"/>
      <c r="N84" s="966"/>
      <c r="O84" s="966"/>
      <c r="P84" s="966"/>
      <c r="Q84" s="966">
        <f>+Q$52+R$52-Q75</f>
        <v>1364333</v>
      </c>
      <c r="R84" s="966">
        <f>+C84+E84+G84+I84</f>
        <v>1264873</v>
      </c>
      <c r="S84" s="966">
        <f>+D84+F84+H84+J84</f>
        <v>-145918</v>
      </c>
      <c r="T84" s="966"/>
      <c r="U84" s="966">
        <f>SUM(R84:T84)</f>
        <v>1118955</v>
      </c>
      <c r="V84" s="959"/>
    </row>
    <row r="85" spans="2:22">
      <c r="B85" s="965" t="s">
        <v>3017</v>
      </c>
      <c r="C85" s="966">
        <f t="shared" ref="C85:D85" si="39">+C$52-C76</f>
        <v>155502</v>
      </c>
      <c r="D85" s="966">
        <f t="shared" si="39"/>
        <v>-132876</v>
      </c>
      <c r="E85" s="966">
        <f t="shared" ref="E85:F85" si="40">+E$52-E76</f>
        <v>14741</v>
      </c>
      <c r="F85" s="966">
        <f t="shared" si="40"/>
        <v>0</v>
      </c>
      <c r="G85" s="966">
        <f t="shared" ref="G85:H85" si="41">+G$52-G76</f>
        <v>668461</v>
      </c>
      <c r="H85" s="966">
        <f t="shared" si="41"/>
        <v>0</v>
      </c>
      <c r="I85" s="966">
        <f t="shared" ref="I85:J85" si="42">+I$52-I76</f>
        <v>337188</v>
      </c>
      <c r="J85" s="966">
        <f t="shared" si="42"/>
        <v>0</v>
      </c>
      <c r="K85" s="966">
        <f t="shared" ref="K85:L85" si="43">+K$52-K76</f>
        <v>18125</v>
      </c>
      <c r="L85" s="966">
        <f t="shared" si="43"/>
        <v>-838135</v>
      </c>
      <c r="M85" s="966"/>
      <c r="N85" s="959"/>
      <c r="O85" s="966"/>
      <c r="P85" s="959"/>
      <c r="Q85" s="959"/>
      <c r="R85" s="966">
        <f>+C85+E85+G85+I85+K85</f>
        <v>1194017</v>
      </c>
      <c r="S85" s="966">
        <f>+D85+F85+H85+J85+L85</f>
        <v>-971011</v>
      </c>
      <c r="T85" s="966"/>
      <c r="U85" s="966">
        <f t="shared" si="31"/>
        <v>223006</v>
      </c>
      <c r="V85" s="959"/>
    </row>
    <row r="86" spans="2:22">
      <c r="B86" s="965" t="s">
        <v>3241</v>
      </c>
      <c r="C86" s="966">
        <f t="shared" ref="C86:D86" si="44">+C$52-C77</f>
        <v>141117</v>
      </c>
      <c r="D86" s="966">
        <f t="shared" si="44"/>
        <v>-119834</v>
      </c>
      <c r="E86" s="966">
        <f t="shared" ref="E86:F86" si="45">+E$52-E77</f>
        <v>13377</v>
      </c>
      <c r="F86" s="966">
        <f t="shared" si="45"/>
        <v>0</v>
      </c>
      <c r="G86" s="966">
        <f t="shared" ref="G86:H86" si="46">+G$52-G77</f>
        <v>618624</v>
      </c>
      <c r="H86" s="966">
        <f t="shared" si="46"/>
        <v>0</v>
      </c>
      <c r="I86" s="966">
        <f t="shared" ref="I86:J86" si="47">+I$52-I77</f>
        <v>313793</v>
      </c>
      <c r="J86" s="966">
        <f t="shared" si="47"/>
        <v>0</v>
      </c>
      <c r="K86" s="966">
        <f t="shared" ref="K86:L86" si="48">+K$52-K77</f>
        <v>17002</v>
      </c>
      <c r="L86" s="966">
        <f t="shared" si="48"/>
        <v>-786213</v>
      </c>
      <c r="M86" s="966">
        <f t="shared" ref="M86:N86" si="49">+M$52-M77</f>
        <v>0</v>
      </c>
      <c r="N86" s="966">
        <f t="shared" si="49"/>
        <v>-150345</v>
      </c>
      <c r="O86" s="966"/>
      <c r="P86" s="959"/>
      <c r="Q86" s="959"/>
      <c r="R86" s="966">
        <f>+C86+E86+G86+I86+K86+M86</f>
        <v>1103913</v>
      </c>
      <c r="S86" s="966">
        <f>+D86+F86+H86+J86+L86+N86</f>
        <v>-1056392</v>
      </c>
      <c r="T86" s="966"/>
      <c r="U86" s="966">
        <f t="shared" si="31"/>
        <v>47521</v>
      </c>
      <c r="V86" s="959"/>
    </row>
    <row r="87" spans="2:22">
      <c r="B87" s="965" t="s">
        <v>3391</v>
      </c>
      <c r="C87" s="966">
        <f>+C$52-C78</f>
        <v>126732</v>
      </c>
      <c r="D87" s="966">
        <f>+D$52-D78</f>
        <v>-106792</v>
      </c>
      <c r="E87" s="966">
        <f t="shared" ref="E87:F87" si="50">+E$52-E78</f>
        <v>12013</v>
      </c>
      <c r="F87" s="966">
        <f t="shared" si="50"/>
        <v>0</v>
      </c>
      <c r="G87" s="966">
        <f t="shared" ref="G87:H87" si="51">+G$52-G78</f>
        <v>568787</v>
      </c>
      <c r="H87" s="966">
        <f t="shared" si="51"/>
        <v>0</v>
      </c>
      <c r="I87" s="966">
        <f t="shared" ref="I87:J87" si="52">+I$52-I78</f>
        <v>290398</v>
      </c>
      <c r="J87" s="966">
        <f t="shared" si="52"/>
        <v>0</v>
      </c>
      <c r="K87" s="966">
        <f t="shared" ref="K87:L87" si="53">+K$52-K78</f>
        <v>15879</v>
      </c>
      <c r="L87" s="966">
        <f t="shared" si="53"/>
        <v>-734291</v>
      </c>
      <c r="M87" s="966">
        <f t="shared" ref="M87:N87" si="54">+M$52-M78</f>
        <v>0</v>
      </c>
      <c r="N87" s="966">
        <f t="shared" si="54"/>
        <v>-140524</v>
      </c>
      <c r="O87" s="966">
        <f t="shared" ref="O87:P87" si="55">+O$52-O78</f>
        <v>0</v>
      </c>
      <c r="P87" s="966">
        <f t="shared" si="55"/>
        <v>-267768</v>
      </c>
      <c r="Q87" s="959"/>
      <c r="R87" s="966">
        <f>+C87+E87+G87+I87+K87+M87+O87</f>
        <v>1013809</v>
      </c>
      <c r="S87" s="966">
        <f>+D87+F87+H87+J87+L87+N87+P87</f>
        <v>-1249375</v>
      </c>
      <c r="T87" s="627"/>
      <c r="U87" s="966">
        <f t="shared" si="31"/>
        <v>-235566</v>
      </c>
      <c r="V87" s="627"/>
    </row>
    <row r="88" spans="2:22">
      <c r="B88"/>
      <c r="C88" s="667"/>
      <c r="D88" s="667"/>
      <c r="E88" s="667"/>
      <c r="F88" s="667"/>
      <c r="R88" s="966"/>
      <c r="S88" s="966"/>
    </row>
    <row r="89" spans="2:22">
      <c r="B89" s="953" t="s">
        <v>3399</v>
      </c>
      <c r="C89" s="667"/>
      <c r="D89" s="667"/>
      <c r="E89" s="667"/>
      <c r="F89" s="667"/>
    </row>
    <row r="90" spans="2:22" ht="15" hidden="1" customHeight="1">
      <c r="B90"/>
      <c r="C90" s="667"/>
      <c r="D90" s="667"/>
      <c r="E90" s="667"/>
      <c r="F90" s="667"/>
    </row>
    <row r="91" spans="2:22">
      <c r="B91" s="951">
        <v>2024</v>
      </c>
      <c r="C91" s="960">
        <f t="shared" si="10"/>
        <v>14385</v>
      </c>
      <c r="D91" s="960">
        <f t="shared" si="11"/>
        <v>-13042</v>
      </c>
      <c r="E91" s="960">
        <f t="shared" si="10"/>
        <v>1364</v>
      </c>
      <c r="F91" s="960">
        <f t="shared" si="11"/>
        <v>0</v>
      </c>
      <c r="G91" s="960">
        <f t="shared" si="10"/>
        <v>49837</v>
      </c>
      <c r="H91" s="960">
        <f t="shared" ref="H91" si="56">ROUND((+H$50+H$51)/G$53,0)</f>
        <v>0</v>
      </c>
      <c r="I91" s="960">
        <f t="shared" si="10"/>
        <v>23395</v>
      </c>
      <c r="J91" s="960">
        <f t="shared" ref="J91:L91" si="57">ROUND((+J$50+J$51)/I$53,0)</f>
        <v>0</v>
      </c>
      <c r="K91" s="960">
        <f t="shared" si="10"/>
        <v>1123</v>
      </c>
      <c r="L91" s="960">
        <f t="shared" si="57"/>
        <v>-51922</v>
      </c>
      <c r="M91" s="960">
        <f t="shared" si="10"/>
        <v>0</v>
      </c>
      <c r="N91" s="960">
        <f t="shared" ref="N91:P91" si="58">ROUND((+N$50+N$51)/M$53,0)</f>
        <v>-9821</v>
      </c>
      <c r="O91" s="960">
        <f t="shared" si="10"/>
        <v>0</v>
      </c>
      <c r="P91" s="960">
        <f t="shared" si="58"/>
        <v>-16778</v>
      </c>
      <c r="Q91" s="959"/>
      <c r="R91" s="966">
        <f>+C91+E91+G91+I91+K91+M91+O91</f>
        <v>90104</v>
      </c>
      <c r="S91" s="966">
        <f>+D91+F91+H91+J91+L91+N91+P91</f>
        <v>-91563</v>
      </c>
      <c r="T91" s="967"/>
      <c r="U91" s="966">
        <f>SUM(R91:T91)</f>
        <v>-1459</v>
      </c>
    </row>
    <row r="92" spans="2:22">
      <c r="B92" s="951">
        <v>2025</v>
      </c>
      <c r="C92" s="960">
        <f t="shared" si="10"/>
        <v>14385</v>
      </c>
      <c r="D92" s="960">
        <f t="shared" ref="D92" si="59">ROUND((+D$50+D$51)/C$53,0)</f>
        <v>-13042</v>
      </c>
      <c r="E92" s="960">
        <f t="shared" si="10"/>
        <v>1364</v>
      </c>
      <c r="F92" s="960">
        <f t="shared" ref="F92" si="60">ROUND((+F$50+F$51)/E$53,0)</f>
        <v>0</v>
      </c>
      <c r="G92" s="960">
        <f t="shared" si="10"/>
        <v>49837</v>
      </c>
      <c r="H92" s="960">
        <f t="shared" ref="H92" si="61">ROUND((+H$50+H$51)/G$53,0)</f>
        <v>0</v>
      </c>
      <c r="I92" s="960">
        <f t="shared" si="10"/>
        <v>23395</v>
      </c>
      <c r="J92" s="960">
        <f t="shared" ref="J92" si="62">ROUND((+J$50+J$51)/I$53,0)</f>
        <v>0</v>
      </c>
      <c r="K92" s="960">
        <f t="shared" si="10"/>
        <v>1123</v>
      </c>
      <c r="L92" s="960">
        <f t="shared" ref="L92" si="63">ROUND((+L$50+L$51)/K$53,0)</f>
        <v>-51922</v>
      </c>
      <c r="M92" s="960">
        <f t="shared" si="10"/>
        <v>0</v>
      </c>
      <c r="N92" s="960">
        <f t="shared" ref="N92" si="64">ROUND((+N$50+N$51)/M$53,0)</f>
        <v>-9821</v>
      </c>
      <c r="O92" s="960">
        <f t="shared" si="10"/>
        <v>0</v>
      </c>
      <c r="P92" s="960">
        <f t="shared" ref="P92" si="65">ROUND((+P$50+P$51)/O$53,0)</f>
        <v>-16778</v>
      </c>
      <c r="Q92" s="959"/>
      <c r="R92" s="966">
        <f t="shared" ref="R92:R94" si="66">+C92+E92+G92+I92+K92+M92+O92</f>
        <v>90104</v>
      </c>
      <c r="S92" s="966">
        <f t="shared" ref="S92:S95" si="67">+D92+F92+H92+J92+L92+N92+P92</f>
        <v>-91563</v>
      </c>
      <c r="T92" s="967"/>
      <c r="U92" s="966">
        <f t="shared" ref="U92:U95" si="68">SUM(R92:T92)</f>
        <v>-1459</v>
      </c>
    </row>
    <row r="93" spans="2:22">
      <c r="B93" s="951">
        <v>2026</v>
      </c>
      <c r="C93" s="960">
        <f t="shared" ref="C93:O95" si="69">ROUND((+C$50+C$51)/C$53,0)</f>
        <v>14385</v>
      </c>
      <c r="D93" s="960">
        <f t="shared" ref="D93" si="70">ROUND((+D$50+D$51)/C$53,0)</f>
        <v>-13042</v>
      </c>
      <c r="E93" s="960">
        <f t="shared" si="69"/>
        <v>1364</v>
      </c>
      <c r="F93" s="960">
        <f t="shared" ref="F93" si="71">ROUND((+F$50+F$51)/E$53,0)</f>
        <v>0</v>
      </c>
      <c r="G93" s="960">
        <f t="shared" si="69"/>
        <v>49837</v>
      </c>
      <c r="H93" s="960">
        <f t="shared" ref="H93" si="72">ROUND((+H$50+H$51)/G$53,0)</f>
        <v>0</v>
      </c>
      <c r="I93" s="960">
        <f t="shared" si="69"/>
        <v>23395</v>
      </c>
      <c r="J93" s="960">
        <f t="shared" ref="J93" si="73">ROUND((+J$50+J$51)/I$53,0)</f>
        <v>0</v>
      </c>
      <c r="K93" s="960">
        <f t="shared" si="69"/>
        <v>1123</v>
      </c>
      <c r="L93" s="960">
        <f t="shared" ref="L93" si="74">ROUND((+L$50+L$51)/K$53,0)</f>
        <v>-51922</v>
      </c>
      <c r="M93" s="960">
        <f t="shared" si="69"/>
        <v>0</v>
      </c>
      <c r="N93" s="960">
        <f t="shared" ref="N93" si="75">ROUND((+N$50+N$51)/M$53,0)</f>
        <v>-9821</v>
      </c>
      <c r="O93" s="960">
        <f t="shared" si="69"/>
        <v>0</v>
      </c>
      <c r="P93" s="960">
        <f t="shared" ref="P93" si="76">ROUND((+P$50+P$51)/O$53,0)</f>
        <v>-16778</v>
      </c>
      <c r="Q93" s="959"/>
      <c r="R93" s="966">
        <f t="shared" si="66"/>
        <v>90104</v>
      </c>
      <c r="S93" s="966">
        <f t="shared" si="67"/>
        <v>-91563</v>
      </c>
      <c r="T93" s="967"/>
      <c r="U93" s="966">
        <f t="shared" si="68"/>
        <v>-1459</v>
      </c>
    </row>
    <row r="94" spans="2:22">
      <c r="B94" s="951">
        <v>2027</v>
      </c>
      <c r="C94" s="960">
        <f t="shared" si="69"/>
        <v>14385</v>
      </c>
      <c r="D94" s="960">
        <f t="shared" ref="D94" si="77">ROUND((+D$50+D$51)/C$53,0)</f>
        <v>-13042</v>
      </c>
      <c r="E94" s="960">
        <f t="shared" si="69"/>
        <v>1364</v>
      </c>
      <c r="F94" s="960">
        <f t="shared" ref="F94" si="78">ROUND((+F$50+F$51)/E$53,0)</f>
        <v>0</v>
      </c>
      <c r="G94" s="960">
        <f t="shared" si="69"/>
        <v>49837</v>
      </c>
      <c r="H94" s="960">
        <f t="shared" ref="H94" si="79">ROUND((+H$50+H$51)/G$53,0)</f>
        <v>0</v>
      </c>
      <c r="I94" s="960">
        <f t="shared" si="69"/>
        <v>23395</v>
      </c>
      <c r="J94" s="960">
        <f t="shared" ref="J94" si="80">ROUND((+J$50+J$51)/I$53,0)</f>
        <v>0</v>
      </c>
      <c r="K94" s="960">
        <f t="shared" si="69"/>
        <v>1123</v>
      </c>
      <c r="L94" s="960">
        <f t="shared" ref="L94" si="81">ROUND((+L$50+L$51)/K$53,0)</f>
        <v>-51922</v>
      </c>
      <c r="M94" s="960">
        <f t="shared" si="69"/>
        <v>0</v>
      </c>
      <c r="N94" s="960">
        <f t="shared" ref="N94" si="82">ROUND((+N$50+N$51)/M$53,0)</f>
        <v>-9821</v>
      </c>
      <c r="O94" s="960">
        <f t="shared" si="69"/>
        <v>0</v>
      </c>
      <c r="P94" s="960">
        <f t="shared" ref="P94" si="83">ROUND((+P$50+P$51)/O$53,0)</f>
        <v>-16778</v>
      </c>
      <c r="Q94" s="959"/>
      <c r="R94" s="966">
        <f t="shared" si="66"/>
        <v>90104</v>
      </c>
      <c r="S94" s="966">
        <f t="shared" si="67"/>
        <v>-91563</v>
      </c>
      <c r="T94" s="967"/>
      <c r="U94" s="966">
        <f t="shared" si="68"/>
        <v>-1459</v>
      </c>
    </row>
    <row r="95" spans="2:22">
      <c r="B95" s="951">
        <v>2028</v>
      </c>
      <c r="C95" s="960">
        <f t="shared" si="69"/>
        <v>14385</v>
      </c>
      <c r="D95" s="960">
        <f t="shared" ref="D95" si="84">ROUND((+D$50+D$51)/C$53,0)</f>
        <v>-13042</v>
      </c>
      <c r="E95" s="960">
        <f t="shared" si="69"/>
        <v>1364</v>
      </c>
      <c r="F95" s="960">
        <f t="shared" ref="F95" si="85">ROUND((+F$50+F$51)/E$53,0)</f>
        <v>0</v>
      </c>
      <c r="G95" s="960">
        <f t="shared" si="69"/>
        <v>49837</v>
      </c>
      <c r="H95" s="960">
        <f t="shared" ref="H95" si="86">ROUND((+H$50+H$51)/G$53,0)</f>
        <v>0</v>
      </c>
      <c r="I95" s="960">
        <f t="shared" si="69"/>
        <v>23395</v>
      </c>
      <c r="J95" s="960">
        <f t="shared" ref="J95" si="87">ROUND((+J$50+J$51)/I$53,0)</f>
        <v>0</v>
      </c>
      <c r="K95" s="960">
        <f t="shared" si="69"/>
        <v>1123</v>
      </c>
      <c r="L95" s="960">
        <f t="shared" ref="L95" si="88">ROUND((+L$50+L$51)/K$53,0)</f>
        <v>-51922</v>
      </c>
      <c r="M95" s="960">
        <f t="shared" si="69"/>
        <v>0</v>
      </c>
      <c r="N95" s="960">
        <f t="shared" ref="N95" si="89">ROUND((+N$50+N$51)/M$53,0)</f>
        <v>-9821</v>
      </c>
      <c r="O95" s="960">
        <f t="shared" si="69"/>
        <v>0</v>
      </c>
      <c r="P95" s="960">
        <f t="shared" ref="P95" si="90">ROUND((+P$50+P$51)/O$53,0)</f>
        <v>-16778</v>
      </c>
      <c r="Q95" s="959"/>
      <c r="R95" s="966">
        <f>+C95+E95+G95+I95+K95+M95+O95</f>
        <v>90104</v>
      </c>
      <c r="S95" s="966">
        <f t="shared" si="67"/>
        <v>-91563</v>
      </c>
      <c r="T95" s="967"/>
      <c r="U95" s="966">
        <f t="shared" si="68"/>
        <v>-1459</v>
      </c>
    </row>
    <row r="96" spans="2:22">
      <c r="B96" s="952" t="s">
        <v>2921</v>
      </c>
      <c r="C96" s="1024">
        <f t="shared" ref="C96:P96" si="91">+C68-SUM(C91:C95)</f>
        <v>54807</v>
      </c>
      <c r="D96" s="1024">
        <f t="shared" si="91"/>
        <v>-41582</v>
      </c>
      <c r="E96" s="1024">
        <f t="shared" si="91"/>
        <v>5193</v>
      </c>
      <c r="F96" s="1024">
        <f t="shared" si="91"/>
        <v>0</v>
      </c>
      <c r="G96" s="1024">
        <f t="shared" si="91"/>
        <v>319602</v>
      </c>
      <c r="H96" s="1024">
        <f t="shared" si="91"/>
        <v>0</v>
      </c>
      <c r="I96" s="1024">
        <f t="shared" si="91"/>
        <v>173423</v>
      </c>
      <c r="J96" s="1024">
        <f t="shared" si="91"/>
        <v>0</v>
      </c>
      <c r="K96" s="1024">
        <f t="shared" si="91"/>
        <v>10264</v>
      </c>
      <c r="L96" s="1024">
        <f t="shared" si="91"/>
        <v>-474681</v>
      </c>
      <c r="M96" s="1024">
        <f t="shared" si="91"/>
        <v>0</v>
      </c>
      <c r="N96" s="1024">
        <f t="shared" si="91"/>
        <v>-91419</v>
      </c>
      <c r="O96" s="1024">
        <f t="shared" si="91"/>
        <v>0</v>
      </c>
      <c r="P96" s="1024">
        <f t="shared" si="91"/>
        <v>-183878</v>
      </c>
      <c r="Q96" s="959"/>
      <c r="R96" s="966">
        <f>+C96+E96+G96+I96+K96+M96+O96</f>
        <v>563289</v>
      </c>
      <c r="S96" s="966">
        <f>+D96+F96+H96+J96+L96+N96+P96</f>
        <v>-791560</v>
      </c>
      <c r="T96" s="967"/>
      <c r="U96" s="966">
        <f>SUM(R96:T96)</f>
        <v>-228271</v>
      </c>
    </row>
    <row r="97" spans="2:22">
      <c r="B97" s="951"/>
      <c r="C97" s="960"/>
      <c r="D97" s="960"/>
      <c r="E97" s="960"/>
      <c r="F97" s="960"/>
      <c r="G97" s="960"/>
      <c r="H97" s="960"/>
      <c r="I97" s="960"/>
      <c r="J97" s="960"/>
      <c r="K97" s="960"/>
      <c r="L97" s="960"/>
      <c r="M97" s="960"/>
      <c r="N97" s="960"/>
      <c r="O97" s="960"/>
      <c r="P97" s="1027"/>
      <c r="Q97" s="959"/>
      <c r="R97" s="966"/>
      <c r="S97" s="966"/>
      <c r="T97" s="967"/>
      <c r="U97" s="966"/>
    </row>
    <row r="98" spans="2:22" ht="15" customHeight="1">
      <c r="B98"/>
      <c r="C98" s="667"/>
      <c r="D98" s="667"/>
      <c r="E98" s="667"/>
      <c r="F98" s="667"/>
    </row>
    <row r="99" spans="2:22" ht="15.75" thickBot="1">
      <c r="B99" s="1236"/>
      <c r="C99" s="1236"/>
      <c r="D99" s="1236"/>
      <c r="E99" s="1236"/>
      <c r="F99" s="1236"/>
      <c r="G99" s="1236"/>
      <c r="H99" s="1236"/>
      <c r="I99" s="1236"/>
      <c r="J99" s="1236"/>
      <c r="K99" s="1236"/>
      <c r="L99" s="1236"/>
      <c r="M99" s="1236"/>
      <c r="N99" s="1236"/>
      <c r="O99" s="1236"/>
      <c r="P99" s="1236"/>
      <c r="Q99" s="1236"/>
      <c r="R99" s="1236"/>
      <c r="S99" s="1236"/>
      <c r="T99" s="1236"/>
      <c r="U99" s="1236"/>
      <c r="V99" s="1236"/>
    </row>
    <row r="100" spans="2:22">
      <c r="B100"/>
      <c r="C100" s="667"/>
      <c r="D100" s="667"/>
      <c r="E100" s="667"/>
      <c r="F100" s="667"/>
    </row>
    <row r="101" spans="2:22" hidden="1">
      <c r="B101"/>
      <c r="C101" s="667"/>
      <c r="D101" s="667"/>
      <c r="E101" s="667"/>
      <c r="F101" s="667"/>
    </row>
    <row r="102" spans="2:22" ht="15" customHeight="1">
      <c r="B102"/>
      <c r="C102" s="667"/>
      <c r="D102" s="667"/>
      <c r="E102" s="667"/>
      <c r="F102" s="667"/>
    </row>
    <row r="103" spans="2:22">
      <c r="B103"/>
      <c r="C103" s="667"/>
      <c r="D103" s="667"/>
      <c r="E103" s="667"/>
      <c r="F103" s="667"/>
    </row>
    <row r="104" spans="2:22">
      <c r="B104" s="1266" t="s">
        <v>3422</v>
      </c>
      <c r="C104" s="667"/>
      <c r="D104" s="667"/>
    </row>
    <row r="106" spans="2:22" ht="15.75" thickBot="1">
      <c r="C106" s="718"/>
      <c r="D106" s="1231" t="s">
        <v>2554</v>
      </c>
      <c r="E106" s="717"/>
      <c r="F106" s="1231" t="s">
        <v>2514</v>
      </c>
      <c r="G106" s="718"/>
    </row>
    <row r="107" spans="2:22" ht="15" hidden="1" customHeight="1">
      <c r="B107" s="627"/>
      <c r="C107" s="718"/>
      <c r="D107" s="732" t="s">
        <v>2515</v>
      </c>
      <c r="E107" s="717"/>
      <c r="F107" s="732" t="s">
        <v>2515</v>
      </c>
      <c r="G107" s="718"/>
    </row>
    <row r="108" spans="2:22">
      <c r="B108" s="627" t="s">
        <v>2516</v>
      </c>
      <c r="C108" s="718"/>
      <c r="D108" s="968">
        <f>+IF(U50&gt;0,+U50,0)</f>
        <v>0</v>
      </c>
      <c r="E108" s="717"/>
      <c r="F108" s="968">
        <f>+S87</f>
        <v>-1249375</v>
      </c>
      <c r="G108" s="718"/>
      <c r="H108" s="1237">
        <f>+D110+F110</f>
        <v>-235566</v>
      </c>
      <c r="I108" s="1238"/>
      <c r="J108" s="1238"/>
      <c r="K108" s="1239"/>
    </row>
    <row r="109" spans="2:22" ht="16.5">
      <c r="B109" s="627" t="s">
        <v>2517</v>
      </c>
      <c r="C109" s="718"/>
      <c r="D109" s="969">
        <f>+R87</f>
        <v>1013809</v>
      </c>
      <c r="E109" s="717"/>
      <c r="F109" s="969">
        <f>+IF(U51&gt;0,0,+U51)</f>
        <v>0</v>
      </c>
      <c r="G109" s="718"/>
      <c r="H109" s="1249">
        <f>+F128</f>
        <v>-235566</v>
      </c>
      <c r="I109" s="1240"/>
      <c r="J109" s="1241"/>
      <c r="K109" s="1242"/>
    </row>
    <row r="110" spans="2:22" ht="15.75" thickBot="1">
      <c r="B110" s="627" t="s">
        <v>2518</v>
      </c>
      <c r="C110" s="718"/>
      <c r="D110" s="808">
        <f>SUM(D108:D109)</f>
        <v>1013809</v>
      </c>
      <c r="E110" s="1045"/>
      <c r="F110" s="808">
        <f>SUM(F108:F109)</f>
        <v>-1249375</v>
      </c>
      <c r="G110" s="718"/>
      <c r="H110" s="1243"/>
      <c r="I110" s="1240">
        <f>+H108-H109</f>
        <v>0</v>
      </c>
      <c r="J110" s="1244" t="s">
        <v>3400</v>
      </c>
      <c r="K110" s="1242"/>
    </row>
    <row r="111" spans="2:22" ht="16.5" thickTop="1" thickBot="1">
      <c r="H111" s="1245"/>
      <c r="I111" s="1246"/>
      <c r="J111" s="1248" t="s">
        <v>3401</v>
      </c>
      <c r="K111" s="1247"/>
    </row>
    <row r="113" spans="2:9">
      <c r="B113" s="1266" t="s">
        <v>3422</v>
      </c>
      <c r="G113" s="627"/>
    </row>
    <row r="114" spans="2:9">
      <c r="C114" s="627"/>
      <c r="D114" s="627"/>
      <c r="E114" s="627"/>
    </row>
    <row r="115" spans="2:9">
      <c r="D115" s="1232" t="s">
        <v>3402</v>
      </c>
    </row>
    <row r="116" spans="2:9">
      <c r="D116" s="1232" t="s">
        <v>3403</v>
      </c>
    </row>
    <row r="117" spans="2:9">
      <c r="D117" s="1232" t="s">
        <v>3405</v>
      </c>
    </row>
    <row r="118" spans="2:9">
      <c r="B118" s="1233" t="s">
        <v>2682</v>
      </c>
      <c r="C118" s="795"/>
      <c r="D118" s="1231" t="s">
        <v>3404</v>
      </c>
      <c r="E118" s="1234"/>
    </row>
    <row r="119" spans="2:9">
      <c r="B119" s="637">
        <v>2024</v>
      </c>
      <c r="C119" s="632"/>
      <c r="D119" s="719">
        <f t="shared" ref="D119:D124" si="92">+U91</f>
        <v>-1459</v>
      </c>
    </row>
    <row r="120" spans="2:9">
      <c r="B120" s="637">
        <v>2025</v>
      </c>
      <c r="C120" s="632"/>
      <c r="D120" s="719">
        <f t="shared" si="92"/>
        <v>-1459</v>
      </c>
      <c r="E120" s="1234"/>
    </row>
    <row r="121" spans="2:9">
      <c r="B121" s="637">
        <v>2026</v>
      </c>
      <c r="C121" s="632"/>
      <c r="D121" s="719">
        <f t="shared" si="92"/>
        <v>-1459</v>
      </c>
    </row>
    <row r="122" spans="2:9">
      <c r="B122" s="637">
        <v>2027</v>
      </c>
      <c r="C122" s="632"/>
      <c r="D122" s="719">
        <f t="shared" si="92"/>
        <v>-1459</v>
      </c>
      <c r="E122" s="1234"/>
    </row>
    <row r="123" spans="2:9">
      <c r="B123" s="637">
        <v>2028</v>
      </c>
      <c r="C123" s="632"/>
      <c r="D123" s="719">
        <f t="shared" si="92"/>
        <v>-1459</v>
      </c>
    </row>
    <row r="124" spans="2:9">
      <c r="B124" s="637" t="s">
        <v>2519</v>
      </c>
      <c r="C124" s="632"/>
      <c r="D124" s="719">
        <f t="shared" si="92"/>
        <v>-228271</v>
      </c>
      <c r="E124" s="1234"/>
    </row>
    <row r="125" spans="2:9">
      <c r="D125" s="877"/>
    </row>
    <row r="127" spans="2:9" ht="15.75" thickBot="1">
      <c r="B127" s="627"/>
    </row>
    <row r="128" spans="2:9">
      <c r="B128" s="627"/>
      <c r="F128" s="1237">
        <f>SUM(D119:D124)</f>
        <v>-235566</v>
      </c>
      <c r="G128" s="1238"/>
      <c r="H128" s="1238"/>
      <c r="I128" s="1239"/>
    </row>
    <row r="129" spans="2:9" ht="16.5">
      <c r="F129" s="1249">
        <f>+U68</f>
        <v>-235566</v>
      </c>
      <c r="G129" s="1240"/>
      <c r="H129" s="1241"/>
      <c r="I129" s="1242"/>
    </row>
    <row r="130" spans="2:9">
      <c r="F130" s="1243"/>
      <c r="G130" s="1240">
        <f>+F128-F129</f>
        <v>0</v>
      </c>
      <c r="H130" s="1244" t="s">
        <v>3400</v>
      </c>
      <c r="I130" s="1242"/>
    </row>
    <row r="131" spans="2:9" ht="15.75" thickBot="1">
      <c r="F131" s="1245"/>
      <c r="G131" s="1246"/>
      <c r="H131" s="1248" t="s">
        <v>3401</v>
      </c>
      <c r="I131" s="1247"/>
    </row>
    <row r="134" spans="2:9">
      <c r="D134" s="1232" t="s">
        <v>3447</v>
      </c>
      <c r="F134" s="1232" t="s">
        <v>3447</v>
      </c>
    </row>
    <row r="135" spans="2:9">
      <c r="D135" s="1232" t="s">
        <v>3448</v>
      </c>
      <c r="F135" s="1232" t="s">
        <v>3451</v>
      </c>
    </row>
    <row r="136" spans="2:9">
      <c r="D136" s="1232" t="s">
        <v>3449</v>
      </c>
      <c r="F136" s="1232" t="s">
        <v>3453</v>
      </c>
    </row>
    <row r="137" spans="2:9">
      <c r="B137" s="1233" t="s">
        <v>2682</v>
      </c>
      <c r="C137" s="795"/>
      <c r="D137" s="1231" t="s">
        <v>3450</v>
      </c>
      <c r="F137" s="1231" t="s">
        <v>3452</v>
      </c>
    </row>
    <row r="138" spans="2:9">
      <c r="B138" s="637">
        <v>2024</v>
      </c>
      <c r="C138" s="632"/>
      <c r="D138" s="719">
        <f>+R91</f>
        <v>90104</v>
      </c>
      <c r="F138" s="719">
        <f>+S91</f>
        <v>-91563</v>
      </c>
    </row>
    <row r="139" spans="2:9">
      <c r="B139" s="637">
        <v>2025</v>
      </c>
      <c r="C139" s="632"/>
      <c r="D139" s="719">
        <f t="shared" ref="D139:D143" si="93">+R92</f>
        <v>90104</v>
      </c>
      <c r="F139" s="719">
        <f t="shared" ref="F139:F143" si="94">+S92</f>
        <v>-91563</v>
      </c>
    </row>
    <row r="140" spans="2:9">
      <c r="B140" s="637">
        <v>2026</v>
      </c>
      <c r="C140" s="632"/>
      <c r="D140" s="719">
        <f t="shared" si="93"/>
        <v>90104</v>
      </c>
      <c r="F140" s="719">
        <f t="shared" si="94"/>
        <v>-91563</v>
      </c>
    </row>
    <row r="141" spans="2:9">
      <c r="B141" s="637">
        <v>2027</v>
      </c>
      <c r="C141" s="632"/>
      <c r="D141" s="719">
        <f t="shared" si="93"/>
        <v>90104</v>
      </c>
      <c r="E141" s="722"/>
      <c r="F141" s="719">
        <f t="shared" si="94"/>
        <v>-91563</v>
      </c>
      <c r="G141" s="722"/>
    </row>
    <row r="142" spans="2:9">
      <c r="B142" s="637">
        <v>2028</v>
      </c>
      <c r="C142" s="632"/>
      <c r="D142" s="719">
        <f t="shared" si="93"/>
        <v>90104</v>
      </c>
      <c r="E142" s="627"/>
      <c r="F142" s="719">
        <f t="shared" si="94"/>
        <v>-91563</v>
      </c>
      <c r="G142" s="627"/>
      <c r="H142" s="627"/>
    </row>
    <row r="143" spans="2:9">
      <c r="B143" s="637" t="s">
        <v>2519</v>
      </c>
      <c r="C143" s="632"/>
      <c r="D143" s="719">
        <f t="shared" si="93"/>
        <v>563289</v>
      </c>
      <c r="F143" s="719">
        <f t="shared" si="94"/>
        <v>-791560</v>
      </c>
    </row>
    <row r="147" spans="2:8">
      <c r="D147" s="1030" t="s">
        <v>3393</v>
      </c>
      <c r="F147" s="1030" t="s">
        <v>3394</v>
      </c>
    </row>
    <row r="148" spans="2:8">
      <c r="D148" s="637" t="s">
        <v>2717</v>
      </c>
      <c r="F148" s="637"/>
    </row>
    <row r="149" spans="2:8">
      <c r="D149" s="637" t="s">
        <v>2718</v>
      </c>
      <c r="F149" s="637"/>
    </row>
    <row r="150" spans="2:8">
      <c r="B150" s="838" t="s">
        <v>2716</v>
      </c>
      <c r="D150" s="1029">
        <v>45107</v>
      </c>
      <c r="F150" s="637"/>
    </row>
    <row r="151" spans="2:8">
      <c r="B151" s="627" t="s">
        <v>2711</v>
      </c>
      <c r="D151" s="1100">
        <v>99460</v>
      </c>
      <c r="F151" s="637"/>
    </row>
    <row r="152" spans="2:8">
      <c r="B152" s="627" t="s">
        <v>2712</v>
      </c>
      <c r="D152" s="1100">
        <v>804106</v>
      </c>
      <c r="F152" s="736"/>
    </row>
    <row r="153" spans="2:8">
      <c r="B153" s="627" t="s">
        <v>2713</v>
      </c>
      <c r="D153" s="736">
        <v>19985469</v>
      </c>
      <c r="F153" s="736"/>
    </row>
    <row r="154" spans="2:8">
      <c r="B154" s="627" t="s">
        <v>2714</v>
      </c>
      <c r="D154" s="1222">
        <v>4.02E-2</v>
      </c>
      <c r="F154" s="627"/>
    </row>
    <row r="155" spans="2:8">
      <c r="B155" s="627" t="s">
        <v>2715</v>
      </c>
      <c r="D155" s="627">
        <v>314</v>
      </c>
      <c r="F155" s="627"/>
      <c r="H155" s="627"/>
    </row>
  </sheetData>
  <phoneticPr fontId="33" type="noConversion"/>
  <printOptions horizontalCentered="1"/>
  <pageMargins left="0.15" right="0.15" top="0.5" bottom="0.5" header="0.25" footer="0.25"/>
  <pageSetup scale="97" orientation="landscape" r:id="rId1"/>
  <headerFooter>
    <oddFooter>&amp;L&amp;9&amp;D&amp;C&amp;9Page: &amp;P&amp;R&amp;9&amp;F; &amp;A</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ransitionEvaluation="1" codeName="Sheet52"/>
  <dimension ref="A3:J53"/>
  <sheetViews>
    <sheetView defaultGridColor="0" topLeftCell="A28" colorId="22" zoomScale="77" workbookViewId="0">
      <selection activeCell="K66" sqref="K66"/>
    </sheetView>
  </sheetViews>
  <sheetFormatPr defaultColWidth="9.7109375" defaultRowHeight="12.75"/>
  <cols>
    <col min="1" max="1" width="2.7109375" customWidth="1"/>
    <col min="2" max="2" width="55.7109375" customWidth="1"/>
    <col min="3" max="3" width="2.7109375" customWidth="1"/>
    <col min="4" max="5" width="16.7109375" customWidth="1"/>
    <col min="6" max="6" width="2.7109375" customWidth="1"/>
    <col min="7" max="7" width="18.7109375" customWidth="1"/>
    <col min="8" max="9" width="15.7109375" customWidth="1"/>
    <col min="10" max="10" width="11.7109375" bestFit="1" customWidth="1"/>
    <col min="11" max="11" width="10.28515625" bestFit="1" customWidth="1"/>
  </cols>
  <sheetData>
    <row r="3" spans="2:10" ht="15.75">
      <c r="B3" s="13"/>
    </row>
    <row r="5" spans="2:10" ht="15.75">
      <c r="B5" s="13" t="s">
        <v>1049</v>
      </c>
      <c r="C5" s="13"/>
      <c r="D5" s="13"/>
      <c r="E5" s="13"/>
      <c r="F5" s="13"/>
      <c r="G5" s="13"/>
      <c r="J5" s="14"/>
    </row>
    <row r="6" spans="2:10" ht="15.75">
      <c r="B6" s="13" t="s">
        <v>248</v>
      </c>
      <c r="C6" s="13"/>
      <c r="D6" s="13"/>
      <c r="E6" s="13"/>
      <c r="F6" s="13"/>
      <c r="G6" s="13"/>
      <c r="J6" s="14"/>
    </row>
    <row r="7" spans="2:10" ht="15.75">
      <c r="B7" s="13" t="s">
        <v>8</v>
      </c>
      <c r="C7" s="13"/>
      <c r="D7" s="13"/>
      <c r="E7" s="13"/>
      <c r="F7" s="13"/>
      <c r="G7" s="13"/>
      <c r="J7" s="14"/>
    </row>
    <row r="8" spans="2:10" ht="15.75">
      <c r="B8" s="33">
        <f>+'Sys INPUT'!B1</f>
        <v>45107</v>
      </c>
      <c r="C8" s="33"/>
      <c r="D8" s="33"/>
      <c r="E8" s="33"/>
      <c r="F8" s="13"/>
      <c r="G8" s="13"/>
      <c r="J8" s="14"/>
    </row>
    <row r="9" spans="2:10" ht="15.75">
      <c r="B9" s="13"/>
      <c r="C9" s="13"/>
      <c r="D9" s="13"/>
      <c r="E9" s="13"/>
      <c r="F9" s="13"/>
      <c r="G9" s="13"/>
      <c r="J9" s="14"/>
    </row>
    <row r="10" spans="2:10" ht="15.75">
      <c r="B10" s="2"/>
      <c r="D10" s="13"/>
      <c r="E10" s="13"/>
      <c r="F10" s="18"/>
      <c r="G10" s="18"/>
      <c r="J10" s="2"/>
    </row>
    <row r="11" spans="2:10" ht="15.75">
      <c r="B11" s="2"/>
      <c r="E11" s="13"/>
      <c r="F11" s="18"/>
      <c r="G11" s="18"/>
      <c r="H11" s="18"/>
      <c r="I11" s="18"/>
      <c r="J11" s="2"/>
    </row>
    <row r="12" spans="2:10" ht="15.75">
      <c r="B12" s="2"/>
      <c r="C12" s="3"/>
      <c r="D12" s="3" t="s">
        <v>901</v>
      </c>
      <c r="E12" s="13"/>
      <c r="J12" s="3"/>
    </row>
    <row r="13" spans="2:10" ht="15.75">
      <c r="B13" s="2"/>
      <c r="C13" s="3"/>
      <c r="D13" s="3" t="s">
        <v>746</v>
      </c>
      <c r="E13" s="3"/>
      <c r="F13" s="3"/>
      <c r="G13" s="3"/>
      <c r="H13" s="3"/>
      <c r="I13" s="3"/>
      <c r="J13" s="3"/>
    </row>
    <row r="14" spans="2:10" ht="15.75">
      <c r="B14" s="14"/>
      <c r="C14" s="3"/>
      <c r="D14" s="16" t="s">
        <v>73</v>
      </c>
      <c r="E14" s="3"/>
      <c r="F14" s="3"/>
      <c r="G14" s="16" t="s">
        <v>315</v>
      </c>
      <c r="H14" s="3"/>
      <c r="I14" s="3"/>
      <c r="J14" s="3"/>
    </row>
    <row r="15" spans="2:10" ht="15.75">
      <c r="B15" s="2" t="str">
        <f>INPUT!B83</f>
        <v>ASSETS</v>
      </c>
      <c r="C15" s="1"/>
      <c r="D15" s="2"/>
      <c r="E15" s="2"/>
      <c r="F15" s="15"/>
      <c r="G15" s="15"/>
      <c r="H15" s="15"/>
      <c r="I15" s="15"/>
      <c r="J15" s="1"/>
    </row>
    <row r="16" spans="2:10" ht="15">
      <c r="B16" s="1" t="str">
        <f>INPUT!B85</f>
        <v xml:space="preserve">     Cash and cash equivalents</v>
      </c>
      <c r="C16" s="15" t="s">
        <v>298</v>
      </c>
      <c r="D16" s="44">
        <f>INPUT!EF85</f>
        <v>0</v>
      </c>
      <c r="E16" s="44"/>
      <c r="F16" s="44" t="s">
        <v>298</v>
      </c>
      <c r="G16" s="44">
        <f>+SUM(D16:D16)</f>
        <v>0</v>
      </c>
      <c r="H16" s="15"/>
      <c r="I16" s="15"/>
      <c r="J16" s="1"/>
    </row>
    <row r="17" spans="1:10" ht="15">
      <c r="B17" s="1" t="str">
        <f>INPUT!B86</f>
        <v xml:space="preserve">     Investments </v>
      </c>
      <c r="C17" s="1"/>
      <c r="D17" s="44">
        <f>+INPUT!EF86</f>
        <v>0</v>
      </c>
      <c r="E17" s="44"/>
      <c r="F17" s="46"/>
      <c r="G17" s="44">
        <f>+SUM(D17:D17)</f>
        <v>0</v>
      </c>
      <c r="H17" s="15"/>
      <c r="I17" s="15"/>
      <c r="J17" s="21">
        <f>G16+G17+G23+G24</f>
        <v>365897</v>
      </c>
    </row>
    <row r="18" spans="1:10" ht="15">
      <c r="B18" s="1" t="str">
        <f>INPUT!B87</f>
        <v xml:space="preserve">     Receivables (net of allowance):</v>
      </c>
      <c r="C18" s="1"/>
      <c r="D18" s="44"/>
      <c r="E18" s="44"/>
      <c r="F18" s="46"/>
      <c r="G18" s="44"/>
      <c r="H18" s="15"/>
      <c r="I18" s="15"/>
      <c r="J18" s="21">
        <f>J17-21452162</f>
        <v>-21086265</v>
      </c>
    </row>
    <row r="19" spans="1:10" ht="15">
      <c r="A19" s="1"/>
      <c r="B19" s="1" t="str">
        <f>INPUT!B88</f>
        <v xml:space="preserve">          Taxes/assessments</v>
      </c>
      <c r="C19" s="1"/>
      <c r="D19" s="44">
        <f>INPUT!EF88</f>
        <v>0</v>
      </c>
      <c r="E19" s="44"/>
      <c r="F19" s="46"/>
      <c r="G19" s="44">
        <f>+SUM(D19:D19)</f>
        <v>0</v>
      </c>
      <c r="H19" s="15"/>
      <c r="I19" s="15"/>
      <c r="J19" s="1"/>
    </row>
    <row r="20" spans="1:10" ht="15">
      <c r="A20" s="1" t="s">
        <v>299</v>
      </c>
      <c r="B20" s="1" t="str">
        <f>INPUT!B92</f>
        <v xml:space="preserve">     Due from other funds</v>
      </c>
      <c r="C20" s="1"/>
      <c r="D20" s="44">
        <f>INPUT!EF92</f>
        <v>0</v>
      </c>
      <c r="E20" s="44"/>
      <c r="F20" s="46"/>
      <c r="G20" s="44">
        <f>+SUM(D20:D20)</f>
        <v>0</v>
      </c>
      <c r="H20" s="15"/>
      <c r="I20" s="15"/>
      <c r="J20" s="1"/>
    </row>
    <row r="21" spans="1:10" ht="15">
      <c r="A21" s="1" t="s">
        <v>299</v>
      </c>
      <c r="B21" s="1" t="str">
        <f>INPUT!B118</f>
        <v xml:space="preserve">     Deferred charges - Revenue bond issuance costs</v>
      </c>
      <c r="C21" s="1"/>
      <c r="D21" s="44"/>
      <c r="E21" s="44"/>
      <c r="F21" s="46"/>
      <c r="G21" s="44"/>
      <c r="H21" s="15"/>
      <c r="I21" s="15"/>
      <c r="J21" s="1"/>
    </row>
    <row r="22" spans="1:10" ht="15">
      <c r="A22" s="1"/>
      <c r="B22" s="1" t="str">
        <f>INPUT!B97</f>
        <v xml:space="preserve">     Restricted assets:</v>
      </c>
      <c r="C22" s="1"/>
      <c r="D22" s="44"/>
      <c r="E22" s="44"/>
      <c r="F22" s="46"/>
      <c r="G22" s="44"/>
      <c r="H22" s="15"/>
      <c r="I22" s="15"/>
      <c r="J22" s="1"/>
    </row>
    <row r="23" spans="1:10" ht="15">
      <c r="A23" s="1"/>
      <c r="B23" s="1" t="str">
        <f>INPUT!B98</f>
        <v xml:space="preserve">          Cash and cash equivalents</v>
      </c>
      <c r="C23" s="15" t="s">
        <v>298</v>
      </c>
      <c r="D23" s="44">
        <f>+INPUT!EF98</f>
        <v>20810</v>
      </c>
      <c r="E23" s="44"/>
      <c r="F23" s="46"/>
      <c r="G23" s="44">
        <f>+SUM(D23:D23)</f>
        <v>20810</v>
      </c>
      <c r="H23" s="15"/>
      <c r="I23" s="15"/>
      <c r="J23" s="1"/>
    </row>
    <row r="24" spans="1:10" ht="15">
      <c r="A24" s="1"/>
      <c r="B24" s="1" t="str">
        <f>INPUT!B99</f>
        <v xml:space="preserve">          Investments</v>
      </c>
      <c r="C24" s="1"/>
      <c r="D24" s="44">
        <f>+INPUT!EF99+INPUT!EF100</f>
        <v>345087</v>
      </c>
      <c r="E24" s="44"/>
      <c r="F24" s="46"/>
      <c r="G24" s="44">
        <f>+SUM(D24:D24)</f>
        <v>345087</v>
      </c>
      <c r="H24" s="15"/>
      <c r="I24" s="15"/>
      <c r="J24" s="1"/>
    </row>
    <row r="25" spans="1:10" ht="15">
      <c r="A25" s="1"/>
      <c r="B25" s="1"/>
      <c r="C25" s="1"/>
      <c r="D25" s="44"/>
      <c r="E25" s="44"/>
      <c r="F25" s="46"/>
      <c r="G25" s="44"/>
      <c r="H25" s="15"/>
      <c r="I25" s="15"/>
      <c r="J25" s="1"/>
    </row>
    <row r="26" spans="1:10" ht="15">
      <c r="A26" s="1"/>
      <c r="B26" s="1"/>
      <c r="C26" s="1"/>
      <c r="D26" s="44"/>
      <c r="E26" s="44"/>
      <c r="F26" s="46"/>
      <c r="G26" s="44"/>
      <c r="H26" s="15"/>
      <c r="I26" s="15"/>
      <c r="J26" s="1"/>
    </row>
    <row r="27" spans="1:10" ht="15">
      <c r="A27" s="1"/>
      <c r="B27" s="1"/>
      <c r="C27" s="1"/>
      <c r="D27" s="44"/>
      <c r="E27" s="44"/>
      <c r="F27" s="46"/>
      <c r="G27" s="44"/>
      <c r="H27" s="15"/>
      <c r="I27" s="15"/>
      <c r="J27" s="1"/>
    </row>
    <row r="28" spans="1:10" ht="15">
      <c r="A28" s="1"/>
      <c r="B28" s="1"/>
      <c r="C28" s="1"/>
      <c r="D28" s="44"/>
      <c r="E28" s="44"/>
      <c r="F28" s="46"/>
      <c r="G28" s="44"/>
      <c r="H28" s="15"/>
      <c r="I28" s="15"/>
      <c r="J28" s="1"/>
    </row>
    <row r="29" spans="1:10" ht="15">
      <c r="A29" s="1"/>
      <c r="B29" s="1"/>
      <c r="C29" s="1"/>
      <c r="D29" s="44"/>
      <c r="E29" s="44"/>
      <c r="F29" s="46"/>
      <c r="G29" s="44"/>
      <c r="H29" s="15"/>
      <c r="I29" s="15"/>
      <c r="J29" s="1"/>
    </row>
    <row r="30" spans="1:10" ht="15">
      <c r="A30" s="1"/>
      <c r="B30" s="1"/>
      <c r="C30" s="1"/>
      <c r="D30" s="44"/>
      <c r="E30" s="44"/>
      <c r="F30" s="46"/>
      <c r="G30" s="44"/>
      <c r="H30" s="15"/>
      <c r="I30" s="15"/>
      <c r="J30" s="1"/>
    </row>
    <row r="31" spans="1:10" ht="15">
      <c r="A31" s="1"/>
      <c r="B31" s="1"/>
      <c r="C31" s="1"/>
      <c r="D31" s="50"/>
      <c r="E31" s="44"/>
      <c r="F31" s="46"/>
      <c r="G31" s="50"/>
      <c r="H31" s="15"/>
      <c r="I31" s="15"/>
      <c r="J31" s="1"/>
    </row>
    <row r="32" spans="1:10" ht="16.5" thickBot="1">
      <c r="A32" s="1"/>
      <c r="B32" s="2" t="str">
        <f>INPUT!B114</f>
        <v xml:space="preserve">          Total assets</v>
      </c>
      <c r="C32" s="2"/>
      <c r="D32" s="51">
        <f>SUM(D16:D31)</f>
        <v>365897</v>
      </c>
      <c r="E32" s="49"/>
      <c r="F32" s="46"/>
      <c r="G32" s="51">
        <f>SUM(G16:G31)</f>
        <v>365897</v>
      </c>
      <c r="H32" s="18"/>
      <c r="I32" s="18"/>
      <c r="J32" s="2"/>
    </row>
    <row r="33" spans="1:10" ht="16.5" thickTop="1">
      <c r="A33" s="1"/>
      <c r="B33" s="1"/>
      <c r="C33" s="1"/>
      <c r="D33" s="47"/>
      <c r="E33" s="47"/>
      <c r="F33" s="46"/>
      <c r="G33" s="44"/>
      <c r="H33" s="15"/>
      <c r="I33" s="15"/>
      <c r="J33" s="1"/>
    </row>
    <row r="34" spans="1:10" ht="15.75">
      <c r="A34" s="1"/>
      <c r="B34" s="2" t="str">
        <f>INPUT!B129</f>
        <v>LIABILITIES</v>
      </c>
      <c r="C34" s="1"/>
      <c r="D34" s="47"/>
      <c r="E34" s="47"/>
      <c r="F34" s="46"/>
      <c r="G34" s="44"/>
      <c r="H34" s="15"/>
      <c r="I34" s="15"/>
      <c r="J34" s="1"/>
    </row>
    <row r="35" spans="1:10" ht="15.75">
      <c r="A35" s="1"/>
      <c r="B35" s="1" t="str">
        <f>INPUT!B130</f>
        <v>LIABILITIES</v>
      </c>
      <c r="C35" s="1"/>
      <c r="D35" s="47"/>
      <c r="E35" s="47"/>
      <c r="F35" s="46"/>
      <c r="G35" s="44"/>
      <c r="H35" s="15"/>
      <c r="I35" s="15"/>
      <c r="J35" s="1"/>
    </row>
    <row r="36" spans="1:10" ht="15">
      <c r="A36" s="1"/>
      <c r="B36" s="1" t="str">
        <f>INPUT!B132</f>
        <v xml:space="preserve">     Accounts payable</v>
      </c>
      <c r="C36" s="1"/>
      <c r="D36" s="44">
        <f>+INPUT!EF132</f>
        <v>0</v>
      </c>
      <c r="E36" s="44"/>
      <c r="F36" s="46"/>
      <c r="G36" s="44">
        <f>+SUM(D36:D36)</f>
        <v>0</v>
      </c>
      <c r="H36" s="15"/>
      <c r="I36" s="15"/>
      <c r="J36" s="1"/>
    </row>
    <row r="37" spans="1:10" ht="15">
      <c r="A37" s="1"/>
      <c r="B37" s="1" t="str">
        <f>INPUT!B134</f>
        <v xml:space="preserve">     Intergovernmental payable</v>
      </c>
      <c r="C37" s="15"/>
      <c r="D37" s="44">
        <f>+INPUT!EF134</f>
        <v>0</v>
      </c>
      <c r="E37" s="44"/>
      <c r="F37" s="46"/>
      <c r="G37" s="44">
        <f>+SUM(D37:D37)</f>
        <v>0</v>
      </c>
      <c r="H37" s="15"/>
      <c r="I37" s="15"/>
      <c r="J37" s="1"/>
    </row>
    <row r="38" spans="1:10" ht="15">
      <c r="A38" s="1" t="s">
        <v>299</v>
      </c>
      <c r="B38" s="46" t="str">
        <f>INPUT!B135</f>
        <v xml:space="preserve">     Due to other funds</v>
      </c>
      <c r="C38" s="15"/>
      <c r="D38" s="44"/>
      <c r="E38" s="44"/>
      <c r="F38" s="46"/>
      <c r="G38" s="44"/>
      <c r="H38" s="15"/>
      <c r="I38" s="15"/>
      <c r="J38" s="1"/>
    </row>
    <row r="39" spans="1:10" ht="15">
      <c r="A39" s="1" t="s">
        <v>299</v>
      </c>
      <c r="B39" s="46" t="str">
        <f>INPUT!B141</f>
        <v xml:space="preserve">     Advances from other funds</v>
      </c>
      <c r="C39" s="15"/>
      <c r="D39" s="44"/>
      <c r="E39" s="44"/>
      <c r="F39" s="46"/>
      <c r="G39" s="44"/>
      <c r="H39" s="15"/>
      <c r="I39" s="15"/>
      <c r="J39" s="1"/>
    </row>
    <row r="40" spans="1:10" ht="15">
      <c r="A40" s="1"/>
      <c r="B40" s="1"/>
      <c r="C40" s="1"/>
      <c r="D40" s="50"/>
      <c r="E40" s="44"/>
      <c r="F40" s="46"/>
      <c r="G40" s="50"/>
      <c r="H40" s="1"/>
      <c r="I40" s="1"/>
      <c r="J40" s="1"/>
    </row>
    <row r="41" spans="1:10" ht="15.75">
      <c r="A41" s="1"/>
      <c r="B41" s="2" t="str">
        <f>INPUT!B154</f>
        <v xml:space="preserve">          Total liabilities</v>
      </c>
      <c r="C41" s="2"/>
      <c r="D41" s="48">
        <f>SUM(D36:D39)</f>
        <v>0</v>
      </c>
      <c r="E41" s="49"/>
      <c r="F41" s="47"/>
      <c r="G41" s="48">
        <f>SUM(G36:G39)</f>
        <v>0</v>
      </c>
      <c r="H41" s="18"/>
      <c r="I41" s="18"/>
      <c r="J41" s="2"/>
    </row>
    <row r="42" spans="1:10" ht="15.75">
      <c r="A42" s="1"/>
      <c r="B42" s="1"/>
      <c r="C42" s="1"/>
      <c r="D42" s="47"/>
      <c r="E42" s="47"/>
      <c r="F42" s="46"/>
      <c r="G42" s="44"/>
      <c r="H42" s="15"/>
      <c r="I42" s="15"/>
      <c r="J42" s="1"/>
    </row>
    <row r="43" spans="1:10" ht="15.75">
      <c r="A43" s="1"/>
      <c r="B43" s="1" t="str">
        <f>INPUT!B186</f>
        <v>FUND BALANCE</v>
      </c>
      <c r="C43" s="1"/>
      <c r="D43" s="47"/>
      <c r="E43" s="47"/>
      <c r="F43" s="46"/>
      <c r="G43" s="44"/>
      <c r="H43" s="15"/>
      <c r="I43" s="15"/>
      <c r="J43" s="1"/>
    </row>
    <row r="44" spans="1:10" ht="15.75">
      <c r="A44" s="1"/>
      <c r="B44" s="1" t="str">
        <f>INPUT!B187</f>
        <v xml:space="preserve">      Reserved for:</v>
      </c>
      <c r="C44" s="1"/>
      <c r="D44" s="47"/>
      <c r="E44" s="47"/>
      <c r="F44" s="46"/>
      <c r="G44" s="44"/>
      <c r="H44" s="15"/>
      <c r="I44" s="15"/>
      <c r="J44" s="1"/>
    </row>
    <row r="45" spans="1:10" ht="15">
      <c r="A45" s="1"/>
      <c r="B45" s="1" t="str">
        <f>INPUT!B188</f>
        <v xml:space="preserve">          Nonspendable</v>
      </c>
      <c r="C45" s="1"/>
      <c r="D45" s="44">
        <f>+INPUT!EF188</f>
        <v>365897</v>
      </c>
      <c r="E45" s="44"/>
      <c r="F45" s="46"/>
      <c r="G45" s="44">
        <f>+SUM(D45:D45)</f>
        <v>365897</v>
      </c>
      <c r="H45" s="1"/>
      <c r="I45" s="1"/>
      <c r="J45" s="15"/>
    </row>
    <row r="46" spans="1:10" ht="15">
      <c r="A46" s="1"/>
      <c r="B46" s="46"/>
      <c r="C46" s="1"/>
      <c r="D46" s="44"/>
      <c r="E46" s="44"/>
      <c r="F46" s="46"/>
      <c r="G46" s="44">
        <f>+SUM(D46:D46)</f>
        <v>0</v>
      </c>
      <c r="H46" s="15"/>
      <c r="I46" s="15"/>
      <c r="J46" s="1"/>
    </row>
    <row r="47" spans="1:10" ht="15" hidden="1">
      <c r="A47" s="1"/>
      <c r="B47" s="1" t="str">
        <f>INPUT!B200</f>
        <v xml:space="preserve">      Unreserved</v>
      </c>
      <c r="C47" s="1"/>
      <c r="D47" s="44">
        <f>+INPUT!EF200</f>
        <v>0</v>
      </c>
      <c r="E47" s="44"/>
      <c r="F47" s="46"/>
      <c r="G47" s="44">
        <f>+SUM(D47:D47)</f>
        <v>0</v>
      </c>
      <c r="H47" s="15"/>
      <c r="I47" s="15"/>
      <c r="J47" s="1"/>
    </row>
    <row r="48" spans="1:10" ht="15">
      <c r="A48" s="1"/>
      <c r="B48" s="1"/>
      <c r="C48" s="1"/>
      <c r="D48" s="50"/>
      <c r="E48" s="44"/>
      <c r="F48" s="46"/>
      <c r="G48" s="50"/>
      <c r="H48" s="15"/>
      <c r="I48" s="15"/>
      <c r="J48" s="1"/>
    </row>
    <row r="49" spans="1:10" ht="15.75">
      <c r="A49" s="1"/>
      <c r="B49" s="2" t="str">
        <f>INPUT!B207</f>
        <v xml:space="preserve">          Total fund balance</v>
      </c>
      <c r="C49" s="2"/>
      <c r="D49" s="48">
        <f>SUM(D44:D48)</f>
        <v>365897</v>
      </c>
      <c r="E49" s="49"/>
      <c r="F49" s="47"/>
      <c r="G49" s="48">
        <f>SUM(G44:G48)</f>
        <v>365897</v>
      </c>
      <c r="H49" s="18"/>
      <c r="I49" s="18"/>
      <c r="J49" s="2"/>
    </row>
    <row r="50" spans="1:10" ht="15.75">
      <c r="A50" s="1"/>
      <c r="B50" s="1"/>
      <c r="C50" s="1"/>
      <c r="D50" s="47"/>
      <c r="E50" s="47"/>
      <c r="F50" s="46"/>
      <c r="G50" s="44"/>
      <c r="H50" s="15"/>
      <c r="I50" s="15"/>
      <c r="J50" s="1"/>
    </row>
    <row r="51" spans="1:10" ht="16.5" thickBot="1">
      <c r="A51" s="1"/>
      <c r="B51" s="2" t="str">
        <f>INPUT!B209</f>
        <v>Total liabilities, deferred inflows of resources, and fund balance</v>
      </c>
      <c r="C51" s="18" t="s">
        <v>298</v>
      </c>
      <c r="D51" s="51">
        <f>D41+D49</f>
        <v>365897</v>
      </c>
      <c r="E51" s="49"/>
      <c r="F51" s="49" t="s">
        <v>298</v>
      </c>
      <c r="G51" s="51">
        <f>G41+G49</f>
        <v>365897</v>
      </c>
      <c r="H51" s="18"/>
      <c r="I51" s="18"/>
      <c r="J51" s="2"/>
    </row>
    <row r="52" spans="1:10" ht="16.5" thickTop="1">
      <c r="A52" s="1"/>
      <c r="B52" s="1"/>
      <c r="C52" s="1"/>
      <c r="D52" s="47"/>
      <c r="E52" s="47"/>
      <c r="F52" s="46"/>
      <c r="G52" s="46"/>
      <c r="H52" s="1"/>
      <c r="I52" s="1"/>
      <c r="J52" s="1"/>
    </row>
    <row r="53" spans="1:10" ht="15.75">
      <c r="A53" s="1"/>
      <c r="B53" s="1"/>
      <c r="C53" s="1"/>
      <c r="D53" s="47"/>
      <c r="E53" s="47"/>
      <c r="F53" s="46"/>
      <c r="G53" s="46"/>
      <c r="H53" s="1"/>
      <c r="I53" s="1"/>
      <c r="J53" s="1"/>
    </row>
  </sheetData>
  <phoneticPr fontId="0" type="noConversion"/>
  <pageMargins left="0.4" right="0.5" top="0.5" bottom="0.6" header="0.5" footer="0.25"/>
  <pageSetup scale="65" firstPageNumber="30" orientation="portrait" useFirstPageNumber="1" horizontalDpi="4294967292"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ransitionEvaluation="1" codeName="Sheet53"/>
  <dimension ref="A5:I568"/>
  <sheetViews>
    <sheetView defaultGridColor="0" topLeftCell="A11" colorId="22" zoomScale="77" workbookViewId="0">
      <selection activeCell="D20" sqref="D20"/>
    </sheetView>
  </sheetViews>
  <sheetFormatPr defaultColWidth="9.7109375" defaultRowHeight="12.75"/>
  <cols>
    <col min="1" max="1" width="3.7109375" customWidth="1"/>
    <col min="2" max="2" width="60.7109375" customWidth="1"/>
    <col min="3" max="3" width="2.7109375" customWidth="1"/>
    <col min="4" max="4" width="16.5703125" customWidth="1"/>
    <col min="5" max="5" width="2.7109375" customWidth="1"/>
    <col min="6" max="6" width="16.7109375" customWidth="1"/>
    <col min="7" max="7" width="3.7109375" customWidth="1"/>
    <col min="8" max="8" width="18.85546875" customWidth="1"/>
  </cols>
  <sheetData>
    <row r="5" spans="2:9" ht="15.75">
      <c r="B5" s="13" t="s">
        <v>1049</v>
      </c>
      <c r="C5" s="17"/>
      <c r="D5" s="17"/>
      <c r="E5" s="17"/>
      <c r="F5" s="17"/>
      <c r="G5" s="17"/>
      <c r="H5" s="17"/>
      <c r="I5" s="17"/>
    </row>
    <row r="6" spans="2:9" ht="15.75">
      <c r="B6" s="13" t="s">
        <v>576</v>
      </c>
      <c r="C6" s="17"/>
      <c r="D6" s="17"/>
      <c r="E6" s="17"/>
      <c r="F6" s="17"/>
      <c r="G6" s="17"/>
      <c r="H6" s="17"/>
      <c r="I6" s="17"/>
    </row>
    <row r="7" spans="2:9" ht="15.75">
      <c r="B7" s="13" t="s">
        <v>39</v>
      </c>
      <c r="C7" s="17"/>
      <c r="D7" s="17"/>
      <c r="E7" s="17"/>
      <c r="F7" s="17"/>
      <c r="G7" s="17"/>
      <c r="H7" s="17"/>
      <c r="I7" s="17"/>
    </row>
    <row r="8" spans="2:9" ht="15.75">
      <c r="B8" s="13" t="s">
        <v>40</v>
      </c>
      <c r="C8" s="17"/>
      <c r="D8" s="17"/>
      <c r="E8" s="17"/>
      <c r="F8" s="17"/>
      <c r="G8" s="17"/>
      <c r="H8" s="17"/>
      <c r="I8" s="17"/>
    </row>
    <row r="9" spans="2:9" ht="15.75">
      <c r="B9" s="25" t="str">
        <f>+'Sys INPUT'!B2</f>
        <v>For the  Fiscal Year Ended June 30, 2023</v>
      </c>
      <c r="C9" s="17"/>
      <c r="D9" s="17"/>
      <c r="E9" s="17"/>
      <c r="F9" s="17"/>
      <c r="G9" s="17"/>
      <c r="H9" s="17"/>
      <c r="I9" s="17"/>
    </row>
    <row r="10" spans="2:9" ht="15.75">
      <c r="B10" s="13"/>
      <c r="C10" s="17"/>
      <c r="D10" s="17"/>
      <c r="E10" s="17"/>
      <c r="F10" s="17"/>
      <c r="G10" s="17"/>
      <c r="H10" s="17"/>
      <c r="I10" s="17"/>
    </row>
    <row r="11" spans="2:9" ht="15.75">
      <c r="B11" s="13"/>
      <c r="C11" s="17"/>
      <c r="D11" s="17"/>
      <c r="E11" s="17"/>
      <c r="F11" s="17"/>
      <c r="G11" s="17"/>
      <c r="H11" s="17"/>
      <c r="I11" s="17"/>
    </row>
    <row r="12" spans="2:9" ht="15.75">
      <c r="B12" s="13"/>
      <c r="C12" s="17"/>
      <c r="D12" s="17"/>
      <c r="E12" s="17"/>
      <c r="F12" s="17"/>
      <c r="G12" s="17"/>
      <c r="H12" s="17"/>
      <c r="I12" s="17"/>
    </row>
    <row r="13" spans="2:9" ht="15.75">
      <c r="B13" s="1"/>
      <c r="C13" s="3"/>
      <c r="D13" s="3" t="s">
        <v>901</v>
      </c>
      <c r="E13" s="3"/>
      <c r="F13" s="3"/>
      <c r="G13" s="3"/>
      <c r="H13" s="3"/>
      <c r="I13" s="3"/>
    </row>
    <row r="14" spans="2:9" ht="15.75">
      <c r="B14" s="2"/>
      <c r="C14" s="3"/>
      <c r="D14" s="3" t="s">
        <v>746</v>
      </c>
      <c r="E14" s="3"/>
      <c r="F14" s="3"/>
      <c r="G14" s="3"/>
      <c r="H14" s="3"/>
      <c r="I14" s="3"/>
    </row>
    <row r="15" spans="2:9" ht="15.75">
      <c r="B15" s="2"/>
      <c r="C15" s="3"/>
      <c r="D15" s="16" t="s">
        <v>73</v>
      </c>
      <c r="E15" s="3"/>
      <c r="F15" s="3"/>
      <c r="G15" s="3"/>
      <c r="H15" s="16" t="s">
        <v>315</v>
      </c>
      <c r="I15" s="3"/>
    </row>
    <row r="16" spans="2:9" ht="15.75">
      <c r="B16" s="2" t="s">
        <v>1091</v>
      </c>
      <c r="C16" s="1"/>
      <c r="D16" s="1"/>
      <c r="E16" s="1"/>
      <c r="F16" s="3"/>
      <c r="G16" s="1"/>
      <c r="H16" s="1"/>
      <c r="I16" s="1"/>
    </row>
    <row r="17" spans="1:9" ht="15.75">
      <c r="A17" t="s">
        <v>299</v>
      </c>
      <c r="B17" s="1" t="str">
        <f>INPUT!B10</f>
        <v xml:space="preserve">     Taxes/assessments</v>
      </c>
      <c r="C17" s="1"/>
      <c r="D17" s="1"/>
      <c r="E17" s="1"/>
      <c r="F17" s="3"/>
      <c r="G17" s="1"/>
      <c r="H17" s="1"/>
      <c r="I17" s="1"/>
    </row>
    <row r="18" spans="1:9" ht="15.75">
      <c r="A18" t="s">
        <v>299</v>
      </c>
      <c r="B18" s="1" t="str">
        <f>INPUT!B11</f>
        <v xml:space="preserve">     Licenses and permits</v>
      </c>
      <c r="C18" s="1"/>
      <c r="D18" s="1"/>
      <c r="E18" s="1"/>
      <c r="F18" s="3"/>
      <c r="G18" s="1"/>
      <c r="H18" s="1"/>
      <c r="I18" s="1"/>
    </row>
    <row r="19" spans="1:9" ht="15.75">
      <c r="A19" t="s">
        <v>299</v>
      </c>
      <c r="B19" s="1" t="str">
        <f>INPUT!B12</f>
        <v xml:space="preserve">     Intergovernmental</v>
      </c>
      <c r="C19" s="1"/>
      <c r="D19" s="1"/>
      <c r="E19" s="1"/>
      <c r="F19" s="3"/>
      <c r="G19" s="1"/>
      <c r="H19" s="1"/>
      <c r="I19" s="1"/>
    </row>
    <row r="20" spans="1:9" ht="15.75">
      <c r="B20" s="1" t="str">
        <f>INPUT!B13</f>
        <v xml:space="preserve">     Charges for services</v>
      </c>
      <c r="C20" s="15" t="s">
        <v>298</v>
      </c>
      <c r="D20" s="44">
        <f>IF(+INPUT!EF13&lt;&gt;0,+INPUT!EF13,"-")</f>
        <v>1052</v>
      </c>
      <c r="E20" s="44" t="s">
        <v>298</v>
      </c>
      <c r="F20" s="52"/>
      <c r="G20" s="44" t="s">
        <v>298</v>
      </c>
      <c r="H20" s="44">
        <f>+D20</f>
        <v>1052</v>
      </c>
      <c r="I20" s="15"/>
    </row>
    <row r="21" spans="1:9" ht="15.75">
      <c r="A21" t="s">
        <v>299</v>
      </c>
      <c r="B21" s="1" t="str">
        <f>INPUT!B14</f>
        <v xml:space="preserve">     Fines and forfeitures</v>
      </c>
      <c r="C21" s="15"/>
      <c r="D21" s="44"/>
      <c r="E21" s="44"/>
      <c r="F21" s="52"/>
      <c r="G21" s="44"/>
      <c r="H21" s="44"/>
      <c r="I21" s="15"/>
    </row>
    <row r="22" spans="1:9" ht="15.75">
      <c r="A22" t="s">
        <v>299</v>
      </c>
      <c r="B22" s="1" t="str">
        <f>INPUT!B15</f>
        <v xml:space="preserve">     Miscellaneous</v>
      </c>
      <c r="C22" s="15"/>
      <c r="D22" s="44"/>
      <c r="E22" s="44"/>
      <c r="F22" s="52"/>
      <c r="G22" s="44"/>
      <c r="H22" s="44"/>
      <c r="I22" s="3"/>
    </row>
    <row r="23" spans="1:9" ht="15.75">
      <c r="A23" t="s">
        <v>299</v>
      </c>
      <c r="B23" s="1" t="str">
        <f>INPUT!B16</f>
        <v xml:space="preserve">     Interest earnings</v>
      </c>
      <c r="C23" s="15"/>
      <c r="D23" s="45">
        <f>IF(+INPUT!EF16&lt;&gt;0,+INPUT!EF16,"-")</f>
        <v>16958</v>
      </c>
      <c r="E23" s="44"/>
      <c r="F23" s="52"/>
      <c r="G23" s="44"/>
      <c r="H23" s="45">
        <f>+D23</f>
        <v>16958</v>
      </c>
      <c r="I23" s="3"/>
    </row>
    <row r="24" spans="1:9" ht="15.75">
      <c r="B24" s="1"/>
      <c r="C24" s="15"/>
      <c r="D24" s="44"/>
      <c r="E24" s="44"/>
      <c r="F24" s="52"/>
      <c r="G24" s="44"/>
      <c r="H24" s="44"/>
      <c r="I24" s="15"/>
    </row>
    <row r="25" spans="1:9" ht="15.75">
      <c r="B25" s="2" t="s">
        <v>380</v>
      </c>
      <c r="C25" s="15"/>
      <c r="D25" s="48">
        <f>IF(SUM(D20:D24)&lt;&gt;0,SUM(D20:D24),"-")</f>
        <v>18010</v>
      </c>
      <c r="E25" s="44"/>
      <c r="F25" s="52"/>
      <c r="G25" s="49"/>
      <c r="H25" s="48">
        <f>IF(SUM(H20:H24)&lt;&gt;0,SUM(H20:H24),"-")</f>
        <v>18010</v>
      </c>
      <c r="I25" s="3"/>
    </row>
    <row r="26" spans="1:9" ht="15.75">
      <c r="B26" s="1"/>
      <c r="C26" s="15"/>
      <c r="D26" s="44"/>
      <c r="E26" s="44"/>
      <c r="F26" s="52"/>
      <c r="G26" s="44"/>
      <c r="H26" s="44"/>
      <c r="I26" s="15"/>
    </row>
    <row r="27" spans="1:9" ht="15.75">
      <c r="B27" s="2" t="s">
        <v>1092</v>
      </c>
      <c r="C27" s="15"/>
      <c r="D27" s="44"/>
      <c r="E27" s="44"/>
      <c r="F27" s="52"/>
      <c r="G27" s="44"/>
      <c r="H27" s="44"/>
      <c r="I27" s="15"/>
    </row>
    <row r="28" spans="1:9" ht="15.75">
      <c r="B28" s="1" t="str">
        <f>INPUT!B21</f>
        <v xml:space="preserve">     Current:</v>
      </c>
      <c r="C28" s="15"/>
      <c r="D28" s="44"/>
      <c r="E28" s="44"/>
      <c r="F28" s="52"/>
      <c r="G28" s="44"/>
      <c r="H28" s="44"/>
      <c r="I28" s="15"/>
    </row>
    <row r="29" spans="1:9" ht="15.75">
      <c r="A29" t="s">
        <v>299</v>
      </c>
      <c r="B29" s="1" t="str">
        <f>INPUT!B22</f>
        <v xml:space="preserve">          General government</v>
      </c>
      <c r="C29" s="15"/>
      <c r="D29" s="44"/>
      <c r="E29" s="44"/>
      <c r="F29" s="52"/>
      <c r="G29" s="44"/>
      <c r="H29" s="44"/>
      <c r="I29" s="15"/>
    </row>
    <row r="30" spans="1:9" ht="15.75">
      <c r="B30" s="1" t="str">
        <f>INPUT!B23</f>
        <v xml:space="preserve">          Public safety</v>
      </c>
      <c r="C30" s="15"/>
      <c r="E30" s="44"/>
      <c r="F30" s="52"/>
      <c r="G30" s="44"/>
      <c r="I30" s="15"/>
    </row>
    <row r="31" spans="1:9" ht="15.75">
      <c r="A31" t="s">
        <v>299</v>
      </c>
      <c r="B31" s="1" t="str">
        <f>INPUT!B24</f>
        <v xml:space="preserve">          Public works</v>
      </c>
      <c r="C31" s="15"/>
      <c r="D31" s="44"/>
      <c r="E31" s="44"/>
      <c r="F31" s="52"/>
      <c r="G31" s="44"/>
      <c r="H31" s="44"/>
      <c r="I31" s="15"/>
    </row>
    <row r="32" spans="1:9" ht="15.75">
      <c r="A32" t="s">
        <v>299</v>
      </c>
      <c r="B32" s="1" t="str">
        <f>INPUT!B25</f>
        <v xml:space="preserve">          Public health</v>
      </c>
      <c r="C32" s="15"/>
      <c r="D32" s="44">
        <f>+INPUT!EF25</f>
        <v>9604</v>
      </c>
      <c r="E32" s="44"/>
      <c r="F32" s="52"/>
      <c r="G32" s="44"/>
      <c r="H32" s="44">
        <f>+D32</f>
        <v>9604</v>
      </c>
      <c r="I32" s="15"/>
    </row>
    <row r="33" spans="1:9" ht="15.75">
      <c r="A33" t="s">
        <v>299</v>
      </c>
      <c r="B33" s="1" t="str">
        <f>INPUT!B26</f>
        <v xml:space="preserve">          Social and economic</v>
      </c>
      <c r="C33" s="15"/>
      <c r="D33" s="44"/>
      <c r="E33" s="44"/>
      <c r="F33" s="52"/>
      <c r="G33" s="44"/>
      <c r="H33" s="44"/>
      <c r="I33" s="15"/>
    </row>
    <row r="34" spans="1:9" ht="15.75">
      <c r="A34" t="s">
        <v>299</v>
      </c>
      <c r="B34" s="1" t="str">
        <f>INPUT!B27</f>
        <v xml:space="preserve">          Culture and recreation</v>
      </c>
      <c r="C34" s="15"/>
      <c r="D34" s="44"/>
      <c r="E34" s="44"/>
      <c r="F34" s="52"/>
      <c r="G34" s="44"/>
      <c r="H34" s="44"/>
      <c r="I34" s="15"/>
    </row>
    <row r="35" spans="1:9" ht="15.75">
      <c r="A35" t="s">
        <v>299</v>
      </c>
      <c r="B35" s="1" t="str">
        <f>INPUT!B28</f>
        <v xml:space="preserve">     Debt service</v>
      </c>
      <c r="C35" s="15"/>
      <c r="D35" s="44"/>
      <c r="E35" s="44"/>
      <c r="F35" s="52"/>
      <c r="G35" s="44"/>
      <c r="H35" s="44"/>
      <c r="I35" s="15"/>
    </row>
    <row r="36" spans="1:9" ht="15.75">
      <c r="A36" t="s">
        <v>299</v>
      </c>
      <c r="B36" s="1" t="str">
        <f>INPUT!B29</f>
        <v xml:space="preserve">     Capital outlay</v>
      </c>
      <c r="C36" s="15"/>
      <c r="D36" s="44">
        <f>+INPUT!EF31</f>
        <v>0</v>
      </c>
      <c r="E36" s="44"/>
      <c r="F36" s="52"/>
      <c r="G36" s="44"/>
      <c r="H36" s="45"/>
      <c r="I36" s="3"/>
    </row>
    <row r="37" spans="1:9" ht="15.75">
      <c r="B37" s="1"/>
      <c r="C37" s="15"/>
      <c r="D37" s="44"/>
      <c r="E37" s="44"/>
      <c r="F37" s="52"/>
      <c r="G37" s="44"/>
      <c r="H37" s="44"/>
      <c r="I37" s="15"/>
    </row>
    <row r="38" spans="1:9" ht="15.75">
      <c r="B38" s="2" t="s">
        <v>381</v>
      </c>
      <c r="C38" s="15"/>
      <c r="D38" s="48">
        <f>IF(SUM(D28:D37)&lt;&gt;0,SUM(D28:D37),"-")</f>
        <v>9604</v>
      </c>
      <c r="E38" s="44"/>
      <c r="F38" s="52"/>
      <c r="G38" s="49"/>
      <c r="H38" s="48">
        <f>SUM(D38:G38)</f>
        <v>9604</v>
      </c>
      <c r="I38" s="3"/>
    </row>
    <row r="39" spans="1:9" ht="15.75">
      <c r="B39" s="2" t="str">
        <f>INPUT!B42</f>
        <v xml:space="preserve">             Excess (deficiency) of revenue</v>
      </c>
      <c r="C39" s="15"/>
      <c r="D39" s="44"/>
      <c r="E39" s="44"/>
      <c r="F39" s="52"/>
      <c r="G39" s="44"/>
      <c r="H39" s="44"/>
      <c r="I39" s="15"/>
    </row>
    <row r="40" spans="1:9" ht="15.75">
      <c r="B40" s="2" t="str">
        <f>INPUT!B43</f>
        <v xml:space="preserve">                 over (under) expenditures</v>
      </c>
      <c r="C40" s="15"/>
      <c r="D40" s="48">
        <f>+D25-D38</f>
        <v>8406</v>
      </c>
      <c r="E40" s="44"/>
      <c r="F40" s="52"/>
      <c r="G40" s="44"/>
      <c r="H40" s="48">
        <f>SUM(D40:G40)</f>
        <v>8406</v>
      </c>
      <c r="I40" s="3"/>
    </row>
    <row r="41" spans="1:9" ht="15.75">
      <c r="B41" s="1"/>
      <c r="C41" s="15"/>
      <c r="D41" s="44"/>
      <c r="E41" s="44"/>
      <c r="F41" s="52"/>
      <c r="G41" s="44"/>
      <c r="H41" s="44"/>
      <c r="I41" s="15"/>
    </row>
    <row r="42" spans="1:9" ht="15.75">
      <c r="B42" s="2" t="str">
        <f>INPUT!B45</f>
        <v>OTHER FINANCING SOURCES (USES)</v>
      </c>
      <c r="C42" s="15"/>
      <c r="D42" s="44"/>
      <c r="E42" s="44"/>
      <c r="F42" s="52"/>
      <c r="G42" s="44"/>
      <c r="H42" s="44"/>
      <c r="I42" s="15"/>
    </row>
    <row r="43" spans="1:9" ht="15.75">
      <c r="A43" t="s">
        <v>299</v>
      </c>
      <c r="B43" s="1" t="str">
        <f>INPUT!B46</f>
        <v xml:space="preserve">     Transfers in</v>
      </c>
      <c r="C43" s="15"/>
      <c r="D43" s="44"/>
      <c r="E43" s="44"/>
      <c r="F43" s="52"/>
      <c r="G43" s="44"/>
      <c r="H43" s="44"/>
      <c r="I43" s="3"/>
    </row>
    <row r="44" spans="1:9" ht="15.75">
      <c r="A44" t="s">
        <v>299</v>
      </c>
      <c r="B44" s="1" t="str">
        <f>INPUT!B47</f>
        <v xml:space="preserve">     Transfers out</v>
      </c>
      <c r="C44" s="15"/>
      <c r="D44" s="44"/>
      <c r="E44" s="44"/>
      <c r="F44" s="52"/>
      <c r="G44" s="44"/>
      <c r="H44" s="44"/>
      <c r="I44" s="3"/>
    </row>
    <row r="45" spans="1:9" ht="15.75">
      <c r="B45" s="1" t="str">
        <f>INPUT!B57</f>
        <v xml:space="preserve">     Gain (Loss) on sale of investments</v>
      </c>
      <c r="C45" s="15"/>
      <c r="D45" s="45" t="str">
        <f>IF(+INPUT!EF57&lt;&gt;0,+INPUT!EF57,"-")</f>
        <v>-</v>
      </c>
      <c r="E45" s="44"/>
      <c r="F45" s="52"/>
      <c r="G45" s="44"/>
      <c r="H45" s="45" t="str">
        <f>+D45</f>
        <v>-</v>
      </c>
      <c r="I45" s="15"/>
    </row>
    <row r="46" spans="1:9" ht="15.75">
      <c r="B46" s="1"/>
      <c r="C46" s="15"/>
      <c r="D46" s="44"/>
      <c r="E46" s="44"/>
      <c r="F46" s="52"/>
      <c r="G46" s="49"/>
      <c r="H46" s="44"/>
      <c r="I46" s="15"/>
    </row>
    <row r="47" spans="1:9" ht="15.75">
      <c r="B47" s="2" t="str">
        <f>INPUT!B58</f>
        <v xml:space="preserve">         Total other financing sources and uses</v>
      </c>
      <c r="C47" s="15"/>
      <c r="D47" s="48">
        <f>SUM(D43:D46)</f>
        <v>0</v>
      </c>
      <c r="E47" s="44"/>
      <c r="F47" s="52"/>
      <c r="G47" s="44"/>
      <c r="H47" s="48">
        <f>SUM(H43:H46)</f>
        <v>0</v>
      </c>
      <c r="I47" s="3"/>
    </row>
    <row r="48" spans="1:9" ht="15.75">
      <c r="B48" s="1"/>
      <c r="C48" s="15"/>
      <c r="D48" s="44"/>
      <c r="E48" s="44"/>
      <c r="F48" s="52"/>
      <c r="G48" s="44"/>
      <c r="H48" s="44"/>
      <c r="I48" s="15"/>
    </row>
    <row r="49" spans="2:9" ht="15.75">
      <c r="B49" s="2"/>
      <c r="C49" s="15"/>
      <c r="E49" s="44"/>
      <c r="F49" s="52"/>
      <c r="G49" s="44"/>
      <c r="I49" s="3"/>
    </row>
    <row r="50" spans="2:9" ht="15.75">
      <c r="B50" s="2" t="str">
        <f>INPUT!B61</f>
        <v xml:space="preserve">             Net change in fund balances</v>
      </c>
      <c r="C50" s="15"/>
      <c r="D50" s="49">
        <f>D40+D47</f>
        <v>8406</v>
      </c>
      <c r="E50" s="44"/>
      <c r="F50" s="52"/>
      <c r="G50" s="44"/>
      <c r="H50" s="49">
        <f>H40+H47</f>
        <v>8406</v>
      </c>
      <c r="I50" s="15"/>
    </row>
    <row r="51" spans="2:9" ht="15.75">
      <c r="B51" s="1"/>
      <c r="C51" s="1"/>
      <c r="D51" s="46"/>
      <c r="E51" s="46"/>
      <c r="F51" s="52"/>
      <c r="G51" s="46"/>
      <c r="H51" s="46"/>
      <c r="I51" s="1"/>
    </row>
    <row r="52" spans="2:9" ht="15.75">
      <c r="B52" s="1" t="str">
        <f>INPUT!B63</f>
        <v xml:space="preserve">     Fund balance, July 1</v>
      </c>
      <c r="C52" s="1"/>
      <c r="D52" s="44">
        <f>+INPUT!EF63</f>
        <v>357491</v>
      </c>
      <c r="F52" s="3"/>
      <c r="H52" s="44">
        <f>+D52</f>
        <v>357491</v>
      </c>
    </row>
    <row r="53" spans="2:9" ht="15.75">
      <c r="B53" s="1"/>
      <c r="C53" s="1"/>
      <c r="D53" s="44"/>
      <c r="F53" s="3"/>
      <c r="H53" s="44"/>
    </row>
    <row r="54" spans="2:9" ht="15.75" hidden="1">
      <c r="B54" s="1" t="str">
        <f>INPUT!B66</f>
        <v xml:space="preserve">     Prior period adjustments</v>
      </c>
      <c r="C54" s="1"/>
      <c r="D54" s="45">
        <f>+INPUT!EF66</f>
        <v>0</v>
      </c>
      <c r="F54" s="3"/>
      <c r="H54" s="45">
        <f>+D54</f>
        <v>0</v>
      </c>
    </row>
    <row r="55" spans="2:9" ht="15.75" hidden="1">
      <c r="B55" s="1"/>
      <c r="C55" s="1"/>
      <c r="D55" s="44"/>
      <c r="F55" s="3"/>
      <c r="H55" s="44"/>
    </row>
    <row r="56" spans="2:9" ht="15.75" hidden="1">
      <c r="B56" s="2" t="str">
        <f>INPUT!B69</f>
        <v xml:space="preserve">     Total net position, beginning, as restated</v>
      </c>
      <c r="C56" s="2"/>
      <c r="D56" s="49">
        <f>+D52+D54</f>
        <v>357491</v>
      </c>
      <c r="F56" s="3"/>
      <c r="H56" s="49">
        <f>+H52+H54</f>
        <v>357491</v>
      </c>
    </row>
    <row r="57" spans="2:9" ht="15.75" hidden="1">
      <c r="B57" s="1"/>
      <c r="C57" s="1"/>
      <c r="D57" s="44"/>
      <c r="F57" s="3"/>
      <c r="H57" s="44"/>
    </row>
    <row r="58" spans="2:9" ht="15.75" hidden="1">
      <c r="B58" s="1" t="str">
        <f>INPUT!B71</f>
        <v xml:space="preserve">     Residual equity transfers</v>
      </c>
      <c r="C58" s="1"/>
      <c r="D58" s="45">
        <f>+INPUT!EF71</f>
        <v>0</v>
      </c>
      <c r="F58" s="3"/>
      <c r="H58" s="45">
        <f>+D58</f>
        <v>0</v>
      </c>
    </row>
    <row r="59" spans="2:9" ht="15.75" hidden="1">
      <c r="B59" s="1"/>
      <c r="C59" s="1"/>
      <c r="D59" s="44"/>
      <c r="F59" s="3"/>
      <c r="H59" s="44"/>
    </row>
    <row r="60" spans="2:9" ht="16.5" thickBot="1">
      <c r="B60" s="1" t="str">
        <f>INPUT!B73</f>
        <v xml:space="preserve">     Fund balance, June 30</v>
      </c>
      <c r="C60" s="18" t="s">
        <v>298</v>
      </c>
      <c r="D60" s="51">
        <f>+D50+D56+D58</f>
        <v>365897</v>
      </c>
      <c r="F60" s="3"/>
      <c r="H60" s="51">
        <f>+H50+H56+H58</f>
        <v>365897</v>
      </c>
    </row>
    <row r="61" spans="2:9" ht="16.5" thickTop="1">
      <c r="F61" s="3"/>
    </row>
    <row r="62" spans="2:9" ht="15.75">
      <c r="F62" s="3"/>
    </row>
    <row r="63" spans="2:9" ht="15.75">
      <c r="F63" s="3"/>
    </row>
    <row r="64" spans="2:9" ht="15.75">
      <c r="F64" s="3"/>
    </row>
    <row r="65" spans="6:6" ht="15.75">
      <c r="F65" s="3"/>
    </row>
    <row r="66" spans="6:6" ht="15.75">
      <c r="F66" s="3"/>
    </row>
    <row r="67" spans="6:6" ht="15.75">
      <c r="F67" s="3"/>
    </row>
    <row r="68" spans="6:6" ht="15.75">
      <c r="F68" s="3"/>
    </row>
    <row r="69" spans="6:6" ht="15.75">
      <c r="F69" s="3"/>
    </row>
    <row r="70" spans="6:6" ht="15.75">
      <c r="F70" s="3"/>
    </row>
    <row r="71" spans="6:6" ht="15.75">
      <c r="F71" s="3"/>
    </row>
    <row r="72" spans="6:6" ht="15.75">
      <c r="F72" s="3"/>
    </row>
    <row r="73" spans="6:6" ht="15.75">
      <c r="F73" s="3"/>
    </row>
    <row r="74" spans="6:6" ht="15.75">
      <c r="F74" s="3"/>
    </row>
    <row r="75" spans="6:6" ht="15.75">
      <c r="F75" s="3"/>
    </row>
    <row r="76" spans="6:6" ht="15.75">
      <c r="F76" s="3"/>
    </row>
    <row r="77" spans="6:6" ht="15.75">
      <c r="F77" s="3"/>
    </row>
    <row r="78" spans="6:6" ht="15.75">
      <c r="F78" s="3"/>
    </row>
    <row r="79" spans="6:6" ht="15.75">
      <c r="F79" s="3"/>
    </row>
    <row r="80" spans="6:6" ht="15.75">
      <c r="F80" s="3"/>
    </row>
    <row r="81" spans="6:6" ht="15.75">
      <c r="F81" s="3"/>
    </row>
    <row r="82" spans="6:6" ht="15.75">
      <c r="F82" s="3"/>
    </row>
    <row r="83" spans="6:6" ht="15.75">
      <c r="F83" s="3"/>
    </row>
    <row r="84" spans="6:6" ht="15.75">
      <c r="F84" s="3"/>
    </row>
    <row r="85" spans="6:6" ht="15.75">
      <c r="F85" s="3"/>
    </row>
    <row r="86" spans="6:6" ht="15.75">
      <c r="F86" s="3"/>
    </row>
    <row r="87" spans="6:6" ht="15.75">
      <c r="F87" s="3"/>
    </row>
    <row r="88" spans="6:6" ht="15.75">
      <c r="F88" s="3"/>
    </row>
    <row r="89" spans="6:6" ht="15.75">
      <c r="F89" s="3"/>
    </row>
    <row r="90" spans="6:6" ht="15.75">
      <c r="F90" s="3"/>
    </row>
    <row r="91" spans="6:6" ht="15.75">
      <c r="F91" s="3"/>
    </row>
    <row r="92" spans="6:6" ht="15.75">
      <c r="F92" s="3"/>
    </row>
    <row r="93" spans="6:6" ht="15.75">
      <c r="F93" s="3"/>
    </row>
    <row r="94" spans="6:6" ht="15.75">
      <c r="F94" s="3"/>
    </row>
    <row r="95" spans="6:6" ht="15.75">
      <c r="F95" s="3"/>
    </row>
    <row r="96" spans="6:6" ht="15.75">
      <c r="F96" s="3"/>
    </row>
    <row r="97" spans="6:6" ht="15.75">
      <c r="F97" s="3"/>
    </row>
    <row r="98" spans="6:6" ht="15.75">
      <c r="F98" s="3"/>
    </row>
    <row r="99" spans="6:6" ht="15.75">
      <c r="F99" s="3"/>
    </row>
    <row r="100" spans="6:6" ht="15.75">
      <c r="F100" s="3"/>
    </row>
    <row r="101" spans="6:6" ht="15.75">
      <c r="F101" s="3"/>
    </row>
    <row r="102" spans="6:6" ht="15.75">
      <c r="F102" s="3"/>
    </row>
    <row r="103" spans="6:6" ht="15.75">
      <c r="F103" s="3"/>
    </row>
    <row r="104" spans="6:6" ht="15.75">
      <c r="F104" s="3"/>
    </row>
    <row r="105" spans="6:6" ht="15.75">
      <c r="F105" s="3"/>
    </row>
    <row r="106" spans="6:6" ht="15.75">
      <c r="F106" s="3"/>
    </row>
    <row r="107" spans="6:6" ht="15.75">
      <c r="F107" s="3"/>
    </row>
    <row r="108" spans="6:6" ht="15.75">
      <c r="F108" s="3"/>
    </row>
    <row r="109" spans="6:6" ht="15.75">
      <c r="F109" s="3"/>
    </row>
    <row r="110" spans="6:6" ht="15.75">
      <c r="F110" s="3"/>
    </row>
    <row r="111" spans="6:6" ht="15.75">
      <c r="F111" s="3"/>
    </row>
    <row r="112" spans="6:6" ht="15.75">
      <c r="F112" s="3"/>
    </row>
    <row r="113" spans="6:6" ht="15.75">
      <c r="F113" s="3"/>
    </row>
    <row r="114" spans="6:6" ht="15.75">
      <c r="F114" s="3"/>
    </row>
    <row r="115" spans="6:6" ht="15.75">
      <c r="F115" s="3"/>
    </row>
    <row r="116" spans="6:6" ht="15.75">
      <c r="F116" s="3"/>
    </row>
    <row r="117" spans="6:6" ht="15.75">
      <c r="F117" s="3"/>
    </row>
    <row r="118" spans="6:6" ht="15.75">
      <c r="F118" s="3"/>
    </row>
    <row r="119" spans="6:6" ht="15.75">
      <c r="F119" s="3"/>
    </row>
    <row r="120" spans="6:6" ht="15.75">
      <c r="F120" s="3"/>
    </row>
    <row r="121" spans="6:6" ht="15.75">
      <c r="F121" s="3"/>
    </row>
    <row r="122" spans="6:6" ht="15.75">
      <c r="F122" s="3"/>
    </row>
    <row r="123" spans="6:6" ht="15.75">
      <c r="F123" s="3"/>
    </row>
    <row r="124" spans="6:6" ht="15.75">
      <c r="F124" s="3"/>
    </row>
    <row r="125" spans="6:6" ht="15.75">
      <c r="F125" s="3"/>
    </row>
    <row r="126" spans="6:6" ht="15.75">
      <c r="F126" s="3"/>
    </row>
    <row r="127" spans="6:6" ht="15.75">
      <c r="F127" s="3"/>
    </row>
    <row r="128" spans="6:6" ht="15.75">
      <c r="F128" s="3"/>
    </row>
    <row r="129" spans="6:6" ht="15.75">
      <c r="F129" s="3"/>
    </row>
    <row r="130" spans="6:6" ht="15.75">
      <c r="F130" s="3"/>
    </row>
    <row r="131" spans="6:6" ht="15.75">
      <c r="F131" s="3"/>
    </row>
    <row r="132" spans="6:6" ht="15.75">
      <c r="F132" s="3"/>
    </row>
    <row r="133" spans="6:6" ht="15.75">
      <c r="F133" s="3"/>
    </row>
    <row r="134" spans="6:6" ht="15.75">
      <c r="F134" s="3"/>
    </row>
    <row r="135" spans="6:6" ht="15.75">
      <c r="F135" s="3"/>
    </row>
    <row r="136" spans="6:6" ht="15.75">
      <c r="F136" s="3"/>
    </row>
    <row r="137" spans="6:6" ht="15.75">
      <c r="F137" s="3"/>
    </row>
    <row r="138" spans="6:6" ht="15.75">
      <c r="F138" s="3"/>
    </row>
    <row r="139" spans="6:6" ht="15.75">
      <c r="F139" s="3"/>
    </row>
    <row r="140" spans="6:6" ht="15.75">
      <c r="F140" s="3"/>
    </row>
    <row r="141" spans="6:6" ht="15.75">
      <c r="F141" s="3"/>
    </row>
    <row r="142" spans="6:6" ht="15.75">
      <c r="F142" s="3"/>
    </row>
    <row r="143" spans="6:6" ht="15.75">
      <c r="F143" s="3"/>
    </row>
    <row r="144" spans="6:6" ht="15.75">
      <c r="F144" s="3"/>
    </row>
    <row r="145" spans="6:6" ht="15.75">
      <c r="F145" s="3"/>
    </row>
    <row r="146" spans="6:6" ht="15.75">
      <c r="F146" s="3"/>
    </row>
    <row r="147" spans="6:6" ht="15.75">
      <c r="F147" s="3"/>
    </row>
    <row r="148" spans="6:6" ht="15.75">
      <c r="F148" s="3"/>
    </row>
    <row r="149" spans="6:6" ht="15.75">
      <c r="F149" s="3"/>
    </row>
    <row r="150" spans="6:6" ht="15.75">
      <c r="F150" s="3"/>
    </row>
    <row r="151" spans="6:6" ht="15.75">
      <c r="F151" s="3"/>
    </row>
    <row r="152" spans="6:6" ht="15.75">
      <c r="F152" s="3"/>
    </row>
    <row r="153" spans="6:6" ht="15.75">
      <c r="F153" s="3"/>
    </row>
    <row r="154" spans="6:6" ht="15.75">
      <c r="F154" s="3"/>
    </row>
    <row r="155" spans="6:6" ht="15.75">
      <c r="F155" s="3"/>
    </row>
    <row r="156" spans="6:6" ht="15.75">
      <c r="F156" s="3"/>
    </row>
    <row r="157" spans="6:6" ht="15.75">
      <c r="F157" s="3"/>
    </row>
    <row r="158" spans="6:6" ht="15.75">
      <c r="F158" s="3"/>
    </row>
    <row r="159" spans="6:6" ht="15.75">
      <c r="F159" s="3"/>
    </row>
    <row r="160" spans="6:6" ht="15.75">
      <c r="F160" s="3"/>
    </row>
    <row r="161" spans="6:6" ht="15.75">
      <c r="F161" s="3"/>
    </row>
    <row r="162" spans="6:6" ht="15.75">
      <c r="F162" s="3"/>
    </row>
    <row r="163" spans="6:6" ht="15.75">
      <c r="F163" s="3"/>
    </row>
    <row r="164" spans="6:6" ht="15.75">
      <c r="F164" s="3"/>
    </row>
    <row r="165" spans="6:6" ht="15.75">
      <c r="F165" s="3"/>
    </row>
    <row r="166" spans="6:6" ht="15.75">
      <c r="F166" s="3"/>
    </row>
    <row r="167" spans="6:6" ht="15.75">
      <c r="F167" s="3"/>
    </row>
    <row r="168" spans="6:6" ht="15.75">
      <c r="F168" s="3"/>
    </row>
    <row r="169" spans="6:6" ht="15.75">
      <c r="F169" s="3"/>
    </row>
    <row r="170" spans="6:6" ht="15.75">
      <c r="F170" s="3"/>
    </row>
    <row r="171" spans="6:6" ht="15.75">
      <c r="F171" s="3"/>
    </row>
    <row r="172" spans="6:6" ht="15.75">
      <c r="F172" s="3"/>
    </row>
    <row r="173" spans="6:6" ht="15.75">
      <c r="F173" s="3"/>
    </row>
    <row r="174" spans="6:6" ht="15.75">
      <c r="F174" s="3"/>
    </row>
    <row r="175" spans="6:6" ht="15.75">
      <c r="F175" s="3"/>
    </row>
    <row r="176" spans="6:6" ht="15.75">
      <c r="F176" s="3"/>
    </row>
    <row r="177" spans="6:6" ht="15.75">
      <c r="F177" s="3"/>
    </row>
    <row r="178" spans="6:6" ht="15.75">
      <c r="F178" s="3"/>
    </row>
    <row r="179" spans="6:6" ht="15.75">
      <c r="F179" s="3"/>
    </row>
    <row r="180" spans="6:6" ht="15.75">
      <c r="F180" s="3"/>
    </row>
    <row r="181" spans="6:6" ht="15.75">
      <c r="F181" s="3"/>
    </row>
    <row r="182" spans="6:6" ht="15.75">
      <c r="F182" s="3"/>
    </row>
    <row r="183" spans="6:6" ht="15.75">
      <c r="F183" s="3"/>
    </row>
    <row r="184" spans="6:6" ht="15.75">
      <c r="F184" s="3"/>
    </row>
    <row r="185" spans="6:6" ht="15.75">
      <c r="F185" s="3"/>
    </row>
    <row r="186" spans="6:6" ht="15.75">
      <c r="F186" s="3"/>
    </row>
    <row r="187" spans="6:6" ht="15.75">
      <c r="F187" s="3"/>
    </row>
    <row r="188" spans="6:6" ht="15.75">
      <c r="F188" s="3"/>
    </row>
    <row r="189" spans="6:6" ht="15.75">
      <c r="F189" s="3"/>
    </row>
    <row r="190" spans="6:6" ht="15.75">
      <c r="F190" s="3"/>
    </row>
    <row r="191" spans="6:6" ht="15.75">
      <c r="F191" s="3"/>
    </row>
    <row r="192" spans="6:6" ht="15.75">
      <c r="F192" s="3"/>
    </row>
    <row r="193" spans="6:6" ht="15.75">
      <c r="F193" s="3"/>
    </row>
    <row r="194" spans="6:6" ht="15.75">
      <c r="F194" s="3"/>
    </row>
    <row r="195" spans="6:6" ht="15.75">
      <c r="F195" s="3"/>
    </row>
    <row r="196" spans="6:6" ht="15.75">
      <c r="F196" s="3"/>
    </row>
    <row r="197" spans="6:6" ht="15.75">
      <c r="F197" s="3"/>
    </row>
    <row r="198" spans="6:6" ht="15.75">
      <c r="F198" s="3"/>
    </row>
    <row r="199" spans="6:6" ht="15.75">
      <c r="F199" s="3"/>
    </row>
    <row r="200" spans="6:6" ht="15.75">
      <c r="F200" s="3"/>
    </row>
    <row r="201" spans="6:6" ht="15.75">
      <c r="F201" s="3"/>
    </row>
    <row r="202" spans="6:6" ht="15.75">
      <c r="F202" s="3"/>
    </row>
    <row r="203" spans="6:6" ht="15.75">
      <c r="F203" s="3"/>
    </row>
    <row r="204" spans="6:6" ht="15.75">
      <c r="F204" s="3"/>
    </row>
    <row r="205" spans="6:6" ht="15.75">
      <c r="F205" s="3"/>
    </row>
    <row r="206" spans="6:6" ht="15.75">
      <c r="F206" s="3"/>
    </row>
    <row r="207" spans="6:6" ht="15.75">
      <c r="F207" s="3"/>
    </row>
    <row r="208" spans="6:6" ht="15.75">
      <c r="F208" s="3"/>
    </row>
    <row r="209" spans="6:6" ht="15.75">
      <c r="F209" s="3"/>
    </row>
    <row r="210" spans="6:6" ht="15.75">
      <c r="F210" s="3"/>
    </row>
    <row r="211" spans="6:6" ht="15.75">
      <c r="F211" s="3"/>
    </row>
    <row r="212" spans="6:6" ht="15.75">
      <c r="F212" s="3"/>
    </row>
    <row r="213" spans="6:6" ht="15.75">
      <c r="F213" s="3"/>
    </row>
    <row r="214" spans="6:6" ht="15.75">
      <c r="F214" s="3"/>
    </row>
    <row r="215" spans="6:6" ht="15.75">
      <c r="F215" s="3"/>
    </row>
    <row r="216" spans="6:6" ht="15.75">
      <c r="F216" s="3"/>
    </row>
    <row r="217" spans="6:6" ht="15.75">
      <c r="F217" s="3"/>
    </row>
    <row r="218" spans="6:6" ht="15.75">
      <c r="F218" s="3"/>
    </row>
    <row r="219" spans="6:6" ht="15.75">
      <c r="F219" s="3"/>
    </row>
    <row r="220" spans="6:6" ht="15.75">
      <c r="F220" s="3"/>
    </row>
    <row r="221" spans="6:6" ht="15.75">
      <c r="F221" s="3"/>
    </row>
    <row r="222" spans="6:6" ht="15.75">
      <c r="F222" s="3"/>
    </row>
    <row r="223" spans="6:6" ht="15.75">
      <c r="F223" s="3"/>
    </row>
    <row r="224" spans="6:6" ht="15.75">
      <c r="F224" s="3"/>
    </row>
    <row r="225" spans="6:6" ht="15.75">
      <c r="F225" s="3"/>
    </row>
    <row r="226" spans="6:6" ht="15.75">
      <c r="F226" s="3"/>
    </row>
    <row r="227" spans="6:6" ht="15.75">
      <c r="F227" s="3"/>
    </row>
    <row r="228" spans="6:6" ht="15.75">
      <c r="F228" s="3"/>
    </row>
    <row r="229" spans="6:6" ht="15.75">
      <c r="F229" s="3"/>
    </row>
    <row r="230" spans="6:6" ht="15.75">
      <c r="F230" s="3"/>
    </row>
    <row r="231" spans="6:6" ht="15.75">
      <c r="F231" s="3"/>
    </row>
    <row r="232" spans="6:6" ht="15.75">
      <c r="F232" s="3"/>
    </row>
    <row r="233" spans="6:6" ht="15.75">
      <c r="F233" s="3"/>
    </row>
    <row r="234" spans="6:6" ht="15.75">
      <c r="F234" s="3"/>
    </row>
    <row r="235" spans="6:6" ht="15.75">
      <c r="F235" s="3"/>
    </row>
    <row r="236" spans="6:6" ht="15.75">
      <c r="F236" s="3"/>
    </row>
    <row r="237" spans="6:6" ht="15.75">
      <c r="F237" s="3"/>
    </row>
    <row r="238" spans="6:6" ht="15.75">
      <c r="F238" s="3"/>
    </row>
    <row r="239" spans="6:6" ht="15.75">
      <c r="F239" s="3"/>
    </row>
    <row r="240" spans="6:6" ht="15.75">
      <c r="F240" s="3"/>
    </row>
    <row r="241" spans="6:6" ht="15.75">
      <c r="F241" s="3"/>
    </row>
    <row r="242" spans="6:6" ht="15.75">
      <c r="F242" s="3"/>
    </row>
    <row r="243" spans="6:6" ht="15.75">
      <c r="F243" s="3"/>
    </row>
    <row r="244" spans="6:6" ht="15.75">
      <c r="F244" s="3"/>
    </row>
    <row r="245" spans="6:6" ht="15.75">
      <c r="F245" s="3"/>
    </row>
    <row r="246" spans="6:6" ht="15.75">
      <c r="F246" s="3"/>
    </row>
    <row r="247" spans="6:6" ht="15.75">
      <c r="F247" s="3"/>
    </row>
    <row r="248" spans="6:6" ht="15.75">
      <c r="F248" s="3"/>
    </row>
    <row r="249" spans="6:6" ht="15.75">
      <c r="F249" s="3"/>
    </row>
    <row r="250" spans="6:6" ht="15.75">
      <c r="F250" s="3"/>
    </row>
    <row r="251" spans="6:6" ht="15.75">
      <c r="F251" s="3"/>
    </row>
    <row r="252" spans="6:6" ht="15.75">
      <c r="F252" s="3"/>
    </row>
    <row r="253" spans="6:6" ht="15.75">
      <c r="F253" s="3"/>
    </row>
    <row r="254" spans="6:6" ht="15.75">
      <c r="F254" s="3"/>
    </row>
    <row r="255" spans="6:6" ht="15.75">
      <c r="F255" s="3"/>
    </row>
    <row r="256" spans="6:6" ht="15.75">
      <c r="F256" s="3"/>
    </row>
    <row r="257" spans="6:6" ht="15.75">
      <c r="F257" s="3"/>
    </row>
    <row r="258" spans="6:6" ht="15.75">
      <c r="F258" s="3"/>
    </row>
    <row r="259" spans="6:6" ht="15.75">
      <c r="F259" s="3"/>
    </row>
    <row r="260" spans="6:6" ht="15.75">
      <c r="F260" s="3"/>
    </row>
    <row r="261" spans="6:6" ht="15.75">
      <c r="F261" s="3"/>
    </row>
    <row r="262" spans="6:6" ht="15.75">
      <c r="F262" s="3"/>
    </row>
    <row r="263" spans="6:6" ht="15.75">
      <c r="F263" s="3"/>
    </row>
    <row r="264" spans="6:6" ht="15.75">
      <c r="F264" s="3"/>
    </row>
    <row r="265" spans="6:6" ht="15.75">
      <c r="F265" s="3"/>
    </row>
    <row r="266" spans="6:6" ht="15.75">
      <c r="F266" s="3"/>
    </row>
    <row r="267" spans="6:6" ht="15.75">
      <c r="F267" s="3"/>
    </row>
    <row r="268" spans="6:6" ht="15.75">
      <c r="F268" s="3"/>
    </row>
    <row r="269" spans="6:6" ht="15.75">
      <c r="F269" s="3"/>
    </row>
    <row r="270" spans="6:6" ht="15.75">
      <c r="F270" s="3"/>
    </row>
    <row r="271" spans="6:6" ht="15.75">
      <c r="F271" s="3"/>
    </row>
    <row r="272" spans="6:6" ht="15.75">
      <c r="F272" s="3"/>
    </row>
    <row r="273" spans="6:6" ht="15.75">
      <c r="F273" s="3"/>
    </row>
    <row r="274" spans="6:6" ht="15.75">
      <c r="F274" s="3"/>
    </row>
    <row r="275" spans="6:6" ht="15.75">
      <c r="F275" s="3"/>
    </row>
    <row r="276" spans="6:6" ht="15.75">
      <c r="F276" s="3"/>
    </row>
    <row r="277" spans="6:6" ht="15.75">
      <c r="F277" s="3"/>
    </row>
    <row r="278" spans="6:6" ht="15.75">
      <c r="F278" s="3"/>
    </row>
    <row r="279" spans="6:6" ht="15.75">
      <c r="F279" s="3"/>
    </row>
    <row r="280" spans="6:6" ht="15.75">
      <c r="F280" s="3"/>
    </row>
    <row r="281" spans="6:6" ht="15.75">
      <c r="F281" s="3"/>
    </row>
    <row r="282" spans="6:6" ht="15.75">
      <c r="F282" s="3"/>
    </row>
    <row r="283" spans="6:6" ht="15.75">
      <c r="F283" s="3"/>
    </row>
    <row r="284" spans="6:6" ht="15.75">
      <c r="F284" s="3"/>
    </row>
    <row r="285" spans="6:6" ht="15.75">
      <c r="F285" s="3"/>
    </row>
    <row r="286" spans="6:6" ht="15.75">
      <c r="F286" s="3"/>
    </row>
    <row r="287" spans="6:6" ht="15.75">
      <c r="F287" s="3"/>
    </row>
    <row r="288" spans="6:6" ht="15.75">
      <c r="F288" s="3"/>
    </row>
    <row r="289" spans="6:6" ht="15.75">
      <c r="F289" s="3"/>
    </row>
    <row r="290" spans="6:6" ht="15.75">
      <c r="F290" s="3"/>
    </row>
    <row r="291" spans="6:6" ht="15.75">
      <c r="F291" s="3"/>
    </row>
    <row r="292" spans="6:6" ht="15.75">
      <c r="F292" s="3"/>
    </row>
    <row r="293" spans="6:6" ht="15.75">
      <c r="F293" s="3"/>
    </row>
    <row r="294" spans="6:6" ht="15.75">
      <c r="F294" s="3"/>
    </row>
    <row r="295" spans="6:6" ht="15.75">
      <c r="F295" s="3"/>
    </row>
    <row r="296" spans="6:6" ht="15.75">
      <c r="F296" s="3"/>
    </row>
    <row r="297" spans="6:6" ht="15.75">
      <c r="F297" s="3"/>
    </row>
    <row r="298" spans="6:6" ht="15.75">
      <c r="F298" s="3"/>
    </row>
    <row r="299" spans="6:6" ht="15.75">
      <c r="F299" s="3"/>
    </row>
    <row r="300" spans="6:6" ht="15.75">
      <c r="F300" s="3"/>
    </row>
    <row r="301" spans="6:6" ht="15.75">
      <c r="F301" s="3"/>
    </row>
    <row r="302" spans="6:6" ht="15.75">
      <c r="F302" s="3"/>
    </row>
    <row r="303" spans="6:6" ht="15.75">
      <c r="F303" s="3"/>
    </row>
    <row r="304" spans="6:6" ht="15.75">
      <c r="F304" s="3"/>
    </row>
    <row r="305" spans="6:6" ht="15.75">
      <c r="F305" s="3"/>
    </row>
    <row r="306" spans="6:6" ht="15.75">
      <c r="F306" s="3"/>
    </row>
    <row r="307" spans="6:6" ht="15.75">
      <c r="F307" s="3"/>
    </row>
    <row r="308" spans="6:6" ht="15.75">
      <c r="F308" s="3"/>
    </row>
    <row r="309" spans="6:6" ht="15.75">
      <c r="F309" s="3"/>
    </row>
    <row r="310" spans="6:6" ht="15.75">
      <c r="F310" s="3"/>
    </row>
    <row r="311" spans="6:6" ht="15.75">
      <c r="F311" s="3"/>
    </row>
    <row r="312" spans="6:6" ht="15.75">
      <c r="F312" s="3"/>
    </row>
    <row r="313" spans="6:6" ht="15.75">
      <c r="F313" s="3"/>
    </row>
    <row r="314" spans="6:6" ht="15.75">
      <c r="F314" s="3"/>
    </row>
    <row r="315" spans="6:6" ht="15.75">
      <c r="F315" s="3"/>
    </row>
    <row r="316" spans="6:6" ht="15.75">
      <c r="F316" s="3"/>
    </row>
    <row r="317" spans="6:6" ht="15.75">
      <c r="F317" s="3"/>
    </row>
    <row r="318" spans="6:6" ht="15.75">
      <c r="F318" s="3"/>
    </row>
    <row r="319" spans="6:6" ht="15.75">
      <c r="F319" s="3"/>
    </row>
    <row r="320" spans="6:6" ht="15.75">
      <c r="F320" s="3"/>
    </row>
    <row r="321" spans="6:6" ht="15.75">
      <c r="F321" s="3"/>
    </row>
    <row r="322" spans="6:6" ht="15.75">
      <c r="F322" s="3"/>
    </row>
    <row r="323" spans="6:6" ht="15.75">
      <c r="F323" s="3"/>
    </row>
    <row r="324" spans="6:6" ht="15.75">
      <c r="F324" s="3"/>
    </row>
    <row r="325" spans="6:6" ht="15.75">
      <c r="F325" s="3"/>
    </row>
    <row r="326" spans="6:6" ht="15.75">
      <c r="F326" s="3"/>
    </row>
    <row r="327" spans="6:6" ht="15.75">
      <c r="F327" s="3"/>
    </row>
    <row r="328" spans="6:6" ht="15.75">
      <c r="F328" s="3"/>
    </row>
    <row r="329" spans="6:6" ht="15.75">
      <c r="F329" s="3"/>
    </row>
    <row r="330" spans="6:6" ht="15.75">
      <c r="F330" s="3"/>
    </row>
    <row r="331" spans="6:6" ht="15.75">
      <c r="F331" s="3"/>
    </row>
    <row r="332" spans="6:6" ht="15.75">
      <c r="F332" s="3"/>
    </row>
    <row r="333" spans="6:6" ht="15.75">
      <c r="F333" s="3"/>
    </row>
    <row r="334" spans="6:6" ht="15.75">
      <c r="F334" s="3"/>
    </row>
    <row r="335" spans="6:6" ht="15.75">
      <c r="F335" s="3"/>
    </row>
    <row r="336" spans="6:6" ht="15.75">
      <c r="F336" s="3"/>
    </row>
    <row r="337" spans="6:6" ht="15.75">
      <c r="F337" s="3"/>
    </row>
    <row r="338" spans="6:6" ht="15.75">
      <c r="F338" s="3"/>
    </row>
    <row r="339" spans="6:6" ht="15.75">
      <c r="F339" s="3"/>
    </row>
    <row r="340" spans="6:6" ht="15.75">
      <c r="F340" s="3"/>
    </row>
    <row r="341" spans="6:6" ht="15.75">
      <c r="F341" s="3"/>
    </row>
    <row r="342" spans="6:6" ht="15.75">
      <c r="F342" s="3"/>
    </row>
    <row r="343" spans="6:6" ht="15.75">
      <c r="F343" s="3"/>
    </row>
    <row r="344" spans="6:6" ht="15.75">
      <c r="F344" s="3"/>
    </row>
    <row r="345" spans="6:6" ht="15.75">
      <c r="F345" s="3"/>
    </row>
    <row r="346" spans="6:6" ht="15.75">
      <c r="F346" s="3"/>
    </row>
    <row r="347" spans="6:6" ht="15.75">
      <c r="F347" s="3"/>
    </row>
    <row r="348" spans="6:6" ht="15.75">
      <c r="F348" s="3"/>
    </row>
    <row r="349" spans="6:6" ht="15.75">
      <c r="F349" s="3"/>
    </row>
    <row r="350" spans="6:6" ht="15.75">
      <c r="F350" s="3"/>
    </row>
    <row r="351" spans="6:6" ht="15.75">
      <c r="F351" s="3"/>
    </row>
    <row r="352" spans="6:6" ht="15.75">
      <c r="F352" s="3"/>
    </row>
    <row r="353" spans="6:6" ht="15.75">
      <c r="F353" s="3"/>
    </row>
    <row r="354" spans="6:6" ht="15.75">
      <c r="F354" s="3"/>
    </row>
    <row r="355" spans="6:6" ht="15.75">
      <c r="F355" s="3"/>
    </row>
    <row r="356" spans="6:6" ht="15.75">
      <c r="F356" s="3"/>
    </row>
    <row r="357" spans="6:6" ht="15.75">
      <c r="F357" s="3"/>
    </row>
    <row r="358" spans="6:6" ht="15.75">
      <c r="F358" s="3"/>
    </row>
    <row r="359" spans="6:6" ht="15.75">
      <c r="F359" s="3"/>
    </row>
    <row r="360" spans="6:6" ht="15.75">
      <c r="F360" s="3"/>
    </row>
    <row r="361" spans="6:6" ht="15.75">
      <c r="F361" s="3"/>
    </row>
    <row r="362" spans="6:6" ht="15.75">
      <c r="F362" s="3"/>
    </row>
    <row r="363" spans="6:6" ht="15.75">
      <c r="F363" s="3"/>
    </row>
    <row r="364" spans="6:6" ht="15.75">
      <c r="F364" s="3"/>
    </row>
    <row r="365" spans="6:6" ht="15.75">
      <c r="F365" s="3"/>
    </row>
    <row r="366" spans="6:6" ht="15.75">
      <c r="F366" s="3"/>
    </row>
    <row r="367" spans="6:6" ht="15.75">
      <c r="F367" s="3"/>
    </row>
    <row r="368" spans="6:6" ht="15.75">
      <c r="F368" s="3"/>
    </row>
    <row r="369" spans="6:6" ht="15.75">
      <c r="F369" s="3"/>
    </row>
    <row r="370" spans="6:6" ht="15.75">
      <c r="F370" s="3"/>
    </row>
    <row r="371" spans="6:6" ht="15.75">
      <c r="F371" s="3"/>
    </row>
    <row r="372" spans="6:6" ht="15.75">
      <c r="F372" s="3"/>
    </row>
    <row r="373" spans="6:6" ht="15.75">
      <c r="F373" s="3"/>
    </row>
    <row r="374" spans="6:6" ht="15.75">
      <c r="F374" s="3"/>
    </row>
    <row r="375" spans="6:6" ht="15.75">
      <c r="F375" s="3"/>
    </row>
    <row r="376" spans="6:6" ht="15.75">
      <c r="F376" s="3"/>
    </row>
    <row r="377" spans="6:6" ht="15.75">
      <c r="F377" s="3"/>
    </row>
    <row r="378" spans="6:6" ht="15.75">
      <c r="F378" s="3"/>
    </row>
    <row r="379" spans="6:6" ht="15.75">
      <c r="F379" s="3"/>
    </row>
    <row r="380" spans="6:6" ht="15.75">
      <c r="F380" s="3"/>
    </row>
    <row r="381" spans="6:6" ht="15.75">
      <c r="F381" s="3"/>
    </row>
    <row r="382" spans="6:6" ht="15.75">
      <c r="F382" s="3"/>
    </row>
    <row r="383" spans="6:6" ht="15.75">
      <c r="F383" s="3"/>
    </row>
    <row r="384" spans="6:6" ht="15.75">
      <c r="F384" s="3"/>
    </row>
    <row r="385" spans="6:6" ht="15.75">
      <c r="F385" s="3"/>
    </row>
    <row r="386" spans="6:6" ht="15.75">
      <c r="F386" s="3"/>
    </row>
    <row r="387" spans="6:6" ht="15.75">
      <c r="F387" s="3"/>
    </row>
    <row r="388" spans="6:6" ht="15.75">
      <c r="F388" s="3"/>
    </row>
    <row r="389" spans="6:6" ht="15.75">
      <c r="F389" s="3"/>
    </row>
    <row r="390" spans="6:6" ht="15.75">
      <c r="F390" s="3"/>
    </row>
    <row r="391" spans="6:6" ht="15.75">
      <c r="F391" s="3"/>
    </row>
    <row r="392" spans="6:6" ht="15.75">
      <c r="F392" s="3"/>
    </row>
    <row r="393" spans="6:6" ht="15.75">
      <c r="F393" s="3"/>
    </row>
    <row r="394" spans="6:6" ht="15.75">
      <c r="F394" s="3"/>
    </row>
    <row r="395" spans="6:6" ht="15.75">
      <c r="F395" s="3"/>
    </row>
    <row r="396" spans="6:6" ht="15.75">
      <c r="F396" s="3"/>
    </row>
    <row r="397" spans="6:6" ht="15.75">
      <c r="F397" s="3"/>
    </row>
    <row r="398" spans="6:6" ht="15.75">
      <c r="F398" s="3"/>
    </row>
    <row r="399" spans="6:6" ht="15.75">
      <c r="F399" s="3"/>
    </row>
    <row r="400" spans="6:6" ht="15.75">
      <c r="F400" s="3"/>
    </row>
    <row r="401" spans="6:6" ht="15.75">
      <c r="F401" s="3"/>
    </row>
    <row r="402" spans="6:6" ht="15.75">
      <c r="F402" s="3"/>
    </row>
    <row r="403" spans="6:6" ht="15.75">
      <c r="F403" s="3"/>
    </row>
    <row r="404" spans="6:6" ht="15.75">
      <c r="F404" s="3"/>
    </row>
    <row r="405" spans="6:6" ht="15.75">
      <c r="F405" s="3"/>
    </row>
    <row r="406" spans="6:6" ht="15.75">
      <c r="F406" s="3"/>
    </row>
    <row r="407" spans="6:6" ht="15.75">
      <c r="F407" s="3"/>
    </row>
    <row r="408" spans="6:6" ht="15.75">
      <c r="F408" s="3"/>
    </row>
    <row r="409" spans="6:6" ht="15.75">
      <c r="F409" s="3"/>
    </row>
    <row r="410" spans="6:6" ht="15.75">
      <c r="F410" s="3"/>
    </row>
    <row r="411" spans="6:6" ht="15.75">
      <c r="F411" s="3"/>
    </row>
    <row r="412" spans="6:6" ht="15.75">
      <c r="F412" s="3"/>
    </row>
    <row r="413" spans="6:6" ht="15.75">
      <c r="F413" s="3"/>
    </row>
    <row r="414" spans="6:6" ht="15.75">
      <c r="F414" s="3"/>
    </row>
    <row r="415" spans="6:6" ht="15.75">
      <c r="F415" s="3"/>
    </row>
    <row r="416" spans="6:6" ht="15.75">
      <c r="F416" s="3"/>
    </row>
    <row r="417" spans="6:6" ht="15.75">
      <c r="F417" s="3"/>
    </row>
    <row r="418" spans="6:6" ht="15.75">
      <c r="F418" s="3"/>
    </row>
    <row r="419" spans="6:6" ht="15.75">
      <c r="F419" s="3"/>
    </row>
    <row r="420" spans="6:6" ht="15.75">
      <c r="F420" s="3"/>
    </row>
    <row r="421" spans="6:6" ht="15.75">
      <c r="F421" s="3"/>
    </row>
    <row r="422" spans="6:6" ht="15.75">
      <c r="F422" s="3"/>
    </row>
    <row r="423" spans="6:6" ht="15.75">
      <c r="F423" s="3"/>
    </row>
    <row r="424" spans="6:6" ht="15.75">
      <c r="F424" s="3"/>
    </row>
    <row r="425" spans="6:6" ht="15.75">
      <c r="F425" s="3"/>
    </row>
    <row r="426" spans="6:6" ht="15.75">
      <c r="F426" s="3"/>
    </row>
    <row r="427" spans="6:6" ht="15.75">
      <c r="F427" s="3"/>
    </row>
    <row r="428" spans="6:6" ht="15.75">
      <c r="F428" s="3"/>
    </row>
    <row r="429" spans="6:6" ht="15.75">
      <c r="F429" s="3"/>
    </row>
    <row r="430" spans="6:6" ht="15.75">
      <c r="F430" s="3"/>
    </row>
    <row r="431" spans="6:6" ht="15.75">
      <c r="F431" s="3"/>
    </row>
    <row r="432" spans="6:6" ht="15.75">
      <c r="F432" s="3"/>
    </row>
    <row r="433" spans="6:6" ht="15.75">
      <c r="F433" s="3"/>
    </row>
    <row r="434" spans="6:6" ht="15.75">
      <c r="F434" s="3"/>
    </row>
    <row r="435" spans="6:6" ht="15.75">
      <c r="F435" s="3"/>
    </row>
    <row r="436" spans="6:6" ht="15.75">
      <c r="F436" s="3"/>
    </row>
    <row r="437" spans="6:6" ht="15.75">
      <c r="F437" s="3"/>
    </row>
    <row r="438" spans="6:6" ht="15.75">
      <c r="F438" s="3"/>
    </row>
    <row r="439" spans="6:6" ht="15.75">
      <c r="F439" s="3"/>
    </row>
    <row r="440" spans="6:6" ht="15.75">
      <c r="F440" s="3"/>
    </row>
    <row r="441" spans="6:6" ht="15.75">
      <c r="F441" s="3"/>
    </row>
    <row r="442" spans="6:6" ht="15.75">
      <c r="F442" s="3"/>
    </row>
    <row r="443" spans="6:6" ht="15.75">
      <c r="F443" s="3"/>
    </row>
    <row r="444" spans="6:6" ht="15.75">
      <c r="F444" s="3"/>
    </row>
    <row r="445" spans="6:6" ht="15.75">
      <c r="F445" s="3"/>
    </row>
    <row r="446" spans="6:6" ht="15.75">
      <c r="F446" s="3"/>
    </row>
    <row r="447" spans="6:6" ht="15.75">
      <c r="F447" s="3"/>
    </row>
    <row r="448" spans="6:6" ht="15.75">
      <c r="F448" s="3"/>
    </row>
    <row r="449" spans="6:6" ht="15.75">
      <c r="F449" s="3"/>
    </row>
    <row r="450" spans="6:6" ht="15.75">
      <c r="F450" s="3"/>
    </row>
    <row r="451" spans="6:6" ht="15.75">
      <c r="F451" s="3"/>
    </row>
    <row r="452" spans="6:6" ht="15.75">
      <c r="F452" s="3"/>
    </row>
    <row r="453" spans="6:6" ht="15.75">
      <c r="F453" s="3"/>
    </row>
    <row r="454" spans="6:6" ht="15.75">
      <c r="F454" s="3"/>
    </row>
    <row r="455" spans="6:6" ht="15.75">
      <c r="F455" s="3"/>
    </row>
    <row r="456" spans="6:6" ht="15.75">
      <c r="F456" s="3"/>
    </row>
    <row r="457" spans="6:6" ht="15.75">
      <c r="F457" s="3"/>
    </row>
    <row r="458" spans="6:6" ht="15.75">
      <c r="F458" s="3"/>
    </row>
    <row r="459" spans="6:6" ht="15.75">
      <c r="F459" s="3"/>
    </row>
    <row r="460" spans="6:6" ht="15.75">
      <c r="F460" s="3"/>
    </row>
    <row r="461" spans="6:6" ht="15.75">
      <c r="F461" s="3"/>
    </row>
    <row r="462" spans="6:6" ht="15.75">
      <c r="F462" s="3"/>
    </row>
    <row r="463" spans="6:6" ht="15.75">
      <c r="F463" s="3"/>
    </row>
    <row r="464" spans="6:6" ht="15.75">
      <c r="F464" s="3"/>
    </row>
    <row r="465" spans="6:6" ht="15.75">
      <c r="F465" s="3"/>
    </row>
    <row r="466" spans="6:6" ht="15.75">
      <c r="F466" s="3"/>
    </row>
    <row r="467" spans="6:6" ht="15.75">
      <c r="F467" s="3"/>
    </row>
    <row r="468" spans="6:6" ht="15.75">
      <c r="F468" s="3"/>
    </row>
    <row r="469" spans="6:6" ht="15.75">
      <c r="F469" s="3"/>
    </row>
    <row r="470" spans="6:6" ht="15.75">
      <c r="F470" s="3"/>
    </row>
    <row r="471" spans="6:6" ht="15.75">
      <c r="F471" s="3"/>
    </row>
    <row r="472" spans="6:6" ht="15.75">
      <c r="F472" s="3"/>
    </row>
    <row r="473" spans="6:6" ht="15.75">
      <c r="F473" s="3"/>
    </row>
    <row r="474" spans="6:6" ht="15.75">
      <c r="F474" s="3"/>
    </row>
    <row r="475" spans="6:6" ht="15.75">
      <c r="F475" s="3"/>
    </row>
    <row r="476" spans="6:6" ht="15.75">
      <c r="F476" s="3"/>
    </row>
    <row r="477" spans="6:6" ht="15.75">
      <c r="F477" s="3"/>
    </row>
    <row r="478" spans="6:6" ht="15.75">
      <c r="F478" s="3"/>
    </row>
    <row r="479" spans="6:6" ht="15.75">
      <c r="F479" s="3"/>
    </row>
    <row r="480" spans="6:6" ht="15.75">
      <c r="F480" s="3"/>
    </row>
    <row r="481" spans="6:6" ht="15.75">
      <c r="F481" s="3"/>
    </row>
    <row r="482" spans="6:6" ht="15.75">
      <c r="F482" s="3"/>
    </row>
    <row r="483" spans="6:6" ht="15.75">
      <c r="F483" s="3"/>
    </row>
    <row r="484" spans="6:6" ht="15.75">
      <c r="F484" s="3"/>
    </row>
    <row r="485" spans="6:6" ht="15.75">
      <c r="F485" s="3"/>
    </row>
    <row r="486" spans="6:6" ht="15.75">
      <c r="F486" s="3"/>
    </row>
    <row r="487" spans="6:6" ht="15.75">
      <c r="F487" s="3"/>
    </row>
    <row r="488" spans="6:6" ht="15.75">
      <c r="F488" s="3"/>
    </row>
    <row r="489" spans="6:6" ht="15.75">
      <c r="F489" s="3"/>
    </row>
    <row r="490" spans="6:6" ht="15.75">
      <c r="F490" s="3"/>
    </row>
    <row r="491" spans="6:6" ht="15.75">
      <c r="F491" s="3"/>
    </row>
    <row r="492" spans="6:6" ht="15.75">
      <c r="F492" s="3"/>
    </row>
    <row r="493" spans="6:6" ht="15.75">
      <c r="F493" s="3"/>
    </row>
    <row r="494" spans="6:6" ht="15.75">
      <c r="F494" s="3"/>
    </row>
    <row r="495" spans="6:6" ht="15.75">
      <c r="F495" s="3"/>
    </row>
    <row r="496" spans="6:6" ht="15.75">
      <c r="F496" s="3"/>
    </row>
    <row r="497" spans="6:6" ht="15.75">
      <c r="F497" s="3"/>
    </row>
    <row r="498" spans="6:6" ht="15.75">
      <c r="F498" s="3"/>
    </row>
    <row r="499" spans="6:6" ht="15.75">
      <c r="F499" s="3"/>
    </row>
    <row r="500" spans="6:6" ht="15.75">
      <c r="F500" s="3"/>
    </row>
    <row r="501" spans="6:6" ht="15.75">
      <c r="F501" s="3"/>
    </row>
    <row r="502" spans="6:6" ht="15.75">
      <c r="F502" s="3"/>
    </row>
    <row r="503" spans="6:6" ht="15.75">
      <c r="F503" s="3"/>
    </row>
    <row r="504" spans="6:6" ht="15.75">
      <c r="F504" s="3"/>
    </row>
    <row r="505" spans="6:6" ht="15.75">
      <c r="F505" s="3"/>
    </row>
    <row r="506" spans="6:6" ht="15.75">
      <c r="F506" s="3"/>
    </row>
    <row r="507" spans="6:6" ht="15.75">
      <c r="F507" s="3"/>
    </row>
    <row r="508" spans="6:6" ht="15.75">
      <c r="F508" s="3"/>
    </row>
    <row r="509" spans="6:6" ht="15.75">
      <c r="F509" s="3"/>
    </row>
    <row r="510" spans="6:6" ht="15.75">
      <c r="F510" s="3"/>
    </row>
    <row r="511" spans="6:6" ht="15.75">
      <c r="F511" s="3"/>
    </row>
    <row r="512" spans="6:6" ht="15.75">
      <c r="F512" s="3"/>
    </row>
    <row r="513" spans="6:6" ht="15.75">
      <c r="F513" s="3"/>
    </row>
    <row r="514" spans="6:6" ht="15.75">
      <c r="F514" s="3"/>
    </row>
    <row r="515" spans="6:6" ht="15.75">
      <c r="F515" s="3"/>
    </row>
    <row r="516" spans="6:6" ht="15.75">
      <c r="F516" s="3"/>
    </row>
    <row r="517" spans="6:6" ht="15.75">
      <c r="F517" s="3"/>
    </row>
    <row r="518" spans="6:6" ht="15.75">
      <c r="F518" s="3"/>
    </row>
    <row r="519" spans="6:6" ht="15.75">
      <c r="F519" s="3"/>
    </row>
    <row r="520" spans="6:6" ht="15.75">
      <c r="F520" s="3"/>
    </row>
    <row r="521" spans="6:6" ht="15.75">
      <c r="F521" s="3"/>
    </row>
    <row r="522" spans="6:6" ht="15.75">
      <c r="F522" s="3"/>
    </row>
    <row r="523" spans="6:6" ht="15.75">
      <c r="F523" s="3"/>
    </row>
    <row r="524" spans="6:6" ht="15.75">
      <c r="F524" s="3"/>
    </row>
    <row r="525" spans="6:6" ht="15.75">
      <c r="F525" s="3"/>
    </row>
    <row r="526" spans="6:6" ht="15.75">
      <c r="F526" s="3"/>
    </row>
    <row r="527" spans="6:6" ht="15.75">
      <c r="F527" s="3"/>
    </row>
    <row r="528" spans="6:6" ht="15.75">
      <c r="F528" s="3"/>
    </row>
    <row r="529" spans="6:6" ht="15.75">
      <c r="F529" s="3"/>
    </row>
    <row r="530" spans="6:6" ht="15.75">
      <c r="F530" s="3"/>
    </row>
    <row r="531" spans="6:6" ht="15.75">
      <c r="F531" s="3"/>
    </row>
    <row r="532" spans="6:6" ht="15.75">
      <c r="F532" s="3"/>
    </row>
    <row r="533" spans="6:6" ht="15.75">
      <c r="F533" s="3"/>
    </row>
    <row r="534" spans="6:6" ht="15.75">
      <c r="F534" s="3"/>
    </row>
    <row r="535" spans="6:6" ht="15.75">
      <c r="F535" s="3"/>
    </row>
    <row r="536" spans="6:6" ht="15.75">
      <c r="F536" s="3"/>
    </row>
    <row r="537" spans="6:6" ht="15.75">
      <c r="F537" s="3"/>
    </row>
    <row r="538" spans="6:6" ht="15.75">
      <c r="F538" s="3"/>
    </row>
    <row r="539" spans="6:6" ht="15.75">
      <c r="F539" s="3"/>
    </row>
    <row r="540" spans="6:6" ht="15.75">
      <c r="F540" s="3"/>
    </row>
    <row r="541" spans="6:6" ht="15.75">
      <c r="F541" s="3"/>
    </row>
    <row r="542" spans="6:6" ht="15.75">
      <c r="F542" s="3"/>
    </row>
    <row r="543" spans="6:6" ht="15.75">
      <c r="F543" s="3"/>
    </row>
    <row r="544" spans="6:6" ht="15.75">
      <c r="F544" s="3"/>
    </row>
    <row r="545" spans="6:6" ht="15.75">
      <c r="F545" s="3"/>
    </row>
    <row r="546" spans="6:6" ht="15.75">
      <c r="F546" s="3"/>
    </row>
    <row r="547" spans="6:6" ht="15.75">
      <c r="F547" s="3"/>
    </row>
    <row r="548" spans="6:6" ht="15.75">
      <c r="F548" s="3"/>
    </row>
    <row r="549" spans="6:6" ht="15.75">
      <c r="F549" s="3"/>
    </row>
    <row r="550" spans="6:6" ht="15.75">
      <c r="F550" s="3"/>
    </row>
    <row r="551" spans="6:6" ht="15.75">
      <c r="F551" s="3"/>
    </row>
    <row r="552" spans="6:6" ht="15.75">
      <c r="F552" s="3"/>
    </row>
    <row r="553" spans="6:6" ht="15.75">
      <c r="F553" s="3"/>
    </row>
    <row r="554" spans="6:6" ht="15.75">
      <c r="F554" s="3"/>
    </row>
    <row r="555" spans="6:6" ht="15.75">
      <c r="F555" s="3"/>
    </row>
    <row r="556" spans="6:6" ht="15.75">
      <c r="F556" s="3"/>
    </row>
    <row r="557" spans="6:6" ht="15.75">
      <c r="F557" s="3"/>
    </row>
    <row r="558" spans="6:6" ht="15.75">
      <c r="F558" s="3"/>
    </row>
    <row r="559" spans="6:6" ht="15.75">
      <c r="F559" s="3"/>
    </row>
    <row r="560" spans="6:6" ht="15.75">
      <c r="F560" s="3"/>
    </row>
    <row r="561" spans="6:6" ht="15.75">
      <c r="F561" s="3"/>
    </row>
    <row r="562" spans="6:6" ht="15.75">
      <c r="F562" s="3"/>
    </row>
    <row r="563" spans="6:6" ht="15.75">
      <c r="F563" s="3"/>
    </row>
    <row r="564" spans="6:6" ht="15.75">
      <c r="F564" s="3"/>
    </row>
    <row r="565" spans="6:6" ht="15.75">
      <c r="F565" s="3"/>
    </row>
    <row r="566" spans="6:6" ht="15.75">
      <c r="F566" s="3"/>
    </row>
    <row r="567" spans="6:6" ht="15.75">
      <c r="F567" s="3"/>
    </row>
    <row r="568" spans="6:6" ht="15.75">
      <c r="F568" s="3"/>
    </row>
  </sheetData>
  <phoneticPr fontId="0" type="noConversion"/>
  <pageMargins left="0.33" right="0.33" top="0.5" bottom="0.5" header="0.5" footer="0.5"/>
  <pageSetup scale="65" orientation="portrait" horizontalDpi="4294967292"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
  <dimension ref="A1:N74"/>
  <sheetViews>
    <sheetView topLeftCell="A43" workbookViewId="0">
      <selection activeCell="B50" sqref="B50"/>
    </sheetView>
  </sheetViews>
  <sheetFormatPr defaultRowHeight="12.75"/>
  <cols>
    <col min="1" max="1" width="42.42578125" customWidth="1"/>
    <col min="2" max="2" width="32.140625" customWidth="1"/>
    <col min="3" max="4" width="9.7109375" bestFit="1" customWidth="1"/>
    <col min="6" max="6" width="9.7109375" bestFit="1" customWidth="1"/>
    <col min="9" max="9" width="9.7109375" bestFit="1" customWidth="1"/>
    <col min="11" max="11" width="9.7109375" bestFit="1" customWidth="1"/>
    <col min="14" max="14" width="9.7109375" bestFit="1" customWidth="1"/>
  </cols>
  <sheetData>
    <row r="1" spans="1:9">
      <c r="B1" s="28"/>
    </row>
    <row r="2" spans="1:9">
      <c r="B2" s="28" t="s">
        <v>890</v>
      </c>
    </row>
    <row r="3" spans="1:9">
      <c r="B3" s="64" t="s">
        <v>994</v>
      </c>
    </row>
    <row r="4" spans="1:9">
      <c r="B4" s="64"/>
    </row>
    <row r="5" spans="1:9">
      <c r="B5" s="64"/>
    </row>
    <row r="6" spans="1:9">
      <c r="A6" s="167" t="s">
        <v>1165</v>
      </c>
      <c r="B6" s="167" t="s">
        <v>1166</v>
      </c>
    </row>
    <row r="7" spans="1:9">
      <c r="A7" t="s">
        <v>1167</v>
      </c>
      <c r="B7">
        <v>0</v>
      </c>
      <c r="F7">
        <v>3999334.39</v>
      </c>
    </row>
    <row r="8" spans="1:9">
      <c r="A8" t="s">
        <v>1167</v>
      </c>
      <c r="B8">
        <v>0</v>
      </c>
      <c r="F8">
        <v>2900</v>
      </c>
    </row>
    <row r="9" spans="1:9">
      <c r="A9" t="s">
        <v>1167</v>
      </c>
      <c r="B9">
        <v>0</v>
      </c>
      <c r="F9">
        <f>SUM(F7:F8)</f>
        <v>4002234.39</v>
      </c>
    </row>
    <row r="10" spans="1:9">
      <c r="A10" t="s">
        <v>477</v>
      </c>
      <c r="B10">
        <v>0</v>
      </c>
    </row>
    <row r="11" spans="1:9">
      <c r="A11" t="s">
        <v>1167</v>
      </c>
      <c r="B11">
        <v>0</v>
      </c>
      <c r="I11">
        <v>2082436.73</v>
      </c>
    </row>
    <row r="12" spans="1:9">
      <c r="A12" t="s">
        <v>1167</v>
      </c>
      <c r="B12">
        <v>0</v>
      </c>
      <c r="F12">
        <v>142254.26999999999</v>
      </c>
      <c r="I12">
        <v>42955.040000000001</v>
      </c>
    </row>
    <row r="13" spans="1:9">
      <c r="A13" t="s">
        <v>1167</v>
      </c>
      <c r="B13">
        <v>0</v>
      </c>
      <c r="F13">
        <v>24472.06</v>
      </c>
      <c r="I13">
        <v>21850.67</v>
      </c>
    </row>
    <row r="14" spans="1:9">
      <c r="A14" t="s">
        <v>1167</v>
      </c>
      <c r="B14">
        <v>0</v>
      </c>
      <c r="F14">
        <v>6673.13</v>
      </c>
      <c r="I14">
        <v>737430.8</v>
      </c>
    </row>
    <row r="15" spans="1:9">
      <c r="A15" t="s">
        <v>1167</v>
      </c>
      <c r="B15">
        <v>0</v>
      </c>
      <c r="F15">
        <v>459547.41</v>
      </c>
      <c r="I15" t="s">
        <v>16</v>
      </c>
    </row>
    <row r="16" spans="1:9">
      <c r="A16" t="s">
        <v>937</v>
      </c>
      <c r="B16">
        <v>0</v>
      </c>
      <c r="F16">
        <v>13.03</v>
      </c>
      <c r="I16">
        <v>54.84</v>
      </c>
    </row>
    <row r="17" spans="1:14">
      <c r="A17" t="s">
        <v>487</v>
      </c>
      <c r="B17">
        <v>0</v>
      </c>
      <c r="D17" s="851"/>
      <c r="F17">
        <v>68.06</v>
      </c>
      <c r="I17" t="s">
        <v>16</v>
      </c>
    </row>
    <row r="18" spans="1:14">
      <c r="A18" t="s">
        <v>488</v>
      </c>
      <c r="B18" s="146">
        <f>10896659+1</f>
        <v>10896660</v>
      </c>
      <c r="D18" s="146"/>
      <c r="F18" t="s">
        <v>16</v>
      </c>
      <c r="I18">
        <v>40</v>
      </c>
      <c r="K18" s="1001">
        <f>4768731-1</f>
        <v>4768730</v>
      </c>
      <c r="L18">
        <f>+Table_Query_from_HTEDTA210[[#This Row],[ERC002]]-K18</f>
        <v>6127930</v>
      </c>
      <c r="N18" s="1001">
        <v>4631942</v>
      </c>
    </row>
    <row r="19" spans="1:14">
      <c r="A19" t="s">
        <v>489</v>
      </c>
      <c r="B19">
        <v>0</v>
      </c>
      <c r="F19">
        <v>226</v>
      </c>
      <c r="I19">
        <v>50</v>
      </c>
      <c r="K19" s="1000">
        <v>0</v>
      </c>
      <c r="L19">
        <f>+Table_Query_from_HTEDTA210[[#This Row],[ERC002]]-K19</f>
        <v>0</v>
      </c>
      <c r="N19" s="1000">
        <v>0</v>
      </c>
    </row>
    <row r="20" spans="1:14">
      <c r="A20" t="s">
        <v>490</v>
      </c>
      <c r="B20">
        <v>0</v>
      </c>
      <c r="F20">
        <v>50</v>
      </c>
      <c r="I20">
        <f>SUM(I11:I19)</f>
        <v>2884818.08</v>
      </c>
      <c r="K20" s="1001">
        <v>0</v>
      </c>
      <c r="L20">
        <f>+Table_Query_from_HTEDTA210[[#This Row],[ERC002]]-K20</f>
        <v>0</v>
      </c>
      <c r="N20" s="1001">
        <v>0</v>
      </c>
    </row>
    <row r="21" spans="1:14">
      <c r="A21" t="s">
        <v>491</v>
      </c>
      <c r="B21">
        <v>148023</v>
      </c>
      <c r="F21">
        <f>SUM(F12:F20)</f>
        <v>633303.96000000008</v>
      </c>
      <c r="K21" s="1000">
        <v>156960</v>
      </c>
      <c r="L21">
        <f>+Table_Query_from_HTEDTA210[[#This Row],[ERC002]]-K21</f>
        <v>-8937</v>
      </c>
      <c r="N21" s="1000">
        <v>156960</v>
      </c>
    </row>
    <row r="22" spans="1:14">
      <c r="A22" t="s">
        <v>492</v>
      </c>
      <c r="B22">
        <v>0</v>
      </c>
      <c r="K22" s="1001">
        <v>0</v>
      </c>
      <c r="L22">
        <f>+Table_Query_from_HTEDTA210[[#This Row],[ERC002]]-K22</f>
        <v>0</v>
      </c>
      <c r="N22" s="1001">
        <v>0</v>
      </c>
    </row>
    <row r="23" spans="1:14">
      <c r="A23" t="s">
        <v>493</v>
      </c>
      <c r="B23">
        <v>11487</v>
      </c>
      <c r="K23" s="1000">
        <v>1883062</v>
      </c>
      <c r="L23">
        <f>+Table_Query_from_HTEDTA210[[#This Row],[ERC002]]-K23</f>
        <v>-1871575</v>
      </c>
      <c r="N23" s="1000">
        <v>2019852</v>
      </c>
    </row>
    <row r="24" spans="1:14">
      <c r="A24" t="s">
        <v>1089</v>
      </c>
      <c r="B24" s="146">
        <f>701024</f>
        <v>701024</v>
      </c>
      <c r="K24" s="1001">
        <v>0</v>
      </c>
      <c r="L24">
        <f>+Table_Query_from_HTEDTA210[[#This Row],[ERC002]]-K24</f>
        <v>701024</v>
      </c>
      <c r="N24" s="1001">
        <v>0</v>
      </c>
    </row>
    <row r="25" spans="1:14">
      <c r="A25" t="s">
        <v>1090</v>
      </c>
      <c r="B25">
        <v>0</v>
      </c>
      <c r="K25" s="1000">
        <v>0</v>
      </c>
      <c r="L25">
        <f>+Table_Query_from_HTEDTA210[[#This Row],[ERC002]]-K25</f>
        <v>0</v>
      </c>
      <c r="N25" s="1000">
        <v>0</v>
      </c>
    </row>
    <row r="26" spans="1:14">
      <c r="A26" t="s">
        <v>1299</v>
      </c>
      <c r="B26">
        <v>0</v>
      </c>
      <c r="K26" s="1001">
        <v>0</v>
      </c>
      <c r="L26">
        <f>+Table_Query_from_HTEDTA210[[#This Row],[ERC002]]-K26</f>
        <v>0</v>
      </c>
      <c r="N26" s="1001">
        <v>0</v>
      </c>
    </row>
    <row r="27" spans="1:14">
      <c r="A27" t="s">
        <v>342</v>
      </c>
      <c r="B27">
        <v>0</v>
      </c>
      <c r="K27" s="1000">
        <v>0</v>
      </c>
      <c r="L27">
        <f>+Table_Query_from_HTEDTA210[[#This Row],[ERC002]]-K27</f>
        <v>0</v>
      </c>
      <c r="N27" s="1000">
        <v>0</v>
      </c>
    </row>
    <row r="28" spans="1:14">
      <c r="A28" t="s">
        <v>1300</v>
      </c>
      <c r="B28">
        <v>0</v>
      </c>
      <c r="K28" s="1001">
        <v>0</v>
      </c>
      <c r="L28">
        <f>+Table_Query_from_HTEDTA210[[#This Row],[ERC002]]-K28</f>
        <v>0</v>
      </c>
      <c r="N28" s="1001">
        <v>0</v>
      </c>
    </row>
    <row r="29" spans="1:14">
      <c r="A29" t="s">
        <v>488</v>
      </c>
      <c r="B29">
        <v>0</v>
      </c>
      <c r="D29">
        <f>+Table_Query_from_HTEDTA210[[#This Row],[ERC002]]+B18</f>
        <v>10896660</v>
      </c>
      <c r="K29" s="1000">
        <v>0</v>
      </c>
      <c r="L29">
        <f>+Table_Query_from_HTEDTA210[[#This Row],[ERC002]]-K29</f>
        <v>0</v>
      </c>
      <c r="N29" s="1000">
        <v>0</v>
      </c>
    </row>
    <row r="30" spans="1:14">
      <c r="A30" t="s">
        <v>489</v>
      </c>
      <c r="B30">
        <v>0</v>
      </c>
      <c r="K30" s="1001">
        <v>0</v>
      </c>
      <c r="L30">
        <f>+Table_Query_from_HTEDTA210[[#This Row],[ERC002]]-K30</f>
        <v>0</v>
      </c>
      <c r="N30" s="1001">
        <v>0</v>
      </c>
    </row>
    <row r="31" spans="1:14">
      <c r="A31" t="s">
        <v>1301</v>
      </c>
      <c r="B31">
        <v>0</v>
      </c>
      <c r="K31" s="1000">
        <v>0</v>
      </c>
      <c r="L31">
        <f>+Table_Query_from_HTEDTA210[[#This Row],[ERC002]]-K31</f>
        <v>0</v>
      </c>
      <c r="N31" s="1000">
        <v>0</v>
      </c>
    </row>
    <row r="32" spans="1:14">
      <c r="A32" t="s">
        <v>1302</v>
      </c>
      <c r="B32">
        <v>0</v>
      </c>
      <c r="K32" s="1001">
        <v>650917</v>
      </c>
      <c r="L32">
        <f>+Table_Query_from_HTEDTA210[[#This Row],[ERC002]]-K32</f>
        <v>-650917</v>
      </c>
      <c r="N32" s="1001">
        <v>787706</v>
      </c>
    </row>
    <row r="33" spans="1:14">
      <c r="A33" t="s">
        <v>1303</v>
      </c>
      <c r="B33">
        <v>0</v>
      </c>
      <c r="K33" s="1000">
        <v>0</v>
      </c>
      <c r="L33">
        <f>+Table_Query_from_HTEDTA210[[#This Row],[ERC002]]-K33</f>
        <v>0</v>
      </c>
      <c r="N33" s="1000">
        <v>0</v>
      </c>
    </row>
    <row r="34" spans="1:14">
      <c r="A34" t="s">
        <v>1219</v>
      </c>
      <c r="B34">
        <v>0</v>
      </c>
      <c r="K34" s="1001">
        <v>0</v>
      </c>
      <c r="L34">
        <f>+Table_Query_from_HTEDTA210[[#This Row],[ERC002]]-K34</f>
        <v>0</v>
      </c>
      <c r="N34" s="1001">
        <v>0</v>
      </c>
    </row>
    <row r="35" spans="1:14">
      <c r="A35" t="s">
        <v>1305</v>
      </c>
      <c r="B35">
        <v>0</v>
      </c>
      <c r="K35" s="1000">
        <v>0</v>
      </c>
      <c r="L35">
        <f>+Table_Query_from_HTEDTA210[[#This Row],[ERC002]]-K35</f>
        <v>0</v>
      </c>
      <c r="N35" s="1000">
        <v>0</v>
      </c>
    </row>
    <row r="36" spans="1:14">
      <c r="A36" t="s">
        <v>1306</v>
      </c>
      <c r="B36">
        <v>0</v>
      </c>
      <c r="K36" s="1001">
        <v>0</v>
      </c>
      <c r="L36">
        <f>+Table_Query_from_HTEDTA210[[#This Row],[ERC002]]-K36</f>
        <v>0</v>
      </c>
      <c r="N36" s="1001">
        <v>0</v>
      </c>
    </row>
    <row r="37" spans="1:14">
      <c r="A37" t="s">
        <v>872</v>
      </c>
      <c r="B37">
        <v>0</v>
      </c>
      <c r="K37" s="1000">
        <v>0</v>
      </c>
      <c r="N37" s="1000">
        <v>0</v>
      </c>
    </row>
    <row r="38" spans="1:14">
      <c r="A38" t="s">
        <v>1367</v>
      </c>
      <c r="B38">
        <v>0</v>
      </c>
      <c r="K38" s="1001">
        <v>0</v>
      </c>
      <c r="N38" s="1001">
        <v>0</v>
      </c>
    </row>
    <row r="39" spans="1:14">
      <c r="A39" t="s">
        <v>448</v>
      </c>
      <c r="B39">
        <v>0</v>
      </c>
      <c r="K39" s="1000">
        <v>0</v>
      </c>
      <c r="N39" s="1000">
        <v>0</v>
      </c>
    </row>
    <row r="40" spans="1:14">
      <c r="A40" t="s">
        <v>449</v>
      </c>
      <c r="B40">
        <v>0</v>
      </c>
      <c r="K40" s="1001">
        <v>0</v>
      </c>
      <c r="N40" s="1001">
        <v>0</v>
      </c>
    </row>
    <row r="41" spans="1:14">
      <c r="A41" t="s">
        <v>450</v>
      </c>
      <c r="B41">
        <v>0</v>
      </c>
      <c r="K41" s="1000">
        <v>0</v>
      </c>
      <c r="N41" s="1000">
        <v>0</v>
      </c>
    </row>
    <row r="42" spans="1:14">
      <c r="A42" t="s">
        <v>451</v>
      </c>
      <c r="B42">
        <v>0</v>
      </c>
      <c r="K42" s="1001">
        <v>0</v>
      </c>
      <c r="N42" s="1001">
        <v>0</v>
      </c>
    </row>
    <row r="43" spans="1:14">
      <c r="A43" t="s">
        <v>254</v>
      </c>
      <c r="B43">
        <v>11757193</v>
      </c>
      <c r="K43" s="1000">
        <v>7459670</v>
      </c>
      <c r="N43" s="1000">
        <v>7596460</v>
      </c>
    </row>
    <row r="44" spans="1:14">
      <c r="A44" t="s">
        <v>1167</v>
      </c>
      <c r="B44">
        <v>0</v>
      </c>
      <c r="K44" s="1001">
        <v>0</v>
      </c>
      <c r="N44" s="1001">
        <v>0</v>
      </c>
    </row>
    <row r="45" spans="1:14">
      <c r="A45" t="s">
        <v>597</v>
      </c>
      <c r="B45">
        <v>0</v>
      </c>
      <c r="K45" s="1000">
        <v>0</v>
      </c>
      <c r="N45" s="1000">
        <v>0</v>
      </c>
    </row>
    <row r="46" spans="1:14">
      <c r="A46" t="s">
        <v>987</v>
      </c>
      <c r="B46">
        <v>0</v>
      </c>
      <c r="K46" s="1001">
        <v>0</v>
      </c>
      <c r="N46" s="1001">
        <v>0</v>
      </c>
    </row>
    <row r="47" spans="1:14">
      <c r="A47" t="s">
        <v>643</v>
      </c>
      <c r="B47">
        <v>0</v>
      </c>
      <c r="K47" s="1000">
        <v>0</v>
      </c>
      <c r="N47" s="1000">
        <v>0</v>
      </c>
    </row>
    <row r="48" spans="1:14">
      <c r="A48" t="s">
        <v>452</v>
      </c>
      <c r="B48" s="211">
        <v>0</v>
      </c>
      <c r="K48" s="1001">
        <v>41</v>
      </c>
      <c r="N48" s="1001">
        <v>41</v>
      </c>
    </row>
    <row r="49" spans="1:14">
      <c r="A49" t="s">
        <v>648</v>
      </c>
      <c r="B49">
        <v>0</v>
      </c>
      <c r="K49" s="1000">
        <v>0</v>
      </c>
      <c r="N49" s="1000">
        <v>0</v>
      </c>
    </row>
    <row r="50" spans="1:14">
      <c r="A50" t="s">
        <v>649</v>
      </c>
      <c r="B50" s="211">
        <v>388366</v>
      </c>
      <c r="C50" s="211" t="s">
        <v>3315</v>
      </c>
      <c r="K50" s="1001">
        <v>0</v>
      </c>
      <c r="N50" s="1001">
        <v>0</v>
      </c>
    </row>
    <row r="51" spans="1:14">
      <c r="A51" t="s">
        <v>453</v>
      </c>
      <c r="B51" s="987">
        <f>0+110000</f>
        <v>110000</v>
      </c>
      <c r="K51" s="1000">
        <v>0</v>
      </c>
      <c r="N51" s="1000">
        <v>0</v>
      </c>
    </row>
    <row r="52" spans="1:14">
      <c r="A52" t="s">
        <v>1085</v>
      </c>
      <c r="B52" s="987">
        <f>148023+866404</f>
        <v>1014427</v>
      </c>
      <c r="C52">
        <f>+B52-B21</f>
        <v>866404</v>
      </c>
      <c r="K52" s="1001">
        <v>258806</v>
      </c>
      <c r="N52" s="1001">
        <v>258806</v>
      </c>
    </row>
    <row r="53" spans="1:14">
      <c r="A53" t="s">
        <v>650</v>
      </c>
      <c r="B53">
        <v>0</v>
      </c>
      <c r="K53" s="1000">
        <v>0</v>
      </c>
      <c r="N53" s="1000">
        <v>0</v>
      </c>
    </row>
    <row r="54" spans="1:14">
      <c r="A54" t="s">
        <v>651</v>
      </c>
      <c r="B54">
        <v>0</v>
      </c>
      <c r="K54" s="1001">
        <v>0</v>
      </c>
      <c r="N54" s="1001">
        <v>0</v>
      </c>
    </row>
    <row r="55" spans="1:14">
      <c r="A55" t="s">
        <v>652</v>
      </c>
      <c r="B55">
        <v>0</v>
      </c>
      <c r="K55" s="1000">
        <v>0</v>
      </c>
      <c r="N55" s="1000">
        <v>0</v>
      </c>
    </row>
    <row r="56" spans="1:14">
      <c r="A56" t="s">
        <v>653</v>
      </c>
      <c r="B56">
        <v>0</v>
      </c>
      <c r="K56" s="1001">
        <v>0</v>
      </c>
      <c r="N56" s="1001">
        <v>0</v>
      </c>
    </row>
    <row r="57" spans="1:14">
      <c r="A57" t="s">
        <v>455</v>
      </c>
      <c r="B57">
        <v>0</v>
      </c>
      <c r="K57" s="1000">
        <v>0</v>
      </c>
      <c r="N57" s="1000">
        <v>0</v>
      </c>
    </row>
    <row r="58" spans="1:14">
      <c r="A58" t="s">
        <v>654</v>
      </c>
      <c r="B58">
        <v>0</v>
      </c>
      <c r="D58" s="168" t="s">
        <v>1763</v>
      </c>
      <c r="K58" s="1001">
        <v>0</v>
      </c>
      <c r="N58" s="1001">
        <v>0</v>
      </c>
    </row>
    <row r="59" spans="1:14">
      <c r="A59" t="s">
        <v>655</v>
      </c>
      <c r="B59">
        <v>0</v>
      </c>
      <c r="K59" s="1000">
        <v>0</v>
      </c>
      <c r="N59" s="1000">
        <v>0</v>
      </c>
    </row>
    <row r="60" spans="1:14">
      <c r="A60" t="s">
        <v>656</v>
      </c>
      <c r="B60">
        <v>0</v>
      </c>
      <c r="K60" s="1001">
        <v>0</v>
      </c>
      <c r="N60" s="1001">
        <v>0</v>
      </c>
    </row>
    <row r="61" spans="1:14">
      <c r="A61" t="s">
        <v>657</v>
      </c>
      <c r="B61">
        <v>0</v>
      </c>
      <c r="K61" s="1000">
        <v>0</v>
      </c>
      <c r="N61" s="1000">
        <v>0</v>
      </c>
    </row>
    <row r="62" spans="1:14">
      <c r="A62" t="s">
        <v>651</v>
      </c>
      <c r="B62">
        <v>0</v>
      </c>
      <c r="K62" s="1001">
        <v>0</v>
      </c>
      <c r="N62" s="1001">
        <v>0</v>
      </c>
    </row>
    <row r="63" spans="1:14">
      <c r="A63" t="s">
        <v>658</v>
      </c>
      <c r="B63">
        <v>0</v>
      </c>
      <c r="K63" s="1000">
        <v>0</v>
      </c>
      <c r="N63" s="1000">
        <v>0</v>
      </c>
    </row>
    <row r="64" spans="1:14">
      <c r="A64" t="s">
        <v>659</v>
      </c>
      <c r="B64">
        <v>0</v>
      </c>
      <c r="K64" s="1001">
        <v>0</v>
      </c>
      <c r="N64" s="1001">
        <v>0</v>
      </c>
    </row>
    <row r="65" spans="1:14">
      <c r="A65" t="s">
        <v>805</v>
      </c>
      <c r="B65">
        <v>0</v>
      </c>
      <c r="K65" s="1000">
        <v>0</v>
      </c>
      <c r="N65" s="1000">
        <v>0</v>
      </c>
    </row>
    <row r="66" spans="1:14">
      <c r="A66" t="s">
        <v>1167</v>
      </c>
      <c r="B66">
        <v>0</v>
      </c>
      <c r="K66" s="1001">
        <v>0</v>
      </c>
      <c r="N66" s="1001">
        <v>0</v>
      </c>
    </row>
    <row r="67" spans="1:14">
      <c r="A67" t="s">
        <v>456</v>
      </c>
      <c r="B67">
        <v>148023</v>
      </c>
      <c r="K67" s="1000">
        <v>258847</v>
      </c>
      <c r="N67" s="1000">
        <v>258847</v>
      </c>
    </row>
    <row r="68" spans="1:14">
      <c r="A68" t="s">
        <v>1167</v>
      </c>
      <c r="B68">
        <v>0</v>
      </c>
      <c r="K68" s="1001">
        <v>0</v>
      </c>
      <c r="N68" s="1001">
        <v>0</v>
      </c>
    </row>
    <row r="69" spans="1:14">
      <c r="A69" t="s">
        <v>457</v>
      </c>
      <c r="B69">
        <v>0</v>
      </c>
      <c r="D69" s="851"/>
      <c r="K69" s="1000">
        <v>0</v>
      </c>
      <c r="N69" s="1000">
        <v>0</v>
      </c>
    </row>
    <row r="70" spans="1:14">
      <c r="A70" t="s">
        <v>458</v>
      </c>
      <c r="B70" s="211">
        <f>11604075-388366+5095-866404-110000</f>
        <v>10244400</v>
      </c>
      <c r="C70" s="211" t="s">
        <v>3315</v>
      </c>
      <c r="K70" s="1002">
        <v>7200823</v>
      </c>
      <c r="N70" s="1002">
        <v>7200823</v>
      </c>
    </row>
    <row r="71" spans="1:14">
      <c r="A71" t="s">
        <v>1167</v>
      </c>
      <c r="B71">
        <v>0</v>
      </c>
      <c r="C71" s="211" t="s">
        <v>3317</v>
      </c>
      <c r="K71" s="1000">
        <v>0</v>
      </c>
      <c r="N71" s="1000">
        <v>0</v>
      </c>
    </row>
    <row r="72" spans="1:14">
      <c r="A72" t="s">
        <v>459</v>
      </c>
      <c r="B72">
        <v>11604075</v>
      </c>
      <c r="C72" s="211" t="s">
        <v>3318</v>
      </c>
      <c r="K72" s="1001">
        <v>7200823</v>
      </c>
      <c r="N72" s="1001">
        <v>7200823</v>
      </c>
    </row>
    <row r="73" spans="1:14">
      <c r="A73" t="s">
        <v>1167</v>
      </c>
      <c r="B73">
        <v>0</v>
      </c>
      <c r="K73" s="1000">
        <v>0</v>
      </c>
      <c r="N73" s="1000">
        <v>0</v>
      </c>
    </row>
    <row r="74" spans="1:14">
      <c r="A74" t="s">
        <v>460</v>
      </c>
      <c r="B74">
        <v>11752098</v>
      </c>
      <c r="K74" s="1003">
        <v>7459670</v>
      </c>
      <c r="N74" s="1003">
        <v>7459670</v>
      </c>
    </row>
  </sheetData>
  <phoneticPr fontId="0" type="noConversion"/>
  <pageMargins left="0.75" right="0.75" top="1" bottom="1" header="0.5" footer="0.5"/>
  <pageSetup orientation="portrait" r:id="rId1"/>
  <headerFooter alignWithMargins="0"/>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ransitionEvaluation="1" codeName="Sheet5"/>
  <dimension ref="A1:X189"/>
  <sheetViews>
    <sheetView topLeftCell="C1" zoomScaleNormal="68" workbookViewId="0">
      <pane xSplit="1" ySplit="4" topLeftCell="D29" activePane="bottomRight" state="frozen"/>
      <selection activeCell="B50" sqref="B50"/>
      <selection pane="topRight" activeCell="B50" sqref="B50"/>
      <selection pane="bottomLeft" activeCell="B50" sqref="B50"/>
      <selection pane="bottomRight" activeCell="F33" sqref="F33:F45"/>
    </sheetView>
  </sheetViews>
  <sheetFormatPr defaultColWidth="9.7109375" defaultRowHeight="12.75"/>
  <cols>
    <col min="1" max="1" width="3" customWidth="1"/>
    <col min="2" max="2" width="28.28515625" style="23" bestFit="1" customWidth="1"/>
    <col min="3" max="3" width="30.28515625" customWidth="1"/>
    <col min="4" max="4" width="12.28515625" bestFit="1" customWidth="1"/>
    <col min="5" max="5" width="10.7109375" bestFit="1" customWidth="1"/>
    <col min="6" max="6" width="19.140625" customWidth="1"/>
    <col min="7" max="7" width="15.7109375" customWidth="1"/>
    <col min="8" max="8" width="37.140625" bestFit="1" customWidth="1"/>
    <col min="9" max="9" width="10.42578125" bestFit="1" customWidth="1"/>
    <col min="12" max="12" width="9.7109375" customWidth="1"/>
    <col min="22" max="23" width="10.7109375" bestFit="1" customWidth="1"/>
  </cols>
  <sheetData>
    <row r="1" spans="2:24" ht="15.75">
      <c r="D1" s="25"/>
      <c r="E1" s="25"/>
      <c r="F1" s="25"/>
    </row>
    <row r="2" spans="2:24" ht="15.75">
      <c r="D2" s="19" t="s">
        <v>290</v>
      </c>
      <c r="E2" s="19"/>
      <c r="F2" s="3"/>
    </row>
    <row r="3" spans="2:24" ht="15.75">
      <c r="D3" s="3"/>
      <c r="E3" s="3"/>
      <c r="F3" s="3"/>
    </row>
    <row r="4" spans="2:24" ht="15.75">
      <c r="D4" s="16" t="s">
        <v>857</v>
      </c>
      <c r="E4" s="16" t="s">
        <v>414</v>
      </c>
      <c r="F4" s="16" t="s">
        <v>858</v>
      </c>
    </row>
    <row r="5" spans="2:24">
      <c r="C5" s="22" t="s">
        <v>1165</v>
      </c>
      <c r="D5" s="22" t="s">
        <v>1166</v>
      </c>
      <c r="E5" s="22" t="s">
        <v>599</v>
      </c>
      <c r="F5" s="22" t="s">
        <v>600</v>
      </c>
    </row>
    <row r="6" spans="2:24">
      <c r="C6" t="s">
        <v>1167</v>
      </c>
      <c r="D6">
        <v>0</v>
      </c>
      <c r="E6">
        <v>0</v>
      </c>
      <c r="F6">
        <v>0</v>
      </c>
    </row>
    <row r="7" spans="2:24">
      <c r="C7" t="s">
        <v>1167</v>
      </c>
      <c r="D7">
        <v>0</v>
      </c>
      <c r="E7">
        <v>0</v>
      </c>
      <c r="F7">
        <v>0</v>
      </c>
    </row>
    <row r="8" spans="2:24">
      <c r="C8" t="s">
        <v>1049</v>
      </c>
      <c r="D8">
        <v>0</v>
      </c>
      <c r="E8">
        <v>0</v>
      </c>
      <c r="F8">
        <v>0</v>
      </c>
    </row>
    <row r="9" spans="2:24">
      <c r="C9" t="s">
        <v>2893</v>
      </c>
      <c r="D9">
        <v>0</v>
      </c>
      <c r="E9">
        <v>0</v>
      </c>
      <c r="F9">
        <v>0</v>
      </c>
    </row>
    <row r="10" spans="2:24">
      <c r="C10" t="s">
        <v>2894</v>
      </c>
      <c r="D10">
        <v>0</v>
      </c>
      <c r="E10">
        <v>0</v>
      </c>
      <c r="F10">
        <v>0</v>
      </c>
    </row>
    <row r="11" spans="2:24">
      <c r="C11" t="s">
        <v>1362</v>
      </c>
      <c r="D11">
        <v>0</v>
      </c>
      <c r="E11">
        <v>0</v>
      </c>
      <c r="F11">
        <v>0</v>
      </c>
    </row>
    <row r="12" spans="2:24">
      <c r="C12" t="s">
        <v>2895</v>
      </c>
      <c r="D12">
        <v>0</v>
      </c>
      <c r="E12">
        <v>0</v>
      </c>
      <c r="F12">
        <v>0</v>
      </c>
    </row>
    <row r="13" spans="2:24">
      <c r="C13" t="s">
        <v>2896</v>
      </c>
      <c r="D13">
        <v>0</v>
      </c>
      <c r="E13">
        <v>0</v>
      </c>
      <c r="F13">
        <v>0</v>
      </c>
      <c r="Q13">
        <v>31</v>
      </c>
      <c r="R13">
        <v>7846980</v>
      </c>
      <c r="T13">
        <v>922356</v>
      </c>
      <c r="V13">
        <f>+R13+T13</f>
        <v>8769336</v>
      </c>
      <c r="W13">
        <f>+F21</f>
        <v>8769336</v>
      </c>
      <c r="X13">
        <f>+W13-V13</f>
        <v>0</v>
      </c>
    </row>
    <row r="14" spans="2:24">
      <c r="C14" t="s">
        <v>1167</v>
      </c>
      <c r="D14">
        <v>0</v>
      </c>
      <c r="E14">
        <v>0</v>
      </c>
      <c r="F14">
        <v>0</v>
      </c>
      <c r="J14">
        <v>5667797.5800000001</v>
      </c>
      <c r="Q14">
        <v>32</v>
      </c>
      <c r="R14">
        <v>246726</v>
      </c>
      <c r="V14">
        <f t="shared" ref="V14:V20" si="0">+R14+T14</f>
        <v>246726</v>
      </c>
      <c r="W14">
        <f>+F28</f>
        <v>264726</v>
      </c>
      <c r="X14">
        <f t="shared" ref="X14:X21" si="1">+W14-V14</f>
        <v>18000</v>
      </c>
    </row>
    <row r="15" spans="2:24">
      <c r="C15" t="s">
        <v>596</v>
      </c>
      <c r="D15">
        <v>0</v>
      </c>
      <c r="E15">
        <v>0</v>
      </c>
      <c r="F15">
        <v>0</v>
      </c>
      <c r="J15">
        <v>170352.53</v>
      </c>
      <c r="L15">
        <v>664042.13</v>
      </c>
      <c r="M15" t="s">
        <v>3327</v>
      </c>
      <c r="Q15">
        <v>33</v>
      </c>
      <c r="R15">
        <v>3753583</v>
      </c>
      <c r="T15">
        <v>38522</v>
      </c>
      <c r="V15">
        <f t="shared" si="0"/>
        <v>3792105</v>
      </c>
      <c r="W15">
        <f>+F47</f>
        <v>3790105</v>
      </c>
      <c r="X15">
        <f t="shared" si="1"/>
        <v>-2000</v>
      </c>
    </row>
    <row r="16" spans="2:24">
      <c r="B16" s="28" t="s">
        <v>226</v>
      </c>
      <c r="C16" t="s">
        <v>1151</v>
      </c>
      <c r="D16">
        <v>0</v>
      </c>
      <c r="E16">
        <v>0</v>
      </c>
      <c r="F16">
        <v>0</v>
      </c>
      <c r="J16">
        <v>9326.14</v>
      </c>
      <c r="L16">
        <v>148017.69</v>
      </c>
      <c r="M16" t="s">
        <v>3328</v>
      </c>
      <c r="Q16">
        <v>34</v>
      </c>
      <c r="R16">
        <v>1289264</v>
      </c>
      <c r="V16">
        <f t="shared" si="0"/>
        <v>1289264</v>
      </c>
      <c r="W16">
        <f>+F63</f>
        <v>1286820</v>
      </c>
      <c r="X16">
        <f t="shared" si="1"/>
        <v>-2444</v>
      </c>
    </row>
    <row r="17" spans="2:24">
      <c r="B17" s="23" t="s">
        <v>227</v>
      </c>
      <c r="C17" t="s">
        <v>1152</v>
      </c>
      <c r="D17">
        <v>5747773</v>
      </c>
      <c r="E17">
        <v>5747773</v>
      </c>
      <c r="F17">
        <v>5997139</v>
      </c>
      <c r="J17">
        <v>1036647</v>
      </c>
      <c r="L17">
        <v>110296.09</v>
      </c>
      <c r="M17" t="s">
        <v>3329</v>
      </c>
      <c r="Q17">
        <v>35</v>
      </c>
      <c r="R17">
        <v>36199</v>
      </c>
      <c r="V17">
        <f t="shared" si="0"/>
        <v>36199</v>
      </c>
      <c r="X17">
        <f t="shared" si="1"/>
        <v>-36199</v>
      </c>
    </row>
    <row r="18" spans="2:24">
      <c r="B18" s="23" t="s">
        <v>1335</v>
      </c>
      <c r="C18" t="s">
        <v>1153</v>
      </c>
      <c r="D18">
        <v>1036647</v>
      </c>
      <c r="E18">
        <v>1036647</v>
      </c>
      <c r="F18" s="211">
        <f>1700689-388366</f>
        <v>1312323</v>
      </c>
      <c r="G18" s="211" t="s">
        <v>3315</v>
      </c>
      <c r="J18">
        <v>1644.65</v>
      </c>
      <c r="Q18">
        <v>36</v>
      </c>
      <c r="R18">
        <v>116090</v>
      </c>
      <c r="T18">
        <v>71702</v>
      </c>
      <c r="V18">
        <f t="shared" si="0"/>
        <v>187792</v>
      </c>
      <c r="X18">
        <f t="shared" si="1"/>
        <v>-187792</v>
      </c>
    </row>
    <row r="19" spans="2:24">
      <c r="B19" s="23" t="s">
        <v>664</v>
      </c>
      <c r="C19" t="s">
        <v>1287</v>
      </c>
      <c r="D19">
        <v>1049216</v>
      </c>
      <c r="E19">
        <v>1049216</v>
      </c>
      <c r="F19">
        <v>1071508</v>
      </c>
      <c r="J19">
        <v>961212.34</v>
      </c>
      <c r="Q19">
        <v>37</v>
      </c>
      <c r="R19">
        <v>1252244</v>
      </c>
      <c r="V19">
        <f t="shared" si="0"/>
        <v>1252244</v>
      </c>
      <c r="X19">
        <f t="shared" si="1"/>
        <v>-1252244</v>
      </c>
    </row>
    <row r="20" spans="2:24">
      <c r="C20" t="s">
        <v>1167</v>
      </c>
      <c r="D20">
        <v>0</v>
      </c>
      <c r="E20">
        <v>0</v>
      </c>
      <c r="F20">
        <v>0</v>
      </c>
      <c r="Q20">
        <v>38</v>
      </c>
      <c r="R20">
        <v>890373</v>
      </c>
      <c r="T20">
        <v>2156567</v>
      </c>
      <c r="V20">
        <f t="shared" si="0"/>
        <v>3046940</v>
      </c>
      <c r="X20">
        <f t="shared" si="1"/>
        <v>-3046940</v>
      </c>
    </row>
    <row r="21" spans="2:24">
      <c r="C21" t="s">
        <v>2897</v>
      </c>
      <c r="D21">
        <v>7833636</v>
      </c>
      <c r="E21">
        <v>7833636</v>
      </c>
      <c r="F21">
        <v>8769336</v>
      </c>
      <c r="V21">
        <f>SUM(V13:V20)</f>
        <v>18620606</v>
      </c>
      <c r="X21">
        <f t="shared" si="1"/>
        <v>-18620606</v>
      </c>
    </row>
    <row r="22" spans="2:24">
      <c r="C22" t="s">
        <v>1167</v>
      </c>
      <c r="D22">
        <v>0</v>
      </c>
      <c r="E22">
        <v>0</v>
      </c>
      <c r="F22">
        <v>0</v>
      </c>
    </row>
    <row r="23" spans="2:24">
      <c r="B23" s="28" t="s">
        <v>228</v>
      </c>
      <c r="C23" t="s">
        <v>165</v>
      </c>
      <c r="D23">
        <v>0</v>
      </c>
      <c r="E23">
        <v>0</v>
      </c>
      <c r="F23">
        <v>0</v>
      </c>
      <c r="W23">
        <f>SUM(V13:V19)</f>
        <v>15573666</v>
      </c>
    </row>
    <row r="24" spans="2:24">
      <c r="B24" s="23" t="s">
        <v>229</v>
      </c>
      <c r="C24" t="s">
        <v>166</v>
      </c>
      <c r="D24">
        <v>0</v>
      </c>
      <c r="E24">
        <v>0</v>
      </c>
      <c r="F24">
        <v>0</v>
      </c>
      <c r="W24">
        <f>+F75</f>
        <v>15587222</v>
      </c>
    </row>
    <row r="25" spans="2:24">
      <c r="B25" s="23" t="s">
        <v>230</v>
      </c>
      <c r="C25" t="s">
        <v>1023</v>
      </c>
      <c r="D25">
        <v>235000</v>
      </c>
      <c r="E25">
        <v>235000</v>
      </c>
      <c r="F25">
        <v>232102</v>
      </c>
      <c r="W25">
        <f>+W24-W23</f>
        <v>13556</v>
      </c>
    </row>
    <row r="26" spans="2:24">
      <c r="B26" s="23" t="s">
        <v>167</v>
      </c>
      <c r="C26" t="s">
        <v>1024</v>
      </c>
      <c r="D26">
        <v>22500</v>
      </c>
      <c r="E26">
        <v>22500</v>
      </c>
      <c r="F26">
        <v>32624</v>
      </c>
    </row>
    <row r="27" spans="2:24">
      <c r="C27" t="s">
        <v>1167</v>
      </c>
      <c r="D27">
        <v>0</v>
      </c>
      <c r="E27">
        <v>0</v>
      </c>
      <c r="F27">
        <v>0</v>
      </c>
    </row>
    <row r="28" spans="2:24">
      <c r="C28" t="s">
        <v>2898</v>
      </c>
      <c r="D28">
        <v>257500</v>
      </c>
      <c r="E28">
        <v>257500</v>
      </c>
      <c r="F28">
        <v>264726</v>
      </c>
    </row>
    <row r="29" spans="2:24">
      <c r="C29" t="s">
        <v>1167</v>
      </c>
      <c r="D29">
        <v>0</v>
      </c>
      <c r="E29">
        <v>0</v>
      </c>
      <c r="F29">
        <v>0</v>
      </c>
    </row>
    <row r="30" spans="2:24">
      <c r="C30" t="s">
        <v>1208</v>
      </c>
      <c r="D30">
        <v>0</v>
      </c>
      <c r="E30">
        <v>0</v>
      </c>
      <c r="F30">
        <v>0</v>
      </c>
    </row>
    <row r="31" spans="2:24">
      <c r="B31" s="28">
        <v>331</v>
      </c>
      <c r="C31" t="s">
        <v>573</v>
      </c>
      <c r="D31">
        <v>0</v>
      </c>
      <c r="E31">
        <v>0</v>
      </c>
      <c r="F31">
        <v>0</v>
      </c>
    </row>
    <row r="32" spans="2:24">
      <c r="B32" s="23" t="s">
        <v>168</v>
      </c>
      <c r="C32" t="s">
        <v>574</v>
      </c>
      <c r="D32">
        <v>72000</v>
      </c>
      <c r="E32">
        <v>72000</v>
      </c>
      <c r="F32">
        <v>0</v>
      </c>
    </row>
    <row r="33" spans="2:8">
      <c r="B33" s="23" t="s">
        <v>167</v>
      </c>
      <c r="C33" t="s">
        <v>575</v>
      </c>
      <c r="D33">
        <v>100000</v>
      </c>
      <c r="E33">
        <v>100000</v>
      </c>
      <c r="F33">
        <v>59219</v>
      </c>
    </row>
    <row r="34" spans="2:8">
      <c r="B34" s="28" t="s">
        <v>169</v>
      </c>
      <c r="C34" t="s">
        <v>1113</v>
      </c>
      <c r="D34">
        <v>0</v>
      </c>
      <c r="E34">
        <v>0</v>
      </c>
      <c r="F34">
        <v>0</v>
      </c>
    </row>
    <row r="35" spans="2:8">
      <c r="B35" s="23" t="s">
        <v>170</v>
      </c>
      <c r="C35" t="s">
        <v>1114</v>
      </c>
      <c r="D35">
        <v>0</v>
      </c>
      <c r="E35">
        <v>0</v>
      </c>
      <c r="F35">
        <v>945</v>
      </c>
    </row>
    <row r="36" spans="2:8">
      <c r="B36" s="23" t="s">
        <v>171</v>
      </c>
      <c r="C36" t="s">
        <v>1115</v>
      </c>
      <c r="D36">
        <v>1900000</v>
      </c>
      <c r="E36">
        <v>1900000</v>
      </c>
      <c r="F36" s="146">
        <v>2578575</v>
      </c>
      <c r="H36" s="168"/>
    </row>
    <row r="37" spans="2:8">
      <c r="B37" s="23" t="s">
        <v>167</v>
      </c>
      <c r="C37" t="s">
        <v>1116</v>
      </c>
      <c r="D37">
        <v>0</v>
      </c>
      <c r="E37">
        <v>0</v>
      </c>
      <c r="F37">
        <v>0</v>
      </c>
    </row>
    <row r="38" spans="2:8">
      <c r="B38" s="28">
        <v>334</v>
      </c>
      <c r="C38" t="s">
        <v>1117</v>
      </c>
      <c r="D38">
        <v>0</v>
      </c>
      <c r="E38">
        <v>0</v>
      </c>
      <c r="F38">
        <v>0</v>
      </c>
    </row>
    <row r="39" spans="2:8">
      <c r="B39" s="23" t="s">
        <v>743</v>
      </c>
      <c r="C39" t="s">
        <v>1118</v>
      </c>
      <c r="D39">
        <v>0</v>
      </c>
      <c r="E39">
        <v>0</v>
      </c>
      <c r="F39">
        <v>0</v>
      </c>
    </row>
    <row r="40" spans="2:8">
      <c r="B40" s="23" t="s">
        <v>167</v>
      </c>
      <c r="C40" t="s">
        <v>1119</v>
      </c>
      <c r="D40">
        <v>0</v>
      </c>
      <c r="E40">
        <v>0</v>
      </c>
      <c r="F40">
        <v>0</v>
      </c>
    </row>
    <row r="41" spans="2:8">
      <c r="B41" s="28">
        <v>335</v>
      </c>
      <c r="C41" t="s">
        <v>1009</v>
      </c>
      <c r="D41">
        <v>0</v>
      </c>
      <c r="E41">
        <v>0</v>
      </c>
      <c r="F41">
        <v>0</v>
      </c>
    </row>
    <row r="42" spans="2:8">
      <c r="B42" s="23" t="s">
        <v>744</v>
      </c>
      <c r="C42" t="s">
        <v>1010</v>
      </c>
      <c r="D42">
        <v>1089768</v>
      </c>
      <c r="E42">
        <v>1089768</v>
      </c>
      <c r="F42">
        <v>1128289</v>
      </c>
    </row>
    <row r="43" spans="2:8">
      <c r="B43" s="23" t="s">
        <v>745</v>
      </c>
      <c r="C43" t="s">
        <v>1143</v>
      </c>
      <c r="D43">
        <v>24000</v>
      </c>
      <c r="E43">
        <v>24000</v>
      </c>
      <c r="F43">
        <v>23077</v>
      </c>
    </row>
    <row r="44" spans="2:8">
      <c r="B44" s="23" t="s">
        <v>167</v>
      </c>
      <c r="C44" t="s">
        <v>1144</v>
      </c>
      <c r="D44">
        <v>0</v>
      </c>
      <c r="E44">
        <v>0</v>
      </c>
      <c r="F44">
        <v>0</v>
      </c>
    </row>
    <row r="45" spans="2:8">
      <c r="C45" t="s">
        <v>2899</v>
      </c>
      <c r="D45">
        <v>0</v>
      </c>
      <c r="E45">
        <v>0</v>
      </c>
      <c r="F45">
        <v>2000</v>
      </c>
    </row>
    <row r="46" spans="2:8">
      <c r="C46" t="s">
        <v>1167</v>
      </c>
      <c r="D46">
        <v>0</v>
      </c>
      <c r="E46">
        <v>0</v>
      </c>
      <c r="F46">
        <v>0</v>
      </c>
    </row>
    <row r="47" spans="2:8">
      <c r="C47" t="s">
        <v>2900</v>
      </c>
      <c r="D47">
        <v>3185768</v>
      </c>
      <c r="E47">
        <v>3185768</v>
      </c>
      <c r="F47">
        <v>3790105</v>
      </c>
    </row>
    <row r="48" spans="2:8">
      <c r="B48" s="28">
        <v>340</v>
      </c>
      <c r="C48" t="s">
        <v>1167</v>
      </c>
      <c r="D48">
        <v>0</v>
      </c>
      <c r="E48">
        <v>0</v>
      </c>
      <c r="F48">
        <v>0</v>
      </c>
    </row>
    <row r="49" spans="2:8">
      <c r="C49" t="s">
        <v>1011</v>
      </c>
      <c r="D49">
        <v>0</v>
      </c>
      <c r="E49">
        <v>0</v>
      </c>
      <c r="F49">
        <v>0</v>
      </c>
    </row>
    <row r="50" spans="2:8">
      <c r="B50" s="28" t="s">
        <v>676</v>
      </c>
      <c r="C50" t="s">
        <v>2901</v>
      </c>
      <c r="D50">
        <v>0</v>
      </c>
      <c r="E50">
        <v>0</v>
      </c>
      <c r="F50">
        <v>0</v>
      </c>
    </row>
    <row r="51" spans="2:8">
      <c r="B51" s="28" t="s">
        <v>675</v>
      </c>
      <c r="C51" t="s">
        <v>2902</v>
      </c>
      <c r="D51">
        <v>698110</v>
      </c>
      <c r="E51">
        <v>698110</v>
      </c>
      <c r="F51">
        <v>665667</v>
      </c>
      <c r="H51">
        <v>538414</v>
      </c>
    </row>
    <row r="52" spans="2:8">
      <c r="B52" s="28" t="s">
        <v>674</v>
      </c>
      <c r="C52" t="s">
        <v>2903</v>
      </c>
      <c r="D52">
        <v>74000</v>
      </c>
      <c r="E52">
        <v>74000</v>
      </c>
      <c r="F52">
        <v>77528</v>
      </c>
      <c r="H52">
        <v>62336</v>
      </c>
    </row>
    <row r="53" spans="2:8">
      <c r="B53" s="28" t="s">
        <v>673</v>
      </c>
      <c r="C53" t="s">
        <v>2904</v>
      </c>
      <c r="D53">
        <v>0</v>
      </c>
      <c r="E53">
        <v>0</v>
      </c>
      <c r="F53">
        <v>0</v>
      </c>
      <c r="H53">
        <v>0</v>
      </c>
    </row>
    <row r="54" spans="2:8">
      <c r="B54" s="28" t="s">
        <v>1373</v>
      </c>
      <c r="C54" t="s">
        <v>2905</v>
      </c>
      <c r="D54">
        <v>1100</v>
      </c>
      <c r="E54">
        <v>1100</v>
      </c>
      <c r="F54">
        <v>4925</v>
      </c>
      <c r="H54">
        <v>5925</v>
      </c>
    </row>
    <row r="55" spans="2:8">
      <c r="B55" s="28" t="s">
        <v>671</v>
      </c>
      <c r="C55" t="s">
        <v>2906</v>
      </c>
      <c r="D55">
        <v>5000</v>
      </c>
      <c r="E55">
        <v>5000</v>
      </c>
      <c r="F55" s="77">
        <f>5405+2445</f>
        <v>7850</v>
      </c>
      <c r="H55">
        <v>1544</v>
      </c>
    </row>
    <row r="56" spans="2:8">
      <c r="B56" s="28" t="s">
        <v>672</v>
      </c>
      <c r="C56" t="s">
        <v>2907</v>
      </c>
      <c r="D56">
        <v>565000</v>
      </c>
      <c r="E56">
        <v>565000</v>
      </c>
      <c r="F56">
        <v>458199</v>
      </c>
      <c r="H56">
        <v>419938</v>
      </c>
    </row>
    <row r="57" spans="2:8">
      <c r="B57" s="28" t="s">
        <v>728</v>
      </c>
      <c r="C57" t="s">
        <v>2908</v>
      </c>
      <c r="D57">
        <v>45600</v>
      </c>
      <c r="E57">
        <v>45600</v>
      </c>
      <c r="F57">
        <v>47886</v>
      </c>
      <c r="H57">
        <v>17135</v>
      </c>
    </row>
    <row r="58" spans="2:8">
      <c r="B58" s="28" t="s">
        <v>670</v>
      </c>
      <c r="C58" t="s">
        <v>2909</v>
      </c>
      <c r="D58">
        <v>50000</v>
      </c>
      <c r="E58">
        <v>50000</v>
      </c>
      <c r="F58">
        <v>27210</v>
      </c>
      <c r="H58">
        <v>31906</v>
      </c>
    </row>
    <row r="59" spans="2:8">
      <c r="C59" t="s">
        <v>2910</v>
      </c>
      <c r="D59">
        <v>0</v>
      </c>
      <c r="E59">
        <v>0</v>
      </c>
      <c r="F59">
        <v>0</v>
      </c>
      <c r="H59">
        <v>5470</v>
      </c>
    </row>
    <row r="60" spans="2:8">
      <c r="B60" s="28" t="s">
        <v>729</v>
      </c>
      <c r="C60" t="s">
        <v>2911</v>
      </c>
      <c r="D60">
        <v>0</v>
      </c>
      <c r="E60">
        <v>0</v>
      </c>
      <c r="F60">
        <v>0</v>
      </c>
    </row>
    <row r="61" spans="2:8">
      <c r="C61" t="s">
        <v>2912</v>
      </c>
      <c r="D61">
        <v>0</v>
      </c>
      <c r="E61">
        <v>0</v>
      </c>
      <c r="F61">
        <v>0</v>
      </c>
    </row>
    <row r="62" spans="2:8">
      <c r="C62" t="s">
        <v>1167</v>
      </c>
      <c r="D62">
        <v>0</v>
      </c>
      <c r="E62">
        <v>0</v>
      </c>
      <c r="F62">
        <v>0</v>
      </c>
    </row>
    <row r="63" spans="2:8">
      <c r="C63" t="s">
        <v>2913</v>
      </c>
      <c r="D63">
        <v>1438810</v>
      </c>
      <c r="E63">
        <v>1438810</v>
      </c>
      <c r="F63">
        <v>1286820</v>
      </c>
    </row>
    <row r="64" spans="2:8">
      <c r="B64" s="23">
        <v>351353</v>
      </c>
      <c r="C64" t="s">
        <v>1167</v>
      </c>
      <c r="D64">
        <v>0</v>
      </c>
      <c r="E64">
        <v>0</v>
      </c>
      <c r="F64">
        <v>0</v>
      </c>
    </row>
    <row r="65" spans="1:6">
      <c r="C65" t="s">
        <v>263</v>
      </c>
      <c r="D65">
        <v>0</v>
      </c>
      <c r="E65">
        <v>0</v>
      </c>
      <c r="F65">
        <v>0</v>
      </c>
    </row>
    <row r="66" spans="1:6">
      <c r="B66" s="23" t="s">
        <v>167</v>
      </c>
      <c r="C66" t="s">
        <v>2914</v>
      </c>
      <c r="D66">
        <v>0</v>
      </c>
      <c r="E66">
        <v>0</v>
      </c>
      <c r="F66">
        <v>0</v>
      </c>
    </row>
    <row r="67" spans="1:6">
      <c r="B67" s="23" t="s">
        <v>730</v>
      </c>
      <c r="C67" t="s">
        <v>1253</v>
      </c>
      <c r="D67">
        <v>250</v>
      </c>
      <c r="E67">
        <v>250</v>
      </c>
      <c r="F67">
        <v>859</v>
      </c>
    </row>
    <row r="68" spans="1:6">
      <c r="C68" t="s">
        <v>2915</v>
      </c>
      <c r="D68">
        <v>29000</v>
      </c>
      <c r="E68">
        <v>29000</v>
      </c>
      <c r="F68">
        <v>35340</v>
      </c>
    </row>
    <row r="69" spans="1:6">
      <c r="C69" t="s">
        <v>1167</v>
      </c>
      <c r="D69">
        <v>0</v>
      </c>
      <c r="E69">
        <v>0</v>
      </c>
      <c r="F69">
        <v>0</v>
      </c>
    </row>
    <row r="70" spans="1:6">
      <c r="C70" t="s">
        <v>2916</v>
      </c>
      <c r="D70">
        <v>29250</v>
      </c>
      <c r="E70">
        <v>29250</v>
      </c>
      <c r="F70">
        <v>36199</v>
      </c>
    </row>
    <row r="71" spans="1:6">
      <c r="B71" s="23" t="s">
        <v>23</v>
      </c>
      <c r="C71" t="s">
        <v>1167</v>
      </c>
      <c r="D71">
        <v>0</v>
      </c>
      <c r="E71">
        <v>0</v>
      </c>
      <c r="F71" s="77">
        <v>0</v>
      </c>
    </row>
    <row r="72" spans="1:6">
      <c r="C72" t="s">
        <v>769</v>
      </c>
      <c r="D72">
        <v>25000</v>
      </c>
      <c r="E72">
        <v>25000</v>
      </c>
      <c r="F72">
        <v>187792</v>
      </c>
    </row>
    <row r="73" spans="1:6">
      <c r="B73" s="23" t="s">
        <v>863</v>
      </c>
      <c r="C73" t="s">
        <v>770</v>
      </c>
      <c r="D73">
        <v>74000</v>
      </c>
      <c r="E73">
        <v>74000</v>
      </c>
      <c r="F73" s="77">
        <v>1252244</v>
      </c>
    </row>
    <row r="74" spans="1:6">
      <c r="C74" t="s">
        <v>1167</v>
      </c>
      <c r="D74">
        <v>0</v>
      </c>
      <c r="E74">
        <v>0</v>
      </c>
      <c r="F74">
        <v>0</v>
      </c>
    </row>
    <row r="75" spans="1:6">
      <c r="C75" t="s">
        <v>771</v>
      </c>
      <c r="D75">
        <v>12843964</v>
      </c>
      <c r="E75">
        <v>12843964</v>
      </c>
      <c r="F75">
        <v>15587222</v>
      </c>
    </row>
    <row r="78" spans="1:6">
      <c r="C78" s="22"/>
      <c r="D78" s="22"/>
      <c r="E78" s="22"/>
      <c r="F78" s="22"/>
    </row>
    <row r="79" spans="1:6">
      <c r="A79" s="22"/>
      <c r="C79" s="22" t="s">
        <v>1165</v>
      </c>
      <c r="D79" s="22" t="s">
        <v>1166</v>
      </c>
      <c r="E79" s="22" t="s">
        <v>599</v>
      </c>
      <c r="F79" s="22" t="s">
        <v>600</v>
      </c>
    </row>
    <row r="80" spans="1:6">
      <c r="A80" s="22"/>
      <c r="B80" s="28" t="s">
        <v>262</v>
      </c>
      <c r="C80" s="22" t="s">
        <v>184</v>
      </c>
      <c r="D80" s="22">
        <v>0</v>
      </c>
      <c r="E80" s="22">
        <v>0</v>
      </c>
      <c r="F80" s="22">
        <v>0</v>
      </c>
    </row>
    <row r="81" spans="1:8">
      <c r="A81" s="22"/>
      <c r="B81" s="28" t="s">
        <v>965</v>
      </c>
      <c r="C81" t="s">
        <v>185</v>
      </c>
      <c r="D81">
        <v>0</v>
      </c>
      <c r="E81">
        <v>0</v>
      </c>
      <c r="F81">
        <v>0</v>
      </c>
    </row>
    <row r="82" spans="1:8">
      <c r="B82" s="28" t="s">
        <v>966</v>
      </c>
      <c r="C82" t="s">
        <v>202</v>
      </c>
      <c r="D82">
        <v>0</v>
      </c>
      <c r="E82">
        <v>0</v>
      </c>
      <c r="F82">
        <v>0</v>
      </c>
    </row>
    <row r="83" spans="1:8">
      <c r="A83" t="s">
        <v>202</v>
      </c>
      <c r="B83" s="28" t="s">
        <v>1334</v>
      </c>
      <c r="C83" t="s">
        <v>186</v>
      </c>
      <c r="D83">
        <v>0</v>
      </c>
      <c r="E83">
        <v>0</v>
      </c>
      <c r="F83">
        <v>0</v>
      </c>
    </row>
    <row r="84" spans="1:8">
      <c r="A84" t="s">
        <v>186</v>
      </c>
      <c r="C84" t="s">
        <v>1056</v>
      </c>
      <c r="D84">
        <v>0</v>
      </c>
      <c r="E84">
        <v>0</v>
      </c>
      <c r="F84">
        <v>0</v>
      </c>
    </row>
    <row r="85" spans="1:8">
      <c r="A85" t="s">
        <v>1056</v>
      </c>
      <c r="B85" s="23">
        <v>411</v>
      </c>
      <c r="C85" t="s">
        <v>1057</v>
      </c>
      <c r="D85">
        <v>435223</v>
      </c>
      <c r="E85">
        <v>435223</v>
      </c>
      <c r="F85">
        <v>354773</v>
      </c>
    </row>
    <row r="86" spans="1:8">
      <c r="A86" t="s">
        <v>1057</v>
      </c>
      <c r="C86" t="s">
        <v>1058</v>
      </c>
      <c r="D86">
        <v>84086</v>
      </c>
      <c r="E86">
        <v>84086</v>
      </c>
      <c r="F86">
        <v>84745</v>
      </c>
    </row>
    <row r="87" spans="1:8">
      <c r="A87" t="s">
        <v>1058</v>
      </c>
      <c r="C87" t="s">
        <v>1059</v>
      </c>
      <c r="D87">
        <v>0</v>
      </c>
      <c r="E87">
        <v>0</v>
      </c>
      <c r="F87">
        <v>0</v>
      </c>
      <c r="H87">
        <f>38567+19954</f>
        <v>58521</v>
      </c>
    </row>
    <row r="88" spans="1:8">
      <c r="A88" t="s">
        <v>1059</v>
      </c>
      <c r="B88" s="23">
        <v>413</v>
      </c>
      <c r="C88" t="s">
        <v>1057</v>
      </c>
      <c r="D88">
        <v>709794</v>
      </c>
      <c r="E88">
        <v>709794</v>
      </c>
      <c r="F88">
        <v>673615</v>
      </c>
    </row>
    <row r="89" spans="1:8">
      <c r="A89" t="s">
        <v>1057</v>
      </c>
      <c r="C89" t="s">
        <v>1058</v>
      </c>
      <c r="D89">
        <v>199987</v>
      </c>
      <c r="E89">
        <v>199987</v>
      </c>
      <c r="F89">
        <v>201732</v>
      </c>
    </row>
    <row r="90" spans="1:8">
      <c r="A90" t="s">
        <v>1058</v>
      </c>
      <c r="C90" t="s">
        <v>1060</v>
      </c>
      <c r="D90">
        <v>0</v>
      </c>
      <c r="E90">
        <v>0</v>
      </c>
      <c r="F90">
        <v>0</v>
      </c>
      <c r="H90">
        <f>19275+41614</f>
        <v>60889</v>
      </c>
    </row>
    <row r="91" spans="1:8">
      <c r="A91" t="s">
        <v>1060</v>
      </c>
      <c r="B91" s="23">
        <v>414</v>
      </c>
      <c r="C91" t="s">
        <v>1057</v>
      </c>
      <c r="D91">
        <v>603726</v>
      </c>
      <c r="E91">
        <v>603726</v>
      </c>
      <c r="F91">
        <v>583118</v>
      </c>
    </row>
    <row r="92" spans="1:8">
      <c r="A92" t="s">
        <v>1057</v>
      </c>
      <c r="C92" t="s">
        <v>1058</v>
      </c>
      <c r="D92">
        <v>671595</v>
      </c>
      <c r="E92">
        <v>671595</v>
      </c>
      <c r="F92">
        <v>331440</v>
      </c>
    </row>
    <row r="93" spans="1:8">
      <c r="A93" t="s">
        <v>1058</v>
      </c>
      <c r="C93" t="s">
        <v>1061</v>
      </c>
      <c r="D93">
        <v>0</v>
      </c>
      <c r="E93">
        <v>0</v>
      </c>
      <c r="F93">
        <v>0</v>
      </c>
      <c r="H93">
        <f>40470+68498</f>
        <v>108968</v>
      </c>
    </row>
    <row r="94" spans="1:8">
      <c r="A94" t="s">
        <v>1061</v>
      </c>
      <c r="B94" s="23">
        <v>415</v>
      </c>
      <c r="C94" t="s">
        <v>1057</v>
      </c>
      <c r="D94">
        <v>2223417</v>
      </c>
      <c r="E94">
        <v>2223417</v>
      </c>
      <c r="F94">
        <v>1831462</v>
      </c>
    </row>
    <row r="95" spans="1:8">
      <c r="A95" t="s">
        <v>1057</v>
      </c>
      <c r="C95" t="s">
        <v>1058</v>
      </c>
      <c r="D95">
        <v>488496</v>
      </c>
      <c r="E95">
        <v>488496</v>
      </c>
      <c r="F95">
        <v>418497</v>
      </c>
    </row>
    <row r="96" spans="1:8">
      <c r="A96" t="s">
        <v>1058</v>
      </c>
      <c r="C96" t="s">
        <v>1062</v>
      </c>
      <c r="D96">
        <v>0</v>
      </c>
      <c r="E96">
        <v>0</v>
      </c>
      <c r="F96">
        <v>0</v>
      </c>
      <c r="H96">
        <f>100321+92467</f>
        <v>192788</v>
      </c>
    </row>
    <row r="97" spans="1:9">
      <c r="A97" t="s">
        <v>1062</v>
      </c>
      <c r="B97" s="23">
        <v>418</v>
      </c>
      <c r="C97" t="s">
        <v>1057</v>
      </c>
      <c r="D97">
        <v>372507</v>
      </c>
      <c r="E97">
        <v>372507</v>
      </c>
      <c r="F97">
        <v>383119</v>
      </c>
    </row>
    <row r="98" spans="1:9">
      <c r="A98" t="s">
        <v>1057</v>
      </c>
      <c r="C98" t="s">
        <v>1058</v>
      </c>
      <c r="D98">
        <v>8350</v>
      </c>
      <c r="E98">
        <v>8350</v>
      </c>
      <c r="F98">
        <v>1307</v>
      </c>
    </row>
    <row r="99" spans="1:9">
      <c r="A99" t="s">
        <v>1058</v>
      </c>
      <c r="C99" t="s">
        <v>1063</v>
      </c>
      <c r="D99">
        <v>0</v>
      </c>
      <c r="E99">
        <v>0</v>
      </c>
      <c r="F99">
        <v>0</v>
      </c>
      <c r="H99">
        <v>1801</v>
      </c>
    </row>
    <row r="100" spans="1:9">
      <c r="A100" t="s">
        <v>1063</v>
      </c>
      <c r="B100" s="23">
        <v>416</v>
      </c>
      <c r="C100" t="s">
        <v>1057</v>
      </c>
      <c r="D100">
        <v>320447</v>
      </c>
      <c r="E100">
        <v>320447</v>
      </c>
      <c r="F100">
        <v>345704</v>
      </c>
    </row>
    <row r="101" spans="1:9">
      <c r="A101" t="s">
        <v>1057</v>
      </c>
      <c r="C101" t="s">
        <v>1058</v>
      </c>
      <c r="D101">
        <v>431610</v>
      </c>
      <c r="E101">
        <v>431610</v>
      </c>
      <c r="F101">
        <v>391419</v>
      </c>
    </row>
    <row r="102" spans="1:9">
      <c r="A102" t="s">
        <v>1058</v>
      </c>
      <c r="C102" t="s">
        <v>1064</v>
      </c>
      <c r="D102">
        <v>0</v>
      </c>
      <c r="E102">
        <v>0</v>
      </c>
      <c r="F102">
        <v>0</v>
      </c>
      <c r="H102">
        <f>132839+42857</f>
        <v>175696</v>
      </c>
      <c r="I102">
        <f>30791-29306</f>
        <v>1485</v>
      </c>
    </row>
    <row r="103" spans="1:9">
      <c r="A103" t="s">
        <v>1064</v>
      </c>
      <c r="B103" s="23" t="s">
        <v>731</v>
      </c>
      <c r="C103" t="s">
        <v>1057</v>
      </c>
      <c r="D103">
        <v>204132</v>
      </c>
      <c r="E103">
        <v>204132</v>
      </c>
      <c r="F103">
        <v>203345</v>
      </c>
    </row>
    <row r="104" spans="1:9">
      <c r="A104" t="s">
        <v>1057</v>
      </c>
      <c r="C104" t="s">
        <v>1058</v>
      </c>
      <c r="D104" s="35">
        <v>106585</v>
      </c>
      <c r="E104">
        <v>106585</v>
      </c>
      <c r="F104">
        <v>95549</v>
      </c>
    </row>
    <row r="105" spans="1:9">
      <c r="A105" t="s">
        <v>1058</v>
      </c>
      <c r="C105" t="s">
        <v>1065</v>
      </c>
      <c r="D105">
        <v>0</v>
      </c>
      <c r="E105">
        <v>0</v>
      </c>
      <c r="F105">
        <v>0</v>
      </c>
      <c r="G105" t="s">
        <v>479</v>
      </c>
    </row>
    <row r="106" spans="1:9">
      <c r="A106" t="s">
        <v>1065</v>
      </c>
      <c r="B106" s="23">
        <v>417</v>
      </c>
      <c r="C106" t="s">
        <v>1057</v>
      </c>
      <c r="D106">
        <v>2599057</v>
      </c>
      <c r="E106">
        <v>2599057</v>
      </c>
      <c r="F106">
        <v>2421555</v>
      </c>
    </row>
    <row r="107" spans="1:9">
      <c r="A107" t="s">
        <v>1057</v>
      </c>
      <c r="C107" t="s">
        <v>1058</v>
      </c>
      <c r="D107">
        <v>716751</v>
      </c>
      <c r="E107">
        <v>716751</v>
      </c>
      <c r="F107">
        <v>600084</v>
      </c>
    </row>
    <row r="108" spans="1:9">
      <c r="A108" t="s">
        <v>1058</v>
      </c>
      <c r="C108" t="s">
        <v>1066</v>
      </c>
      <c r="D108">
        <v>0</v>
      </c>
      <c r="E108">
        <v>0</v>
      </c>
      <c r="F108">
        <v>0</v>
      </c>
      <c r="H108">
        <f>45321+82715</f>
        <v>128036</v>
      </c>
    </row>
    <row r="109" spans="1:9">
      <c r="A109" t="s">
        <v>1066</v>
      </c>
      <c r="B109" s="23" t="s">
        <v>732</v>
      </c>
      <c r="C109" t="s">
        <v>1057</v>
      </c>
      <c r="D109">
        <v>116646</v>
      </c>
      <c r="E109">
        <v>116646</v>
      </c>
      <c r="F109">
        <v>116258</v>
      </c>
    </row>
    <row r="110" spans="1:9">
      <c r="A110" t="s">
        <v>1057</v>
      </c>
      <c r="C110" t="s">
        <v>1058</v>
      </c>
      <c r="D110" s="35">
        <v>17321</v>
      </c>
      <c r="E110">
        <v>17321</v>
      </c>
      <c r="F110">
        <v>15248</v>
      </c>
    </row>
    <row r="111" spans="1:9">
      <c r="A111" t="s">
        <v>1058</v>
      </c>
      <c r="C111" t="s">
        <v>1067</v>
      </c>
      <c r="D111">
        <v>0</v>
      </c>
      <c r="E111">
        <v>0</v>
      </c>
      <c r="F111">
        <v>0</v>
      </c>
      <c r="G111" t="s">
        <v>479</v>
      </c>
    </row>
    <row r="112" spans="1:9">
      <c r="A112" t="s">
        <v>1067</v>
      </c>
      <c r="B112" s="23" t="s">
        <v>740</v>
      </c>
      <c r="C112" t="s">
        <v>1057</v>
      </c>
      <c r="D112">
        <v>15000</v>
      </c>
      <c r="E112">
        <v>15000</v>
      </c>
      <c r="F112">
        <v>12876</v>
      </c>
    </row>
    <row r="113" spans="1:12">
      <c r="A113" t="s">
        <v>1057</v>
      </c>
      <c r="C113" t="s">
        <v>1058</v>
      </c>
      <c r="D113" s="35">
        <v>1039135</v>
      </c>
      <c r="E113">
        <v>1189135</v>
      </c>
      <c r="F113">
        <v>714987</v>
      </c>
    </row>
    <row r="114" spans="1:12">
      <c r="A114" t="s">
        <v>1058</v>
      </c>
      <c r="C114" t="s">
        <v>1167</v>
      </c>
      <c r="D114">
        <v>0</v>
      </c>
      <c r="E114">
        <v>0</v>
      </c>
      <c r="F114">
        <v>0</v>
      </c>
      <c r="G114">
        <f>+F113+F110+F104</f>
        <v>825784</v>
      </c>
      <c r="H114">
        <f>354034+78304</f>
        <v>432338</v>
      </c>
      <c r="J114">
        <f>40653+184145.78+189500</f>
        <v>414298.78</v>
      </c>
      <c r="L114">
        <f>+D113+D110+D104</f>
        <v>1163041</v>
      </c>
    </row>
    <row r="115" spans="1:12">
      <c r="A115" t="s">
        <v>1167</v>
      </c>
      <c r="C115" t="s">
        <v>959</v>
      </c>
      <c r="D115">
        <v>11363865</v>
      </c>
      <c r="E115">
        <v>11513865</v>
      </c>
      <c r="F115">
        <v>9780833</v>
      </c>
    </row>
    <row r="116" spans="1:12">
      <c r="A116" t="s">
        <v>959</v>
      </c>
      <c r="C116" t="s">
        <v>1167</v>
      </c>
      <c r="D116">
        <v>0</v>
      </c>
      <c r="E116">
        <v>0</v>
      </c>
      <c r="F116">
        <v>0</v>
      </c>
    </row>
    <row r="117" spans="1:12">
      <c r="A117" t="s">
        <v>1167</v>
      </c>
      <c r="C117" t="s">
        <v>960</v>
      </c>
      <c r="D117">
        <v>0</v>
      </c>
      <c r="E117">
        <v>0</v>
      </c>
      <c r="F117">
        <v>0</v>
      </c>
    </row>
    <row r="118" spans="1:12">
      <c r="A118" t="s">
        <v>960</v>
      </c>
      <c r="C118" t="s">
        <v>1068</v>
      </c>
      <c r="D118">
        <v>0</v>
      </c>
      <c r="E118">
        <v>0</v>
      </c>
      <c r="F118">
        <v>0</v>
      </c>
    </row>
    <row r="119" spans="1:12">
      <c r="A119" t="s">
        <v>1068</v>
      </c>
      <c r="B119" s="23">
        <v>428</v>
      </c>
      <c r="C119" t="s">
        <v>1057</v>
      </c>
      <c r="D119">
        <v>0</v>
      </c>
      <c r="E119">
        <v>0</v>
      </c>
      <c r="F119">
        <v>0</v>
      </c>
    </row>
    <row r="120" spans="1:12">
      <c r="A120" t="s">
        <v>1057</v>
      </c>
      <c r="C120" t="s">
        <v>1058</v>
      </c>
      <c r="D120">
        <v>0</v>
      </c>
      <c r="E120">
        <v>0</v>
      </c>
      <c r="F120">
        <v>0</v>
      </c>
    </row>
    <row r="121" spans="1:12">
      <c r="A121" t="s">
        <v>1058</v>
      </c>
      <c r="C121" t="s">
        <v>1069</v>
      </c>
      <c r="D121">
        <v>0</v>
      </c>
      <c r="E121">
        <v>0</v>
      </c>
      <c r="F121">
        <v>0</v>
      </c>
      <c r="H121">
        <f>32206+22255</f>
        <v>54461</v>
      </c>
    </row>
    <row r="122" spans="1:12">
      <c r="A122" t="s">
        <v>1069</v>
      </c>
      <c r="B122" s="23">
        <v>426</v>
      </c>
      <c r="C122" t="s">
        <v>1057</v>
      </c>
      <c r="D122">
        <v>225493</v>
      </c>
      <c r="E122">
        <v>225493</v>
      </c>
      <c r="F122">
        <v>94317</v>
      </c>
    </row>
    <row r="123" spans="1:12">
      <c r="A123" t="s">
        <v>1057</v>
      </c>
      <c r="C123" t="s">
        <v>1058</v>
      </c>
      <c r="D123">
        <v>35127</v>
      </c>
      <c r="E123">
        <v>35127</v>
      </c>
      <c r="F123">
        <v>32511</v>
      </c>
    </row>
    <row r="124" spans="1:12">
      <c r="A124" t="s">
        <v>1058</v>
      </c>
      <c r="C124" t="s">
        <v>1167</v>
      </c>
      <c r="D124">
        <v>0</v>
      </c>
      <c r="E124">
        <v>0</v>
      </c>
      <c r="F124">
        <v>0</v>
      </c>
      <c r="H124">
        <f>8408+6068</f>
        <v>14476</v>
      </c>
    </row>
    <row r="125" spans="1:12">
      <c r="A125" t="s">
        <v>1167</v>
      </c>
      <c r="C125" t="s">
        <v>997</v>
      </c>
      <c r="D125">
        <v>260620</v>
      </c>
      <c r="E125">
        <v>260620</v>
      </c>
      <c r="F125">
        <v>126828</v>
      </c>
    </row>
    <row r="126" spans="1:12">
      <c r="A126" t="s">
        <v>997</v>
      </c>
      <c r="C126" t="s">
        <v>1167</v>
      </c>
      <c r="D126">
        <v>0</v>
      </c>
      <c r="E126">
        <v>0</v>
      </c>
      <c r="F126">
        <v>0</v>
      </c>
    </row>
    <row r="127" spans="1:12">
      <c r="A127" t="s">
        <v>1167</v>
      </c>
      <c r="C127" t="s">
        <v>961</v>
      </c>
      <c r="D127">
        <v>0</v>
      </c>
      <c r="E127">
        <v>0</v>
      </c>
      <c r="F127">
        <v>0</v>
      </c>
    </row>
    <row r="128" spans="1:12">
      <c r="A128" t="s">
        <v>961</v>
      </c>
      <c r="C128" t="s">
        <v>1070</v>
      </c>
      <c r="D128">
        <v>0</v>
      </c>
      <c r="E128">
        <v>0</v>
      </c>
      <c r="F128">
        <v>0</v>
      </c>
    </row>
    <row r="129" spans="1:9">
      <c r="A129" t="s">
        <v>1070</v>
      </c>
      <c r="B129" s="23">
        <v>431</v>
      </c>
      <c r="C129" t="s">
        <v>1057</v>
      </c>
      <c r="D129">
        <v>726551</v>
      </c>
      <c r="E129">
        <v>726551</v>
      </c>
      <c r="F129">
        <f>707782-141</f>
        <v>707641</v>
      </c>
    </row>
    <row r="130" spans="1:9">
      <c r="A130" t="s">
        <v>1057</v>
      </c>
      <c r="C130" t="s">
        <v>1058</v>
      </c>
      <c r="D130">
        <v>147910</v>
      </c>
      <c r="E130">
        <v>176910</v>
      </c>
      <c r="F130" s="211">
        <v>94251</v>
      </c>
      <c r="H130" s="211" t="s">
        <v>3318</v>
      </c>
    </row>
    <row r="131" spans="1:9">
      <c r="A131" t="s">
        <v>1058</v>
      </c>
      <c r="C131" t="s">
        <v>1071</v>
      </c>
      <c r="D131">
        <v>0</v>
      </c>
      <c r="E131">
        <v>0</v>
      </c>
      <c r="F131">
        <v>0</v>
      </c>
      <c r="H131">
        <f>16707+25635</f>
        <v>42342</v>
      </c>
    </row>
    <row r="132" spans="1:9">
      <c r="A132" t="s">
        <v>1071</v>
      </c>
      <c r="B132" s="23">
        <v>434</v>
      </c>
      <c r="C132" t="s">
        <v>1057</v>
      </c>
      <c r="D132">
        <v>493373</v>
      </c>
      <c r="E132">
        <v>493373</v>
      </c>
      <c r="F132">
        <v>463345</v>
      </c>
    </row>
    <row r="133" spans="1:9">
      <c r="A133" t="s">
        <v>1057</v>
      </c>
      <c r="C133" t="s">
        <v>1058</v>
      </c>
      <c r="D133">
        <v>202071</v>
      </c>
      <c r="E133">
        <v>300071</v>
      </c>
      <c r="F133">
        <v>217210</v>
      </c>
    </row>
    <row r="134" spans="1:9">
      <c r="A134" t="s">
        <v>1058</v>
      </c>
      <c r="C134" t="s">
        <v>1072</v>
      </c>
      <c r="D134">
        <v>0</v>
      </c>
      <c r="E134">
        <v>0</v>
      </c>
      <c r="F134">
        <v>0</v>
      </c>
      <c r="H134">
        <f>254659+11573</f>
        <v>266232</v>
      </c>
    </row>
    <row r="135" spans="1:9">
      <c r="A135" t="s">
        <v>1072</v>
      </c>
      <c r="B135" s="23">
        <v>433</v>
      </c>
      <c r="C135" t="s">
        <v>1057</v>
      </c>
      <c r="D135">
        <v>0</v>
      </c>
      <c r="E135">
        <v>0</v>
      </c>
      <c r="F135">
        <v>0</v>
      </c>
    </row>
    <row r="136" spans="1:9">
      <c r="A136" t="s">
        <v>1057</v>
      </c>
      <c r="C136" t="s">
        <v>1058</v>
      </c>
      <c r="D136">
        <v>160000</v>
      </c>
      <c r="E136">
        <v>160000</v>
      </c>
      <c r="F136">
        <v>170000</v>
      </c>
    </row>
    <row r="137" spans="1:9">
      <c r="A137" t="s">
        <v>1058</v>
      </c>
      <c r="C137" t="s">
        <v>1073</v>
      </c>
      <c r="D137">
        <v>0</v>
      </c>
      <c r="E137">
        <v>0</v>
      </c>
      <c r="F137">
        <v>0</v>
      </c>
      <c r="H137">
        <v>8300</v>
      </c>
    </row>
    <row r="138" spans="1:9">
      <c r="A138" t="s">
        <v>1073</v>
      </c>
      <c r="B138" s="23">
        <v>437</v>
      </c>
      <c r="C138" t="s">
        <v>1057</v>
      </c>
      <c r="D138">
        <v>213365</v>
      </c>
      <c r="E138">
        <v>213365</v>
      </c>
      <c r="F138">
        <v>239574</v>
      </c>
    </row>
    <row r="139" spans="1:9">
      <c r="A139" t="s">
        <v>1057</v>
      </c>
      <c r="C139" t="s">
        <v>1058</v>
      </c>
      <c r="D139">
        <v>137276</v>
      </c>
      <c r="E139">
        <v>137276</v>
      </c>
      <c r="F139">
        <v>83087</v>
      </c>
    </row>
    <row r="140" spans="1:9">
      <c r="A140" t="s">
        <v>1058</v>
      </c>
      <c r="C140" t="s">
        <v>1167</v>
      </c>
      <c r="D140">
        <v>0</v>
      </c>
      <c r="E140">
        <v>0</v>
      </c>
      <c r="F140">
        <v>0</v>
      </c>
      <c r="H140">
        <f>114380+13896</f>
        <v>128276</v>
      </c>
      <c r="I140">
        <f>+H140-F139</f>
        <v>45189</v>
      </c>
    </row>
    <row r="141" spans="1:9">
      <c r="A141" t="s">
        <v>1167</v>
      </c>
      <c r="C141" t="s">
        <v>998</v>
      </c>
      <c r="D141">
        <v>2080546</v>
      </c>
      <c r="E141">
        <v>2207546</v>
      </c>
      <c r="F141">
        <v>1975249</v>
      </c>
    </row>
    <row r="142" spans="1:9">
      <c r="A142" t="s">
        <v>998</v>
      </c>
      <c r="C142" t="s">
        <v>1167</v>
      </c>
      <c r="D142">
        <v>0</v>
      </c>
      <c r="E142">
        <v>0</v>
      </c>
      <c r="F142">
        <v>0</v>
      </c>
    </row>
    <row r="143" spans="1:9">
      <c r="A143" t="s">
        <v>1167</v>
      </c>
      <c r="C143" t="s">
        <v>44</v>
      </c>
      <c r="D143">
        <v>0</v>
      </c>
      <c r="E143">
        <v>0</v>
      </c>
      <c r="F143">
        <v>0</v>
      </c>
    </row>
    <row r="144" spans="1:9">
      <c r="A144" t="s">
        <v>44</v>
      </c>
      <c r="C144" t="s">
        <v>409</v>
      </c>
      <c r="D144">
        <v>0</v>
      </c>
      <c r="E144">
        <v>0</v>
      </c>
      <c r="F144">
        <v>0</v>
      </c>
    </row>
    <row r="145" spans="1:8">
      <c r="A145" t="s">
        <v>409</v>
      </c>
      <c r="B145" s="23">
        <v>446</v>
      </c>
      <c r="C145" t="s">
        <v>1057</v>
      </c>
      <c r="D145">
        <v>0</v>
      </c>
      <c r="E145">
        <v>0</v>
      </c>
      <c r="F145">
        <v>0</v>
      </c>
    </row>
    <row r="146" spans="1:8">
      <c r="A146" t="s">
        <v>1057</v>
      </c>
      <c r="C146" t="s">
        <v>1058</v>
      </c>
      <c r="D146">
        <v>73516</v>
      </c>
      <c r="E146">
        <v>73516</v>
      </c>
      <c r="F146">
        <v>73516</v>
      </c>
    </row>
    <row r="147" spans="1:8">
      <c r="A147" t="s">
        <v>1058</v>
      </c>
      <c r="C147" t="s">
        <v>1167</v>
      </c>
      <c r="D147">
        <v>0</v>
      </c>
      <c r="E147">
        <v>0</v>
      </c>
      <c r="F147">
        <v>0</v>
      </c>
      <c r="H147">
        <f>57957+6883</f>
        <v>64840</v>
      </c>
    </row>
    <row r="148" spans="1:8">
      <c r="A148" t="s">
        <v>1167</v>
      </c>
      <c r="C148" t="s">
        <v>999</v>
      </c>
      <c r="D148">
        <v>73516</v>
      </c>
      <c r="E148">
        <v>73516</v>
      </c>
      <c r="F148">
        <v>73516</v>
      </c>
    </row>
    <row r="149" spans="1:8">
      <c r="A149" t="s">
        <v>999</v>
      </c>
      <c r="C149" t="s">
        <v>1167</v>
      </c>
      <c r="D149">
        <v>0</v>
      </c>
      <c r="E149">
        <v>0</v>
      </c>
      <c r="F149">
        <v>0</v>
      </c>
    </row>
    <row r="150" spans="1:8">
      <c r="A150" t="s">
        <v>1167</v>
      </c>
      <c r="C150" t="s">
        <v>45</v>
      </c>
      <c r="D150">
        <v>0</v>
      </c>
      <c r="E150">
        <v>0</v>
      </c>
      <c r="F150">
        <v>0</v>
      </c>
    </row>
    <row r="151" spans="1:8">
      <c r="A151" t="s">
        <v>45</v>
      </c>
      <c r="C151" t="s">
        <v>402</v>
      </c>
      <c r="D151">
        <v>0</v>
      </c>
      <c r="E151">
        <v>0</v>
      </c>
      <c r="F151">
        <v>0</v>
      </c>
    </row>
    <row r="152" spans="1:8">
      <c r="A152" t="s">
        <v>402</v>
      </c>
      <c r="B152" s="23">
        <v>453</v>
      </c>
      <c r="C152" t="s">
        <v>1057</v>
      </c>
      <c r="D152">
        <v>0</v>
      </c>
      <c r="E152">
        <v>0</v>
      </c>
      <c r="F152">
        <v>0</v>
      </c>
    </row>
    <row r="153" spans="1:8">
      <c r="A153" t="s">
        <v>1057</v>
      </c>
      <c r="C153" t="s">
        <v>1058</v>
      </c>
      <c r="D153">
        <v>200645</v>
      </c>
      <c r="E153">
        <v>200645</v>
      </c>
      <c r="F153">
        <v>200716</v>
      </c>
    </row>
    <row r="154" spans="1:8">
      <c r="A154" t="s">
        <v>1058</v>
      </c>
      <c r="C154" t="s">
        <v>403</v>
      </c>
      <c r="D154">
        <v>0</v>
      </c>
      <c r="E154">
        <v>0</v>
      </c>
      <c r="F154">
        <v>0</v>
      </c>
      <c r="H154">
        <f>426+318+157360</f>
        <v>158104</v>
      </c>
    </row>
    <row r="155" spans="1:8">
      <c r="A155" t="s">
        <v>403</v>
      </c>
      <c r="B155" s="23">
        <v>451</v>
      </c>
      <c r="C155" t="s">
        <v>1057</v>
      </c>
      <c r="D155">
        <v>0</v>
      </c>
      <c r="E155">
        <v>0</v>
      </c>
      <c r="F155">
        <v>0</v>
      </c>
    </row>
    <row r="156" spans="1:8">
      <c r="A156" t="s">
        <v>1057</v>
      </c>
      <c r="C156" t="s">
        <v>1058</v>
      </c>
      <c r="D156">
        <v>421837</v>
      </c>
      <c r="E156">
        <v>421837</v>
      </c>
      <c r="F156" s="72">
        <v>398987</v>
      </c>
    </row>
    <row r="157" spans="1:8">
      <c r="A157" t="s">
        <v>1058</v>
      </c>
      <c r="C157" t="s">
        <v>1167</v>
      </c>
      <c r="D157">
        <v>0</v>
      </c>
      <c r="E157">
        <v>0</v>
      </c>
      <c r="F157">
        <v>0</v>
      </c>
      <c r="H157">
        <f>96998+187000</f>
        <v>283998</v>
      </c>
    </row>
    <row r="158" spans="1:8">
      <c r="A158" t="s">
        <v>1167</v>
      </c>
      <c r="C158" t="s">
        <v>46</v>
      </c>
      <c r="D158">
        <v>622482</v>
      </c>
      <c r="E158">
        <v>622482</v>
      </c>
      <c r="F158">
        <v>599703</v>
      </c>
    </row>
    <row r="159" spans="1:8">
      <c r="A159" t="s">
        <v>46</v>
      </c>
      <c r="C159" t="s">
        <v>1167</v>
      </c>
      <c r="D159">
        <v>0</v>
      </c>
      <c r="E159">
        <v>0</v>
      </c>
      <c r="F159">
        <v>0</v>
      </c>
    </row>
    <row r="160" spans="1:8">
      <c r="A160" t="s">
        <v>1167</v>
      </c>
      <c r="C160" t="s">
        <v>47</v>
      </c>
      <c r="D160">
        <v>0</v>
      </c>
      <c r="E160">
        <v>0</v>
      </c>
      <c r="F160">
        <v>0</v>
      </c>
    </row>
    <row r="161" spans="1:14">
      <c r="A161" t="s">
        <v>47</v>
      </c>
      <c r="C161" t="s">
        <v>1288</v>
      </c>
      <c r="D161">
        <v>0</v>
      </c>
      <c r="E161">
        <v>0</v>
      </c>
      <c r="F161">
        <v>0</v>
      </c>
    </row>
    <row r="162" spans="1:14">
      <c r="A162" t="s">
        <v>1288</v>
      </c>
      <c r="B162" s="23">
        <v>462</v>
      </c>
      <c r="C162" t="s">
        <v>1057</v>
      </c>
      <c r="D162">
        <v>0</v>
      </c>
      <c r="E162">
        <v>0</v>
      </c>
      <c r="F162">
        <v>0</v>
      </c>
    </row>
    <row r="163" spans="1:14">
      <c r="A163" t="s">
        <v>1057</v>
      </c>
      <c r="C163" t="s">
        <v>1058</v>
      </c>
      <c r="D163">
        <v>0</v>
      </c>
      <c r="E163">
        <v>0</v>
      </c>
      <c r="F163">
        <v>0</v>
      </c>
    </row>
    <row r="164" spans="1:14">
      <c r="A164" t="s">
        <v>1058</v>
      </c>
      <c r="C164" t="s">
        <v>1167</v>
      </c>
      <c r="D164">
        <v>0</v>
      </c>
      <c r="E164">
        <v>0</v>
      </c>
      <c r="F164">
        <v>0</v>
      </c>
    </row>
    <row r="165" spans="1:14">
      <c r="A165" t="s">
        <v>1167</v>
      </c>
      <c r="C165" t="s">
        <v>1121</v>
      </c>
      <c r="D165">
        <v>0</v>
      </c>
      <c r="E165">
        <v>0</v>
      </c>
      <c r="F165">
        <v>0</v>
      </c>
    </row>
    <row r="166" spans="1:14">
      <c r="A166" t="s">
        <v>1121</v>
      </c>
      <c r="C166" t="s">
        <v>1167</v>
      </c>
      <c r="D166">
        <v>0</v>
      </c>
      <c r="E166">
        <v>0</v>
      </c>
      <c r="F166">
        <v>0</v>
      </c>
    </row>
    <row r="167" spans="1:14">
      <c r="A167" t="s">
        <v>1167</v>
      </c>
      <c r="C167" t="s">
        <v>247</v>
      </c>
      <c r="D167">
        <v>0</v>
      </c>
      <c r="E167">
        <v>0</v>
      </c>
      <c r="F167">
        <v>0</v>
      </c>
    </row>
    <row r="168" spans="1:14">
      <c r="A168" t="s">
        <v>247</v>
      </c>
      <c r="B168" s="23" t="s">
        <v>739</v>
      </c>
      <c r="C168" t="s">
        <v>1021</v>
      </c>
      <c r="D168">
        <v>0</v>
      </c>
      <c r="E168">
        <v>0</v>
      </c>
      <c r="F168">
        <v>0</v>
      </c>
    </row>
    <row r="169" spans="1:14">
      <c r="A169" t="s">
        <v>1021</v>
      </c>
      <c r="C169" t="s">
        <v>1167</v>
      </c>
      <c r="D169">
        <v>0</v>
      </c>
      <c r="E169">
        <v>0</v>
      </c>
      <c r="F169">
        <v>0</v>
      </c>
    </row>
    <row r="170" spans="1:14">
      <c r="A170" t="s">
        <v>1167</v>
      </c>
      <c r="C170" t="s">
        <v>1022</v>
      </c>
      <c r="D170">
        <v>0</v>
      </c>
      <c r="E170">
        <v>0</v>
      </c>
      <c r="F170">
        <v>0</v>
      </c>
      <c r="K170">
        <v>10</v>
      </c>
      <c r="L170">
        <v>77364.45</v>
      </c>
      <c r="M170">
        <f>+L170</f>
        <v>77364.45</v>
      </c>
    </row>
    <row r="171" spans="1:14">
      <c r="A171" t="s">
        <v>1022</v>
      </c>
      <c r="B171" s="23" t="s">
        <v>738</v>
      </c>
      <c r="C171" t="s">
        <v>1167</v>
      </c>
      <c r="D171">
        <v>0</v>
      </c>
      <c r="E171">
        <v>0</v>
      </c>
      <c r="F171">
        <v>0</v>
      </c>
      <c r="K171">
        <v>20</v>
      </c>
      <c r="L171">
        <v>15922.03</v>
      </c>
      <c r="N171">
        <f>+L171</f>
        <v>15922.03</v>
      </c>
    </row>
    <row r="172" spans="1:14">
      <c r="A172" t="s">
        <v>1167</v>
      </c>
      <c r="C172" t="s">
        <v>975</v>
      </c>
      <c r="D172">
        <v>14401029</v>
      </c>
      <c r="E172">
        <v>14678029</v>
      </c>
      <c r="F172">
        <v>12556129</v>
      </c>
      <c r="K172">
        <v>10</v>
      </c>
      <c r="L172">
        <v>48431.85</v>
      </c>
      <c r="M172">
        <f>+L172</f>
        <v>48431.85</v>
      </c>
    </row>
    <row r="173" spans="1:14">
      <c r="A173" t="s">
        <v>975</v>
      </c>
      <c r="C173" t="s">
        <v>976</v>
      </c>
      <c r="D173">
        <v>0</v>
      </c>
      <c r="E173">
        <v>0</v>
      </c>
      <c r="F173">
        <v>0</v>
      </c>
      <c r="H173">
        <f>+F172-F178</f>
        <v>14442653</v>
      </c>
      <c r="K173">
        <v>20</v>
      </c>
      <c r="L173">
        <v>5801.47</v>
      </c>
      <c r="N173">
        <f>+L173</f>
        <v>5801.47</v>
      </c>
    </row>
    <row r="174" spans="1:14">
      <c r="A174" t="s">
        <v>976</v>
      </c>
      <c r="C174" t="s">
        <v>427</v>
      </c>
      <c r="D174">
        <v>0</v>
      </c>
      <c r="E174">
        <v>0</v>
      </c>
      <c r="F174">
        <v>0</v>
      </c>
      <c r="G174">
        <f>+F172-F178</f>
        <v>14442653</v>
      </c>
      <c r="K174">
        <v>10</v>
      </c>
      <c r="L174">
        <v>9046.4699999999993</v>
      </c>
      <c r="M174">
        <f>+L174</f>
        <v>9046.4699999999993</v>
      </c>
    </row>
    <row r="175" spans="1:14">
      <c r="A175" t="s">
        <v>427</v>
      </c>
      <c r="C175" t="s">
        <v>1167</v>
      </c>
      <c r="D175">
        <v>0</v>
      </c>
      <c r="E175">
        <v>0</v>
      </c>
      <c r="F175">
        <v>0</v>
      </c>
      <c r="K175">
        <v>20</v>
      </c>
      <c r="L175">
        <v>1125.5899999999999</v>
      </c>
      <c r="N175">
        <f>+L175</f>
        <v>1125.5899999999999</v>
      </c>
    </row>
    <row r="176" spans="1:14" ht="13.5" thickBot="1">
      <c r="A176" t="s">
        <v>1167</v>
      </c>
      <c r="C176" t="s">
        <v>428</v>
      </c>
      <c r="D176">
        <v>0</v>
      </c>
      <c r="E176">
        <v>0</v>
      </c>
      <c r="F176">
        <v>0</v>
      </c>
      <c r="L176" s="41">
        <f>SUM(L170:L175)</f>
        <v>157691.85999999999</v>
      </c>
      <c r="M176" s="41">
        <f>SUM(M170:M175)</f>
        <v>134842.76999999999</v>
      </c>
      <c r="N176" s="41">
        <f>SUM(N170:N175)</f>
        <v>22849.09</v>
      </c>
    </row>
    <row r="177" spans="1:14" ht="13.5" thickTop="1">
      <c r="A177" t="s">
        <v>428</v>
      </c>
      <c r="C177" t="s">
        <v>429</v>
      </c>
      <c r="D177">
        <v>400000</v>
      </c>
      <c r="E177">
        <v>400000</v>
      </c>
      <c r="F177" s="1093">
        <f>3046940-866404-110000</f>
        <v>2070536</v>
      </c>
      <c r="N177">
        <f>SUM(M176:N176)</f>
        <v>157691.85999999999</v>
      </c>
    </row>
    <row r="178" spans="1:14">
      <c r="A178" t="s">
        <v>429</v>
      </c>
      <c r="B178" s="23">
        <v>383</v>
      </c>
      <c r="C178" t="s">
        <v>430</v>
      </c>
      <c r="D178">
        <v>-1931884</v>
      </c>
      <c r="E178">
        <v>-1931884</v>
      </c>
      <c r="F178" s="72">
        <v>-1886524</v>
      </c>
    </row>
    <row r="179" spans="1:14">
      <c r="A179" t="s">
        <v>430</v>
      </c>
      <c r="B179" s="23" t="s">
        <v>180</v>
      </c>
      <c r="C179" t="s">
        <v>431</v>
      </c>
      <c r="D179">
        <v>0</v>
      </c>
      <c r="E179">
        <v>0</v>
      </c>
      <c r="F179" s="1002">
        <v>0</v>
      </c>
      <c r="H179">
        <f>1500+1775+30791+5000+414299+3121+33254+78140+39000+3130+187000+157360</f>
        <v>954370</v>
      </c>
      <c r="I179">
        <f>+F178+H179</f>
        <v>-932154</v>
      </c>
    </row>
    <row r="180" spans="1:14">
      <c r="A180" t="s">
        <v>431</v>
      </c>
      <c r="B180" s="23">
        <v>373381</v>
      </c>
      <c r="C180" t="s">
        <v>432</v>
      </c>
      <c r="D180">
        <v>0</v>
      </c>
      <c r="E180">
        <v>0</v>
      </c>
      <c r="F180">
        <v>0</v>
      </c>
    </row>
    <row r="181" spans="1:14">
      <c r="A181" t="s">
        <v>432</v>
      </c>
      <c r="B181" s="23">
        <v>382</v>
      </c>
      <c r="C181" t="s">
        <v>1167</v>
      </c>
      <c r="D181">
        <v>0</v>
      </c>
      <c r="E181">
        <v>0</v>
      </c>
      <c r="F181">
        <v>0</v>
      </c>
    </row>
    <row r="182" spans="1:14">
      <c r="A182" t="s">
        <v>1167</v>
      </c>
      <c r="C182" t="s">
        <v>433</v>
      </c>
      <c r="D182">
        <v>-1531884</v>
      </c>
      <c r="E182">
        <v>-1531884</v>
      </c>
      <c r="F182">
        <v>1160416</v>
      </c>
    </row>
    <row r="183" spans="1:14">
      <c r="A183" t="s">
        <v>433</v>
      </c>
      <c r="C183" t="s">
        <v>1167</v>
      </c>
      <c r="D183">
        <v>0</v>
      </c>
      <c r="E183">
        <v>0</v>
      </c>
      <c r="F183">
        <v>0</v>
      </c>
    </row>
    <row r="184" spans="1:14">
      <c r="A184" t="s">
        <v>1167</v>
      </c>
      <c r="C184" t="s">
        <v>1018</v>
      </c>
      <c r="D184">
        <v>0</v>
      </c>
      <c r="E184">
        <v>0</v>
      </c>
      <c r="F184">
        <v>0</v>
      </c>
    </row>
    <row r="185" spans="1:14">
      <c r="A185" t="s">
        <v>1018</v>
      </c>
      <c r="C185" t="s">
        <v>1167</v>
      </c>
      <c r="D185">
        <v>0</v>
      </c>
      <c r="E185">
        <v>0</v>
      </c>
      <c r="F185">
        <v>0</v>
      </c>
    </row>
    <row r="186" spans="1:14">
      <c r="A186" t="s">
        <v>1167</v>
      </c>
      <c r="C186" t="s">
        <v>622</v>
      </c>
      <c r="D186">
        <v>0</v>
      </c>
      <c r="E186">
        <v>0</v>
      </c>
      <c r="F186" s="211">
        <f>7408124-141+5095+2</f>
        <v>7413080</v>
      </c>
      <c r="G186">
        <f>+F186</f>
        <v>7413080</v>
      </c>
      <c r="H186" s="211" t="s">
        <v>3318</v>
      </c>
    </row>
    <row r="187" spans="1:14">
      <c r="A187" t="s">
        <v>622</v>
      </c>
      <c r="G187" s="851" t="s">
        <v>2626</v>
      </c>
    </row>
    <row r="188" spans="1:14">
      <c r="G188">
        <v>1</v>
      </c>
      <c r="H188" s="21" t="s">
        <v>2943</v>
      </c>
    </row>
    <row r="189" spans="1:14">
      <c r="H189" s="21" t="s">
        <v>2944</v>
      </c>
    </row>
  </sheetData>
  <phoneticPr fontId="0" type="noConversion"/>
  <printOptions horizontalCentered="1"/>
  <pageMargins left="0.5" right="0.5" top="0.25" bottom="0.4" header="0.25" footer="0.25"/>
  <pageSetup scale="70" firstPageNumber="21" orientation="portrait" useFirstPageNumber="1" r:id="rId1"/>
  <headerFooter alignWithMargins="0">
    <oddFooter xml:space="preserve">&amp;CThe accompanying notes are an integral part of these financial statements.
</oddFooter>
  </headerFooter>
  <rowBreaks count="1" manualBreakCount="1">
    <brk id="80" max="16383" man="1"/>
  </rowBreaks>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ransitionEvaluation="1" codeName="Sheet43"/>
  <dimension ref="A2:FJ269"/>
  <sheetViews>
    <sheetView topLeftCell="A4" zoomScaleNormal="70" workbookViewId="0">
      <pane xSplit="2" ySplit="8" topLeftCell="C12" activePane="bottomRight" state="frozen"/>
      <selection activeCell="B50" sqref="B50"/>
      <selection pane="topRight" activeCell="B50" sqref="B50"/>
      <selection pane="bottomLeft" activeCell="B50" sqref="B50"/>
      <selection pane="bottomRight" activeCell="H27" sqref="H27:H40"/>
    </sheetView>
  </sheetViews>
  <sheetFormatPr defaultColWidth="9.7109375" defaultRowHeight="12.75"/>
  <cols>
    <col min="1" max="1" width="33.7109375" bestFit="1" customWidth="1"/>
    <col min="2" max="2" width="34.7109375" bestFit="1" customWidth="1"/>
    <col min="3" max="5" width="10.7109375" customWidth="1"/>
    <col min="6" max="7" width="10" customWidth="1"/>
    <col min="8" max="8" width="10.28515625" customWidth="1"/>
    <col min="9" max="21" width="10" customWidth="1"/>
    <col min="22" max="23" width="10.28515625" customWidth="1"/>
    <col min="24" max="24" width="10" customWidth="1"/>
    <col min="25" max="43" width="12.28515625" customWidth="1"/>
    <col min="44" max="44" width="18" bestFit="1" customWidth="1"/>
    <col min="45" max="54" width="12.28515625" customWidth="1"/>
    <col min="55" max="114" width="10" customWidth="1"/>
    <col min="115" max="115" width="10.28515625" bestFit="1" customWidth="1"/>
    <col min="116" max="116" width="18" bestFit="1" customWidth="1"/>
    <col min="117" max="150" width="10" customWidth="1"/>
    <col min="151" max="151" width="11.28515625" customWidth="1"/>
    <col min="152" max="152" width="18.5703125" bestFit="1" customWidth="1"/>
    <col min="153" max="153" width="10.7109375" customWidth="1"/>
    <col min="154" max="154" width="10" customWidth="1"/>
    <col min="155" max="156" width="10.28515625" customWidth="1"/>
    <col min="157" max="158" width="10" customWidth="1"/>
    <col min="159" max="159" width="5.28515625" customWidth="1"/>
    <col min="160" max="160" width="17.5703125" customWidth="1"/>
    <col min="161" max="162" width="10.7109375" bestFit="1" customWidth="1"/>
    <col min="164" max="164" width="10.28515625" bestFit="1" customWidth="1"/>
    <col min="168" max="168" width="10.28515625" bestFit="1" customWidth="1"/>
  </cols>
  <sheetData>
    <row r="2" spans="1:163" hidden="1"/>
    <row r="3" spans="1:163" hidden="1"/>
    <row r="4" spans="1:163">
      <c r="D4" s="26"/>
      <c r="E4" s="20"/>
      <c r="F4" s="20"/>
      <c r="G4" s="26" t="s">
        <v>1298</v>
      </c>
      <c r="H4" s="20"/>
      <c r="I4" s="20"/>
      <c r="J4" s="28"/>
      <c r="K4" s="28"/>
      <c r="L4" s="28"/>
      <c r="M4" s="28"/>
      <c r="N4" s="28"/>
      <c r="O4" s="28"/>
      <c r="P4" s="28"/>
      <c r="S4" s="28"/>
      <c r="T4" s="28"/>
    </row>
    <row r="5" spans="1:163">
      <c r="D5" s="26"/>
      <c r="E5" s="20"/>
      <c r="F5" s="20"/>
      <c r="G5" s="26" t="s">
        <v>554</v>
      </c>
      <c r="H5" s="20"/>
      <c r="I5" s="20"/>
      <c r="J5" s="26" t="s">
        <v>894</v>
      </c>
      <c r="K5" s="20"/>
      <c r="L5" s="20"/>
      <c r="M5" s="28"/>
      <c r="N5" s="28"/>
      <c r="O5" s="28"/>
      <c r="P5" s="26" t="s">
        <v>898</v>
      </c>
      <c r="Q5" s="20"/>
      <c r="R5" s="20"/>
      <c r="S5" s="26" t="s">
        <v>903</v>
      </c>
      <c r="T5" s="20"/>
      <c r="U5" s="20"/>
      <c r="Y5" s="26"/>
      <c r="Z5" s="20"/>
      <c r="AA5" s="20"/>
      <c r="AB5" s="20"/>
      <c r="AC5" s="20"/>
      <c r="AD5" s="20"/>
      <c r="AF5" s="20"/>
      <c r="AG5" s="20"/>
      <c r="AH5" s="26" t="s">
        <v>1657</v>
      </c>
      <c r="AI5" s="20"/>
      <c r="AJ5" s="20"/>
      <c r="AL5" s="20"/>
      <c r="AM5" s="20"/>
      <c r="AN5" s="26"/>
      <c r="AO5" s="20"/>
      <c r="AP5" s="20"/>
      <c r="AQ5" s="26"/>
      <c r="AR5" s="20"/>
      <c r="AS5" s="20"/>
      <c r="AT5" s="26"/>
      <c r="AU5" s="20"/>
      <c r="AV5" s="20"/>
      <c r="AW5" s="26"/>
      <c r="AX5" s="20"/>
      <c r="AY5" s="20"/>
      <c r="AZ5" s="26"/>
      <c r="BA5" s="20"/>
      <c r="BB5" s="20"/>
      <c r="BU5" s="26" t="s">
        <v>2620</v>
      </c>
      <c r="BV5" s="20"/>
      <c r="BW5" s="20"/>
    </row>
    <row r="6" spans="1:163">
      <c r="C6" s="26" t="s">
        <v>1199</v>
      </c>
      <c r="D6" s="20"/>
      <c r="E6" s="20"/>
      <c r="F6" s="20"/>
      <c r="G6" s="26" t="s">
        <v>835</v>
      </c>
      <c r="H6" s="20"/>
      <c r="I6" s="20"/>
      <c r="J6" s="26" t="s">
        <v>14</v>
      </c>
      <c r="K6" s="20"/>
      <c r="L6" s="20"/>
      <c r="M6" s="26" t="s">
        <v>14</v>
      </c>
      <c r="N6" s="20"/>
      <c r="O6" s="20"/>
      <c r="P6" s="26" t="s">
        <v>1382</v>
      </c>
      <c r="Q6" s="20"/>
      <c r="R6" s="20"/>
      <c r="S6" s="26" t="s">
        <v>1298</v>
      </c>
      <c r="T6" s="20"/>
      <c r="U6" s="20"/>
      <c r="V6" s="26" t="s">
        <v>1020</v>
      </c>
      <c r="W6" s="20"/>
      <c r="X6" s="20"/>
      <c r="Y6" s="26" t="s">
        <v>1361</v>
      </c>
      <c r="Z6" s="20"/>
      <c r="AA6" s="20"/>
      <c r="AB6" s="26" t="s">
        <v>1748</v>
      </c>
      <c r="AC6" s="20"/>
      <c r="AD6" s="20"/>
      <c r="AE6" s="26" t="s">
        <v>589</v>
      </c>
      <c r="AF6" s="20"/>
      <c r="AG6" s="20"/>
      <c r="AH6" s="26" t="s">
        <v>625</v>
      </c>
      <c r="AI6" s="20"/>
      <c r="AJ6" s="20"/>
      <c r="AK6" s="26" t="s">
        <v>899</v>
      </c>
      <c r="AL6" s="20"/>
      <c r="AM6" s="20"/>
      <c r="AN6" s="26" t="s">
        <v>316</v>
      </c>
      <c r="AO6" s="20"/>
      <c r="AP6" s="20"/>
      <c r="AQ6" s="26" t="s">
        <v>1614</v>
      </c>
      <c r="AR6" s="20"/>
      <c r="AS6" s="20"/>
      <c r="AT6" s="26" t="s">
        <v>48</v>
      </c>
      <c r="AU6" s="20"/>
      <c r="AV6" s="20"/>
      <c r="AW6" s="26" t="s">
        <v>50</v>
      </c>
      <c r="AX6" s="20"/>
      <c r="AY6" s="20"/>
      <c r="AZ6" s="26" t="s">
        <v>76</v>
      </c>
      <c r="BA6" s="20"/>
      <c r="BB6" s="20"/>
      <c r="BC6" s="26" t="s">
        <v>77</v>
      </c>
      <c r="BD6" s="20"/>
      <c r="BE6" s="20"/>
      <c r="BF6" s="26" t="s">
        <v>79</v>
      </c>
      <c r="BG6" s="20"/>
      <c r="BH6" s="20"/>
      <c r="BI6" s="26" t="s">
        <v>30</v>
      </c>
      <c r="BJ6" s="20"/>
      <c r="BK6" s="20"/>
      <c r="BL6" s="26" t="s">
        <v>1228</v>
      </c>
      <c r="BM6" s="20"/>
      <c r="BN6" s="20"/>
      <c r="BO6" s="26" t="s">
        <v>190</v>
      </c>
      <c r="BP6" s="20"/>
      <c r="BQ6" s="20"/>
      <c r="BR6" s="26" t="s">
        <v>191</v>
      </c>
      <c r="BS6" s="20"/>
      <c r="BT6" s="20"/>
      <c r="BU6" s="26" t="s">
        <v>1267</v>
      </c>
      <c r="BV6" s="20"/>
      <c r="BW6" s="20"/>
      <c r="BX6" s="26" t="s">
        <v>198</v>
      </c>
      <c r="BY6" s="20"/>
      <c r="BZ6" s="20"/>
      <c r="CA6" s="26" t="s">
        <v>199</v>
      </c>
      <c r="CB6" s="20"/>
      <c r="CC6" s="20"/>
      <c r="CD6" s="26" t="s">
        <v>200</v>
      </c>
      <c r="CE6" s="20"/>
      <c r="CF6" s="20"/>
      <c r="CG6" s="26" t="s">
        <v>201</v>
      </c>
      <c r="CH6" s="20"/>
      <c r="CI6" s="20"/>
      <c r="CJ6" s="26" t="s">
        <v>55</v>
      </c>
      <c r="CK6" s="20"/>
      <c r="CL6" s="20"/>
      <c r="CM6" s="26" t="s">
        <v>245</v>
      </c>
      <c r="CN6" s="20"/>
      <c r="CO6" s="20"/>
      <c r="CP6" s="26" t="s">
        <v>1077</v>
      </c>
      <c r="CQ6" s="20"/>
      <c r="CR6" s="20"/>
      <c r="CS6" s="26" t="s">
        <v>1078</v>
      </c>
      <c r="CT6" s="20"/>
      <c r="CU6" s="20"/>
      <c r="CV6" s="26" t="s">
        <v>1906</v>
      </c>
      <c r="CW6" s="20"/>
      <c r="CX6" s="20"/>
      <c r="CY6" s="26" t="s">
        <v>1547</v>
      </c>
      <c r="CZ6" s="20"/>
      <c r="DA6" s="20"/>
      <c r="DB6" s="26" t="s">
        <v>1548</v>
      </c>
      <c r="DC6" s="20"/>
      <c r="DD6" s="20"/>
      <c r="DE6" s="26" t="s">
        <v>1549</v>
      </c>
      <c r="DF6" s="20"/>
      <c r="DG6" s="20"/>
      <c r="DH6" s="26" t="s">
        <v>1550</v>
      </c>
      <c r="DI6" s="20"/>
      <c r="DJ6" s="20"/>
      <c r="DK6" s="26" t="s">
        <v>1551</v>
      </c>
      <c r="DL6" s="20"/>
      <c r="DM6" s="20"/>
      <c r="DN6" s="26" t="s">
        <v>1664</v>
      </c>
      <c r="DO6" s="20"/>
      <c r="DP6" s="20"/>
      <c r="DQ6" s="26" t="s">
        <v>553</v>
      </c>
      <c r="DR6" s="20"/>
      <c r="DS6" s="20"/>
      <c r="DT6" s="26" t="s">
        <v>1088</v>
      </c>
      <c r="DU6" s="20"/>
      <c r="DV6" s="20"/>
      <c r="DW6" s="26" t="s">
        <v>1088</v>
      </c>
      <c r="DX6" s="20"/>
      <c r="DY6" s="20"/>
      <c r="DZ6" s="26" t="s">
        <v>1190</v>
      </c>
      <c r="EA6" s="20"/>
      <c r="EB6" s="20"/>
      <c r="EC6" s="26" t="s">
        <v>115</v>
      </c>
      <c r="ED6" s="20"/>
      <c r="EE6" s="20"/>
      <c r="EF6" s="26" t="s">
        <v>1289</v>
      </c>
      <c r="EG6" s="20"/>
      <c r="EH6" s="20"/>
      <c r="EI6" s="26" t="s">
        <v>43</v>
      </c>
      <c r="EJ6" s="20"/>
      <c r="EK6" s="20"/>
      <c r="EL6" s="26" t="s">
        <v>1290</v>
      </c>
      <c r="EM6" s="20"/>
      <c r="EN6" s="20"/>
      <c r="EO6" s="26" t="s">
        <v>1291</v>
      </c>
      <c r="EP6" s="20"/>
      <c r="EQ6" s="20"/>
      <c r="ER6" s="26" t="s">
        <v>1292</v>
      </c>
      <c r="ES6" s="20"/>
      <c r="ET6" s="20"/>
      <c r="EU6" s="26" t="s">
        <v>1136</v>
      </c>
      <c r="EV6" s="20"/>
      <c r="EW6" s="20"/>
      <c r="EX6" s="20"/>
      <c r="EY6" s="26" t="s">
        <v>1137</v>
      </c>
      <c r="EZ6" s="20"/>
      <c r="FA6" s="20"/>
      <c r="FD6" s="21" t="s">
        <v>2290</v>
      </c>
    </row>
    <row r="7" spans="1:163">
      <c r="C7" s="66">
        <v>230</v>
      </c>
      <c r="D7" s="20"/>
      <c r="E7" s="20"/>
      <c r="F7" s="20"/>
      <c r="G7" s="66" t="s">
        <v>1210</v>
      </c>
      <c r="H7" s="20"/>
      <c r="I7" s="20"/>
      <c r="J7" s="66" t="s">
        <v>11</v>
      </c>
      <c r="K7" s="20"/>
      <c r="L7" s="20"/>
      <c r="M7" s="66" t="s">
        <v>12</v>
      </c>
      <c r="N7" s="20"/>
      <c r="O7" s="20"/>
      <c r="P7" s="66" t="s">
        <v>1148</v>
      </c>
      <c r="Q7" s="20"/>
      <c r="R7" s="20"/>
      <c r="S7" s="66" t="s">
        <v>1149</v>
      </c>
      <c r="T7" s="20"/>
      <c r="U7" s="20"/>
      <c r="V7" s="66">
        <v>211</v>
      </c>
      <c r="W7" s="20"/>
      <c r="X7" s="20"/>
      <c r="Y7" s="66">
        <v>215</v>
      </c>
      <c r="Z7" s="20"/>
      <c r="AA7" s="20"/>
      <c r="AB7" s="66">
        <v>216</v>
      </c>
      <c r="AC7" s="20"/>
      <c r="AD7" s="20"/>
      <c r="AE7" s="66">
        <v>218</v>
      </c>
      <c r="AF7" s="20"/>
      <c r="AG7" s="20"/>
      <c r="AH7" s="66">
        <v>220</v>
      </c>
      <c r="AI7" s="20"/>
      <c r="AJ7" s="20"/>
      <c r="AK7" s="66">
        <v>221</v>
      </c>
      <c r="AL7" s="20"/>
      <c r="AM7" s="20"/>
      <c r="AN7" s="66">
        <v>222</v>
      </c>
      <c r="AO7" s="20"/>
      <c r="AP7" s="20"/>
      <c r="AQ7" s="66">
        <v>223</v>
      </c>
      <c r="AR7" s="20"/>
      <c r="AS7" s="20"/>
      <c r="AT7" s="66">
        <v>224</v>
      </c>
      <c r="AU7" s="20"/>
      <c r="AV7" s="20"/>
      <c r="AW7" s="66">
        <v>225</v>
      </c>
      <c r="AX7" s="20"/>
      <c r="AY7" s="20"/>
      <c r="AZ7" s="66">
        <v>226</v>
      </c>
      <c r="BA7" s="20"/>
      <c r="BB7" s="20"/>
      <c r="BC7" s="66">
        <v>227</v>
      </c>
      <c r="BD7" s="20"/>
      <c r="BE7" s="20"/>
      <c r="BF7" s="66">
        <v>228</v>
      </c>
      <c r="BG7" s="20"/>
      <c r="BH7" s="20"/>
      <c r="BI7" s="66">
        <v>229</v>
      </c>
      <c r="BJ7" s="20"/>
      <c r="BK7" s="20"/>
      <c r="BL7" s="66">
        <v>231</v>
      </c>
      <c r="BM7" s="20"/>
      <c r="BN7" s="20"/>
      <c r="BO7" s="66">
        <v>232</v>
      </c>
      <c r="BP7" s="20"/>
      <c r="BQ7" s="20"/>
      <c r="BR7" s="66">
        <v>237</v>
      </c>
      <c r="BS7" s="20"/>
      <c r="BT7" s="20"/>
      <c r="BU7" s="66" t="s">
        <v>2619</v>
      </c>
      <c r="BV7" s="20"/>
      <c r="BW7" s="20"/>
      <c r="BX7" s="66">
        <v>235</v>
      </c>
      <c r="BY7" s="20"/>
      <c r="BZ7" s="20"/>
      <c r="CA7" s="66">
        <v>236</v>
      </c>
      <c r="CB7" s="20"/>
      <c r="CC7" s="20"/>
      <c r="CD7" s="66">
        <v>238239</v>
      </c>
      <c r="CE7" s="20"/>
      <c r="CF7" s="20"/>
      <c r="CG7" s="66">
        <v>240</v>
      </c>
      <c r="CH7" s="20"/>
      <c r="CI7" s="20"/>
      <c r="CJ7" s="66">
        <v>241</v>
      </c>
      <c r="CK7" s="20"/>
      <c r="CL7" s="20"/>
      <c r="CM7" s="66">
        <v>242</v>
      </c>
      <c r="CN7" s="20"/>
      <c r="CO7" s="20"/>
      <c r="CP7" s="66">
        <v>243</v>
      </c>
      <c r="CQ7" s="20"/>
      <c r="CR7" s="20"/>
      <c r="CS7" s="66">
        <v>244</v>
      </c>
      <c r="CT7" s="20"/>
      <c r="CU7" s="20"/>
      <c r="CV7" s="66">
        <v>247</v>
      </c>
      <c r="CW7" s="20"/>
      <c r="CX7" s="20"/>
      <c r="CY7" s="66">
        <v>248</v>
      </c>
      <c r="CZ7" s="20"/>
      <c r="DA7" s="20"/>
      <c r="DB7" s="66">
        <v>249</v>
      </c>
      <c r="DC7" s="20"/>
      <c r="DD7" s="20"/>
      <c r="DE7" s="66">
        <v>250</v>
      </c>
      <c r="DF7" s="20"/>
      <c r="DG7" s="20"/>
      <c r="DH7" s="66">
        <v>251</v>
      </c>
      <c r="DI7" s="20"/>
      <c r="DJ7" s="20"/>
      <c r="DK7" s="66">
        <v>252</v>
      </c>
      <c r="DL7" s="20"/>
      <c r="DM7" s="20"/>
      <c r="DN7" s="66">
        <v>253</v>
      </c>
      <c r="DO7" s="20"/>
      <c r="DP7" s="20"/>
      <c r="DQ7" s="66">
        <v>280</v>
      </c>
      <c r="DR7" s="20"/>
      <c r="DS7" s="20"/>
      <c r="DT7" s="66">
        <v>282</v>
      </c>
      <c r="DU7" s="20"/>
      <c r="DV7" s="20"/>
      <c r="DW7" s="66">
        <v>283</v>
      </c>
      <c r="DX7" s="20"/>
      <c r="DY7" s="20"/>
      <c r="DZ7" s="66">
        <v>291</v>
      </c>
      <c r="EA7" s="20"/>
      <c r="EB7" s="20"/>
      <c r="EC7" s="66">
        <v>293</v>
      </c>
      <c r="ED7" s="20"/>
      <c r="EE7" s="20"/>
      <c r="EF7" s="66">
        <v>294</v>
      </c>
      <c r="EG7" s="20"/>
      <c r="EH7" s="20"/>
      <c r="EI7" s="66">
        <v>295</v>
      </c>
      <c r="EJ7" s="20"/>
      <c r="EK7" s="20"/>
      <c r="EL7" s="66">
        <v>296</v>
      </c>
      <c r="EM7" s="20"/>
      <c r="EN7" s="20"/>
      <c r="EO7" s="66">
        <v>297</v>
      </c>
      <c r="EP7" s="20"/>
      <c r="EQ7" s="20"/>
      <c r="ER7" s="66">
        <v>299</v>
      </c>
      <c r="ES7" s="20"/>
      <c r="ET7" s="20"/>
      <c r="EU7" s="66" t="s">
        <v>1138</v>
      </c>
      <c r="EV7" s="20"/>
      <c r="EW7" s="20"/>
      <c r="EX7" s="20"/>
      <c r="EY7" s="66" t="s">
        <v>1310</v>
      </c>
      <c r="EZ7" s="20"/>
      <c r="FA7" s="20"/>
      <c r="FG7" s="21" t="s">
        <v>2016</v>
      </c>
    </row>
    <row r="8" spans="1:163" ht="7.5" customHeight="1">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row>
    <row r="9" spans="1:163" ht="12.75" customHeight="1">
      <c r="D9" s="25"/>
      <c r="E9" s="3"/>
      <c r="F9" s="3"/>
      <c r="G9" s="19"/>
      <c r="H9" s="19"/>
      <c r="I9" s="19"/>
      <c r="J9" s="1"/>
      <c r="K9" s="19"/>
      <c r="L9" s="19"/>
      <c r="M9" s="19"/>
      <c r="N9" s="1"/>
      <c r="O9" s="19"/>
      <c r="P9" s="19"/>
      <c r="Q9" s="19"/>
      <c r="R9" s="1"/>
      <c r="S9" s="19"/>
      <c r="T9" s="24"/>
      <c r="U9" s="19"/>
      <c r="V9" s="1"/>
      <c r="W9" s="19"/>
      <c r="X9" s="24"/>
      <c r="Y9" s="19"/>
      <c r="Z9" s="1"/>
      <c r="AA9" s="19"/>
      <c r="AB9" s="19"/>
      <c r="AC9" s="19"/>
      <c r="AD9" s="1"/>
      <c r="AE9" s="19"/>
      <c r="AF9" s="24"/>
      <c r="AG9" s="19"/>
      <c r="AH9" s="1"/>
      <c r="AI9" s="19"/>
      <c r="AJ9" s="24"/>
      <c r="AK9" s="19"/>
      <c r="AL9" s="1"/>
      <c r="AM9" s="19"/>
      <c r="AN9" s="24"/>
      <c r="AO9" s="19"/>
      <c r="AP9" s="1"/>
      <c r="AQ9" s="19"/>
      <c r="AR9" s="24"/>
      <c r="AS9" s="19"/>
      <c r="AT9" s="1"/>
      <c r="AU9" s="19"/>
      <c r="AV9" s="24"/>
      <c r="AW9" s="19"/>
      <c r="AX9" s="19"/>
      <c r="AY9" s="19"/>
      <c r="AZ9" s="19"/>
      <c r="BA9" s="19"/>
      <c r="BB9" s="1"/>
      <c r="BC9" s="19"/>
      <c r="BD9" s="24"/>
      <c r="BE9" s="19"/>
      <c r="BF9" s="1"/>
      <c r="BG9" s="19"/>
      <c r="BH9" s="24"/>
      <c r="BI9" s="19"/>
      <c r="BJ9" s="1"/>
      <c r="BK9" s="19"/>
      <c r="BL9" s="24"/>
      <c r="BO9" s="19"/>
      <c r="BP9" s="24"/>
      <c r="BQ9" s="19"/>
      <c r="BR9" s="1"/>
      <c r="BS9" s="19"/>
      <c r="BT9" s="24"/>
      <c r="BU9" s="1"/>
      <c r="BV9" s="19"/>
      <c r="BW9" s="24"/>
      <c r="BX9" s="19"/>
      <c r="BY9" s="1"/>
      <c r="BZ9" s="19"/>
      <c r="CA9" s="24"/>
      <c r="CB9" s="19"/>
      <c r="CC9" s="1"/>
      <c r="CD9" s="19"/>
      <c r="CE9" s="24"/>
      <c r="CF9" s="19"/>
      <c r="CG9" s="1"/>
      <c r="CH9" s="19"/>
      <c r="CI9" s="24"/>
      <c r="CJ9" s="19"/>
      <c r="CK9" s="1"/>
      <c r="CL9" s="19"/>
      <c r="CM9" s="24"/>
      <c r="CN9" s="19"/>
      <c r="CO9" s="1"/>
      <c r="CP9" s="19"/>
      <c r="CQ9" s="24"/>
      <c r="CR9" s="19"/>
      <c r="CS9" s="1"/>
      <c r="CT9" s="19"/>
      <c r="CU9" s="24"/>
      <c r="CV9" s="19"/>
      <c r="CW9" s="1"/>
      <c r="CX9" s="19"/>
      <c r="CY9" s="24"/>
      <c r="CZ9" s="19"/>
      <c r="DA9" s="1"/>
      <c r="DB9" s="19"/>
      <c r="DC9" s="24"/>
      <c r="DD9" s="19"/>
      <c r="DE9" s="1"/>
      <c r="DF9" s="19"/>
      <c r="DG9" s="24"/>
      <c r="DH9" s="19"/>
      <c r="DI9" s="1"/>
      <c r="DJ9" s="19"/>
      <c r="DK9" s="24"/>
      <c r="DL9" s="19"/>
      <c r="DM9" s="1"/>
      <c r="DN9" s="19"/>
      <c r="DO9" s="24"/>
      <c r="DP9" s="19"/>
      <c r="DQ9" s="1"/>
      <c r="DR9" s="19"/>
      <c r="DS9" s="24"/>
      <c r="DT9" s="19"/>
      <c r="DU9" s="1"/>
      <c r="DV9" s="19"/>
      <c r="DW9" s="19"/>
      <c r="DX9" s="1"/>
      <c r="DY9" s="19"/>
      <c r="DZ9" s="24"/>
      <c r="EA9" s="19"/>
      <c r="EB9" s="1"/>
      <c r="EC9" s="19"/>
      <c r="ED9" s="24"/>
      <c r="EE9" s="19"/>
      <c r="EF9" s="19"/>
      <c r="EG9" s="24"/>
      <c r="EH9" s="19"/>
      <c r="EI9" s="1"/>
      <c r="EJ9" s="19"/>
      <c r="EK9" s="24"/>
      <c r="EL9" s="19"/>
      <c r="EM9" s="1"/>
      <c r="EN9" s="19"/>
      <c r="EO9" s="24"/>
      <c r="EP9" s="19"/>
      <c r="EQ9" s="1"/>
      <c r="ER9" s="19"/>
      <c r="ES9" s="24"/>
      <c r="ET9" s="19"/>
      <c r="EU9" s="1"/>
      <c r="EV9" s="19"/>
      <c r="EW9" s="19"/>
      <c r="EX9" s="19"/>
      <c r="EY9" s="19"/>
      <c r="EZ9" s="1"/>
      <c r="FA9" s="19"/>
      <c r="FB9" s="24"/>
      <c r="FC9" s="19"/>
    </row>
    <row r="10" spans="1:163" s="21" customFormat="1">
      <c r="C10" s="28" t="s">
        <v>857</v>
      </c>
      <c r="D10" s="28" t="s">
        <v>414</v>
      </c>
      <c r="E10" s="28" t="s">
        <v>858</v>
      </c>
      <c r="F10" s="28"/>
      <c r="G10" s="28" t="s">
        <v>414</v>
      </c>
      <c r="H10" s="28" t="s">
        <v>858</v>
      </c>
      <c r="I10" s="28"/>
      <c r="J10" s="28" t="s">
        <v>414</v>
      </c>
      <c r="K10" s="28" t="s">
        <v>858</v>
      </c>
      <c r="L10" s="28"/>
      <c r="M10" s="28" t="s">
        <v>414</v>
      </c>
      <c r="N10" s="28" t="s">
        <v>858</v>
      </c>
      <c r="O10" s="28"/>
      <c r="P10" s="28" t="s">
        <v>414</v>
      </c>
      <c r="Q10" s="28" t="s">
        <v>858</v>
      </c>
      <c r="R10" s="28"/>
      <c r="S10" s="28" t="s">
        <v>414</v>
      </c>
      <c r="T10" s="28" t="s">
        <v>858</v>
      </c>
      <c r="U10" s="130"/>
      <c r="V10" s="28" t="s">
        <v>414</v>
      </c>
      <c r="W10" s="28" t="s">
        <v>858</v>
      </c>
      <c r="X10" s="28"/>
      <c r="Y10" s="28" t="s">
        <v>414</v>
      </c>
      <c r="Z10" s="28" t="s">
        <v>858</v>
      </c>
      <c r="AA10" s="28"/>
      <c r="AB10" s="28" t="s">
        <v>414</v>
      </c>
      <c r="AC10" s="28" t="s">
        <v>858</v>
      </c>
      <c r="AD10" s="28"/>
      <c r="AE10" s="28" t="s">
        <v>414</v>
      </c>
      <c r="AF10" s="28" t="s">
        <v>858</v>
      </c>
      <c r="AG10" s="28"/>
      <c r="AH10" s="28" t="s">
        <v>414</v>
      </c>
      <c r="AI10" s="28" t="s">
        <v>858</v>
      </c>
      <c r="AJ10" s="28"/>
      <c r="AK10" s="28" t="s">
        <v>414</v>
      </c>
      <c r="AL10" s="28" t="s">
        <v>858</v>
      </c>
      <c r="AM10" s="28"/>
      <c r="AN10" s="28" t="s">
        <v>414</v>
      </c>
      <c r="AO10" s="28" t="s">
        <v>858</v>
      </c>
      <c r="AP10" s="28"/>
      <c r="AQ10" s="28" t="s">
        <v>414</v>
      </c>
      <c r="AR10" s="28" t="s">
        <v>858</v>
      </c>
      <c r="AS10" s="28"/>
      <c r="AT10" s="28" t="s">
        <v>414</v>
      </c>
      <c r="AU10" s="28" t="s">
        <v>858</v>
      </c>
      <c r="AV10" s="28"/>
      <c r="AW10" s="28" t="s">
        <v>414</v>
      </c>
      <c r="AX10" s="28" t="s">
        <v>858</v>
      </c>
      <c r="AY10" s="28"/>
      <c r="AZ10" s="28" t="s">
        <v>414</v>
      </c>
      <c r="BA10" s="28" t="s">
        <v>858</v>
      </c>
      <c r="BB10" s="28"/>
      <c r="BC10" s="28" t="s">
        <v>414</v>
      </c>
      <c r="BD10" s="28" t="s">
        <v>858</v>
      </c>
      <c r="BE10" s="28"/>
      <c r="BF10" s="28" t="s">
        <v>414</v>
      </c>
      <c r="BG10" s="28" t="s">
        <v>858</v>
      </c>
      <c r="BH10" s="28"/>
      <c r="BI10" s="28" t="s">
        <v>414</v>
      </c>
      <c r="BJ10" s="28" t="s">
        <v>858</v>
      </c>
      <c r="BK10" s="28"/>
      <c r="BL10" s="28" t="s">
        <v>414</v>
      </c>
      <c r="BM10" s="28" t="s">
        <v>858</v>
      </c>
      <c r="BN10" s="28"/>
      <c r="BO10" s="28" t="s">
        <v>414</v>
      </c>
      <c r="BP10" s="28" t="s">
        <v>858</v>
      </c>
      <c r="BQ10" s="28"/>
      <c r="BR10" s="28" t="s">
        <v>414</v>
      </c>
      <c r="BS10" s="28" t="s">
        <v>858</v>
      </c>
      <c r="BT10" s="28"/>
      <c r="BU10" s="28" t="s">
        <v>414</v>
      </c>
      <c r="BV10" s="28" t="s">
        <v>858</v>
      </c>
      <c r="BW10" s="28"/>
      <c r="BX10" s="28" t="s">
        <v>414</v>
      </c>
      <c r="BY10" s="28" t="s">
        <v>858</v>
      </c>
      <c r="BZ10" s="28"/>
      <c r="CA10" s="28" t="s">
        <v>414</v>
      </c>
      <c r="CB10" s="28" t="s">
        <v>858</v>
      </c>
      <c r="CC10" s="28"/>
      <c r="CD10" s="28" t="s">
        <v>414</v>
      </c>
      <c r="CE10" s="28" t="s">
        <v>858</v>
      </c>
      <c r="CF10" s="28"/>
      <c r="CG10" s="28" t="s">
        <v>414</v>
      </c>
      <c r="CH10" s="28" t="s">
        <v>858</v>
      </c>
      <c r="CI10" s="28"/>
      <c r="CJ10" s="28" t="s">
        <v>414</v>
      </c>
      <c r="CK10" s="28" t="s">
        <v>858</v>
      </c>
      <c r="CL10" s="28"/>
      <c r="CM10" s="28" t="s">
        <v>414</v>
      </c>
      <c r="CN10" s="28" t="s">
        <v>858</v>
      </c>
      <c r="CO10" s="28"/>
      <c r="CP10" s="28" t="s">
        <v>414</v>
      </c>
      <c r="CQ10" s="28" t="s">
        <v>858</v>
      </c>
      <c r="CR10" s="28"/>
      <c r="CS10" s="28" t="s">
        <v>414</v>
      </c>
      <c r="CT10" s="28" t="s">
        <v>858</v>
      </c>
      <c r="CU10" s="28"/>
      <c r="CV10" s="28" t="s">
        <v>414</v>
      </c>
      <c r="CW10" s="28" t="s">
        <v>858</v>
      </c>
      <c r="CX10" s="28"/>
      <c r="CY10" s="28" t="s">
        <v>414</v>
      </c>
      <c r="CZ10" s="28" t="s">
        <v>858</v>
      </c>
      <c r="DA10" s="28"/>
      <c r="DB10" s="28" t="s">
        <v>414</v>
      </c>
      <c r="DC10" s="28" t="s">
        <v>858</v>
      </c>
      <c r="DD10" s="28"/>
      <c r="DE10" s="28" t="s">
        <v>414</v>
      </c>
      <c r="DF10" s="28" t="s">
        <v>858</v>
      </c>
      <c r="DG10" s="28"/>
      <c r="DH10" s="28" t="s">
        <v>414</v>
      </c>
      <c r="DI10" s="28" t="s">
        <v>858</v>
      </c>
      <c r="DJ10" s="28"/>
      <c r="DK10" s="28" t="s">
        <v>414</v>
      </c>
      <c r="DL10" s="28" t="s">
        <v>858</v>
      </c>
      <c r="DM10" s="28"/>
      <c r="DN10" s="28" t="s">
        <v>414</v>
      </c>
      <c r="DO10" s="28" t="s">
        <v>858</v>
      </c>
      <c r="DP10" s="28"/>
      <c r="DQ10" s="28" t="s">
        <v>414</v>
      </c>
      <c r="DR10" s="28" t="s">
        <v>858</v>
      </c>
      <c r="DS10" s="28"/>
      <c r="DT10" s="28" t="s">
        <v>414</v>
      </c>
      <c r="DU10" s="28" t="s">
        <v>858</v>
      </c>
      <c r="DV10" s="28"/>
      <c r="DW10" s="28" t="s">
        <v>414</v>
      </c>
      <c r="DX10" s="28" t="s">
        <v>858</v>
      </c>
      <c r="DY10" s="28"/>
      <c r="DZ10" s="28" t="s">
        <v>414</v>
      </c>
      <c r="EA10" s="28" t="s">
        <v>858</v>
      </c>
      <c r="EB10" s="28"/>
      <c r="EC10" s="28" t="s">
        <v>414</v>
      </c>
      <c r="ED10" s="28" t="s">
        <v>858</v>
      </c>
      <c r="EE10" s="28"/>
      <c r="EF10" s="28" t="s">
        <v>414</v>
      </c>
      <c r="EG10" s="28" t="s">
        <v>858</v>
      </c>
      <c r="EH10" s="28"/>
      <c r="EI10" s="28" t="s">
        <v>414</v>
      </c>
      <c r="EJ10" s="28" t="s">
        <v>858</v>
      </c>
      <c r="EK10" s="28"/>
      <c r="EL10" s="28" t="s">
        <v>414</v>
      </c>
      <c r="EM10" s="28" t="s">
        <v>858</v>
      </c>
      <c r="EN10" s="28"/>
      <c r="EO10" s="28" t="s">
        <v>414</v>
      </c>
      <c r="EP10" s="28" t="s">
        <v>858</v>
      </c>
      <c r="EQ10" s="28"/>
      <c r="ER10" s="28" t="s">
        <v>414</v>
      </c>
      <c r="ES10" s="28" t="s">
        <v>858</v>
      </c>
      <c r="ET10" s="28"/>
      <c r="EU10" s="28" t="s">
        <v>857</v>
      </c>
      <c r="EV10" s="28" t="s">
        <v>414</v>
      </c>
      <c r="EW10" s="28" t="s">
        <v>858</v>
      </c>
      <c r="EX10" s="28"/>
      <c r="EY10" s="28" t="s">
        <v>857</v>
      </c>
      <c r="EZ10" s="28" t="s">
        <v>414</v>
      </c>
      <c r="FA10" s="28" t="s">
        <v>858</v>
      </c>
      <c r="FD10" s="28" t="s">
        <v>2351</v>
      </c>
    </row>
    <row r="11" spans="1:163" s="21" customFormat="1">
      <c r="C11" s="29" t="s">
        <v>435</v>
      </c>
      <c r="D11" s="29" t="s">
        <v>435</v>
      </c>
      <c r="E11" s="29" t="s">
        <v>376</v>
      </c>
      <c r="F11" s="29"/>
      <c r="G11" s="29" t="s">
        <v>435</v>
      </c>
      <c r="H11" s="29" t="s">
        <v>376</v>
      </c>
      <c r="I11" s="29"/>
      <c r="J11" s="29" t="s">
        <v>435</v>
      </c>
      <c r="K11" s="29" t="s">
        <v>376</v>
      </c>
      <c r="L11" s="29"/>
      <c r="M11" s="29" t="s">
        <v>435</v>
      </c>
      <c r="N11" s="29" t="s">
        <v>376</v>
      </c>
      <c r="O11" s="29"/>
      <c r="P11" s="29" t="s">
        <v>435</v>
      </c>
      <c r="Q11" s="29" t="s">
        <v>376</v>
      </c>
      <c r="R11" s="29"/>
      <c r="S11" s="29" t="s">
        <v>435</v>
      </c>
      <c r="T11" s="29" t="s">
        <v>376</v>
      </c>
      <c r="U11" s="29"/>
      <c r="V11" s="29" t="s">
        <v>435</v>
      </c>
      <c r="W11" s="29" t="s">
        <v>376</v>
      </c>
      <c r="X11" s="29"/>
      <c r="Y11" s="29" t="s">
        <v>435</v>
      </c>
      <c r="Z11" s="29" t="s">
        <v>376</v>
      </c>
      <c r="AA11" s="29"/>
      <c r="AB11" s="29" t="s">
        <v>435</v>
      </c>
      <c r="AC11" s="29" t="s">
        <v>376</v>
      </c>
      <c r="AD11" s="29"/>
      <c r="AE11" s="29" t="s">
        <v>435</v>
      </c>
      <c r="AF11" s="29" t="s">
        <v>376</v>
      </c>
      <c r="AG11" s="29"/>
      <c r="AH11" s="29" t="s">
        <v>435</v>
      </c>
      <c r="AI11" s="29" t="s">
        <v>376</v>
      </c>
      <c r="AJ11" s="29"/>
      <c r="AK11" s="29" t="s">
        <v>435</v>
      </c>
      <c r="AL11" s="29" t="s">
        <v>376</v>
      </c>
      <c r="AM11" s="29"/>
      <c r="AN11" s="29" t="s">
        <v>435</v>
      </c>
      <c r="AO11" s="29" t="s">
        <v>376</v>
      </c>
      <c r="AP11" s="29"/>
      <c r="AQ11" s="29" t="s">
        <v>435</v>
      </c>
      <c r="AR11" s="29" t="s">
        <v>376</v>
      </c>
      <c r="AS11" s="29"/>
      <c r="AT11" s="29" t="s">
        <v>435</v>
      </c>
      <c r="AU11" s="29" t="s">
        <v>376</v>
      </c>
      <c r="AV11" s="29"/>
      <c r="AW11" s="29" t="s">
        <v>435</v>
      </c>
      <c r="AX11" s="29" t="s">
        <v>376</v>
      </c>
      <c r="AY11" s="29"/>
      <c r="AZ11" s="29" t="s">
        <v>435</v>
      </c>
      <c r="BA11" s="29" t="s">
        <v>376</v>
      </c>
      <c r="BB11" s="29"/>
      <c r="BC11" s="29" t="s">
        <v>435</v>
      </c>
      <c r="BD11" s="29" t="s">
        <v>376</v>
      </c>
      <c r="BE11" s="29"/>
      <c r="BF11" s="29" t="s">
        <v>435</v>
      </c>
      <c r="BG11" s="29" t="s">
        <v>376</v>
      </c>
      <c r="BH11" s="29"/>
      <c r="BI11" s="29" t="s">
        <v>435</v>
      </c>
      <c r="BJ11" s="29" t="s">
        <v>376</v>
      </c>
      <c r="BK11" s="29"/>
      <c r="BL11" s="29" t="s">
        <v>435</v>
      </c>
      <c r="BM11" s="29" t="s">
        <v>376</v>
      </c>
      <c r="BN11" s="29"/>
      <c r="BO11" s="29" t="s">
        <v>435</v>
      </c>
      <c r="BP11" s="29" t="s">
        <v>376</v>
      </c>
      <c r="BQ11" s="29"/>
      <c r="BR11" s="29" t="s">
        <v>435</v>
      </c>
      <c r="BS11" s="29" t="s">
        <v>376</v>
      </c>
      <c r="BT11" s="29"/>
      <c r="BU11" s="29" t="s">
        <v>435</v>
      </c>
      <c r="BV11" s="29" t="s">
        <v>376</v>
      </c>
      <c r="BW11" s="29"/>
      <c r="BX11" s="29" t="s">
        <v>435</v>
      </c>
      <c r="BY11" s="29" t="s">
        <v>376</v>
      </c>
      <c r="BZ11" s="29"/>
      <c r="CA11" s="29" t="s">
        <v>435</v>
      </c>
      <c r="CB11" s="29" t="s">
        <v>376</v>
      </c>
      <c r="CC11" s="29"/>
      <c r="CD11" s="29" t="s">
        <v>435</v>
      </c>
      <c r="CE11" s="29" t="s">
        <v>376</v>
      </c>
      <c r="CF11" s="29"/>
      <c r="CG11" s="29" t="s">
        <v>435</v>
      </c>
      <c r="CH11" s="29" t="s">
        <v>376</v>
      </c>
      <c r="CI11" s="29"/>
      <c r="CJ11" s="29" t="s">
        <v>435</v>
      </c>
      <c r="CK11" s="29" t="s">
        <v>376</v>
      </c>
      <c r="CL11" s="29"/>
      <c r="CM11" s="29" t="s">
        <v>435</v>
      </c>
      <c r="CN11" s="29" t="s">
        <v>376</v>
      </c>
      <c r="CO11" s="29"/>
      <c r="CP11" s="29" t="s">
        <v>435</v>
      </c>
      <c r="CQ11" s="29" t="s">
        <v>376</v>
      </c>
      <c r="CR11" s="29"/>
      <c r="CS11" s="29" t="s">
        <v>435</v>
      </c>
      <c r="CT11" s="29" t="s">
        <v>376</v>
      </c>
      <c r="CU11" s="29"/>
      <c r="CV11" s="29" t="s">
        <v>435</v>
      </c>
      <c r="CW11" s="29" t="s">
        <v>376</v>
      </c>
      <c r="CX11" s="29"/>
      <c r="CY11" s="29" t="s">
        <v>435</v>
      </c>
      <c r="CZ11" s="29" t="s">
        <v>376</v>
      </c>
      <c r="DA11" s="29"/>
      <c r="DB11" s="29" t="s">
        <v>435</v>
      </c>
      <c r="DC11" s="29" t="s">
        <v>376</v>
      </c>
      <c r="DD11" s="29"/>
      <c r="DE11" s="29" t="s">
        <v>435</v>
      </c>
      <c r="DF11" s="29" t="s">
        <v>376</v>
      </c>
      <c r="DG11" s="29"/>
      <c r="DH11" s="29" t="s">
        <v>435</v>
      </c>
      <c r="DI11" s="29" t="s">
        <v>376</v>
      </c>
      <c r="DJ11" s="29"/>
      <c r="DK11" s="29" t="s">
        <v>435</v>
      </c>
      <c r="DL11" s="29" t="s">
        <v>376</v>
      </c>
      <c r="DM11" s="29"/>
      <c r="DN11" s="29" t="s">
        <v>435</v>
      </c>
      <c r="DO11" s="29" t="s">
        <v>376</v>
      </c>
      <c r="DP11" s="29"/>
      <c r="DQ11" s="29" t="s">
        <v>435</v>
      </c>
      <c r="DR11" s="29" t="s">
        <v>376</v>
      </c>
      <c r="DS11" s="29"/>
      <c r="DT11" s="29" t="s">
        <v>435</v>
      </c>
      <c r="DU11" s="29" t="s">
        <v>376</v>
      </c>
      <c r="DV11" s="29"/>
      <c r="DW11" s="29" t="s">
        <v>435</v>
      </c>
      <c r="DX11" s="29" t="s">
        <v>376</v>
      </c>
      <c r="DY11" s="29"/>
      <c r="DZ11" s="29" t="s">
        <v>435</v>
      </c>
      <c r="EA11" s="29" t="s">
        <v>376</v>
      </c>
      <c r="EB11" s="29"/>
      <c r="EC11" s="29" t="s">
        <v>435</v>
      </c>
      <c r="ED11" s="29" t="s">
        <v>376</v>
      </c>
      <c r="EE11" s="29"/>
      <c r="EF11" s="29" t="s">
        <v>435</v>
      </c>
      <c r="EG11" s="29" t="s">
        <v>376</v>
      </c>
      <c r="EH11" s="29"/>
      <c r="EI11" s="29" t="s">
        <v>435</v>
      </c>
      <c r="EJ11" s="29" t="s">
        <v>376</v>
      </c>
      <c r="EK11" s="29"/>
      <c r="EL11" s="29" t="s">
        <v>435</v>
      </c>
      <c r="EM11" s="29" t="s">
        <v>376</v>
      </c>
      <c r="EN11" s="29"/>
      <c r="EO11" s="29" t="s">
        <v>435</v>
      </c>
      <c r="EP11" s="29" t="s">
        <v>376</v>
      </c>
      <c r="EQ11" s="29"/>
      <c r="ER11" s="29" t="s">
        <v>435</v>
      </c>
      <c r="ES11" s="29" t="s">
        <v>376</v>
      </c>
      <c r="ET11" s="29"/>
      <c r="EU11" s="29" t="s">
        <v>435</v>
      </c>
      <c r="EV11" s="29" t="s">
        <v>435</v>
      </c>
      <c r="EW11" s="29" t="s">
        <v>376</v>
      </c>
      <c r="EX11" s="29"/>
      <c r="EY11" s="29" t="s">
        <v>435</v>
      </c>
      <c r="EZ11" s="29" t="s">
        <v>435</v>
      </c>
      <c r="FA11" s="29" t="s">
        <v>376</v>
      </c>
      <c r="FD11" s="131" t="s">
        <v>2352</v>
      </c>
    </row>
    <row r="12" spans="1:163">
      <c r="B12" s="22"/>
      <c r="C12" s="22"/>
      <c r="D12" s="22"/>
      <c r="E12" s="22"/>
      <c r="F12" s="22"/>
      <c r="G12" s="22"/>
      <c r="H12" s="22"/>
      <c r="I12" s="22"/>
      <c r="J12" s="22"/>
      <c r="K12" s="22"/>
      <c r="L12" s="22"/>
      <c r="M12" s="22"/>
      <c r="N12" s="22"/>
    </row>
    <row r="13" spans="1:163">
      <c r="B13" s="1115" t="s">
        <v>1165</v>
      </c>
      <c r="C13" s="1115" t="s">
        <v>1166</v>
      </c>
      <c r="D13" s="1115" t="s">
        <v>599</v>
      </c>
      <c r="E13" s="1115" t="s">
        <v>600</v>
      </c>
      <c r="F13" s="1115" t="s">
        <v>601</v>
      </c>
      <c r="G13" s="1115" t="s">
        <v>602</v>
      </c>
      <c r="H13" s="1115" t="s">
        <v>603</v>
      </c>
      <c r="I13" s="1115" t="s">
        <v>172</v>
      </c>
      <c r="J13" s="1115" t="s">
        <v>173</v>
      </c>
      <c r="K13" s="1115" t="s">
        <v>174</v>
      </c>
      <c r="L13" s="1115" t="s">
        <v>175</v>
      </c>
      <c r="M13" s="1115" t="s">
        <v>176</v>
      </c>
      <c r="N13" s="1115" t="s">
        <v>177</v>
      </c>
      <c r="O13" s="1115" t="s">
        <v>944</v>
      </c>
      <c r="P13" s="1115" t="s">
        <v>945</v>
      </c>
      <c r="Q13" s="1115" t="s">
        <v>946</v>
      </c>
      <c r="R13" s="1115" t="s">
        <v>1312</v>
      </c>
      <c r="S13" s="1115" t="s">
        <v>1313</v>
      </c>
      <c r="T13" s="1115" t="s">
        <v>1314</v>
      </c>
      <c r="U13" s="1115" t="s">
        <v>1315</v>
      </c>
      <c r="V13" s="1115" t="s">
        <v>1316</v>
      </c>
      <c r="W13" s="1115" t="s">
        <v>1317</v>
      </c>
      <c r="X13" s="1115" t="s">
        <v>1318</v>
      </c>
      <c r="Y13" s="1116" t="s">
        <v>1319</v>
      </c>
      <c r="Z13" s="1116" t="s">
        <v>1320</v>
      </c>
      <c r="AA13" s="1116" t="s">
        <v>1321</v>
      </c>
      <c r="AB13" s="1116" t="s">
        <v>1322</v>
      </c>
      <c r="AC13" s="1116" t="s">
        <v>1323</v>
      </c>
      <c r="AD13" s="1116" t="s">
        <v>1324</v>
      </c>
      <c r="AE13" s="1116" t="s">
        <v>1325</v>
      </c>
      <c r="AF13" s="1116" t="s">
        <v>1326</v>
      </c>
      <c r="AG13" s="1116" t="s">
        <v>1327</v>
      </c>
      <c r="AH13" s="1116" t="s">
        <v>1328</v>
      </c>
      <c r="AI13" s="1116" t="s">
        <v>1329</v>
      </c>
      <c r="AJ13" s="1116" t="s">
        <v>1330</v>
      </c>
      <c r="AK13" s="1116" t="s">
        <v>1331</v>
      </c>
      <c r="AL13" s="1116" t="s">
        <v>684</v>
      </c>
      <c r="AM13" s="1116" t="s">
        <v>685</v>
      </c>
      <c r="AN13" s="1116" t="s">
        <v>686</v>
      </c>
      <c r="AO13" s="1116" t="s">
        <v>687</v>
      </c>
      <c r="AP13" s="1116" t="s">
        <v>326</v>
      </c>
      <c r="AQ13" s="1116" t="s">
        <v>482</v>
      </c>
      <c r="AR13" s="1116" t="s">
        <v>483</v>
      </c>
      <c r="AS13" s="1116" t="s">
        <v>484</v>
      </c>
      <c r="AT13" s="1116" t="s">
        <v>1170</v>
      </c>
      <c r="AU13" s="1116" t="s">
        <v>1171</v>
      </c>
      <c r="AV13" s="1116" t="s">
        <v>1172</v>
      </c>
      <c r="AW13" s="1116" t="s">
        <v>1173</v>
      </c>
      <c r="AX13" s="1116" t="s">
        <v>1174</v>
      </c>
      <c r="AY13" s="1116" t="s">
        <v>1175</v>
      </c>
      <c r="AZ13" s="1116" t="s">
        <v>436</v>
      </c>
      <c r="BA13" s="1116" t="s">
        <v>437</v>
      </c>
      <c r="BB13" s="1116" t="s">
        <v>187</v>
      </c>
      <c r="BC13" s="1115" t="s">
        <v>1908</v>
      </c>
      <c r="BD13" s="1115" t="s">
        <v>1909</v>
      </c>
      <c r="BE13" s="1115" t="s">
        <v>1910</v>
      </c>
      <c r="BF13" s="1115" t="s">
        <v>1911</v>
      </c>
      <c r="BG13" s="1115" t="s">
        <v>1912</v>
      </c>
      <c r="BH13" s="1115" t="s">
        <v>1913</v>
      </c>
      <c r="BI13" s="1115" t="s">
        <v>1914</v>
      </c>
      <c r="BJ13" s="1115" t="s">
        <v>1915</v>
      </c>
      <c r="BK13" s="1115" t="s">
        <v>1916</v>
      </c>
      <c r="BL13" s="1115" t="s">
        <v>1917</v>
      </c>
      <c r="BM13" s="1115" t="s">
        <v>1918</v>
      </c>
      <c r="BN13" s="1115" t="s">
        <v>1919</v>
      </c>
      <c r="BO13" s="1115" t="s">
        <v>1920</v>
      </c>
      <c r="BP13" s="1115" t="s">
        <v>1921</v>
      </c>
      <c r="BQ13" s="1115" t="s">
        <v>1922</v>
      </c>
      <c r="BR13" s="1115" t="s">
        <v>1923</v>
      </c>
      <c r="BS13" s="1115" t="s">
        <v>1924</v>
      </c>
      <c r="BT13" s="1115" t="s">
        <v>1925</v>
      </c>
      <c r="BU13" s="1115" t="s">
        <v>2283</v>
      </c>
      <c r="BV13" s="1115" t="s">
        <v>2284</v>
      </c>
      <c r="BW13" s="1115" t="s">
        <v>2285</v>
      </c>
      <c r="BX13" s="1115" t="s">
        <v>1926</v>
      </c>
      <c r="BY13" s="1115" t="s">
        <v>1927</v>
      </c>
      <c r="BZ13" s="1115" t="s">
        <v>1928</v>
      </c>
      <c r="CA13" s="1115" t="s">
        <v>1929</v>
      </c>
      <c r="CB13" s="1115" t="s">
        <v>1930</v>
      </c>
      <c r="CC13" s="1115" t="s">
        <v>1931</v>
      </c>
      <c r="CD13" s="1115" t="s">
        <v>2286</v>
      </c>
      <c r="CE13" s="1115" t="s">
        <v>2287</v>
      </c>
      <c r="CF13" s="1115" t="s">
        <v>2288</v>
      </c>
      <c r="CG13" s="1115" t="s">
        <v>1932</v>
      </c>
      <c r="CH13" s="1115" t="s">
        <v>1933</v>
      </c>
      <c r="CI13" s="1115" t="s">
        <v>1934</v>
      </c>
      <c r="CJ13" s="1115" t="s">
        <v>1935</v>
      </c>
      <c r="CK13" s="1115" t="s">
        <v>1936</v>
      </c>
      <c r="CL13" s="1115" t="s">
        <v>1937</v>
      </c>
      <c r="CM13" s="1115" t="s">
        <v>1938</v>
      </c>
      <c r="CN13" s="1115" t="s">
        <v>1939</v>
      </c>
      <c r="CO13" s="1115" t="s">
        <v>1940</v>
      </c>
      <c r="CP13" s="1115" t="s">
        <v>1941</v>
      </c>
      <c r="CQ13" s="1115" t="s">
        <v>1942</v>
      </c>
      <c r="CR13" s="1115" t="s">
        <v>1943</v>
      </c>
      <c r="CS13" s="1115" t="s">
        <v>1944</v>
      </c>
      <c r="CT13" s="1115" t="s">
        <v>1945</v>
      </c>
      <c r="CU13" s="1115" t="s">
        <v>1946</v>
      </c>
      <c r="CV13" s="1115" t="s">
        <v>1947</v>
      </c>
      <c r="CW13" s="1115" t="s">
        <v>1948</v>
      </c>
      <c r="CX13" s="1115" t="s">
        <v>1949</v>
      </c>
      <c r="CY13" s="1115" t="s">
        <v>1950</v>
      </c>
      <c r="CZ13" s="1115" t="s">
        <v>1951</v>
      </c>
      <c r="DA13" s="1115" t="s">
        <v>1952</v>
      </c>
      <c r="DB13" s="1115" t="s">
        <v>1953</v>
      </c>
      <c r="DC13" s="1115" t="s">
        <v>1954</v>
      </c>
      <c r="DD13" s="1115" t="s">
        <v>1955</v>
      </c>
      <c r="DE13" s="1115" t="s">
        <v>1956</v>
      </c>
      <c r="DF13" s="1115" t="s">
        <v>1957</v>
      </c>
      <c r="DG13" s="1115" t="s">
        <v>1958</v>
      </c>
      <c r="DH13" s="1115" t="s">
        <v>1959</v>
      </c>
      <c r="DI13" s="1115" t="s">
        <v>1960</v>
      </c>
      <c r="DJ13" s="1115" t="s">
        <v>1961</v>
      </c>
      <c r="DK13" s="1115" t="s">
        <v>1962</v>
      </c>
      <c r="DL13" s="1115" t="s">
        <v>1963</v>
      </c>
      <c r="DM13" s="1115" t="s">
        <v>1964</v>
      </c>
      <c r="DN13" s="1115" t="s">
        <v>1965</v>
      </c>
      <c r="DO13" s="1115" t="s">
        <v>1966</v>
      </c>
      <c r="DP13" s="1115" t="s">
        <v>1967</v>
      </c>
      <c r="DQ13" s="1115" t="s">
        <v>1968</v>
      </c>
      <c r="DR13" s="1115" t="s">
        <v>1969</v>
      </c>
      <c r="DS13" s="1115" t="s">
        <v>1970</v>
      </c>
      <c r="DT13" s="1115" t="s">
        <v>1971</v>
      </c>
      <c r="DU13" s="1115" t="s">
        <v>1972</v>
      </c>
      <c r="DV13" s="1115" t="s">
        <v>1973</v>
      </c>
      <c r="DW13" s="1115" t="s">
        <v>1974</v>
      </c>
      <c r="DX13" s="1115" t="s">
        <v>1975</v>
      </c>
      <c r="DY13" s="1115" t="s">
        <v>1976</v>
      </c>
      <c r="DZ13" s="1115" t="s">
        <v>1977</v>
      </c>
      <c r="EA13" s="1115" t="s">
        <v>1978</v>
      </c>
      <c r="EB13" s="1115" t="s">
        <v>1979</v>
      </c>
      <c r="EC13" s="1115" t="s">
        <v>1980</v>
      </c>
      <c r="ED13" s="1115" t="s">
        <v>1981</v>
      </c>
      <c r="EE13" s="1115" t="s">
        <v>1982</v>
      </c>
      <c r="EF13" s="1115" t="s">
        <v>1983</v>
      </c>
      <c r="EG13" s="1115" t="s">
        <v>1984</v>
      </c>
      <c r="EH13" s="1115" t="s">
        <v>1985</v>
      </c>
      <c r="EI13" s="1115" t="s">
        <v>1986</v>
      </c>
      <c r="EJ13" s="1115" t="s">
        <v>1987</v>
      </c>
      <c r="EK13" s="1115" t="s">
        <v>1988</v>
      </c>
      <c r="EL13" s="1115" t="s">
        <v>1989</v>
      </c>
      <c r="EM13" s="1115" t="s">
        <v>1990</v>
      </c>
      <c r="EN13" s="1115" t="s">
        <v>1991</v>
      </c>
      <c r="EO13" s="1115" t="s">
        <v>1992</v>
      </c>
      <c r="EP13" s="1115" t="s">
        <v>1993</v>
      </c>
      <c r="EQ13" s="1115" t="s">
        <v>1994</v>
      </c>
      <c r="ER13" s="1115" t="s">
        <v>1995</v>
      </c>
      <c r="ES13" s="1115" t="s">
        <v>1996</v>
      </c>
      <c r="ET13" s="1115" t="s">
        <v>1997</v>
      </c>
      <c r="EU13" s="1115" t="s">
        <v>1998</v>
      </c>
      <c r="EV13" s="1115" t="s">
        <v>2597</v>
      </c>
      <c r="EW13" s="1115" t="s">
        <v>2598</v>
      </c>
      <c r="EX13" s="1115" t="s">
        <v>2599</v>
      </c>
      <c r="EY13" s="1115" t="s">
        <v>2739</v>
      </c>
      <c r="EZ13" s="1115" t="s">
        <v>2740</v>
      </c>
      <c r="FA13" s="1115" t="s">
        <v>2741</v>
      </c>
      <c r="FB13" s="1115" t="s">
        <v>3197</v>
      </c>
    </row>
    <row r="14" spans="1:163">
      <c r="A14" t="s">
        <v>784</v>
      </c>
      <c r="B14" t="s">
        <v>784</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0</v>
      </c>
      <c r="CO14">
        <v>0</v>
      </c>
      <c r="CP14">
        <v>0</v>
      </c>
      <c r="CQ14">
        <v>0</v>
      </c>
      <c r="CR14">
        <v>0</v>
      </c>
      <c r="CS14">
        <v>0</v>
      </c>
      <c r="CT14">
        <v>0</v>
      </c>
      <c r="CU14">
        <v>0</v>
      </c>
      <c r="CV14">
        <v>0</v>
      </c>
      <c r="CW14">
        <v>0</v>
      </c>
      <c r="CX14">
        <v>0</v>
      </c>
      <c r="CY14">
        <v>0</v>
      </c>
      <c r="CZ14">
        <v>0</v>
      </c>
      <c r="DA14">
        <v>0</v>
      </c>
      <c r="DB14">
        <v>0</v>
      </c>
      <c r="DC14">
        <v>0</v>
      </c>
      <c r="DD14">
        <v>0</v>
      </c>
      <c r="DE14">
        <v>0</v>
      </c>
      <c r="DF14">
        <v>0</v>
      </c>
      <c r="DG14">
        <v>0</v>
      </c>
      <c r="DH14">
        <v>0</v>
      </c>
      <c r="DI14">
        <v>0</v>
      </c>
      <c r="DJ14">
        <v>0</v>
      </c>
      <c r="DK14">
        <v>0</v>
      </c>
      <c r="DL14">
        <v>0</v>
      </c>
      <c r="DM14">
        <v>0</v>
      </c>
      <c r="DN14">
        <v>0</v>
      </c>
      <c r="DO14">
        <v>0</v>
      </c>
      <c r="DP14">
        <v>0</v>
      </c>
      <c r="DQ14">
        <v>0</v>
      </c>
      <c r="DR14">
        <v>0</v>
      </c>
      <c r="DS14">
        <v>0</v>
      </c>
      <c r="DT14">
        <v>0</v>
      </c>
      <c r="DU14">
        <v>0</v>
      </c>
      <c r="DV14">
        <v>0</v>
      </c>
      <c r="DW14">
        <v>0</v>
      </c>
      <c r="DX14">
        <v>0</v>
      </c>
      <c r="DY14">
        <v>0</v>
      </c>
      <c r="DZ14">
        <v>0</v>
      </c>
      <c r="EA14">
        <v>0</v>
      </c>
      <c r="EB14">
        <v>0</v>
      </c>
      <c r="EC14">
        <v>0</v>
      </c>
      <c r="ED14">
        <v>0</v>
      </c>
      <c r="EE14">
        <v>0</v>
      </c>
      <c r="EF14">
        <v>0</v>
      </c>
      <c r="EG14">
        <v>0</v>
      </c>
      <c r="EH14">
        <v>0</v>
      </c>
      <c r="EI14">
        <v>0</v>
      </c>
      <c r="EJ14">
        <v>0</v>
      </c>
      <c r="EK14">
        <v>0</v>
      </c>
      <c r="EL14">
        <v>0</v>
      </c>
      <c r="EM14">
        <v>0</v>
      </c>
      <c r="EN14">
        <v>0</v>
      </c>
      <c r="EO14">
        <v>0</v>
      </c>
      <c r="EP14">
        <v>0</v>
      </c>
      <c r="EQ14">
        <v>0</v>
      </c>
      <c r="ER14">
        <v>0</v>
      </c>
      <c r="ES14">
        <v>0</v>
      </c>
      <c r="ET14">
        <v>0</v>
      </c>
      <c r="EU14">
        <v>0</v>
      </c>
      <c r="EV14">
        <v>0</v>
      </c>
      <c r="EW14">
        <v>0</v>
      </c>
      <c r="EX14">
        <v>0</v>
      </c>
      <c r="EY14">
        <v>0</v>
      </c>
      <c r="EZ14">
        <v>0</v>
      </c>
      <c r="FA14">
        <v>0</v>
      </c>
      <c r="FB14">
        <v>0</v>
      </c>
      <c r="FD14">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row>
    <row r="15" spans="1:163">
      <c r="A15" t="s">
        <v>810</v>
      </c>
      <c r="B15" t="s">
        <v>810</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BX15">
        <v>0</v>
      </c>
      <c r="BY15">
        <v>0</v>
      </c>
      <c r="BZ15">
        <v>0</v>
      </c>
      <c r="CA15">
        <v>0</v>
      </c>
      <c r="CB15">
        <v>0</v>
      </c>
      <c r="CC15">
        <v>0</v>
      </c>
      <c r="CD15">
        <v>0</v>
      </c>
      <c r="CE15">
        <v>0</v>
      </c>
      <c r="CF15">
        <v>0</v>
      </c>
      <c r="CG15">
        <v>0</v>
      </c>
      <c r="CH15">
        <v>0</v>
      </c>
      <c r="CI15">
        <v>0</v>
      </c>
      <c r="CJ15">
        <v>0</v>
      </c>
      <c r="CK15">
        <v>0</v>
      </c>
      <c r="CL15">
        <v>0</v>
      </c>
      <c r="CM15">
        <v>0</v>
      </c>
      <c r="CN15">
        <v>0</v>
      </c>
      <c r="CO15">
        <v>0</v>
      </c>
      <c r="CP15">
        <v>0</v>
      </c>
      <c r="CQ15">
        <v>0</v>
      </c>
      <c r="CR15">
        <v>0</v>
      </c>
      <c r="CS15">
        <v>0</v>
      </c>
      <c r="CT15">
        <v>0</v>
      </c>
      <c r="CU15">
        <v>0</v>
      </c>
      <c r="CV15">
        <v>0</v>
      </c>
      <c r="CW15">
        <v>0</v>
      </c>
      <c r="CX15">
        <v>0</v>
      </c>
      <c r="CY15">
        <v>0</v>
      </c>
      <c r="CZ15">
        <v>0</v>
      </c>
      <c r="DA15">
        <v>0</v>
      </c>
      <c r="DB15">
        <v>0</v>
      </c>
      <c r="DC15">
        <v>0</v>
      </c>
      <c r="DD15">
        <v>0</v>
      </c>
      <c r="DE15">
        <v>0</v>
      </c>
      <c r="DF15">
        <v>0</v>
      </c>
      <c r="DG15">
        <v>0</v>
      </c>
      <c r="DH15">
        <v>0</v>
      </c>
      <c r="DI15">
        <v>0</v>
      </c>
      <c r="DJ15">
        <v>0</v>
      </c>
      <c r="DK15">
        <v>0</v>
      </c>
      <c r="DL15">
        <v>0</v>
      </c>
      <c r="DM15">
        <v>0</v>
      </c>
      <c r="DN15">
        <v>0</v>
      </c>
      <c r="DO15">
        <v>0</v>
      </c>
      <c r="DP15">
        <v>0</v>
      </c>
      <c r="DQ15">
        <v>0</v>
      </c>
      <c r="DR15">
        <v>0</v>
      </c>
      <c r="DS15">
        <v>0</v>
      </c>
      <c r="DT15">
        <v>0</v>
      </c>
      <c r="DU15">
        <v>0</v>
      </c>
      <c r="DV15">
        <v>0</v>
      </c>
      <c r="DW15">
        <v>0</v>
      </c>
      <c r="DX15">
        <v>0</v>
      </c>
      <c r="DY15">
        <v>0</v>
      </c>
      <c r="DZ15">
        <v>0</v>
      </c>
      <c r="EA15">
        <v>0</v>
      </c>
      <c r="EB15">
        <v>0</v>
      </c>
      <c r="EC15">
        <v>0</v>
      </c>
      <c r="ED15">
        <v>0</v>
      </c>
      <c r="EE15">
        <v>0</v>
      </c>
      <c r="EF15">
        <v>0</v>
      </c>
      <c r="EG15">
        <v>0</v>
      </c>
      <c r="EH15">
        <v>0</v>
      </c>
      <c r="EI15">
        <v>0</v>
      </c>
      <c r="EJ15">
        <v>0</v>
      </c>
      <c r="EK15">
        <v>0</v>
      </c>
      <c r="EL15">
        <v>0</v>
      </c>
      <c r="EM15">
        <v>0</v>
      </c>
      <c r="EN15">
        <v>0</v>
      </c>
      <c r="EO15">
        <v>0</v>
      </c>
      <c r="EP15">
        <v>0</v>
      </c>
      <c r="EQ15">
        <v>0</v>
      </c>
      <c r="ER15">
        <v>0</v>
      </c>
      <c r="ES15">
        <v>0</v>
      </c>
      <c r="ET15">
        <v>0</v>
      </c>
      <c r="EU15">
        <v>0</v>
      </c>
      <c r="EV15">
        <v>0</v>
      </c>
      <c r="EW15">
        <v>0</v>
      </c>
      <c r="EX15">
        <v>0</v>
      </c>
      <c r="EY15">
        <v>0</v>
      </c>
      <c r="EZ15">
        <v>0</v>
      </c>
      <c r="FA15">
        <v>0</v>
      </c>
      <c r="FB15">
        <v>0</v>
      </c>
      <c r="FD15">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c r="FF15" s="1130" t="s">
        <v>3237</v>
      </c>
    </row>
    <row r="16" spans="1:163">
      <c r="A16" t="s">
        <v>596</v>
      </c>
      <c r="B16" t="s">
        <v>596</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0</v>
      </c>
      <c r="CO16">
        <v>0</v>
      </c>
      <c r="CP16">
        <v>0</v>
      </c>
      <c r="CQ16">
        <v>0</v>
      </c>
      <c r="CR16">
        <v>0</v>
      </c>
      <c r="CS16">
        <v>0</v>
      </c>
      <c r="CT16">
        <v>0</v>
      </c>
      <c r="CU16">
        <v>0</v>
      </c>
      <c r="CV16">
        <v>0</v>
      </c>
      <c r="CW16">
        <v>0</v>
      </c>
      <c r="CX16">
        <v>0</v>
      </c>
      <c r="CY16">
        <v>0</v>
      </c>
      <c r="CZ16">
        <v>0</v>
      </c>
      <c r="DA16">
        <v>0</v>
      </c>
      <c r="DB16">
        <v>0</v>
      </c>
      <c r="DC16">
        <v>0</v>
      </c>
      <c r="DD16">
        <v>0</v>
      </c>
      <c r="DE16">
        <v>0</v>
      </c>
      <c r="DF16">
        <v>0</v>
      </c>
      <c r="DG16">
        <v>0</v>
      </c>
      <c r="DH16">
        <v>0</v>
      </c>
      <c r="DI16">
        <v>0</v>
      </c>
      <c r="DJ16">
        <v>0</v>
      </c>
      <c r="DK16">
        <v>0</v>
      </c>
      <c r="DL16">
        <v>0</v>
      </c>
      <c r="DM16">
        <v>0</v>
      </c>
      <c r="DN16">
        <v>0</v>
      </c>
      <c r="DO16">
        <v>0</v>
      </c>
      <c r="DP16">
        <v>0</v>
      </c>
      <c r="DQ16">
        <v>0</v>
      </c>
      <c r="DR16">
        <v>0</v>
      </c>
      <c r="DS16">
        <v>0</v>
      </c>
      <c r="DT16">
        <v>0</v>
      </c>
      <c r="DU16">
        <v>0</v>
      </c>
      <c r="DV16">
        <v>0</v>
      </c>
      <c r="DW16">
        <v>0</v>
      </c>
      <c r="DX16">
        <v>0</v>
      </c>
      <c r="DY16">
        <v>0</v>
      </c>
      <c r="DZ16">
        <v>0</v>
      </c>
      <c r="EA16">
        <v>0</v>
      </c>
      <c r="EB16">
        <v>0</v>
      </c>
      <c r="EC16">
        <v>0</v>
      </c>
      <c r="ED16">
        <v>0</v>
      </c>
      <c r="EE16">
        <v>0</v>
      </c>
      <c r="EF16">
        <v>0</v>
      </c>
      <c r="EG16">
        <v>0</v>
      </c>
      <c r="EH16">
        <v>0</v>
      </c>
      <c r="EI16">
        <v>0</v>
      </c>
      <c r="EJ16">
        <v>0</v>
      </c>
      <c r="EK16">
        <v>0</v>
      </c>
      <c r="EL16">
        <v>0</v>
      </c>
      <c r="EM16">
        <v>0</v>
      </c>
      <c r="EN16">
        <v>0</v>
      </c>
      <c r="EO16">
        <v>0</v>
      </c>
      <c r="EP16">
        <v>0</v>
      </c>
      <c r="EQ16">
        <v>0</v>
      </c>
      <c r="ER16">
        <v>0</v>
      </c>
      <c r="ES16">
        <v>0</v>
      </c>
      <c r="ET16">
        <v>0</v>
      </c>
      <c r="EU16">
        <v>0</v>
      </c>
      <c r="EV16">
        <v>0</v>
      </c>
      <c r="EW16">
        <v>0</v>
      </c>
      <c r="EX16">
        <v>0</v>
      </c>
      <c r="EY16">
        <v>0</v>
      </c>
      <c r="EZ16">
        <v>0</v>
      </c>
      <c r="FA16">
        <v>0</v>
      </c>
      <c r="FB16">
        <v>0</v>
      </c>
      <c r="FD16">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c r="FF16" s="851" t="s">
        <v>3236</v>
      </c>
    </row>
    <row r="17" spans="1:163">
      <c r="A17" t="s">
        <v>1151</v>
      </c>
      <c r="B17" t="s">
        <v>1151</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CL17">
        <v>0</v>
      </c>
      <c r="CM17">
        <v>0</v>
      </c>
      <c r="CN17">
        <v>0</v>
      </c>
      <c r="CO17">
        <v>0</v>
      </c>
      <c r="CP17">
        <v>0</v>
      </c>
      <c r="CQ17">
        <v>0</v>
      </c>
      <c r="CR17">
        <v>0</v>
      </c>
      <c r="CS17">
        <v>0</v>
      </c>
      <c r="CT17">
        <v>0</v>
      </c>
      <c r="CU17">
        <v>0</v>
      </c>
      <c r="CV17">
        <v>0</v>
      </c>
      <c r="CW17">
        <v>0</v>
      </c>
      <c r="CX17">
        <v>0</v>
      </c>
      <c r="CY17">
        <v>0</v>
      </c>
      <c r="CZ17">
        <v>0</v>
      </c>
      <c r="DA17">
        <v>0</v>
      </c>
      <c r="DB17">
        <v>0</v>
      </c>
      <c r="DC17">
        <v>0</v>
      </c>
      <c r="DD17">
        <v>0</v>
      </c>
      <c r="DE17">
        <v>0</v>
      </c>
      <c r="DF17">
        <v>0</v>
      </c>
      <c r="DG17">
        <v>0</v>
      </c>
      <c r="DH17">
        <v>0</v>
      </c>
      <c r="DI17">
        <v>0</v>
      </c>
      <c r="DJ17">
        <v>0</v>
      </c>
      <c r="DK17">
        <v>0</v>
      </c>
      <c r="DL17">
        <v>0</v>
      </c>
      <c r="DM17">
        <v>0</v>
      </c>
      <c r="DN17">
        <v>0</v>
      </c>
      <c r="DO17">
        <v>0</v>
      </c>
      <c r="DP17">
        <v>0</v>
      </c>
      <c r="DQ17">
        <v>0</v>
      </c>
      <c r="DR17">
        <v>0</v>
      </c>
      <c r="DS17">
        <v>0</v>
      </c>
      <c r="DT17">
        <v>0</v>
      </c>
      <c r="DU17">
        <v>0</v>
      </c>
      <c r="DV17">
        <v>0</v>
      </c>
      <c r="DW17">
        <v>0</v>
      </c>
      <c r="DX17">
        <v>0</v>
      </c>
      <c r="DY17">
        <v>0</v>
      </c>
      <c r="DZ17">
        <v>0</v>
      </c>
      <c r="EA17">
        <v>0</v>
      </c>
      <c r="EB17">
        <v>0</v>
      </c>
      <c r="EC17">
        <v>0</v>
      </c>
      <c r="ED17">
        <v>0</v>
      </c>
      <c r="EE17">
        <v>0</v>
      </c>
      <c r="EF17">
        <v>0</v>
      </c>
      <c r="EG17">
        <v>0</v>
      </c>
      <c r="EH17">
        <v>0</v>
      </c>
      <c r="EI17">
        <v>0</v>
      </c>
      <c r="EJ17">
        <v>0</v>
      </c>
      <c r="EK17">
        <v>0</v>
      </c>
      <c r="EL17">
        <v>0</v>
      </c>
      <c r="EM17">
        <v>0</v>
      </c>
      <c r="EN17">
        <v>0</v>
      </c>
      <c r="EO17">
        <v>0</v>
      </c>
      <c r="EP17">
        <v>0</v>
      </c>
      <c r="EQ17">
        <v>0</v>
      </c>
      <c r="ER17">
        <v>0</v>
      </c>
      <c r="ES17">
        <v>0</v>
      </c>
      <c r="ET17">
        <v>0</v>
      </c>
      <c r="EU17">
        <v>0</v>
      </c>
      <c r="EV17">
        <v>0</v>
      </c>
      <c r="EW17">
        <v>0</v>
      </c>
      <c r="EX17">
        <v>0</v>
      </c>
      <c r="EY17">
        <v>0</v>
      </c>
      <c r="EZ17">
        <v>0</v>
      </c>
      <c r="FA17">
        <v>0</v>
      </c>
      <c r="FB17">
        <v>0</v>
      </c>
      <c r="FD17">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row>
    <row r="18" spans="1:163">
      <c r="A18" t="s">
        <v>1152</v>
      </c>
      <c r="B18" t="s">
        <v>1152</v>
      </c>
      <c r="C18">
        <v>10280622</v>
      </c>
      <c r="D18">
        <v>10280622</v>
      </c>
      <c r="E18" s="73">
        <v>10675759</v>
      </c>
      <c r="F18">
        <v>0</v>
      </c>
      <c r="G18">
        <v>0</v>
      </c>
      <c r="H18">
        <v>0</v>
      </c>
      <c r="I18">
        <v>0</v>
      </c>
      <c r="J18">
        <v>18000</v>
      </c>
      <c r="K18">
        <v>18860</v>
      </c>
      <c r="L18">
        <v>0</v>
      </c>
      <c r="M18">
        <v>225000</v>
      </c>
      <c r="N18" s="73">
        <v>277465</v>
      </c>
      <c r="O18">
        <v>0</v>
      </c>
      <c r="P18">
        <v>387450</v>
      </c>
      <c r="Q18">
        <v>383246</v>
      </c>
      <c r="R18">
        <v>0</v>
      </c>
      <c r="S18">
        <v>116911</v>
      </c>
      <c r="T18">
        <v>118034</v>
      </c>
      <c r="U18">
        <v>0</v>
      </c>
      <c r="V18">
        <v>2817370</v>
      </c>
      <c r="W18">
        <v>2815863</v>
      </c>
      <c r="X18">
        <v>0</v>
      </c>
      <c r="Y18">
        <v>1875</v>
      </c>
      <c r="Z18" s="158">
        <v>1626</v>
      </c>
      <c r="AA18">
        <v>0</v>
      </c>
      <c r="AB18">
        <v>25000</v>
      </c>
      <c r="AC18">
        <v>24961</v>
      </c>
      <c r="AD18">
        <v>0</v>
      </c>
      <c r="AE18">
        <v>574677</v>
      </c>
      <c r="AF18" s="158">
        <v>580169</v>
      </c>
      <c r="AG18">
        <v>0</v>
      </c>
      <c r="AH18">
        <v>163017</v>
      </c>
      <c r="AI18">
        <v>164570</v>
      </c>
      <c r="AJ18">
        <v>0</v>
      </c>
      <c r="AK18">
        <v>16466</v>
      </c>
      <c r="AL18" s="158">
        <v>16618</v>
      </c>
      <c r="AM18">
        <v>0</v>
      </c>
      <c r="AN18">
        <v>0</v>
      </c>
      <c r="AO18">
        <v>0</v>
      </c>
      <c r="AP18">
        <v>0</v>
      </c>
      <c r="AQ18">
        <v>1683000</v>
      </c>
      <c r="AR18">
        <v>1577157</v>
      </c>
      <c r="AS18">
        <v>0</v>
      </c>
      <c r="AT18">
        <v>340000</v>
      </c>
      <c r="AU18">
        <v>370106</v>
      </c>
      <c r="AV18">
        <v>0</v>
      </c>
      <c r="AW18">
        <v>252320</v>
      </c>
      <c r="AX18" s="73">
        <v>252638</v>
      </c>
      <c r="AY18">
        <v>0</v>
      </c>
      <c r="AZ18">
        <v>0</v>
      </c>
      <c r="BA18">
        <v>19</v>
      </c>
      <c r="BB18">
        <v>0</v>
      </c>
      <c r="BC18">
        <v>1284379</v>
      </c>
      <c r="BD18" s="73">
        <v>1298303</v>
      </c>
      <c r="BE18">
        <v>0</v>
      </c>
      <c r="BF18">
        <v>179484</v>
      </c>
      <c r="BG18" s="73">
        <v>182837</v>
      </c>
      <c r="BH18">
        <v>0</v>
      </c>
      <c r="BI18">
        <v>225590</v>
      </c>
      <c r="BJ18" s="73">
        <v>229333</v>
      </c>
      <c r="BK18">
        <v>0</v>
      </c>
      <c r="BL18">
        <v>0</v>
      </c>
      <c r="BM18">
        <v>0</v>
      </c>
      <c r="BN18">
        <v>0</v>
      </c>
      <c r="BO18">
        <v>0</v>
      </c>
      <c r="BP18">
        <v>0</v>
      </c>
      <c r="BQ18">
        <v>0</v>
      </c>
      <c r="BR18">
        <v>0</v>
      </c>
      <c r="BS18">
        <v>0</v>
      </c>
      <c r="BT18">
        <v>0</v>
      </c>
      <c r="BU18">
        <v>4363596</v>
      </c>
      <c r="BV18" s="158">
        <v>4408377</v>
      </c>
      <c r="BW18">
        <v>0</v>
      </c>
      <c r="BX18">
        <v>5000</v>
      </c>
      <c r="BY18" s="158">
        <v>43709</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0</v>
      </c>
      <c r="CW18">
        <v>0</v>
      </c>
      <c r="CX18">
        <v>0</v>
      </c>
      <c r="CY18">
        <v>0</v>
      </c>
      <c r="CZ18">
        <v>0</v>
      </c>
      <c r="DA18">
        <v>0</v>
      </c>
      <c r="DB18">
        <v>0</v>
      </c>
      <c r="DC18">
        <v>0</v>
      </c>
      <c r="DD18">
        <v>0</v>
      </c>
      <c r="DE18">
        <v>0</v>
      </c>
      <c r="DF18">
        <v>0</v>
      </c>
      <c r="DG18">
        <v>0</v>
      </c>
      <c r="DH18">
        <v>0</v>
      </c>
      <c r="DI18">
        <v>0</v>
      </c>
      <c r="DJ18">
        <v>0</v>
      </c>
      <c r="DK18">
        <v>0</v>
      </c>
      <c r="DL18">
        <v>0</v>
      </c>
      <c r="DM18">
        <v>0</v>
      </c>
      <c r="DN18">
        <v>0</v>
      </c>
      <c r="DO18">
        <v>0</v>
      </c>
      <c r="DP18">
        <v>0</v>
      </c>
      <c r="DQ18">
        <v>0</v>
      </c>
      <c r="DR18">
        <v>0</v>
      </c>
      <c r="DS18">
        <v>0</v>
      </c>
      <c r="DT18">
        <v>0</v>
      </c>
      <c r="DU18">
        <v>0</v>
      </c>
      <c r="DV18">
        <v>0</v>
      </c>
      <c r="DW18">
        <v>0</v>
      </c>
      <c r="DX18">
        <v>0</v>
      </c>
      <c r="DY18">
        <v>0</v>
      </c>
      <c r="DZ18">
        <v>0</v>
      </c>
      <c r="EA18">
        <v>0</v>
      </c>
      <c r="EB18">
        <v>0</v>
      </c>
      <c r="EC18">
        <v>0</v>
      </c>
      <c r="ED18">
        <v>0</v>
      </c>
      <c r="EE18">
        <v>0</v>
      </c>
      <c r="EF18">
        <v>0</v>
      </c>
      <c r="EG18">
        <v>0</v>
      </c>
      <c r="EH18">
        <v>0</v>
      </c>
      <c r="EI18">
        <v>0</v>
      </c>
      <c r="EJ18">
        <v>0</v>
      </c>
      <c r="EK18">
        <v>0</v>
      </c>
      <c r="EL18">
        <v>0</v>
      </c>
      <c r="EM18">
        <v>0</v>
      </c>
      <c r="EN18">
        <v>0</v>
      </c>
      <c r="EO18">
        <v>0</v>
      </c>
      <c r="EP18">
        <v>0</v>
      </c>
      <c r="EQ18">
        <v>0</v>
      </c>
      <c r="ER18">
        <v>0</v>
      </c>
      <c r="ES18">
        <v>0</v>
      </c>
      <c r="ET18">
        <v>0</v>
      </c>
      <c r="EU18">
        <v>0</v>
      </c>
      <c r="EV18">
        <v>0</v>
      </c>
      <c r="EW18">
        <v>0</v>
      </c>
      <c r="EX18">
        <v>0</v>
      </c>
      <c r="EY18">
        <v>1333402</v>
      </c>
      <c r="EZ18">
        <v>1333402</v>
      </c>
      <c r="FA18" s="146">
        <v>1659792</v>
      </c>
      <c r="FB18">
        <v>0</v>
      </c>
      <c r="FD18">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25099442</v>
      </c>
      <c r="FF18" s="1131"/>
      <c r="FG18" s="1131"/>
    </row>
    <row r="19" spans="1:163">
      <c r="A19" t="s">
        <v>1153</v>
      </c>
      <c r="B19" t="s">
        <v>1153</v>
      </c>
      <c r="C19">
        <v>935804</v>
      </c>
      <c r="D19">
        <v>935804</v>
      </c>
      <c r="E19">
        <v>935804</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1415422</v>
      </c>
      <c r="AF19">
        <v>1415422</v>
      </c>
      <c r="AG19">
        <v>0</v>
      </c>
      <c r="AH19">
        <v>0</v>
      </c>
      <c r="AI19">
        <v>0</v>
      </c>
      <c r="AJ19">
        <v>0</v>
      </c>
      <c r="AK19">
        <v>0</v>
      </c>
      <c r="AL19">
        <v>0</v>
      </c>
      <c r="AM19">
        <v>0</v>
      </c>
      <c r="AN19">
        <v>0</v>
      </c>
      <c r="AO19">
        <v>0</v>
      </c>
      <c r="AP19">
        <v>0</v>
      </c>
      <c r="AQ19">
        <v>0</v>
      </c>
      <c r="AR19">
        <v>0</v>
      </c>
      <c r="AS19">
        <v>0</v>
      </c>
      <c r="AT19">
        <v>0</v>
      </c>
      <c r="AU19">
        <v>0</v>
      </c>
      <c r="AV19">
        <v>0</v>
      </c>
      <c r="AW19">
        <v>598066</v>
      </c>
      <c r="AX19">
        <v>598066</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v>0</v>
      </c>
      <c r="DC19">
        <v>0</v>
      </c>
      <c r="DD19">
        <v>0</v>
      </c>
      <c r="DE19">
        <v>0</v>
      </c>
      <c r="DF19">
        <v>0</v>
      </c>
      <c r="DG19">
        <v>0</v>
      </c>
      <c r="DH19">
        <v>0</v>
      </c>
      <c r="DI19">
        <v>0</v>
      </c>
      <c r="DJ19">
        <v>0</v>
      </c>
      <c r="DK19">
        <v>0</v>
      </c>
      <c r="DL19">
        <v>0</v>
      </c>
      <c r="DM19">
        <v>0</v>
      </c>
      <c r="DN19">
        <v>0</v>
      </c>
      <c r="DO19">
        <v>0</v>
      </c>
      <c r="DP19">
        <v>0</v>
      </c>
      <c r="DQ19">
        <v>0</v>
      </c>
      <c r="DR19">
        <v>0</v>
      </c>
      <c r="DS19">
        <v>0</v>
      </c>
      <c r="DT19">
        <v>0</v>
      </c>
      <c r="DU19">
        <v>0</v>
      </c>
      <c r="DV19">
        <v>0</v>
      </c>
      <c r="DW19">
        <v>0</v>
      </c>
      <c r="DX19">
        <v>0</v>
      </c>
      <c r="DY19">
        <v>0</v>
      </c>
      <c r="DZ19">
        <v>0</v>
      </c>
      <c r="EA19">
        <v>0</v>
      </c>
      <c r="EB19">
        <v>0</v>
      </c>
      <c r="EC19">
        <v>0</v>
      </c>
      <c r="ED19">
        <v>0</v>
      </c>
      <c r="EE19">
        <v>0</v>
      </c>
      <c r="EF19">
        <v>0</v>
      </c>
      <c r="EG19">
        <v>0</v>
      </c>
      <c r="EH19">
        <v>0</v>
      </c>
      <c r="EI19">
        <v>0</v>
      </c>
      <c r="EJ19">
        <v>0</v>
      </c>
      <c r="EK19">
        <v>0</v>
      </c>
      <c r="EL19">
        <v>0</v>
      </c>
      <c r="EM19">
        <v>0</v>
      </c>
      <c r="EN19">
        <v>0</v>
      </c>
      <c r="EO19">
        <v>0</v>
      </c>
      <c r="EP19">
        <v>0</v>
      </c>
      <c r="EQ19">
        <v>0</v>
      </c>
      <c r="ER19">
        <v>0</v>
      </c>
      <c r="ES19">
        <v>0</v>
      </c>
      <c r="ET19">
        <v>0</v>
      </c>
      <c r="EU19">
        <v>0</v>
      </c>
      <c r="EV19">
        <v>0</v>
      </c>
      <c r="EW19">
        <v>0</v>
      </c>
      <c r="EX19">
        <v>0</v>
      </c>
      <c r="EY19">
        <v>0</v>
      </c>
      <c r="EZ19">
        <v>0</v>
      </c>
      <c r="FA19">
        <v>0</v>
      </c>
      <c r="FB19">
        <v>0</v>
      </c>
      <c r="FD19">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2949292</v>
      </c>
    </row>
    <row r="20" spans="1:163">
      <c r="A20" t="s">
        <v>1287</v>
      </c>
      <c r="B20" t="s">
        <v>1287</v>
      </c>
      <c r="C20">
        <v>595372</v>
      </c>
      <c r="D20">
        <v>595372</v>
      </c>
      <c r="E20">
        <v>608021</v>
      </c>
      <c r="F20">
        <v>0</v>
      </c>
      <c r="G20">
        <v>0</v>
      </c>
      <c r="H20">
        <v>0</v>
      </c>
      <c r="I20">
        <v>0</v>
      </c>
      <c r="J20">
        <v>0</v>
      </c>
      <c r="K20">
        <v>0</v>
      </c>
      <c r="L20">
        <v>0</v>
      </c>
      <c r="M20">
        <v>0</v>
      </c>
      <c r="N20">
        <v>0</v>
      </c>
      <c r="O20">
        <v>0</v>
      </c>
      <c r="P20">
        <v>0</v>
      </c>
      <c r="Q20">
        <v>0</v>
      </c>
      <c r="R20">
        <v>0</v>
      </c>
      <c r="S20">
        <v>0</v>
      </c>
      <c r="T20">
        <v>0</v>
      </c>
      <c r="U20">
        <v>0</v>
      </c>
      <c r="V20">
        <v>696520</v>
      </c>
      <c r="W20">
        <v>711319</v>
      </c>
      <c r="X20">
        <v>0</v>
      </c>
      <c r="Y20">
        <v>0</v>
      </c>
      <c r="Z20">
        <v>0</v>
      </c>
      <c r="AA20">
        <v>0</v>
      </c>
      <c r="AB20">
        <v>0</v>
      </c>
      <c r="AC20">
        <v>0</v>
      </c>
      <c r="AD20">
        <v>0</v>
      </c>
      <c r="AE20">
        <v>0</v>
      </c>
      <c r="AF20">
        <v>0</v>
      </c>
      <c r="AG20">
        <v>0</v>
      </c>
      <c r="AH20">
        <v>0</v>
      </c>
      <c r="AI20">
        <v>0</v>
      </c>
      <c r="AJ20">
        <v>0</v>
      </c>
      <c r="AK20">
        <v>1260</v>
      </c>
      <c r="AL20">
        <v>1287</v>
      </c>
      <c r="AM20">
        <v>0</v>
      </c>
      <c r="AN20">
        <v>0</v>
      </c>
      <c r="AO20">
        <v>0</v>
      </c>
      <c r="AP20">
        <v>0</v>
      </c>
      <c r="AQ20">
        <v>0</v>
      </c>
      <c r="AR20">
        <v>0</v>
      </c>
      <c r="AS20">
        <v>0</v>
      </c>
      <c r="AT20">
        <v>25810</v>
      </c>
      <c r="AU20">
        <v>27072</v>
      </c>
      <c r="AV20">
        <v>0</v>
      </c>
      <c r="AW20">
        <v>19703</v>
      </c>
      <c r="AX20">
        <v>20122</v>
      </c>
      <c r="AY20">
        <v>0</v>
      </c>
      <c r="AZ20">
        <v>0</v>
      </c>
      <c r="BA20">
        <v>0</v>
      </c>
      <c r="BB20">
        <v>0</v>
      </c>
      <c r="BC20">
        <v>101881</v>
      </c>
      <c r="BD20">
        <v>104045</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0</v>
      </c>
      <c r="DD20">
        <v>0</v>
      </c>
      <c r="DE20">
        <v>0</v>
      </c>
      <c r="DF20">
        <v>0</v>
      </c>
      <c r="DG20">
        <v>0</v>
      </c>
      <c r="DH20">
        <v>0</v>
      </c>
      <c r="DI20">
        <v>0</v>
      </c>
      <c r="DJ20">
        <v>0</v>
      </c>
      <c r="DK20">
        <v>0</v>
      </c>
      <c r="DL20">
        <v>0</v>
      </c>
      <c r="DM20">
        <v>0</v>
      </c>
      <c r="DN20">
        <v>0</v>
      </c>
      <c r="DO20">
        <v>0</v>
      </c>
      <c r="DP20">
        <v>0</v>
      </c>
      <c r="DQ20">
        <v>0</v>
      </c>
      <c r="DR20">
        <v>0</v>
      </c>
      <c r="DS20">
        <v>0</v>
      </c>
      <c r="DT20">
        <v>0</v>
      </c>
      <c r="DU20">
        <v>0</v>
      </c>
      <c r="DV20">
        <v>0</v>
      </c>
      <c r="DW20">
        <v>0</v>
      </c>
      <c r="DX20">
        <v>0</v>
      </c>
      <c r="DY20">
        <v>0</v>
      </c>
      <c r="DZ20">
        <v>0</v>
      </c>
      <c r="EA20">
        <v>0</v>
      </c>
      <c r="EB20">
        <v>0</v>
      </c>
      <c r="EC20">
        <v>0</v>
      </c>
      <c r="ED20">
        <v>0</v>
      </c>
      <c r="EE20">
        <v>0</v>
      </c>
      <c r="EF20">
        <v>0</v>
      </c>
      <c r="EG20">
        <v>0</v>
      </c>
      <c r="EH20">
        <v>0</v>
      </c>
      <c r="EI20">
        <v>0</v>
      </c>
      <c r="EJ20">
        <v>0</v>
      </c>
      <c r="EK20">
        <v>0</v>
      </c>
      <c r="EL20">
        <v>0</v>
      </c>
      <c r="EM20">
        <v>0</v>
      </c>
      <c r="EN20">
        <v>0</v>
      </c>
      <c r="EO20">
        <v>0</v>
      </c>
      <c r="EP20">
        <v>0</v>
      </c>
      <c r="EQ20">
        <v>0</v>
      </c>
      <c r="ER20">
        <v>0</v>
      </c>
      <c r="ES20">
        <v>0</v>
      </c>
      <c r="ET20">
        <v>0</v>
      </c>
      <c r="EU20">
        <v>0</v>
      </c>
      <c r="EV20">
        <v>0</v>
      </c>
      <c r="EW20">
        <v>0</v>
      </c>
      <c r="EX20">
        <v>0</v>
      </c>
      <c r="EY20">
        <v>1215</v>
      </c>
      <c r="EZ20">
        <v>1215</v>
      </c>
      <c r="FA20">
        <v>1304</v>
      </c>
      <c r="FB20">
        <v>0</v>
      </c>
      <c r="FD20">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1473170</v>
      </c>
    </row>
    <row r="21" spans="1:163">
      <c r="A21" t="s">
        <v>165</v>
      </c>
      <c r="B21" t="s">
        <v>165</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0</v>
      </c>
      <c r="CN21">
        <v>0</v>
      </c>
      <c r="CO21">
        <v>0</v>
      </c>
      <c r="CP21">
        <v>0</v>
      </c>
      <c r="CQ21">
        <v>0</v>
      </c>
      <c r="CR21">
        <v>0</v>
      </c>
      <c r="CS21">
        <v>0</v>
      </c>
      <c r="CT21">
        <v>0</v>
      </c>
      <c r="CU21">
        <v>0</v>
      </c>
      <c r="CV21">
        <v>0</v>
      </c>
      <c r="CW21">
        <v>0</v>
      </c>
      <c r="CX21">
        <v>0</v>
      </c>
      <c r="CY21">
        <v>0</v>
      </c>
      <c r="CZ21">
        <v>0</v>
      </c>
      <c r="DA21">
        <v>0</v>
      </c>
      <c r="DB21">
        <v>0</v>
      </c>
      <c r="DC21">
        <v>0</v>
      </c>
      <c r="DD21">
        <v>0</v>
      </c>
      <c r="DE21">
        <v>0</v>
      </c>
      <c r="DF21">
        <v>0</v>
      </c>
      <c r="DG21">
        <v>0</v>
      </c>
      <c r="DH21">
        <v>0</v>
      </c>
      <c r="DI21">
        <v>0</v>
      </c>
      <c r="DJ21">
        <v>0</v>
      </c>
      <c r="DK21">
        <v>0</v>
      </c>
      <c r="DL21">
        <v>0</v>
      </c>
      <c r="DM21">
        <v>0</v>
      </c>
      <c r="DN21">
        <v>0</v>
      </c>
      <c r="DO21">
        <v>0</v>
      </c>
      <c r="DP21">
        <v>0</v>
      </c>
      <c r="DQ21">
        <v>0</v>
      </c>
      <c r="DR21">
        <v>0</v>
      </c>
      <c r="DS21">
        <v>0</v>
      </c>
      <c r="DT21">
        <v>0</v>
      </c>
      <c r="DU21">
        <v>0</v>
      </c>
      <c r="DV21">
        <v>0</v>
      </c>
      <c r="DW21">
        <v>0</v>
      </c>
      <c r="DX21">
        <v>0</v>
      </c>
      <c r="DY21">
        <v>0</v>
      </c>
      <c r="DZ21">
        <v>0</v>
      </c>
      <c r="EA21">
        <v>0</v>
      </c>
      <c r="EB21">
        <v>0</v>
      </c>
      <c r="EC21">
        <v>0</v>
      </c>
      <c r="ED21">
        <v>0</v>
      </c>
      <c r="EE21">
        <v>0</v>
      </c>
      <c r="EF21">
        <v>0</v>
      </c>
      <c r="EG21">
        <v>0</v>
      </c>
      <c r="EH21">
        <v>0</v>
      </c>
      <c r="EI21">
        <v>0</v>
      </c>
      <c r="EJ21">
        <v>0</v>
      </c>
      <c r="EK21">
        <v>0</v>
      </c>
      <c r="EL21">
        <v>0</v>
      </c>
      <c r="EM21">
        <v>0</v>
      </c>
      <c r="EN21">
        <v>0</v>
      </c>
      <c r="EO21">
        <v>0</v>
      </c>
      <c r="EP21">
        <v>0</v>
      </c>
      <c r="EQ21">
        <v>0</v>
      </c>
      <c r="ER21">
        <v>0</v>
      </c>
      <c r="ES21">
        <v>0</v>
      </c>
      <c r="ET21">
        <v>0</v>
      </c>
      <c r="EU21">
        <v>0</v>
      </c>
      <c r="EV21">
        <v>0</v>
      </c>
      <c r="EW21">
        <v>0</v>
      </c>
      <c r="EX21">
        <v>0</v>
      </c>
      <c r="EY21">
        <v>0</v>
      </c>
      <c r="EZ21">
        <v>0</v>
      </c>
      <c r="FA21">
        <v>0</v>
      </c>
      <c r="FB21">
        <v>0</v>
      </c>
      <c r="FD21">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row>
    <row r="22" spans="1:163">
      <c r="A22" t="s">
        <v>166</v>
      </c>
      <c r="B22" t="s">
        <v>166</v>
      </c>
      <c r="C22">
        <v>1800</v>
      </c>
      <c r="D22">
        <v>1800</v>
      </c>
      <c r="E22">
        <v>2170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BX22">
        <v>0</v>
      </c>
      <c r="BY22">
        <v>0</v>
      </c>
      <c r="BZ22">
        <v>0</v>
      </c>
      <c r="CA22">
        <v>0</v>
      </c>
      <c r="CB22">
        <v>0</v>
      </c>
      <c r="CC22">
        <v>0</v>
      </c>
      <c r="CD22">
        <v>0</v>
      </c>
      <c r="CE22">
        <v>0</v>
      </c>
      <c r="CF22">
        <v>0</v>
      </c>
      <c r="CG22">
        <v>0</v>
      </c>
      <c r="CH22">
        <v>0</v>
      </c>
      <c r="CI22">
        <v>0</v>
      </c>
      <c r="CJ22">
        <v>0</v>
      </c>
      <c r="CK22">
        <v>0</v>
      </c>
      <c r="CL22">
        <v>0</v>
      </c>
      <c r="CM22">
        <v>0</v>
      </c>
      <c r="CN22">
        <v>0</v>
      </c>
      <c r="CO22">
        <v>0</v>
      </c>
      <c r="CP22">
        <v>0</v>
      </c>
      <c r="CQ22">
        <v>0</v>
      </c>
      <c r="CR22">
        <v>0</v>
      </c>
      <c r="CS22">
        <v>0</v>
      </c>
      <c r="CT22">
        <v>0</v>
      </c>
      <c r="CU22">
        <v>0</v>
      </c>
      <c r="CV22">
        <v>0</v>
      </c>
      <c r="CW22">
        <v>0</v>
      </c>
      <c r="CX22">
        <v>0</v>
      </c>
      <c r="CY22">
        <v>0</v>
      </c>
      <c r="CZ22">
        <v>0</v>
      </c>
      <c r="DA22">
        <v>0</v>
      </c>
      <c r="DB22">
        <v>0</v>
      </c>
      <c r="DC22">
        <v>0</v>
      </c>
      <c r="DD22">
        <v>0</v>
      </c>
      <c r="DE22">
        <v>0</v>
      </c>
      <c r="DF22">
        <v>0</v>
      </c>
      <c r="DG22">
        <v>0</v>
      </c>
      <c r="DH22">
        <v>0</v>
      </c>
      <c r="DI22">
        <v>0</v>
      </c>
      <c r="DJ22">
        <v>0</v>
      </c>
      <c r="DK22">
        <v>0</v>
      </c>
      <c r="DL22">
        <v>0</v>
      </c>
      <c r="DM22">
        <v>0</v>
      </c>
      <c r="DN22">
        <v>0</v>
      </c>
      <c r="DO22">
        <v>0</v>
      </c>
      <c r="DP22">
        <v>0</v>
      </c>
      <c r="DQ22">
        <v>0</v>
      </c>
      <c r="DR22">
        <v>0</v>
      </c>
      <c r="DS22">
        <v>0</v>
      </c>
      <c r="DT22">
        <v>0</v>
      </c>
      <c r="DU22">
        <v>0</v>
      </c>
      <c r="DV22">
        <v>0</v>
      </c>
      <c r="DW22">
        <v>0</v>
      </c>
      <c r="DX22">
        <v>0</v>
      </c>
      <c r="DY22">
        <v>0</v>
      </c>
      <c r="DZ22">
        <v>0</v>
      </c>
      <c r="EA22">
        <v>0</v>
      </c>
      <c r="EB22">
        <v>0</v>
      </c>
      <c r="EC22">
        <v>0</v>
      </c>
      <c r="ED22">
        <v>0</v>
      </c>
      <c r="EE22">
        <v>0</v>
      </c>
      <c r="EF22">
        <v>0</v>
      </c>
      <c r="EG22">
        <v>0</v>
      </c>
      <c r="EH22">
        <v>0</v>
      </c>
      <c r="EI22">
        <v>0</v>
      </c>
      <c r="EJ22">
        <v>0</v>
      </c>
      <c r="EK22">
        <v>0</v>
      </c>
      <c r="EL22">
        <v>0</v>
      </c>
      <c r="EM22">
        <v>0</v>
      </c>
      <c r="EN22">
        <v>0</v>
      </c>
      <c r="EO22">
        <v>0</v>
      </c>
      <c r="EP22">
        <v>0</v>
      </c>
      <c r="EQ22">
        <v>0</v>
      </c>
      <c r="ER22">
        <v>0</v>
      </c>
      <c r="ES22">
        <v>0</v>
      </c>
      <c r="ET22">
        <v>0</v>
      </c>
      <c r="EU22">
        <v>0</v>
      </c>
      <c r="EV22">
        <v>0</v>
      </c>
      <c r="EW22">
        <v>0</v>
      </c>
      <c r="EX22">
        <v>0</v>
      </c>
      <c r="EY22">
        <v>0</v>
      </c>
      <c r="EZ22">
        <v>0</v>
      </c>
      <c r="FA22">
        <v>0</v>
      </c>
      <c r="FB22">
        <v>0</v>
      </c>
      <c r="FD22">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2170</v>
      </c>
    </row>
    <row r="23" spans="1:163">
      <c r="A23" t="s">
        <v>1023</v>
      </c>
      <c r="B23" t="s">
        <v>1023</v>
      </c>
      <c r="C23">
        <v>0</v>
      </c>
      <c r="D23">
        <v>0</v>
      </c>
      <c r="E23">
        <v>0</v>
      </c>
      <c r="F23">
        <v>0</v>
      </c>
      <c r="G23">
        <v>2280</v>
      </c>
      <c r="H23" s="73">
        <v>2400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c r="BZ23">
        <v>0</v>
      </c>
      <c r="CA23">
        <v>0</v>
      </c>
      <c r="CB23">
        <v>0</v>
      </c>
      <c r="CC23">
        <v>0</v>
      </c>
      <c r="CD23">
        <v>0</v>
      </c>
      <c r="CE23">
        <v>0</v>
      </c>
      <c r="CF23">
        <v>0</v>
      </c>
      <c r="CG23">
        <v>0</v>
      </c>
      <c r="CH23">
        <v>0</v>
      </c>
      <c r="CI23">
        <v>0</v>
      </c>
      <c r="CJ23">
        <v>0</v>
      </c>
      <c r="CK23">
        <v>0</v>
      </c>
      <c r="CL23">
        <v>0</v>
      </c>
      <c r="CM23">
        <v>0</v>
      </c>
      <c r="CN23">
        <v>0</v>
      </c>
      <c r="CO23">
        <v>0</v>
      </c>
      <c r="CP23">
        <v>0</v>
      </c>
      <c r="CQ23">
        <v>0</v>
      </c>
      <c r="CR23">
        <v>0</v>
      </c>
      <c r="CS23">
        <v>0</v>
      </c>
      <c r="CT23">
        <v>0</v>
      </c>
      <c r="CU23">
        <v>0</v>
      </c>
      <c r="CV23">
        <v>0</v>
      </c>
      <c r="CW23">
        <v>0</v>
      </c>
      <c r="CX23">
        <v>0</v>
      </c>
      <c r="CY23">
        <v>0</v>
      </c>
      <c r="CZ23">
        <v>0</v>
      </c>
      <c r="DA23">
        <v>0</v>
      </c>
      <c r="DB23">
        <v>0</v>
      </c>
      <c r="DC23">
        <v>0</v>
      </c>
      <c r="DD23">
        <v>0</v>
      </c>
      <c r="DE23">
        <v>0</v>
      </c>
      <c r="DF23">
        <v>0</v>
      </c>
      <c r="DG23">
        <v>0</v>
      </c>
      <c r="DH23">
        <v>0</v>
      </c>
      <c r="DI23">
        <v>0</v>
      </c>
      <c r="DJ23">
        <v>0</v>
      </c>
      <c r="DK23">
        <v>0</v>
      </c>
      <c r="DL23">
        <v>0</v>
      </c>
      <c r="DM23">
        <v>0</v>
      </c>
      <c r="DN23">
        <v>0</v>
      </c>
      <c r="DO23">
        <v>0</v>
      </c>
      <c r="DP23">
        <v>0</v>
      </c>
      <c r="DQ23">
        <v>0</v>
      </c>
      <c r="DR23">
        <v>0</v>
      </c>
      <c r="DS23">
        <v>0</v>
      </c>
      <c r="DT23">
        <v>0</v>
      </c>
      <c r="DU23">
        <v>0</v>
      </c>
      <c r="DV23">
        <v>0</v>
      </c>
      <c r="DW23">
        <v>0</v>
      </c>
      <c r="DX23">
        <v>0</v>
      </c>
      <c r="DY23">
        <v>0</v>
      </c>
      <c r="DZ23">
        <v>0</v>
      </c>
      <c r="EA23">
        <v>0</v>
      </c>
      <c r="EB23">
        <v>0</v>
      </c>
      <c r="EC23">
        <v>0</v>
      </c>
      <c r="ED23">
        <v>0</v>
      </c>
      <c r="EE23">
        <v>0</v>
      </c>
      <c r="EF23">
        <v>0</v>
      </c>
      <c r="EG23">
        <v>0</v>
      </c>
      <c r="EH23">
        <v>0</v>
      </c>
      <c r="EI23">
        <v>0</v>
      </c>
      <c r="EJ23">
        <v>0</v>
      </c>
      <c r="EK23">
        <v>0</v>
      </c>
      <c r="EL23">
        <v>0</v>
      </c>
      <c r="EM23">
        <v>0</v>
      </c>
      <c r="EN23">
        <v>0</v>
      </c>
      <c r="EO23">
        <v>0</v>
      </c>
      <c r="EP23">
        <v>0</v>
      </c>
      <c r="EQ23">
        <v>0</v>
      </c>
      <c r="ER23">
        <v>0</v>
      </c>
      <c r="ES23">
        <v>0</v>
      </c>
      <c r="ET23">
        <v>0</v>
      </c>
      <c r="EU23">
        <v>0</v>
      </c>
      <c r="EV23">
        <v>0</v>
      </c>
      <c r="EW23">
        <v>0</v>
      </c>
      <c r="EX23">
        <v>0</v>
      </c>
      <c r="EY23">
        <v>0</v>
      </c>
      <c r="EZ23">
        <v>0</v>
      </c>
      <c r="FA23">
        <v>0</v>
      </c>
      <c r="FB23">
        <v>0</v>
      </c>
      <c r="FD23">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2400</v>
      </c>
    </row>
    <row r="24" spans="1:163">
      <c r="A24" t="s">
        <v>1024</v>
      </c>
      <c r="B24" t="s">
        <v>1024</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v>
      </c>
      <c r="DC24">
        <v>0</v>
      </c>
      <c r="DD24">
        <v>0</v>
      </c>
      <c r="DE24">
        <v>0</v>
      </c>
      <c r="DF24">
        <v>0</v>
      </c>
      <c r="DG24">
        <v>0</v>
      </c>
      <c r="DH24">
        <v>0</v>
      </c>
      <c r="DI24">
        <v>0</v>
      </c>
      <c r="DJ24">
        <v>0</v>
      </c>
      <c r="DK24">
        <v>0</v>
      </c>
      <c r="DL24">
        <v>0</v>
      </c>
      <c r="DM24">
        <v>0</v>
      </c>
      <c r="DN24">
        <v>0</v>
      </c>
      <c r="DO24">
        <v>0</v>
      </c>
      <c r="DP24">
        <v>0</v>
      </c>
      <c r="DQ24">
        <v>0</v>
      </c>
      <c r="DR24">
        <v>0</v>
      </c>
      <c r="DS24">
        <v>0</v>
      </c>
      <c r="DT24">
        <v>0</v>
      </c>
      <c r="DU24">
        <v>0</v>
      </c>
      <c r="DV24">
        <v>0</v>
      </c>
      <c r="DW24">
        <v>0</v>
      </c>
      <c r="DX24">
        <v>0</v>
      </c>
      <c r="DY24">
        <v>0</v>
      </c>
      <c r="DZ24">
        <v>0</v>
      </c>
      <c r="EA24">
        <v>0</v>
      </c>
      <c r="EB24">
        <v>0</v>
      </c>
      <c r="EC24">
        <v>0</v>
      </c>
      <c r="ED24">
        <v>0</v>
      </c>
      <c r="EE24">
        <v>0</v>
      </c>
      <c r="EF24">
        <v>0</v>
      </c>
      <c r="EG24">
        <v>0</v>
      </c>
      <c r="EH24">
        <v>0</v>
      </c>
      <c r="EI24">
        <v>0</v>
      </c>
      <c r="EJ24">
        <v>0</v>
      </c>
      <c r="EK24">
        <v>0</v>
      </c>
      <c r="EL24">
        <v>0</v>
      </c>
      <c r="EM24">
        <v>0</v>
      </c>
      <c r="EN24">
        <v>0</v>
      </c>
      <c r="EO24">
        <v>0</v>
      </c>
      <c r="EP24">
        <v>0</v>
      </c>
      <c r="EQ24">
        <v>0</v>
      </c>
      <c r="ER24">
        <v>0</v>
      </c>
      <c r="ES24">
        <v>0</v>
      </c>
      <c r="ET24">
        <v>0</v>
      </c>
      <c r="EU24">
        <v>0</v>
      </c>
      <c r="EV24">
        <v>0</v>
      </c>
      <c r="EW24">
        <v>0</v>
      </c>
      <c r="EX24">
        <v>0</v>
      </c>
      <c r="EY24">
        <v>0</v>
      </c>
      <c r="EZ24">
        <v>0</v>
      </c>
      <c r="FA24">
        <v>0</v>
      </c>
      <c r="FB24">
        <v>0</v>
      </c>
      <c r="FD24">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row>
    <row r="25" spans="1:163">
      <c r="A25" t="s">
        <v>1208</v>
      </c>
      <c r="B25" t="s">
        <v>1208</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c r="ED25">
        <v>0</v>
      </c>
      <c r="EE25">
        <v>0</v>
      </c>
      <c r="EF25">
        <v>0</v>
      </c>
      <c r="EG25">
        <v>0</v>
      </c>
      <c r="EH25">
        <v>0</v>
      </c>
      <c r="EI25">
        <v>0</v>
      </c>
      <c r="EJ25">
        <v>0</v>
      </c>
      <c r="EK25">
        <v>0</v>
      </c>
      <c r="EL25">
        <v>0</v>
      </c>
      <c r="EM25">
        <v>0</v>
      </c>
      <c r="EN25">
        <v>0</v>
      </c>
      <c r="EO25">
        <v>0</v>
      </c>
      <c r="EP25">
        <v>0</v>
      </c>
      <c r="EQ25">
        <v>0</v>
      </c>
      <c r="ER25">
        <v>0</v>
      </c>
      <c r="ES25">
        <v>0</v>
      </c>
      <c r="ET25">
        <v>0</v>
      </c>
      <c r="EU25">
        <v>0</v>
      </c>
      <c r="EV25">
        <v>0</v>
      </c>
      <c r="EW25">
        <v>0</v>
      </c>
      <c r="EX25">
        <v>0</v>
      </c>
      <c r="EY25">
        <v>0</v>
      </c>
      <c r="EZ25">
        <v>0</v>
      </c>
      <c r="FA25">
        <v>0</v>
      </c>
      <c r="FB25">
        <v>0</v>
      </c>
      <c r="FD25">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row>
    <row r="26" spans="1:163">
      <c r="A26" t="s">
        <v>573</v>
      </c>
      <c r="B26" t="s">
        <v>573</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c r="ED26">
        <v>0</v>
      </c>
      <c r="EE26">
        <v>0</v>
      </c>
      <c r="EF26">
        <v>0</v>
      </c>
      <c r="EG26">
        <v>0</v>
      </c>
      <c r="EH26">
        <v>0</v>
      </c>
      <c r="EI26">
        <v>0</v>
      </c>
      <c r="EJ26">
        <v>0</v>
      </c>
      <c r="EK26">
        <v>0</v>
      </c>
      <c r="EL26">
        <v>0</v>
      </c>
      <c r="EM26">
        <v>0</v>
      </c>
      <c r="EN26">
        <v>0</v>
      </c>
      <c r="EO26">
        <v>0</v>
      </c>
      <c r="EP26">
        <v>0</v>
      </c>
      <c r="EQ26">
        <v>0</v>
      </c>
      <c r="ER26">
        <v>0</v>
      </c>
      <c r="ES26">
        <v>0</v>
      </c>
      <c r="ET26">
        <v>0</v>
      </c>
      <c r="EU26">
        <v>0</v>
      </c>
      <c r="EV26">
        <v>0</v>
      </c>
      <c r="EW26">
        <v>0</v>
      </c>
      <c r="EX26">
        <v>0</v>
      </c>
      <c r="EY26">
        <v>0</v>
      </c>
      <c r="EZ26">
        <v>0</v>
      </c>
      <c r="FA26">
        <v>0</v>
      </c>
      <c r="FB26">
        <v>0</v>
      </c>
      <c r="FD26">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row>
    <row r="27" spans="1:163">
      <c r="A27" t="s">
        <v>574</v>
      </c>
      <c r="B27" t="s">
        <v>574</v>
      </c>
      <c r="C27">
        <v>0</v>
      </c>
      <c r="D27">
        <v>0</v>
      </c>
      <c r="E27">
        <v>0</v>
      </c>
      <c r="F27">
        <v>0</v>
      </c>
      <c r="G27">
        <v>28000</v>
      </c>
      <c r="H27">
        <v>27120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37149</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c r="ED27">
        <v>0</v>
      </c>
      <c r="EE27">
        <v>0</v>
      </c>
      <c r="EF27">
        <v>0</v>
      </c>
      <c r="EG27">
        <v>0</v>
      </c>
      <c r="EH27">
        <v>0</v>
      </c>
      <c r="EI27">
        <v>0</v>
      </c>
      <c r="EJ27">
        <v>0</v>
      </c>
      <c r="EK27">
        <v>0</v>
      </c>
      <c r="EL27">
        <v>0</v>
      </c>
      <c r="EM27">
        <v>0</v>
      </c>
      <c r="EN27">
        <v>0</v>
      </c>
      <c r="EO27">
        <v>0</v>
      </c>
      <c r="EP27">
        <v>0</v>
      </c>
      <c r="EQ27">
        <v>0</v>
      </c>
      <c r="ER27">
        <v>0</v>
      </c>
      <c r="ES27">
        <v>0</v>
      </c>
      <c r="ET27">
        <v>0</v>
      </c>
      <c r="EU27">
        <v>0</v>
      </c>
      <c r="EV27">
        <v>0</v>
      </c>
      <c r="EW27">
        <v>0</v>
      </c>
      <c r="EX27">
        <v>0</v>
      </c>
      <c r="EY27">
        <v>0</v>
      </c>
      <c r="EZ27">
        <v>0</v>
      </c>
      <c r="FA27">
        <v>0</v>
      </c>
      <c r="FB27">
        <v>0</v>
      </c>
      <c r="FD27">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64269</v>
      </c>
    </row>
    <row r="28" spans="1:163">
      <c r="A28" t="s">
        <v>575</v>
      </c>
      <c r="B28" t="s">
        <v>575</v>
      </c>
      <c r="C28">
        <v>237564</v>
      </c>
      <c r="D28">
        <v>237564</v>
      </c>
      <c r="E28">
        <v>194299</v>
      </c>
      <c r="F28">
        <v>0</v>
      </c>
      <c r="G28">
        <v>1730357</v>
      </c>
      <c r="H28">
        <v>1019615</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7710</v>
      </c>
      <c r="AI28">
        <v>7342</v>
      </c>
      <c r="AJ28">
        <v>0</v>
      </c>
      <c r="AK28">
        <v>0</v>
      </c>
      <c r="AL28">
        <v>0</v>
      </c>
      <c r="AM28">
        <v>0</v>
      </c>
      <c r="AN28">
        <v>0</v>
      </c>
      <c r="AO28">
        <v>0</v>
      </c>
      <c r="AP28">
        <v>0</v>
      </c>
      <c r="AQ28">
        <v>0</v>
      </c>
      <c r="AR28">
        <v>0</v>
      </c>
      <c r="AS28">
        <v>0</v>
      </c>
      <c r="AT28">
        <v>0</v>
      </c>
      <c r="AU28">
        <v>0</v>
      </c>
      <c r="AV28">
        <v>0</v>
      </c>
      <c r="AW28">
        <v>5500</v>
      </c>
      <c r="AX28">
        <v>6000</v>
      </c>
      <c r="AY28">
        <v>0</v>
      </c>
      <c r="AZ28">
        <v>0</v>
      </c>
      <c r="BA28">
        <v>0</v>
      </c>
      <c r="BB28">
        <v>0</v>
      </c>
      <c r="BC28">
        <v>212579</v>
      </c>
      <c r="BD28" s="73">
        <v>214803</v>
      </c>
      <c r="BE28">
        <v>0</v>
      </c>
      <c r="BF28">
        <v>0</v>
      </c>
      <c r="BG28">
        <v>0</v>
      </c>
      <c r="BH28">
        <v>0</v>
      </c>
      <c r="BI28">
        <v>0</v>
      </c>
      <c r="BJ28">
        <v>0</v>
      </c>
      <c r="BK28">
        <v>0</v>
      </c>
      <c r="BL28">
        <v>0</v>
      </c>
      <c r="BM28">
        <v>0</v>
      </c>
      <c r="BN28">
        <v>0</v>
      </c>
      <c r="BO28">
        <v>2000</v>
      </c>
      <c r="BP28">
        <v>4490</v>
      </c>
      <c r="BQ28">
        <v>0</v>
      </c>
      <c r="BR28">
        <v>0</v>
      </c>
      <c r="BS28">
        <v>0</v>
      </c>
      <c r="BT28">
        <v>0</v>
      </c>
      <c r="BU28">
        <v>200000</v>
      </c>
      <c r="BV28">
        <v>361448</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s="158">
        <v>0</v>
      </c>
      <c r="DY28">
        <v>0</v>
      </c>
      <c r="DZ28">
        <v>244545</v>
      </c>
      <c r="EA28">
        <v>310691</v>
      </c>
      <c r="EB28">
        <v>0</v>
      </c>
      <c r="EC28">
        <v>31786</v>
      </c>
      <c r="ED28">
        <v>0</v>
      </c>
      <c r="EE28">
        <v>0</v>
      </c>
      <c r="EF28">
        <v>0</v>
      </c>
      <c r="EG28" s="158">
        <v>0</v>
      </c>
      <c r="EH28">
        <v>0</v>
      </c>
      <c r="EI28">
        <v>0</v>
      </c>
      <c r="EJ28">
        <v>100801</v>
      </c>
      <c r="EK28">
        <v>0</v>
      </c>
      <c r="EL28">
        <v>0</v>
      </c>
      <c r="EM28">
        <v>0</v>
      </c>
      <c r="EN28">
        <v>0</v>
      </c>
      <c r="EO28">
        <v>0</v>
      </c>
      <c r="EP28">
        <v>0</v>
      </c>
      <c r="EQ28">
        <v>0</v>
      </c>
      <c r="ER28">
        <v>137008</v>
      </c>
      <c r="ES28" s="21">
        <v>104225</v>
      </c>
      <c r="ET28">
        <v>0</v>
      </c>
      <c r="EU28">
        <v>2033542</v>
      </c>
      <c r="EV28">
        <v>2033542</v>
      </c>
      <c r="EW28" s="987">
        <f>1588855+1848098-866404-110000</f>
        <v>2460549</v>
      </c>
      <c r="EX28">
        <v>0</v>
      </c>
      <c r="EY28">
        <v>0</v>
      </c>
      <c r="EZ28">
        <v>0</v>
      </c>
      <c r="FA28">
        <v>0</v>
      </c>
      <c r="FB28">
        <v>0</v>
      </c>
      <c r="FD28">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4784263</v>
      </c>
    </row>
    <row r="29" spans="1:163">
      <c r="A29" t="s">
        <v>1113</v>
      </c>
      <c r="B29" t="s">
        <v>1113</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c r="ED29">
        <v>0</v>
      </c>
      <c r="EE29">
        <v>0</v>
      </c>
      <c r="EF29">
        <v>0</v>
      </c>
      <c r="EG29">
        <v>0</v>
      </c>
      <c r="EH29">
        <v>0</v>
      </c>
      <c r="EI29">
        <v>0</v>
      </c>
      <c r="EJ29">
        <v>0</v>
      </c>
      <c r="EK29">
        <v>0</v>
      </c>
      <c r="EL29">
        <v>0</v>
      </c>
      <c r="EM29">
        <v>0</v>
      </c>
      <c r="EN29">
        <v>0</v>
      </c>
      <c r="EO29">
        <v>0</v>
      </c>
      <c r="EP29">
        <v>0</v>
      </c>
      <c r="EQ29">
        <v>0</v>
      </c>
      <c r="ER29">
        <v>0</v>
      </c>
      <c r="ES29">
        <v>0</v>
      </c>
      <c r="ET29">
        <v>0</v>
      </c>
      <c r="EU29">
        <v>0</v>
      </c>
      <c r="EV29">
        <v>0</v>
      </c>
      <c r="EW29">
        <v>0</v>
      </c>
      <c r="EX29">
        <v>0</v>
      </c>
      <c r="EY29">
        <v>0</v>
      </c>
      <c r="EZ29">
        <v>0</v>
      </c>
      <c r="FA29">
        <v>0</v>
      </c>
      <c r="FB29">
        <v>0</v>
      </c>
      <c r="FD29">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row>
    <row r="30" spans="1:163">
      <c r="A30" t="s">
        <v>1114</v>
      </c>
      <c r="B30" t="s">
        <v>1114</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0</v>
      </c>
      <c r="DK30">
        <v>0</v>
      </c>
      <c r="DL30">
        <v>0</v>
      </c>
      <c r="DM30">
        <v>0</v>
      </c>
      <c r="DN30">
        <v>0</v>
      </c>
      <c r="DO30">
        <v>0</v>
      </c>
      <c r="DP30">
        <v>0</v>
      </c>
      <c r="DQ30">
        <v>0</v>
      </c>
      <c r="DR30">
        <v>0</v>
      </c>
      <c r="DS30">
        <v>0</v>
      </c>
      <c r="DT30">
        <v>0</v>
      </c>
      <c r="DU30">
        <v>0</v>
      </c>
      <c r="DV30">
        <v>0</v>
      </c>
      <c r="DW30">
        <v>0</v>
      </c>
      <c r="DX30">
        <v>0</v>
      </c>
      <c r="DY30">
        <v>0</v>
      </c>
      <c r="DZ30">
        <v>0</v>
      </c>
      <c r="EA30">
        <v>0</v>
      </c>
      <c r="EB30">
        <v>0</v>
      </c>
      <c r="EC30">
        <v>0</v>
      </c>
      <c r="ED30">
        <v>0</v>
      </c>
      <c r="EE30">
        <v>0</v>
      </c>
      <c r="EF30">
        <v>0</v>
      </c>
      <c r="EG30">
        <v>0</v>
      </c>
      <c r="EH30">
        <v>0</v>
      </c>
      <c r="EI30">
        <v>0</v>
      </c>
      <c r="EJ30">
        <v>0</v>
      </c>
      <c r="EK30">
        <v>0</v>
      </c>
      <c r="EL30">
        <v>0</v>
      </c>
      <c r="EM30">
        <v>0</v>
      </c>
      <c r="EN30">
        <v>0</v>
      </c>
      <c r="EO30">
        <v>0</v>
      </c>
      <c r="EP30">
        <v>0</v>
      </c>
      <c r="EQ30">
        <v>0</v>
      </c>
      <c r="ER30">
        <v>0</v>
      </c>
      <c r="ES30">
        <v>0</v>
      </c>
      <c r="ET30">
        <v>0</v>
      </c>
      <c r="EU30">
        <v>0</v>
      </c>
      <c r="EV30">
        <v>0</v>
      </c>
      <c r="EW30">
        <v>0</v>
      </c>
      <c r="EX30">
        <v>0</v>
      </c>
      <c r="EY30">
        <v>0</v>
      </c>
      <c r="EZ30">
        <v>0</v>
      </c>
      <c r="FA30">
        <v>0</v>
      </c>
      <c r="FB30">
        <v>0</v>
      </c>
      <c r="FD30">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row>
    <row r="31" spans="1:163">
      <c r="A31" t="s">
        <v>1115</v>
      </c>
      <c r="B31" t="s">
        <v>1115</v>
      </c>
      <c r="C31">
        <v>322500</v>
      </c>
      <c r="D31">
        <v>322500</v>
      </c>
      <c r="E31" s="168">
        <v>322500</v>
      </c>
      <c r="F31">
        <v>0</v>
      </c>
      <c r="G31">
        <v>0</v>
      </c>
      <c r="H31">
        <v>0</v>
      </c>
      <c r="I31">
        <v>0</v>
      </c>
      <c r="J31">
        <v>0</v>
      </c>
      <c r="K31">
        <v>0</v>
      </c>
      <c r="L31">
        <v>0</v>
      </c>
      <c r="M31">
        <v>0</v>
      </c>
      <c r="N31">
        <v>0</v>
      </c>
      <c r="O31">
        <v>0</v>
      </c>
      <c r="P31">
        <v>0</v>
      </c>
      <c r="Q31">
        <v>0</v>
      </c>
      <c r="R31">
        <v>0</v>
      </c>
      <c r="S31">
        <v>0</v>
      </c>
      <c r="T31">
        <v>0</v>
      </c>
      <c r="U31">
        <v>0</v>
      </c>
      <c r="V31">
        <v>115000</v>
      </c>
      <c r="W31" s="168">
        <v>115000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c r="ED31">
        <v>0</v>
      </c>
      <c r="EE31">
        <v>0</v>
      </c>
      <c r="EF31">
        <v>0</v>
      </c>
      <c r="EG31">
        <v>0</v>
      </c>
      <c r="EH31">
        <v>0</v>
      </c>
      <c r="EI31">
        <v>0</v>
      </c>
      <c r="EJ31">
        <v>0</v>
      </c>
      <c r="EK31">
        <v>0</v>
      </c>
      <c r="EL31">
        <v>0</v>
      </c>
      <c r="EM31">
        <v>0</v>
      </c>
      <c r="EN31">
        <v>0</v>
      </c>
      <c r="EO31">
        <v>0</v>
      </c>
      <c r="EP31">
        <v>0</v>
      </c>
      <c r="EQ31">
        <v>0</v>
      </c>
      <c r="ER31">
        <v>0</v>
      </c>
      <c r="ES31">
        <v>0</v>
      </c>
      <c r="ET31">
        <v>0</v>
      </c>
      <c r="EU31">
        <v>0</v>
      </c>
      <c r="EV31">
        <v>0</v>
      </c>
      <c r="EW31">
        <v>0</v>
      </c>
      <c r="EX31">
        <v>0</v>
      </c>
      <c r="EY31">
        <v>0</v>
      </c>
      <c r="EZ31">
        <v>0</v>
      </c>
      <c r="FA31">
        <v>0</v>
      </c>
      <c r="FB31">
        <v>0</v>
      </c>
      <c r="FD31">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437500</v>
      </c>
    </row>
    <row r="32" spans="1:163">
      <c r="A32" t="s">
        <v>1116</v>
      </c>
      <c r="B32" t="s">
        <v>1116</v>
      </c>
      <c r="C32">
        <v>0</v>
      </c>
      <c r="D32">
        <v>0</v>
      </c>
      <c r="E32">
        <v>0</v>
      </c>
      <c r="F32">
        <v>0</v>
      </c>
      <c r="G32">
        <v>0</v>
      </c>
      <c r="H32">
        <v>0</v>
      </c>
      <c r="I32">
        <v>0</v>
      </c>
      <c r="J32">
        <v>0</v>
      </c>
      <c r="K32">
        <v>0</v>
      </c>
      <c r="L32">
        <v>0</v>
      </c>
      <c r="M32">
        <v>0</v>
      </c>
      <c r="N32">
        <v>0</v>
      </c>
      <c r="O32">
        <v>0</v>
      </c>
      <c r="P32">
        <v>0</v>
      </c>
      <c r="Q32">
        <v>0</v>
      </c>
      <c r="R32">
        <v>0</v>
      </c>
      <c r="S32">
        <v>0</v>
      </c>
      <c r="T32">
        <v>0</v>
      </c>
      <c r="U32">
        <v>0</v>
      </c>
      <c r="V32">
        <v>0</v>
      </c>
      <c r="W32">
        <v>392453</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50000</v>
      </c>
      <c r="CN32" s="158">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c r="DI32">
        <v>0</v>
      </c>
      <c r="DJ32">
        <v>0</v>
      </c>
      <c r="DK32">
        <v>0</v>
      </c>
      <c r="DL32">
        <v>0</v>
      </c>
      <c r="DM32">
        <v>0</v>
      </c>
      <c r="DN32">
        <v>0</v>
      </c>
      <c r="DO32">
        <v>0</v>
      </c>
      <c r="DP32">
        <v>0</v>
      </c>
      <c r="DQ32">
        <v>0</v>
      </c>
      <c r="DR32">
        <v>0</v>
      </c>
      <c r="DS32">
        <v>0</v>
      </c>
      <c r="DT32">
        <v>0</v>
      </c>
      <c r="DU32">
        <v>0</v>
      </c>
      <c r="DV32">
        <v>0</v>
      </c>
      <c r="DW32">
        <v>0</v>
      </c>
      <c r="DX32">
        <v>0</v>
      </c>
      <c r="DY32">
        <v>0</v>
      </c>
      <c r="DZ32">
        <v>0</v>
      </c>
      <c r="EA32">
        <v>0</v>
      </c>
      <c r="EB32">
        <v>0</v>
      </c>
      <c r="EC32">
        <v>0</v>
      </c>
      <c r="ED32">
        <v>0</v>
      </c>
      <c r="EE32">
        <v>0</v>
      </c>
      <c r="EF32">
        <v>0</v>
      </c>
      <c r="EG32">
        <v>0</v>
      </c>
      <c r="EH32">
        <v>0</v>
      </c>
      <c r="EI32">
        <v>0</v>
      </c>
      <c r="EJ32">
        <v>0</v>
      </c>
      <c r="EK32">
        <v>0</v>
      </c>
      <c r="EL32">
        <v>0</v>
      </c>
      <c r="EM32">
        <v>0</v>
      </c>
      <c r="EN32">
        <v>0</v>
      </c>
      <c r="EO32">
        <v>0</v>
      </c>
      <c r="EP32">
        <v>0</v>
      </c>
      <c r="EQ32">
        <v>0</v>
      </c>
      <c r="ER32">
        <v>0</v>
      </c>
      <c r="ES32">
        <v>0</v>
      </c>
      <c r="ET32">
        <v>0</v>
      </c>
      <c r="EU32">
        <v>0</v>
      </c>
      <c r="EV32">
        <v>0</v>
      </c>
      <c r="EW32" s="146">
        <v>0</v>
      </c>
      <c r="EX32">
        <v>0</v>
      </c>
      <c r="EY32">
        <v>0</v>
      </c>
      <c r="EZ32">
        <v>0</v>
      </c>
      <c r="FA32">
        <v>0</v>
      </c>
      <c r="FB32">
        <v>0</v>
      </c>
      <c r="FD32">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392453</v>
      </c>
    </row>
    <row r="33" spans="1:160">
      <c r="A33" t="s">
        <v>1117</v>
      </c>
      <c r="B33" t="s">
        <v>1117</v>
      </c>
      <c r="C33">
        <v>0</v>
      </c>
      <c r="D33">
        <v>0</v>
      </c>
      <c r="E33">
        <v>0</v>
      </c>
      <c r="F33" s="211">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0</v>
      </c>
      <c r="DI33">
        <v>0</v>
      </c>
      <c r="DJ33">
        <v>0</v>
      </c>
      <c r="DK33">
        <v>0</v>
      </c>
      <c r="DL33">
        <v>0</v>
      </c>
      <c r="DM33">
        <v>0</v>
      </c>
      <c r="DN33">
        <v>0</v>
      </c>
      <c r="DO33">
        <v>0</v>
      </c>
      <c r="DP33">
        <v>0</v>
      </c>
      <c r="DQ33">
        <v>0</v>
      </c>
      <c r="DR33">
        <v>0</v>
      </c>
      <c r="DS33">
        <v>0</v>
      </c>
      <c r="DT33">
        <v>0</v>
      </c>
      <c r="DU33">
        <v>0</v>
      </c>
      <c r="DV33">
        <v>0</v>
      </c>
      <c r="DW33">
        <v>0</v>
      </c>
      <c r="DX33">
        <v>0</v>
      </c>
      <c r="DY33">
        <v>0</v>
      </c>
      <c r="DZ33">
        <v>0</v>
      </c>
      <c r="EA33">
        <v>0</v>
      </c>
      <c r="EB33">
        <v>0</v>
      </c>
      <c r="EC33">
        <v>0</v>
      </c>
      <c r="ED33">
        <v>0</v>
      </c>
      <c r="EE33">
        <v>0</v>
      </c>
      <c r="EF33">
        <v>0</v>
      </c>
      <c r="EG33">
        <v>0</v>
      </c>
      <c r="EH33">
        <v>0</v>
      </c>
      <c r="EI33">
        <v>0</v>
      </c>
      <c r="EJ33">
        <v>0</v>
      </c>
      <c r="EK33">
        <v>0</v>
      </c>
      <c r="EL33">
        <v>0</v>
      </c>
      <c r="EM33">
        <v>0</v>
      </c>
      <c r="EN33">
        <v>0</v>
      </c>
      <c r="EO33">
        <v>0</v>
      </c>
      <c r="EP33">
        <v>0</v>
      </c>
      <c r="EQ33">
        <v>0</v>
      </c>
      <c r="ER33">
        <v>0</v>
      </c>
      <c r="ES33">
        <v>0</v>
      </c>
      <c r="ET33">
        <v>0</v>
      </c>
      <c r="EU33">
        <v>0</v>
      </c>
      <c r="EV33">
        <v>0</v>
      </c>
      <c r="EW33">
        <v>0</v>
      </c>
      <c r="EX33">
        <v>0</v>
      </c>
      <c r="EY33">
        <v>0</v>
      </c>
      <c r="EZ33">
        <v>0</v>
      </c>
      <c r="FA33">
        <v>0</v>
      </c>
      <c r="FB33">
        <v>0</v>
      </c>
      <c r="FD33">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row>
    <row r="34" spans="1:160">
      <c r="A34" t="s">
        <v>1118</v>
      </c>
      <c r="B34" t="s">
        <v>1118</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E34">
        <v>0</v>
      </c>
      <c r="DF34">
        <v>0</v>
      </c>
      <c r="DG34">
        <v>0</v>
      </c>
      <c r="DH34">
        <v>0</v>
      </c>
      <c r="DI34">
        <v>0</v>
      </c>
      <c r="DJ34">
        <v>0</v>
      </c>
      <c r="DK34">
        <v>0</v>
      </c>
      <c r="DL34">
        <v>0</v>
      </c>
      <c r="DM34">
        <v>0</v>
      </c>
      <c r="DN34">
        <v>0</v>
      </c>
      <c r="DO34">
        <v>0</v>
      </c>
      <c r="DP34">
        <v>0</v>
      </c>
      <c r="DQ34">
        <v>0</v>
      </c>
      <c r="DR34">
        <v>0</v>
      </c>
      <c r="DS34">
        <v>0</v>
      </c>
      <c r="DT34">
        <v>0</v>
      </c>
      <c r="DU34">
        <v>0</v>
      </c>
      <c r="DV34">
        <v>0</v>
      </c>
      <c r="DW34">
        <v>0</v>
      </c>
      <c r="DX34">
        <v>0</v>
      </c>
      <c r="DY34">
        <v>0</v>
      </c>
      <c r="DZ34">
        <v>0</v>
      </c>
      <c r="EA34">
        <v>0</v>
      </c>
      <c r="EB34">
        <v>0</v>
      </c>
      <c r="EC34">
        <v>0</v>
      </c>
      <c r="ED34">
        <v>0</v>
      </c>
      <c r="EE34">
        <v>0</v>
      </c>
      <c r="EF34">
        <v>0</v>
      </c>
      <c r="EG34">
        <v>0</v>
      </c>
      <c r="EH34">
        <v>0</v>
      </c>
      <c r="EI34">
        <v>0</v>
      </c>
      <c r="EJ34">
        <v>0</v>
      </c>
      <c r="EK34">
        <v>0</v>
      </c>
      <c r="EL34">
        <v>0</v>
      </c>
      <c r="EM34">
        <v>0</v>
      </c>
      <c r="EN34">
        <v>0</v>
      </c>
      <c r="EO34">
        <v>0</v>
      </c>
      <c r="EP34">
        <v>0</v>
      </c>
      <c r="EQ34">
        <v>0</v>
      </c>
      <c r="ER34">
        <v>0</v>
      </c>
      <c r="ES34">
        <v>0</v>
      </c>
      <c r="ET34">
        <v>0</v>
      </c>
      <c r="EU34">
        <v>0</v>
      </c>
      <c r="EV34">
        <v>0</v>
      </c>
      <c r="EW34">
        <v>0</v>
      </c>
      <c r="EX34">
        <v>0</v>
      </c>
      <c r="EY34">
        <v>0</v>
      </c>
      <c r="EZ34">
        <v>0</v>
      </c>
      <c r="FA34">
        <v>0</v>
      </c>
      <c r="FB34">
        <v>0</v>
      </c>
      <c r="FD34">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row>
    <row r="35" spans="1:160">
      <c r="A35" t="s">
        <v>1119</v>
      </c>
      <c r="B35" t="s">
        <v>1119</v>
      </c>
      <c r="C35">
        <v>0</v>
      </c>
      <c r="D35">
        <v>0</v>
      </c>
      <c r="E35">
        <v>0</v>
      </c>
      <c r="F35">
        <v>0</v>
      </c>
      <c r="G35">
        <v>136796</v>
      </c>
      <c r="H35">
        <v>347205</v>
      </c>
      <c r="I35">
        <v>0</v>
      </c>
      <c r="J35">
        <v>0</v>
      </c>
      <c r="K35">
        <v>0</v>
      </c>
      <c r="L35">
        <v>0</v>
      </c>
      <c r="M35">
        <v>0</v>
      </c>
      <c r="N35">
        <v>0</v>
      </c>
      <c r="O35">
        <v>0</v>
      </c>
      <c r="P35">
        <v>0</v>
      </c>
      <c r="Q35">
        <v>0</v>
      </c>
      <c r="R35">
        <v>0</v>
      </c>
      <c r="S35">
        <v>670000</v>
      </c>
      <c r="T35">
        <v>332971</v>
      </c>
      <c r="U35">
        <v>0</v>
      </c>
      <c r="V35">
        <v>3000</v>
      </c>
      <c r="W35">
        <v>3244</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49856</v>
      </c>
      <c r="BD35" s="73">
        <v>52651</v>
      </c>
      <c r="BE35">
        <v>0</v>
      </c>
      <c r="BF35">
        <v>0</v>
      </c>
      <c r="BG35">
        <v>0</v>
      </c>
      <c r="BH35">
        <v>0</v>
      </c>
      <c r="BI35">
        <v>0</v>
      </c>
      <c r="BJ35">
        <v>0</v>
      </c>
      <c r="BK35">
        <v>0</v>
      </c>
      <c r="BL35">
        <v>0</v>
      </c>
      <c r="BM35">
        <v>0</v>
      </c>
      <c r="BN35">
        <v>0</v>
      </c>
      <c r="BO35">
        <v>0</v>
      </c>
      <c r="BP35">
        <v>0</v>
      </c>
      <c r="BQ35">
        <v>0</v>
      </c>
      <c r="BR35">
        <v>0</v>
      </c>
      <c r="BS35">
        <v>0</v>
      </c>
      <c r="BT35">
        <v>0</v>
      </c>
      <c r="BU35">
        <v>297000</v>
      </c>
      <c r="BV35">
        <v>83552</v>
      </c>
      <c r="BW35">
        <v>0</v>
      </c>
      <c r="BX35">
        <v>0</v>
      </c>
      <c r="BY35">
        <v>0</v>
      </c>
      <c r="BZ35">
        <v>0</v>
      </c>
      <c r="CA35">
        <v>0</v>
      </c>
      <c r="CB35">
        <v>0</v>
      </c>
      <c r="CC35">
        <v>0</v>
      </c>
      <c r="CD35">
        <v>28000</v>
      </c>
      <c r="CE35" s="158">
        <v>25558</v>
      </c>
      <c r="CF35">
        <v>0</v>
      </c>
      <c r="CG35">
        <v>0</v>
      </c>
      <c r="CH35">
        <v>0</v>
      </c>
      <c r="CI35">
        <v>0</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0</v>
      </c>
      <c r="DH35">
        <v>0</v>
      </c>
      <c r="DI35">
        <v>0</v>
      </c>
      <c r="DJ35">
        <v>0</v>
      </c>
      <c r="DK35">
        <v>0</v>
      </c>
      <c r="DL35">
        <v>0</v>
      </c>
      <c r="DM35">
        <v>0</v>
      </c>
      <c r="DN35">
        <v>0</v>
      </c>
      <c r="DO35">
        <v>0</v>
      </c>
      <c r="DP35">
        <v>0</v>
      </c>
      <c r="DQ35">
        <v>0</v>
      </c>
      <c r="DR35">
        <v>0</v>
      </c>
      <c r="DS35">
        <v>0</v>
      </c>
      <c r="DT35">
        <v>0</v>
      </c>
      <c r="DU35">
        <v>0</v>
      </c>
      <c r="DV35">
        <v>0</v>
      </c>
      <c r="DW35">
        <v>0</v>
      </c>
      <c r="DX35">
        <v>0</v>
      </c>
      <c r="DY35">
        <v>0</v>
      </c>
      <c r="DZ35">
        <v>0</v>
      </c>
      <c r="EA35">
        <v>0</v>
      </c>
      <c r="EB35">
        <v>0</v>
      </c>
      <c r="EC35">
        <v>0</v>
      </c>
      <c r="ED35">
        <v>0</v>
      </c>
      <c r="EE35">
        <v>0</v>
      </c>
      <c r="EF35">
        <v>0</v>
      </c>
      <c r="EG35">
        <v>0</v>
      </c>
      <c r="EH35">
        <v>0</v>
      </c>
      <c r="EI35">
        <v>0</v>
      </c>
      <c r="EJ35">
        <v>0</v>
      </c>
      <c r="EK35">
        <v>0</v>
      </c>
      <c r="EL35">
        <v>0</v>
      </c>
      <c r="EM35">
        <v>0</v>
      </c>
      <c r="EN35">
        <v>0</v>
      </c>
      <c r="EO35">
        <v>9286</v>
      </c>
      <c r="EP35">
        <v>9352</v>
      </c>
      <c r="EQ35">
        <v>0</v>
      </c>
      <c r="ER35">
        <v>0</v>
      </c>
      <c r="ES35">
        <v>0</v>
      </c>
      <c r="ET35">
        <v>0</v>
      </c>
      <c r="EU35">
        <v>0</v>
      </c>
      <c r="EV35">
        <v>0</v>
      </c>
      <c r="EW35">
        <v>20000</v>
      </c>
      <c r="EX35">
        <v>0</v>
      </c>
      <c r="EY35">
        <v>0</v>
      </c>
      <c r="EZ35">
        <v>0</v>
      </c>
      <c r="FA35">
        <v>0</v>
      </c>
      <c r="FB35">
        <v>0</v>
      </c>
      <c r="FD35">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874533</v>
      </c>
    </row>
    <row r="36" spans="1:160">
      <c r="A36" t="s">
        <v>1009</v>
      </c>
      <c r="B36" t="s">
        <v>1009</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c r="CU36">
        <v>0</v>
      </c>
      <c r="CV36">
        <v>0</v>
      </c>
      <c r="CW36">
        <v>0</v>
      </c>
      <c r="CX36">
        <v>0</v>
      </c>
      <c r="CY36">
        <v>0</v>
      </c>
      <c r="CZ36">
        <v>0</v>
      </c>
      <c r="DA36">
        <v>0</v>
      </c>
      <c r="DB36">
        <v>0</v>
      </c>
      <c r="DC36">
        <v>0</v>
      </c>
      <c r="DD36">
        <v>0</v>
      </c>
      <c r="DE36">
        <v>0</v>
      </c>
      <c r="DF36">
        <v>0</v>
      </c>
      <c r="DG36">
        <v>0</v>
      </c>
      <c r="DH36">
        <v>0</v>
      </c>
      <c r="DI36">
        <v>0</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c r="ED36">
        <v>0</v>
      </c>
      <c r="EE36">
        <v>0</v>
      </c>
      <c r="EF36">
        <v>0</v>
      </c>
      <c r="EG36">
        <v>0</v>
      </c>
      <c r="EH36">
        <v>0</v>
      </c>
      <c r="EI36">
        <v>0</v>
      </c>
      <c r="EJ36">
        <v>0</v>
      </c>
      <c r="EK36">
        <v>0</v>
      </c>
      <c r="EL36">
        <v>0</v>
      </c>
      <c r="EM36">
        <v>0</v>
      </c>
      <c r="EN36">
        <v>0</v>
      </c>
      <c r="EO36">
        <v>0</v>
      </c>
      <c r="EP36">
        <v>0</v>
      </c>
      <c r="EQ36">
        <v>0</v>
      </c>
      <c r="ER36">
        <v>0</v>
      </c>
      <c r="ES36">
        <v>0</v>
      </c>
      <c r="ET36">
        <v>0</v>
      </c>
      <c r="EU36">
        <v>0</v>
      </c>
      <c r="EV36">
        <v>0</v>
      </c>
      <c r="EW36">
        <v>0</v>
      </c>
      <c r="EX36">
        <v>0</v>
      </c>
      <c r="EY36">
        <v>0</v>
      </c>
      <c r="EZ36">
        <v>0</v>
      </c>
      <c r="FA36">
        <v>0</v>
      </c>
      <c r="FB36">
        <v>0</v>
      </c>
      <c r="FD36">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row>
    <row r="37" spans="1:160">
      <c r="A37" t="s">
        <v>1010</v>
      </c>
      <c r="B37" t="s">
        <v>1010</v>
      </c>
      <c r="C37">
        <v>559591</v>
      </c>
      <c r="D37">
        <v>559591</v>
      </c>
      <c r="E37">
        <v>559591</v>
      </c>
      <c r="F37">
        <v>0</v>
      </c>
      <c r="G37">
        <v>0</v>
      </c>
      <c r="H37">
        <v>0</v>
      </c>
      <c r="I37">
        <v>0</v>
      </c>
      <c r="J37">
        <v>0</v>
      </c>
      <c r="K37">
        <v>0</v>
      </c>
      <c r="L37">
        <v>0</v>
      </c>
      <c r="M37">
        <v>0</v>
      </c>
      <c r="N37">
        <v>0</v>
      </c>
      <c r="O37">
        <v>0</v>
      </c>
      <c r="P37">
        <v>0</v>
      </c>
      <c r="Q37">
        <v>0</v>
      </c>
      <c r="R37">
        <v>0</v>
      </c>
      <c r="S37">
        <v>0</v>
      </c>
      <c r="T37">
        <v>0</v>
      </c>
      <c r="U37">
        <v>0</v>
      </c>
      <c r="V37">
        <v>534763</v>
      </c>
      <c r="W37">
        <v>534763</v>
      </c>
      <c r="X37">
        <v>0</v>
      </c>
      <c r="Y37">
        <v>0</v>
      </c>
      <c r="Z37">
        <v>0</v>
      </c>
      <c r="AA37">
        <v>0</v>
      </c>
      <c r="AB37">
        <v>0</v>
      </c>
      <c r="AC37">
        <v>0</v>
      </c>
      <c r="AD37">
        <v>0</v>
      </c>
      <c r="AE37">
        <v>5672</v>
      </c>
      <c r="AF37">
        <v>5672</v>
      </c>
      <c r="AG37">
        <v>0</v>
      </c>
      <c r="AH37">
        <v>0</v>
      </c>
      <c r="AI37">
        <v>3318</v>
      </c>
      <c r="AJ37">
        <v>0</v>
      </c>
      <c r="AK37">
        <v>1076</v>
      </c>
      <c r="AL37">
        <v>1076</v>
      </c>
      <c r="AM37">
        <v>0</v>
      </c>
      <c r="AN37">
        <v>0</v>
      </c>
      <c r="AO37">
        <v>0</v>
      </c>
      <c r="AP37">
        <v>0</v>
      </c>
      <c r="AQ37">
        <v>0</v>
      </c>
      <c r="AR37">
        <v>0</v>
      </c>
      <c r="AS37">
        <v>0</v>
      </c>
      <c r="AT37">
        <v>26509</v>
      </c>
      <c r="AU37">
        <v>26509</v>
      </c>
      <c r="AV37">
        <v>0</v>
      </c>
      <c r="AW37">
        <v>16913</v>
      </c>
      <c r="AX37">
        <v>16913</v>
      </c>
      <c r="AY37">
        <v>0</v>
      </c>
      <c r="AZ37">
        <v>0</v>
      </c>
      <c r="BA37">
        <v>0</v>
      </c>
      <c r="BB37">
        <v>0</v>
      </c>
      <c r="BC37">
        <v>86517</v>
      </c>
      <c r="BD37">
        <v>86517</v>
      </c>
      <c r="BE37">
        <v>0</v>
      </c>
      <c r="BF37">
        <v>0</v>
      </c>
      <c r="BG37">
        <v>0</v>
      </c>
      <c r="BH37">
        <v>0</v>
      </c>
      <c r="BI37">
        <v>0</v>
      </c>
      <c r="BJ37">
        <v>0</v>
      </c>
      <c r="BK37">
        <v>0</v>
      </c>
      <c r="BL37">
        <v>0</v>
      </c>
      <c r="BM37">
        <v>0</v>
      </c>
      <c r="BN37">
        <v>0</v>
      </c>
      <c r="BO37">
        <v>0</v>
      </c>
      <c r="BP37">
        <v>0</v>
      </c>
      <c r="BQ37">
        <v>0</v>
      </c>
      <c r="BR37">
        <v>0</v>
      </c>
      <c r="BS37">
        <v>0</v>
      </c>
      <c r="BT37">
        <v>0</v>
      </c>
      <c r="BU37">
        <v>0</v>
      </c>
      <c r="BV37">
        <v>7442</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0</v>
      </c>
      <c r="DI37">
        <v>0</v>
      </c>
      <c r="DJ37">
        <v>0</v>
      </c>
      <c r="DK37">
        <v>0</v>
      </c>
      <c r="DL37">
        <v>0</v>
      </c>
      <c r="DM37">
        <v>0</v>
      </c>
      <c r="DN37">
        <v>0</v>
      </c>
      <c r="DO37">
        <v>0</v>
      </c>
      <c r="DP37">
        <v>0</v>
      </c>
      <c r="DQ37">
        <v>0</v>
      </c>
      <c r="DR37">
        <v>0</v>
      </c>
      <c r="DS37">
        <v>0</v>
      </c>
      <c r="DT37">
        <v>0</v>
      </c>
      <c r="DU37">
        <v>0</v>
      </c>
      <c r="DV37">
        <v>0</v>
      </c>
      <c r="DW37">
        <v>0</v>
      </c>
      <c r="DX37">
        <v>0</v>
      </c>
      <c r="DY37">
        <v>0</v>
      </c>
      <c r="DZ37">
        <v>0</v>
      </c>
      <c r="EA37">
        <v>0</v>
      </c>
      <c r="EB37">
        <v>0</v>
      </c>
      <c r="EC37">
        <v>0</v>
      </c>
      <c r="ED37">
        <v>0</v>
      </c>
      <c r="EE37">
        <v>0</v>
      </c>
      <c r="EF37">
        <v>0</v>
      </c>
      <c r="EG37">
        <v>0</v>
      </c>
      <c r="EH37">
        <v>0</v>
      </c>
      <c r="EI37">
        <v>0</v>
      </c>
      <c r="EJ37">
        <v>0</v>
      </c>
      <c r="EK37">
        <v>0</v>
      </c>
      <c r="EL37">
        <v>0</v>
      </c>
      <c r="EM37">
        <v>0</v>
      </c>
      <c r="EN37">
        <v>0</v>
      </c>
      <c r="EO37">
        <v>0</v>
      </c>
      <c r="EP37">
        <v>0</v>
      </c>
      <c r="EQ37">
        <v>0</v>
      </c>
      <c r="ER37">
        <v>0</v>
      </c>
      <c r="ES37">
        <v>0</v>
      </c>
      <c r="ET37">
        <v>0</v>
      </c>
      <c r="EU37">
        <v>0</v>
      </c>
      <c r="EV37">
        <v>0</v>
      </c>
      <c r="EW37">
        <v>0</v>
      </c>
      <c r="EX37">
        <v>0</v>
      </c>
      <c r="EY37">
        <v>895</v>
      </c>
      <c r="EZ37">
        <v>895</v>
      </c>
      <c r="FA37">
        <v>895</v>
      </c>
      <c r="FB37">
        <v>0</v>
      </c>
      <c r="FD37">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1242696</v>
      </c>
    </row>
    <row r="38" spans="1:160">
      <c r="A38" t="s">
        <v>1143</v>
      </c>
      <c r="B38" t="s">
        <v>1143</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60000</v>
      </c>
      <c r="AF38">
        <v>64505</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c r="CK38">
        <v>0</v>
      </c>
      <c r="CL38">
        <v>0</v>
      </c>
      <c r="CM38">
        <v>0</v>
      </c>
      <c r="CN38">
        <v>0</v>
      </c>
      <c r="CO38">
        <v>0</v>
      </c>
      <c r="CP38">
        <v>0</v>
      </c>
      <c r="CQ38">
        <v>0</v>
      </c>
      <c r="CR38">
        <v>0</v>
      </c>
      <c r="CS38">
        <v>0</v>
      </c>
      <c r="CT38">
        <v>0</v>
      </c>
      <c r="CU38">
        <v>0</v>
      </c>
      <c r="CV38">
        <v>0</v>
      </c>
      <c r="CW38">
        <v>0</v>
      </c>
      <c r="CX38">
        <v>0</v>
      </c>
      <c r="CY38">
        <v>0</v>
      </c>
      <c r="CZ38">
        <v>0</v>
      </c>
      <c r="DA38">
        <v>0</v>
      </c>
      <c r="DB38">
        <v>0</v>
      </c>
      <c r="DC38">
        <v>0</v>
      </c>
      <c r="DD38">
        <v>0</v>
      </c>
      <c r="DE38">
        <v>0</v>
      </c>
      <c r="DF38">
        <v>0</v>
      </c>
      <c r="DG38">
        <v>0</v>
      </c>
      <c r="DH38">
        <v>0</v>
      </c>
      <c r="DI38">
        <v>0</v>
      </c>
      <c r="DJ38">
        <v>0</v>
      </c>
      <c r="DK38">
        <v>0</v>
      </c>
      <c r="DL38">
        <v>0</v>
      </c>
      <c r="DM38">
        <v>0</v>
      </c>
      <c r="DN38">
        <v>0</v>
      </c>
      <c r="DO38">
        <v>0</v>
      </c>
      <c r="DP38">
        <v>0</v>
      </c>
      <c r="DQ38">
        <v>0</v>
      </c>
      <c r="DR38">
        <v>0</v>
      </c>
      <c r="DS38">
        <v>0</v>
      </c>
      <c r="DT38">
        <v>0</v>
      </c>
      <c r="DU38">
        <v>0</v>
      </c>
      <c r="DV38">
        <v>0</v>
      </c>
      <c r="DW38">
        <v>0</v>
      </c>
      <c r="DX38">
        <v>0</v>
      </c>
      <c r="DY38">
        <v>0</v>
      </c>
      <c r="DZ38">
        <v>0</v>
      </c>
      <c r="EA38">
        <v>0</v>
      </c>
      <c r="EB38">
        <v>0</v>
      </c>
      <c r="EC38">
        <v>0</v>
      </c>
      <c r="ED38">
        <v>0</v>
      </c>
      <c r="EE38">
        <v>0</v>
      </c>
      <c r="EF38">
        <v>0</v>
      </c>
      <c r="EG38">
        <v>0</v>
      </c>
      <c r="EH38">
        <v>0</v>
      </c>
      <c r="EI38">
        <v>0</v>
      </c>
      <c r="EJ38">
        <v>0</v>
      </c>
      <c r="EK38">
        <v>0</v>
      </c>
      <c r="EL38">
        <v>0</v>
      </c>
      <c r="EM38">
        <v>0</v>
      </c>
      <c r="EN38">
        <v>0</v>
      </c>
      <c r="EO38">
        <v>0</v>
      </c>
      <c r="EP38">
        <v>0</v>
      </c>
      <c r="EQ38">
        <v>0</v>
      </c>
      <c r="ER38">
        <v>0</v>
      </c>
      <c r="ES38">
        <v>0</v>
      </c>
      <c r="ET38">
        <v>0</v>
      </c>
      <c r="EU38">
        <v>0</v>
      </c>
      <c r="EV38">
        <v>0</v>
      </c>
      <c r="EW38">
        <v>0</v>
      </c>
      <c r="EX38">
        <v>0</v>
      </c>
      <c r="EY38">
        <v>0</v>
      </c>
      <c r="EZ38">
        <v>0</v>
      </c>
      <c r="FA38">
        <v>0</v>
      </c>
      <c r="FB38">
        <v>0</v>
      </c>
      <c r="FD38">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64505</v>
      </c>
    </row>
    <row r="39" spans="1:160">
      <c r="A39" t="s">
        <v>1144</v>
      </c>
      <c r="B39" t="s">
        <v>1144</v>
      </c>
      <c r="C39">
        <v>0</v>
      </c>
      <c r="D39">
        <v>0</v>
      </c>
      <c r="E39">
        <v>0</v>
      </c>
      <c r="F39">
        <v>0</v>
      </c>
      <c r="G39">
        <v>148900</v>
      </c>
      <c r="H39">
        <v>148900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v>0</v>
      </c>
      <c r="CJ39">
        <v>0</v>
      </c>
      <c r="CK39">
        <v>0</v>
      </c>
      <c r="CL39">
        <v>0</v>
      </c>
      <c r="CM39">
        <v>0</v>
      </c>
      <c r="CN39">
        <v>0</v>
      </c>
      <c r="CO39">
        <v>0</v>
      </c>
      <c r="CP39">
        <v>0</v>
      </c>
      <c r="CQ39" s="128">
        <v>0</v>
      </c>
      <c r="CR39">
        <v>0</v>
      </c>
      <c r="CS39">
        <v>0</v>
      </c>
      <c r="CT39">
        <v>0</v>
      </c>
      <c r="CU39">
        <v>0</v>
      </c>
      <c r="CV39">
        <v>0</v>
      </c>
      <c r="CW39">
        <v>0</v>
      </c>
      <c r="CX39">
        <v>0</v>
      </c>
      <c r="CY39">
        <v>0</v>
      </c>
      <c r="CZ39">
        <v>0</v>
      </c>
      <c r="DA39">
        <v>0</v>
      </c>
      <c r="DB39">
        <v>0</v>
      </c>
      <c r="DC39">
        <v>0</v>
      </c>
      <c r="DD39">
        <v>0</v>
      </c>
      <c r="DE39">
        <v>0</v>
      </c>
      <c r="DF39">
        <v>0</v>
      </c>
      <c r="DG39">
        <v>0</v>
      </c>
      <c r="DH39">
        <v>0</v>
      </c>
      <c r="DI39">
        <v>0</v>
      </c>
      <c r="DJ39">
        <v>0</v>
      </c>
      <c r="DK39">
        <v>0</v>
      </c>
      <c r="DL39">
        <v>0</v>
      </c>
      <c r="DM39">
        <v>0</v>
      </c>
      <c r="DN39">
        <v>0</v>
      </c>
      <c r="DO39">
        <v>0</v>
      </c>
      <c r="DP39">
        <v>0</v>
      </c>
      <c r="DQ39">
        <v>250000</v>
      </c>
      <c r="DR39">
        <v>235770</v>
      </c>
      <c r="DS39">
        <v>0</v>
      </c>
      <c r="DT39">
        <v>260000</v>
      </c>
      <c r="DU39" s="158">
        <v>272779</v>
      </c>
      <c r="DV39">
        <v>0</v>
      </c>
      <c r="DW39">
        <v>338609</v>
      </c>
      <c r="DX39">
        <v>338610</v>
      </c>
      <c r="DY39">
        <v>0</v>
      </c>
      <c r="DZ39">
        <v>0</v>
      </c>
      <c r="EA39">
        <v>0</v>
      </c>
      <c r="EB39">
        <v>0</v>
      </c>
      <c r="EC39">
        <v>0</v>
      </c>
      <c r="ED39">
        <v>0</v>
      </c>
      <c r="EE39">
        <v>0</v>
      </c>
      <c r="EF39">
        <v>0</v>
      </c>
      <c r="EG39">
        <v>0</v>
      </c>
      <c r="EH39">
        <v>0</v>
      </c>
      <c r="EI39">
        <v>0</v>
      </c>
      <c r="EJ39">
        <v>0</v>
      </c>
      <c r="EK39">
        <v>0</v>
      </c>
      <c r="EL39">
        <v>0</v>
      </c>
      <c r="EM39">
        <v>0</v>
      </c>
      <c r="EN39">
        <v>0</v>
      </c>
      <c r="EO39">
        <v>0</v>
      </c>
      <c r="EP39">
        <v>0</v>
      </c>
      <c r="EQ39">
        <v>0</v>
      </c>
      <c r="ER39">
        <v>0</v>
      </c>
      <c r="ES39">
        <v>0</v>
      </c>
      <c r="ET39">
        <v>0</v>
      </c>
      <c r="EU39">
        <v>0</v>
      </c>
      <c r="EV39">
        <v>0</v>
      </c>
      <c r="EW39">
        <v>0</v>
      </c>
      <c r="EX39">
        <v>0</v>
      </c>
      <c r="EY39">
        <v>0</v>
      </c>
      <c r="EZ39">
        <v>0</v>
      </c>
      <c r="FA39">
        <v>0</v>
      </c>
      <c r="FB39">
        <v>0</v>
      </c>
      <c r="FD39">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996059</v>
      </c>
    </row>
    <row r="40" spans="1:160">
      <c r="A40" t="s">
        <v>162</v>
      </c>
      <c r="B40" t="s">
        <v>162</v>
      </c>
      <c r="C40">
        <v>0</v>
      </c>
      <c r="D40">
        <v>0</v>
      </c>
      <c r="E40">
        <v>0</v>
      </c>
      <c r="F40">
        <v>0</v>
      </c>
      <c r="G40">
        <v>0</v>
      </c>
      <c r="H40">
        <v>13250</v>
      </c>
      <c r="I40">
        <v>-13250</v>
      </c>
      <c r="J40">
        <v>0</v>
      </c>
      <c r="K40">
        <v>0</v>
      </c>
      <c r="L40">
        <v>0</v>
      </c>
      <c r="M40">
        <v>0</v>
      </c>
      <c r="N40">
        <v>0</v>
      </c>
      <c r="O40">
        <v>0</v>
      </c>
      <c r="P40">
        <v>0</v>
      </c>
      <c r="Q40">
        <v>0</v>
      </c>
      <c r="R40">
        <v>0</v>
      </c>
      <c r="S40">
        <v>30000</v>
      </c>
      <c r="T40">
        <v>60000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20000</v>
      </c>
      <c r="AX40">
        <v>20000</v>
      </c>
      <c r="AY40">
        <v>0</v>
      </c>
      <c r="AZ40">
        <v>0</v>
      </c>
      <c r="BA40">
        <v>0</v>
      </c>
      <c r="BB40">
        <v>0</v>
      </c>
      <c r="BC40">
        <v>20482</v>
      </c>
      <c r="BD40" s="73">
        <v>81437</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c r="CB40">
        <v>0</v>
      </c>
      <c r="CC40">
        <v>0</v>
      </c>
      <c r="CD40">
        <v>0</v>
      </c>
      <c r="CE40">
        <v>0</v>
      </c>
      <c r="CF40">
        <v>0</v>
      </c>
      <c r="CG40">
        <v>0</v>
      </c>
      <c r="CH40">
        <v>0</v>
      </c>
      <c r="CI40">
        <v>0</v>
      </c>
      <c r="CJ40">
        <v>0</v>
      </c>
      <c r="CK40">
        <v>0</v>
      </c>
      <c r="CL40">
        <v>0</v>
      </c>
      <c r="CM40">
        <v>0</v>
      </c>
      <c r="CN40">
        <v>0</v>
      </c>
      <c r="CO40">
        <v>0</v>
      </c>
      <c r="CP40">
        <v>0</v>
      </c>
      <c r="CQ40">
        <v>0</v>
      </c>
      <c r="CR40">
        <v>0</v>
      </c>
      <c r="CS40">
        <v>0</v>
      </c>
      <c r="CT40">
        <v>0</v>
      </c>
      <c r="CU40">
        <v>0</v>
      </c>
      <c r="CV40">
        <v>0</v>
      </c>
      <c r="CW40">
        <v>0</v>
      </c>
      <c r="CX40">
        <v>0</v>
      </c>
      <c r="CY40">
        <v>0</v>
      </c>
      <c r="CZ40">
        <v>0</v>
      </c>
      <c r="DA40">
        <v>0</v>
      </c>
      <c r="DB40">
        <v>0</v>
      </c>
      <c r="DC40">
        <v>0</v>
      </c>
      <c r="DD40">
        <v>0</v>
      </c>
      <c r="DE40">
        <v>0</v>
      </c>
      <c r="DF40">
        <v>0</v>
      </c>
      <c r="DG40">
        <v>0</v>
      </c>
      <c r="DH40">
        <v>0</v>
      </c>
      <c r="DI40">
        <v>0</v>
      </c>
      <c r="DJ40">
        <v>0</v>
      </c>
      <c r="DK40">
        <v>0</v>
      </c>
      <c r="DL40">
        <v>0</v>
      </c>
      <c r="DM40">
        <v>0</v>
      </c>
      <c r="DN40">
        <v>0</v>
      </c>
      <c r="DO40">
        <v>0</v>
      </c>
      <c r="DP40">
        <v>0</v>
      </c>
      <c r="DQ40">
        <v>0</v>
      </c>
      <c r="DR40">
        <v>0</v>
      </c>
      <c r="DS40">
        <v>0</v>
      </c>
      <c r="DT40">
        <v>0</v>
      </c>
      <c r="DU40">
        <v>0</v>
      </c>
      <c r="DV40">
        <v>0</v>
      </c>
      <c r="DW40">
        <v>0</v>
      </c>
      <c r="DX40">
        <v>0</v>
      </c>
      <c r="DY40">
        <v>0</v>
      </c>
      <c r="DZ40">
        <v>0</v>
      </c>
      <c r="EA40">
        <v>0</v>
      </c>
      <c r="EB40">
        <v>0</v>
      </c>
      <c r="EC40">
        <v>0</v>
      </c>
      <c r="ED40">
        <v>0</v>
      </c>
      <c r="EE40">
        <v>0</v>
      </c>
      <c r="EF40">
        <v>0</v>
      </c>
      <c r="EG40">
        <v>0</v>
      </c>
      <c r="EH40">
        <v>0</v>
      </c>
      <c r="EI40">
        <v>0</v>
      </c>
      <c r="EJ40">
        <v>0</v>
      </c>
      <c r="EK40">
        <v>0</v>
      </c>
      <c r="EL40">
        <v>0</v>
      </c>
      <c r="EM40">
        <v>0</v>
      </c>
      <c r="EN40">
        <v>0</v>
      </c>
      <c r="EO40">
        <v>0</v>
      </c>
      <c r="EP40">
        <v>0</v>
      </c>
      <c r="EQ40">
        <v>0</v>
      </c>
      <c r="ER40">
        <v>0</v>
      </c>
      <c r="ES40" s="21">
        <v>0</v>
      </c>
      <c r="ET40">
        <v>0</v>
      </c>
      <c r="EU40">
        <v>0</v>
      </c>
      <c r="EV40">
        <v>0</v>
      </c>
      <c r="EW40">
        <v>0</v>
      </c>
      <c r="EX40">
        <v>0</v>
      </c>
      <c r="EY40">
        <v>0</v>
      </c>
      <c r="EZ40">
        <v>0</v>
      </c>
      <c r="FA40">
        <v>0</v>
      </c>
      <c r="FB40">
        <v>0</v>
      </c>
      <c r="FD40">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174687</v>
      </c>
    </row>
    <row r="41" spans="1:160">
      <c r="A41" t="s">
        <v>1011</v>
      </c>
      <c r="B41" t="s">
        <v>1011</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0</v>
      </c>
      <c r="CC41">
        <v>0</v>
      </c>
      <c r="CD41">
        <v>0</v>
      </c>
      <c r="CE41">
        <v>0</v>
      </c>
      <c r="CF41">
        <v>0</v>
      </c>
      <c r="CG41">
        <v>0</v>
      </c>
      <c r="CH41">
        <v>0</v>
      </c>
      <c r="CI41">
        <v>0</v>
      </c>
      <c r="CJ41">
        <v>0</v>
      </c>
      <c r="CK41">
        <v>0</v>
      </c>
      <c r="CL41">
        <v>0</v>
      </c>
      <c r="CM41">
        <v>0</v>
      </c>
      <c r="CN41">
        <v>0</v>
      </c>
      <c r="CO41">
        <v>0</v>
      </c>
      <c r="CP41">
        <v>0</v>
      </c>
      <c r="CQ41">
        <v>0</v>
      </c>
      <c r="CR41">
        <v>0</v>
      </c>
      <c r="CS41">
        <v>0</v>
      </c>
      <c r="CT41">
        <v>0</v>
      </c>
      <c r="CU41">
        <v>0</v>
      </c>
      <c r="CV41">
        <v>0</v>
      </c>
      <c r="CW41">
        <v>0</v>
      </c>
      <c r="CX41">
        <v>0</v>
      </c>
      <c r="CY41">
        <v>0</v>
      </c>
      <c r="CZ41">
        <v>0</v>
      </c>
      <c r="DA41">
        <v>0</v>
      </c>
      <c r="DB41">
        <v>0</v>
      </c>
      <c r="DC41">
        <v>0</v>
      </c>
      <c r="DD41">
        <v>0</v>
      </c>
      <c r="DE41">
        <v>0</v>
      </c>
      <c r="DF41">
        <v>0</v>
      </c>
      <c r="DG41">
        <v>0</v>
      </c>
      <c r="DH41">
        <v>0</v>
      </c>
      <c r="DI41">
        <v>0</v>
      </c>
      <c r="DJ41">
        <v>0</v>
      </c>
      <c r="DK41">
        <v>0</v>
      </c>
      <c r="DL41">
        <v>0</v>
      </c>
      <c r="DM41">
        <v>0</v>
      </c>
      <c r="DN41">
        <v>0</v>
      </c>
      <c r="DO41">
        <v>0</v>
      </c>
      <c r="DP41">
        <v>0</v>
      </c>
      <c r="DQ41">
        <v>0</v>
      </c>
      <c r="DR41">
        <v>0</v>
      </c>
      <c r="DS41">
        <v>0</v>
      </c>
      <c r="DT41">
        <v>0</v>
      </c>
      <c r="DU41">
        <v>0</v>
      </c>
      <c r="DV41">
        <v>0</v>
      </c>
      <c r="DW41">
        <v>0</v>
      </c>
      <c r="DX41">
        <v>0</v>
      </c>
      <c r="DY41">
        <v>0</v>
      </c>
      <c r="DZ41">
        <v>0</v>
      </c>
      <c r="EA41">
        <v>0</v>
      </c>
      <c r="EB41">
        <v>0</v>
      </c>
      <c r="EC41">
        <v>0</v>
      </c>
      <c r="ED41">
        <v>0</v>
      </c>
      <c r="EE41">
        <v>0</v>
      </c>
      <c r="EF41">
        <v>0</v>
      </c>
      <c r="EG41">
        <v>0</v>
      </c>
      <c r="EH41">
        <v>0</v>
      </c>
      <c r="EI41">
        <v>0</v>
      </c>
      <c r="EJ41">
        <v>0</v>
      </c>
      <c r="EK41">
        <v>0</v>
      </c>
      <c r="EL41">
        <v>0</v>
      </c>
      <c r="EM41">
        <v>0</v>
      </c>
      <c r="EN41">
        <v>0</v>
      </c>
      <c r="EO41">
        <v>0</v>
      </c>
      <c r="EP41">
        <v>0</v>
      </c>
      <c r="EQ41">
        <v>0</v>
      </c>
      <c r="ER41">
        <v>0</v>
      </c>
      <c r="ES41">
        <v>0</v>
      </c>
      <c r="ET41">
        <v>0</v>
      </c>
      <c r="EU41">
        <v>0</v>
      </c>
      <c r="EV41">
        <v>0</v>
      </c>
      <c r="EW41">
        <v>0</v>
      </c>
      <c r="EX41">
        <v>0</v>
      </c>
      <c r="EY41">
        <v>0</v>
      </c>
      <c r="EZ41">
        <v>0</v>
      </c>
      <c r="FA41">
        <v>0</v>
      </c>
      <c r="FB41">
        <v>0</v>
      </c>
      <c r="FD41">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row>
    <row r="42" spans="1:160">
      <c r="A42" t="s">
        <v>823</v>
      </c>
      <c r="B42" t="s">
        <v>823</v>
      </c>
      <c r="C42">
        <v>13500</v>
      </c>
      <c r="D42">
        <v>13500</v>
      </c>
      <c r="E42">
        <v>16818</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70000</v>
      </c>
      <c r="AF42">
        <v>79977</v>
      </c>
      <c r="AG42">
        <v>0</v>
      </c>
      <c r="AH42">
        <v>0</v>
      </c>
      <c r="AI42">
        <v>0</v>
      </c>
      <c r="AJ42">
        <v>0</v>
      </c>
      <c r="AK42">
        <v>0</v>
      </c>
      <c r="AL42">
        <v>0</v>
      </c>
      <c r="AM42">
        <v>0</v>
      </c>
      <c r="AN42">
        <v>0</v>
      </c>
      <c r="AO42">
        <v>0</v>
      </c>
      <c r="AP42">
        <v>0</v>
      </c>
      <c r="AQ42">
        <v>0</v>
      </c>
      <c r="AR42">
        <v>0</v>
      </c>
      <c r="AS42">
        <v>0</v>
      </c>
      <c r="AT42">
        <v>16600</v>
      </c>
      <c r="AU42">
        <v>19894</v>
      </c>
      <c r="AV42">
        <v>0</v>
      </c>
      <c r="AW42">
        <v>23000</v>
      </c>
      <c r="AX42">
        <v>13949</v>
      </c>
      <c r="AY42">
        <v>0</v>
      </c>
      <c r="AZ42">
        <v>0</v>
      </c>
      <c r="BA42">
        <v>0</v>
      </c>
      <c r="BB42">
        <v>0</v>
      </c>
      <c r="BC42">
        <v>154407</v>
      </c>
      <c r="BD42">
        <v>185758</v>
      </c>
      <c r="BE42">
        <v>0</v>
      </c>
      <c r="BF42">
        <v>0</v>
      </c>
      <c r="BG42">
        <v>0</v>
      </c>
      <c r="BH42">
        <v>0</v>
      </c>
      <c r="BI42">
        <v>0</v>
      </c>
      <c r="BJ42">
        <v>0</v>
      </c>
      <c r="BK42">
        <v>0</v>
      </c>
      <c r="BL42">
        <v>0</v>
      </c>
      <c r="BM42">
        <v>0</v>
      </c>
      <c r="BN42">
        <v>0</v>
      </c>
      <c r="BO42">
        <v>2800</v>
      </c>
      <c r="BP42" s="158">
        <v>2810</v>
      </c>
      <c r="BQ42">
        <v>0</v>
      </c>
      <c r="BR42">
        <v>128500</v>
      </c>
      <c r="BS42" s="158">
        <v>94970</v>
      </c>
      <c r="BT42">
        <v>0</v>
      </c>
      <c r="BU42">
        <v>0</v>
      </c>
      <c r="BV42">
        <v>0</v>
      </c>
      <c r="BW42">
        <v>0</v>
      </c>
      <c r="BX42">
        <v>0</v>
      </c>
      <c r="BY42">
        <v>0</v>
      </c>
      <c r="BZ42">
        <v>0</v>
      </c>
      <c r="CA42">
        <v>0</v>
      </c>
      <c r="CB42">
        <v>0</v>
      </c>
      <c r="CC42">
        <v>0</v>
      </c>
      <c r="CD42">
        <v>0</v>
      </c>
      <c r="CE42">
        <v>0</v>
      </c>
      <c r="CF42">
        <v>0</v>
      </c>
      <c r="CG42">
        <v>0</v>
      </c>
      <c r="CH42">
        <v>0</v>
      </c>
      <c r="CI42">
        <v>0</v>
      </c>
      <c r="CJ42">
        <v>0</v>
      </c>
      <c r="CK42">
        <v>0</v>
      </c>
      <c r="CL42">
        <v>0</v>
      </c>
      <c r="CM42">
        <v>0</v>
      </c>
      <c r="CN42">
        <v>0</v>
      </c>
      <c r="CO42">
        <v>0</v>
      </c>
      <c r="CP42">
        <v>0</v>
      </c>
      <c r="CQ42">
        <v>0</v>
      </c>
      <c r="CR42">
        <v>0</v>
      </c>
      <c r="CS42">
        <v>0</v>
      </c>
      <c r="CT42">
        <v>0</v>
      </c>
      <c r="CU42">
        <v>0</v>
      </c>
      <c r="CV42">
        <v>0</v>
      </c>
      <c r="CW42">
        <v>0</v>
      </c>
      <c r="CX42">
        <v>0</v>
      </c>
      <c r="CY42">
        <v>0</v>
      </c>
      <c r="CZ42">
        <v>0</v>
      </c>
      <c r="DA42">
        <v>0</v>
      </c>
      <c r="DB42">
        <v>0</v>
      </c>
      <c r="DC42">
        <v>0</v>
      </c>
      <c r="DD42">
        <v>0</v>
      </c>
      <c r="DE42">
        <v>0</v>
      </c>
      <c r="DF42">
        <v>0</v>
      </c>
      <c r="DG42">
        <v>0</v>
      </c>
      <c r="DH42">
        <v>0</v>
      </c>
      <c r="DI42">
        <v>0</v>
      </c>
      <c r="DJ42">
        <v>0</v>
      </c>
      <c r="DK42">
        <v>0</v>
      </c>
      <c r="DL42">
        <v>0</v>
      </c>
      <c r="DM42">
        <v>0</v>
      </c>
      <c r="DN42">
        <v>0</v>
      </c>
      <c r="DO42">
        <v>0</v>
      </c>
      <c r="DP42">
        <v>0</v>
      </c>
      <c r="DQ42">
        <v>0</v>
      </c>
      <c r="DR42">
        <v>0</v>
      </c>
      <c r="DS42">
        <v>0</v>
      </c>
      <c r="DT42">
        <v>0</v>
      </c>
      <c r="DU42">
        <v>0</v>
      </c>
      <c r="DV42">
        <v>0</v>
      </c>
      <c r="DW42">
        <v>0</v>
      </c>
      <c r="DX42">
        <v>0</v>
      </c>
      <c r="DY42">
        <v>0</v>
      </c>
      <c r="DZ42">
        <v>0</v>
      </c>
      <c r="EA42">
        <v>0</v>
      </c>
      <c r="EB42">
        <v>0</v>
      </c>
      <c r="EC42">
        <v>0</v>
      </c>
      <c r="ED42">
        <v>0</v>
      </c>
      <c r="EE42">
        <v>0</v>
      </c>
      <c r="EF42">
        <v>0</v>
      </c>
      <c r="EG42">
        <v>0</v>
      </c>
      <c r="EH42">
        <v>0</v>
      </c>
      <c r="EI42">
        <v>0</v>
      </c>
      <c r="EJ42">
        <v>0</v>
      </c>
      <c r="EK42">
        <v>0</v>
      </c>
      <c r="EL42">
        <v>0</v>
      </c>
      <c r="EM42">
        <v>0</v>
      </c>
      <c r="EN42">
        <v>0</v>
      </c>
      <c r="EO42">
        <v>0</v>
      </c>
      <c r="EP42">
        <v>0</v>
      </c>
      <c r="EQ42">
        <v>0</v>
      </c>
      <c r="ER42">
        <v>0</v>
      </c>
      <c r="ES42">
        <v>0</v>
      </c>
      <c r="ET42">
        <v>0</v>
      </c>
      <c r="EU42">
        <v>0</v>
      </c>
      <c r="EV42">
        <v>0</v>
      </c>
      <c r="EW42">
        <v>0</v>
      </c>
      <c r="EX42">
        <v>0</v>
      </c>
      <c r="EY42">
        <v>0</v>
      </c>
      <c r="EZ42">
        <v>0</v>
      </c>
      <c r="FA42">
        <v>0</v>
      </c>
      <c r="FB42">
        <v>0</v>
      </c>
      <c r="FD42">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414176</v>
      </c>
    </row>
    <row r="43" spans="1:160">
      <c r="A43" t="s">
        <v>824</v>
      </c>
      <c r="B43" t="s">
        <v>824</v>
      </c>
      <c r="C43">
        <v>555000</v>
      </c>
      <c r="D43">
        <v>555000</v>
      </c>
      <c r="E43">
        <v>722167</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v>0</v>
      </c>
      <c r="BE43">
        <v>0</v>
      </c>
      <c r="BF43">
        <v>0</v>
      </c>
      <c r="BG43">
        <v>0</v>
      </c>
      <c r="BH43">
        <v>0</v>
      </c>
      <c r="BI43">
        <v>0</v>
      </c>
      <c r="BJ43">
        <v>0</v>
      </c>
      <c r="BK43">
        <v>0</v>
      </c>
      <c r="BL43">
        <v>0</v>
      </c>
      <c r="BM43">
        <v>0</v>
      </c>
      <c r="BN43">
        <v>0</v>
      </c>
      <c r="BO43">
        <v>105000</v>
      </c>
      <c r="BP43">
        <v>104298</v>
      </c>
      <c r="BQ43">
        <v>0</v>
      </c>
      <c r="BR43">
        <v>0</v>
      </c>
      <c r="BS43">
        <v>0</v>
      </c>
      <c r="BT43">
        <v>0</v>
      </c>
      <c r="BU43">
        <v>0</v>
      </c>
      <c r="BV43">
        <v>0</v>
      </c>
      <c r="BW43">
        <v>0</v>
      </c>
      <c r="BX43">
        <v>0</v>
      </c>
      <c r="BY43">
        <v>0</v>
      </c>
      <c r="BZ43">
        <v>0</v>
      </c>
      <c r="CA43">
        <v>0</v>
      </c>
      <c r="CB43">
        <v>0</v>
      </c>
      <c r="CC43">
        <v>0</v>
      </c>
      <c r="CD43">
        <v>0</v>
      </c>
      <c r="CE43">
        <v>0</v>
      </c>
      <c r="CF43">
        <v>0</v>
      </c>
      <c r="CG43">
        <v>0</v>
      </c>
      <c r="CH43">
        <v>0</v>
      </c>
      <c r="CI43">
        <v>0</v>
      </c>
      <c r="CJ43">
        <v>0</v>
      </c>
      <c r="CK43">
        <v>0</v>
      </c>
      <c r="CL43">
        <v>0</v>
      </c>
      <c r="CM43">
        <v>0</v>
      </c>
      <c r="CN43">
        <v>0</v>
      </c>
      <c r="CO43">
        <v>0</v>
      </c>
      <c r="CP43">
        <v>0</v>
      </c>
      <c r="CQ43">
        <v>0</v>
      </c>
      <c r="CR43">
        <v>0</v>
      </c>
      <c r="CS43">
        <v>0</v>
      </c>
      <c r="CT43">
        <v>0</v>
      </c>
      <c r="CU43">
        <v>0</v>
      </c>
      <c r="CV43">
        <v>0</v>
      </c>
      <c r="CW43">
        <v>0</v>
      </c>
      <c r="CX43">
        <v>0</v>
      </c>
      <c r="CY43">
        <v>0</v>
      </c>
      <c r="CZ43">
        <v>0</v>
      </c>
      <c r="DA43">
        <v>0</v>
      </c>
      <c r="DB43">
        <v>0</v>
      </c>
      <c r="DC43">
        <v>0</v>
      </c>
      <c r="DD43">
        <v>0</v>
      </c>
      <c r="DE43">
        <v>0</v>
      </c>
      <c r="DF43">
        <v>0</v>
      </c>
      <c r="DG43">
        <v>0</v>
      </c>
      <c r="DH43">
        <v>0</v>
      </c>
      <c r="DI43">
        <v>0</v>
      </c>
      <c r="DJ43">
        <v>0</v>
      </c>
      <c r="DK43">
        <v>0</v>
      </c>
      <c r="DL43">
        <v>0</v>
      </c>
      <c r="DM43">
        <v>0</v>
      </c>
      <c r="DN43">
        <v>0</v>
      </c>
      <c r="DO43">
        <v>0</v>
      </c>
      <c r="DP43">
        <v>0</v>
      </c>
      <c r="DQ43">
        <v>0</v>
      </c>
      <c r="DR43">
        <v>0</v>
      </c>
      <c r="DS43">
        <v>0</v>
      </c>
      <c r="DT43">
        <v>0</v>
      </c>
      <c r="DU43">
        <v>0</v>
      </c>
      <c r="DV43">
        <v>0</v>
      </c>
      <c r="DW43">
        <v>0</v>
      </c>
      <c r="DX43">
        <v>0</v>
      </c>
      <c r="DY43">
        <v>0</v>
      </c>
      <c r="DZ43">
        <v>0</v>
      </c>
      <c r="EA43">
        <v>0</v>
      </c>
      <c r="EB43">
        <v>0</v>
      </c>
      <c r="EC43">
        <v>0</v>
      </c>
      <c r="ED43">
        <v>0</v>
      </c>
      <c r="EE43">
        <v>0</v>
      </c>
      <c r="EF43">
        <v>0</v>
      </c>
      <c r="EG43" s="158">
        <v>0</v>
      </c>
      <c r="EH43">
        <v>0</v>
      </c>
      <c r="EI43">
        <v>188726</v>
      </c>
      <c r="EJ43" s="158">
        <v>0</v>
      </c>
      <c r="EK43">
        <v>0</v>
      </c>
      <c r="EL43">
        <v>0</v>
      </c>
      <c r="EM43">
        <v>0</v>
      </c>
      <c r="EN43">
        <v>0</v>
      </c>
      <c r="EO43">
        <v>0</v>
      </c>
      <c r="EP43">
        <v>0</v>
      </c>
      <c r="EQ43">
        <v>0</v>
      </c>
      <c r="ER43">
        <v>0</v>
      </c>
      <c r="ES43">
        <v>0</v>
      </c>
      <c r="ET43">
        <v>0</v>
      </c>
      <c r="EU43">
        <v>0</v>
      </c>
      <c r="EV43">
        <v>0</v>
      </c>
      <c r="EW43">
        <v>0</v>
      </c>
      <c r="EX43">
        <v>0</v>
      </c>
      <c r="EY43">
        <v>0</v>
      </c>
      <c r="EZ43">
        <v>0</v>
      </c>
      <c r="FA43">
        <v>0</v>
      </c>
      <c r="FB43">
        <v>0</v>
      </c>
      <c r="FD43">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826465</v>
      </c>
    </row>
    <row r="44" spans="1:160">
      <c r="A44" t="s">
        <v>825</v>
      </c>
      <c r="B44" t="s">
        <v>825</v>
      </c>
      <c r="C44">
        <v>0</v>
      </c>
      <c r="D44">
        <v>0</v>
      </c>
      <c r="E44">
        <v>0</v>
      </c>
      <c r="F44">
        <v>0</v>
      </c>
      <c r="G44">
        <v>0</v>
      </c>
      <c r="H44">
        <v>0</v>
      </c>
      <c r="I44">
        <v>0</v>
      </c>
      <c r="J44">
        <v>0</v>
      </c>
      <c r="K44">
        <v>0</v>
      </c>
      <c r="L44">
        <v>0</v>
      </c>
      <c r="M44">
        <v>0</v>
      </c>
      <c r="N44">
        <v>0</v>
      </c>
      <c r="O44">
        <v>0</v>
      </c>
      <c r="P44">
        <v>0</v>
      </c>
      <c r="Q44">
        <v>0</v>
      </c>
      <c r="R44">
        <v>0</v>
      </c>
      <c r="S44">
        <v>0</v>
      </c>
      <c r="T44">
        <v>0</v>
      </c>
      <c r="U44">
        <v>0</v>
      </c>
      <c r="V44">
        <v>133430</v>
      </c>
      <c r="W44">
        <v>93219</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21800</v>
      </c>
      <c r="AU44">
        <v>11825</v>
      </c>
      <c r="AV44">
        <v>0</v>
      </c>
      <c r="AW44">
        <v>0</v>
      </c>
      <c r="AX44">
        <v>0</v>
      </c>
      <c r="AY44">
        <v>0</v>
      </c>
      <c r="AZ44">
        <v>0</v>
      </c>
      <c r="BA44">
        <v>0</v>
      </c>
      <c r="BB44">
        <v>0</v>
      </c>
      <c r="BC44">
        <v>0</v>
      </c>
      <c r="BD44">
        <v>0</v>
      </c>
      <c r="BE44">
        <v>0</v>
      </c>
      <c r="BF44">
        <v>0</v>
      </c>
      <c r="BG44">
        <v>0</v>
      </c>
      <c r="BH44">
        <v>0</v>
      </c>
      <c r="BI44">
        <v>4600</v>
      </c>
      <c r="BJ44">
        <v>3085</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c r="CR44">
        <v>0</v>
      </c>
      <c r="CS44">
        <v>0</v>
      </c>
      <c r="CT44">
        <v>0</v>
      </c>
      <c r="CU44">
        <v>0</v>
      </c>
      <c r="CV44">
        <v>49897</v>
      </c>
      <c r="CW44">
        <v>28620</v>
      </c>
      <c r="CX44">
        <v>0</v>
      </c>
      <c r="CY44">
        <v>174151</v>
      </c>
      <c r="CZ44" s="158">
        <v>184447</v>
      </c>
      <c r="DA44">
        <v>0</v>
      </c>
      <c r="DB44">
        <v>11500</v>
      </c>
      <c r="DC44" s="158">
        <v>14955</v>
      </c>
      <c r="DD44">
        <v>0</v>
      </c>
      <c r="DE44">
        <v>0</v>
      </c>
      <c r="DF44">
        <v>0</v>
      </c>
      <c r="DG44">
        <v>0</v>
      </c>
      <c r="DH44">
        <v>0</v>
      </c>
      <c r="DI44">
        <v>0</v>
      </c>
      <c r="DJ44">
        <v>0</v>
      </c>
      <c r="DK44">
        <v>0</v>
      </c>
      <c r="DL44">
        <v>0</v>
      </c>
      <c r="DM44">
        <v>0</v>
      </c>
      <c r="DN44">
        <v>0</v>
      </c>
      <c r="DO44">
        <v>0</v>
      </c>
      <c r="DP44">
        <v>0</v>
      </c>
      <c r="DQ44">
        <v>0</v>
      </c>
      <c r="DR44">
        <v>0</v>
      </c>
      <c r="DS44">
        <v>0</v>
      </c>
      <c r="DT44">
        <v>0</v>
      </c>
      <c r="DU44">
        <v>0</v>
      </c>
      <c r="DV44">
        <v>0</v>
      </c>
      <c r="DW44">
        <v>0</v>
      </c>
      <c r="DX44">
        <v>0</v>
      </c>
      <c r="DY44">
        <v>0</v>
      </c>
      <c r="DZ44">
        <v>0</v>
      </c>
      <c r="EA44">
        <v>0</v>
      </c>
      <c r="EB44">
        <v>0</v>
      </c>
      <c r="EC44">
        <v>0</v>
      </c>
      <c r="ED44">
        <v>0</v>
      </c>
      <c r="EE44">
        <v>0</v>
      </c>
      <c r="EF44">
        <v>0</v>
      </c>
      <c r="EG44">
        <v>0</v>
      </c>
      <c r="EH44">
        <v>0</v>
      </c>
      <c r="EI44">
        <v>0</v>
      </c>
      <c r="EJ44">
        <v>0</v>
      </c>
      <c r="EK44">
        <v>0</v>
      </c>
      <c r="EL44">
        <v>0</v>
      </c>
      <c r="EM44">
        <v>0</v>
      </c>
      <c r="EN44">
        <v>0</v>
      </c>
      <c r="EO44">
        <v>16093</v>
      </c>
      <c r="EP44">
        <v>15000</v>
      </c>
      <c r="EQ44">
        <v>0</v>
      </c>
      <c r="ER44">
        <v>0</v>
      </c>
      <c r="ES44">
        <v>0</v>
      </c>
      <c r="ET44">
        <v>0</v>
      </c>
      <c r="EU44">
        <v>0</v>
      </c>
      <c r="EV44">
        <v>0</v>
      </c>
      <c r="EW44">
        <v>0</v>
      </c>
      <c r="EX44">
        <v>0</v>
      </c>
      <c r="EY44">
        <v>0</v>
      </c>
      <c r="EZ44">
        <v>0</v>
      </c>
      <c r="FA44">
        <v>0</v>
      </c>
      <c r="FB44">
        <v>0</v>
      </c>
      <c r="FD44">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351151</v>
      </c>
    </row>
    <row r="45" spans="1:160">
      <c r="A45" t="s">
        <v>1074</v>
      </c>
      <c r="B45" t="s">
        <v>1074</v>
      </c>
      <c r="C45">
        <v>0</v>
      </c>
      <c r="D45">
        <v>0</v>
      </c>
      <c r="E45">
        <v>0</v>
      </c>
      <c r="F45">
        <v>0</v>
      </c>
      <c r="G45">
        <v>30222</v>
      </c>
      <c r="H45">
        <v>22930</v>
      </c>
      <c r="I45">
        <v>0</v>
      </c>
      <c r="J45">
        <v>0</v>
      </c>
      <c r="K45">
        <v>0</v>
      </c>
      <c r="L45">
        <v>0</v>
      </c>
      <c r="M45">
        <v>0</v>
      </c>
      <c r="N45">
        <v>0</v>
      </c>
      <c r="O45">
        <v>0</v>
      </c>
      <c r="P45">
        <v>0</v>
      </c>
      <c r="Q45">
        <v>1980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v>0</v>
      </c>
      <c r="BB45">
        <v>0</v>
      </c>
      <c r="BC45">
        <v>510951</v>
      </c>
      <c r="BD45">
        <v>444623</v>
      </c>
      <c r="BE45">
        <v>0</v>
      </c>
      <c r="BF45">
        <v>0</v>
      </c>
      <c r="BG45">
        <v>0</v>
      </c>
      <c r="BH45">
        <v>0</v>
      </c>
      <c r="BI45">
        <v>0</v>
      </c>
      <c r="BJ45">
        <v>0</v>
      </c>
      <c r="BK45">
        <v>0</v>
      </c>
      <c r="BL45">
        <v>0</v>
      </c>
      <c r="BM45">
        <v>0</v>
      </c>
      <c r="BN45">
        <v>0</v>
      </c>
      <c r="BO45">
        <v>23000</v>
      </c>
      <c r="BP45">
        <v>34096</v>
      </c>
      <c r="BQ45">
        <v>0</v>
      </c>
      <c r="BR45">
        <v>0</v>
      </c>
      <c r="BS45">
        <v>0</v>
      </c>
      <c r="BT45">
        <v>0</v>
      </c>
      <c r="BU45">
        <v>0</v>
      </c>
      <c r="BV45">
        <v>0</v>
      </c>
      <c r="BW45">
        <v>0</v>
      </c>
      <c r="BX45">
        <v>0</v>
      </c>
      <c r="BY45">
        <v>0</v>
      </c>
      <c r="BZ45">
        <v>0</v>
      </c>
      <c r="CA45">
        <v>0</v>
      </c>
      <c r="CB45">
        <v>0</v>
      </c>
      <c r="CC45">
        <v>0</v>
      </c>
      <c r="CD45">
        <v>0</v>
      </c>
      <c r="CE45">
        <v>0</v>
      </c>
      <c r="CF45">
        <v>0</v>
      </c>
      <c r="CG45">
        <v>0</v>
      </c>
      <c r="CH45">
        <v>0</v>
      </c>
      <c r="CI45">
        <v>0</v>
      </c>
      <c r="CJ45">
        <v>0</v>
      </c>
      <c r="CK45">
        <v>0</v>
      </c>
      <c r="CL45">
        <v>0</v>
      </c>
      <c r="CM45">
        <v>0</v>
      </c>
      <c r="CN45">
        <v>0</v>
      </c>
      <c r="CO45">
        <v>0</v>
      </c>
      <c r="CP45">
        <v>0</v>
      </c>
      <c r="CQ45">
        <v>0</v>
      </c>
      <c r="CR45">
        <v>0</v>
      </c>
      <c r="CS45">
        <v>0</v>
      </c>
      <c r="CT45">
        <v>0</v>
      </c>
      <c r="CU45">
        <v>0</v>
      </c>
      <c r="CV45">
        <v>0</v>
      </c>
      <c r="CW45">
        <v>0</v>
      </c>
      <c r="CX45">
        <v>0</v>
      </c>
      <c r="CY45">
        <v>0</v>
      </c>
      <c r="CZ45">
        <v>0</v>
      </c>
      <c r="DA45">
        <v>0</v>
      </c>
      <c r="DB45">
        <v>0</v>
      </c>
      <c r="DC45">
        <v>0</v>
      </c>
      <c r="DD45">
        <v>0</v>
      </c>
      <c r="DE45">
        <v>0</v>
      </c>
      <c r="DF45">
        <v>0</v>
      </c>
      <c r="DG45">
        <v>0</v>
      </c>
      <c r="DH45">
        <v>0</v>
      </c>
      <c r="DI45" s="158">
        <v>0</v>
      </c>
      <c r="DJ45">
        <v>0</v>
      </c>
      <c r="DK45">
        <v>0</v>
      </c>
      <c r="DL45">
        <v>0</v>
      </c>
      <c r="DM45">
        <v>0</v>
      </c>
      <c r="DN45">
        <v>0</v>
      </c>
      <c r="DO45">
        <v>0</v>
      </c>
      <c r="DP45">
        <v>0</v>
      </c>
      <c r="DQ45">
        <v>0</v>
      </c>
      <c r="DR45">
        <v>0</v>
      </c>
      <c r="DS45">
        <v>0</v>
      </c>
      <c r="DT45">
        <v>0</v>
      </c>
      <c r="DU45">
        <v>0</v>
      </c>
      <c r="DV45">
        <v>0</v>
      </c>
      <c r="DW45">
        <v>0</v>
      </c>
      <c r="DX45">
        <v>0</v>
      </c>
      <c r="DY45">
        <v>0</v>
      </c>
      <c r="DZ45">
        <v>0</v>
      </c>
      <c r="EA45">
        <v>0</v>
      </c>
      <c r="EB45">
        <v>0</v>
      </c>
      <c r="EC45">
        <v>0</v>
      </c>
      <c r="ED45">
        <v>0</v>
      </c>
      <c r="EE45">
        <v>0</v>
      </c>
      <c r="EF45">
        <v>0</v>
      </c>
      <c r="EG45">
        <v>0</v>
      </c>
      <c r="EH45">
        <v>0</v>
      </c>
      <c r="EI45">
        <v>0</v>
      </c>
      <c r="EJ45">
        <v>0</v>
      </c>
      <c r="EK45">
        <v>0</v>
      </c>
      <c r="EL45">
        <v>0</v>
      </c>
      <c r="EM45">
        <v>0</v>
      </c>
      <c r="EN45">
        <v>0</v>
      </c>
      <c r="EO45">
        <v>0</v>
      </c>
      <c r="EP45">
        <v>0</v>
      </c>
      <c r="EQ45">
        <v>0</v>
      </c>
      <c r="ER45">
        <v>0</v>
      </c>
      <c r="ES45">
        <v>0</v>
      </c>
      <c r="ET45">
        <v>0</v>
      </c>
      <c r="EU45">
        <v>0</v>
      </c>
      <c r="EV45">
        <v>0</v>
      </c>
      <c r="EW45">
        <v>0</v>
      </c>
      <c r="EX45">
        <v>0</v>
      </c>
      <c r="EY45">
        <v>0</v>
      </c>
      <c r="EZ45">
        <v>0</v>
      </c>
      <c r="FA45">
        <v>0</v>
      </c>
      <c r="FB45">
        <v>0</v>
      </c>
      <c r="FD45">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503629</v>
      </c>
    </row>
    <row r="46" spans="1:160">
      <c r="A46" t="s">
        <v>331</v>
      </c>
      <c r="B46" t="s">
        <v>331</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0</v>
      </c>
      <c r="DD46">
        <v>0</v>
      </c>
      <c r="DE46">
        <v>0</v>
      </c>
      <c r="DF46">
        <v>0</v>
      </c>
      <c r="DG46">
        <v>0</v>
      </c>
      <c r="DH46">
        <v>0</v>
      </c>
      <c r="DI46">
        <v>0</v>
      </c>
      <c r="DJ46">
        <v>0</v>
      </c>
      <c r="DK46">
        <v>0</v>
      </c>
      <c r="DL46">
        <v>0</v>
      </c>
      <c r="DM46">
        <v>0</v>
      </c>
      <c r="DN46">
        <v>0</v>
      </c>
      <c r="DO46">
        <v>0</v>
      </c>
      <c r="DP46">
        <v>0</v>
      </c>
      <c r="DQ46">
        <v>0</v>
      </c>
      <c r="DR46">
        <v>0</v>
      </c>
      <c r="DS46">
        <v>0</v>
      </c>
      <c r="DT46">
        <v>0</v>
      </c>
      <c r="DU46">
        <v>0</v>
      </c>
      <c r="DV46">
        <v>0</v>
      </c>
      <c r="DW46">
        <v>0</v>
      </c>
      <c r="DX46">
        <v>0</v>
      </c>
      <c r="DY46">
        <v>0</v>
      </c>
      <c r="DZ46">
        <v>0</v>
      </c>
      <c r="EA46">
        <v>0</v>
      </c>
      <c r="EB46">
        <v>0</v>
      </c>
      <c r="EC46">
        <v>0</v>
      </c>
      <c r="ED46">
        <v>0</v>
      </c>
      <c r="EE46">
        <v>0</v>
      </c>
      <c r="EF46">
        <v>0</v>
      </c>
      <c r="EG46">
        <v>0</v>
      </c>
      <c r="EH46">
        <v>0</v>
      </c>
      <c r="EI46">
        <v>0</v>
      </c>
      <c r="EJ46">
        <v>0</v>
      </c>
      <c r="EK46">
        <v>0</v>
      </c>
      <c r="EL46">
        <v>0</v>
      </c>
      <c r="EM46">
        <v>0</v>
      </c>
      <c r="EN46">
        <v>0</v>
      </c>
      <c r="EO46">
        <v>0</v>
      </c>
      <c r="EP46">
        <v>0</v>
      </c>
      <c r="EQ46">
        <v>0</v>
      </c>
      <c r="ER46">
        <v>0</v>
      </c>
      <c r="ES46">
        <v>0</v>
      </c>
      <c r="ET46">
        <v>0</v>
      </c>
      <c r="EU46">
        <v>0</v>
      </c>
      <c r="EV46">
        <v>0</v>
      </c>
      <c r="EW46">
        <v>0</v>
      </c>
      <c r="EX46">
        <v>0</v>
      </c>
      <c r="EY46">
        <v>0</v>
      </c>
      <c r="EZ46">
        <v>0</v>
      </c>
      <c r="FA46">
        <v>0</v>
      </c>
      <c r="FB46">
        <v>0</v>
      </c>
      <c r="FD46">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row>
    <row r="47" spans="1:160">
      <c r="A47" t="s">
        <v>826</v>
      </c>
      <c r="B47" t="s">
        <v>826</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v>0</v>
      </c>
      <c r="CB47">
        <v>0</v>
      </c>
      <c r="CC47">
        <v>0</v>
      </c>
      <c r="CD47">
        <v>0</v>
      </c>
      <c r="CE47">
        <v>0</v>
      </c>
      <c r="CF47">
        <v>0</v>
      </c>
      <c r="CG47">
        <v>0</v>
      </c>
      <c r="CH47">
        <v>0</v>
      </c>
      <c r="CI47">
        <v>0</v>
      </c>
      <c r="CJ47">
        <v>0</v>
      </c>
      <c r="CK47">
        <v>0</v>
      </c>
      <c r="CL47">
        <v>0</v>
      </c>
      <c r="CM47">
        <v>0</v>
      </c>
      <c r="CN47">
        <v>0</v>
      </c>
      <c r="CO47">
        <v>0</v>
      </c>
      <c r="CP47">
        <v>0</v>
      </c>
      <c r="CQ47">
        <v>0</v>
      </c>
      <c r="CR47">
        <v>0</v>
      </c>
      <c r="CS47">
        <v>0</v>
      </c>
      <c r="CT47">
        <v>0</v>
      </c>
      <c r="CU47">
        <v>0</v>
      </c>
      <c r="CV47">
        <v>0</v>
      </c>
      <c r="CW47">
        <v>0</v>
      </c>
      <c r="CX47">
        <v>0</v>
      </c>
      <c r="CY47">
        <v>0</v>
      </c>
      <c r="CZ47">
        <v>0</v>
      </c>
      <c r="DA47">
        <v>0</v>
      </c>
      <c r="DB47">
        <v>0</v>
      </c>
      <c r="DC47">
        <v>0</v>
      </c>
      <c r="DD47">
        <v>0</v>
      </c>
      <c r="DE47">
        <v>0</v>
      </c>
      <c r="DF47">
        <v>0</v>
      </c>
      <c r="DG47">
        <v>0</v>
      </c>
      <c r="DH47">
        <v>0</v>
      </c>
      <c r="DI47">
        <v>0</v>
      </c>
      <c r="DJ47">
        <v>0</v>
      </c>
      <c r="DK47">
        <v>0</v>
      </c>
      <c r="DL47">
        <v>0</v>
      </c>
      <c r="DM47">
        <v>0</v>
      </c>
      <c r="DN47">
        <v>0</v>
      </c>
      <c r="DO47">
        <v>0</v>
      </c>
      <c r="DP47">
        <v>0</v>
      </c>
      <c r="DQ47">
        <v>0</v>
      </c>
      <c r="DR47">
        <v>0</v>
      </c>
      <c r="DS47">
        <v>0</v>
      </c>
      <c r="DT47">
        <v>0</v>
      </c>
      <c r="DU47">
        <v>0</v>
      </c>
      <c r="DV47">
        <v>0</v>
      </c>
      <c r="DW47">
        <v>0</v>
      </c>
      <c r="DX47">
        <v>0</v>
      </c>
      <c r="DY47">
        <v>0</v>
      </c>
      <c r="DZ47">
        <v>0</v>
      </c>
      <c r="EA47">
        <v>0</v>
      </c>
      <c r="EB47">
        <v>0</v>
      </c>
      <c r="EC47">
        <v>0</v>
      </c>
      <c r="ED47">
        <v>0</v>
      </c>
      <c r="EE47">
        <v>0</v>
      </c>
      <c r="EF47">
        <v>0</v>
      </c>
      <c r="EG47">
        <v>0</v>
      </c>
      <c r="EH47">
        <v>0</v>
      </c>
      <c r="EI47">
        <v>0</v>
      </c>
      <c r="EJ47">
        <v>0</v>
      </c>
      <c r="EK47">
        <v>0</v>
      </c>
      <c r="EL47">
        <v>0</v>
      </c>
      <c r="EM47">
        <v>0</v>
      </c>
      <c r="EN47">
        <v>0</v>
      </c>
      <c r="EO47">
        <v>0</v>
      </c>
      <c r="EP47">
        <v>0</v>
      </c>
      <c r="EQ47">
        <v>0</v>
      </c>
      <c r="ER47">
        <v>0</v>
      </c>
      <c r="ES47">
        <v>0</v>
      </c>
      <c r="ET47">
        <v>0</v>
      </c>
      <c r="EU47">
        <v>0</v>
      </c>
      <c r="EV47">
        <v>0</v>
      </c>
      <c r="EW47">
        <v>0</v>
      </c>
      <c r="EX47">
        <v>0</v>
      </c>
      <c r="EY47">
        <v>0</v>
      </c>
      <c r="EZ47">
        <v>0</v>
      </c>
      <c r="FA47">
        <v>0</v>
      </c>
      <c r="FB47">
        <v>0</v>
      </c>
      <c r="FD47">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row>
    <row r="48" spans="1:160">
      <c r="A48" t="s">
        <v>263</v>
      </c>
      <c r="B48" t="s">
        <v>263</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0</v>
      </c>
      <c r="CO48">
        <v>0</v>
      </c>
      <c r="CP48">
        <v>0</v>
      </c>
      <c r="CQ48">
        <v>0</v>
      </c>
      <c r="CR48">
        <v>0</v>
      </c>
      <c r="CS48">
        <v>0</v>
      </c>
      <c r="CT48">
        <v>0</v>
      </c>
      <c r="CU48">
        <v>0</v>
      </c>
      <c r="CV48">
        <v>0</v>
      </c>
      <c r="CW48">
        <v>0</v>
      </c>
      <c r="CX48">
        <v>0</v>
      </c>
      <c r="CY48">
        <v>0</v>
      </c>
      <c r="CZ48">
        <v>0</v>
      </c>
      <c r="DA48">
        <v>0</v>
      </c>
      <c r="DB48">
        <v>0</v>
      </c>
      <c r="DC48">
        <v>0</v>
      </c>
      <c r="DD48">
        <v>0</v>
      </c>
      <c r="DE48">
        <v>0</v>
      </c>
      <c r="DF48">
        <v>0</v>
      </c>
      <c r="DG48">
        <v>0</v>
      </c>
      <c r="DH48">
        <v>0</v>
      </c>
      <c r="DI48">
        <v>0</v>
      </c>
      <c r="DJ48">
        <v>0</v>
      </c>
      <c r="DK48">
        <v>0</v>
      </c>
      <c r="DL48">
        <v>0</v>
      </c>
      <c r="DM48">
        <v>0</v>
      </c>
      <c r="DN48">
        <v>0</v>
      </c>
      <c r="DO48">
        <v>0</v>
      </c>
      <c r="DP48">
        <v>0</v>
      </c>
      <c r="DQ48">
        <v>0</v>
      </c>
      <c r="DR48">
        <v>0</v>
      </c>
      <c r="DS48">
        <v>0</v>
      </c>
      <c r="DT48">
        <v>0</v>
      </c>
      <c r="DU48">
        <v>0</v>
      </c>
      <c r="DV48">
        <v>0</v>
      </c>
      <c r="DW48">
        <v>0</v>
      </c>
      <c r="DX48">
        <v>0</v>
      </c>
      <c r="DY48">
        <v>0</v>
      </c>
      <c r="DZ48">
        <v>0</v>
      </c>
      <c r="EA48">
        <v>0</v>
      </c>
      <c r="EB48">
        <v>0</v>
      </c>
      <c r="EC48">
        <v>0</v>
      </c>
      <c r="ED48">
        <v>0</v>
      </c>
      <c r="EE48">
        <v>0</v>
      </c>
      <c r="EF48">
        <v>0</v>
      </c>
      <c r="EG48">
        <v>0</v>
      </c>
      <c r="EH48">
        <v>0</v>
      </c>
      <c r="EI48">
        <v>0</v>
      </c>
      <c r="EJ48">
        <v>0</v>
      </c>
      <c r="EK48">
        <v>0</v>
      </c>
      <c r="EL48">
        <v>0</v>
      </c>
      <c r="EM48">
        <v>0</v>
      </c>
      <c r="EN48">
        <v>0</v>
      </c>
      <c r="EO48">
        <v>0</v>
      </c>
      <c r="EP48">
        <v>0</v>
      </c>
      <c r="EQ48">
        <v>0</v>
      </c>
      <c r="ER48">
        <v>0</v>
      </c>
      <c r="ES48">
        <v>0</v>
      </c>
      <c r="ET48">
        <v>0</v>
      </c>
      <c r="EU48">
        <v>0</v>
      </c>
      <c r="EV48">
        <v>0</v>
      </c>
      <c r="EW48">
        <v>0</v>
      </c>
      <c r="EX48">
        <v>0</v>
      </c>
      <c r="EY48">
        <v>0</v>
      </c>
      <c r="EZ48">
        <v>0</v>
      </c>
      <c r="FA48">
        <v>0</v>
      </c>
      <c r="FB48">
        <v>0</v>
      </c>
      <c r="FD48">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row>
    <row r="49" spans="1:166">
      <c r="A49" t="s">
        <v>827</v>
      </c>
      <c r="B49" t="s">
        <v>827</v>
      </c>
      <c r="C49">
        <v>330000</v>
      </c>
      <c r="D49">
        <v>330000</v>
      </c>
      <c r="E49">
        <v>362885</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5500</v>
      </c>
      <c r="BD49">
        <v>5165</v>
      </c>
      <c r="BE49">
        <v>0</v>
      </c>
      <c r="BF49">
        <v>0</v>
      </c>
      <c r="BG49">
        <v>0</v>
      </c>
      <c r="BH49">
        <v>0</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0</v>
      </c>
      <c r="CM49">
        <v>0</v>
      </c>
      <c r="CN49">
        <v>0</v>
      </c>
      <c r="CO49">
        <v>0</v>
      </c>
      <c r="CP49">
        <v>0</v>
      </c>
      <c r="CQ49">
        <v>0</v>
      </c>
      <c r="CR49">
        <v>0</v>
      </c>
      <c r="CS49">
        <v>0</v>
      </c>
      <c r="CT49">
        <v>0</v>
      </c>
      <c r="CU49">
        <v>0</v>
      </c>
      <c r="CV49">
        <v>0</v>
      </c>
      <c r="CW49">
        <v>0</v>
      </c>
      <c r="CX49">
        <v>0</v>
      </c>
      <c r="CY49">
        <v>0</v>
      </c>
      <c r="CZ49">
        <v>0</v>
      </c>
      <c r="DA49">
        <v>0</v>
      </c>
      <c r="DB49">
        <v>0</v>
      </c>
      <c r="DC49">
        <v>0</v>
      </c>
      <c r="DD49">
        <v>0</v>
      </c>
      <c r="DE49">
        <v>0</v>
      </c>
      <c r="DF49">
        <v>0</v>
      </c>
      <c r="DG49">
        <v>0</v>
      </c>
      <c r="DH49">
        <v>0</v>
      </c>
      <c r="DI49">
        <v>0</v>
      </c>
      <c r="DJ49">
        <v>0</v>
      </c>
      <c r="DK49">
        <v>0</v>
      </c>
      <c r="DL49">
        <v>0</v>
      </c>
      <c r="DM49">
        <v>0</v>
      </c>
      <c r="DN49">
        <v>0</v>
      </c>
      <c r="DO49">
        <v>0</v>
      </c>
      <c r="DP49">
        <v>0</v>
      </c>
      <c r="DQ49">
        <v>0</v>
      </c>
      <c r="DR49">
        <v>0</v>
      </c>
      <c r="DS49">
        <v>0</v>
      </c>
      <c r="DT49">
        <v>0</v>
      </c>
      <c r="DU49">
        <v>0</v>
      </c>
      <c r="DV49">
        <v>0</v>
      </c>
      <c r="DW49">
        <v>0</v>
      </c>
      <c r="DX49">
        <v>0</v>
      </c>
      <c r="DY49">
        <v>0</v>
      </c>
      <c r="DZ49">
        <v>0</v>
      </c>
      <c r="EA49">
        <v>0</v>
      </c>
      <c r="EB49">
        <v>0</v>
      </c>
      <c r="EC49">
        <v>0</v>
      </c>
      <c r="ED49">
        <v>0</v>
      </c>
      <c r="EE49">
        <v>0</v>
      </c>
      <c r="EF49">
        <v>0</v>
      </c>
      <c r="EG49">
        <v>0</v>
      </c>
      <c r="EH49">
        <v>0</v>
      </c>
      <c r="EI49">
        <v>0</v>
      </c>
      <c r="EJ49">
        <v>0</v>
      </c>
      <c r="EK49">
        <v>0</v>
      </c>
      <c r="EL49">
        <v>0</v>
      </c>
      <c r="EM49">
        <v>0</v>
      </c>
      <c r="EN49">
        <v>0</v>
      </c>
      <c r="EO49">
        <v>0</v>
      </c>
      <c r="EP49">
        <v>0</v>
      </c>
      <c r="EQ49">
        <v>0</v>
      </c>
      <c r="ER49">
        <v>0</v>
      </c>
      <c r="ES49">
        <v>0</v>
      </c>
      <c r="ET49">
        <v>0</v>
      </c>
      <c r="EU49">
        <v>0</v>
      </c>
      <c r="EV49">
        <v>0</v>
      </c>
      <c r="EW49">
        <v>0</v>
      </c>
      <c r="EX49">
        <v>0</v>
      </c>
      <c r="EY49">
        <v>0</v>
      </c>
      <c r="EZ49">
        <v>0</v>
      </c>
      <c r="FA49">
        <v>0</v>
      </c>
      <c r="FB49">
        <v>0</v>
      </c>
      <c r="FD49">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368050</v>
      </c>
    </row>
    <row r="50" spans="1:166">
      <c r="A50" t="s">
        <v>828</v>
      </c>
      <c r="B50" t="s">
        <v>828</v>
      </c>
      <c r="C50">
        <v>24500</v>
      </c>
      <c r="D50">
        <v>24500</v>
      </c>
      <c r="E50">
        <v>16332</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15000</v>
      </c>
      <c r="AF50">
        <v>18459</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2000</v>
      </c>
      <c r="BP50">
        <v>4097</v>
      </c>
      <c r="BQ50">
        <v>0</v>
      </c>
      <c r="BR50">
        <v>0</v>
      </c>
      <c r="BS50">
        <v>0</v>
      </c>
      <c r="BT50">
        <v>0</v>
      </c>
      <c r="BU50">
        <v>0</v>
      </c>
      <c r="BV50">
        <v>0</v>
      </c>
      <c r="BW50">
        <v>0</v>
      </c>
      <c r="BX50">
        <v>0</v>
      </c>
      <c r="BY50">
        <v>0</v>
      </c>
      <c r="BZ50">
        <v>0</v>
      </c>
      <c r="CA50">
        <v>0</v>
      </c>
      <c r="CB50">
        <v>0</v>
      </c>
      <c r="CC50">
        <v>0</v>
      </c>
      <c r="CD50">
        <v>0</v>
      </c>
      <c r="CE50">
        <v>0</v>
      </c>
      <c r="CF50">
        <v>0</v>
      </c>
      <c r="CG50">
        <v>0</v>
      </c>
      <c r="CH50" s="158">
        <v>94</v>
      </c>
      <c r="CI50">
        <v>0</v>
      </c>
      <c r="CJ50">
        <v>70000</v>
      </c>
      <c r="CK50" s="158">
        <v>18709</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c r="DT50">
        <v>0</v>
      </c>
      <c r="DU50">
        <v>0</v>
      </c>
      <c r="DV50">
        <v>0</v>
      </c>
      <c r="DW50">
        <v>0</v>
      </c>
      <c r="DX50">
        <v>0</v>
      </c>
      <c r="DY50">
        <v>0</v>
      </c>
      <c r="DZ50">
        <v>0</v>
      </c>
      <c r="EA50">
        <v>0</v>
      </c>
      <c r="EB50">
        <v>0</v>
      </c>
      <c r="EC50">
        <v>0</v>
      </c>
      <c r="ED50">
        <v>0</v>
      </c>
      <c r="EE50">
        <v>0</v>
      </c>
      <c r="EF50">
        <v>0</v>
      </c>
      <c r="EG50">
        <v>0</v>
      </c>
      <c r="EH50">
        <v>0</v>
      </c>
      <c r="EI50">
        <v>0</v>
      </c>
      <c r="EJ50">
        <v>0</v>
      </c>
      <c r="EK50">
        <v>0</v>
      </c>
      <c r="EL50">
        <v>0</v>
      </c>
      <c r="EM50">
        <v>0</v>
      </c>
      <c r="EN50">
        <v>0</v>
      </c>
      <c r="EO50">
        <v>0</v>
      </c>
      <c r="EP50">
        <v>0</v>
      </c>
      <c r="EQ50">
        <v>0</v>
      </c>
      <c r="ER50">
        <v>0</v>
      </c>
      <c r="ES50">
        <v>0</v>
      </c>
      <c r="ET50">
        <v>0</v>
      </c>
      <c r="EU50">
        <v>0</v>
      </c>
      <c r="EV50">
        <v>0</v>
      </c>
      <c r="EW50">
        <v>0</v>
      </c>
      <c r="EX50">
        <v>0</v>
      </c>
      <c r="EY50">
        <v>0</v>
      </c>
      <c r="EZ50">
        <v>0</v>
      </c>
      <c r="FA50">
        <v>0</v>
      </c>
      <c r="FB50">
        <v>0</v>
      </c>
      <c r="FD50">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57691</v>
      </c>
    </row>
    <row r="51" spans="1:166">
      <c r="A51" t="s">
        <v>769</v>
      </c>
      <c r="B51" t="s">
        <v>769</v>
      </c>
      <c r="C51">
        <v>85000</v>
      </c>
      <c r="D51">
        <v>85000</v>
      </c>
      <c r="E51">
        <v>139838</v>
      </c>
      <c r="F51">
        <v>0</v>
      </c>
      <c r="G51">
        <v>15340</v>
      </c>
      <c r="H51">
        <v>17156</v>
      </c>
      <c r="I51">
        <v>0</v>
      </c>
      <c r="J51">
        <v>0</v>
      </c>
      <c r="K51">
        <v>0</v>
      </c>
      <c r="L51">
        <v>0</v>
      </c>
      <c r="M51">
        <v>0</v>
      </c>
      <c r="N51">
        <v>0</v>
      </c>
      <c r="O51">
        <v>0</v>
      </c>
      <c r="P51">
        <v>0</v>
      </c>
      <c r="Q51">
        <v>22740</v>
      </c>
      <c r="R51">
        <v>0</v>
      </c>
      <c r="S51">
        <v>50000</v>
      </c>
      <c r="T51">
        <v>74369</v>
      </c>
      <c r="U51">
        <v>0</v>
      </c>
      <c r="V51">
        <v>6000</v>
      </c>
      <c r="W51">
        <v>3218</v>
      </c>
      <c r="X51">
        <v>0</v>
      </c>
      <c r="Y51">
        <v>0</v>
      </c>
      <c r="Z51">
        <v>0</v>
      </c>
      <c r="AA51">
        <v>0</v>
      </c>
      <c r="AB51">
        <v>0</v>
      </c>
      <c r="AC51">
        <v>0</v>
      </c>
      <c r="AD51">
        <v>0</v>
      </c>
      <c r="AE51">
        <v>7000</v>
      </c>
      <c r="AF51">
        <v>7000</v>
      </c>
      <c r="AG51">
        <v>0</v>
      </c>
      <c r="AH51">
        <v>0</v>
      </c>
      <c r="AI51">
        <v>0</v>
      </c>
      <c r="AJ51">
        <v>0</v>
      </c>
      <c r="AK51">
        <v>0</v>
      </c>
      <c r="AL51">
        <v>0</v>
      </c>
      <c r="AM51">
        <v>0</v>
      </c>
      <c r="AN51">
        <v>0</v>
      </c>
      <c r="AO51">
        <v>0</v>
      </c>
      <c r="AP51">
        <v>0</v>
      </c>
      <c r="AQ51">
        <v>0</v>
      </c>
      <c r="AR51">
        <v>0</v>
      </c>
      <c r="AS51">
        <v>0</v>
      </c>
      <c r="AT51">
        <v>0</v>
      </c>
      <c r="AU51">
        <v>0</v>
      </c>
      <c r="AV51">
        <v>0</v>
      </c>
      <c r="AW51">
        <v>0</v>
      </c>
      <c r="AX51">
        <v>5150</v>
      </c>
      <c r="AY51">
        <v>0</v>
      </c>
      <c r="AZ51">
        <v>0</v>
      </c>
      <c r="BA51">
        <v>0</v>
      </c>
      <c r="BB51">
        <v>0</v>
      </c>
      <c r="BC51">
        <v>9050</v>
      </c>
      <c r="BD51">
        <v>13452</v>
      </c>
      <c r="BE51">
        <v>0</v>
      </c>
      <c r="BF51">
        <v>0</v>
      </c>
      <c r="BG51">
        <v>0</v>
      </c>
      <c r="BH51">
        <v>0</v>
      </c>
      <c r="BI51">
        <v>2500</v>
      </c>
      <c r="BJ51">
        <v>1208</v>
      </c>
      <c r="BK51">
        <v>0</v>
      </c>
      <c r="BL51">
        <v>0</v>
      </c>
      <c r="BM51">
        <v>0</v>
      </c>
      <c r="BN51">
        <v>0</v>
      </c>
      <c r="BO51">
        <v>120000</v>
      </c>
      <c r="BP51">
        <v>150175</v>
      </c>
      <c r="BQ51">
        <v>0</v>
      </c>
      <c r="BR51">
        <v>0</v>
      </c>
      <c r="BS51">
        <v>0</v>
      </c>
      <c r="BT51">
        <v>0</v>
      </c>
      <c r="BU51">
        <v>110795</v>
      </c>
      <c r="BV51" s="158">
        <v>395</v>
      </c>
      <c r="BW51">
        <v>0</v>
      </c>
      <c r="BX51">
        <v>0</v>
      </c>
      <c r="BY51">
        <v>0</v>
      </c>
      <c r="BZ51">
        <v>0</v>
      </c>
      <c r="CA51">
        <v>25523</v>
      </c>
      <c r="CB51" s="158">
        <v>33441</v>
      </c>
      <c r="CC51">
        <v>0</v>
      </c>
      <c r="CD51">
        <v>15000</v>
      </c>
      <c r="CE51">
        <v>16397</v>
      </c>
      <c r="CF51">
        <v>0</v>
      </c>
      <c r="CG51">
        <v>0</v>
      </c>
      <c r="CH51">
        <v>0</v>
      </c>
      <c r="CI51">
        <v>0</v>
      </c>
      <c r="CJ51">
        <v>0</v>
      </c>
      <c r="CK51">
        <v>0</v>
      </c>
      <c r="CL51">
        <v>0</v>
      </c>
      <c r="CM51">
        <v>0</v>
      </c>
      <c r="CN51">
        <v>0</v>
      </c>
      <c r="CO51">
        <v>0</v>
      </c>
      <c r="CP51">
        <v>0</v>
      </c>
      <c r="CQ51">
        <v>0</v>
      </c>
      <c r="CR51">
        <v>0</v>
      </c>
      <c r="CS51">
        <v>0</v>
      </c>
      <c r="CT51">
        <v>0</v>
      </c>
      <c r="CU51">
        <v>0</v>
      </c>
      <c r="CV51">
        <v>0</v>
      </c>
      <c r="CW51">
        <v>0</v>
      </c>
      <c r="CX51">
        <v>0</v>
      </c>
      <c r="CY51">
        <v>0</v>
      </c>
      <c r="CZ51">
        <v>0</v>
      </c>
      <c r="DA51">
        <v>0</v>
      </c>
      <c r="DB51">
        <v>0</v>
      </c>
      <c r="DC51">
        <v>0</v>
      </c>
      <c r="DD51">
        <v>0</v>
      </c>
      <c r="DE51">
        <v>0</v>
      </c>
      <c r="DF51">
        <v>0</v>
      </c>
      <c r="DG51">
        <v>0</v>
      </c>
      <c r="DH51">
        <v>0</v>
      </c>
      <c r="DI51" s="158">
        <v>0</v>
      </c>
      <c r="DJ51">
        <v>0</v>
      </c>
      <c r="DK51">
        <v>0</v>
      </c>
      <c r="DL51">
        <v>0</v>
      </c>
      <c r="DM51">
        <v>0</v>
      </c>
      <c r="DN51">
        <v>0</v>
      </c>
      <c r="DO51">
        <v>147418</v>
      </c>
      <c r="DP51">
        <v>0</v>
      </c>
      <c r="DQ51">
        <v>0</v>
      </c>
      <c r="DR51">
        <v>0</v>
      </c>
      <c r="DS51">
        <v>0</v>
      </c>
      <c r="DT51">
        <v>0</v>
      </c>
      <c r="DU51">
        <v>0</v>
      </c>
      <c r="DV51">
        <v>0</v>
      </c>
      <c r="DW51">
        <v>0</v>
      </c>
      <c r="DX51">
        <v>0</v>
      </c>
      <c r="DY51">
        <v>0</v>
      </c>
      <c r="DZ51">
        <v>0</v>
      </c>
      <c r="EA51">
        <v>0</v>
      </c>
      <c r="EB51">
        <v>0</v>
      </c>
      <c r="EC51">
        <v>0</v>
      </c>
      <c r="ED51">
        <v>0</v>
      </c>
      <c r="EE51">
        <v>0</v>
      </c>
      <c r="EF51">
        <v>0</v>
      </c>
      <c r="EG51">
        <v>0</v>
      </c>
      <c r="EH51">
        <v>0</v>
      </c>
      <c r="EI51">
        <v>0</v>
      </c>
      <c r="EJ51">
        <v>0</v>
      </c>
      <c r="EK51">
        <v>0</v>
      </c>
      <c r="EL51">
        <v>0</v>
      </c>
      <c r="EM51">
        <v>0</v>
      </c>
      <c r="EN51">
        <v>0</v>
      </c>
      <c r="EO51">
        <v>0</v>
      </c>
      <c r="EP51">
        <v>0</v>
      </c>
      <c r="EQ51">
        <v>0</v>
      </c>
      <c r="ER51">
        <v>0</v>
      </c>
      <c r="ES51">
        <v>0</v>
      </c>
      <c r="ET51">
        <v>0</v>
      </c>
      <c r="EU51">
        <v>0</v>
      </c>
      <c r="EV51">
        <v>0</v>
      </c>
      <c r="EW51">
        <v>0</v>
      </c>
      <c r="EX51">
        <v>0</v>
      </c>
      <c r="EY51">
        <v>0</v>
      </c>
      <c r="EZ51">
        <v>0</v>
      </c>
      <c r="FA51" s="211">
        <f>4539+77617</f>
        <v>82156</v>
      </c>
      <c r="FB51">
        <v>0</v>
      </c>
      <c r="FD51">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714113</v>
      </c>
      <c r="FF51" s="1218" t="s">
        <v>3342</v>
      </c>
      <c r="FG51" s="1131"/>
    </row>
    <row r="52" spans="1:166">
      <c r="A52" t="s">
        <v>770</v>
      </c>
      <c r="B52" t="s">
        <v>770</v>
      </c>
      <c r="C52">
        <v>0</v>
      </c>
      <c r="D52">
        <v>0</v>
      </c>
      <c r="E52">
        <v>333</v>
      </c>
      <c r="F52">
        <v>0</v>
      </c>
      <c r="G52">
        <v>0</v>
      </c>
      <c r="H52">
        <v>0</v>
      </c>
      <c r="I52">
        <v>0</v>
      </c>
      <c r="J52">
        <v>0</v>
      </c>
      <c r="K52">
        <v>0</v>
      </c>
      <c r="L52">
        <v>0</v>
      </c>
      <c r="M52">
        <v>0</v>
      </c>
      <c r="N52">
        <v>6</v>
      </c>
      <c r="O52">
        <v>0</v>
      </c>
      <c r="P52">
        <v>0</v>
      </c>
      <c r="Q52">
        <v>0</v>
      </c>
      <c r="R52">
        <v>0</v>
      </c>
      <c r="S52">
        <v>0</v>
      </c>
      <c r="T52">
        <v>4</v>
      </c>
      <c r="U52">
        <v>0</v>
      </c>
      <c r="V52">
        <v>2000</v>
      </c>
      <c r="W52">
        <v>43436</v>
      </c>
      <c r="X52">
        <v>0</v>
      </c>
      <c r="Y52">
        <v>0</v>
      </c>
      <c r="Z52">
        <v>0</v>
      </c>
      <c r="AA52">
        <v>0</v>
      </c>
      <c r="AB52">
        <v>0</v>
      </c>
      <c r="AC52">
        <v>0</v>
      </c>
      <c r="AD52">
        <v>0</v>
      </c>
      <c r="AE52">
        <v>0</v>
      </c>
      <c r="AF52">
        <v>19</v>
      </c>
      <c r="AG52">
        <v>0</v>
      </c>
      <c r="AH52">
        <v>0</v>
      </c>
      <c r="AI52">
        <v>5</v>
      </c>
      <c r="AJ52">
        <v>0</v>
      </c>
      <c r="AK52">
        <v>0</v>
      </c>
      <c r="AL52">
        <v>1</v>
      </c>
      <c r="AM52">
        <v>0</v>
      </c>
      <c r="AN52">
        <v>0</v>
      </c>
      <c r="AO52">
        <v>0</v>
      </c>
      <c r="AP52">
        <v>0</v>
      </c>
      <c r="AQ52">
        <v>0</v>
      </c>
      <c r="AR52">
        <v>52</v>
      </c>
      <c r="AS52">
        <v>0</v>
      </c>
      <c r="AT52">
        <v>20000</v>
      </c>
      <c r="AU52">
        <v>22984</v>
      </c>
      <c r="AV52">
        <v>0</v>
      </c>
      <c r="AW52">
        <v>0</v>
      </c>
      <c r="AX52">
        <v>15</v>
      </c>
      <c r="AY52">
        <v>0</v>
      </c>
      <c r="AZ52">
        <v>0</v>
      </c>
      <c r="BA52">
        <v>0</v>
      </c>
      <c r="BB52">
        <v>0</v>
      </c>
      <c r="BC52">
        <v>0</v>
      </c>
      <c r="BD52">
        <v>42</v>
      </c>
      <c r="BE52">
        <v>0</v>
      </c>
      <c r="BF52">
        <v>0</v>
      </c>
      <c r="BG52">
        <v>6</v>
      </c>
      <c r="BH52">
        <v>0</v>
      </c>
      <c r="BI52">
        <v>0</v>
      </c>
      <c r="BJ52">
        <v>7</v>
      </c>
      <c r="BK52">
        <v>0</v>
      </c>
      <c r="BL52">
        <v>0</v>
      </c>
      <c r="BM52">
        <v>0</v>
      </c>
      <c r="BN52">
        <v>0</v>
      </c>
      <c r="BO52">
        <v>0</v>
      </c>
      <c r="BP52">
        <v>0</v>
      </c>
      <c r="BQ52">
        <v>0</v>
      </c>
      <c r="BR52">
        <v>0</v>
      </c>
      <c r="BS52">
        <v>0</v>
      </c>
      <c r="BT52">
        <v>0</v>
      </c>
      <c r="BU52">
        <v>0</v>
      </c>
      <c r="BV52">
        <v>108</v>
      </c>
      <c r="BW52">
        <v>0</v>
      </c>
      <c r="BX52">
        <v>0</v>
      </c>
      <c r="BY52">
        <v>0</v>
      </c>
      <c r="BZ52">
        <v>0</v>
      </c>
      <c r="CA52">
        <v>0</v>
      </c>
      <c r="CB52">
        <v>0</v>
      </c>
      <c r="CC52">
        <v>0</v>
      </c>
      <c r="CD52">
        <v>0</v>
      </c>
      <c r="CE52">
        <v>0</v>
      </c>
      <c r="CF52">
        <v>0</v>
      </c>
      <c r="CG52">
        <v>0</v>
      </c>
      <c r="CH52">
        <v>0</v>
      </c>
      <c r="CI52">
        <v>0</v>
      </c>
      <c r="CJ52">
        <v>0</v>
      </c>
      <c r="CK52">
        <v>0</v>
      </c>
      <c r="CL52">
        <v>0</v>
      </c>
      <c r="CM52">
        <v>600</v>
      </c>
      <c r="CN52">
        <v>9564</v>
      </c>
      <c r="CO52">
        <v>0</v>
      </c>
      <c r="CP52">
        <v>150</v>
      </c>
      <c r="CQ52">
        <v>977</v>
      </c>
      <c r="CR52">
        <v>0</v>
      </c>
      <c r="CS52">
        <v>0</v>
      </c>
      <c r="CT52">
        <v>2070</v>
      </c>
      <c r="CU52">
        <v>0</v>
      </c>
      <c r="CV52">
        <v>0</v>
      </c>
      <c r="CW52">
        <v>234</v>
      </c>
      <c r="CX52">
        <v>0</v>
      </c>
      <c r="CY52">
        <v>0</v>
      </c>
      <c r="CZ52">
        <v>2449</v>
      </c>
      <c r="DA52">
        <v>0</v>
      </c>
      <c r="DB52">
        <v>125</v>
      </c>
      <c r="DC52">
        <v>1624</v>
      </c>
      <c r="DD52">
        <v>0</v>
      </c>
      <c r="DE52">
        <v>27200</v>
      </c>
      <c r="DF52" s="158">
        <v>27243</v>
      </c>
      <c r="DG52">
        <v>0</v>
      </c>
      <c r="DH52">
        <v>0</v>
      </c>
      <c r="DI52">
        <v>0</v>
      </c>
      <c r="DJ52">
        <v>0</v>
      </c>
      <c r="DK52">
        <v>0</v>
      </c>
      <c r="DL52" s="158">
        <v>66678</v>
      </c>
      <c r="DM52">
        <v>0</v>
      </c>
      <c r="DN52">
        <v>0</v>
      </c>
      <c r="DO52">
        <v>27901</v>
      </c>
      <c r="DP52">
        <v>0</v>
      </c>
      <c r="DQ52">
        <v>0</v>
      </c>
      <c r="DR52">
        <v>0</v>
      </c>
      <c r="DS52">
        <v>0</v>
      </c>
      <c r="DT52">
        <v>0</v>
      </c>
      <c r="DU52">
        <v>0</v>
      </c>
      <c r="DV52">
        <v>0</v>
      </c>
      <c r="DW52">
        <v>0</v>
      </c>
      <c r="DX52">
        <v>0</v>
      </c>
      <c r="DY52">
        <v>0</v>
      </c>
      <c r="DZ52">
        <v>0</v>
      </c>
      <c r="EA52">
        <v>0</v>
      </c>
      <c r="EB52">
        <v>0</v>
      </c>
      <c r="EC52">
        <v>0</v>
      </c>
      <c r="ED52">
        <v>0</v>
      </c>
      <c r="EE52">
        <v>0</v>
      </c>
      <c r="EF52">
        <v>0</v>
      </c>
      <c r="EG52">
        <v>0</v>
      </c>
      <c r="EH52">
        <v>0</v>
      </c>
      <c r="EI52">
        <v>0</v>
      </c>
      <c r="EJ52">
        <v>0</v>
      </c>
      <c r="EK52">
        <v>0</v>
      </c>
      <c r="EL52">
        <v>0</v>
      </c>
      <c r="EM52">
        <v>0</v>
      </c>
      <c r="EN52">
        <v>0</v>
      </c>
      <c r="EO52">
        <v>0</v>
      </c>
      <c r="EP52">
        <v>0</v>
      </c>
      <c r="EQ52">
        <v>0</v>
      </c>
      <c r="ER52">
        <v>0</v>
      </c>
      <c r="ES52">
        <v>0</v>
      </c>
      <c r="ET52">
        <v>0</v>
      </c>
      <c r="EU52">
        <v>0</v>
      </c>
      <c r="EV52">
        <v>0</v>
      </c>
      <c r="EW52">
        <v>0</v>
      </c>
      <c r="EX52">
        <v>0</v>
      </c>
      <c r="EY52">
        <v>0</v>
      </c>
      <c r="EZ52">
        <v>0</v>
      </c>
      <c r="FA52" s="146">
        <v>214545</v>
      </c>
      <c r="FB52">
        <v>0</v>
      </c>
      <c r="FD52">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420303</v>
      </c>
      <c r="FF52" s="1219" t="s">
        <v>3343</v>
      </c>
      <c r="FG52" s="1131"/>
    </row>
    <row r="53" spans="1:166">
      <c r="A53" t="s">
        <v>1167</v>
      </c>
      <c r="B53" t="s">
        <v>1167</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v>0</v>
      </c>
      <c r="EF53">
        <v>0</v>
      </c>
      <c r="EG53">
        <v>0</v>
      </c>
      <c r="EH53">
        <v>0</v>
      </c>
      <c r="EI53">
        <v>0</v>
      </c>
      <c r="EJ53">
        <v>0</v>
      </c>
      <c r="EK53">
        <v>0</v>
      </c>
      <c r="EL53">
        <v>0</v>
      </c>
      <c r="EM53">
        <v>0</v>
      </c>
      <c r="EN53">
        <v>0</v>
      </c>
      <c r="EO53">
        <v>0</v>
      </c>
      <c r="EP53">
        <v>0</v>
      </c>
      <c r="EQ53">
        <v>0</v>
      </c>
      <c r="ER53">
        <v>0</v>
      </c>
      <c r="ES53">
        <v>0</v>
      </c>
      <c r="ET53">
        <v>0</v>
      </c>
      <c r="EU53">
        <v>0</v>
      </c>
      <c r="EV53">
        <v>0</v>
      </c>
      <c r="EW53">
        <v>0</v>
      </c>
      <c r="EX53">
        <v>0</v>
      </c>
      <c r="EY53">
        <v>0</v>
      </c>
      <c r="EZ53">
        <v>0</v>
      </c>
      <c r="FA53">
        <v>0</v>
      </c>
      <c r="FB53">
        <v>0</v>
      </c>
      <c r="FD53">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row>
    <row r="54" spans="1:166">
      <c r="A54" t="s">
        <v>771</v>
      </c>
      <c r="B54" t="s">
        <v>771</v>
      </c>
      <c r="C54">
        <v>13941253</v>
      </c>
      <c r="D54">
        <v>13941253</v>
      </c>
      <c r="E54">
        <v>14556517</v>
      </c>
      <c r="F54">
        <v>0</v>
      </c>
      <c r="G54">
        <v>2091895</v>
      </c>
      <c r="H54">
        <v>1598576</v>
      </c>
      <c r="I54">
        <v>0</v>
      </c>
      <c r="J54">
        <v>18000</v>
      </c>
      <c r="K54">
        <v>18860</v>
      </c>
      <c r="L54">
        <v>0</v>
      </c>
      <c r="M54">
        <v>225000</v>
      </c>
      <c r="N54">
        <v>277471</v>
      </c>
      <c r="O54">
        <v>0</v>
      </c>
      <c r="P54">
        <v>387450</v>
      </c>
      <c r="Q54">
        <v>407966</v>
      </c>
      <c r="R54">
        <v>0</v>
      </c>
      <c r="S54">
        <v>866911</v>
      </c>
      <c r="T54">
        <v>585378</v>
      </c>
      <c r="U54">
        <v>0</v>
      </c>
      <c r="V54">
        <v>4308083</v>
      </c>
      <c r="W54">
        <v>4712515</v>
      </c>
      <c r="X54">
        <v>0</v>
      </c>
      <c r="Y54">
        <v>1875</v>
      </c>
      <c r="Z54">
        <v>1626</v>
      </c>
      <c r="AA54">
        <v>0</v>
      </c>
      <c r="AB54">
        <v>25000</v>
      </c>
      <c r="AC54">
        <v>24961</v>
      </c>
      <c r="AD54">
        <v>0</v>
      </c>
      <c r="AE54">
        <v>2147771</v>
      </c>
      <c r="AF54">
        <v>2171223</v>
      </c>
      <c r="AG54">
        <v>0</v>
      </c>
      <c r="AH54">
        <v>170727</v>
      </c>
      <c r="AI54">
        <v>175235</v>
      </c>
      <c r="AJ54">
        <v>0</v>
      </c>
      <c r="AK54">
        <v>18802</v>
      </c>
      <c r="AL54">
        <v>18982</v>
      </c>
      <c r="AM54">
        <v>0</v>
      </c>
      <c r="AN54">
        <v>0</v>
      </c>
      <c r="AO54">
        <v>0</v>
      </c>
      <c r="AP54">
        <v>0</v>
      </c>
      <c r="AQ54">
        <v>1683000</v>
      </c>
      <c r="AR54">
        <v>1577209</v>
      </c>
      <c r="AS54">
        <v>0</v>
      </c>
      <c r="AT54">
        <v>450719</v>
      </c>
      <c r="AU54">
        <v>478390</v>
      </c>
      <c r="AV54">
        <v>0</v>
      </c>
      <c r="AW54">
        <v>935502</v>
      </c>
      <c r="AX54">
        <v>932853</v>
      </c>
      <c r="AY54">
        <v>0</v>
      </c>
      <c r="AZ54">
        <v>0</v>
      </c>
      <c r="BA54">
        <v>19</v>
      </c>
      <c r="BB54">
        <v>0</v>
      </c>
      <c r="BC54">
        <v>2435602</v>
      </c>
      <c r="BD54">
        <v>2523945</v>
      </c>
      <c r="BE54">
        <v>0</v>
      </c>
      <c r="BF54">
        <v>179484</v>
      </c>
      <c r="BG54">
        <v>182843</v>
      </c>
      <c r="BH54">
        <v>0</v>
      </c>
      <c r="BI54">
        <v>232690</v>
      </c>
      <c r="BJ54">
        <v>233633</v>
      </c>
      <c r="BK54">
        <v>0</v>
      </c>
      <c r="BL54">
        <v>0</v>
      </c>
      <c r="BM54">
        <v>0</v>
      </c>
      <c r="BN54">
        <v>0</v>
      </c>
      <c r="BO54">
        <v>254800</v>
      </c>
      <c r="BP54">
        <v>299966</v>
      </c>
      <c r="BQ54">
        <v>0</v>
      </c>
      <c r="BR54">
        <v>128500</v>
      </c>
      <c r="BS54">
        <v>94970</v>
      </c>
      <c r="BT54">
        <v>0</v>
      </c>
      <c r="BU54">
        <v>4971391</v>
      </c>
      <c r="BV54">
        <v>4861322</v>
      </c>
      <c r="BW54">
        <v>0</v>
      </c>
      <c r="BX54">
        <v>5000</v>
      </c>
      <c r="BY54">
        <v>43709</v>
      </c>
      <c r="BZ54">
        <v>0</v>
      </c>
      <c r="CA54">
        <v>25523</v>
      </c>
      <c r="CB54">
        <v>33441</v>
      </c>
      <c r="CC54">
        <v>0</v>
      </c>
      <c r="CD54">
        <v>43000</v>
      </c>
      <c r="CE54">
        <v>41955</v>
      </c>
      <c r="CF54">
        <v>0</v>
      </c>
      <c r="CG54">
        <v>0</v>
      </c>
      <c r="CH54">
        <v>94</v>
      </c>
      <c r="CI54">
        <v>0</v>
      </c>
      <c r="CJ54">
        <v>70000</v>
      </c>
      <c r="CK54">
        <v>18709</v>
      </c>
      <c r="CL54">
        <v>0</v>
      </c>
      <c r="CM54">
        <v>50600</v>
      </c>
      <c r="CN54">
        <v>9564</v>
      </c>
      <c r="CO54">
        <v>0</v>
      </c>
      <c r="CP54">
        <v>150</v>
      </c>
      <c r="CQ54">
        <v>977</v>
      </c>
      <c r="CR54">
        <v>0</v>
      </c>
      <c r="CS54">
        <v>0</v>
      </c>
      <c r="CT54">
        <v>2070</v>
      </c>
      <c r="CU54">
        <v>0</v>
      </c>
      <c r="CV54">
        <v>49897</v>
      </c>
      <c r="CW54">
        <v>28854</v>
      </c>
      <c r="CX54">
        <v>0</v>
      </c>
      <c r="CY54">
        <v>174151</v>
      </c>
      <c r="CZ54">
        <v>186896</v>
      </c>
      <c r="DA54">
        <v>0</v>
      </c>
      <c r="DB54">
        <v>11625</v>
      </c>
      <c r="DC54">
        <v>16579</v>
      </c>
      <c r="DD54">
        <v>0</v>
      </c>
      <c r="DE54">
        <v>27200</v>
      </c>
      <c r="DF54">
        <v>27243</v>
      </c>
      <c r="DG54">
        <v>0</v>
      </c>
      <c r="DH54">
        <v>0</v>
      </c>
      <c r="DI54">
        <v>0</v>
      </c>
      <c r="DJ54">
        <v>0</v>
      </c>
      <c r="DK54">
        <v>0</v>
      </c>
      <c r="DL54">
        <v>66678</v>
      </c>
      <c r="DM54">
        <v>0</v>
      </c>
      <c r="DN54">
        <v>0</v>
      </c>
      <c r="DO54">
        <v>175319</v>
      </c>
      <c r="DP54">
        <v>0</v>
      </c>
      <c r="DQ54">
        <v>250000</v>
      </c>
      <c r="DR54">
        <v>235770</v>
      </c>
      <c r="DS54">
        <v>0</v>
      </c>
      <c r="DT54">
        <v>260000</v>
      </c>
      <c r="DU54">
        <v>272779</v>
      </c>
      <c r="DV54">
        <v>0</v>
      </c>
      <c r="DW54">
        <v>338609</v>
      </c>
      <c r="DX54">
        <v>338610</v>
      </c>
      <c r="DY54">
        <v>0</v>
      </c>
      <c r="DZ54">
        <v>244545</v>
      </c>
      <c r="EA54">
        <v>310691</v>
      </c>
      <c r="EB54">
        <v>0</v>
      </c>
      <c r="EC54">
        <v>31786</v>
      </c>
      <c r="ED54">
        <v>0</v>
      </c>
      <c r="EE54">
        <v>0</v>
      </c>
      <c r="EF54">
        <v>0</v>
      </c>
      <c r="EG54">
        <v>0</v>
      </c>
      <c r="EH54">
        <v>0</v>
      </c>
      <c r="EI54">
        <v>188726</v>
      </c>
      <c r="EJ54">
        <v>100801</v>
      </c>
      <c r="EK54">
        <v>0</v>
      </c>
      <c r="EL54">
        <v>0</v>
      </c>
      <c r="EM54">
        <v>0</v>
      </c>
      <c r="EN54">
        <v>0</v>
      </c>
      <c r="EO54">
        <v>25379</v>
      </c>
      <c r="EP54">
        <v>24352</v>
      </c>
      <c r="EQ54">
        <v>0</v>
      </c>
      <c r="ER54">
        <v>137008</v>
      </c>
      <c r="ES54">
        <v>104225</v>
      </c>
      <c r="ET54">
        <v>0</v>
      </c>
      <c r="EU54">
        <v>2033542</v>
      </c>
      <c r="EV54">
        <v>2033542</v>
      </c>
      <c r="EW54">
        <v>1608855</v>
      </c>
      <c r="EX54">
        <v>0</v>
      </c>
      <c r="EY54">
        <v>1335512</v>
      </c>
      <c r="EZ54">
        <v>1335512</v>
      </c>
      <c r="FA54">
        <v>1881075</v>
      </c>
      <c r="FB54">
        <v>0</v>
      </c>
      <c r="FD54">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41263706</v>
      </c>
      <c r="FF54" s="1129">
        <f>SUM(FF18:FF53)</f>
        <v>0</v>
      </c>
      <c r="FJ54">
        <f>+FF54+FF81</f>
        <v>0</v>
      </c>
    </row>
    <row r="55" spans="1:166">
      <c r="A55" t="s">
        <v>1167</v>
      </c>
      <c r="B55" t="s">
        <v>1167</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c r="CU55">
        <v>0</v>
      </c>
      <c r="CV55">
        <v>0</v>
      </c>
      <c r="CW55">
        <v>0</v>
      </c>
      <c r="CX55">
        <v>0</v>
      </c>
      <c r="CY55">
        <v>0</v>
      </c>
      <c r="CZ55">
        <v>0</v>
      </c>
      <c r="DA55">
        <v>0</v>
      </c>
      <c r="DB55">
        <v>0</v>
      </c>
      <c r="DC55">
        <v>0</v>
      </c>
      <c r="DD55">
        <v>0</v>
      </c>
      <c r="DE55">
        <v>0</v>
      </c>
      <c r="DF55">
        <v>0</v>
      </c>
      <c r="DG55">
        <v>0</v>
      </c>
      <c r="DH55">
        <v>0</v>
      </c>
      <c r="DI55">
        <v>0</v>
      </c>
      <c r="DJ55">
        <v>0</v>
      </c>
      <c r="DK55">
        <v>0</v>
      </c>
      <c r="DL55">
        <v>0</v>
      </c>
      <c r="DM55">
        <v>0</v>
      </c>
      <c r="DN55">
        <v>0</v>
      </c>
      <c r="DO55">
        <v>0</v>
      </c>
      <c r="DP55">
        <v>0</v>
      </c>
      <c r="DQ55">
        <v>0</v>
      </c>
      <c r="DR55">
        <v>0</v>
      </c>
      <c r="DS55">
        <v>0</v>
      </c>
      <c r="DT55">
        <v>0</v>
      </c>
      <c r="DU55">
        <v>0</v>
      </c>
      <c r="DV55">
        <v>0</v>
      </c>
      <c r="DW55">
        <v>0</v>
      </c>
      <c r="DX55">
        <v>0</v>
      </c>
      <c r="DY55">
        <v>0</v>
      </c>
      <c r="DZ55">
        <v>0</v>
      </c>
      <c r="EA55">
        <v>0</v>
      </c>
      <c r="EB55">
        <v>0</v>
      </c>
      <c r="EC55">
        <v>0</v>
      </c>
      <c r="ED55">
        <v>0</v>
      </c>
      <c r="EE55">
        <v>0</v>
      </c>
      <c r="EF55">
        <v>0</v>
      </c>
      <c r="EG55">
        <v>0</v>
      </c>
      <c r="EH55">
        <v>0</v>
      </c>
      <c r="EI55">
        <v>0</v>
      </c>
      <c r="EJ55">
        <v>0</v>
      </c>
      <c r="EK55">
        <v>0</v>
      </c>
      <c r="EL55">
        <v>0</v>
      </c>
      <c r="EM55">
        <v>0</v>
      </c>
      <c r="EN55">
        <v>0</v>
      </c>
      <c r="EO55">
        <v>0</v>
      </c>
      <c r="EP55">
        <v>0</v>
      </c>
      <c r="EQ55">
        <v>0</v>
      </c>
      <c r="ER55">
        <v>0</v>
      </c>
      <c r="ES55">
        <v>0</v>
      </c>
      <c r="ET55">
        <v>0</v>
      </c>
      <c r="EU55">
        <v>0</v>
      </c>
      <c r="EV55">
        <v>0</v>
      </c>
      <c r="EW55">
        <v>0</v>
      </c>
      <c r="EX55">
        <v>0</v>
      </c>
      <c r="EY55">
        <v>0</v>
      </c>
      <c r="EZ55">
        <v>0</v>
      </c>
      <c r="FA55">
        <v>0</v>
      </c>
      <c r="FB55">
        <v>0</v>
      </c>
      <c r="FD55">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row>
    <row r="56" spans="1:166">
      <c r="A56" t="s">
        <v>202</v>
      </c>
      <c r="B56" t="s">
        <v>202</v>
      </c>
      <c r="C56">
        <v>0</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c r="CP56">
        <v>0</v>
      </c>
      <c r="CQ56">
        <v>0</v>
      </c>
      <c r="CR56">
        <v>0</v>
      </c>
      <c r="CS56">
        <v>0</v>
      </c>
      <c r="CT56">
        <v>0</v>
      </c>
      <c r="CU56">
        <v>0</v>
      </c>
      <c r="CV56">
        <v>0</v>
      </c>
      <c r="CW56">
        <v>0</v>
      </c>
      <c r="CX56">
        <v>0</v>
      </c>
      <c r="CY56">
        <v>0</v>
      </c>
      <c r="CZ56">
        <v>0</v>
      </c>
      <c r="DA56">
        <v>0</v>
      </c>
      <c r="DB56">
        <v>0</v>
      </c>
      <c r="DC56">
        <v>0</v>
      </c>
      <c r="DD56">
        <v>0</v>
      </c>
      <c r="DE56">
        <v>0</v>
      </c>
      <c r="DF56">
        <v>0</v>
      </c>
      <c r="DG56">
        <v>0</v>
      </c>
      <c r="DH56">
        <v>0</v>
      </c>
      <c r="DI56">
        <v>0</v>
      </c>
      <c r="DJ56">
        <v>0</v>
      </c>
      <c r="DK56">
        <v>0</v>
      </c>
      <c r="DL56">
        <v>0</v>
      </c>
      <c r="DM56">
        <v>0</v>
      </c>
      <c r="DN56">
        <v>0</v>
      </c>
      <c r="DO56">
        <v>0</v>
      </c>
      <c r="DP56">
        <v>0</v>
      </c>
      <c r="DQ56">
        <v>0</v>
      </c>
      <c r="DR56">
        <v>0</v>
      </c>
      <c r="DS56">
        <v>0</v>
      </c>
      <c r="DT56">
        <v>0</v>
      </c>
      <c r="DU56">
        <v>0</v>
      </c>
      <c r="DV56">
        <v>0</v>
      </c>
      <c r="DW56">
        <v>0</v>
      </c>
      <c r="DX56">
        <v>0</v>
      </c>
      <c r="DY56">
        <v>0</v>
      </c>
      <c r="DZ56">
        <v>0</v>
      </c>
      <c r="EA56">
        <v>0</v>
      </c>
      <c r="EB56">
        <v>0</v>
      </c>
      <c r="EC56">
        <v>0</v>
      </c>
      <c r="ED56">
        <v>0</v>
      </c>
      <c r="EE56">
        <v>0</v>
      </c>
      <c r="EF56">
        <v>0</v>
      </c>
      <c r="EG56">
        <v>0</v>
      </c>
      <c r="EH56">
        <v>0</v>
      </c>
      <c r="EI56">
        <v>0</v>
      </c>
      <c r="EJ56">
        <v>0</v>
      </c>
      <c r="EK56">
        <v>0</v>
      </c>
      <c r="EL56">
        <v>0</v>
      </c>
      <c r="EM56">
        <v>0</v>
      </c>
      <c r="EN56">
        <v>0</v>
      </c>
      <c r="EO56">
        <v>0</v>
      </c>
      <c r="EP56">
        <v>0</v>
      </c>
      <c r="EQ56">
        <v>0</v>
      </c>
      <c r="ER56">
        <v>0</v>
      </c>
      <c r="ES56">
        <v>0</v>
      </c>
      <c r="ET56">
        <v>0</v>
      </c>
      <c r="EU56">
        <v>0</v>
      </c>
      <c r="EV56">
        <v>0</v>
      </c>
      <c r="EW56">
        <v>0</v>
      </c>
      <c r="EX56">
        <v>0</v>
      </c>
      <c r="EY56">
        <v>0</v>
      </c>
      <c r="EZ56">
        <v>0</v>
      </c>
      <c r="FA56">
        <v>0</v>
      </c>
      <c r="FB56">
        <v>0</v>
      </c>
      <c r="FD56">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row>
    <row r="57" spans="1:166">
      <c r="A57" t="s">
        <v>829</v>
      </c>
      <c r="B57" t="s">
        <v>829</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0</v>
      </c>
      <c r="CX57">
        <v>0</v>
      </c>
      <c r="CY57">
        <v>0</v>
      </c>
      <c r="CZ57">
        <v>0</v>
      </c>
      <c r="DA57">
        <v>0</v>
      </c>
      <c r="DB57">
        <v>0</v>
      </c>
      <c r="DC57">
        <v>0</v>
      </c>
      <c r="DD57">
        <v>0</v>
      </c>
      <c r="DE57">
        <v>0</v>
      </c>
      <c r="DF57">
        <v>0</v>
      </c>
      <c r="DG57">
        <v>0</v>
      </c>
      <c r="DH57">
        <v>0</v>
      </c>
      <c r="DI57">
        <v>0</v>
      </c>
      <c r="DJ57">
        <v>0</v>
      </c>
      <c r="DK57">
        <v>0</v>
      </c>
      <c r="DL57">
        <v>0</v>
      </c>
      <c r="DM57">
        <v>0</v>
      </c>
      <c r="DN57">
        <v>0</v>
      </c>
      <c r="DO57">
        <v>0</v>
      </c>
      <c r="DP57">
        <v>0</v>
      </c>
      <c r="DQ57">
        <v>0</v>
      </c>
      <c r="DR57">
        <v>0</v>
      </c>
      <c r="DS57">
        <v>0</v>
      </c>
      <c r="DT57">
        <v>0</v>
      </c>
      <c r="DU57">
        <v>0</v>
      </c>
      <c r="DV57">
        <v>0</v>
      </c>
      <c r="DW57">
        <v>0</v>
      </c>
      <c r="DX57">
        <v>0</v>
      </c>
      <c r="DY57">
        <v>0</v>
      </c>
      <c r="DZ57">
        <v>0</v>
      </c>
      <c r="EA57">
        <v>0</v>
      </c>
      <c r="EB57">
        <v>0</v>
      </c>
      <c r="EC57">
        <v>0</v>
      </c>
      <c r="ED57">
        <v>0</v>
      </c>
      <c r="EE57">
        <v>0</v>
      </c>
      <c r="EF57">
        <v>0</v>
      </c>
      <c r="EG57">
        <v>0</v>
      </c>
      <c r="EH57">
        <v>0</v>
      </c>
      <c r="EI57">
        <v>0</v>
      </c>
      <c r="EJ57">
        <v>0</v>
      </c>
      <c r="EK57">
        <v>0</v>
      </c>
      <c r="EL57">
        <v>0</v>
      </c>
      <c r="EM57">
        <v>0</v>
      </c>
      <c r="EN57">
        <v>0</v>
      </c>
      <c r="EO57">
        <v>0</v>
      </c>
      <c r="EP57">
        <v>0</v>
      </c>
      <c r="EQ57">
        <v>0</v>
      </c>
      <c r="ER57">
        <v>0</v>
      </c>
      <c r="ES57">
        <v>0</v>
      </c>
      <c r="ET57">
        <v>0</v>
      </c>
      <c r="EU57">
        <v>0</v>
      </c>
      <c r="EV57">
        <v>0</v>
      </c>
      <c r="EW57">
        <v>0</v>
      </c>
      <c r="EX57">
        <v>0</v>
      </c>
      <c r="EY57">
        <v>0</v>
      </c>
      <c r="EZ57">
        <v>0</v>
      </c>
      <c r="FA57">
        <v>0</v>
      </c>
      <c r="FB57">
        <v>0</v>
      </c>
      <c r="FD57">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row>
    <row r="58" spans="1:166">
      <c r="A58" t="s">
        <v>186</v>
      </c>
      <c r="B58" t="s">
        <v>186</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c r="DI58">
        <v>0</v>
      </c>
      <c r="DJ58">
        <v>0</v>
      </c>
      <c r="DK58">
        <v>0</v>
      </c>
      <c r="DL58">
        <v>0</v>
      </c>
      <c r="DM58">
        <v>0</v>
      </c>
      <c r="DN58">
        <v>0</v>
      </c>
      <c r="DO58">
        <v>0</v>
      </c>
      <c r="DP58">
        <v>0</v>
      </c>
      <c r="DQ58">
        <v>0</v>
      </c>
      <c r="DR58">
        <v>0</v>
      </c>
      <c r="DS58">
        <v>0</v>
      </c>
      <c r="DT58">
        <v>0</v>
      </c>
      <c r="DU58">
        <v>0</v>
      </c>
      <c r="DV58">
        <v>0</v>
      </c>
      <c r="DW58">
        <v>0</v>
      </c>
      <c r="DX58">
        <v>0</v>
      </c>
      <c r="DY58">
        <v>0</v>
      </c>
      <c r="DZ58">
        <v>0</v>
      </c>
      <c r="EA58">
        <v>0</v>
      </c>
      <c r="EB58">
        <v>0</v>
      </c>
      <c r="EC58">
        <v>0</v>
      </c>
      <c r="ED58">
        <v>0</v>
      </c>
      <c r="EE58">
        <v>0</v>
      </c>
      <c r="EF58">
        <v>0</v>
      </c>
      <c r="EG58">
        <v>0</v>
      </c>
      <c r="EH58">
        <v>0</v>
      </c>
      <c r="EI58">
        <v>0</v>
      </c>
      <c r="EJ58">
        <v>0</v>
      </c>
      <c r="EK58">
        <v>0</v>
      </c>
      <c r="EL58">
        <v>0</v>
      </c>
      <c r="EM58">
        <v>0</v>
      </c>
      <c r="EN58">
        <v>0</v>
      </c>
      <c r="EO58">
        <v>0</v>
      </c>
      <c r="EP58">
        <v>0</v>
      </c>
      <c r="EQ58">
        <v>0</v>
      </c>
      <c r="ER58">
        <v>0</v>
      </c>
      <c r="ES58">
        <v>0</v>
      </c>
      <c r="ET58">
        <v>0</v>
      </c>
      <c r="EU58" s="37">
        <v>0</v>
      </c>
      <c r="EV58" s="37">
        <v>0</v>
      </c>
      <c r="EW58" s="37">
        <v>0</v>
      </c>
      <c r="EX58" s="37">
        <v>0</v>
      </c>
      <c r="EY58" s="37">
        <v>0</v>
      </c>
      <c r="EZ58" s="37">
        <v>0</v>
      </c>
      <c r="FA58" s="37">
        <v>0</v>
      </c>
      <c r="FB58" s="37">
        <v>0</v>
      </c>
      <c r="FD58">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row>
    <row r="59" spans="1:166">
      <c r="A59" t="s">
        <v>464</v>
      </c>
      <c r="B59" t="s">
        <v>464</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1068780</v>
      </c>
      <c r="AF59">
        <v>955136</v>
      </c>
      <c r="AG59">
        <v>0</v>
      </c>
      <c r="AH59">
        <v>0</v>
      </c>
      <c r="AI59">
        <v>0</v>
      </c>
      <c r="AJ59">
        <v>0</v>
      </c>
      <c r="AK59">
        <v>0</v>
      </c>
      <c r="AL59">
        <v>0</v>
      </c>
      <c r="AM59">
        <v>0</v>
      </c>
      <c r="AN59">
        <v>0</v>
      </c>
      <c r="AO59">
        <v>0</v>
      </c>
      <c r="AP59">
        <v>0</v>
      </c>
      <c r="AQ59">
        <v>0</v>
      </c>
      <c r="AR59">
        <v>0</v>
      </c>
      <c r="AS59">
        <v>0</v>
      </c>
      <c r="AT59">
        <v>0</v>
      </c>
      <c r="AU59">
        <v>0</v>
      </c>
      <c r="AV59">
        <v>0</v>
      </c>
      <c r="AW59">
        <v>1068755</v>
      </c>
      <c r="AX59">
        <v>824853</v>
      </c>
      <c r="AY59">
        <v>0</v>
      </c>
      <c r="AZ59">
        <v>0</v>
      </c>
      <c r="BA59">
        <v>0</v>
      </c>
      <c r="BB59">
        <v>0</v>
      </c>
      <c r="BC59">
        <v>0</v>
      </c>
      <c r="BD59">
        <v>0</v>
      </c>
      <c r="BE59">
        <v>0</v>
      </c>
      <c r="BF59">
        <v>0</v>
      </c>
      <c r="BG59">
        <v>0</v>
      </c>
      <c r="BH59">
        <v>0</v>
      </c>
      <c r="BI59">
        <v>0</v>
      </c>
      <c r="BJ59">
        <v>0</v>
      </c>
      <c r="BK59">
        <v>0</v>
      </c>
      <c r="BL59">
        <v>0</v>
      </c>
      <c r="BM59">
        <v>0</v>
      </c>
      <c r="BN59">
        <v>0</v>
      </c>
      <c r="BO59">
        <v>0</v>
      </c>
      <c r="BP59">
        <v>0</v>
      </c>
      <c r="BQ59">
        <v>0</v>
      </c>
      <c r="BR59">
        <v>70819</v>
      </c>
      <c r="BS59">
        <v>70466</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v>
      </c>
      <c r="DF59">
        <v>0</v>
      </c>
      <c r="DG59">
        <v>0</v>
      </c>
      <c r="DH59">
        <v>0</v>
      </c>
      <c r="DI59">
        <v>0</v>
      </c>
      <c r="DJ59">
        <v>0</v>
      </c>
      <c r="DK59">
        <v>0</v>
      </c>
      <c r="DL59">
        <v>0</v>
      </c>
      <c r="DM59">
        <v>0</v>
      </c>
      <c r="DN59">
        <v>0</v>
      </c>
      <c r="DO59">
        <v>0</v>
      </c>
      <c r="DP59">
        <v>0</v>
      </c>
      <c r="DQ59">
        <v>0</v>
      </c>
      <c r="DR59">
        <v>0</v>
      </c>
      <c r="DS59">
        <v>0</v>
      </c>
      <c r="DT59">
        <v>0</v>
      </c>
      <c r="DU59">
        <v>0</v>
      </c>
      <c r="DV59">
        <v>0</v>
      </c>
      <c r="DW59">
        <v>0</v>
      </c>
      <c r="DX59">
        <v>0</v>
      </c>
      <c r="DY59">
        <v>0</v>
      </c>
      <c r="DZ59">
        <v>62643</v>
      </c>
      <c r="EA59">
        <v>63233</v>
      </c>
      <c r="EB59">
        <v>0</v>
      </c>
      <c r="EC59">
        <v>0</v>
      </c>
      <c r="ED59">
        <v>0</v>
      </c>
      <c r="EE59">
        <v>0</v>
      </c>
      <c r="EF59">
        <v>0</v>
      </c>
      <c r="EG59">
        <v>0</v>
      </c>
      <c r="EH59">
        <v>0</v>
      </c>
      <c r="EI59">
        <v>0</v>
      </c>
      <c r="EJ59">
        <v>0</v>
      </c>
      <c r="EK59">
        <v>0</v>
      </c>
      <c r="EL59">
        <v>0</v>
      </c>
      <c r="EM59">
        <v>0</v>
      </c>
      <c r="EN59">
        <v>0</v>
      </c>
      <c r="EO59">
        <v>0</v>
      </c>
      <c r="EP59">
        <v>0</v>
      </c>
      <c r="EQ59">
        <v>0</v>
      </c>
      <c r="ER59">
        <v>0</v>
      </c>
      <c r="ES59">
        <v>0</v>
      </c>
      <c r="ET59">
        <v>0</v>
      </c>
      <c r="EU59">
        <v>0</v>
      </c>
      <c r="EV59">
        <v>0</v>
      </c>
      <c r="EW59">
        <v>0</v>
      </c>
      <c r="EX59">
        <v>0</v>
      </c>
      <c r="EY59">
        <v>0</v>
      </c>
      <c r="EZ59">
        <v>0</v>
      </c>
      <c r="FA59">
        <v>0</v>
      </c>
      <c r="FB59">
        <v>0</v>
      </c>
      <c r="FD59">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1913688</v>
      </c>
    </row>
    <row r="60" spans="1:166">
      <c r="A60" t="s">
        <v>845</v>
      </c>
      <c r="B60" t="s">
        <v>845</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865826</v>
      </c>
      <c r="AF60">
        <v>789235</v>
      </c>
      <c r="AG60">
        <v>0</v>
      </c>
      <c r="AH60">
        <v>0</v>
      </c>
      <c r="AI60">
        <v>0</v>
      </c>
      <c r="AJ60">
        <v>0</v>
      </c>
      <c r="AK60">
        <v>0</v>
      </c>
      <c r="AL60">
        <v>0</v>
      </c>
      <c r="AM60">
        <v>0</v>
      </c>
      <c r="AN60">
        <v>0</v>
      </c>
      <c r="AO60">
        <v>0</v>
      </c>
      <c r="AP60">
        <v>0</v>
      </c>
      <c r="AQ60">
        <v>0</v>
      </c>
      <c r="AR60" s="128">
        <v>0</v>
      </c>
      <c r="AS60">
        <v>0</v>
      </c>
      <c r="AT60">
        <v>0</v>
      </c>
      <c r="AU60">
        <v>0</v>
      </c>
      <c r="AV60">
        <v>0</v>
      </c>
      <c r="AW60">
        <v>481781</v>
      </c>
      <c r="AX60">
        <v>238126</v>
      </c>
      <c r="AY60">
        <v>0</v>
      </c>
      <c r="AZ60">
        <v>0</v>
      </c>
      <c r="BA60">
        <v>0</v>
      </c>
      <c r="BB60">
        <v>0</v>
      </c>
      <c r="BC60">
        <v>0</v>
      </c>
      <c r="BD60">
        <v>0</v>
      </c>
      <c r="BE60">
        <v>0</v>
      </c>
      <c r="BF60">
        <v>0</v>
      </c>
      <c r="BG60">
        <v>0</v>
      </c>
      <c r="BH60">
        <v>0</v>
      </c>
      <c r="BI60">
        <v>0</v>
      </c>
      <c r="BJ60">
        <v>0</v>
      </c>
      <c r="BK60">
        <v>0</v>
      </c>
      <c r="BL60">
        <v>0</v>
      </c>
      <c r="BM60">
        <v>0</v>
      </c>
      <c r="BN60">
        <v>0</v>
      </c>
      <c r="BO60">
        <v>0</v>
      </c>
      <c r="BP60">
        <v>0</v>
      </c>
      <c r="BQ60">
        <v>0</v>
      </c>
      <c r="BR60">
        <v>49730</v>
      </c>
      <c r="BS60">
        <v>37779</v>
      </c>
      <c r="BT60">
        <v>0</v>
      </c>
      <c r="BU60">
        <v>0</v>
      </c>
      <c r="BV60">
        <v>0</v>
      </c>
      <c r="BW60">
        <v>0</v>
      </c>
      <c r="BX60">
        <v>0</v>
      </c>
      <c r="BY60">
        <v>0</v>
      </c>
      <c r="BZ60">
        <v>0</v>
      </c>
      <c r="CA60">
        <v>0</v>
      </c>
      <c r="CB60">
        <v>0</v>
      </c>
      <c r="CC60">
        <v>0</v>
      </c>
      <c r="CD60">
        <v>0</v>
      </c>
      <c r="CE60">
        <v>0</v>
      </c>
      <c r="CF60">
        <v>0</v>
      </c>
      <c r="CG60">
        <v>7000</v>
      </c>
      <c r="CH60">
        <v>0</v>
      </c>
      <c r="CI60">
        <v>0</v>
      </c>
      <c r="CJ60">
        <v>132507</v>
      </c>
      <c r="CK60">
        <v>73060</v>
      </c>
      <c r="CL60">
        <v>0</v>
      </c>
      <c r="CM60">
        <v>102160</v>
      </c>
      <c r="CN60">
        <v>103446</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3413130</v>
      </c>
      <c r="DL60">
        <v>2020387</v>
      </c>
      <c r="DM60">
        <v>0</v>
      </c>
      <c r="DN60">
        <v>0</v>
      </c>
      <c r="DO60">
        <v>0</v>
      </c>
      <c r="DP60">
        <v>0</v>
      </c>
      <c r="DQ60">
        <v>0</v>
      </c>
      <c r="DR60">
        <v>0</v>
      </c>
      <c r="DS60">
        <v>0</v>
      </c>
      <c r="DT60">
        <v>0</v>
      </c>
      <c r="DU60">
        <v>0</v>
      </c>
      <c r="DV60">
        <v>0</v>
      </c>
      <c r="DW60">
        <v>0</v>
      </c>
      <c r="DX60">
        <v>0</v>
      </c>
      <c r="DY60">
        <v>0</v>
      </c>
      <c r="DZ60">
        <v>194800</v>
      </c>
      <c r="EA60">
        <v>186323</v>
      </c>
      <c r="EB60">
        <v>0</v>
      </c>
      <c r="EC60">
        <v>0</v>
      </c>
      <c r="ED60">
        <v>0</v>
      </c>
      <c r="EE60">
        <v>0</v>
      </c>
      <c r="EF60">
        <v>0</v>
      </c>
      <c r="EG60">
        <v>0</v>
      </c>
      <c r="EH60">
        <v>0</v>
      </c>
      <c r="EI60">
        <v>0</v>
      </c>
      <c r="EJ60">
        <v>0</v>
      </c>
      <c r="EK60">
        <v>0</v>
      </c>
      <c r="EL60">
        <v>0</v>
      </c>
      <c r="EM60">
        <v>0</v>
      </c>
      <c r="EN60">
        <v>0</v>
      </c>
      <c r="EO60">
        <v>0</v>
      </c>
      <c r="EP60">
        <v>0</v>
      </c>
      <c r="EQ60">
        <v>0</v>
      </c>
      <c r="ER60">
        <v>0</v>
      </c>
      <c r="ES60">
        <v>0</v>
      </c>
      <c r="ET60">
        <v>0</v>
      </c>
      <c r="EU60">
        <v>1701352</v>
      </c>
      <c r="EV60">
        <v>1701352</v>
      </c>
      <c r="EW60">
        <v>1251274</v>
      </c>
      <c r="EX60">
        <v>0</v>
      </c>
      <c r="EY60">
        <v>0</v>
      </c>
      <c r="EZ60">
        <v>0</v>
      </c>
      <c r="FA60">
        <v>0</v>
      </c>
      <c r="FB60">
        <v>0</v>
      </c>
      <c r="FD60">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4699630</v>
      </c>
    </row>
    <row r="61" spans="1:166">
      <c r="A61" t="s">
        <v>960</v>
      </c>
      <c r="B61" t="s">
        <v>960</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0</v>
      </c>
      <c r="CV61">
        <v>0</v>
      </c>
      <c r="CW61">
        <v>0</v>
      </c>
      <c r="CX61">
        <v>0</v>
      </c>
      <c r="CY61">
        <v>0</v>
      </c>
      <c r="CZ61">
        <v>0</v>
      </c>
      <c r="DA61">
        <v>0</v>
      </c>
      <c r="DB61">
        <v>0</v>
      </c>
      <c r="DC61">
        <v>0</v>
      </c>
      <c r="DD61">
        <v>0</v>
      </c>
      <c r="DE61">
        <v>0</v>
      </c>
      <c r="DF61">
        <v>0</v>
      </c>
      <c r="DG61">
        <v>0</v>
      </c>
      <c r="DH61">
        <v>0</v>
      </c>
      <c r="DI61">
        <v>0</v>
      </c>
      <c r="DJ61">
        <v>0</v>
      </c>
      <c r="DK61">
        <v>0</v>
      </c>
      <c r="DL61">
        <v>0</v>
      </c>
      <c r="DM61">
        <v>0</v>
      </c>
      <c r="DN61">
        <v>0</v>
      </c>
      <c r="DO61">
        <v>0</v>
      </c>
      <c r="DP61">
        <v>0</v>
      </c>
      <c r="DQ61">
        <v>0</v>
      </c>
      <c r="DR61">
        <v>0</v>
      </c>
      <c r="DS61">
        <v>0</v>
      </c>
      <c r="DT61">
        <v>0</v>
      </c>
      <c r="DU61">
        <v>0</v>
      </c>
      <c r="DV61">
        <v>0</v>
      </c>
      <c r="DW61">
        <v>0</v>
      </c>
      <c r="DX61">
        <v>0</v>
      </c>
      <c r="DY61">
        <v>0</v>
      </c>
      <c r="DZ61">
        <v>0</v>
      </c>
      <c r="EA61">
        <v>0</v>
      </c>
      <c r="EB61">
        <v>0</v>
      </c>
      <c r="EC61">
        <v>0</v>
      </c>
      <c r="ED61">
        <v>0</v>
      </c>
      <c r="EE61">
        <v>0</v>
      </c>
      <c r="EF61">
        <v>0</v>
      </c>
      <c r="EG61">
        <v>0</v>
      </c>
      <c r="EH61">
        <v>0</v>
      </c>
      <c r="EI61">
        <v>0</v>
      </c>
      <c r="EJ61">
        <v>0</v>
      </c>
      <c r="EK61">
        <v>0</v>
      </c>
      <c r="EL61">
        <v>0</v>
      </c>
      <c r="EM61">
        <v>0</v>
      </c>
      <c r="EN61">
        <v>0</v>
      </c>
      <c r="EO61">
        <v>0</v>
      </c>
      <c r="EP61">
        <v>0</v>
      </c>
      <c r="EQ61">
        <v>0</v>
      </c>
      <c r="ER61">
        <v>0</v>
      </c>
      <c r="ES61">
        <v>0</v>
      </c>
      <c r="ET61">
        <v>0</v>
      </c>
      <c r="EU61">
        <v>0</v>
      </c>
      <c r="EV61">
        <v>0</v>
      </c>
      <c r="EW61">
        <v>0</v>
      </c>
      <c r="EX61">
        <v>0</v>
      </c>
      <c r="EY61">
        <v>0</v>
      </c>
      <c r="EZ61">
        <v>0</v>
      </c>
      <c r="FA61">
        <v>0</v>
      </c>
      <c r="FB61">
        <v>0</v>
      </c>
      <c r="FD61">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row>
    <row r="62" spans="1:166">
      <c r="A62" t="s">
        <v>464</v>
      </c>
      <c r="B62" t="s">
        <v>464</v>
      </c>
      <c r="C62">
        <v>9859498</v>
      </c>
      <c r="D62">
        <v>9859498</v>
      </c>
      <c r="E62">
        <v>9005686</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154437</v>
      </c>
      <c r="AF62">
        <v>154563</v>
      </c>
      <c r="AG62">
        <v>0</v>
      </c>
      <c r="AH62">
        <v>1500</v>
      </c>
      <c r="AI62">
        <v>658</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159460</v>
      </c>
      <c r="BM62">
        <v>132924</v>
      </c>
      <c r="BN62">
        <v>0</v>
      </c>
      <c r="BO62">
        <v>0</v>
      </c>
      <c r="BP62">
        <v>0</v>
      </c>
      <c r="BQ62">
        <v>0</v>
      </c>
      <c r="BR62">
        <v>0</v>
      </c>
      <c r="BS62">
        <v>0</v>
      </c>
      <c r="BT62">
        <v>0</v>
      </c>
      <c r="BU62">
        <v>3381677</v>
      </c>
      <c r="BV62">
        <v>3299391</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v>0</v>
      </c>
      <c r="DC62">
        <v>0</v>
      </c>
      <c r="DD62">
        <v>0</v>
      </c>
      <c r="DE62">
        <v>0</v>
      </c>
      <c r="DF62">
        <v>0</v>
      </c>
      <c r="DG62">
        <v>0</v>
      </c>
      <c r="DH62">
        <v>0</v>
      </c>
      <c r="DI62">
        <v>0</v>
      </c>
      <c r="DJ62">
        <v>0</v>
      </c>
      <c r="DK62">
        <v>0</v>
      </c>
      <c r="DL62">
        <v>0</v>
      </c>
      <c r="DM62">
        <v>0</v>
      </c>
      <c r="DN62">
        <v>0</v>
      </c>
      <c r="DO62">
        <v>0</v>
      </c>
      <c r="DP62">
        <v>0</v>
      </c>
      <c r="DQ62">
        <v>0</v>
      </c>
      <c r="DR62">
        <v>0</v>
      </c>
      <c r="DS62">
        <v>0</v>
      </c>
      <c r="DT62">
        <v>0</v>
      </c>
      <c r="DU62">
        <v>0</v>
      </c>
      <c r="DV62">
        <v>0</v>
      </c>
      <c r="DW62">
        <v>0</v>
      </c>
      <c r="DX62">
        <v>0</v>
      </c>
      <c r="DY62">
        <v>0</v>
      </c>
      <c r="DZ62">
        <v>0</v>
      </c>
      <c r="EA62" s="158">
        <v>0</v>
      </c>
      <c r="EB62">
        <v>0</v>
      </c>
      <c r="EC62">
        <v>31736</v>
      </c>
      <c r="ED62">
        <v>22045</v>
      </c>
      <c r="EE62">
        <v>0</v>
      </c>
      <c r="EF62">
        <v>0</v>
      </c>
      <c r="EG62">
        <v>0</v>
      </c>
      <c r="EH62">
        <v>0</v>
      </c>
      <c r="EI62">
        <v>0</v>
      </c>
      <c r="EJ62">
        <v>0</v>
      </c>
      <c r="EK62">
        <v>0</v>
      </c>
      <c r="EL62">
        <v>0</v>
      </c>
      <c r="EM62">
        <v>0</v>
      </c>
      <c r="EN62">
        <v>0</v>
      </c>
      <c r="EO62">
        <v>0</v>
      </c>
      <c r="EP62">
        <v>0</v>
      </c>
      <c r="EQ62">
        <v>0</v>
      </c>
      <c r="ER62">
        <v>0</v>
      </c>
      <c r="ES62">
        <v>0</v>
      </c>
      <c r="ET62">
        <v>0</v>
      </c>
      <c r="EU62">
        <v>86269</v>
      </c>
      <c r="EV62">
        <v>86269</v>
      </c>
      <c r="EW62">
        <v>84729</v>
      </c>
      <c r="EX62">
        <v>0</v>
      </c>
      <c r="EY62">
        <v>0</v>
      </c>
      <c r="EZ62">
        <v>0</v>
      </c>
      <c r="FA62">
        <v>0</v>
      </c>
      <c r="FB62">
        <v>0</v>
      </c>
      <c r="FD62">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12699996</v>
      </c>
    </row>
    <row r="63" spans="1:166">
      <c r="A63" t="s">
        <v>846</v>
      </c>
      <c r="B63" t="s">
        <v>846</v>
      </c>
      <c r="C63">
        <v>4496599</v>
      </c>
      <c r="D63">
        <v>4496599</v>
      </c>
      <c r="E63">
        <v>4320386</v>
      </c>
      <c r="F63">
        <v>0</v>
      </c>
      <c r="G63">
        <v>0</v>
      </c>
      <c r="H63">
        <v>0</v>
      </c>
      <c r="I63">
        <v>0</v>
      </c>
      <c r="J63">
        <v>0</v>
      </c>
      <c r="K63">
        <v>0</v>
      </c>
      <c r="L63">
        <v>0</v>
      </c>
      <c r="M63">
        <v>0</v>
      </c>
      <c r="N63">
        <v>0</v>
      </c>
      <c r="O63">
        <v>0</v>
      </c>
      <c r="P63">
        <v>0</v>
      </c>
      <c r="Q63">
        <v>0</v>
      </c>
      <c r="R63">
        <v>0</v>
      </c>
      <c r="S63">
        <v>591550</v>
      </c>
      <c r="T63" s="211">
        <f>253751+4500-4635</f>
        <v>253616</v>
      </c>
      <c r="U63">
        <v>0</v>
      </c>
      <c r="V63">
        <v>0</v>
      </c>
      <c r="W63">
        <v>0</v>
      </c>
      <c r="X63">
        <v>0</v>
      </c>
      <c r="Y63">
        <v>0</v>
      </c>
      <c r="Z63">
        <v>0</v>
      </c>
      <c r="AA63">
        <v>0</v>
      </c>
      <c r="AB63">
        <v>0</v>
      </c>
      <c r="AC63">
        <v>0</v>
      </c>
      <c r="AD63">
        <v>0</v>
      </c>
      <c r="AE63">
        <v>103060</v>
      </c>
      <c r="AF63">
        <v>212201</v>
      </c>
      <c r="AG63">
        <v>0</v>
      </c>
      <c r="AH63">
        <v>119620</v>
      </c>
      <c r="AI63">
        <v>101303</v>
      </c>
      <c r="AJ63">
        <v>0</v>
      </c>
      <c r="AK63">
        <v>0</v>
      </c>
      <c r="AL63">
        <v>0</v>
      </c>
      <c r="AM63">
        <v>0</v>
      </c>
      <c r="AN63">
        <v>0</v>
      </c>
      <c r="AO63">
        <v>0</v>
      </c>
      <c r="AP63">
        <v>0</v>
      </c>
      <c r="AQ63">
        <v>0</v>
      </c>
      <c r="AR63">
        <v>0</v>
      </c>
      <c r="AS63">
        <v>0</v>
      </c>
      <c r="AT63">
        <v>0</v>
      </c>
      <c r="AU63">
        <v>0</v>
      </c>
      <c r="AV63">
        <v>0</v>
      </c>
      <c r="AW63">
        <v>0</v>
      </c>
      <c r="AX63">
        <v>0</v>
      </c>
      <c r="AY63">
        <v>0</v>
      </c>
      <c r="AZ63">
        <v>0</v>
      </c>
      <c r="BA63" s="73">
        <v>0</v>
      </c>
      <c r="BB63">
        <v>0</v>
      </c>
      <c r="BC63">
        <v>0</v>
      </c>
      <c r="BD63">
        <v>0</v>
      </c>
      <c r="BE63">
        <v>0</v>
      </c>
      <c r="BF63">
        <v>0</v>
      </c>
      <c r="BG63">
        <v>0</v>
      </c>
      <c r="BH63">
        <v>0</v>
      </c>
      <c r="BI63">
        <v>0</v>
      </c>
      <c r="BJ63">
        <v>0</v>
      </c>
      <c r="BK63">
        <v>0</v>
      </c>
      <c r="BL63">
        <v>178353</v>
      </c>
      <c r="BM63" s="211">
        <f>169550-166-1</f>
        <v>169383</v>
      </c>
      <c r="BN63">
        <v>0</v>
      </c>
      <c r="BO63">
        <v>325442</v>
      </c>
      <c r="BP63">
        <v>296998</v>
      </c>
      <c r="BQ63">
        <v>0</v>
      </c>
      <c r="BR63">
        <v>0</v>
      </c>
      <c r="BS63">
        <v>0</v>
      </c>
      <c r="BT63">
        <v>0</v>
      </c>
      <c r="BU63">
        <v>1319311</v>
      </c>
      <c r="BV63">
        <v>1112833</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c r="CU63">
        <v>0</v>
      </c>
      <c r="CV63">
        <v>0</v>
      </c>
      <c r="CW63">
        <v>0</v>
      </c>
      <c r="CX63">
        <v>0</v>
      </c>
      <c r="CY63">
        <v>0</v>
      </c>
      <c r="CZ63">
        <v>0</v>
      </c>
      <c r="DA63">
        <v>0</v>
      </c>
      <c r="DB63">
        <v>0</v>
      </c>
      <c r="DC63">
        <v>0</v>
      </c>
      <c r="DD63">
        <v>0</v>
      </c>
      <c r="DE63">
        <v>0</v>
      </c>
      <c r="DF63">
        <v>0</v>
      </c>
      <c r="DG63">
        <v>0</v>
      </c>
      <c r="DH63">
        <v>0</v>
      </c>
      <c r="DI63">
        <v>0</v>
      </c>
      <c r="DJ63">
        <v>0</v>
      </c>
      <c r="DK63">
        <v>0</v>
      </c>
      <c r="DL63">
        <v>0</v>
      </c>
      <c r="DM63">
        <v>0</v>
      </c>
      <c r="DN63">
        <v>0</v>
      </c>
      <c r="DO63">
        <v>0</v>
      </c>
      <c r="DP63">
        <v>0</v>
      </c>
      <c r="DQ63">
        <v>0</v>
      </c>
      <c r="DR63">
        <v>0</v>
      </c>
      <c r="DS63">
        <v>0</v>
      </c>
      <c r="DT63">
        <v>0</v>
      </c>
      <c r="DU63">
        <v>0</v>
      </c>
      <c r="DV63">
        <v>0</v>
      </c>
      <c r="DW63">
        <v>0</v>
      </c>
      <c r="DX63">
        <v>0</v>
      </c>
      <c r="DY63">
        <v>0</v>
      </c>
      <c r="DZ63">
        <v>0</v>
      </c>
      <c r="EA63">
        <v>0</v>
      </c>
      <c r="EB63">
        <v>0</v>
      </c>
      <c r="EC63">
        <v>0</v>
      </c>
      <c r="ED63">
        <v>0</v>
      </c>
      <c r="EE63">
        <v>0</v>
      </c>
      <c r="EF63">
        <v>0</v>
      </c>
      <c r="EG63">
        <v>0</v>
      </c>
      <c r="EH63">
        <v>0</v>
      </c>
      <c r="EI63">
        <v>100000</v>
      </c>
      <c r="EJ63">
        <v>50045</v>
      </c>
      <c r="EK63">
        <v>0</v>
      </c>
      <c r="EL63">
        <v>0</v>
      </c>
      <c r="EM63">
        <v>0</v>
      </c>
      <c r="EN63">
        <v>0</v>
      </c>
      <c r="EO63">
        <v>0</v>
      </c>
      <c r="EP63">
        <v>0</v>
      </c>
      <c r="EQ63">
        <v>0</v>
      </c>
      <c r="ER63">
        <v>87008</v>
      </c>
      <c r="ES63">
        <v>87008</v>
      </c>
      <c r="ET63">
        <v>0</v>
      </c>
      <c r="EU63">
        <v>13700624</v>
      </c>
      <c r="EV63">
        <v>13700624</v>
      </c>
      <c r="EW63">
        <v>709837</v>
      </c>
      <c r="EX63">
        <v>0</v>
      </c>
      <c r="EY63">
        <v>0</v>
      </c>
      <c r="EZ63">
        <v>0</v>
      </c>
      <c r="FA63">
        <v>0</v>
      </c>
      <c r="FB63">
        <v>0</v>
      </c>
      <c r="FD63">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7313610</v>
      </c>
    </row>
    <row r="64" spans="1:166">
      <c r="A64" t="s">
        <v>847</v>
      </c>
      <c r="B64" t="s">
        <v>847</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c r="ED64">
        <v>0</v>
      </c>
      <c r="EE64">
        <v>0</v>
      </c>
      <c r="EF64">
        <v>0</v>
      </c>
      <c r="EG64">
        <v>0</v>
      </c>
      <c r="EH64">
        <v>0</v>
      </c>
      <c r="EI64">
        <v>0</v>
      </c>
      <c r="EJ64">
        <v>0</v>
      </c>
      <c r="EK64">
        <v>0</v>
      </c>
      <c r="EL64">
        <v>0</v>
      </c>
      <c r="EM64">
        <v>0</v>
      </c>
      <c r="EN64">
        <v>0</v>
      </c>
      <c r="EO64">
        <v>0</v>
      </c>
      <c r="EP64">
        <v>0</v>
      </c>
      <c r="EQ64">
        <v>0</v>
      </c>
      <c r="ER64">
        <v>0</v>
      </c>
      <c r="ES64">
        <v>0</v>
      </c>
      <c r="ET64">
        <v>0</v>
      </c>
      <c r="EU64">
        <v>0</v>
      </c>
      <c r="EV64">
        <v>0</v>
      </c>
      <c r="EW64">
        <v>0</v>
      </c>
      <c r="EX64">
        <v>0</v>
      </c>
      <c r="EY64">
        <v>0</v>
      </c>
      <c r="EZ64">
        <v>0</v>
      </c>
      <c r="FA64">
        <v>0</v>
      </c>
      <c r="FB64">
        <v>0</v>
      </c>
      <c r="FD64">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row>
    <row r="65" spans="1:164">
      <c r="A65" t="s">
        <v>464</v>
      </c>
      <c r="B65" t="s">
        <v>464</v>
      </c>
      <c r="C65">
        <v>0</v>
      </c>
      <c r="D65">
        <v>0</v>
      </c>
      <c r="E65">
        <v>0</v>
      </c>
      <c r="F65">
        <v>0</v>
      </c>
      <c r="G65">
        <v>0</v>
      </c>
      <c r="H65">
        <v>0</v>
      </c>
      <c r="I65">
        <v>0</v>
      </c>
      <c r="J65">
        <v>0</v>
      </c>
      <c r="K65">
        <v>0</v>
      </c>
      <c r="L65">
        <v>0</v>
      </c>
      <c r="M65">
        <v>0</v>
      </c>
      <c r="N65">
        <v>0</v>
      </c>
      <c r="O65">
        <v>0</v>
      </c>
      <c r="P65">
        <v>0</v>
      </c>
      <c r="Q65">
        <v>0</v>
      </c>
      <c r="R65">
        <v>0</v>
      </c>
      <c r="S65">
        <v>0</v>
      </c>
      <c r="T65">
        <v>0</v>
      </c>
      <c r="U65">
        <v>0</v>
      </c>
      <c r="V65">
        <v>1581233</v>
      </c>
      <c r="W65">
        <v>1470844</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270065</v>
      </c>
      <c r="AU65">
        <v>204627</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v>0</v>
      </c>
      <c r="DO65">
        <v>0</v>
      </c>
      <c r="DP65">
        <v>0</v>
      </c>
      <c r="DQ65">
        <v>0</v>
      </c>
      <c r="DR65">
        <v>0</v>
      </c>
      <c r="DS65">
        <v>0</v>
      </c>
      <c r="DT65">
        <v>0</v>
      </c>
      <c r="DU65">
        <v>0</v>
      </c>
      <c r="DV65">
        <v>0</v>
      </c>
      <c r="DW65">
        <v>0</v>
      </c>
      <c r="DX65">
        <v>0</v>
      </c>
      <c r="DY65">
        <v>0</v>
      </c>
      <c r="DZ65">
        <v>0</v>
      </c>
      <c r="EA65">
        <v>0</v>
      </c>
      <c r="EB65">
        <v>0</v>
      </c>
      <c r="EC65">
        <v>0</v>
      </c>
      <c r="ED65">
        <v>0</v>
      </c>
      <c r="EE65">
        <v>0</v>
      </c>
      <c r="EF65">
        <v>0</v>
      </c>
      <c r="EG65">
        <v>0</v>
      </c>
      <c r="EH65">
        <v>0</v>
      </c>
      <c r="EI65">
        <v>0</v>
      </c>
      <c r="EJ65">
        <v>0</v>
      </c>
      <c r="EK65">
        <v>0</v>
      </c>
      <c r="EL65">
        <v>0</v>
      </c>
      <c r="EM65">
        <v>0</v>
      </c>
      <c r="EN65">
        <v>0</v>
      </c>
      <c r="EO65">
        <v>0</v>
      </c>
      <c r="EP65">
        <v>0</v>
      </c>
      <c r="EQ65">
        <v>0</v>
      </c>
      <c r="ER65">
        <v>0</v>
      </c>
      <c r="ES65">
        <v>0</v>
      </c>
      <c r="ET65">
        <v>0</v>
      </c>
      <c r="EU65">
        <v>0</v>
      </c>
      <c r="EV65">
        <v>0</v>
      </c>
      <c r="EW65">
        <v>0</v>
      </c>
      <c r="EX65">
        <v>0</v>
      </c>
      <c r="EY65">
        <v>14200</v>
      </c>
      <c r="EZ65">
        <v>14200</v>
      </c>
      <c r="FA65" s="146">
        <v>4296</v>
      </c>
      <c r="FB65">
        <v>0</v>
      </c>
      <c r="FD65">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1679767</v>
      </c>
      <c r="FF65" s="1131"/>
      <c r="FG65" s="1131"/>
    </row>
    <row r="66" spans="1:164">
      <c r="A66" t="s">
        <v>846</v>
      </c>
      <c r="B66" t="s">
        <v>846</v>
      </c>
      <c r="C66">
        <v>0</v>
      </c>
      <c r="D66">
        <v>0</v>
      </c>
      <c r="E66">
        <v>0</v>
      </c>
      <c r="F66">
        <v>0</v>
      </c>
      <c r="G66">
        <v>0</v>
      </c>
      <c r="H66">
        <v>0</v>
      </c>
      <c r="I66">
        <v>0</v>
      </c>
      <c r="J66">
        <v>0</v>
      </c>
      <c r="K66">
        <v>0</v>
      </c>
      <c r="L66">
        <v>0</v>
      </c>
      <c r="M66">
        <v>0</v>
      </c>
      <c r="N66">
        <v>0</v>
      </c>
      <c r="O66">
        <v>0</v>
      </c>
      <c r="P66">
        <v>0</v>
      </c>
      <c r="Q66">
        <v>0</v>
      </c>
      <c r="R66">
        <v>0</v>
      </c>
      <c r="S66">
        <v>0</v>
      </c>
      <c r="T66">
        <v>0</v>
      </c>
      <c r="U66">
        <v>0</v>
      </c>
      <c r="V66">
        <v>1425843</v>
      </c>
      <c r="W66" s="211">
        <f>1458505-135+666</f>
        <v>1459036</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204602</v>
      </c>
      <c r="AU66">
        <v>103036</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c r="CU66">
        <v>0</v>
      </c>
      <c r="CV66">
        <v>54897</v>
      </c>
      <c r="CW66">
        <v>54897</v>
      </c>
      <c r="CX66">
        <v>0</v>
      </c>
      <c r="CY66">
        <v>204151</v>
      </c>
      <c r="CZ66">
        <v>204151</v>
      </c>
      <c r="DA66">
        <v>0</v>
      </c>
      <c r="DB66">
        <v>60000</v>
      </c>
      <c r="DC66">
        <v>35072</v>
      </c>
      <c r="DD66">
        <v>0</v>
      </c>
      <c r="DE66">
        <v>0</v>
      </c>
      <c r="DF66">
        <v>0</v>
      </c>
      <c r="DG66">
        <v>0</v>
      </c>
      <c r="DH66">
        <v>0</v>
      </c>
      <c r="DI66">
        <v>0</v>
      </c>
      <c r="DJ66">
        <v>0</v>
      </c>
      <c r="DK66">
        <v>0</v>
      </c>
      <c r="DL66">
        <v>0</v>
      </c>
      <c r="DM66">
        <v>0</v>
      </c>
      <c r="DN66">
        <v>0</v>
      </c>
      <c r="DO66">
        <v>0</v>
      </c>
      <c r="DP66">
        <v>0</v>
      </c>
      <c r="DQ66">
        <v>0</v>
      </c>
      <c r="DR66">
        <v>0</v>
      </c>
      <c r="DS66">
        <v>0</v>
      </c>
      <c r="DT66">
        <v>264887</v>
      </c>
      <c r="DU66" s="211">
        <f>185097+2506</f>
        <v>187603</v>
      </c>
      <c r="DV66">
        <v>0</v>
      </c>
      <c r="DW66">
        <v>0</v>
      </c>
      <c r="DX66">
        <v>0</v>
      </c>
      <c r="DY66">
        <v>0</v>
      </c>
      <c r="DZ66">
        <v>0</v>
      </c>
      <c r="EA66">
        <v>0</v>
      </c>
      <c r="EB66">
        <v>0</v>
      </c>
      <c r="EC66">
        <v>0</v>
      </c>
      <c r="ED66">
        <v>0</v>
      </c>
      <c r="EE66">
        <v>0</v>
      </c>
      <c r="EF66">
        <v>0</v>
      </c>
      <c r="EG66">
        <v>0</v>
      </c>
      <c r="EH66">
        <v>0</v>
      </c>
      <c r="EI66">
        <v>0</v>
      </c>
      <c r="EJ66">
        <v>0</v>
      </c>
      <c r="EK66">
        <v>0</v>
      </c>
      <c r="EL66">
        <v>0</v>
      </c>
      <c r="EM66">
        <v>0</v>
      </c>
      <c r="EN66">
        <v>0</v>
      </c>
      <c r="EO66">
        <v>41093</v>
      </c>
      <c r="EP66">
        <v>41093</v>
      </c>
      <c r="EQ66">
        <v>0</v>
      </c>
      <c r="ER66">
        <v>0</v>
      </c>
      <c r="ES66">
        <v>0</v>
      </c>
      <c r="ET66">
        <v>0</v>
      </c>
      <c r="EU66">
        <v>0</v>
      </c>
      <c r="EV66">
        <v>0</v>
      </c>
      <c r="EW66">
        <v>1800</v>
      </c>
      <c r="EX66">
        <v>0</v>
      </c>
      <c r="EY66">
        <v>6547920</v>
      </c>
      <c r="EZ66">
        <v>6547920</v>
      </c>
      <c r="FA66" s="146">
        <v>883071</v>
      </c>
      <c r="FB66">
        <v>0</v>
      </c>
      <c r="FD66">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2969759</v>
      </c>
      <c r="FF66" s="1131"/>
      <c r="FG66" s="1131"/>
    </row>
    <row r="67" spans="1:164">
      <c r="A67" t="s">
        <v>44</v>
      </c>
      <c r="B67" t="s">
        <v>44</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c r="ED67">
        <v>0</v>
      </c>
      <c r="EE67">
        <v>0</v>
      </c>
      <c r="EF67">
        <v>0</v>
      </c>
      <c r="EG67">
        <v>0</v>
      </c>
      <c r="EH67">
        <v>0</v>
      </c>
      <c r="EI67">
        <v>0</v>
      </c>
      <c r="EJ67">
        <v>0</v>
      </c>
      <c r="EK67">
        <v>0</v>
      </c>
      <c r="EL67">
        <v>0</v>
      </c>
      <c r="EM67">
        <v>0</v>
      </c>
      <c r="EN67">
        <v>0</v>
      </c>
      <c r="EO67">
        <v>0</v>
      </c>
      <c r="EP67">
        <v>0</v>
      </c>
      <c r="EQ67">
        <v>0</v>
      </c>
      <c r="ER67">
        <v>0</v>
      </c>
      <c r="ES67">
        <v>0</v>
      </c>
      <c r="ET67">
        <v>0</v>
      </c>
      <c r="EU67">
        <v>0</v>
      </c>
      <c r="EV67">
        <v>0</v>
      </c>
      <c r="EW67">
        <v>0</v>
      </c>
      <c r="EX67">
        <v>0</v>
      </c>
      <c r="EY67">
        <v>0</v>
      </c>
      <c r="EZ67">
        <v>0</v>
      </c>
      <c r="FA67">
        <v>0</v>
      </c>
      <c r="FB67">
        <v>0</v>
      </c>
      <c r="FD67">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row>
    <row r="68" spans="1:164">
      <c r="A68" t="s">
        <v>464</v>
      </c>
      <c r="B68" t="s">
        <v>464</v>
      </c>
      <c r="C68">
        <v>0</v>
      </c>
      <c r="D68">
        <v>0</v>
      </c>
      <c r="E68">
        <v>0</v>
      </c>
      <c r="F68">
        <v>0</v>
      </c>
      <c r="G68">
        <v>2198603</v>
      </c>
      <c r="H68">
        <v>1983492</v>
      </c>
      <c r="I68">
        <v>0</v>
      </c>
      <c r="J68">
        <v>0</v>
      </c>
      <c r="K68">
        <v>0</v>
      </c>
      <c r="L68">
        <v>0</v>
      </c>
      <c r="M68">
        <v>0</v>
      </c>
      <c r="N68">
        <v>0</v>
      </c>
      <c r="O68">
        <v>0</v>
      </c>
      <c r="P68">
        <v>360326</v>
      </c>
      <c r="Q68">
        <v>253052</v>
      </c>
      <c r="R68">
        <v>0</v>
      </c>
      <c r="S68">
        <v>86886</v>
      </c>
      <c r="T68">
        <v>86492</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1630836</v>
      </c>
      <c r="BD68">
        <v>1567763</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c r="DI68" s="128">
        <v>0</v>
      </c>
      <c r="DJ68">
        <v>0</v>
      </c>
      <c r="DK68">
        <v>0</v>
      </c>
      <c r="DL68">
        <v>0</v>
      </c>
      <c r="DM68">
        <v>0</v>
      </c>
      <c r="DN68">
        <v>0</v>
      </c>
      <c r="DO68">
        <v>0</v>
      </c>
      <c r="DP68">
        <v>0</v>
      </c>
      <c r="DQ68">
        <v>0</v>
      </c>
      <c r="DR68">
        <v>0</v>
      </c>
      <c r="DS68">
        <v>0</v>
      </c>
      <c r="DT68">
        <v>0</v>
      </c>
      <c r="DU68">
        <v>0</v>
      </c>
      <c r="DV68">
        <v>0</v>
      </c>
      <c r="DW68">
        <v>0</v>
      </c>
      <c r="DX68">
        <v>0</v>
      </c>
      <c r="DY68">
        <v>0</v>
      </c>
      <c r="DZ68">
        <v>0</v>
      </c>
      <c r="EA68">
        <v>0</v>
      </c>
      <c r="EB68">
        <v>0</v>
      </c>
      <c r="EC68">
        <v>0</v>
      </c>
      <c r="ED68">
        <v>0</v>
      </c>
      <c r="EE68">
        <v>0</v>
      </c>
      <c r="EF68">
        <v>0</v>
      </c>
      <c r="EG68">
        <v>0</v>
      </c>
      <c r="EH68">
        <v>0</v>
      </c>
      <c r="EI68">
        <v>0</v>
      </c>
      <c r="EJ68">
        <v>0</v>
      </c>
      <c r="EK68">
        <v>0</v>
      </c>
      <c r="EL68">
        <v>0</v>
      </c>
      <c r="EM68">
        <v>0</v>
      </c>
      <c r="EN68">
        <v>0</v>
      </c>
      <c r="EO68">
        <v>0</v>
      </c>
      <c r="EP68">
        <v>0</v>
      </c>
      <c r="EQ68">
        <v>0</v>
      </c>
      <c r="ER68">
        <v>0</v>
      </c>
      <c r="ES68">
        <v>0</v>
      </c>
      <c r="ET68">
        <v>0</v>
      </c>
      <c r="EU68">
        <v>0</v>
      </c>
      <c r="EV68">
        <v>0</v>
      </c>
      <c r="EW68">
        <v>0</v>
      </c>
      <c r="EX68">
        <v>0</v>
      </c>
      <c r="EY68">
        <v>0</v>
      </c>
      <c r="EZ68">
        <v>0</v>
      </c>
      <c r="FA68">
        <v>0</v>
      </c>
      <c r="FB68">
        <v>0</v>
      </c>
      <c r="FD68">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3890799</v>
      </c>
      <c r="FH68" s="1128">
        <f>3746</f>
        <v>3746</v>
      </c>
    </row>
    <row r="69" spans="1:164">
      <c r="A69" t="s">
        <v>846</v>
      </c>
      <c r="B69" t="s">
        <v>846</v>
      </c>
      <c r="C69">
        <v>0</v>
      </c>
      <c r="D69">
        <v>0</v>
      </c>
      <c r="E69">
        <v>0</v>
      </c>
      <c r="F69">
        <v>0</v>
      </c>
      <c r="G69">
        <v>866791</v>
      </c>
      <c r="H69" s="128">
        <v>740759</v>
      </c>
      <c r="I69">
        <v>0</v>
      </c>
      <c r="J69">
        <v>20799</v>
      </c>
      <c r="K69">
        <v>20799</v>
      </c>
      <c r="L69">
        <v>0</v>
      </c>
      <c r="M69">
        <v>232157</v>
      </c>
      <c r="N69">
        <v>232157</v>
      </c>
      <c r="O69">
        <v>0</v>
      </c>
      <c r="P69">
        <v>186606</v>
      </c>
      <c r="Q69">
        <v>109097</v>
      </c>
      <c r="R69">
        <v>0</v>
      </c>
      <c r="S69">
        <v>6488</v>
      </c>
      <c r="T69">
        <v>3805</v>
      </c>
      <c r="U69">
        <v>0</v>
      </c>
      <c r="V69">
        <v>0</v>
      </c>
      <c r="W69">
        <v>0</v>
      </c>
      <c r="X69">
        <v>0</v>
      </c>
      <c r="Y69">
        <v>1875</v>
      </c>
      <c r="Z69">
        <v>398</v>
      </c>
      <c r="AA69">
        <v>0</v>
      </c>
      <c r="AB69">
        <v>24875</v>
      </c>
      <c r="AC69">
        <v>11806</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975108</v>
      </c>
      <c r="BD69">
        <v>1042964</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63292</v>
      </c>
      <c r="CE69">
        <v>36352</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v>0</v>
      </c>
      <c r="DA69">
        <v>0</v>
      </c>
      <c r="DB69">
        <v>0</v>
      </c>
      <c r="DC69">
        <v>0</v>
      </c>
      <c r="DD69">
        <v>0</v>
      </c>
      <c r="DE69">
        <v>100000</v>
      </c>
      <c r="DF69">
        <v>52642</v>
      </c>
      <c r="DG69">
        <v>0</v>
      </c>
      <c r="DH69">
        <v>0</v>
      </c>
      <c r="DI69">
        <v>0</v>
      </c>
      <c r="DJ69">
        <v>0</v>
      </c>
      <c r="DK69">
        <v>0</v>
      </c>
      <c r="DL69">
        <v>0</v>
      </c>
      <c r="DM69">
        <v>0</v>
      </c>
      <c r="DN69">
        <v>0</v>
      </c>
      <c r="DO69">
        <v>0</v>
      </c>
      <c r="DP69">
        <v>0</v>
      </c>
      <c r="DQ69">
        <v>250000</v>
      </c>
      <c r="DR69">
        <v>235770</v>
      </c>
      <c r="DS69">
        <v>0</v>
      </c>
      <c r="DT69">
        <v>0</v>
      </c>
      <c r="DU69">
        <v>0</v>
      </c>
      <c r="DV69">
        <v>0</v>
      </c>
      <c r="DW69">
        <v>0</v>
      </c>
      <c r="DX69">
        <v>0</v>
      </c>
      <c r="DY69">
        <v>0</v>
      </c>
      <c r="DZ69">
        <v>0</v>
      </c>
      <c r="EA69">
        <v>0</v>
      </c>
      <c r="EB69">
        <v>0</v>
      </c>
      <c r="EC69">
        <v>0</v>
      </c>
      <c r="ED69">
        <v>0</v>
      </c>
      <c r="EE69">
        <v>0</v>
      </c>
      <c r="EF69">
        <v>0</v>
      </c>
      <c r="EG69">
        <v>0</v>
      </c>
      <c r="EH69">
        <v>0</v>
      </c>
      <c r="EI69">
        <v>0</v>
      </c>
      <c r="EJ69">
        <v>0</v>
      </c>
      <c r="EK69">
        <v>0</v>
      </c>
      <c r="EL69">
        <v>0</v>
      </c>
      <c r="EM69">
        <v>0</v>
      </c>
      <c r="EN69">
        <v>0</v>
      </c>
      <c r="EO69">
        <v>0</v>
      </c>
      <c r="EP69">
        <v>0</v>
      </c>
      <c r="EQ69">
        <v>0</v>
      </c>
      <c r="ER69">
        <v>0</v>
      </c>
      <c r="ES69">
        <v>0</v>
      </c>
      <c r="ET69">
        <v>0</v>
      </c>
      <c r="EU69">
        <v>0</v>
      </c>
      <c r="EV69">
        <v>0</v>
      </c>
      <c r="EW69">
        <v>0</v>
      </c>
      <c r="EX69">
        <v>0</v>
      </c>
      <c r="EY69">
        <v>0</v>
      </c>
      <c r="EZ69">
        <v>0</v>
      </c>
      <c r="FA69">
        <v>0</v>
      </c>
      <c r="FB69">
        <v>0</v>
      </c>
      <c r="FD69">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2486549</v>
      </c>
      <c r="FH69" s="1128">
        <f>1275769</f>
        <v>1275769</v>
      </c>
    </row>
    <row r="70" spans="1:164">
      <c r="A70" t="s">
        <v>45</v>
      </c>
      <c r="B70" t="s">
        <v>45</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v>0</v>
      </c>
      <c r="DC70">
        <v>0</v>
      </c>
      <c r="DD70">
        <v>0</v>
      </c>
      <c r="DE70">
        <v>0</v>
      </c>
      <c r="DF70">
        <v>0</v>
      </c>
      <c r="DG70">
        <v>0</v>
      </c>
      <c r="DH70">
        <v>0</v>
      </c>
      <c r="DI70">
        <v>0</v>
      </c>
      <c r="DJ70">
        <v>0</v>
      </c>
      <c r="DK70">
        <v>0</v>
      </c>
      <c r="DL70">
        <v>0</v>
      </c>
      <c r="DM70">
        <v>0</v>
      </c>
      <c r="DN70">
        <v>0</v>
      </c>
      <c r="DO70">
        <v>0</v>
      </c>
      <c r="DP70">
        <v>0</v>
      </c>
      <c r="DQ70">
        <v>0</v>
      </c>
      <c r="DR70">
        <v>0</v>
      </c>
      <c r="DS70">
        <v>0</v>
      </c>
      <c r="DT70">
        <v>0</v>
      </c>
      <c r="DU70">
        <v>0</v>
      </c>
      <c r="DV70">
        <v>0</v>
      </c>
      <c r="DW70">
        <v>0</v>
      </c>
      <c r="DX70">
        <v>0</v>
      </c>
      <c r="DY70">
        <v>0</v>
      </c>
      <c r="DZ70">
        <v>0</v>
      </c>
      <c r="EA70">
        <v>0</v>
      </c>
      <c r="EB70">
        <v>0</v>
      </c>
      <c r="EC70">
        <v>0</v>
      </c>
      <c r="ED70">
        <v>0</v>
      </c>
      <c r="EE70">
        <v>0</v>
      </c>
      <c r="EF70">
        <v>0</v>
      </c>
      <c r="EG70">
        <v>0</v>
      </c>
      <c r="EH70">
        <v>0</v>
      </c>
      <c r="EI70">
        <v>0</v>
      </c>
      <c r="EJ70">
        <v>0</v>
      </c>
      <c r="EK70">
        <v>0</v>
      </c>
      <c r="EL70">
        <v>0</v>
      </c>
      <c r="EM70">
        <v>0</v>
      </c>
      <c r="EN70">
        <v>0</v>
      </c>
      <c r="EO70">
        <v>0</v>
      </c>
      <c r="EP70">
        <v>0</v>
      </c>
      <c r="EQ70">
        <v>0</v>
      </c>
      <c r="ER70">
        <v>0</v>
      </c>
      <c r="ES70">
        <v>0</v>
      </c>
      <c r="ET70">
        <v>0</v>
      </c>
      <c r="EU70">
        <v>0</v>
      </c>
      <c r="EV70">
        <v>0</v>
      </c>
      <c r="EW70">
        <v>0</v>
      </c>
      <c r="EX70">
        <v>0</v>
      </c>
      <c r="EY70">
        <v>0</v>
      </c>
      <c r="EZ70">
        <v>0</v>
      </c>
      <c r="FA70">
        <v>0</v>
      </c>
      <c r="FB70">
        <v>0</v>
      </c>
      <c r="FD70">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c r="FH70">
        <f>SUM(FH68:FH69)</f>
        <v>1279515</v>
      </c>
    </row>
    <row r="71" spans="1:164">
      <c r="A71" t="s">
        <v>464</v>
      </c>
      <c r="B71" t="s">
        <v>464</v>
      </c>
      <c r="C71">
        <v>0</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64258</v>
      </c>
      <c r="BJ71">
        <v>61020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c r="CU71">
        <v>0</v>
      </c>
      <c r="CV71">
        <v>0</v>
      </c>
      <c r="CW71">
        <v>0</v>
      </c>
      <c r="CX71">
        <v>0</v>
      </c>
      <c r="CY71">
        <v>0</v>
      </c>
      <c r="CZ71">
        <v>0</v>
      </c>
      <c r="DA71">
        <v>0</v>
      </c>
      <c r="DB71">
        <v>0</v>
      </c>
      <c r="DC71">
        <v>0</v>
      </c>
      <c r="DD71">
        <v>0</v>
      </c>
      <c r="DE71">
        <v>0</v>
      </c>
      <c r="DF71">
        <v>0</v>
      </c>
      <c r="DG71">
        <v>0</v>
      </c>
      <c r="DH71">
        <v>0</v>
      </c>
      <c r="DI71">
        <v>0</v>
      </c>
      <c r="DJ71">
        <v>0</v>
      </c>
      <c r="DK71">
        <v>0</v>
      </c>
      <c r="DL71">
        <v>0</v>
      </c>
      <c r="DM71">
        <v>0</v>
      </c>
      <c r="DN71">
        <v>0</v>
      </c>
      <c r="DO71">
        <v>0</v>
      </c>
      <c r="DP71">
        <v>0</v>
      </c>
      <c r="DQ71">
        <v>0</v>
      </c>
      <c r="DR71">
        <v>0</v>
      </c>
      <c r="DS71">
        <v>0</v>
      </c>
      <c r="DT71">
        <v>0</v>
      </c>
      <c r="DU71">
        <v>0</v>
      </c>
      <c r="DV71">
        <v>0</v>
      </c>
      <c r="DW71">
        <v>0</v>
      </c>
      <c r="DX71">
        <v>0</v>
      </c>
      <c r="DY71">
        <v>0</v>
      </c>
      <c r="DZ71">
        <v>0</v>
      </c>
      <c r="EA71">
        <v>0</v>
      </c>
      <c r="EB71">
        <v>0</v>
      </c>
      <c r="EC71">
        <v>0</v>
      </c>
      <c r="ED71">
        <v>0</v>
      </c>
      <c r="EE71">
        <v>0</v>
      </c>
      <c r="EF71">
        <v>0</v>
      </c>
      <c r="EG71">
        <v>0</v>
      </c>
      <c r="EH71">
        <v>0</v>
      </c>
      <c r="EI71">
        <v>0</v>
      </c>
      <c r="EJ71">
        <v>0</v>
      </c>
      <c r="EK71">
        <v>0</v>
      </c>
      <c r="EL71">
        <v>0</v>
      </c>
      <c r="EM71">
        <v>0</v>
      </c>
      <c r="EN71">
        <v>0</v>
      </c>
      <c r="EO71">
        <v>0</v>
      </c>
      <c r="EP71">
        <v>0</v>
      </c>
      <c r="EQ71">
        <v>0</v>
      </c>
      <c r="ER71">
        <v>0</v>
      </c>
      <c r="ES71">
        <v>0</v>
      </c>
      <c r="ET71">
        <v>0</v>
      </c>
      <c r="EU71">
        <v>0</v>
      </c>
      <c r="EV71">
        <v>0</v>
      </c>
      <c r="EW71">
        <v>0</v>
      </c>
      <c r="EX71">
        <v>0</v>
      </c>
      <c r="EY71">
        <v>0</v>
      </c>
      <c r="EZ71">
        <v>0</v>
      </c>
      <c r="FA71">
        <v>0</v>
      </c>
      <c r="FB71">
        <v>0</v>
      </c>
      <c r="FD71">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61020</v>
      </c>
      <c r="FH71">
        <f>+FA54-FH70</f>
        <v>601560</v>
      </c>
    </row>
    <row r="72" spans="1:164">
      <c r="A72" t="s">
        <v>846</v>
      </c>
      <c r="B72" t="s">
        <v>846</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177468</v>
      </c>
      <c r="BG72">
        <v>177468</v>
      </c>
      <c r="BH72">
        <v>0</v>
      </c>
      <c r="BI72">
        <v>329595</v>
      </c>
      <c r="BJ72">
        <v>165001</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c r="CP72">
        <v>25000</v>
      </c>
      <c r="CQ72">
        <v>25000</v>
      </c>
      <c r="CR72">
        <v>0</v>
      </c>
      <c r="CS72">
        <v>0</v>
      </c>
      <c r="CT72">
        <v>0</v>
      </c>
      <c r="CU72">
        <v>0</v>
      </c>
      <c r="CV72">
        <v>0</v>
      </c>
      <c r="CW72">
        <v>0</v>
      </c>
      <c r="CX72">
        <v>0</v>
      </c>
      <c r="CY72">
        <v>0</v>
      </c>
      <c r="CZ72">
        <v>0</v>
      </c>
      <c r="DA72">
        <v>0</v>
      </c>
      <c r="DB72">
        <v>0</v>
      </c>
      <c r="DC72">
        <v>0</v>
      </c>
      <c r="DD72">
        <v>0</v>
      </c>
      <c r="DE72">
        <v>0</v>
      </c>
      <c r="DF72">
        <v>0</v>
      </c>
      <c r="DG72">
        <v>0</v>
      </c>
      <c r="DH72">
        <v>0</v>
      </c>
      <c r="DI72">
        <v>0</v>
      </c>
      <c r="DJ72">
        <v>0</v>
      </c>
      <c r="DK72">
        <v>0</v>
      </c>
      <c r="DL72">
        <v>0</v>
      </c>
      <c r="DM72">
        <v>0</v>
      </c>
      <c r="DN72">
        <v>0</v>
      </c>
      <c r="DO72">
        <v>0</v>
      </c>
      <c r="DP72">
        <v>0</v>
      </c>
      <c r="DQ72">
        <v>0</v>
      </c>
      <c r="DR72">
        <v>0</v>
      </c>
      <c r="DS72">
        <v>0</v>
      </c>
      <c r="DT72">
        <v>0</v>
      </c>
      <c r="DU72">
        <v>0</v>
      </c>
      <c r="DV72">
        <v>0</v>
      </c>
      <c r="DW72">
        <v>0</v>
      </c>
      <c r="DX72">
        <v>0</v>
      </c>
      <c r="DY72">
        <v>0</v>
      </c>
      <c r="DZ72">
        <v>0</v>
      </c>
      <c r="EA72">
        <v>0</v>
      </c>
      <c r="EB72">
        <v>0</v>
      </c>
      <c r="EC72">
        <v>0</v>
      </c>
      <c r="ED72">
        <v>0</v>
      </c>
      <c r="EE72">
        <v>0</v>
      </c>
      <c r="EF72">
        <v>0</v>
      </c>
      <c r="EG72">
        <v>0</v>
      </c>
      <c r="EH72">
        <v>0</v>
      </c>
      <c r="EI72">
        <v>0</v>
      </c>
      <c r="EJ72">
        <v>0</v>
      </c>
      <c r="EK72">
        <v>0</v>
      </c>
      <c r="EL72">
        <v>0</v>
      </c>
      <c r="EM72">
        <v>0</v>
      </c>
      <c r="EN72">
        <v>0</v>
      </c>
      <c r="EO72">
        <v>0</v>
      </c>
      <c r="EP72">
        <v>0</v>
      </c>
      <c r="EQ72">
        <v>0</v>
      </c>
      <c r="ER72">
        <v>0</v>
      </c>
      <c r="ES72">
        <v>0</v>
      </c>
      <c r="ET72">
        <v>0</v>
      </c>
      <c r="EU72">
        <v>0</v>
      </c>
      <c r="EV72">
        <v>0</v>
      </c>
      <c r="EW72">
        <v>0</v>
      </c>
      <c r="EX72">
        <v>0</v>
      </c>
      <c r="EY72">
        <v>0</v>
      </c>
      <c r="EZ72">
        <v>0</v>
      </c>
      <c r="FA72">
        <v>0</v>
      </c>
      <c r="FB72">
        <v>0</v>
      </c>
      <c r="FD72">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367469</v>
      </c>
    </row>
    <row r="73" spans="1:164">
      <c r="A73" t="s">
        <v>47</v>
      </c>
      <c r="B73" t="s">
        <v>47</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0</v>
      </c>
      <c r="CQ73">
        <v>0</v>
      </c>
      <c r="CR73">
        <v>0</v>
      </c>
      <c r="CS73">
        <v>0</v>
      </c>
      <c r="CT73">
        <v>0</v>
      </c>
      <c r="CU73">
        <v>0</v>
      </c>
      <c r="CV73">
        <v>0</v>
      </c>
      <c r="CW73">
        <v>0</v>
      </c>
      <c r="CX73">
        <v>0</v>
      </c>
      <c r="CY73">
        <v>0</v>
      </c>
      <c r="CZ73">
        <v>0</v>
      </c>
      <c r="DA73">
        <v>0</v>
      </c>
      <c r="DB73">
        <v>0</v>
      </c>
      <c r="DC73">
        <v>0</v>
      </c>
      <c r="DD73">
        <v>0</v>
      </c>
      <c r="DE73">
        <v>0</v>
      </c>
      <c r="DF73">
        <v>0</v>
      </c>
      <c r="DG73">
        <v>0</v>
      </c>
      <c r="DH73">
        <v>0</v>
      </c>
      <c r="DI73">
        <v>0</v>
      </c>
      <c r="DJ73">
        <v>0</v>
      </c>
      <c r="DK73">
        <v>0</v>
      </c>
      <c r="DL73">
        <v>0</v>
      </c>
      <c r="DM73">
        <v>0</v>
      </c>
      <c r="DN73">
        <v>0</v>
      </c>
      <c r="DO73">
        <v>0</v>
      </c>
      <c r="DP73">
        <v>0</v>
      </c>
      <c r="DQ73">
        <v>0</v>
      </c>
      <c r="DR73">
        <v>0</v>
      </c>
      <c r="DS73">
        <v>0</v>
      </c>
      <c r="DT73">
        <v>0</v>
      </c>
      <c r="DU73">
        <v>0</v>
      </c>
      <c r="DV73">
        <v>0</v>
      </c>
      <c r="DW73">
        <v>0</v>
      </c>
      <c r="DX73">
        <v>0</v>
      </c>
      <c r="DY73">
        <v>0</v>
      </c>
      <c r="DZ73">
        <v>0</v>
      </c>
      <c r="EA73">
        <v>0</v>
      </c>
      <c r="EB73">
        <v>0</v>
      </c>
      <c r="EC73">
        <v>0</v>
      </c>
      <c r="ED73">
        <v>0</v>
      </c>
      <c r="EE73">
        <v>0</v>
      </c>
      <c r="EF73">
        <v>0</v>
      </c>
      <c r="EG73">
        <v>0</v>
      </c>
      <c r="EH73">
        <v>0</v>
      </c>
      <c r="EI73">
        <v>0</v>
      </c>
      <c r="EJ73">
        <v>0</v>
      </c>
      <c r="EK73">
        <v>0</v>
      </c>
      <c r="EL73">
        <v>0</v>
      </c>
      <c r="EM73">
        <v>0</v>
      </c>
      <c r="EN73">
        <v>0</v>
      </c>
      <c r="EO73">
        <v>0</v>
      </c>
      <c r="EP73">
        <v>0</v>
      </c>
      <c r="EQ73">
        <v>0</v>
      </c>
      <c r="ER73">
        <v>0</v>
      </c>
      <c r="ES73">
        <v>0</v>
      </c>
      <c r="ET73">
        <v>0</v>
      </c>
      <c r="EU73">
        <v>0</v>
      </c>
      <c r="EV73">
        <v>0</v>
      </c>
      <c r="EW73">
        <v>0</v>
      </c>
      <c r="EX73">
        <v>0</v>
      </c>
      <c r="EY73">
        <v>0</v>
      </c>
      <c r="EZ73">
        <v>0</v>
      </c>
      <c r="FA73">
        <v>0</v>
      </c>
      <c r="FB73">
        <v>0</v>
      </c>
      <c r="FD73">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row>
    <row r="74" spans="1:164">
      <c r="A74" t="s">
        <v>464</v>
      </c>
      <c r="B74" t="s">
        <v>464</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4</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4687</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c r="DK74">
        <v>0</v>
      </c>
      <c r="DL74">
        <v>0</v>
      </c>
      <c r="DM74">
        <v>0</v>
      </c>
      <c r="DN74">
        <v>0</v>
      </c>
      <c r="DO74">
        <v>0</v>
      </c>
      <c r="DP74">
        <v>0</v>
      </c>
      <c r="DQ74">
        <v>0</v>
      </c>
      <c r="DR74">
        <v>0</v>
      </c>
      <c r="DS74">
        <v>0</v>
      </c>
      <c r="DT74">
        <v>0</v>
      </c>
      <c r="DU74">
        <v>0</v>
      </c>
      <c r="DV74">
        <v>0</v>
      </c>
      <c r="DW74">
        <v>0</v>
      </c>
      <c r="DX74">
        <v>0</v>
      </c>
      <c r="DY74">
        <v>0</v>
      </c>
      <c r="DZ74">
        <v>0</v>
      </c>
      <c r="EA74">
        <v>0</v>
      </c>
      <c r="EB74">
        <v>0</v>
      </c>
      <c r="EC74">
        <v>0</v>
      </c>
      <c r="ED74">
        <v>0</v>
      </c>
      <c r="EE74">
        <v>0</v>
      </c>
      <c r="EF74">
        <v>0</v>
      </c>
      <c r="EG74">
        <v>0</v>
      </c>
      <c r="EH74">
        <v>0</v>
      </c>
      <c r="EI74">
        <v>0</v>
      </c>
      <c r="EJ74">
        <v>0</v>
      </c>
      <c r="EK74">
        <v>0</v>
      </c>
      <c r="EL74">
        <v>0</v>
      </c>
      <c r="EM74">
        <v>0</v>
      </c>
      <c r="EN74">
        <v>0</v>
      </c>
      <c r="EO74">
        <v>0</v>
      </c>
      <c r="EP74">
        <v>0</v>
      </c>
      <c r="EQ74">
        <v>0</v>
      </c>
      <c r="ER74">
        <v>0</v>
      </c>
      <c r="ES74">
        <v>0</v>
      </c>
      <c r="ET74">
        <v>0</v>
      </c>
      <c r="EU74">
        <v>0</v>
      </c>
      <c r="EV74">
        <v>0</v>
      </c>
      <c r="EW74">
        <v>0</v>
      </c>
      <c r="EX74">
        <v>0</v>
      </c>
      <c r="EY74">
        <v>0</v>
      </c>
      <c r="EZ74">
        <v>0</v>
      </c>
      <c r="FA74">
        <v>0</v>
      </c>
      <c r="FB74">
        <v>0</v>
      </c>
      <c r="FD74">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4691</v>
      </c>
    </row>
    <row r="75" spans="1:164">
      <c r="A75" t="s">
        <v>846</v>
      </c>
      <c r="B75" t="s">
        <v>846</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67792</v>
      </c>
      <c r="AL75">
        <v>44398</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BX75">
        <v>100000</v>
      </c>
      <c r="BY75">
        <v>0</v>
      </c>
      <c r="BZ75">
        <v>0</v>
      </c>
      <c r="CA75">
        <v>25100</v>
      </c>
      <c r="CB75">
        <v>20413</v>
      </c>
      <c r="CC75">
        <v>0</v>
      </c>
      <c r="CD75">
        <v>0</v>
      </c>
      <c r="CE75">
        <v>0</v>
      </c>
      <c r="CF75">
        <v>0</v>
      </c>
      <c r="CG75">
        <v>0</v>
      </c>
      <c r="CH75">
        <v>0</v>
      </c>
      <c r="CI75">
        <v>0</v>
      </c>
      <c r="CJ75">
        <v>0</v>
      </c>
      <c r="CK75">
        <v>0</v>
      </c>
      <c r="CL75">
        <v>0</v>
      </c>
      <c r="CM75">
        <v>0</v>
      </c>
      <c r="CN75">
        <v>0</v>
      </c>
      <c r="CO75">
        <v>0</v>
      </c>
      <c r="CP75">
        <v>0</v>
      </c>
      <c r="CQ75">
        <v>0</v>
      </c>
      <c r="CR75">
        <v>0</v>
      </c>
      <c r="CS75">
        <v>0</v>
      </c>
      <c r="CT75">
        <v>0</v>
      </c>
      <c r="CU75">
        <v>0</v>
      </c>
      <c r="CV75">
        <v>0</v>
      </c>
      <c r="CW75">
        <v>0</v>
      </c>
      <c r="CX75">
        <v>0</v>
      </c>
      <c r="CY75">
        <v>0</v>
      </c>
      <c r="CZ75">
        <v>0</v>
      </c>
      <c r="DA75">
        <v>0</v>
      </c>
      <c r="DB75">
        <v>0</v>
      </c>
      <c r="DC75">
        <v>0</v>
      </c>
      <c r="DD75">
        <v>0</v>
      </c>
      <c r="DE75">
        <v>0</v>
      </c>
      <c r="DF75">
        <v>0</v>
      </c>
      <c r="DG75">
        <v>0</v>
      </c>
      <c r="DH75">
        <v>0</v>
      </c>
      <c r="DI75">
        <v>0</v>
      </c>
      <c r="DJ75">
        <v>0</v>
      </c>
      <c r="DK75">
        <v>0</v>
      </c>
      <c r="DL75">
        <v>0</v>
      </c>
      <c r="DM75">
        <v>0</v>
      </c>
      <c r="DN75">
        <v>0</v>
      </c>
      <c r="DO75">
        <v>0</v>
      </c>
      <c r="DP75">
        <v>0</v>
      </c>
      <c r="DQ75">
        <v>0</v>
      </c>
      <c r="DR75">
        <v>0</v>
      </c>
      <c r="DS75">
        <v>0</v>
      </c>
      <c r="DT75">
        <v>0</v>
      </c>
      <c r="DU75">
        <v>0</v>
      </c>
      <c r="DV75">
        <v>0</v>
      </c>
      <c r="DW75">
        <v>0</v>
      </c>
      <c r="DX75">
        <v>0</v>
      </c>
      <c r="DY75">
        <v>0</v>
      </c>
      <c r="DZ75">
        <v>0</v>
      </c>
      <c r="EA75">
        <v>0</v>
      </c>
      <c r="EB75">
        <v>0</v>
      </c>
      <c r="EC75">
        <v>0</v>
      </c>
      <c r="ED75">
        <v>0</v>
      </c>
      <c r="EE75">
        <v>0</v>
      </c>
      <c r="EF75">
        <v>0</v>
      </c>
      <c r="EG75">
        <v>0</v>
      </c>
      <c r="EH75">
        <v>0</v>
      </c>
      <c r="EI75">
        <v>0</v>
      </c>
      <c r="EJ75">
        <v>0</v>
      </c>
      <c r="EK75">
        <v>0</v>
      </c>
      <c r="EL75">
        <v>0</v>
      </c>
      <c r="EM75">
        <v>0</v>
      </c>
      <c r="EN75">
        <v>0</v>
      </c>
      <c r="EO75">
        <v>0</v>
      </c>
      <c r="EP75">
        <v>0</v>
      </c>
      <c r="EQ75">
        <v>0</v>
      </c>
      <c r="ER75">
        <v>0</v>
      </c>
      <c r="ES75">
        <v>0</v>
      </c>
      <c r="ET75">
        <v>0</v>
      </c>
      <c r="EU75">
        <v>0</v>
      </c>
      <c r="EV75">
        <v>0</v>
      </c>
      <c r="EW75">
        <v>0</v>
      </c>
      <c r="EX75">
        <v>0</v>
      </c>
      <c r="EY75">
        <v>0</v>
      </c>
      <c r="EZ75">
        <v>0</v>
      </c>
      <c r="FA75">
        <v>0</v>
      </c>
      <c r="FB75">
        <v>0</v>
      </c>
      <c r="FD75">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64811</v>
      </c>
    </row>
    <row r="76" spans="1:164">
      <c r="A76" t="s">
        <v>247</v>
      </c>
      <c r="B76" t="s">
        <v>247</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c r="CN76">
        <v>0</v>
      </c>
      <c r="CO76">
        <v>0</v>
      </c>
      <c r="CP76">
        <v>0</v>
      </c>
      <c r="CQ76">
        <v>0</v>
      </c>
      <c r="CR76">
        <v>0</v>
      </c>
      <c r="CS76">
        <v>0</v>
      </c>
      <c r="CT76">
        <v>0</v>
      </c>
      <c r="CU76">
        <v>0</v>
      </c>
      <c r="CV76">
        <v>0</v>
      </c>
      <c r="CW76">
        <v>0</v>
      </c>
      <c r="CX76">
        <v>0</v>
      </c>
      <c r="CY76">
        <v>0</v>
      </c>
      <c r="CZ76">
        <v>0</v>
      </c>
      <c r="DA76">
        <v>0</v>
      </c>
      <c r="DB76">
        <v>0</v>
      </c>
      <c r="DC76">
        <v>0</v>
      </c>
      <c r="DD76">
        <v>0</v>
      </c>
      <c r="DE76">
        <v>0</v>
      </c>
      <c r="DF76">
        <v>0</v>
      </c>
      <c r="DG76">
        <v>0</v>
      </c>
      <c r="DH76">
        <v>0</v>
      </c>
      <c r="DI76">
        <v>0</v>
      </c>
      <c r="DJ76">
        <v>0</v>
      </c>
      <c r="DK76">
        <v>0</v>
      </c>
      <c r="DL76">
        <v>0</v>
      </c>
      <c r="DM76">
        <v>0</v>
      </c>
      <c r="DN76">
        <v>0</v>
      </c>
      <c r="DO76">
        <v>0</v>
      </c>
      <c r="DP76">
        <v>0</v>
      </c>
      <c r="DQ76">
        <v>0</v>
      </c>
      <c r="DR76">
        <v>0</v>
      </c>
      <c r="DS76">
        <v>0</v>
      </c>
      <c r="DT76">
        <v>0</v>
      </c>
      <c r="DU76">
        <v>0</v>
      </c>
      <c r="DV76">
        <v>0</v>
      </c>
      <c r="DW76">
        <v>0</v>
      </c>
      <c r="DX76">
        <v>0</v>
      </c>
      <c r="DY76">
        <v>0</v>
      </c>
      <c r="DZ76">
        <v>0</v>
      </c>
      <c r="EA76">
        <v>0</v>
      </c>
      <c r="EB76">
        <v>0</v>
      </c>
      <c r="EC76">
        <v>0</v>
      </c>
      <c r="ED76">
        <v>0</v>
      </c>
      <c r="EE76">
        <v>0</v>
      </c>
      <c r="EF76">
        <v>0</v>
      </c>
      <c r="EG76">
        <v>0</v>
      </c>
      <c r="EH76">
        <v>0</v>
      </c>
      <c r="EI76">
        <v>0</v>
      </c>
      <c r="EJ76">
        <v>0</v>
      </c>
      <c r="EK76">
        <v>0</v>
      </c>
      <c r="EL76">
        <v>0</v>
      </c>
      <c r="EM76">
        <v>0</v>
      </c>
      <c r="EN76">
        <v>0</v>
      </c>
      <c r="EO76">
        <v>0</v>
      </c>
      <c r="EP76">
        <v>0</v>
      </c>
      <c r="EQ76">
        <v>0</v>
      </c>
      <c r="ER76">
        <v>0</v>
      </c>
      <c r="ES76">
        <v>0</v>
      </c>
      <c r="ET76">
        <v>0</v>
      </c>
      <c r="EU76">
        <v>0</v>
      </c>
      <c r="EV76">
        <v>0</v>
      </c>
      <c r="EW76">
        <v>0</v>
      </c>
      <c r="EX76">
        <v>0</v>
      </c>
      <c r="EY76">
        <v>0</v>
      </c>
      <c r="EZ76">
        <v>0</v>
      </c>
      <c r="FA76">
        <v>0</v>
      </c>
      <c r="FB76">
        <v>0</v>
      </c>
      <c r="FD76">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row>
    <row r="77" spans="1:164">
      <c r="A77" t="s">
        <v>848</v>
      </c>
      <c r="B77" t="s">
        <v>848</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BX77">
        <v>0</v>
      </c>
      <c r="BY77">
        <v>0</v>
      </c>
      <c r="BZ77">
        <v>0</v>
      </c>
      <c r="CA77">
        <v>0</v>
      </c>
      <c r="CB77">
        <v>0</v>
      </c>
      <c r="CC77">
        <v>0</v>
      </c>
      <c r="CD77">
        <v>0</v>
      </c>
      <c r="CE77">
        <v>0</v>
      </c>
      <c r="CF77">
        <v>0</v>
      </c>
      <c r="CG77">
        <v>0</v>
      </c>
      <c r="CH77">
        <v>0</v>
      </c>
      <c r="CI77">
        <v>0</v>
      </c>
      <c r="CJ77">
        <v>0</v>
      </c>
      <c r="CK77">
        <v>0</v>
      </c>
      <c r="CL77">
        <v>0</v>
      </c>
      <c r="CM77">
        <v>0</v>
      </c>
      <c r="CN77">
        <v>0</v>
      </c>
      <c r="CO77">
        <v>0</v>
      </c>
      <c r="CP77">
        <v>0</v>
      </c>
      <c r="CQ77">
        <v>0</v>
      </c>
      <c r="CR77">
        <v>0</v>
      </c>
      <c r="CS77">
        <v>0</v>
      </c>
      <c r="CT77">
        <v>0</v>
      </c>
      <c r="CU77">
        <v>0</v>
      </c>
      <c r="CV77">
        <v>0</v>
      </c>
      <c r="CW77">
        <v>0</v>
      </c>
      <c r="CX77">
        <v>0</v>
      </c>
      <c r="CY77">
        <v>0</v>
      </c>
      <c r="CZ77">
        <v>0</v>
      </c>
      <c r="DA77">
        <v>0</v>
      </c>
      <c r="DB77">
        <v>0</v>
      </c>
      <c r="DC77">
        <v>0</v>
      </c>
      <c r="DD77">
        <v>0</v>
      </c>
      <c r="DE77">
        <v>0</v>
      </c>
      <c r="DF77">
        <v>0</v>
      </c>
      <c r="DG77">
        <v>0</v>
      </c>
      <c r="DH77">
        <v>0</v>
      </c>
      <c r="DI77">
        <v>0</v>
      </c>
      <c r="DJ77">
        <v>0</v>
      </c>
      <c r="DK77">
        <v>0</v>
      </c>
      <c r="DL77">
        <v>0</v>
      </c>
      <c r="DM77">
        <v>0</v>
      </c>
      <c r="DN77">
        <v>0</v>
      </c>
      <c r="DO77">
        <v>0</v>
      </c>
      <c r="DP77">
        <v>0</v>
      </c>
      <c r="DQ77">
        <v>0</v>
      </c>
      <c r="DR77">
        <v>0</v>
      </c>
      <c r="DS77">
        <v>0</v>
      </c>
      <c r="DT77">
        <v>0</v>
      </c>
      <c r="DU77">
        <v>0</v>
      </c>
      <c r="DV77">
        <v>0</v>
      </c>
      <c r="DW77">
        <v>0</v>
      </c>
      <c r="DX77">
        <v>0</v>
      </c>
      <c r="DY77">
        <v>0</v>
      </c>
      <c r="DZ77">
        <v>0</v>
      </c>
      <c r="EA77">
        <v>0</v>
      </c>
      <c r="EB77">
        <v>0</v>
      </c>
      <c r="EC77">
        <v>0</v>
      </c>
      <c r="ED77">
        <v>0</v>
      </c>
      <c r="EE77">
        <v>0</v>
      </c>
      <c r="EF77">
        <v>0</v>
      </c>
      <c r="EG77">
        <v>0</v>
      </c>
      <c r="EH77">
        <v>0</v>
      </c>
      <c r="EI77">
        <v>0</v>
      </c>
      <c r="EJ77">
        <v>0</v>
      </c>
      <c r="EK77">
        <v>0</v>
      </c>
      <c r="EL77">
        <v>0</v>
      </c>
      <c r="EM77">
        <v>0</v>
      </c>
      <c r="EN77">
        <v>0</v>
      </c>
      <c r="EO77">
        <v>0</v>
      </c>
      <c r="EP77">
        <v>0</v>
      </c>
      <c r="EQ77">
        <v>0</v>
      </c>
      <c r="ER77">
        <v>0</v>
      </c>
      <c r="ES77">
        <v>0</v>
      </c>
      <c r="ET77">
        <v>0</v>
      </c>
      <c r="EU77">
        <v>0</v>
      </c>
      <c r="EV77">
        <v>0</v>
      </c>
      <c r="EW77">
        <v>0</v>
      </c>
      <c r="EX77">
        <v>0</v>
      </c>
      <c r="EY77">
        <v>0</v>
      </c>
      <c r="EZ77">
        <v>0</v>
      </c>
      <c r="FA77">
        <v>0</v>
      </c>
      <c r="FB77">
        <v>0</v>
      </c>
      <c r="FD77">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row>
    <row r="78" spans="1:164">
      <c r="A78" t="s">
        <v>1021</v>
      </c>
      <c r="B78" t="s">
        <v>1021</v>
      </c>
      <c r="C78">
        <v>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v>0</v>
      </c>
      <c r="DC78">
        <v>0</v>
      </c>
      <c r="DD78">
        <v>0</v>
      </c>
      <c r="DE78">
        <v>0</v>
      </c>
      <c r="DF78">
        <v>0</v>
      </c>
      <c r="DG78">
        <v>0</v>
      </c>
      <c r="DH78">
        <v>0</v>
      </c>
      <c r="DI78">
        <v>0</v>
      </c>
      <c r="DJ78">
        <v>0</v>
      </c>
      <c r="DK78">
        <v>0</v>
      </c>
      <c r="DL78">
        <v>0</v>
      </c>
      <c r="DM78">
        <v>0</v>
      </c>
      <c r="DN78">
        <v>0</v>
      </c>
      <c r="DO78">
        <v>0</v>
      </c>
      <c r="DP78">
        <v>0</v>
      </c>
      <c r="DQ78">
        <v>0</v>
      </c>
      <c r="DR78">
        <v>0</v>
      </c>
      <c r="DS78">
        <v>0</v>
      </c>
      <c r="DT78">
        <v>0</v>
      </c>
      <c r="DU78">
        <v>0</v>
      </c>
      <c r="DV78">
        <v>0</v>
      </c>
      <c r="DW78">
        <v>0</v>
      </c>
      <c r="DX78">
        <v>0</v>
      </c>
      <c r="DY78">
        <v>0</v>
      </c>
      <c r="DZ78">
        <v>0</v>
      </c>
      <c r="EA78">
        <v>0</v>
      </c>
      <c r="EB78">
        <v>0</v>
      </c>
      <c r="EC78">
        <v>0</v>
      </c>
      <c r="ED78">
        <v>0</v>
      </c>
      <c r="EE78">
        <v>0</v>
      </c>
      <c r="EF78">
        <v>0</v>
      </c>
      <c r="EG78">
        <v>0</v>
      </c>
      <c r="EH78">
        <v>0</v>
      </c>
      <c r="EI78">
        <v>0</v>
      </c>
      <c r="EJ78">
        <v>0</v>
      </c>
      <c r="EK78">
        <v>0</v>
      </c>
      <c r="EL78">
        <v>0</v>
      </c>
      <c r="EM78">
        <v>0</v>
      </c>
      <c r="EN78">
        <v>0</v>
      </c>
      <c r="EO78">
        <v>0</v>
      </c>
      <c r="EP78">
        <v>0</v>
      </c>
      <c r="EQ78">
        <v>0</v>
      </c>
      <c r="ER78">
        <v>0</v>
      </c>
      <c r="ES78">
        <v>0</v>
      </c>
      <c r="ET78">
        <v>0</v>
      </c>
      <c r="EU78">
        <v>0</v>
      </c>
      <c r="EV78">
        <v>0</v>
      </c>
      <c r="EW78">
        <v>0</v>
      </c>
      <c r="EX78">
        <v>0</v>
      </c>
      <c r="EY78">
        <v>0</v>
      </c>
      <c r="EZ78">
        <v>0</v>
      </c>
      <c r="FA78">
        <v>34</v>
      </c>
      <c r="FB78">
        <v>0</v>
      </c>
      <c r="FD78">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34</v>
      </c>
    </row>
    <row r="79" spans="1:164">
      <c r="A79" t="s">
        <v>1022</v>
      </c>
      <c r="B79" t="s">
        <v>1022</v>
      </c>
      <c r="C79">
        <v>0</v>
      </c>
      <c r="D79">
        <v>0</v>
      </c>
      <c r="E79">
        <v>98168</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v>0</v>
      </c>
      <c r="CK79">
        <v>0</v>
      </c>
      <c r="CL79">
        <v>0</v>
      </c>
      <c r="CM79">
        <v>0</v>
      </c>
      <c r="CN79">
        <v>0</v>
      </c>
      <c r="CO79">
        <v>0</v>
      </c>
      <c r="CP79">
        <v>0</v>
      </c>
      <c r="CQ79">
        <v>0</v>
      </c>
      <c r="CR79">
        <v>0</v>
      </c>
      <c r="CS79">
        <v>0</v>
      </c>
      <c r="CT79">
        <v>0</v>
      </c>
      <c r="CU79">
        <v>0</v>
      </c>
      <c r="CV79">
        <v>0</v>
      </c>
      <c r="CW79">
        <v>0</v>
      </c>
      <c r="CX79">
        <v>0</v>
      </c>
      <c r="CY79">
        <v>0</v>
      </c>
      <c r="CZ79">
        <v>0</v>
      </c>
      <c r="DA79">
        <v>0</v>
      </c>
      <c r="DB79">
        <v>0</v>
      </c>
      <c r="DC79">
        <v>0</v>
      </c>
      <c r="DD79">
        <v>0</v>
      </c>
      <c r="DE79">
        <v>0</v>
      </c>
      <c r="DF79">
        <v>0</v>
      </c>
      <c r="DG79">
        <v>0</v>
      </c>
      <c r="DH79">
        <v>0</v>
      </c>
      <c r="DI79">
        <v>0</v>
      </c>
      <c r="DJ79">
        <v>0</v>
      </c>
      <c r="DK79">
        <v>0</v>
      </c>
      <c r="DL79">
        <v>0</v>
      </c>
      <c r="DM79">
        <v>0</v>
      </c>
      <c r="DN79">
        <v>0</v>
      </c>
      <c r="DO79">
        <v>0</v>
      </c>
      <c r="DP79">
        <v>0</v>
      </c>
      <c r="DQ79">
        <v>0</v>
      </c>
      <c r="DR79">
        <v>0</v>
      </c>
      <c r="DS79">
        <v>0</v>
      </c>
      <c r="DT79">
        <v>0</v>
      </c>
      <c r="DU79">
        <v>0</v>
      </c>
      <c r="DV79">
        <v>0</v>
      </c>
      <c r="DW79">
        <v>945376</v>
      </c>
      <c r="DX79">
        <v>254869</v>
      </c>
      <c r="DY79">
        <v>0</v>
      </c>
      <c r="DZ79">
        <v>0</v>
      </c>
      <c r="EA79">
        <v>0</v>
      </c>
      <c r="EB79">
        <v>0</v>
      </c>
      <c r="EC79">
        <v>0</v>
      </c>
      <c r="ED79">
        <v>0</v>
      </c>
      <c r="EE79">
        <v>0</v>
      </c>
      <c r="EF79">
        <v>0</v>
      </c>
      <c r="EG79">
        <v>0</v>
      </c>
      <c r="EH79">
        <v>0</v>
      </c>
      <c r="EI79">
        <v>0</v>
      </c>
      <c r="EJ79">
        <v>0</v>
      </c>
      <c r="EK79">
        <v>0</v>
      </c>
      <c r="EL79">
        <v>0</v>
      </c>
      <c r="EM79">
        <v>0</v>
      </c>
      <c r="EN79">
        <v>0</v>
      </c>
      <c r="EO79">
        <v>0</v>
      </c>
      <c r="EP79">
        <v>0</v>
      </c>
      <c r="EQ79">
        <v>0</v>
      </c>
      <c r="ER79">
        <v>0</v>
      </c>
      <c r="ES79">
        <v>0</v>
      </c>
      <c r="ET79">
        <v>0</v>
      </c>
      <c r="EU79">
        <v>950500</v>
      </c>
      <c r="EV79">
        <v>950500</v>
      </c>
      <c r="EW79">
        <v>259440</v>
      </c>
      <c r="EX79">
        <v>0</v>
      </c>
      <c r="EY79">
        <v>0</v>
      </c>
      <c r="EZ79">
        <v>0</v>
      </c>
      <c r="FA79">
        <v>0</v>
      </c>
      <c r="FB79">
        <v>0</v>
      </c>
      <c r="FD79">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612477</v>
      </c>
    </row>
    <row r="80" spans="1:164">
      <c r="A80" t="s">
        <v>1167</v>
      </c>
      <c r="B80" t="s">
        <v>1167</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c r="CP80">
        <v>0</v>
      </c>
      <c r="CQ80">
        <v>0</v>
      </c>
      <c r="CR80">
        <v>0</v>
      </c>
      <c r="CS80">
        <v>0</v>
      </c>
      <c r="CT80">
        <v>0</v>
      </c>
      <c r="CU80">
        <v>0</v>
      </c>
      <c r="CV80">
        <v>0</v>
      </c>
      <c r="CW80">
        <v>0</v>
      </c>
      <c r="CX80">
        <v>0</v>
      </c>
      <c r="CY80">
        <v>0</v>
      </c>
      <c r="CZ80">
        <v>0</v>
      </c>
      <c r="DA80">
        <v>0</v>
      </c>
      <c r="DB80">
        <v>0</v>
      </c>
      <c r="DC80">
        <v>0</v>
      </c>
      <c r="DD80">
        <v>0</v>
      </c>
      <c r="DE80">
        <v>0</v>
      </c>
      <c r="DF80">
        <v>0</v>
      </c>
      <c r="DG80">
        <v>0</v>
      </c>
      <c r="DH80">
        <v>0</v>
      </c>
      <c r="DI80">
        <v>0</v>
      </c>
      <c r="DJ80">
        <v>0</v>
      </c>
      <c r="DK80">
        <v>0</v>
      </c>
      <c r="DL80">
        <v>0</v>
      </c>
      <c r="DM80">
        <v>0</v>
      </c>
      <c r="DN80">
        <v>0</v>
      </c>
      <c r="DO80">
        <v>0</v>
      </c>
      <c r="DP80">
        <v>0</v>
      </c>
      <c r="DQ80">
        <v>0</v>
      </c>
      <c r="DR80">
        <v>0</v>
      </c>
      <c r="DS80">
        <v>0</v>
      </c>
      <c r="DT80">
        <v>0</v>
      </c>
      <c r="DU80">
        <v>0</v>
      </c>
      <c r="DV80">
        <v>0</v>
      </c>
      <c r="DW80">
        <v>0</v>
      </c>
      <c r="DX80">
        <v>0</v>
      </c>
      <c r="DY80">
        <v>0</v>
      </c>
      <c r="DZ80">
        <v>0</v>
      </c>
      <c r="EA80">
        <v>0</v>
      </c>
      <c r="EB80">
        <v>0</v>
      </c>
      <c r="EC80">
        <v>0</v>
      </c>
      <c r="ED80">
        <v>0</v>
      </c>
      <c r="EE80">
        <v>0</v>
      </c>
      <c r="EF80">
        <v>0</v>
      </c>
      <c r="EG80">
        <v>0</v>
      </c>
      <c r="EH80">
        <v>0</v>
      </c>
      <c r="EI80">
        <v>0</v>
      </c>
      <c r="EJ80">
        <v>0</v>
      </c>
      <c r="EK80">
        <v>0</v>
      </c>
      <c r="EL80">
        <v>0</v>
      </c>
      <c r="EM80">
        <v>0</v>
      </c>
      <c r="EN80">
        <v>0</v>
      </c>
      <c r="EO80">
        <v>0</v>
      </c>
      <c r="EP80">
        <v>0</v>
      </c>
      <c r="EQ80">
        <v>0</v>
      </c>
      <c r="ER80">
        <v>0</v>
      </c>
      <c r="ES80">
        <v>0</v>
      </c>
      <c r="ET80">
        <v>0</v>
      </c>
      <c r="EU80">
        <v>0</v>
      </c>
      <c r="EV80">
        <v>0</v>
      </c>
      <c r="EW80">
        <v>0</v>
      </c>
      <c r="EX80">
        <v>0</v>
      </c>
      <c r="EY80">
        <v>0</v>
      </c>
      <c r="EZ80">
        <v>0</v>
      </c>
      <c r="FA80">
        <v>0</v>
      </c>
      <c r="FB80">
        <v>0</v>
      </c>
      <c r="FD80">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row>
    <row r="81" spans="1:162">
      <c r="A81" t="s">
        <v>849</v>
      </c>
      <c r="B81" t="s">
        <v>849</v>
      </c>
      <c r="C81">
        <v>14356097</v>
      </c>
      <c r="D81">
        <v>14356097</v>
      </c>
      <c r="E81">
        <v>13424240</v>
      </c>
      <c r="F81">
        <v>0</v>
      </c>
      <c r="G81">
        <v>3065394</v>
      </c>
      <c r="H81">
        <v>2724251</v>
      </c>
      <c r="I81">
        <v>0</v>
      </c>
      <c r="J81">
        <v>20799</v>
      </c>
      <c r="K81">
        <v>20799</v>
      </c>
      <c r="L81">
        <v>0</v>
      </c>
      <c r="M81">
        <v>232157</v>
      </c>
      <c r="N81">
        <v>232157</v>
      </c>
      <c r="O81">
        <v>0</v>
      </c>
      <c r="P81">
        <v>546932</v>
      </c>
      <c r="Q81">
        <v>362149</v>
      </c>
      <c r="R81">
        <v>0</v>
      </c>
      <c r="S81">
        <v>684924</v>
      </c>
      <c r="T81">
        <v>344048</v>
      </c>
      <c r="U81">
        <v>0</v>
      </c>
      <c r="V81">
        <v>3007076</v>
      </c>
      <c r="W81" s="135">
        <v>2929349</v>
      </c>
      <c r="X81">
        <v>0</v>
      </c>
      <c r="Y81">
        <v>1875</v>
      </c>
      <c r="Z81">
        <v>398</v>
      </c>
      <c r="AA81">
        <v>0</v>
      </c>
      <c r="AB81">
        <v>24875</v>
      </c>
      <c r="AC81">
        <v>11806</v>
      </c>
      <c r="AD81">
        <v>0</v>
      </c>
      <c r="AE81">
        <v>2192103</v>
      </c>
      <c r="AF81">
        <v>2111135</v>
      </c>
      <c r="AG81">
        <v>0</v>
      </c>
      <c r="AH81">
        <v>121120</v>
      </c>
      <c r="AI81">
        <v>101961</v>
      </c>
      <c r="AJ81">
        <v>0</v>
      </c>
      <c r="AK81">
        <v>67792</v>
      </c>
      <c r="AL81">
        <v>44402</v>
      </c>
      <c r="AM81">
        <v>0</v>
      </c>
      <c r="AN81">
        <v>0</v>
      </c>
      <c r="AO81">
        <v>0</v>
      </c>
      <c r="AP81">
        <v>0</v>
      </c>
      <c r="AQ81">
        <v>0</v>
      </c>
      <c r="AR81">
        <v>0</v>
      </c>
      <c r="AS81">
        <v>0</v>
      </c>
      <c r="AT81">
        <v>474667</v>
      </c>
      <c r="AU81">
        <v>307663</v>
      </c>
      <c r="AV81">
        <v>0</v>
      </c>
      <c r="AW81">
        <v>1550536</v>
      </c>
      <c r="AX81">
        <v>1062979</v>
      </c>
      <c r="AY81">
        <v>0</v>
      </c>
      <c r="AZ81">
        <v>0</v>
      </c>
      <c r="BA81">
        <v>0</v>
      </c>
      <c r="BB81">
        <v>0</v>
      </c>
      <c r="BC81">
        <v>2605944</v>
      </c>
      <c r="BD81">
        <v>2610727</v>
      </c>
      <c r="BE81">
        <v>0</v>
      </c>
      <c r="BF81">
        <v>177468</v>
      </c>
      <c r="BG81">
        <v>177468</v>
      </c>
      <c r="BH81">
        <v>0</v>
      </c>
      <c r="BI81">
        <v>393853</v>
      </c>
      <c r="BJ81">
        <v>226021</v>
      </c>
      <c r="BK81">
        <v>0</v>
      </c>
      <c r="BL81">
        <v>337813</v>
      </c>
      <c r="BM81">
        <v>302474</v>
      </c>
      <c r="BN81">
        <v>0</v>
      </c>
      <c r="BO81">
        <v>325442</v>
      </c>
      <c r="BP81">
        <v>296998</v>
      </c>
      <c r="BQ81">
        <v>0</v>
      </c>
      <c r="BR81">
        <v>120549</v>
      </c>
      <c r="BS81">
        <v>108245</v>
      </c>
      <c r="BT81">
        <v>0</v>
      </c>
      <c r="BU81">
        <v>4700988</v>
      </c>
      <c r="BV81">
        <v>4412224</v>
      </c>
      <c r="BW81">
        <v>0</v>
      </c>
      <c r="BX81">
        <v>100000</v>
      </c>
      <c r="BY81">
        <v>0</v>
      </c>
      <c r="BZ81">
        <v>0</v>
      </c>
      <c r="CA81">
        <v>25100</v>
      </c>
      <c r="CB81">
        <v>25100</v>
      </c>
      <c r="CC81">
        <v>0</v>
      </c>
      <c r="CD81">
        <v>63292</v>
      </c>
      <c r="CE81">
        <v>36352</v>
      </c>
      <c r="CF81">
        <v>0</v>
      </c>
      <c r="CG81">
        <v>7000</v>
      </c>
      <c r="CH81">
        <v>0</v>
      </c>
      <c r="CI81">
        <v>0</v>
      </c>
      <c r="CJ81">
        <v>132507</v>
      </c>
      <c r="CK81">
        <v>73060</v>
      </c>
      <c r="CL81">
        <v>0</v>
      </c>
      <c r="CM81">
        <v>102160</v>
      </c>
      <c r="CN81">
        <v>103446</v>
      </c>
      <c r="CO81">
        <v>0</v>
      </c>
      <c r="CP81">
        <v>25000</v>
      </c>
      <c r="CQ81">
        <v>25000</v>
      </c>
      <c r="CR81">
        <v>0</v>
      </c>
      <c r="CS81">
        <v>0</v>
      </c>
      <c r="CT81">
        <v>0</v>
      </c>
      <c r="CU81">
        <v>0</v>
      </c>
      <c r="CV81">
        <v>54897</v>
      </c>
      <c r="CW81">
        <v>54897</v>
      </c>
      <c r="CX81">
        <v>0</v>
      </c>
      <c r="CY81">
        <v>204151</v>
      </c>
      <c r="CZ81">
        <v>204151</v>
      </c>
      <c r="DA81">
        <v>0</v>
      </c>
      <c r="DB81">
        <v>60000</v>
      </c>
      <c r="DC81">
        <v>35072</v>
      </c>
      <c r="DD81">
        <v>0</v>
      </c>
      <c r="DE81">
        <v>100000</v>
      </c>
      <c r="DF81">
        <v>52642</v>
      </c>
      <c r="DG81">
        <v>0</v>
      </c>
      <c r="DH81">
        <v>0</v>
      </c>
      <c r="DI81">
        <v>0</v>
      </c>
      <c r="DJ81">
        <v>0</v>
      </c>
      <c r="DK81">
        <v>3413130</v>
      </c>
      <c r="DL81">
        <v>2020387</v>
      </c>
      <c r="DM81">
        <v>0</v>
      </c>
      <c r="DN81">
        <v>0</v>
      </c>
      <c r="DO81">
        <v>0</v>
      </c>
      <c r="DP81">
        <v>0</v>
      </c>
      <c r="DQ81">
        <v>250000</v>
      </c>
      <c r="DR81">
        <v>235770</v>
      </c>
      <c r="DS81">
        <v>0</v>
      </c>
      <c r="DT81">
        <v>264887</v>
      </c>
      <c r="DU81" s="135">
        <v>185097</v>
      </c>
      <c r="DV81">
        <v>0</v>
      </c>
      <c r="DW81">
        <v>945376</v>
      </c>
      <c r="DX81">
        <v>254869</v>
      </c>
      <c r="DY81">
        <v>0</v>
      </c>
      <c r="DZ81">
        <v>257443</v>
      </c>
      <c r="EA81">
        <v>249556</v>
      </c>
      <c r="EB81">
        <v>0</v>
      </c>
      <c r="EC81">
        <v>31736</v>
      </c>
      <c r="ED81">
        <v>22045</v>
      </c>
      <c r="EE81">
        <v>0</v>
      </c>
      <c r="EF81">
        <v>0</v>
      </c>
      <c r="EG81">
        <v>0</v>
      </c>
      <c r="EH81">
        <v>0</v>
      </c>
      <c r="EI81">
        <v>100000</v>
      </c>
      <c r="EJ81">
        <v>50045</v>
      </c>
      <c r="EK81">
        <v>0</v>
      </c>
      <c r="EL81">
        <v>0</v>
      </c>
      <c r="EM81">
        <v>0</v>
      </c>
      <c r="EN81">
        <v>0</v>
      </c>
      <c r="EO81">
        <v>41093</v>
      </c>
      <c r="EP81">
        <v>41093</v>
      </c>
      <c r="EQ81">
        <v>0</v>
      </c>
      <c r="ER81">
        <v>87008</v>
      </c>
      <c r="ES81">
        <v>87008</v>
      </c>
      <c r="ET81">
        <v>0</v>
      </c>
      <c r="EU81">
        <v>16438745</v>
      </c>
      <c r="EV81">
        <v>16438745</v>
      </c>
      <c r="EW81">
        <v>2306975</v>
      </c>
      <c r="EX81">
        <v>0</v>
      </c>
      <c r="EY81">
        <v>6562120</v>
      </c>
      <c r="EZ81">
        <v>6562120</v>
      </c>
      <c r="FA81">
        <v>887401</v>
      </c>
      <c r="FB81">
        <v>0</v>
      </c>
      <c r="FD81">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38761460</v>
      </c>
      <c r="FF81" s="1129">
        <f>SUM(FF65:FF80)</f>
        <v>0</v>
      </c>
    </row>
    <row r="82" spans="1:162">
      <c r="A82" t="s">
        <v>850</v>
      </c>
      <c r="B82" t="s">
        <v>850</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0</v>
      </c>
      <c r="CN82">
        <v>0</v>
      </c>
      <c r="CO82">
        <v>0</v>
      </c>
      <c r="CP82">
        <v>0</v>
      </c>
      <c r="CQ82">
        <v>0</v>
      </c>
      <c r="CR82">
        <v>0</v>
      </c>
      <c r="CS82">
        <v>0</v>
      </c>
      <c r="CT82">
        <v>0</v>
      </c>
      <c r="CU82">
        <v>0</v>
      </c>
      <c r="CV82">
        <v>0</v>
      </c>
      <c r="CW82">
        <v>0</v>
      </c>
      <c r="CX82">
        <v>0</v>
      </c>
      <c r="CY82">
        <v>0</v>
      </c>
      <c r="CZ82">
        <v>0</v>
      </c>
      <c r="DA82">
        <v>0</v>
      </c>
      <c r="DB82">
        <v>0</v>
      </c>
      <c r="DC82">
        <v>0</v>
      </c>
      <c r="DD82">
        <v>0</v>
      </c>
      <c r="DE82">
        <v>0</v>
      </c>
      <c r="DF82">
        <v>0</v>
      </c>
      <c r="DG82">
        <v>0</v>
      </c>
      <c r="DH82">
        <v>0</v>
      </c>
      <c r="DI82">
        <v>0</v>
      </c>
      <c r="DJ82">
        <v>0</v>
      </c>
      <c r="DK82">
        <v>0</v>
      </c>
      <c r="DL82">
        <v>0</v>
      </c>
      <c r="DM82">
        <v>0</v>
      </c>
      <c r="DN82">
        <v>0</v>
      </c>
      <c r="DO82">
        <v>0</v>
      </c>
      <c r="DP82">
        <v>0</v>
      </c>
      <c r="DQ82">
        <v>0</v>
      </c>
      <c r="DR82">
        <v>0</v>
      </c>
      <c r="DS82">
        <v>0</v>
      </c>
      <c r="DT82">
        <v>0</v>
      </c>
      <c r="DU82">
        <v>0</v>
      </c>
      <c r="DV82">
        <v>0</v>
      </c>
      <c r="DW82">
        <v>0</v>
      </c>
      <c r="DX82">
        <v>0</v>
      </c>
      <c r="DY82">
        <v>0</v>
      </c>
      <c r="DZ82">
        <v>0</v>
      </c>
      <c r="EA82">
        <v>0</v>
      </c>
      <c r="EB82">
        <v>0</v>
      </c>
      <c r="EC82">
        <v>0</v>
      </c>
      <c r="ED82">
        <v>0</v>
      </c>
      <c r="EE82">
        <v>0</v>
      </c>
      <c r="EF82">
        <v>0</v>
      </c>
      <c r="EG82">
        <v>0</v>
      </c>
      <c r="EH82">
        <v>0</v>
      </c>
      <c r="EI82">
        <v>0</v>
      </c>
      <c r="EJ82">
        <v>0</v>
      </c>
      <c r="EK82">
        <v>0</v>
      </c>
      <c r="EL82">
        <v>0</v>
      </c>
      <c r="EM82">
        <v>0</v>
      </c>
      <c r="EN82">
        <v>0</v>
      </c>
      <c r="EO82">
        <v>0</v>
      </c>
      <c r="EP82">
        <v>0</v>
      </c>
      <c r="EQ82">
        <v>0</v>
      </c>
      <c r="ER82">
        <v>0</v>
      </c>
      <c r="ES82">
        <v>0</v>
      </c>
      <c r="ET82">
        <v>0</v>
      </c>
      <c r="EU82">
        <v>0</v>
      </c>
      <c r="EV82">
        <v>0</v>
      </c>
      <c r="EW82">
        <v>0</v>
      </c>
      <c r="EX82">
        <v>0</v>
      </c>
      <c r="EY82">
        <v>0</v>
      </c>
      <c r="EZ82">
        <v>0</v>
      </c>
      <c r="FA82">
        <v>0</v>
      </c>
      <c r="FB82">
        <v>0</v>
      </c>
      <c r="FD82">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row>
    <row r="83" spans="1:162">
      <c r="A83" t="s">
        <v>427</v>
      </c>
      <c r="B83" t="s">
        <v>427</v>
      </c>
      <c r="C83">
        <v>-414844</v>
      </c>
      <c r="D83">
        <v>-414844</v>
      </c>
      <c r="E83">
        <v>1132277</v>
      </c>
      <c r="F83">
        <v>0</v>
      </c>
      <c r="G83">
        <v>-973499</v>
      </c>
      <c r="H83">
        <v>-1125675</v>
      </c>
      <c r="I83">
        <v>0</v>
      </c>
      <c r="J83">
        <v>-2799</v>
      </c>
      <c r="K83">
        <v>-1939</v>
      </c>
      <c r="L83">
        <v>0</v>
      </c>
      <c r="M83">
        <v>-7157</v>
      </c>
      <c r="N83">
        <v>45314</v>
      </c>
      <c r="O83">
        <v>0</v>
      </c>
      <c r="P83">
        <v>-159482</v>
      </c>
      <c r="Q83">
        <v>45817</v>
      </c>
      <c r="R83">
        <v>0</v>
      </c>
      <c r="S83">
        <v>181987</v>
      </c>
      <c r="T83">
        <v>241330</v>
      </c>
      <c r="U83">
        <v>0</v>
      </c>
      <c r="V83">
        <v>1301007</v>
      </c>
      <c r="W83" s="135">
        <v>1783166</v>
      </c>
      <c r="X83">
        <v>0</v>
      </c>
      <c r="Y83">
        <v>0</v>
      </c>
      <c r="Z83">
        <v>1228</v>
      </c>
      <c r="AA83">
        <v>0</v>
      </c>
      <c r="AB83">
        <v>125</v>
      </c>
      <c r="AC83">
        <v>13155</v>
      </c>
      <c r="AD83">
        <v>0</v>
      </c>
      <c r="AE83">
        <v>-44332</v>
      </c>
      <c r="AF83">
        <v>60088</v>
      </c>
      <c r="AG83">
        <v>0</v>
      </c>
      <c r="AH83">
        <v>49607</v>
      </c>
      <c r="AI83">
        <v>73274</v>
      </c>
      <c r="AJ83">
        <v>0</v>
      </c>
      <c r="AK83">
        <v>-48990</v>
      </c>
      <c r="AL83">
        <v>-25420</v>
      </c>
      <c r="AM83">
        <v>0</v>
      </c>
      <c r="AN83">
        <v>0</v>
      </c>
      <c r="AO83">
        <v>0</v>
      </c>
      <c r="AP83">
        <v>0</v>
      </c>
      <c r="AQ83">
        <v>1683000</v>
      </c>
      <c r="AR83">
        <v>1577209</v>
      </c>
      <c r="AS83">
        <v>0</v>
      </c>
      <c r="AT83">
        <v>-23948</v>
      </c>
      <c r="AU83">
        <v>170727</v>
      </c>
      <c r="AV83">
        <v>0</v>
      </c>
      <c r="AW83">
        <v>-615034</v>
      </c>
      <c r="AX83">
        <v>-130126</v>
      </c>
      <c r="AY83">
        <v>0</v>
      </c>
      <c r="AZ83">
        <v>0</v>
      </c>
      <c r="BA83">
        <v>19</v>
      </c>
      <c r="BB83">
        <v>0</v>
      </c>
      <c r="BC83">
        <v>-170342</v>
      </c>
      <c r="BD83">
        <v>-86782</v>
      </c>
      <c r="BE83">
        <v>0</v>
      </c>
      <c r="BF83">
        <v>2016</v>
      </c>
      <c r="BG83">
        <v>5375</v>
      </c>
      <c r="BH83">
        <v>0</v>
      </c>
      <c r="BI83">
        <v>-161163</v>
      </c>
      <c r="BJ83">
        <v>7612</v>
      </c>
      <c r="BK83">
        <v>0</v>
      </c>
      <c r="BL83">
        <v>-337813</v>
      </c>
      <c r="BM83">
        <v>-302474</v>
      </c>
      <c r="BN83">
        <v>0</v>
      </c>
      <c r="BO83">
        <v>-70642</v>
      </c>
      <c r="BP83">
        <v>2968</v>
      </c>
      <c r="BQ83">
        <v>0</v>
      </c>
      <c r="BR83">
        <v>7951</v>
      </c>
      <c r="BS83">
        <v>-13275</v>
      </c>
      <c r="BT83">
        <v>0</v>
      </c>
      <c r="BU83">
        <v>270403</v>
      </c>
      <c r="BV83">
        <v>449098</v>
      </c>
      <c r="BW83">
        <v>0</v>
      </c>
      <c r="BX83">
        <v>-95000</v>
      </c>
      <c r="BY83">
        <v>43709</v>
      </c>
      <c r="BZ83">
        <v>0</v>
      </c>
      <c r="CA83">
        <v>423</v>
      </c>
      <c r="CB83">
        <v>8341</v>
      </c>
      <c r="CC83">
        <v>0</v>
      </c>
      <c r="CD83">
        <v>-20292</v>
      </c>
      <c r="CE83">
        <v>5603</v>
      </c>
      <c r="CF83">
        <v>0</v>
      </c>
      <c r="CG83">
        <v>-7000</v>
      </c>
      <c r="CH83">
        <v>94</v>
      </c>
      <c r="CI83">
        <v>0</v>
      </c>
      <c r="CJ83">
        <v>-62507</v>
      </c>
      <c r="CK83">
        <v>-54351</v>
      </c>
      <c r="CL83">
        <v>0</v>
      </c>
      <c r="CM83">
        <v>-51560</v>
      </c>
      <c r="CN83">
        <v>-93882</v>
      </c>
      <c r="CO83">
        <v>0</v>
      </c>
      <c r="CP83">
        <v>-24850</v>
      </c>
      <c r="CQ83">
        <v>-24023</v>
      </c>
      <c r="CR83">
        <v>0</v>
      </c>
      <c r="CS83">
        <v>0</v>
      </c>
      <c r="CT83">
        <v>2070</v>
      </c>
      <c r="CU83">
        <v>0</v>
      </c>
      <c r="CV83">
        <v>-5000</v>
      </c>
      <c r="CW83">
        <v>-26043</v>
      </c>
      <c r="CX83">
        <v>0</v>
      </c>
      <c r="CY83">
        <v>-30000</v>
      </c>
      <c r="CZ83">
        <v>-17255</v>
      </c>
      <c r="DA83">
        <v>0</v>
      </c>
      <c r="DB83">
        <v>-48375</v>
      </c>
      <c r="DC83">
        <v>-18493</v>
      </c>
      <c r="DD83">
        <v>0</v>
      </c>
      <c r="DE83">
        <v>-72800</v>
      </c>
      <c r="DF83">
        <v>-25399</v>
      </c>
      <c r="DG83">
        <v>0</v>
      </c>
      <c r="DH83">
        <v>0</v>
      </c>
      <c r="DI83">
        <v>0</v>
      </c>
      <c r="DJ83">
        <v>0</v>
      </c>
      <c r="DK83">
        <v>-3413130</v>
      </c>
      <c r="DL83">
        <v>-1953709</v>
      </c>
      <c r="DM83">
        <v>0</v>
      </c>
      <c r="DN83">
        <v>0</v>
      </c>
      <c r="DO83">
        <v>175319</v>
      </c>
      <c r="DP83">
        <v>0</v>
      </c>
      <c r="DQ83">
        <v>0</v>
      </c>
      <c r="DR83">
        <v>0</v>
      </c>
      <c r="DS83">
        <v>0</v>
      </c>
      <c r="DT83">
        <v>-4887</v>
      </c>
      <c r="DU83" s="135">
        <v>87682</v>
      </c>
      <c r="DV83">
        <v>0</v>
      </c>
      <c r="DW83">
        <v>-606767</v>
      </c>
      <c r="DX83">
        <v>83741</v>
      </c>
      <c r="DY83">
        <v>0</v>
      </c>
      <c r="DZ83">
        <v>-12898</v>
      </c>
      <c r="EA83">
        <v>61135</v>
      </c>
      <c r="EB83">
        <v>0</v>
      </c>
      <c r="EC83">
        <v>50</v>
      </c>
      <c r="ED83">
        <v>-22045</v>
      </c>
      <c r="EE83">
        <v>0</v>
      </c>
      <c r="EF83">
        <v>0</v>
      </c>
      <c r="EG83">
        <v>0</v>
      </c>
      <c r="EH83">
        <v>0</v>
      </c>
      <c r="EI83">
        <v>88726</v>
      </c>
      <c r="EJ83">
        <v>50756</v>
      </c>
      <c r="EK83">
        <v>0</v>
      </c>
      <c r="EL83">
        <v>0</v>
      </c>
      <c r="EM83">
        <v>0</v>
      </c>
      <c r="EN83">
        <v>0</v>
      </c>
      <c r="EO83">
        <v>-15714</v>
      </c>
      <c r="EP83">
        <v>-16741</v>
      </c>
      <c r="EQ83">
        <v>0</v>
      </c>
      <c r="ER83">
        <v>50000</v>
      </c>
      <c r="ES83">
        <v>17217</v>
      </c>
      <c r="ET83">
        <v>0</v>
      </c>
      <c r="EU83">
        <v>-14405203</v>
      </c>
      <c r="EV83">
        <v>-14405203</v>
      </c>
      <c r="EW83">
        <v>-698120</v>
      </c>
      <c r="EX83">
        <v>0</v>
      </c>
      <c r="EY83">
        <v>-5226608</v>
      </c>
      <c r="EZ83">
        <v>-5226608</v>
      </c>
      <c r="FA83">
        <v>993674</v>
      </c>
      <c r="FB83">
        <v>0</v>
      </c>
      <c r="FD83">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2502246</v>
      </c>
      <c r="FF83">
        <f>+FF54-FF81</f>
        <v>0</v>
      </c>
    </row>
    <row r="84" spans="1:162">
      <c r="A84" t="s">
        <v>1167</v>
      </c>
      <c r="B84" t="s">
        <v>1167</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0</v>
      </c>
      <c r="CO84">
        <v>0</v>
      </c>
      <c r="CP84">
        <v>0</v>
      </c>
      <c r="CQ84">
        <v>0</v>
      </c>
      <c r="CR84">
        <v>0</v>
      </c>
      <c r="CS84">
        <v>0</v>
      </c>
      <c r="CT84">
        <v>0</v>
      </c>
      <c r="CU84">
        <v>0</v>
      </c>
      <c r="CV84">
        <v>0</v>
      </c>
      <c r="CW84">
        <v>0</v>
      </c>
      <c r="CX84">
        <v>0</v>
      </c>
      <c r="CY84">
        <v>0</v>
      </c>
      <c r="CZ84">
        <v>0</v>
      </c>
      <c r="DA84">
        <v>0</v>
      </c>
      <c r="DB84">
        <v>0</v>
      </c>
      <c r="DC84">
        <v>0</v>
      </c>
      <c r="DD84">
        <v>0</v>
      </c>
      <c r="DE84">
        <v>0</v>
      </c>
      <c r="DF84">
        <v>0</v>
      </c>
      <c r="DG84">
        <v>0</v>
      </c>
      <c r="DH84">
        <v>0</v>
      </c>
      <c r="DI84">
        <v>0</v>
      </c>
      <c r="DJ84">
        <v>0</v>
      </c>
      <c r="DK84">
        <v>0</v>
      </c>
      <c r="DL84">
        <v>0</v>
      </c>
      <c r="DM84">
        <v>0</v>
      </c>
      <c r="DN84">
        <v>0</v>
      </c>
      <c r="DO84">
        <v>0</v>
      </c>
      <c r="DP84">
        <v>0</v>
      </c>
      <c r="DQ84">
        <v>0</v>
      </c>
      <c r="DR84">
        <v>0</v>
      </c>
      <c r="DS84">
        <v>0</v>
      </c>
      <c r="DT84">
        <v>0</v>
      </c>
      <c r="DU84">
        <v>0</v>
      </c>
      <c r="DV84">
        <v>0</v>
      </c>
      <c r="DW84">
        <v>0</v>
      </c>
      <c r="DX84">
        <v>0</v>
      </c>
      <c r="DY84">
        <v>0</v>
      </c>
      <c r="DZ84">
        <v>0</v>
      </c>
      <c r="EA84">
        <v>0</v>
      </c>
      <c r="EB84">
        <v>0</v>
      </c>
      <c r="EC84">
        <v>0</v>
      </c>
      <c r="ED84">
        <v>0</v>
      </c>
      <c r="EE84">
        <v>0</v>
      </c>
      <c r="EF84">
        <v>0</v>
      </c>
      <c r="EG84">
        <v>0</v>
      </c>
      <c r="EH84">
        <v>0</v>
      </c>
      <c r="EI84">
        <v>0</v>
      </c>
      <c r="EJ84">
        <v>0</v>
      </c>
      <c r="EK84">
        <v>0</v>
      </c>
      <c r="EL84">
        <v>0</v>
      </c>
      <c r="EM84">
        <v>0</v>
      </c>
      <c r="EN84">
        <v>0</v>
      </c>
      <c r="EO84">
        <v>0</v>
      </c>
      <c r="EP84">
        <v>0</v>
      </c>
      <c r="EQ84">
        <v>0</v>
      </c>
      <c r="ER84">
        <v>0</v>
      </c>
      <c r="ES84">
        <v>0</v>
      </c>
      <c r="ET84">
        <v>0</v>
      </c>
      <c r="EU84">
        <v>0</v>
      </c>
      <c r="EV84">
        <v>0</v>
      </c>
      <c r="EW84">
        <v>0</v>
      </c>
      <c r="EX84">
        <v>0</v>
      </c>
      <c r="EY84">
        <v>0</v>
      </c>
      <c r="EZ84">
        <v>0</v>
      </c>
      <c r="FA84">
        <v>0</v>
      </c>
      <c r="FB84">
        <v>0</v>
      </c>
      <c r="FD84">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row>
    <row r="85" spans="1:162">
      <c r="A85" t="s">
        <v>428</v>
      </c>
      <c r="B85" t="s">
        <v>428</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c r="CR85">
        <v>0</v>
      </c>
      <c r="CS85">
        <v>0</v>
      </c>
      <c r="CT85">
        <v>0</v>
      </c>
      <c r="CU85">
        <v>0</v>
      </c>
      <c r="CV85">
        <v>0</v>
      </c>
      <c r="CW85">
        <v>0</v>
      </c>
      <c r="CX85">
        <v>0</v>
      </c>
      <c r="CY85">
        <v>0</v>
      </c>
      <c r="CZ85">
        <v>0</v>
      </c>
      <c r="DA85">
        <v>0</v>
      </c>
      <c r="DB85">
        <v>0</v>
      </c>
      <c r="DC85">
        <v>0</v>
      </c>
      <c r="DD85">
        <v>0</v>
      </c>
      <c r="DE85">
        <v>0</v>
      </c>
      <c r="DF85">
        <v>0</v>
      </c>
      <c r="DG85">
        <v>0</v>
      </c>
      <c r="DH85">
        <v>0</v>
      </c>
      <c r="DI85">
        <v>0</v>
      </c>
      <c r="DJ85">
        <v>0</v>
      </c>
      <c r="DK85">
        <v>0</v>
      </c>
      <c r="DL85">
        <v>0</v>
      </c>
      <c r="DM85">
        <v>0</v>
      </c>
      <c r="DN85">
        <v>0</v>
      </c>
      <c r="DO85">
        <v>0</v>
      </c>
      <c r="DP85">
        <v>0</v>
      </c>
      <c r="DQ85">
        <v>0</v>
      </c>
      <c r="DR85">
        <v>0</v>
      </c>
      <c r="DS85">
        <v>0</v>
      </c>
      <c r="DT85">
        <v>0</v>
      </c>
      <c r="DU85">
        <v>0</v>
      </c>
      <c r="DV85">
        <v>0</v>
      </c>
      <c r="DW85">
        <v>0</v>
      </c>
      <c r="DX85">
        <v>0</v>
      </c>
      <c r="DY85">
        <v>0</v>
      </c>
      <c r="DZ85">
        <v>0</v>
      </c>
      <c r="EA85">
        <v>0</v>
      </c>
      <c r="EB85">
        <v>0</v>
      </c>
      <c r="EC85">
        <v>0</v>
      </c>
      <c r="ED85">
        <v>0</v>
      </c>
      <c r="EE85">
        <v>0</v>
      </c>
      <c r="EF85">
        <v>0</v>
      </c>
      <c r="EG85">
        <v>0</v>
      </c>
      <c r="EH85">
        <v>0</v>
      </c>
      <c r="EI85">
        <v>0</v>
      </c>
      <c r="EJ85">
        <v>0</v>
      </c>
      <c r="EK85">
        <v>0</v>
      </c>
      <c r="EL85">
        <v>0</v>
      </c>
      <c r="EM85">
        <v>0</v>
      </c>
      <c r="EN85">
        <v>0</v>
      </c>
      <c r="EO85">
        <v>0</v>
      </c>
      <c r="EP85">
        <v>0</v>
      </c>
      <c r="EQ85">
        <v>0</v>
      </c>
      <c r="ER85">
        <v>0</v>
      </c>
      <c r="ES85">
        <v>0</v>
      </c>
      <c r="ET85">
        <v>0</v>
      </c>
      <c r="EU85" s="21">
        <v>0</v>
      </c>
      <c r="EV85" s="21">
        <v>0</v>
      </c>
      <c r="EW85" s="21">
        <v>0</v>
      </c>
      <c r="EX85" s="21">
        <v>0</v>
      </c>
      <c r="EY85" s="21">
        <v>0</v>
      </c>
      <c r="EZ85" s="21">
        <v>0</v>
      </c>
      <c r="FA85" s="21">
        <v>0</v>
      </c>
      <c r="FB85" s="21">
        <v>0</v>
      </c>
      <c r="FC85" s="21"/>
      <c r="FD85">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c r="FE85" s="21"/>
      <c r="FF85" s="21" t="s">
        <v>3344</v>
      </c>
    </row>
    <row r="86" spans="1:162">
      <c r="A86" t="s">
        <v>429</v>
      </c>
      <c r="B86" t="s">
        <v>429</v>
      </c>
      <c r="C86">
        <v>693162</v>
      </c>
      <c r="D86">
        <v>693162</v>
      </c>
      <c r="E86">
        <v>599925</v>
      </c>
      <c r="F86">
        <v>0</v>
      </c>
      <c r="G86">
        <v>781017</v>
      </c>
      <c r="H86">
        <v>727830</v>
      </c>
      <c r="I86">
        <v>0</v>
      </c>
      <c r="J86">
        <v>0</v>
      </c>
      <c r="K86">
        <v>0</v>
      </c>
      <c r="L86">
        <v>0</v>
      </c>
      <c r="M86">
        <v>0</v>
      </c>
      <c r="N86">
        <v>0</v>
      </c>
      <c r="O86">
        <v>0</v>
      </c>
      <c r="P86">
        <v>17944</v>
      </c>
      <c r="Q86">
        <v>14446</v>
      </c>
      <c r="R86">
        <v>0</v>
      </c>
      <c r="S86">
        <v>0</v>
      </c>
      <c r="T86">
        <v>5640</v>
      </c>
      <c r="U86">
        <v>0</v>
      </c>
      <c r="V86">
        <v>213351</v>
      </c>
      <c r="W86">
        <v>212430</v>
      </c>
      <c r="X86">
        <v>0</v>
      </c>
      <c r="Y86">
        <v>0</v>
      </c>
      <c r="Z86">
        <v>0</v>
      </c>
      <c r="AA86">
        <v>0</v>
      </c>
      <c r="AB86">
        <v>0</v>
      </c>
      <c r="AC86">
        <v>0</v>
      </c>
      <c r="AD86">
        <v>0</v>
      </c>
      <c r="AE86">
        <v>84900</v>
      </c>
      <c r="AF86">
        <v>82358</v>
      </c>
      <c r="AG86">
        <v>0</v>
      </c>
      <c r="AH86">
        <v>0</v>
      </c>
      <c r="AI86">
        <v>0</v>
      </c>
      <c r="AJ86">
        <v>0</v>
      </c>
      <c r="AK86">
        <v>25000</v>
      </c>
      <c r="AL86">
        <v>40000</v>
      </c>
      <c r="AM86">
        <v>0</v>
      </c>
      <c r="AN86">
        <v>0</v>
      </c>
      <c r="AO86">
        <v>0</v>
      </c>
      <c r="AP86">
        <v>0</v>
      </c>
      <c r="AQ86">
        <v>0</v>
      </c>
      <c r="AR86">
        <v>0</v>
      </c>
      <c r="AS86">
        <v>0</v>
      </c>
      <c r="AT86">
        <v>17500</v>
      </c>
      <c r="AU86">
        <v>12220</v>
      </c>
      <c r="AV86">
        <v>0</v>
      </c>
      <c r="AW86">
        <v>45363</v>
      </c>
      <c r="AX86">
        <v>43710</v>
      </c>
      <c r="AY86">
        <v>0</v>
      </c>
      <c r="AZ86">
        <v>0</v>
      </c>
      <c r="BA86">
        <v>0</v>
      </c>
      <c r="BB86">
        <v>0</v>
      </c>
      <c r="BC86">
        <v>440848</v>
      </c>
      <c r="BD86">
        <v>434813</v>
      </c>
      <c r="BE86">
        <v>0</v>
      </c>
      <c r="BF86">
        <v>0</v>
      </c>
      <c r="BG86">
        <v>0</v>
      </c>
      <c r="BH86">
        <v>0</v>
      </c>
      <c r="BI86">
        <v>5040</v>
      </c>
      <c r="BJ86">
        <v>5640</v>
      </c>
      <c r="BK86">
        <v>0</v>
      </c>
      <c r="BL86">
        <v>460000</v>
      </c>
      <c r="BM86">
        <v>342640</v>
      </c>
      <c r="BN86">
        <v>0</v>
      </c>
      <c r="BO86">
        <v>50000</v>
      </c>
      <c r="BP86">
        <v>50000</v>
      </c>
      <c r="BQ86">
        <v>0</v>
      </c>
      <c r="BR86">
        <v>5000</v>
      </c>
      <c r="BS86">
        <v>5640</v>
      </c>
      <c r="BT86">
        <v>0</v>
      </c>
      <c r="BU86">
        <v>154992</v>
      </c>
      <c r="BV86">
        <v>202447</v>
      </c>
      <c r="BW86">
        <v>0</v>
      </c>
      <c r="BX86">
        <v>0</v>
      </c>
      <c r="BY86">
        <v>0</v>
      </c>
      <c r="BZ86">
        <v>0</v>
      </c>
      <c r="CA86">
        <v>0</v>
      </c>
      <c r="CB86">
        <v>0</v>
      </c>
      <c r="CC86">
        <v>0</v>
      </c>
      <c r="CD86">
        <v>0</v>
      </c>
      <c r="CE86">
        <v>0</v>
      </c>
      <c r="CF86">
        <v>0</v>
      </c>
      <c r="CG86">
        <v>0</v>
      </c>
      <c r="CH86">
        <v>0</v>
      </c>
      <c r="CI86">
        <v>0</v>
      </c>
      <c r="CJ86">
        <v>0</v>
      </c>
      <c r="CK86">
        <v>0</v>
      </c>
      <c r="CL86">
        <v>0</v>
      </c>
      <c r="CM86">
        <v>0</v>
      </c>
      <c r="CN86">
        <v>0</v>
      </c>
      <c r="CO86">
        <v>0</v>
      </c>
      <c r="CP86">
        <v>0</v>
      </c>
      <c r="CQ86">
        <v>0</v>
      </c>
      <c r="CR86">
        <v>0</v>
      </c>
      <c r="CS86">
        <v>0</v>
      </c>
      <c r="CT86">
        <v>0</v>
      </c>
      <c r="CU86">
        <v>0</v>
      </c>
      <c r="CV86">
        <v>0</v>
      </c>
      <c r="CW86">
        <v>0</v>
      </c>
      <c r="CX86">
        <v>0</v>
      </c>
      <c r="CY86">
        <v>0</v>
      </c>
      <c r="CZ86">
        <v>0</v>
      </c>
      <c r="DA86">
        <v>0</v>
      </c>
      <c r="DB86">
        <v>0</v>
      </c>
      <c r="DC86">
        <v>0</v>
      </c>
      <c r="DD86">
        <v>0</v>
      </c>
      <c r="DE86">
        <v>0</v>
      </c>
      <c r="DF86">
        <v>0</v>
      </c>
      <c r="DG86">
        <v>0</v>
      </c>
      <c r="DH86">
        <v>0</v>
      </c>
      <c r="DI86">
        <v>0</v>
      </c>
      <c r="DJ86">
        <v>0</v>
      </c>
      <c r="DK86">
        <v>0</v>
      </c>
      <c r="DL86">
        <v>0</v>
      </c>
      <c r="DM86">
        <v>0</v>
      </c>
      <c r="DN86">
        <v>0</v>
      </c>
      <c r="DO86">
        <v>0</v>
      </c>
      <c r="DP86">
        <v>0</v>
      </c>
      <c r="DQ86">
        <v>0</v>
      </c>
      <c r="DR86">
        <v>0</v>
      </c>
      <c r="DS86">
        <v>0</v>
      </c>
      <c r="DT86">
        <v>0</v>
      </c>
      <c r="DU86">
        <v>0</v>
      </c>
      <c r="DV86">
        <v>0</v>
      </c>
      <c r="DW86">
        <v>46547</v>
      </c>
      <c r="DX86">
        <v>12743</v>
      </c>
      <c r="DY86">
        <v>0</v>
      </c>
      <c r="DZ86">
        <v>0</v>
      </c>
      <c r="EA86">
        <v>5640</v>
      </c>
      <c r="EB86">
        <v>0</v>
      </c>
      <c r="EC86">
        <v>0</v>
      </c>
      <c r="ED86">
        <v>0</v>
      </c>
      <c r="EE86">
        <v>0</v>
      </c>
      <c r="EF86">
        <v>0</v>
      </c>
      <c r="EG86">
        <v>0</v>
      </c>
      <c r="EH86">
        <v>0</v>
      </c>
      <c r="EI86">
        <v>0</v>
      </c>
      <c r="EJ86">
        <v>0</v>
      </c>
      <c r="EK86">
        <v>0</v>
      </c>
      <c r="EL86">
        <v>0</v>
      </c>
      <c r="EM86">
        <v>0</v>
      </c>
      <c r="EN86">
        <v>0</v>
      </c>
      <c r="EO86">
        <v>0</v>
      </c>
      <c r="EP86">
        <v>0</v>
      </c>
      <c r="EQ86">
        <v>0</v>
      </c>
      <c r="ER86">
        <v>0</v>
      </c>
      <c r="ES86">
        <v>0</v>
      </c>
      <c r="ET86">
        <v>0</v>
      </c>
      <c r="EU86">
        <v>0</v>
      </c>
      <c r="EV86">
        <v>0</v>
      </c>
      <c r="EW86">
        <v>0</v>
      </c>
      <c r="EX86">
        <v>0</v>
      </c>
      <c r="EY86">
        <v>0</v>
      </c>
      <c r="EZ86">
        <v>0</v>
      </c>
      <c r="FA86">
        <v>11447</v>
      </c>
      <c r="FB86">
        <v>0</v>
      </c>
      <c r="FD86">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2809569</v>
      </c>
      <c r="FF86" s="128"/>
    </row>
    <row r="87" spans="1:162">
      <c r="A87" t="s">
        <v>430</v>
      </c>
      <c r="B87" t="s">
        <v>430</v>
      </c>
      <c r="C87">
        <v>-775090</v>
      </c>
      <c r="D87">
        <v>-775090</v>
      </c>
      <c r="E87">
        <v>-765090</v>
      </c>
      <c r="F87">
        <v>0</v>
      </c>
      <c r="G87">
        <v>0</v>
      </c>
      <c r="H87" s="128">
        <f>-60815+FF87</f>
        <v>-60816</v>
      </c>
      <c r="I87">
        <v>0</v>
      </c>
      <c r="J87">
        <v>0</v>
      </c>
      <c r="K87">
        <v>0</v>
      </c>
      <c r="L87">
        <v>0</v>
      </c>
      <c r="M87">
        <v>0</v>
      </c>
      <c r="N87">
        <v>0</v>
      </c>
      <c r="O87">
        <v>0</v>
      </c>
      <c r="P87">
        <v>0</v>
      </c>
      <c r="Q87">
        <v>-8025</v>
      </c>
      <c r="R87">
        <v>0</v>
      </c>
      <c r="S87">
        <v>0</v>
      </c>
      <c r="T87">
        <v>0</v>
      </c>
      <c r="U87">
        <v>0</v>
      </c>
      <c r="V87">
        <v>-1931376</v>
      </c>
      <c r="W87">
        <v>-1955024</v>
      </c>
      <c r="X87">
        <v>0</v>
      </c>
      <c r="Y87">
        <v>0</v>
      </c>
      <c r="Z87">
        <v>0</v>
      </c>
      <c r="AA87">
        <v>0</v>
      </c>
      <c r="AB87">
        <v>0</v>
      </c>
      <c r="AC87">
        <v>0</v>
      </c>
      <c r="AD87">
        <v>0</v>
      </c>
      <c r="AE87">
        <v>-5000</v>
      </c>
      <c r="AF87">
        <v>-5000</v>
      </c>
      <c r="AG87">
        <v>0</v>
      </c>
      <c r="AH87">
        <v>-75000</v>
      </c>
      <c r="AI87">
        <v>-75000</v>
      </c>
      <c r="AJ87">
        <v>0</v>
      </c>
      <c r="AK87">
        <v>-3000</v>
      </c>
      <c r="AL87">
        <v>-3000</v>
      </c>
      <c r="AM87">
        <v>0</v>
      </c>
      <c r="AN87">
        <v>0</v>
      </c>
      <c r="AO87">
        <v>0</v>
      </c>
      <c r="AP87">
        <v>0</v>
      </c>
      <c r="AQ87">
        <v>-1843254</v>
      </c>
      <c r="AR87" s="128">
        <v>-1589670</v>
      </c>
      <c r="AS87">
        <v>0</v>
      </c>
      <c r="AT87">
        <v>-150000</v>
      </c>
      <c r="AU87">
        <v>-150000</v>
      </c>
      <c r="AV87">
        <v>0</v>
      </c>
      <c r="AW87">
        <v>-27000</v>
      </c>
      <c r="AX87">
        <v>-15614</v>
      </c>
      <c r="AY87">
        <v>0</v>
      </c>
      <c r="AZ87">
        <v>0</v>
      </c>
      <c r="BA87">
        <v>0</v>
      </c>
      <c r="BB87">
        <v>0</v>
      </c>
      <c r="BC87">
        <v>-426017</v>
      </c>
      <c r="BD87">
        <v>-352040</v>
      </c>
      <c r="BE87">
        <v>0</v>
      </c>
      <c r="BF87">
        <v>-3000</v>
      </c>
      <c r="BG87">
        <v>-3000</v>
      </c>
      <c r="BH87">
        <v>0</v>
      </c>
      <c r="BI87">
        <v>-12000</v>
      </c>
      <c r="BJ87">
        <v>-12000</v>
      </c>
      <c r="BK87">
        <v>0</v>
      </c>
      <c r="BL87">
        <v>0</v>
      </c>
      <c r="BM87">
        <v>0</v>
      </c>
      <c r="BN87">
        <v>0</v>
      </c>
      <c r="BO87">
        <v>0</v>
      </c>
      <c r="BP87">
        <v>0</v>
      </c>
      <c r="BQ87">
        <v>0</v>
      </c>
      <c r="BR87">
        <v>-31000</v>
      </c>
      <c r="BS87">
        <v>-31000</v>
      </c>
      <c r="BT87">
        <v>0</v>
      </c>
      <c r="BU87">
        <v>-538472</v>
      </c>
      <c r="BV87" s="850">
        <v>-323579</v>
      </c>
      <c r="BW87">
        <v>0</v>
      </c>
      <c r="BX87">
        <v>0</v>
      </c>
      <c r="BY87">
        <v>0</v>
      </c>
      <c r="BZ87">
        <v>0</v>
      </c>
      <c r="CA87">
        <v>0</v>
      </c>
      <c r="CB87">
        <v>0</v>
      </c>
      <c r="CC87">
        <v>0</v>
      </c>
      <c r="CD87">
        <v>-12500</v>
      </c>
      <c r="CE87">
        <v>-360</v>
      </c>
      <c r="CF87">
        <v>0</v>
      </c>
      <c r="CG87">
        <v>0</v>
      </c>
      <c r="CH87">
        <v>0</v>
      </c>
      <c r="CI87">
        <v>0</v>
      </c>
      <c r="CJ87">
        <v>-5000</v>
      </c>
      <c r="CK87">
        <v>0</v>
      </c>
      <c r="CL87">
        <v>0</v>
      </c>
      <c r="CM87">
        <v>0</v>
      </c>
      <c r="CN87">
        <v>0</v>
      </c>
      <c r="CO87">
        <v>0</v>
      </c>
      <c r="CP87">
        <v>0</v>
      </c>
      <c r="CQ87">
        <v>0</v>
      </c>
      <c r="CR87">
        <v>0</v>
      </c>
      <c r="CS87">
        <v>0</v>
      </c>
      <c r="CT87">
        <v>0</v>
      </c>
      <c r="CU87">
        <v>0</v>
      </c>
      <c r="CV87">
        <v>0</v>
      </c>
      <c r="CW87">
        <v>0</v>
      </c>
      <c r="CX87">
        <v>0</v>
      </c>
      <c r="CY87">
        <v>0</v>
      </c>
      <c r="CZ87">
        <v>0</v>
      </c>
      <c r="DA87">
        <v>0</v>
      </c>
      <c r="DB87">
        <v>0</v>
      </c>
      <c r="DC87">
        <v>0</v>
      </c>
      <c r="DD87">
        <v>0</v>
      </c>
      <c r="DE87">
        <v>0</v>
      </c>
      <c r="DF87">
        <v>0</v>
      </c>
      <c r="DG87">
        <v>0</v>
      </c>
      <c r="DH87">
        <v>0</v>
      </c>
      <c r="DI87">
        <v>0</v>
      </c>
      <c r="DJ87">
        <v>0</v>
      </c>
      <c r="DK87">
        <v>0</v>
      </c>
      <c r="DL87">
        <v>0</v>
      </c>
      <c r="DM87">
        <v>0</v>
      </c>
      <c r="DN87">
        <v>0</v>
      </c>
      <c r="DO87">
        <v>0</v>
      </c>
      <c r="DP87">
        <v>0</v>
      </c>
      <c r="DQ87">
        <v>0</v>
      </c>
      <c r="DR87">
        <v>0</v>
      </c>
      <c r="DS87">
        <v>0</v>
      </c>
      <c r="DT87">
        <v>-56000</v>
      </c>
      <c r="DU87">
        <v>-56000</v>
      </c>
      <c r="DV87">
        <v>0</v>
      </c>
      <c r="DW87">
        <v>0</v>
      </c>
      <c r="DX87">
        <v>0</v>
      </c>
      <c r="DY87">
        <v>0</v>
      </c>
      <c r="DZ87">
        <v>0</v>
      </c>
      <c r="EA87">
        <v>0</v>
      </c>
      <c r="EB87">
        <v>0</v>
      </c>
      <c r="EC87">
        <v>0</v>
      </c>
      <c r="ED87">
        <v>0</v>
      </c>
      <c r="EE87">
        <v>0</v>
      </c>
      <c r="EF87">
        <v>0</v>
      </c>
      <c r="EG87">
        <v>0</v>
      </c>
      <c r="EH87">
        <v>0</v>
      </c>
      <c r="EI87">
        <v>0</v>
      </c>
      <c r="EJ87">
        <v>0</v>
      </c>
      <c r="EK87">
        <v>0</v>
      </c>
      <c r="EL87">
        <v>0</v>
      </c>
      <c r="EM87">
        <v>0</v>
      </c>
      <c r="EN87">
        <v>0</v>
      </c>
      <c r="EO87">
        <v>0</v>
      </c>
      <c r="EP87">
        <v>0</v>
      </c>
      <c r="EQ87">
        <v>0</v>
      </c>
      <c r="ER87">
        <v>0</v>
      </c>
      <c r="ES87">
        <v>0</v>
      </c>
      <c r="ET87">
        <v>0</v>
      </c>
      <c r="EU87">
        <v>-410000</v>
      </c>
      <c r="EV87">
        <v>-410000</v>
      </c>
      <c r="EW87" s="987">
        <f>-5188222+866404+110000</f>
        <v>-4211818</v>
      </c>
      <c r="EX87">
        <v>0</v>
      </c>
      <c r="EY87">
        <v>-279996</v>
      </c>
      <c r="EZ87">
        <f>-279996</f>
        <v>-279996</v>
      </c>
      <c r="FA87">
        <f>-276838</f>
        <v>-276838</v>
      </c>
      <c r="FB87">
        <v>0</v>
      </c>
      <c r="FD87">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-9893874</v>
      </c>
      <c r="FF87" s="128">
        <v>-1</v>
      </c>
    </row>
    <row r="88" spans="1:162">
      <c r="A88" t="s">
        <v>431</v>
      </c>
      <c r="B88" t="s">
        <v>431</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c r="CU88">
        <v>0</v>
      </c>
      <c r="CV88">
        <v>0</v>
      </c>
      <c r="CW88">
        <v>0</v>
      </c>
      <c r="CX88">
        <v>0</v>
      </c>
      <c r="CY88">
        <v>0</v>
      </c>
      <c r="CZ88">
        <v>0</v>
      </c>
      <c r="DA88">
        <v>0</v>
      </c>
      <c r="DB88">
        <v>0</v>
      </c>
      <c r="DC88">
        <v>0</v>
      </c>
      <c r="DD88">
        <v>0</v>
      </c>
      <c r="DE88">
        <v>0</v>
      </c>
      <c r="DF88">
        <v>0</v>
      </c>
      <c r="DG88">
        <v>0</v>
      </c>
      <c r="DH88">
        <v>0</v>
      </c>
      <c r="DI88">
        <v>0</v>
      </c>
      <c r="DJ88">
        <v>0</v>
      </c>
      <c r="DK88" s="128">
        <v>3000000</v>
      </c>
      <c r="DL88">
        <v>3214883</v>
      </c>
      <c r="DM88">
        <v>0</v>
      </c>
      <c r="DN88">
        <v>0</v>
      </c>
      <c r="DO88">
        <v>0</v>
      </c>
      <c r="DP88">
        <v>0</v>
      </c>
      <c r="DQ88">
        <v>0</v>
      </c>
      <c r="DR88">
        <v>0</v>
      </c>
      <c r="DS88">
        <v>0</v>
      </c>
      <c r="DT88">
        <v>0</v>
      </c>
      <c r="DU88">
        <v>0</v>
      </c>
      <c r="DV88">
        <v>0</v>
      </c>
      <c r="DW88">
        <v>0</v>
      </c>
      <c r="DX88">
        <v>0</v>
      </c>
      <c r="DY88">
        <v>0</v>
      </c>
      <c r="DZ88">
        <v>0</v>
      </c>
      <c r="EA88">
        <v>0</v>
      </c>
      <c r="EB88">
        <v>0</v>
      </c>
      <c r="EC88">
        <v>0</v>
      </c>
      <c r="ED88">
        <v>0</v>
      </c>
      <c r="EE88">
        <v>0</v>
      </c>
      <c r="EF88">
        <v>0</v>
      </c>
      <c r="EG88">
        <v>0</v>
      </c>
      <c r="EH88">
        <v>0</v>
      </c>
      <c r="EI88">
        <v>0</v>
      </c>
      <c r="EJ88">
        <v>0</v>
      </c>
      <c r="EK88">
        <v>0</v>
      </c>
      <c r="EL88">
        <v>0</v>
      </c>
      <c r="EM88">
        <v>0</v>
      </c>
      <c r="EN88">
        <v>0</v>
      </c>
      <c r="EO88">
        <v>0</v>
      </c>
      <c r="EP88">
        <v>0</v>
      </c>
      <c r="EQ88">
        <v>0</v>
      </c>
      <c r="ER88">
        <v>0</v>
      </c>
      <c r="ES88">
        <v>0</v>
      </c>
      <c r="ET88">
        <v>0</v>
      </c>
      <c r="EU88">
        <v>0</v>
      </c>
      <c r="EV88">
        <v>0</v>
      </c>
      <c r="EW88">
        <v>0</v>
      </c>
      <c r="EX88">
        <v>0</v>
      </c>
      <c r="EY88">
        <v>0</v>
      </c>
      <c r="EZ88">
        <v>0</v>
      </c>
      <c r="FA88">
        <v>0</v>
      </c>
      <c r="FB88">
        <v>0</v>
      </c>
      <c r="FD88">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3214883</v>
      </c>
    </row>
    <row r="89" spans="1:162">
      <c r="A89" t="s">
        <v>432</v>
      </c>
      <c r="B89" t="s">
        <v>432</v>
      </c>
      <c r="C89">
        <v>15000</v>
      </c>
      <c r="D89">
        <v>15000</v>
      </c>
      <c r="E89">
        <v>52600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c r="EF89">
        <v>0</v>
      </c>
      <c r="EG89">
        <v>0</v>
      </c>
      <c r="EH89">
        <v>0</v>
      </c>
      <c r="EI89">
        <v>0</v>
      </c>
      <c r="EJ89">
        <v>0</v>
      </c>
      <c r="EK89">
        <v>0</v>
      </c>
      <c r="EL89">
        <v>0</v>
      </c>
      <c r="EM89">
        <v>0</v>
      </c>
      <c r="EN89">
        <v>0</v>
      </c>
      <c r="EO89">
        <v>0</v>
      </c>
      <c r="EP89">
        <v>0</v>
      </c>
      <c r="EQ89">
        <v>0</v>
      </c>
      <c r="ER89">
        <v>0</v>
      </c>
      <c r="ES89">
        <v>0</v>
      </c>
      <c r="ET89">
        <v>0</v>
      </c>
      <c r="EU89">
        <v>0</v>
      </c>
      <c r="EV89">
        <v>0</v>
      </c>
      <c r="EW89">
        <v>0</v>
      </c>
      <c r="EX89">
        <v>0</v>
      </c>
      <c r="EY89">
        <v>0</v>
      </c>
      <c r="EZ89">
        <v>0</v>
      </c>
      <c r="FA89">
        <v>0</v>
      </c>
      <c r="FB89">
        <v>0</v>
      </c>
      <c r="FD89">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52600</v>
      </c>
    </row>
    <row r="90" spans="1:162">
      <c r="A90" t="s">
        <v>1167</v>
      </c>
      <c r="B90" t="s">
        <v>1167</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c r="CR90">
        <v>0</v>
      </c>
      <c r="CS90">
        <v>0</v>
      </c>
      <c r="CT90">
        <v>0</v>
      </c>
      <c r="CU90">
        <v>0</v>
      </c>
      <c r="CV90">
        <v>0</v>
      </c>
      <c r="CW90">
        <v>0</v>
      </c>
      <c r="CX90">
        <v>0</v>
      </c>
      <c r="CY90">
        <v>0</v>
      </c>
      <c r="CZ90">
        <v>0</v>
      </c>
      <c r="DA90">
        <v>0</v>
      </c>
      <c r="DB90">
        <v>0</v>
      </c>
      <c r="DC90">
        <v>0</v>
      </c>
      <c r="DD90">
        <v>0</v>
      </c>
      <c r="DE90">
        <v>0</v>
      </c>
      <c r="DF90">
        <v>0</v>
      </c>
      <c r="DG90">
        <v>0</v>
      </c>
      <c r="DH90">
        <v>0</v>
      </c>
      <c r="DI90">
        <v>0</v>
      </c>
      <c r="DJ90">
        <v>0</v>
      </c>
      <c r="DK90">
        <v>0</v>
      </c>
      <c r="DL90">
        <v>0</v>
      </c>
      <c r="DM90">
        <v>0</v>
      </c>
      <c r="DN90">
        <v>0</v>
      </c>
      <c r="DO90">
        <v>0</v>
      </c>
      <c r="DP90">
        <v>0</v>
      </c>
      <c r="DQ90">
        <v>0</v>
      </c>
      <c r="DR90">
        <v>0</v>
      </c>
      <c r="DS90">
        <v>0</v>
      </c>
      <c r="DT90">
        <v>0</v>
      </c>
      <c r="DU90">
        <v>0</v>
      </c>
      <c r="DV90">
        <v>0</v>
      </c>
      <c r="DW90">
        <v>0</v>
      </c>
      <c r="DX90">
        <v>0</v>
      </c>
      <c r="DY90">
        <v>0</v>
      </c>
      <c r="DZ90">
        <v>0</v>
      </c>
      <c r="EA90">
        <v>0</v>
      </c>
      <c r="EB90">
        <v>0</v>
      </c>
      <c r="EC90">
        <v>0</v>
      </c>
      <c r="ED90">
        <v>0</v>
      </c>
      <c r="EE90">
        <v>0</v>
      </c>
      <c r="EF90">
        <v>0</v>
      </c>
      <c r="EG90">
        <v>0</v>
      </c>
      <c r="EH90">
        <v>0</v>
      </c>
      <c r="EI90">
        <v>0</v>
      </c>
      <c r="EJ90">
        <v>0</v>
      </c>
      <c r="EK90">
        <v>0</v>
      </c>
      <c r="EL90">
        <v>0</v>
      </c>
      <c r="EM90">
        <v>0</v>
      </c>
      <c r="EN90">
        <v>0</v>
      </c>
      <c r="EO90">
        <v>0</v>
      </c>
      <c r="EP90">
        <v>0</v>
      </c>
      <c r="EQ90">
        <v>0</v>
      </c>
      <c r="ER90">
        <v>0</v>
      </c>
      <c r="ES90">
        <v>0</v>
      </c>
      <c r="ET90">
        <v>0</v>
      </c>
      <c r="EU90">
        <v>0</v>
      </c>
      <c r="EV90">
        <v>0</v>
      </c>
      <c r="EW90">
        <v>0</v>
      </c>
      <c r="EX90">
        <v>0</v>
      </c>
      <c r="EY90">
        <v>0</v>
      </c>
      <c r="EZ90">
        <v>0</v>
      </c>
      <c r="FA90">
        <v>0</v>
      </c>
      <c r="FB90">
        <v>0</v>
      </c>
      <c r="FD90">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row>
    <row r="91" spans="1:162">
      <c r="A91" t="s">
        <v>433</v>
      </c>
      <c r="B91" t="s">
        <v>433</v>
      </c>
      <c r="C91">
        <v>-66928</v>
      </c>
      <c r="D91">
        <v>-66928</v>
      </c>
      <c r="E91">
        <v>-112565</v>
      </c>
      <c r="F91">
        <v>0</v>
      </c>
      <c r="G91">
        <v>781017</v>
      </c>
      <c r="H91">
        <v>667015</v>
      </c>
      <c r="I91">
        <v>0</v>
      </c>
      <c r="J91">
        <v>0</v>
      </c>
      <c r="K91">
        <v>0</v>
      </c>
      <c r="L91">
        <v>0</v>
      </c>
      <c r="M91">
        <v>0</v>
      </c>
      <c r="N91">
        <v>0</v>
      </c>
      <c r="O91">
        <v>0</v>
      </c>
      <c r="P91">
        <v>17944</v>
      </c>
      <c r="Q91">
        <v>6421</v>
      </c>
      <c r="R91">
        <v>0</v>
      </c>
      <c r="S91">
        <v>0</v>
      </c>
      <c r="T91">
        <v>5640</v>
      </c>
      <c r="U91">
        <v>0</v>
      </c>
      <c r="V91">
        <v>-1718025</v>
      </c>
      <c r="W91">
        <v>-1742594</v>
      </c>
      <c r="X91">
        <v>0</v>
      </c>
      <c r="Y91">
        <v>0</v>
      </c>
      <c r="Z91">
        <v>0</v>
      </c>
      <c r="AA91">
        <v>0</v>
      </c>
      <c r="AB91">
        <v>0</v>
      </c>
      <c r="AC91">
        <v>0</v>
      </c>
      <c r="AD91">
        <v>0</v>
      </c>
      <c r="AE91">
        <v>79900</v>
      </c>
      <c r="AF91">
        <v>77358</v>
      </c>
      <c r="AG91">
        <v>0</v>
      </c>
      <c r="AH91">
        <v>-75000</v>
      </c>
      <c r="AI91">
        <v>-75000</v>
      </c>
      <c r="AJ91">
        <v>0</v>
      </c>
      <c r="AK91">
        <v>22000</v>
      </c>
      <c r="AL91">
        <v>37000</v>
      </c>
      <c r="AM91">
        <v>0</v>
      </c>
      <c r="AN91">
        <v>0</v>
      </c>
      <c r="AO91">
        <v>0</v>
      </c>
      <c r="AP91">
        <v>0</v>
      </c>
      <c r="AQ91">
        <v>-1843254</v>
      </c>
      <c r="AR91">
        <v>-1589670</v>
      </c>
      <c r="AS91">
        <v>0</v>
      </c>
      <c r="AT91">
        <v>-132500</v>
      </c>
      <c r="AU91">
        <v>-137780</v>
      </c>
      <c r="AV91">
        <v>0</v>
      </c>
      <c r="AW91">
        <v>18363</v>
      </c>
      <c r="AX91">
        <v>28096</v>
      </c>
      <c r="AY91">
        <v>0</v>
      </c>
      <c r="AZ91">
        <v>0</v>
      </c>
      <c r="BA91">
        <v>0</v>
      </c>
      <c r="BB91">
        <v>0</v>
      </c>
      <c r="BC91">
        <v>14831</v>
      </c>
      <c r="BD91">
        <v>82773</v>
      </c>
      <c r="BE91">
        <v>0</v>
      </c>
      <c r="BF91">
        <v>-3000</v>
      </c>
      <c r="BG91">
        <v>-3000</v>
      </c>
      <c r="BH91">
        <v>0</v>
      </c>
      <c r="BI91">
        <v>-6960</v>
      </c>
      <c r="BJ91">
        <v>-6360</v>
      </c>
      <c r="BK91">
        <v>0</v>
      </c>
      <c r="BL91">
        <v>460000</v>
      </c>
      <c r="BM91">
        <v>342640</v>
      </c>
      <c r="BN91">
        <v>0</v>
      </c>
      <c r="BO91">
        <v>50000</v>
      </c>
      <c r="BP91">
        <v>50000</v>
      </c>
      <c r="BQ91">
        <v>0</v>
      </c>
      <c r="BR91">
        <v>-26000</v>
      </c>
      <c r="BS91">
        <v>-25360</v>
      </c>
      <c r="BT91">
        <v>0</v>
      </c>
      <c r="BU91">
        <v>-383480</v>
      </c>
      <c r="BV91">
        <v>-121132</v>
      </c>
      <c r="BW91">
        <v>0</v>
      </c>
      <c r="BX91">
        <v>0</v>
      </c>
      <c r="BY91">
        <v>0</v>
      </c>
      <c r="BZ91">
        <v>0</v>
      </c>
      <c r="CA91">
        <v>0</v>
      </c>
      <c r="CB91">
        <v>0</v>
      </c>
      <c r="CC91">
        <v>0</v>
      </c>
      <c r="CD91">
        <v>-12500</v>
      </c>
      <c r="CE91">
        <v>-360</v>
      </c>
      <c r="CF91">
        <v>0</v>
      </c>
      <c r="CG91">
        <v>0</v>
      </c>
      <c r="CH91">
        <v>0</v>
      </c>
      <c r="CI91">
        <v>0</v>
      </c>
      <c r="CJ91">
        <v>-5000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c r="DI91">
        <v>0</v>
      </c>
      <c r="DJ91">
        <v>0</v>
      </c>
      <c r="DK91">
        <v>3000000</v>
      </c>
      <c r="DL91">
        <v>3214883</v>
      </c>
      <c r="DM91">
        <v>0</v>
      </c>
      <c r="DN91">
        <v>0</v>
      </c>
      <c r="DO91">
        <v>0</v>
      </c>
      <c r="DP91">
        <v>0</v>
      </c>
      <c r="DQ91">
        <v>0</v>
      </c>
      <c r="DR91">
        <v>0</v>
      </c>
      <c r="DS91">
        <v>0</v>
      </c>
      <c r="DT91">
        <v>-56000</v>
      </c>
      <c r="DU91">
        <v>-56000</v>
      </c>
      <c r="DV91">
        <v>0</v>
      </c>
      <c r="DW91">
        <v>46547</v>
      </c>
      <c r="DX91">
        <v>12743</v>
      </c>
      <c r="DY91">
        <v>0</v>
      </c>
      <c r="DZ91">
        <v>0</v>
      </c>
      <c r="EA91">
        <v>5640</v>
      </c>
      <c r="EB91">
        <v>0</v>
      </c>
      <c r="EC91">
        <v>0</v>
      </c>
      <c r="ED91">
        <v>0</v>
      </c>
      <c r="EE91">
        <v>0</v>
      </c>
      <c r="EF91">
        <v>0</v>
      </c>
      <c r="EG91">
        <v>0</v>
      </c>
      <c r="EH91">
        <v>0</v>
      </c>
      <c r="EI91">
        <v>0</v>
      </c>
      <c r="EJ91">
        <v>0</v>
      </c>
      <c r="EK91">
        <v>0</v>
      </c>
      <c r="EL91">
        <v>0</v>
      </c>
      <c r="EM91">
        <v>0</v>
      </c>
      <c r="EN91">
        <v>0</v>
      </c>
      <c r="EO91">
        <v>0</v>
      </c>
      <c r="EP91">
        <v>0</v>
      </c>
      <c r="EQ91">
        <v>0</v>
      </c>
      <c r="ER91">
        <v>0</v>
      </c>
      <c r="ES91">
        <v>0</v>
      </c>
      <c r="ET91">
        <v>0</v>
      </c>
      <c r="EU91">
        <v>-410000</v>
      </c>
      <c r="EV91">
        <v>-410000</v>
      </c>
      <c r="EW91">
        <v>-5188222</v>
      </c>
      <c r="EX91">
        <v>0</v>
      </c>
      <c r="EY91">
        <v>-279996</v>
      </c>
      <c r="EZ91">
        <v>-279996</v>
      </c>
      <c r="FA91">
        <v>-265391</v>
      </c>
      <c r="FB91">
        <v>0</v>
      </c>
      <c r="FD91">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-4793225</v>
      </c>
    </row>
    <row r="92" spans="1:162">
      <c r="A92" t="s">
        <v>1167</v>
      </c>
      <c r="B92" t="s">
        <v>1167</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c r="CU92">
        <v>0</v>
      </c>
      <c r="CV92">
        <v>0</v>
      </c>
      <c r="CW92">
        <v>0</v>
      </c>
      <c r="CX92">
        <v>0</v>
      </c>
      <c r="CY92">
        <v>0</v>
      </c>
      <c r="CZ92">
        <v>0</v>
      </c>
      <c r="DA92">
        <v>0</v>
      </c>
      <c r="DB92">
        <v>0</v>
      </c>
      <c r="DC92">
        <v>0</v>
      </c>
      <c r="DD92">
        <v>0</v>
      </c>
      <c r="DE92">
        <v>0</v>
      </c>
      <c r="DF92">
        <v>0</v>
      </c>
      <c r="DG92">
        <v>0</v>
      </c>
      <c r="DH92">
        <v>0</v>
      </c>
      <c r="DI92">
        <v>0</v>
      </c>
      <c r="DJ92">
        <v>0</v>
      </c>
      <c r="DK92">
        <v>0</v>
      </c>
      <c r="DL92">
        <v>0</v>
      </c>
      <c r="DM92">
        <v>0</v>
      </c>
      <c r="DN92">
        <v>0</v>
      </c>
      <c r="DO92">
        <v>0</v>
      </c>
      <c r="DP92">
        <v>0</v>
      </c>
      <c r="DQ92">
        <v>0</v>
      </c>
      <c r="DR92">
        <v>0</v>
      </c>
      <c r="DS92">
        <v>0</v>
      </c>
      <c r="DT92">
        <v>0</v>
      </c>
      <c r="DU92">
        <v>0</v>
      </c>
      <c r="DV92">
        <v>0</v>
      </c>
      <c r="DW92">
        <v>0</v>
      </c>
      <c r="DX92">
        <v>0</v>
      </c>
      <c r="DY92">
        <v>0</v>
      </c>
      <c r="DZ92">
        <v>0</v>
      </c>
      <c r="EA92">
        <v>0</v>
      </c>
      <c r="EB92">
        <v>0</v>
      </c>
      <c r="EC92">
        <v>0</v>
      </c>
      <c r="ED92">
        <v>0</v>
      </c>
      <c r="EE92">
        <v>0</v>
      </c>
      <c r="EF92">
        <v>0</v>
      </c>
      <c r="EG92">
        <v>0</v>
      </c>
      <c r="EH92">
        <v>0</v>
      </c>
      <c r="EI92">
        <v>0</v>
      </c>
      <c r="EJ92">
        <v>0</v>
      </c>
      <c r="EK92">
        <v>0</v>
      </c>
      <c r="EL92">
        <v>0</v>
      </c>
      <c r="EM92">
        <v>0</v>
      </c>
      <c r="EN92">
        <v>0</v>
      </c>
      <c r="EO92">
        <v>0</v>
      </c>
      <c r="EP92">
        <v>0</v>
      </c>
      <c r="EQ92">
        <v>0</v>
      </c>
      <c r="ER92">
        <v>0</v>
      </c>
      <c r="ES92">
        <v>0</v>
      </c>
      <c r="ET92">
        <v>0</v>
      </c>
      <c r="EU92">
        <v>0</v>
      </c>
      <c r="EV92">
        <v>0</v>
      </c>
      <c r="EW92">
        <v>0</v>
      </c>
      <c r="EX92">
        <v>0</v>
      </c>
      <c r="EY92">
        <v>0</v>
      </c>
      <c r="EZ92">
        <v>0</v>
      </c>
      <c r="FA92">
        <v>0</v>
      </c>
      <c r="FB92">
        <v>0</v>
      </c>
      <c r="FD92">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row>
    <row r="93" spans="1:162">
      <c r="A93" t="s">
        <v>851</v>
      </c>
      <c r="B93" t="s">
        <v>851</v>
      </c>
      <c r="C93">
        <v>-481772</v>
      </c>
      <c r="D93">
        <v>-481772</v>
      </c>
      <c r="E93">
        <v>1019712</v>
      </c>
      <c r="F93">
        <v>0</v>
      </c>
      <c r="G93">
        <v>-192482</v>
      </c>
      <c r="H93">
        <v>-458660</v>
      </c>
      <c r="I93">
        <v>0</v>
      </c>
      <c r="J93">
        <v>-2799</v>
      </c>
      <c r="K93">
        <v>-1939</v>
      </c>
      <c r="L93">
        <v>0</v>
      </c>
      <c r="M93">
        <v>-7157</v>
      </c>
      <c r="N93">
        <v>45314</v>
      </c>
      <c r="O93">
        <v>0</v>
      </c>
      <c r="P93">
        <v>-141538</v>
      </c>
      <c r="Q93">
        <v>52238</v>
      </c>
      <c r="R93">
        <v>0</v>
      </c>
      <c r="S93">
        <v>181987</v>
      </c>
      <c r="T93">
        <v>246970</v>
      </c>
      <c r="U93">
        <v>0</v>
      </c>
      <c r="V93">
        <v>-417018</v>
      </c>
      <c r="W93" s="135">
        <v>40572</v>
      </c>
      <c r="X93">
        <v>0</v>
      </c>
      <c r="Y93">
        <v>0</v>
      </c>
      <c r="Z93">
        <v>1228</v>
      </c>
      <c r="AA93">
        <v>0</v>
      </c>
      <c r="AB93">
        <v>125</v>
      </c>
      <c r="AC93">
        <v>13155</v>
      </c>
      <c r="AD93">
        <v>0</v>
      </c>
      <c r="AE93">
        <v>35568</v>
      </c>
      <c r="AF93">
        <v>137446</v>
      </c>
      <c r="AG93">
        <v>0</v>
      </c>
      <c r="AH93">
        <v>-25393</v>
      </c>
      <c r="AI93">
        <v>-1726</v>
      </c>
      <c r="AJ93">
        <v>0</v>
      </c>
      <c r="AK93">
        <v>-26990</v>
      </c>
      <c r="AL93">
        <v>11580</v>
      </c>
      <c r="AM93">
        <v>0</v>
      </c>
      <c r="AN93">
        <v>0</v>
      </c>
      <c r="AO93">
        <v>0</v>
      </c>
      <c r="AP93">
        <v>0</v>
      </c>
      <c r="AQ93">
        <v>-160254</v>
      </c>
      <c r="AR93">
        <v>-12461</v>
      </c>
      <c r="AS93">
        <v>0</v>
      </c>
      <c r="AT93">
        <v>-156448</v>
      </c>
      <c r="AU93">
        <v>32947</v>
      </c>
      <c r="AV93">
        <v>0</v>
      </c>
      <c r="AW93">
        <v>-596671</v>
      </c>
      <c r="AX93">
        <v>-102030</v>
      </c>
      <c r="AY93">
        <v>0</v>
      </c>
      <c r="AZ93">
        <v>0</v>
      </c>
      <c r="BA93">
        <v>19</v>
      </c>
      <c r="BB93">
        <v>0</v>
      </c>
      <c r="BC93">
        <v>-155511</v>
      </c>
      <c r="BD93">
        <v>-4009</v>
      </c>
      <c r="BE93">
        <v>0</v>
      </c>
      <c r="BF93">
        <v>-984</v>
      </c>
      <c r="BG93">
        <v>2375</v>
      </c>
      <c r="BH93">
        <v>0</v>
      </c>
      <c r="BI93">
        <v>-168123</v>
      </c>
      <c r="BJ93">
        <v>1252</v>
      </c>
      <c r="BK93">
        <v>0</v>
      </c>
      <c r="BL93">
        <v>122187</v>
      </c>
      <c r="BM93">
        <v>40166</v>
      </c>
      <c r="BN93">
        <v>0</v>
      </c>
      <c r="BO93">
        <v>-20642</v>
      </c>
      <c r="BP93">
        <v>52968</v>
      </c>
      <c r="BQ93">
        <v>0</v>
      </c>
      <c r="BR93">
        <v>-18049</v>
      </c>
      <c r="BS93">
        <v>-38635</v>
      </c>
      <c r="BT93">
        <v>0</v>
      </c>
      <c r="BU93">
        <v>-113077</v>
      </c>
      <c r="BV93">
        <v>327966</v>
      </c>
      <c r="BW93">
        <v>0</v>
      </c>
      <c r="BX93">
        <v>-95000</v>
      </c>
      <c r="BY93">
        <v>43709</v>
      </c>
      <c r="BZ93">
        <v>0</v>
      </c>
      <c r="CA93">
        <v>423</v>
      </c>
      <c r="CB93">
        <v>8341</v>
      </c>
      <c r="CC93">
        <v>0</v>
      </c>
      <c r="CD93">
        <v>-32792</v>
      </c>
      <c r="CE93">
        <v>5243</v>
      </c>
      <c r="CF93">
        <v>0</v>
      </c>
      <c r="CG93">
        <v>-7000</v>
      </c>
      <c r="CH93">
        <v>94</v>
      </c>
      <c r="CI93">
        <v>0</v>
      </c>
      <c r="CJ93">
        <v>-67507</v>
      </c>
      <c r="CK93">
        <v>-54351</v>
      </c>
      <c r="CL93">
        <v>0</v>
      </c>
      <c r="CM93">
        <v>-51560</v>
      </c>
      <c r="CN93">
        <v>-93882</v>
      </c>
      <c r="CO93">
        <v>0</v>
      </c>
      <c r="CP93">
        <v>-24850</v>
      </c>
      <c r="CQ93">
        <v>-24023</v>
      </c>
      <c r="CR93">
        <v>0</v>
      </c>
      <c r="CS93">
        <v>0</v>
      </c>
      <c r="CT93">
        <v>2070</v>
      </c>
      <c r="CU93">
        <v>0</v>
      </c>
      <c r="CV93">
        <v>-5000</v>
      </c>
      <c r="CW93">
        <v>-26043</v>
      </c>
      <c r="CX93">
        <v>0</v>
      </c>
      <c r="CY93">
        <v>-30000</v>
      </c>
      <c r="CZ93">
        <v>-17255</v>
      </c>
      <c r="DA93">
        <v>0</v>
      </c>
      <c r="DB93">
        <v>-48375</v>
      </c>
      <c r="DC93">
        <v>-18493</v>
      </c>
      <c r="DD93">
        <v>0</v>
      </c>
      <c r="DE93">
        <v>-72800</v>
      </c>
      <c r="DF93">
        <v>-25399</v>
      </c>
      <c r="DG93">
        <v>0</v>
      </c>
      <c r="DH93">
        <v>0</v>
      </c>
      <c r="DI93">
        <v>0</v>
      </c>
      <c r="DJ93">
        <v>0</v>
      </c>
      <c r="DK93">
        <v>-413130</v>
      </c>
      <c r="DL93">
        <v>1261174</v>
      </c>
      <c r="DM93">
        <v>0</v>
      </c>
      <c r="DN93">
        <v>0</v>
      </c>
      <c r="DO93">
        <v>175319</v>
      </c>
      <c r="DP93">
        <v>0</v>
      </c>
      <c r="DQ93">
        <v>0</v>
      </c>
      <c r="DR93">
        <v>0</v>
      </c>
      <c r="DS93">
        <v>0</v>
      </c>
      <c r="DT93">
        <v>-60887</v>
      </c>
      <c r="DU93" s="135">
        <v>31682</v>
      </c>
      <c r="DV93">
        <v>0</v>
      </c>
      <c r="DW93">
        <v>-560220</v>
      </c>
      <c r="DX93">
        <v>96484</v>
      </c>
      <c r="DY93">
        <v>0</v>
      </c>
      <c r="DZ93">
        <v>-12898</v>
      </c>
      <c r="EA93">
        <v>66775</v>
      </c>
      <c r="EB93">
        <v>0</v>
      </c>
      <c r="EC93">
        <v>50</v>
      </c>
      <c r="ED93">
        <v>-22045</v>
      </c>
      <c r="EE93">
        <v>0</v>
      </c>
      <c r="EF93">
        <v>0</v>
      </c>
      <c r="EG93">
        <v>0</v>
      </c>
      <c r="EH93">
        <v>0</v>
      </c>
      <c r="EI93">
        <v>88726</v>
      </c>
      <c r="EJ93">
        <v>50756</v>
      </c>
      <c r="EK93">
        <v>0</v>
      </c>
      <c r="EL93">
        <v>0</v>
      </c>
      <c r="EM93">
        <v>0</v>
      </c>
      <c r="EN93">
        <v>0</v>
      </c>
      <c r="EO93">
        <v>-15714</v>
      </c>
      <c r="EP93">
        <v>-16741</v>
      </c>
      <c r="EQ93">
        <v>0</v>
      </c>
      <c r="ER93">
        <v>50000</v>
      </c>
      <c r="ES93">
        <v>17217</v>
      </c>
      <c r="ET93">
        <v>0</v>
      </c>
      <c r="EU93">
        <v>-14815203</v>
      </c>
      <c r="EV93">
        <v>-14815203</v>
      </c>
      <c r="EW93">
        <v>-5886342</v>
      </c>
      <c r="EX93">
        <v>0</v>
      </c>
      <c r="EY93">
        <v>-5506604</v>
      </c>
      <c r="EZ93">
        <v>-5506604</v>
      </c>
      <c r="FA93">
        <v>728283</v>
      </c>
      <c r="FB93">
        <v>0</v>
      </c>
      <c r="FD93">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-2290979</v>
      </c>
    </row>
    <row r="94" spans="1:162">
      <c r="A94" t="s">
        <v>1167</v>
      </c>
      <c r="B94" t="s">
        <v>1167</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c r="CP94">
        <v>0</v>
      </c>
      <c r="CQ94">
        <v>0</v>
      </c>
      <c r="CR94">
        <v>0</v>
      </c>
      <c r="CS94">
        <v>0</v>
      </c>
      <c r="CT94">
        <v>0</v>
      </c>
      <c r="CU94">
        <v>0</v>
      </c>
      <c r="CV94">
        <v>0</v>
      </c>
      <c r="CW94">
        <v>0</v>
      </c>
      <c r="CX94">
        <v>0</v>
      </c>
      <c r="CY94">
        <v>0</v>
      </c>
      <c r="CZ94">
        <v>0</v>
      </c>
      <c r="DA94">
        <v>0</v>
      </c>
      <c r="DB94">
        <v>0</v>
      </c>
      <c r="DC94">
        <v>0</v>
      </c>
      <c r="DD94">
        <v>0</v>
      </c>
      <c r="DE94">
        <v>0</v>
      </c>
      <c r="DF94">
        <v>0</v>
      </c>
      <c r="DG94">
        <v>0</v>
      </c>
      <c r="DH94">
        <v>0</v>
      </c>
      <c r="DI94">
        <v>0</v>
      </c>
      <c r="DJ94">
        <v>0</v>
      </c>
      <c r="DK94">
        <v>0</v>
      </c>
      <c r="DL94">
        <v>0</v>
      </c>
      <c r="DM94">
        <v>0</v>
      </c>
      <c r="DN94">
        <v>0</v>
      </c>
      <c r="DO94">
        <v>0</v>
      </c>
      <c r="DP94">
        <v>0</v>
      </c>
      <c r="DQ94">
        <v>0</v>
      </c>
      <c r="DR94">
        <v>0</v>
      </c>
      <c r="DS94">
        <v>0</v>
      </c>
      <c r="DT94">
        <v>0</v>
      </c>
      <c r="DU94">
        <v>0</v>
      </c>
      <c r="DV94">
        <v>0</v>
      </c>
      <c r="DW94">
        <v>0</v>
      </c>
      <c r="DX94">
        <v>0</v>
      </c>
      <c r="DY94">
        <v>0</v>
      </c>
      <c r="DZ94">
        <v>0</v>
      </c>
      <c r="EA94">
        <v>0</v>
      </c>
      <c r="EB94">
        <v>0</v>
      </c>
      <c r="EC94">
        <v>0</v>
      </c>
      <c r="ED94">
        <v>0</v>
      </c>
      <c r="EE94">
        <v>0</v>
      </c>
      <c r="EF94">
        <v>0</v>
      </c>
      <c r="EG94">
        <v>0</v>
      </c>
      <c r="EH94">
        <v>0</v>
      </c>
      <c r="EI94">
        <v>0</v>
      </c>
      <c r="EJ94">
        <v>0</v>
      </c>
      <c r="EK94">
        <v>0</v>
      </c>
      <c r="EL94">
        <v>0</v>
      </c>
      <c r="EM94">
        <v>0</v>
      </c>
      <c r="EN94">
        <v>0</v>
      </c>
      <c r="EO94">
        <v>0</v>
      </c>
      <c r="EP94">
        <v>0</v>
      </c>
      <c r="EQ94">
        <v>0</v>
      </c>
      <c r="ER94">
        <v>0</v>
      </c>
      <c r="ES94">
        <v>0</v>
      </c>
      <c r="ET94">
        <v>0</v>
      </c>
      <c r="EU94">
        <v>0</v>
      </c>
      <c r="EV94">
        <v>0</v>
      </c>
      <c r="EW94">
        <v>0</v>
      </c>
      <c r="EX94">
        <v>0</v>
      </c>
      <c r="EY94">
        <v>0</v>
      </c>
      <c r="EZ94">
        <v>0</v>
      </c>
      <c r="FA94">
        <v>0</v>
      </c>
      <c r="FB94">
        <v>0</v>
      </c>
      <c r="FD94">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0</v>
      </c>
    </row>
    <row r="95" spans="1:162">
      <c r="A95" t="s">
        <v>852</v>
      </c>
      <c r="B95" t="s">
        <v>852</v>
      </c>
      <c r="C95">
        <v>0</v>
      </c>
      <c r="D95">
        <v>0</v>
      </c>
      <c r="E95" s="146">
        <v>3397486</v>
      </c>
      <c r="F95">
        <v>0</v>
      </c>
      <c r="G95">
        <v>0</v>
      </c>
      <c r="H95" s="128">
        <v>285729</v>
      </c>
      <c r="I95">
        <v>0</v>
      </c>
      <c r="J95">
        <v>0</v>
      </c>
      <c r="K95">
        <v>5631</v>
      </c>
      <c r="L95">
        <v>0</v>
      </c>
      <c r="M95">
        <v>0</v>
      </c>
      <c r="N95">
        <v>28496</v>
      </c>
      <c r="O95">
        <v>0</v>
      </c>
      <c r="P95">
        <v>0</v>
      </c>
      <c r="Q95">
        <v>305110</v>
      </c>
      <c r="R95">
        <v>0</v>
      </c>
      <c r="S95">
        <v>0</v>
      </c>
      <c r="T95" s="211">
        <f>-179923+4500</f>
        <v>-175423</v>
      </c>
      <c r="U95">
        <v>0</v>
      </c>
      <c r="V95">
        <v>0</v>
      </c>
      <c r="W95" s="211">
        <f>1681109-135+500</f>
        <v>1681474</v>
      </c>
      <c r="X95">
        <v>0</v>
      </c>
      <c r="Y95">
        <v>0</v>
      </c>
      <c r="Z95">
        <v>74</v>
      </c>
      <c r="AA95">
        <v>0</v>
      </c>
      <c r="AB95">
        <v>0</v>
      </c>
      <c r="AC95">
        <v>8485</v>
      </c>
      <c r="AD95">
        <v>0</v>
      </c>
      <c r="AE95">
        <v>0</v>
      </c>
      <c r="AF95">
        <v>534621</v>
      </c>
      <c r="AG95">
        <v>0</v>
      </c>
      <c r="AH95">
        <v>0</v>
      </c>
      <c r="AI95">
        <v>86030</v>
      </c>
      <c r="AJ95">
        <v>0</v>
      </c>
      <c r="AK95">
        <v>0</v>
      </c>
      <c r="AL95">
        <v>48826</v>
      </c>
      <c r="AM95">
        <v>0</v>
      </c>
      <c r="AN95">
        <v>0</v>
      </c>
      <c r="AO95">
        <v>0</v>
      </c>
      <c r="AP95">
        <v>0</v>
      </c>
      <c r="AQ95">
        <v>0</v>
      </c>
      <c r="AR95">
        <v>198091</v>
      </c>
      <c r="AS95">
        <v>0</v>
      </c>
      <c r="AT95">
        <v>0</v>
      </c>
      <c r="AU95">
        <v>347266</v>
      </c>
      <c r="AV95">
        <v>0</v>
      </c>
      <c r="AW95">
        <v>0</v>
      </c>
      <c r="AX95" s="211">
        <f>1160149+27</f>
        <v>1160176</v>
      </c>
      <c r="AY95">
        <v>0</v>
      </c>
      <c r="AZ95">
        <v>0</v>
      </c>
      <c r="BA95">
        <v>289</v>
      </c>
      <c r="BB95">
        <v>0</v>
      </c>
      <c r="BC95">
        <v>0</v>
      </c>
      <c r="BD95">
        <v>615032</v>
      </c>
      <c r="BE95">
        <v>0</v>
      </c>
      <c r="BF95">
        <v>0</v>
      </c>
      <c r="BG95">
        <v>142</v>
      </c>
      <c r="BH95">
        <v>0</v>
      </c>
      <c r="BI95">
        <v>0</v>
      </c>
      <c r="BJ95">
        <v>253822</v>
      </c>
      <c r="BK95">
        <v>0</v>
      </c>
      <c r="BL95">
        <v>0</v>
      </c>
      <c r="BM95" s="211">
        <f>-4387-166-1</f>
        <v>-4554</v>
      </c>
      <c r="BN95">
        <v>0</v>
      </c>
      <c r="BO95">
        <v>0</v>
      </c>
      <c r="BP95">
        <v>54037</v>
      </c>
      <c r="BQ95">
        <v>0</v>
      </c>
      <c r="BR95">
        <v>0</v>
      </c>
      <c r="BS95">
        <v>138674</v>
      </c>
      <c r="BT95">
        <v>0</v>
      </c>
      <c r="BU95">
        <v>0</v>
      </c>
      <c r="BV95" s="211">
        <f>1339243+570</f>
        <v>1339813</v>
      </c>
      <c r="BW95">
        <v>0</v>
      </c>
      <c r="BX95">
        <v>0</v>
      </c>
      <c r="BY95">
        <v>195203</v>
      </c>
      <c r="BZ95">
        <v>0</v>
      </c>
      <c r="CA95">
        <v>0</v>
      </c>
      <c r="CB95">
        <v>19792</v>
      </c>
      <c r="CC95">
        <v>0</v>
      </c>
      <c r="CD95">
        <v>0</v>
      </c>
      <c r="CE95" s="135">
        <v>77193</v>
      </c>
      <c r="CF95">
        <v>0</v>
      </c>
      <c r="CG95">
        <v>0</v>
      </c>
      <c r="CH95">
        <v>21108</v>
      </c>
      <c r="CI95">
        <v>0</v>
      </c>
      <c r="CJ95">
        <v>0</v>
      </c>
      <c r="CK95">
        <v>476992</v>
      </c>
      <c r="CL95">
        <v>0</v>
      </c>
      <c r="CM95">
        <v>0</v>
      </c>
      <c r="CN95">
        <v>347620</v>
      </c>
      <c r="CO95">
        <v>0</v>
      </c>
      <c r="CP95">
        <v>0</v>
      </c>
      <c r="CQ95">
        <v>45849</v>
      </c>
      <c r="CR95">
        <v>0</v>
      </c>
      <c r="CS95">
        <v>0</v>
      </c>
      <c r="CT95">
        <v>60394</v>
      </c>
      <c r="CU95">
        <v>0</v>
      </c>
      <c r="CV95">
        <v>0</v>
      </c>
      <c r="CW95">
        <v>31810</v>
      </c>
      <c r="CX95">
        <v>0</v>
      </c>
      <c r="CY95">
        <v>0</v>
      </c>
      <c r="CZ95">
        <v>52789</v>
      </c>
      <c r="DA95">
        <v>0</v>
      </c>
      <c r="DB95">
        <v>0</v>
      </c>
      <c r="DC95">
        <v>58393</v>
      </c>
      <c r="DD95">
        <v>0</v>
      </c>
      <c r="DE95">
        <v>0</v>
      </c>
      <c r="DF95">
        <v>193845</v>
      </c>
      <c r="DG95">
        <v>0</v>
      </c>
      <c r="DH95">
        <v>0</v>
      </c>
      <c r="DI95">
        <v>0</v>
      </c>
      <c r="DJ95">
        <v>0</v>
      </c>
      <c r="DK95">
        <v>0</v>
      </c>
      <c r="DL95" s="128">
        <v>414553</v>
      </c>
      <c r="DM95">
        <v>0</v>
      </c>
      <c r="DN95">
        <v>0</v>
      </c>
      <c r="DO95">
        <v>696878</v>
      </c>
      <c r="DP95">
        <v>0</v>
      </c>
      <c r="DQ95">
        <v>0</v>
      </c>
      <c r="DR95">
        <v>0</v>
      </c>
      <c r="DS95">
        <v>0</v>
      </c>
      <c r="DT95">
        <v>0</v>
      </c>
      <c r="DU95" s="135">
        <v>67703</v>
      </c>
      <c r="DV95">
        <v>0</v>
      </c>
      <c r="DW95">
        <v>0</v>
      </c>
      <c r="DX95">
        <v>560220</v>
      </c>
      <c r="DY95">
        <v>0</v>
      </c>
      <c r="DZ95">
        <v>0</v>
      </c>
      <c r="EA95">
        <v>-129252</v>
      </c>
      <c r="EB95">
        <v>0</v>
      </c>
      <c r="EC95">
        <v>0</v>
      </c>
      <c r="ED95">
        <v>0</v>
      </c>
      <c r="EE95">
        <v>0</v>
      </c>
      <c r="EF95">
        <v>0</v>
      </c>
      <c r="EG95">
        <v>0</v>
      </c>
      <c r="EH95">
        <v>0</v>
      </c>
      <c r="EI95">
        <v>0</v>
      </c>
      <c r="EJ95">
        <v>-62728</v>
      </c>
      <c r="EK95">
        <v>0</v>
      </c>
      <c r="EL95">
        <v>0</v>
      </c>
      <c r="EM95">
        <v>0</v>
      </c>
      <c r="EN95">
        <v>0</v>
      </c>
      <c r="EO95">
        <v>0</v>
      </c>
      <c r="EP95">
        <v>34313</v>
      </c>
      <c r="EQ95">
        <v>0</v>
      </c>
      <c r="ER95">
        <v>0</v>
      </c>
      <c r="ES95">
        <v>-25945</v>
      </c>
      <c r="ET95">
        <v>0</v>
      </c>
      <c r="EU95">
        <v>0</v>
      </c>
      <c r="EV95">
        <v>0</v>
      </c>
      <c r="EW95" s="211">
        <f>15093958-4528385</f>
        <v>10565573</v>
      </c>
      <c r="EX95">
        <v>0</v>
      </c>
      <c r="EY95">
        <v>0</v>
      </c>
      <c r="EZ95">
        <v>0</v>
      </c>
      <c r="FA95" s="211">
        <f>6095491-77617</f>
        <v>6017874</v>
      </c>
      <c r="FB95">
        <v>0</v>
      </c>
      <c r="FD95">
        <f>+Table_Query_from_HTEDTA286[[#This Row],[ERC004]]+Table_Query_from_HTEDTA286[[#This Row],[ERC007]]+Table_Query_from_HTEDTA286[[#This Row],[ERC010]]+Table_Query_from_HTEDTA286[[#This Row],[ERC013]]+Table_Query_from_HTEDTA286[[#This Row],[ERC016]]+Table_Query_from_HTEDTA286[[#This Row],[ERC019]]+Table_Query_from_HTEDTA286[[#This Row],[ERC022]]+Table_Query_from_HTEDTA286[[#This Row],[ERC025]]+Table_Query_from_HTEDTA286[[#This Row],[ERC028]]+Table_Query_from_HTEDTA286[[#This Row],[ERC031]]+Table_Query_from_HTEDTA286[[#This Row],[ERC034]]+Table_Query_from_HTEDTA286[[#This Row],[ERC037]]+Table_Query_from_HTEDTA286[[#This Row],[ERC040]]+Table_Query_from_HTEDTA286[[#This Row],[ERC043]]+Table_Query_from_HTEDTA286[[#This Row],[ERC046]]+Table_Query_from_HTEDTA286[[#This Row],[ERC049]]+Table_Query_from_HTEDTA286[[#This Row],[ERC052]]+Table_Query_from_HTEDTA286[[#This Row],[ERC055]]+Table_Query_from_HTEDTA286[[#This Row],[ERC058]]+Table_Query_from_HTEDTA286[[#This Row],[ERC061]]+Table_Query_from_HTEDTA286[[#This Row],[ERC064]]+Table_Query_from_HTEDTA286[[#This Row],[ERC067]]+Table_Query_from_HTEDTA286[[#This Row],[ERC070]]+Table_Query_from_HTEDTA286[[#This Row],[ERC073]]+Table_Query_from_HTEDTA286[[#This Row],[ERC076]]+Table_Query_from_HTEDTA286[[#This Row],[ERC079]]+Table_Query_from_HTEDTA286[[#This Row],[ERC082]]+Table_Query_from_HTEDTA286[[#This Row],[ERC085]]+Table_Query_from_HTEDTA286[[#This Row],[ERC088]]+Table_Query_from_HTEDTA286[[#This Row],[ERC091]]+Table_Query_from_HTEDTA286[[#This Row],[ERC094]]+Table_Query_from_HTEDTA286[[#This Row],[ERC097]]+Table_Query_from_HTEDTA286[[#This Row],[ERC100]]+Table_Query_from_HTEDTA286[[#This Row],[ERC103]]+Table_Query_from_HTEDTA286[[#This Row],[ERC106]]+Table_Query_from_HTEDTA286[[#This Row],[ERC109]]+Table_Query_from_HTEDTA286[[#This Row],[ERC112]]+Table_Query_from_HTEDTA286[[#This Row],[ERC115]]+Table_Query_from_HTEDTA286[[#This Row],[ERC118]]+Table_Query_from_HTEDTA286[[#This Row],[ERC121]]+Table_Query_from_HTEDTA286[[#This Row],[ERC124]]+Table_Query_from_HTEDTA286[[#This Row],[ERC127]]+Table_Query_from_HTEDTA286[[#This Row],[ERC130]]+Table_Query_from_HTEDTA286[[#This Row],[ERC133]]+Table_Query_from_HTEDTA286[[#This Row],[ERC136]]+Table_Query_from_HTEDTA286[[#This Row],[ERC139]]+Table_Query_from_HTEDTA286[[#This Row],[ERC142]]+Table_Query_from_HTEDTA286[[#This Row],[ERC145]]+Table_Query_from_HTEDTA286[[#This Row],[ERC148]]+Table_Query_from_HTEDTA286[[#This Row],[ERC152]]+Table_Query_from_HTEDTA286[[#This Row],[ERC156]]</f>
        <v>30029504</v>
      </c>
      <c r="FF95" s="1218" t="s">
        <v>3342</v>
      </c>
    </row>
    <row r="96" spans="1:162" ht="15.75">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FA96">
        <f>+FA95+FA97</f>
        <v>6017874</v>
      </c>
      <c r="FF96" s="1219" t="s">
        <v>3343</v>
      </c>
    </row>
    <row r="97" spans="2:157" ht="15.75">
      <c r="B97" s="851"/>
      <c r="E97" s="146"/>
      <c r="Y97" s="3"/>
      <c r="Z97" s="3"/>
      <c r="AA97" s="3"/>
      <c r="AB97" s="3"/>
      <c r="AC97" s="3"/>
      <c r="AD97" s="3"/>
      <c r="AE97" s="3"/>
      <c r="AF97" s="3"/>
      <c r="AG97" s="3"/>
      <c r="AH97" s="3"/>
      <c r="AI97" s="3"/>
      <c r="AJ97" s="3"/>
      <c r="AK97" s="3"/>
      <c r="AL97" s="3"/>
      <c r="AM97" s="3"/>
      <c r="AN97" s="3"/>
      <c r="AO97" s="3"/>
      <c r="AP97" s="3"/>
      <c r="AQ97" s="3"/>
      <c r="AR97" s="129" t="s">
        <v>1576</v>
      </c>
      <c r="AS97" s="3"/>
      <c r="AT97" s="3"/>
      <c r="AU97" s="3"/>
      <c r="AV97" s="3"/>
      <c r="AW97" s="3"/>
      <c r="AX97" s="3"/>
      <c r="AY97" s="3"/>
      <c r="AZ97" s="3"/>
      <c r="BA97" s="3"/>
      <c r="BB97" s="3"/>
      <c r="DL97" s="129" t="s">
        <v>1576</v>
      </c>
      <c r="EV97" s="133" t="s">
        <v>1629</v>
      </c>
      <c r="EW97" s="133"/>
      <c r="EX97" s="133"/>
      <c r="FA97" s="146"/>
    </row>
    <row r="98" spans="2:157" ht="15.75">
      <c r="B98" s="986"/>
      <c r="W98" s="211" t="s">
        <v>3321</v>
      </c>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M98" s="211" t="s">
        <v>3323</v>
      </c>
      <c r="BV98" s="211" t="s">
        <v>3325</v>
      </c>
      <c r="CE98" s="146">
        <v>0</v>
      </c>
      <c r="EW98" s="211" t="s">
        <v>3337</v>
      </c>
    </row>
    <row r="99" spans="2:157" ht="15.75">
      <c r="B99" s="986"/>
      <c r="W99" s="211" t="s">
        <v>3322</v>
      </c>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211" t="s">
        <v>3325</v>
      </c>
      <c r="AY99" s="3"/>
      <c r="AZ99" s="3"/>
      <c r="BA99" s="3"/>
      <c r="BB99" s="3"/>
      <c r="CE99" s="146"/>
    </row>
    <row r="100" spans="2:157" ht="15.75">
      <c r="E100" s="168" t="s">
        <v>2001</v>
      </c>
      <c r="W100" s="168" t="s">
        <v>1764</v>
      </c>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row>
    <row r="101" spans="2:157" ht="15.75">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row>
    <row r="102" spans="2:157" ht="15.75">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row>
    <row r="103" spans="2:157" ht="15.75">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row>
    <row r="104" spans="2:157" ht="15.75">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row>
    <row r="105" spans="2:157" ht="15.75">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row>
    <row r="106" spans="2:157" ht="15.75">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row>
    <row r="107" spans="2:157" ht="15.75">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row>
    <row r="108" spans="2:157" ht="15.75">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row>
    <row r="109" spans="2:157" ht="15.75">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row>
    <row r="110" spans="2:157" ht="15.75">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row>
    <row r="111" spans="2:157" ht="15.75">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row>
    <row r="112" spans="2:157" ht="15.75">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row>
    <row r="113" spans="25:54" ht="15.75">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row>
    <row r="114" spans="25:54" ht="15.75">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row>
    <row r="115" spans="25:54" ht="15.75">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row>
    <row r="116" spans="25:54" ht="15.75">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row>
    <row r="117" spans="25:54" ht="15.75">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row>
    <row r="118" spans="25:54" ht="15.75">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row>
    <row r="119" spans="25:54" ht="15.75">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row>
    <row r="120" spans="25:54" ht="15.75">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row>
    <row r="121" spans="25:54" ht="15.75">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row>
    <row r="122" spans="25:54" ht="15.75">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row>
    <row r="123" spans="25:54" ht="15.75">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row>
    <row r="124" spans="25:54" ht="15.75">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row>
    <row r="125" spans="25:54" ht="15.75">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row>
    <row r="126" spans="25:54" ht="15.75">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row>
    <row r="127" spans="25:54" ht="15.75">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row>
    <row r="128" spans="25:54" ht="15.75">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row>
    <row r="129" spans="25:54" ht="15.75">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row>
    <row r="130" spans="25:54" ht="15.75">
      <c r="Y130" s="3"/>
      <c r="Z130" s="3"/>
      <c r="AA130" s="3"/>
      <c r="AB130" s="3"/>
      <c r="AC130" s="3"/>
      <c r="AD130" s="3"/>
    </row>
    <row r="131" spans="25:54" ht="15.75">
      <c r="Y131" s="3"/>
      <c r="Z131" s="3"/>
      <c r="AA131" s="3"/>
      <c r="AB131" s="3"/>
      <c r="AC131" s="3"/>
      <c r="AD131" s="3"/>
    </row>
    <row r="132" spans="25:54" ht="15.75">
      <c r="Y132" s="3"/>
      <c r="Z132" s="3"/>
      <c r="AA132" s="3"/>
      <c r="AB132" s="3"/>
      <c r="AC132" s="3"/>
      <c r="AD132" s="3"/>
    </row>
    <row r="133" spans="25:54" ht="15.75">
      <c r="Y133" s="3"/>
      <c r="Z133" s="3"/>
      <c r="AA133" s="3"/>
      <c r="AB133" s="3"/>
      <c r="AC133" s="3"/>
      <c r="AD133" s="3"/>
    </row>
    <row r="134" spans="25:54" ht="15.75">
      <c r="Y134" s="3"/>
      <c r="Z134" s="3"/>
      <c r="AA134" s="3"/>
      <c r="AB134" s="3"/>
      <c r="AC134" s="3"/>
      <c r="AD134" s="3"/>
    </row>
    <row r="135" spans="25:54" ht="15.75">
      <c r="Y135" s="3"/>
      <c r="Z135" s="3"/>
      <c r="AA135" s="3"/>
      <c r="AB135" s="3"/>
      <c r="AC135" s="3"/>
      <c r="AD135" s="3"/>
    </row>
    <row r="136" spans="25:54" ht="15.75">
      <c r="Y136" s="3"/>
      <c r="Z136" s="3"/>
      <c r="AA136" s="3"/>
      <c r="AB136" s="3"/>
      <c r="AC136" s="3"/>
      <c r="AD136" s="3"/>
    </row>
    <row r="137" spans="25:54" ht="15.75">
      <c r="Y137" s="3"/>
      <c r="Z137" s="3"/>
      <c r="AA137" s="3"/>
      <c r="AB137" s="3"/>
      <c r="AC137" s="3"/>
      <c r="AD137" s="3"/>
    </row>
    <row r="138" spans="25:54" ht="15.75">
      <c r="Y138" s="3"/>
      <c r="Z138" s="3"/>
      <c r="AA138" s="3"/>
      <c r="AB138" s="3"/>
      <c r="AC138" s="3"/>
      <c r="AD138" s="3"/>
    </row>
    <row r="139" spans="25:54" ht="15.75">
      <c r="Y139" s="3"/>
      <c r="Z139" s="3"/>
      <c r="AA139" s="3"/>
      <c r="AB139" s="3"/>
      <c r="AC139" s="3"/>
      <c r="AD139" s="3"/>
    </row>
    <row r="140" spans="25:54" ht="15.75">
      <c r="Y140" s="3"/>
      <c r="Z140" s="3"/>
      <c r="AA140" s="3"/>
      <c r="AB140" s="3"/>
      <c r="AC140" s="3"/>
      <c r="AD140" s="3"/>
    </row>
    <row r="141" spans="25:54" ht="15.75">
      <c r="Y141" s="3"/>
      <c r="Z141" s="3"/>
      <c r="AA141" s="3"/>
      <c r="AB141" s="3"/>
      <c r="AC141" s="3"/>
      <c r="AD141" s="3"/>
    </row>
    <row r="142" spans="25:54" ht="15.75">
      <c r="Y142" s="3"/>
      <c r="Z142" s="3"/>
      <c r="AA142" s="3"/>
      <c r="AB142" s="3"/>
      <c r="AC142" s="3"/>
      <c r="AD142" s="3"/>
    </row>
    <row r="143" spans="25:54" ht="15.75">
      <c r="Y143" s="3"/>
      <c r="Z143" s="3"/>
      <c r="AA143" s="3"/>
      <c r="AB143" s="3"/>
      <c r="AC143" s="3"/>
      <c r="AD143" s="3"/>
    </row>
    <row r="144" spans="25:54" ht="15.75">
      <c r="Y144" s="3"/>
      <c r="Z144" s="3"/>
      <c r="AA144" s="3"/>
      <c r="AB144" s="3"/>
      <c r="AC144" s="3"/>
      <c r="AD144" s="3"/>
    </row>
    <row r="145" spans="25:30" ht="15.75">
      <c r="Y145" s="3"/>
      <c r="Z145" s="3"/>
      <c r="AA145" s="3"/>
      <c r="AB145" s="3"/>
      <c r="AC145" s="3"/>
      <c r="AD145" s="3"/>
    </row>
    <row r="146" spans="25:30" ht="15.75">
      <c r="Y146" s="3"/>
      <c r="Z146" s="3"/>
      <c r="AA146" s="3"/>
      <c r="AB146" s="3"/>
      <c r="AC146" s="3"/>
      <c r="AD146" s="3"/>
    </row>
    <row r="147" spans="25:30" ht="15.75">
      <c r="Y147" s="3"/>
      <c r="Z147" s="3"/>
      <c r="AA147" s="3"/>
      <c r="AB147" s="3"/>
      <c r="AC147" s="3"/>
      <c r="AD147" s="3"/>
    </row>
    <row r="148" spans="25:30" ht="15.75">
      <c r="Y148" s="3"/>
      <c r="Z148" s="3"/>
      <c r="AA148" s="3"/>
      <c r="AB148" s="3"/>
      <c r="AC148" s="3"/>
      <c r="AD148" s="3"/>
    </row>
    <row r="149" spans="25:30" ht="15.75">
      <c r="Y149" s="3"/>
      <c r="Z149" s="3"/>
      <c r="AA149" s="3"/>
      <c r="AB149" s="3"/>
      <c r="AC149" s="3"/>
      <c r="AD149" s="3"/>
    </row>
    <row r="150" spans="25:30" ht="15.75">
      <c r="Y150" s="3"/>
      <c r="Z150" s="3"/>
      <c r="AA150" s="3"/>
      <c r="AB150" s="3"/>
      <c r="AC150" s="3"/>
      <c r="AD150" s="3"/>
    </row>
    <row r="151" spans="25:30" ht="15.75">
      <c r="Y151" s="3"/>
      <c r="Z151" s="3"/>
      <c r="AA151" s="3"/>
      <c r="AB151" s="3"/>
      <c r="AC151" s="3"/>
      <c r="AD151" s="3"/>
    </row>
    <row r="152" spans="25:30" ht="15.75">
      <c r="Y152" s="3"/>
      <c r="Z152" s="3"/>
      <c r="AA152" s="3"/>
      <c r="AB152" s="3"/>
      <c r="AC152" s="3"/>
      <c r="AD152" s="3"/>
    </row>
    <row r="153" spans="25:30" ht="15.75">
      <c r="Y153" s="3"/>
      <c r="Z153" s="3"/>
      <c r="AA153" s="3"/>
      <c r="AB153" s="3"/>
      <c r="AC153" s="3"/>
      <c r="AD153" s="3"/>
    </row>
    <row r="154" spans="25:30" ht="15.75">
      <c r="Y154" s="3"/>
      <c r="Z154" s="3"/>
      <c r="AA154" s="3"/>
      <c r="AB154" s="3"/>
      <c r="AC154" s="3"/>
      <c r="AD154" s="3"/>
    </row>
    <row r="155" spans="25:30" ht="15.75">
      <c r="Y155" s="3"/>
      <c r="Z155" s="3"/>
      <c r="AA155" s="3"/>
      <c r="AB155" s="3"/>
      <c r="AC155" s="3"/>
      <c r="AD155" s="3"/>
    </row>
    <row r="156" spans="25:30" ht="15.75">
      <c r="Y156" s="3"/>
      <c r="Z156" s="3"/>
      <c r="AA156" s="3"/>
      <c r="AB156" s="3"/>
      <c r="AC156" s="3"/>
      <c r="AD156" s="3"/>
    </row>
    <row r="157" spans="25:30" ht="15.75">
      <c r="Y157" s="3"/>
      <c r="Z157" s="3"/>
      <c r="AA157" s="3"/>
      <c r="AB157" s="3"/>
      <c r="AC157" s="3"/>
      <c r="AD157" s="3"/>
    </row>
    <row r="158" spans="25:30" ht="15.75">
      <c r="Y158" s="3"/>
      <c r="Z158" s="3"/>
      <c r="AA158" s="3"/>
      <c r="AB158" s="3"/>
      <c r="AC158" s="3"/>
      <c r="AD158" s="3"/>
    </row>
    <row r="159" spans="25:30" ht="15.75">
      <c r="Y159" s="3"/>
      <c r="Z159" s="3"/>
      <c r="AA159" s="3"/>
      <c r="AB159" s="3"/>
      <c r="AC159" s="3"/>
      <c r="AD159" s="3"/>
    </row>
    <row r="160" spans="25:30" ht="15.75">
      <c r="Y160" s="3"/>
      <c r="Z160" s="3"/>
      <c r="AA160" s="3"/>
      <c r="AB160" s="3"/>
      <c r="AC160" s="3"/>
      <c r="AD160" s="3"/>
    </row>
    <row r="161" spans="25:30" ht="15.75">
      <c r="Y161" s="3"/>
      <c r="Z161" s="3"/>
      <c r="AA161" s="3"/>
      <c r="AB161" s="3"/>
      <c r="AC161" s="3"/>
      <c r="AD161" s="3"/>
    </row>
    <row r="162" spans="25:30" ht="15.75">
      <c r="Y162" s="3"/>
      <c r="Z162" s="3"/>
      <c r="AA162" s="3"/>
      <c r="AB162" s="3"/>
      <c r="AC162" s="3"/>
      <c r="AD162" s="3"/>
    </row>
    <row r="163" spans="25:30" ht="15.75">
      <c r="Y163" s="3"/>
      <c r="Z163" s="3"/>
      <c r="AA163" s="3"/>
      <c r="AB163" s="3"/>
      <c r="AC163" s="3"/>
      <c r="AD163" s="3"/>
    </row>
    <row r="164" spans="25:30" ht="15.75">
      <c r="Y164" s="3"/>
      <c r="Z164" s="3"/>
      <c r="AA164" s="3"/>
      <c r="AB164" s="3"/>
      <c r="AC164" s="3"/>
      <c r="AD164" s="3"/>
    </row>
    <row r="165" spans="25:30" ht="15.75">
      <c r="Y165" s="3"/>
      <c r="Z165" s="3"/>
      <c r="AA165" s="3"/>
      <c r="AB165" s="3"/>
      <c r="AC165" s="3"/>
      <c r="AD165" s="3"/>
    </row>
    <row r="166" spans="25:30" ht="15.75">
      <c r="Y166" s="3"/>
      <c r="Z166" s="3"/>
      <c r="AA166" s="3"/>
      <c r="AB166" s="3"/>
      <c r="AC166" s="3"/>
      <c r="AD166" s="3"/>
    </row>
    <row r="167" spans="25:30" ht="15.75">
      <c r="Y167" s="3"/>
      <c r="Z167" s="3"/>
      <c r="AA167" s="3"/>
      <c r="AB167" s="3"/>
      <c r="AC167" s="3"/>
      <c r="AD167" s="3"/>
    </row>
    <row r="168" spans="25:30" ht="15.75">
      <c r="Y168" s="3"/>
      <c r="Z168" s="3"/>
      <c r="AA168" s="3"/>
      <c r="AB168" s="3"/>
      <c r="AC168" s="3"/>
      <c r="AD168" s="3"/>
    </row>
    <row r="169" spans="25:30" ht="15.75">
      <c r="Y169" s="3"/>
      <c r="Z169" s="3"/>
      <c r="AA169" s="3"/>
      <c r="AB169" s="3"/>
      <c r="AC169" s="3"/>
      <c r="AD169" s="3"/>
    </row>
    <row r="170" spans="25:30" ht="15.75">
      <c r="Y170" s="3"/>
      <c r="Z170" s="3"/>
      <c r="AA170" s="3"/>
      <c r="AB170" s="3"/>
      <c r="AC170" s="3"/>
      <c r="AD170" s="3"/>
    </row>
    <row r="171" spans="25:30" ht="15.75">
      <c r="Y171" s="3"/>
      <c r="Z171" s="3"/>
      <c r="AA171" s="3"/>
      <c r="AB171" s="3"/>
      <c r="AC171" s="3"/>
      <c r="AD171" s="3"/>
    </row>
    <row r="172" spans="25:30" ht="15.75">
      <c r="Y172" s="3"/>
      <c r="Z172" s="3"/>
      <c r="AA172" s="3"/>
      <c r="AB172" s="3"/>
      <c r="AC172" s="3"/>
      <c r="AD172" s="3"/>
    </row>
    <row r="173" spans="25:30" ht="15.75">
      <c r="Y173" s="3"/>
      <c r="Z173" s="3"/>
      <c r="AA173" s="3"/>
      <c r="AB173" s="3"/>
      <c r="AC173" s="3"/>
      <c r="AD173" s="3"/>
    </row>
    <row r="174" spans="25:30" ht="15.75">
      <c r="Y174" s="3"/>
      <c r="Z174" s="3"/>
      <c r="AA174" s="3"/>
      <c r="AB174" s="3"/>
      <c r="AC174" s="3"/>
      <c r="AD174" s="3"/>
    </row>
    <row r="175" spans="25:30" ht="15.75">
      <c r="Y175" s="3"/>
      <c r="Z175" s="3"/>
      <c r="AA175" s="3"/>
      <c r="AB175" s="3"/>
      <c r="AC175" s="3"/>
      <c r="AD175" s="3"/>
    </row>
    <row r="176" spans="25:30" ht="15.75">
      <c r="Y176" s="3"/>
      <c r="Z176" s="3"/>
      <c r="AA176" s="3"/>
      <c r="AB176" s="3"/>
      <c r="AC176" s="3"/>
      <c r="AD176" s="3"/>
    </row>
    <row r="177" spans="25:30" ht="15.75">
      <c r="Y177" s="3"/>
      <c r="Z177" s="3"/>
      <c r="AA177" s="3"/>
      <c r="AB177" s="3"/>
      <c r="AC177" s="3"/>
      <c r="AD177" s="3"/>
    </row>
    <row r="178" spans="25:30" ht="15.75">
      <c r="Y178" s="3"/>
      <c r="Z178" s="3"/>
      <c r="AA178" s="3"/>
      <c r="AB178" s="3"/>
      <c r="AC178" s="3"/>
      <c r="AD178" s="3"/>
    </row>
    <row r="179" spans="25:30" ht="15.75">
      <c r="Y179" s="3"/>
      <c r="Z179" s="3"/>
      <c r="AA179" s="3"/>
      <c r="AB179" s="3"/>
      <c r="AC179" s="3"/>
      <c r="AD179" s="3"/>
    </row>
    <row r="180" spans="25:30" ht="15.75">
      <c r="Y180" s="3"/>
      <c r="Z180" s="3"/>
      <c r="AA180" s="3"/>
      <c r="AB180" s="3"/>
      <c r="AC180" s="3"/>
      <c r="AD180" s="3"/>
    </row>
    <row r="181" spans="25:30" ht="15.75">
      <c r="Y181" s="3"/>
      <c r="Z181" s="3"/>
      <c r="AA181" s="3"/>
      <c r="AB181" s="3"/>
      <c r="AC181" s="3"/>
      <c r="AD181" s="3"/>
    </row>
    <row r="182" spans="25:30" ht="15.75">
      <c r="Y182" s="3"/>
      <c r="Z182" s="3"/>
      <c r="AA182" s="3"/>
      <c r="AB182" s="3"/>
      <c r="AC182" s="3"/>
      <c r="AD182" s="3"/>
    </row>
    <row r="183" spans="25:30" ht="15.75">
      <c r="Y183" s="3"/>
      <c r="Z183" s="3"/>
      <c r="AA183" s="3"/>
      <c r="AB183" s="3"/>
      <c r="AC183" s="3"/>
      <c r="AD183" s="3"/>
    </row>
    <row r="184" spans="25:30" ht="15.75">
      <c r="Y184" s="3"/>
      <c r="Z184" s="3"/>
      <c r="AA184" s="3"/>
      <c r="AB184" s="3"/>
      <c r="AC184" s="3"/>
      <c r="AD184" s="3"/>
    </row>
    <row r="185" spans="25:30" ht="15.75">
      <c r="Y185" s="3"/>
      <c r="Z185" s="3"/>
      <c r="AA185" s="3"/>
      <c r="AB185" s="3"/>
      <c r="AC185" s="3"/>
      <c r="AD185" s="3"/>
    </row>
    <row r="186" spans="25:30" ht="15.75">
      <c r="Y186" s="3"/>
      <c r="Z186" s="3"/>
      <c r="AA186" s="3"/>
      <c r="AB186" s="3"/>
      <c r="AC186" s="3"/>
      <c r="AD186" s="3"/>
    </row>
    <row r="187" spans="25:30" ht="15.75">
      <c r="Y187" s="3"/>
      <c r="Z187" s="3"/>
      <c r="AA187" s="3"/>
      <c r="AB187" s="3"/>
      <c r="AC187" s="3"/>
      <c r="AD187" s="3"/>
    </row>
    <row r="188" spans="25:30" ht="15.75">
      <c r="Y188" s="3"/>
      <c r="Z188" s="3"/>
      <c r="AA188" s="3"/>
      <c r="AB188" s="3"/>
      <c r="AC188" s="3"/>
      <c r="AD188" s="3"/>
    </row>
    <row r="189" spans="25:30" ht="15.75">
      <c r="Y189" s="3"/>
      <c r="Z189" s="3"/>
      <c r="AA189" s="3"/>
      <c r="AB189" s="3"/>
      <c r="AC189" s="3"/>
      <c r="AD189" s="3"/>
    </row>
    <row r="190" spans="25:30" ht="15.75">
      <c r="Y190" s="3"/>
      <c r="Z190" s="3"/>
      <c r="AA190" s="3"/>
      <c r="AB190" s="3"/>
      <c r="AC190" s="3"/>
      <c r="AD190" s="3"/>
    </row>
    <row r="191" spans="25:30" ht="15.75">
      <c r="Y191" s="3"/>
      <c r="Z191" s="3"/>
      <c r="AA191" s="3"/>
      <c r="AB191" s="3"/>
      <c r="AC191" s="3"/>
      <c r="AD191" s="3"/>
    </row>
    <row r="192" spans="25:30" ht="15.75">
      <c r="Y192" s="3"/>
      <c r="Z192" s="3"/>
      <c r="AA192" s="3"/>
      <c r="AB192" s="3"/>
      <c r="AC192" s="3"/>
      <c r="AD192" s="3"/>
    </row>
    <row r="193" spans="25:30" ht="15.75">
      <c r="Y193" s="3"/>
      <c r="Z193" s="3"/>
      <c r="AA193" s="3"/>
      <c r="AB193" s="3"/>
      <c r="AC193" s="3"/>
      <c r="AD193" s="3"/>
    </row>
    <row r="194" spans="25:30" ht="15.75">
      <c r="Y194" s="3"/>
      <c r="Z194" s="3"/>
      <c r="AA194" s="3"/>
      <c r="AB194" s="3"/>
      <c r="AC194" s="3"/>
      <c r="AD194" s="3"/>
    </row>
    <row r="195" spans="25:30" ht="15.75">
      <c r="Y195" s="3"/>
      <c r="Z195" s="3"/>
      <c r="AA195" s="3"/>
      <c r="AB195" s="3"/>
      <c r="AC195" s="3"/>
      <c r="AD195" s="3"/>
    </row>
    <row r="196" spans="25:30" ht="15.75">
      <c r="Y196" s="3"/>
      <c r="Z196" s="3"/>
      <c r="AA196" s="3"/>
      <c r="AB196" s="3"/>
      <c r="AC196" s="3"/>
      <c r="AD196" s="3"/>
    </row>
    <row r="197" spans="25:30" ht="15.75">
      <c r="Y197" s="3"/>
      <c r="Z197" s="3"/>
      <c r="AA197" s="3"/>
      <c r="AB197" s="3"/>
      <c r="AC197" s="3"/>
      <c r="AD197" s="3"/>
    </row>
    <row r="198" spans="25:30" ht="15.75">
      <c r="Y198" s="3"/>
      <c r="Z198" s="3"/>
      <c r="AA198" s="3"/>
      <c r="AB198" s="3"/>
      <c r="AC198" s="3"/>
      <c r="AD198" s="3"/>
    </row>
    <row r="199" spans="25:30" ht="15.75">
      <c r="Y199" s="3"/>
      <c r="Z199" s="3"/>
      <c r="AA199" s="3"/>
      <c r="AB199" s="3"/>
      <c r="AC199" s="3"/>
      <c r="AD199" s="3"/>
    </row>
    <row r="200" spans="25:30" ht="15.75">
      <c r="Y200" s="3"/>
      <c r="Z200" s="3"/>
      <c r="AA200" s="3"/>
      <c r="AB200" s="3"/>
      <c r="AC200" s="3"/>
      <c r="AD200" s="3"/>
    </row>
    <row r="201" spans="25:30" ht="15.75">
      <c r="Y201" s="3"/>
      <c r="Z201" s="3"/>
      <c r="AA201" s="3"/>
      <c r="AB201" s="3"/>
      <c r="AC201" s="3"/>
      <c r="AD201" s="3"/>
    </row>
    <row r="202" spans="25:30" ht="15.75">
      <c r="Y202" s="3"/>
      <c r="Z202" s="3"/>
      <c r="AA202" s="3"/>
      <c r="AB202" s="3"/>
      <c r="AC202" s="3"/>
      <c r="AD202" s="3"/>
    </row>
    <row r="203" spans="25:30" ht="15.75">
      <c r="Y203" s="3"/>
      <c r="Z203" s="3"/>
      <c r="AA203" s="3"/>
      <c r="AB203" s="3"/>
      <c r="AC203" s="3"/>
      <c r="AD203" s="3"/>
    </row>
    <row r="204" spans="25:30" ht="15.75">
      <c r="Y204" s="3"/>
      <c r="Z204" s="3"/>
      <c r="AA204" s="3"/>
      <c r="AB204" s="3"/>
      <c r="AC204" s="3"/>
      <c r="AD204" s="3"/>
    </row>
    <row r="205" spans="25:30" ht="15.75">
      <c r="Y205" s="3"/>
      <c r="Z205" s="3"/>
      <c r="AA205" s="3"/>
      <c r="AB205" s="3"/>
      <c r="AC205" s="3"/>
      <c r="AD205" s="3"/>
    </row>
    <row r="206" spans="25:30" ht="15.75">
      <c r="Y206" s="3"/>
      <c r="Z206" s="3"/>
      <c r="AA206" s="3"/>
      <c r="AB206" s="3"/>
      <c r="AC206" s="3"/>
      <c r="AD206" s="3"/>
    </row>
    <row r="207" spans="25:30" ht="15.75">
      <c r="Y207" s="3"/>
      <c r="Z207" s="3"/>
      <c r="AA207" s="3"/>
      <c r="AB207" s="3"/>
      <c r="AC207" s="3"/>
      <c r="AD207" s="3"/>
    </row>
    <row r="208" spans="25:30" ht="15.75">
      <c r="Y208" s="3"/>
      <c r="Z208" s="3"/>
      <c r="AA208" s="3"/>
      <c r="AB208" s="3"/>
      <c r="AC208" s="3"/>
      <c r="AD208" s="3"/>
    </row>
    <row r="209" spans="25:30" ht="15.75">
      <c r="Y209" s="3"/>
      <c r="Z209" s="3"/>
      <c r="AA209" s="3"/>
      <c r="AB209" s="3"/>
      <c r="AC209" s="3"/>
      <c r="AD209" s="3"/>
    </row>
    <row r="210" spans="25:30" ht="15.75">
      <c r="Y210" s="3"/>
      <c r="Z210" s="3"/>
      <c r="AA210" s="3"/>
      <c r="AB210" s="3"/>
      <c r="AC210" s="3"/>
      <c r="AD210" s="3"/>
    </row>
    <row r="211" spans="25:30" ht="15.75">
      <c r="Y211" s="3"/>
      <c r="Z211" s="3"/>
      <c r="AA211" s="3"/>
      <c r="AB211" s="3"/>
      <c r="AC211" s="3"/>
      <c r="AD211" s="3"/>
    </row>
    <row r="212" spans="25:30" ht="15.75">
      <c r="Y212" s="3"/>
      <c r="Z212" s="3"/>
      <c r="AA212" s="3"/>
      <c r="AB212" s="3"/>
      <c r="AC212" s="3"/>
      <c r="AD212" s="3"/>
    </row>
    <row r="213" spans="25:30" ht="15.75">
      <c r="Y213" s="3"/>
      <c r="Z213" s="3"/>
      <c r="AA213" s="3"/>
      <c r="AB213" s="3"/>
      <c r="AC213" s="3"/>
      <c r="AD213" s="3"/>
    </row>
    <row r="214" spans="25:30" ht="15.75">
      <c r="Y214" s="3"/>
      <c r="Z214" s="3"/>
      <c r="AA214" s="3"/>
      <c r="AB214" s="3"/>
      <c r="AC214" s="3"/>
      <c r="AD214" s="3"/>
    </row>
    <row r="215" spans="25:30" ht="15.75">
      <c r="Y215" s="3"/>
      <c r="Z215" s="3"/>
      <c r="AA215" s="3"/>
      <c r="AB215" s="3"/>
      <c r="AC215" s="3"/>
      <c r="AD215" s="3"/>
    </row>
    <row r="216" spans="25:30" ht="15.75">
      <c r="Y216" s="3"/>
      <c r="Z216" s="3"/>
      <c r="AA216" s="3"/>
      <c r="AB216" s="3"/>
      <c r="AC216" s="3"/>
      <c r="AD216" s="3"/>
    </row>
    <row r="217" spans="25:30" ht="15.75">
      <c r="Y217" s="3"/>
      <c r="Z217" s="3"/>
      <c r="AA217" s="3"/>
      <c r="AB217" s="3"/>
      <c r="AC217" s="3"/>
      <c r="AD217" s="3"/>
    </row>
    <row r="218" spans="25:30" ht="15.75">
      <c r="Y218" s="3"/>
      <c r="Z218" s="3"/>
      <c r="AA218" s="3"/>
      <c r="AB218" s="3"/>
      <c r="AC218" s="3"/>
      <c r="AD218" s="3"/>
    </row>
    <row r="219" spans="25:30" ht="15.75">
      <c r="Y219" s="3"/>
      <c r="Z219" s="3"/>
      <c r="AA219" s="3"/>
      <c r="AB219" s="3"/>
      <c r="AC219" s="3"/>
      <c r="AD219" s="3"/>
    </row>
    <row r="220" spans="25:30" ht="15.75">
      <c r="Y220" s="3"/>
      <c r="Z220" s="3"/>
      <c r="AA220" s="3"/>
      <c r="AB220" s="3"/>
      <c r="AC220" s="3"/>
      <c r="AD220" s="3"/>
    </row>
    <row r="221" spans="25:30" ht="15.75">
      <c r="Y221" s="3"/>
      <c r="Z221" s="3"/>
      <c r="AA221" s="3"/>
      <c r="AB221" s="3"/>
      <c r="AC221" s="3"/>
      <c r="AD221" s="3"/>
    </row>
    <row r="222" spans="25:30" ht="15.75">
      <c r="Y222" s="3"/>
      <c r="Z222" s="3"/>
      <c r="AA222" s="3"/>
      <c r="AB222" s="3"/>
      <c r="AC222" s="3"/>
      <c r="AD222" s="3"/>
    </row>
    <row r="223" spans="25:30" ht="15.75">
      <c r="Y223" s="3"/>
      <c r="Z223" s="3"/>
      <c r="AA223" s="3"/>
      <c r="AB223" s="3"/>
      <c r="AC223" s="3"/>
      <c r="AD223" s="3"/>
    </row>
    <row r="224" spans="25:30" ht="15.75">
      <c r="Y224" s="3"/>
      <c r="Z224" s="3"/>
      <c r="AA224" s="3"/>
      <c r="AB224" s="3"/>
      <c r="AC224" s="3"/>
      <c r="AD224" s="3"/>
    </row>
    <row r="225" spans="16:30" ht="15.75">
      <c r="Y225" s="3"/>
      <c r="Z225" s="3"/>
      <c r="AA225" s="3"/>
      <c r="AB225" s="3"/>
      <c r="AC225" s="3"/>
      <c r="AD225" s="3"/>
    </row>
    <row r="226" spans="16:30" ht="15.75">
      <c r="Y226" s="3"/>
      <c r="Z226" s="3"/>
      <c r="AA226" s="3"/>
      <c r="AB226" s="3"/>
      <c r="AC226" s="3"/>
      <c r="AD226" s="3"/>
    </row>
    <row r="227" spans="16:30" ht="15.75">
      <c r="Y227" s="3"/>
      <c r="Z227" s="3"/>
      <c r="AA227" s="3"/>
      <c r="AB227" s="3"/>
      <c r="AC227" s="3"/>
      <c r="AD227" s="3"/>
    </row>
    <row r="228" spans="16:30" ht="15.75">
      <c r="Y228" s="3"/>
      <c r="Z228" s="3"/>
      <c r="AA228" s="3"/>
      <c r="AB228" s="3"/>
      <c r="AC228" s="3"/>
      <c r="AD228" s="3"/>
    </row>
    <row r="229" spans="16:30" ht="15.75">
      <c r="Y229" s="3"/>
      <c r="Z229" s="3"/>
      <c r="AA229" s="3"/>
      <c r="AB229" s="3"/>
      <c r="AC229" s="3"/>
      <c r="AD229" s="3"/>
    </row>
    <row r="230" spans="16:30" ht="15.75">
      <c r="Y230" s="3"/>
      <c r="Z230" s="3"/>
      <c r="AA230" s="3"/>
      <c r="AB230" s="3"/>
      <c r="AC230" s="3"/>
      <c r="AD230" s="3"/>
    </row>
    <row r="231" spans="16:30" ht="15.75">
      <c r="Y231" s="3"/>
      <c r="Z231" s="3"/>
      <c r="AA231" s="3"/>
      <c r="AB231" s="3"/>
      <c r="AC231" s="3"/>
      <c r="AD231" s="3"/>
    </row>
    <row r="232" spans="16:30" ht="15.75">
      <c r="Y232" s="3"/>
      <c r="Z232" s="3"/>
      <c r="AA232" s="3"/>
      <c r="AB232" s="3"/>
      <c r="AC232" s="3"/>
      <c r="AD232" s="3"/>
    </row>
    <row r="233" spans="16:30" ht="15.75">
      <c r="Y233" s="3"/>
      <c r="Z233" s="3"/>
      <c r="AA233" s="3"/>
      <c r="AB233" s="3"/>
      <c r="AC233" s="3"/>
      <c r="AD233" s="3"/>
    </row>
    <row r="234" spans="16:30" ht="15.75">
      <c r="Y234" s="3"/>
      <c r="Z234" s="3"/>
      <c r="AA234" s="3"/>
      <c r="AB234" s="3"/>
      <c r="AC234" s="3"/>
      <c r="AD234" s="3"/>
    </row>
    <row r="235" spans="16:30" ht="15.75">
      <c r="P235">
        <f>+'SR BUDACT ER'!AF87+'SR BUDACT ER'!AR87+'SR BUDACT ER'!AX87+'SR BUDACT ER'!BS87+'SR BUDACT ER'!CH87+'SR BUDACT ER'!CK87+'SR BUDACT ER'!CN87+'SR BUDACT ER'!DL87+'SR BUDACT ER'!DX87+'SR BUDACT ER'!EV87</f>
        <v>-2051284</v>
      </c>
      <c r="Y235" s="3"/>
      <c r="Z235" s="3"/>
      <c r="AA235" s="3"/>
      <c r="AB235" s="3"/>
      <c r="AC235" s="3"/>
      <c r="AD235" s="3"/>
    </row>
    <row r="236" spans="16:30" ht="15.75">
      <c r="Y236" s="3"/>
      <c r="Z236" s="3"/>
      <c r="AA236" s="3"/>
      <c r="AB236" s="3"/>
      <c r="AC236" s="3"/>
      <c r="AD236" s="3"/>
    </row>
    <row r="237" spans="16:30" ht="15.75">
      <c r="Y237" s="3"/>
      <c r="Z237" s="3"/>
      <c r="AA237" s="3"/>
      <c r="AB237" s="3"/>
      <c r="AC237" s="3"/>
      <c r="AD237" s="3"/>
    </row>
    <row r="238" spans="16:30" ht="15.75">
      <c r="Y238" s="3"/>
      <c r="Z238" s="3"/>
      <c r="AA238" s="3"/>
      <c r="AB238" s="3"/>
      <c r="AC238" s="3"/>
      <c r="AD238" s="3"/>
    </row>
    <row r="239" spans="16:30" ht="15.75">
      <c r="Y239" s="3"/>
      <c r="Z239" s="3"/>
      <c r="AA239" s="3"/>
      <c r="AB239" s="3"/>
      <c r="AC239" s="3"/>
      <c r="AD239" s="3"/>
    </row>
    <row r="240" spans="16:30" ht="15.75">
      <c r="Y240" s="3"/>
      <c r="Z240" s="3"/>
      <c r="AA240" s="3"/>
      <c r="AB240" s="3"/>
      <c r="AC240" s="3"/>
      <c r="AD240" s="3"/>
    </row>
    <row r="241" spans="25:30" ht="15.75">
      <c r="Y241" s="3"/>
      <c r="Z241" s="3"/>
      <c r="AA241" s="3"/>
      <c r="AB241" s="3"/>
      <c r="AC241" s="3"/>
      <c r="AD241" s="3"/>
    </row>
    <row r="242" spans="25:30" ht="15.75">
      <c r="Y242" s="3"/>
      <c r="Z242" s="3"/>
      <c r="AA242" s="3"/>
      <c r="AB242" s="3"/>
      <c r="AC242" s="3"/>
      <c r="AD242" s="3"/>
    </row>
    <row r="243" spans="25:30" ht="15.75">
      <c r="Y243" s="3"/>
      <c r="Z243" s="3"/>
      <c r="AA243" s="3"/>
      <c r="AB243" s="3"/>
      <c r="AC243" s="3"/>
      <c r="AD243" s="3"/>
    </row>
    <row r="244" spans="25:30" ht="15.75">
      <c r="Y244" s="3"/>
      <c r="Z244" s="3"/>
      <c r="AA244" s="3"/>
      <c r="AB244" s="3"/>
      <c r="AC244" s="3"/>
      <c r="AD244" s="3"/>
    </row>
    <row r="245" spans="25:30" ht="15.75">
      <c r="Y245" s="3"/>
      <c r="Z245" s="3"/>
      <c r="AA245" s="3"/>
      <c r="AB245" s="3"/>
      <c r="AC245" s="3"/>
      <c r="AD245" s="3"/>
    </row>
    <row r="246" spans="25:30" ht="15.75">
      <c r="Y246" s="3"/>
      <c r="Z246" s="3"/>
      <c r="AA246" s="3"/>
      <c r="AB246" s="3"/>
      <c r="AC246" s="3"/>
      <c r="AD246" s="3"/>
    </row>
    <row r="247" spans="25:30" ht="15.75">
      <c r="Y247" s="3"/>
      <c r="Z247" s="3"/>
      <c r="AA247" s="3"/>
      <c r="AB247" s="3"/>
      <c r="AC247" s="3"/>
      <c r="AD247" s="3"/>
    </row>
    <row r="248" spans="25:30" ht="15.75">
      <c r="Y248" s="3"/>
      <c r="Z248" s="3"/>
      <c r="AA248" s="3"/>
      <c r="AB248" s="3"/>
      <c r="AC248" s="3"/>
      <c r="AD248" s="3"/>
    </row>
    <row r="249" spans="25:30" ht="15.75">
      <c r="Y249" s="3"/>
      <c r="Z249" s="3"/>
      <c r="AA249" s="3"/>
      <c r="AB249" s="3"/>
      <c r="AC249" s="3"/>
      <c r="AD249" s="3"/>
    </row>
    <row r="250" spans="25:30" ht="15.75">
      <c r="Y250" s="3"/>
      <c r="Z250" s="3"/>
      <c r="AA250" s="3"/>
      <c r="AB250" s="3"/>
      <c r="AC250" s="3"/>
      <c r="AD250" s="3"/>
    </row>
    <row r="251" spans="25:30" ht="15.75">
      <c r="Y251" s="3"/>
      <c r="Z251" s="3"/>
      <c r="AA251" s="3"/>
      <c r="AB251" s="3"/>
      <c r="AC251" s="3"/>
      <c r="AD251" s="3"/>
    </row>
    <row r="252" spans="25:30" ht="15.75">
      <c r="Y252" s="3"/>
      <c r="Z252" s="3"/>
      <c r="AA252" s="3"/>
      <c r="AB252" s="3"/>
      <c r="AC252" s="3"/>
      <c r="AD252" s="3"/>
    </row>
    <row r="253" spans="25:30" ht="15.75">
      <c r="Y253" s="3"/>
      <c r="Z253" s="3"/>
      <c r="AA253" s="3"/>
      <c r="AB253" s="3"/>
      <c r="AC253" s="3"/>
      <c r="AD253" s="3"/>
    </row>
    <row r="254" spans="25:30" ht="15.75">
      <c r="Y254" s="3"/>
      <c r="Z254" s="3"/>
      <c r="AA254" s="3"/>
      <c r="AB254" s="3"/>
      <c r="AC254" s="3"/>
      <c r="AD254" s="3"/>
    </row>
    <row r="255" spans="25:30" ht="15.75">
      <c r="Y255" s="3"/>
      <c r="Z255" s="3"/>
      <c r="AA255" s="3"/>
      <c r="AB255" s="3"/>
      <c r="AC255" s="3"/>
      <c r="AD255" s="3"/>
    </row>
    <row r="256" spans="25:30" ht="15.75">
      <c r="Y256" s="3"/>
      <c r="Z256" s="3"/>
      <c r="AA256" s="3"/>
      <c r="AB256" s="3"/>
      <c r="AC256" s="3"/>
      <c r="AD256" s="3"/>
    </row>
    <row r="257" spans="25:30" ht="15.75">
      <c r="Y257" s="3"/>
      <c r="Z257" s="3"/>
      <c r="AA257" s="3"/>
      <c r="AB257" s="3"/>
      <c r="AC257" s="3"/>
      <c r="AD257" s="3"/>
    </row>
    <row r="258" spans="25:30" ht="15.75">
      <c r="Y258" s="3"/>
      <c r="Z258" s="3"/>
      <c r="AA258" s="3"/>
      <c r="AB258" s="3"/>
      <c r="AC258" s="3"/>
      <c r="AD258" s="3"/>
    </row>
    <row r="259" spans="25:30" ht="15.75">
      <c r="Y259" s="3"/>
      <c r="Z259" s="3"/>
      <c r="AA259" s="3"/>
      <c r="AB259" s="3"/>
      <c r="AC259" s="3"/>
      <c r="AD259" s="3"/>
    </row>
    <row r="260" spans="25:30" ht="15.75">
      <c r="Y260" s="3"/>
      <c r="Z260" s="3"/>
      <c r="AA260" s="3"/>
      <c r="AB260" s="3"/>
      <c r="AC260" s="3"/>
      <c r="AD260" s="3"/>
    </row>
    <row r="261" spans="25:30" ht="15.75">
      <c r="Y261" s="3"/>
      <c r="Z261" s="3"/>
      <c r="AA261" s="3"/>
      <c r="AB261" s="3"/>
      <c r="AC261" s="3"/>
      <c r="AD261" s="3"/>
    </row>
    <row r="262" spans="25:30" ht="15.75">
      <c r="Y262" s="3"/>
      <c r="Z262" s="3"/>
      <c r="AA262" s="3"/>
      <c r="AB262" s="3"/>
      <c r="AC262" s="3"/>
      <c r="AD262" s="3"/>
    </row>
    <row r="263" spans="25:30" ht="15.75">
      <c r="Y263" s="3"/>
      <c r="Z263" s="3"/>
      <c r="AA263" s="3"/>
      <c r="AB263" s="3"/>
      <c r="AC263" s="3"/>
      <c r="AD263" s="3"/>
    </row>
    <row r="264" spans="25:30" ht="15.75">
      <c r="Y264" s="3"/>
      <c r="Z264" s="3"/>
      <c r="AA264" s="3"/>
      <c r="AB264" s="3"/>
      <c r="AC264" s="3"/>
      <c r="AD264" s="3"/>
    </row>
    <row r="265" spans="25:30" ht="15.75">
      <c r="Y265" s="3"/>
      <c r="Z265" s="3"/>
      <c r="AA265" s="3"/>
      <c r="AB265" s="3"/>
      <c r="AC265" s="3"/>
      <c r="AD265" s="3"/>
    </row>
    <row r="266" spans="25:30" ht="15.75">
      <c r="Y266" s="3"/>
      <c r="Z266" s="3"/>
      <c r="AA266" s="3"/>
      <c r="AB266" s="3"/>
      <c r="AC266" s="3"/>
      <c r="AD266" s="3"/>
    </row>
    <row r="267" spans="25:30" ht="15.75">
      <c r="Y267" s="3"/>
      <c r="Z267" s="3"/>
      <c r="AA267" s="3"/>
      <c r="AB267" s="3"/>
      <c r="AC267" s="3"/>
      <c r="AD267" s="3"/>
    </row>
    <row r="268" spans="25:30" ht="15.75">
      <c r="Y268" s="3"/>
      <c r="Z268" s="3"/>
      <c r="AA268" s="3"/>
      <c r="AB268" s="3"/>
      <c r="AC268" s="3"/>
      <c r="AD268" s="3"/>
    </row>
    <row r="269" spans="25:30" ht="15.75">
      <c r="Y269" s="3"/>
      <c r="Z269" s="3"/>
      <c r="AA269" s="3"/>
      <c r="AB269" s="3"/>
      <c r="AC269" s="3"/>
      <c r="AD269" s="3"/>
    </row>
  </sheetData>
  <phoneticPr fontId="0" type="noConversion"/>
  <pageMargins left="0.5" right="0.5" top="0.25" bottom="0.25" header="0.25" footer="0.25"/>
  <pageSetup firstPageNumber="100" orientation="portrait" useFirstPageNumber="1" r:id="rId1"/>
  <headerFooter alignWithMargins="0"/>
  <rowBreaks count="1" manualBreakCount="1">
    <brk id="55" max="16383" man="1"/>
  </rowBreaks>
  <colBreaks count="1" manualBreakCount="1">
    <brk id="1" max="1048575" man="1"/>
  </colBreaks>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2"/>
  <dimension ref="A1:EX91"/>
  <sheetViews>
    <sheetView workbookViewId="0">
      <pane xSplit="1" ySplit="4" topLeftCell="AL5" activePane="bottomRight" state="frozen"/>
      <selection activeCell="B50" sqref="B50"/>
      <selection pane="topRight" activeCell="B50" sqref="B50"/>
      <selection pane="bottomLeft" activeCell="B50" sqref="B50"/>
      <selection pane="bottomRight" activeCell="B50" sqref="B50"/>
    </sheetView>
  </sheetViews>
  <sheetFormatPr defaultRowHeight="12.75"/>
  <cols>
    <col min="1" max="1" width="29.7109375" bestFit="1" customWidth="1"/>
    <col min="2" max="41" width="10" bestFit="1" customWidth="1"/>
    <col min="42" max="42" width="12.28515625" bestFit="1" customWidth="1"/>
    <col min="43" max="43" width="11" customWidth="1"/>
    <col min="44" max="52" width="10" customWidth="1"/>
    <col min="53" max="53" width="21.7109375" customWidth="1"/>
    <col min="54" max="54" width="10" bestFit="1" customWidth="1"/>
    <col min="55" max="113" width="9.85546875" customWidth="1"/>
    <col min="114" max="114" width="10.28515625" customWidth="1"/>
    <col min="115" max="149" width="9.85546875" customWidth="1"/>
    <col min="150" max="151" width="10.28515625" customWidth="1"/>
    <col min="152" max="153" width="9.85546875" customWidth="1"/>
    <col min="154" max="154" width="9.140625" customWidth="1"/>
    <col min="155" max="155" width="9.7109375" bestFit="1" customWidth="1"/>
    <col min="156" max="156" width="8.140625" customWidth="1"/>
  </cols>
  <sheetData>
    <row r="1" spans="1:154">
      <c r="B1" s="28" t="s">
        <v>1298</v>
      </c>
      <c r="C1" s="28"/>
      <c r="D1" s="28"/>
      <c r="E1" s="28"/>
      <c r="F1" s="28"/>
      <c r="G1" s="28"/>
      <c r="H1" s="28"/>
      <c r="I1" s="28"/>
      <c r="J1" s="28"/>
      <c r="K1" s="28" t="s">
        <v>1655</v>
      </c>
      <c r="L1" s="28"/>
      <c r="M1" s="28"/>
      <c r="N1" s="28"/>
      <c r="O1" s="28"/>
      <c r="P1" s="28"/>
      <c r="Q1" s="28"/>
      <c r="R1" s="28"/>
      <c r="S1" s="28"/>
      <c r="T1" s="28"/>
      <c r="U1" s="28"/>
      <c r="V1" s="28"/>
      <c r="W1" s="28"/>
      <c r="X1" s="28"/>
      <c r="Y1" s="28"/>
      <c r="Z1" s="28"/>
      <c r="AA1" s="28"/>
      <c r="AB1" s="28"/>
      <c r="AC1" s="28" t="s">
        <v>313</v>
      </c>
      <c r="AD1" s="28"/>
      <c r="AE1" s="28" t="s">
        <v>314</v>
      </c>
      <c r="AF1" s="28" t="s">
        <v>278</v>
      </c>
      <c r="AG1" s="28" t="s">
        <v>935</v>
      </c>
      <c r="AH1" s="28" t="s">
        <v>312</v>
      </c>
      <c r="AI1" s="28" t="s">
        <v>1905</v>
      </c>
      <c r="AJ1" s="28" t="s">
        <v>894</v>
      </c>
      <c r="AK1" s="28" t="s">
        <v>894</v>
      </c>
      <c r="AL1" s="28" t="s">
        <v>1558</v>
      </c>
      <c r="AM1" s="28" t="s">
        <v>1558</v>
      </c>
      <c r="AN1" s="28"/>
      <c r="AO1" s="28"/>
      <c r="AP1" s="28"/>
      <c r="AQ1" s="28"/>
      <c r="AR1" s="28"/>
      <c r="AT1" s="28"/>
      <c r="AU1" s="28" t="s">
        <v>1357</v>
      </c>
      <c r="AV1" s="62" t="s">
        <v>1002</v>
      </c>
      <c r="AW1" s="62" t="s">
        <v>1046</v>
      </c>
      <c r="AX1" s="28" t="s">
        <v>887</v>
      </c>
      <c r="AY1" s="62" t="s">
        <v>161</v>
      </c>
      <c r="AZ1" s="62"/>
      <c r="BA1" s="62"/>
      <c r="BB1" s="28" t="s">
        <v>1297</v>
      </c>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row>
    <row r="2" spans="1:154">
      <c r="B2" s="28" t="s">
        <v>554</v>
      </c>
      <c r="C2" s="28" t="s">
        <v>894</v>
      </c>
      <c r="D2" s="28"/>
      <c r="E2" s="28" t="s">
        <v>898</v>
      </c>
      <c r="F2" s="28" t="s">
        <v>903</v>
      </c>
      <c r="G2" s="28"/>
      <c r="H2" s="28" t="s">
        <v>892</v>
      </c>
      <c r="I2" s="28" t="s">
        <v>1746</v>
      </c>
      <c r="J2" s="28" t="s">
        <v>893</v>
      </c>
      <c r="K2" s="28" t="s">
        <v>1656</v>
      </c>
      <c r="L2" s="28"/>
      <c r="M2" s="28"/>
      <c r="N2" s="28" t="s">
        <v>1613</v>
      </c>
      <c r="O2" s="28" t="s">
        <v>901</v>
      </c>
      <c r="P2" s="28"/>
      <c r="Q2" s="28" t="s">
        <v>902</v>
      </c>
      <c r="R2" s="28"/>
      <c r="S2" s="28" t="s">
        <v>904</v>
      </c>
      <c r="T2" s="28" t="s">
        <v>517</v>
      </c>
      <c r="U2" s="28" t="s">
        <v>249</v>
      </c>
      <c r="V2" s="28" t="s">
        <v>963</v>
      </c>
      <c r="W2" s="28" t="s">
        <v>1019</v>
      </c>
      <c r="X2" s="28" t="s">
        <v>518</v>
      </c>
      <c r="Y2" s="145" t="s">
        <v>2618</v>
      </c>
      <c r="Z2" s="28" t="s">
        <v>899</v>
      </c>
      <c r="AA2" s="28" t="s">
        <v>900</v>
      </c>
      <c r="AB2" s="28" t="s">
        <v>313</v>
      </c>
      <c r="AC2" s="28" t="s">
        <v>60</v>
      </c>
      <c r="AD2" s="28" t="s">
        <v>1358</v>
      </c>
      <c r="AE2" s="28" t="s">
        <v>61</v>
      </c>
      <c r="AF2" s="28" t="s">
        <v>279</v>
      </c>
      <c r="AG2" s="28" t="s">
        <v>59</v>
      </c>
      <c r="AH2" s="28" t="s">
        <v>20</v>
      </c>
      <c r="AI2" s="28" t="s">
        <v>1561</v>
      </c>
      <c r="AJ2" s="28" t="s">
        <v>1561</v>
      </c>
      <c r="AK2" s="28" t="s">
        <v>1562</v>
      </c>
      <c r="AL2" s="28" t="s">
        <v>72</v>
      </c>
      <c r="AM2" s="28" t="s">
        <v>72</v>
      </c>
      <c r="AN2" s="28" t="s">
        <v>604</v>
      </c>
      <c r="AO2" s="28" t="s">
        <v>1616</v>
      </c>
      <c r="AP2" s="28" t="s">
        <v>3310</v>
      </c>
      <c r="AQ2" s="28" t="s">
        <v>553</v>
      </c>
      <c r="AR2" s="28" t="s">
        <v>58</v>
      </c>
      <c r="AS2" s="28" t="s">
        <v>58</v>
      </c>
      <c r="AT2" s="28"/>
      <c r="AU2" s="28" t="s">
        <v>114</v>
      </c>
      <c r="AV2" s="62" t="s">
        <v>859</v>
      </c>
      <c r="AW2" s="62" t="s">
        <v>1001</v>
      </c>
      <c r="AX2" s="28" t="s">
        <v>559</v>
      </c>
      <c r="AY2" s="62" t="s">
        <v>1279</v>
      </c>
      <c r="AZ2" s="62" t="s">
        <v>842</v>
      </c>
      <c r="BA2" s="62" t="s">
        <v>841</v>
      </c>
      <c r="BB2" s="28" t="s">
        <v>552</v>
      </c>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row>
    <row r="3" spans="1:154">
      <c r="B3" s="28" t="s">
        <v>835</v>
      </c>
      <c r="C3" s="28" t="s">
        <v>14</v>
      </c>
      <c r="D3" s="28" t="s">
        <v>14</v>
      </c>
      <c r="E3" s="28" t="s">
        <v>1382</v>
      </c>
      <c r="F3" s="28" t="s">
        <v>1298</v>
      </c>
      <c r="G3" s="28" t="s">
        <v>1020</v>
      </c>
      <c r="H3" s="28" t="s">
        <v>70</v>
      </c>
      <c r="I3" s="28" t="s">
        <v>1747</v>
      </c>
      <c r="J3" s="28" t="s">
        <v>535</v>
      </c>
      <c r="K3" s="28" t="s">
        <v>625</v>
      </c>
      <c r="L3" s="28" t="s">
        <v>1383</v>
      </c>
      <c r="M3" s="28" t="s">
        <v>316</v>
      </c>
      <c r="N3" s="28" t="s">
        <v>1281</v>
      </c>
      <c r="O3" s="28" t="s">
        <v>1385</v>
      </c>
      <c r="P3" s="28" t="s">
        <v>1386</v>
      </c>
      <c r="Q3" s="28" t="s">
        <v>1387</v>
      </c>
      <c r="R3" s="28" t="s">
        <v>1298</v>
      </c>
      <c r="S3" s="28" t="s">
        <v>97</v>
      </c>
      <c r="T3" s="28" t="s">
        <v>636</v>
      </c>
      <c r="U3" s="28" t="s">
        <v>250</v>
      </c>
      <c r="V3" s="28" t="s">
        <v>964</v>
      </c>
      <c r="W3" s="28" t="s">
        <v>538</v>
      </c>
      <c r="X3" s="28" t="s">
        <v>537</v>
      </c>
      <c r="Y3" s="145" t="s">
        <v>1267</v>
      </c>
      <c r="Z3" s="28" t="s">
        <v>1384</v>
      </c>
      <c r="AA3" s="28" t="s">
        <v>1383</v>
      </c>
      <c r="AB3" s="28" t="s">
        <v>836</v>
      </c>
      <c r="AC3" s="28" t="s">
        <v>1338</v>
      </c>
      <c r="AD3" s="28" t="s">
        <v>536</v>
      </c>
      <c r="AE3" s="28" t="s">
        <v>1339</v>
      </c>
      <c r="AF3" s="28" t="s">
        <v>280</v>
      </c>
      <c r="AG3" s="28" t="s">
        <v>1337</v>
      </c>
      <c r="AH3" s="28" t="s">
        <v>1337</v>
      </c>
      <c r="AI3" s="28" t="s">
        <v>1564</v>
      </c>
      <c r="AJ3" s="28" t="s">
        <v>1564</v>
      </c>
      <c r="AK3" s="28" t="s">
        <v>1563</v>
      </c>
      <c r="AL3" s="28" t="s">
        <v>1565</v>
      </c>
      <c r="AM3" s="28" t="s">
        <v>1338</v>
      </c>
      <c r="AN3" s="28" t="s">
        <v>1283</v>
      </c>
      <c r="AO3" s="28" t="s">
        <v>1617</v>
      </c>
      <c r="AP3" s="1213" t="s">
        <v>3311</v>
      </c>
      <c r="AQ3" s="28" t="s">
        <v>762</v>
      </c>
      <c r="AR3" s="28" t="s">
        <v>20</v>
      </c>
      <c r="AS3" s="28" t="s">
        <v>20</v>
      </c>
      <c r="AT3" s="28" t="s">
        <v>1190</v>
      </c>
      <c r="AU3" s="28" t="s">
        <v>761</v>
      </c>
      <c r="AV3" s="62" t="s">
        <v>1338</v>
      </c>
      <c r="AW3" s="62" t="s">
        <v>1000</v>
      </c>
      <c r="AX3" s="28" t="s">
        <v>1384</v>
      </c>
      <c r="AY3" s="62" t="s">
        <v>837</v>
      </c>
      <c r="AZ3" s="62" t="s">
        <v>42</v>
      </c>
      <c r="BA3" s="62" t="s">
        <v>1311</v>
      </c>
      <c r="BB3" s="28" t="s">
        <v>856</v>
      </c>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row>
    <row r="4" spans="1:154">
      <c r="B4" s="64" t="s">
        <v>1210</v>
      </c>
      <c r="C4" s="64">
        <v>201</v>
      </c>
      <c r="D4" s="64">
        <v>202</v>
      </c>
      <c r="E4" s="64">
        <v>203</v>
      </c>
      <c r="F4" s="64">
        <v>204</v>
      </c>
      <c r="G4" s="64">
        <v>211</v>
      </c>
      <c r="H4" s="64">
        <v>215</v>
      </c>
      <c r="I4" s="64">
        <v>216</v>
      </c>
      <c r="J4" s="64">
        <v>218</v>
      </c>
      <c r="K4" s="64">
        <v>220</v>
      </c>
      <c r="L4" s="64">
        <v>221</v>
      </c>
      <c r="M4" s="64">
        <v>222</v>
      </c>
      <c r="N4" s="64">
        <v>223</v>
      </c>
      <c r="O4" s="64">
        <v>224</v>
      </c>
      <c r="P4" s="64">
        <v>225</v>
      </c>
      <c r="Q4" s="64">
        <v>226</v>
      </c>
      <c r="R4" s="64">
        <v>227</v>
      </c>
      <c r="S4" s="64">
        <v>228</v>
      </c>
      <c r="T4" s="64">
        <v>229</v>
      </c>
      <c r="U4" s="64">
        <v>230</v>
      </c>
      <c r="V4" s="64">
        <v>231</v>
      </c>
      <c r="W4" s="64">
        <v>232</v>
      </c>
      <c r="X4" s="744">
        <v>237</v>
      </c>
      <c r="Y4" s="744" t="s">
        <v>2617</v>
      </c>
      <c r="Z4" s="64">
        <v>235</v>
      </c>
      <c r="AA4" s="64">
        <v>236</v>
      </c>
      <c r="AB4" s="64">
        <v>238</v>
      </c>
      <c r="AC4" s="64">
        <v>239</v>
      </c>
      <c r="AD4" s="64">
        <v>240</v>
      </c>
      <c r="AE4" s="64">
        <v>241</v>
      </c>
      <c r="AF4" s="64">
        <v>242</v>
      </c>
      <c r="AG4" s="64">
        <v>243</v>
      </c>
      <c r="AH4" s="64">
        <v>244</v>
      </c>
      <c r="AI4" s="64">
        <v>247</v>
      </c>
      <c r="AJ4" s="64">
        <v>248</v>
      </c>
      <c r="AK4" s="64">
        <v>249</v>
      </c>
      <c r="AL4" s="64">
        <v>250</v>
      </c>
      <c r="AM4" s="64">
        <v>251</v>
      </c>
      <c r="AN4" s="64">
        <v>252</v>
      </c>
      <c r="AO4" s="64">
        <v>253</v>
      </c>
      <c r="AP4" s="64">
        <v>254</v>
      </c>
      <c r="AQ4" s="64">
        <v>280</v>
      </c>
      <c r="AR4" s="64">
        <v>282</v>
      </c>
      <c r="AS4" s="64">
        <v>283</v>
      </c>
      <c r="AT4" s="64">
        <v>291</v>
      </c>
      <c r="AU4" s="64">
        <v>293</v>
      </c>
      <c r="AV4" s="64">
        <v>294</v>
      </c>
      <c r="AW4" s="64">
        <v>295</v>
      </c>
      <c r="AX4" s="64">
        <v>296</v>
      </c>
      <c r="AY4" s="64">
        <v>297</v>
      </c>
      <c r="AZ4" s="64">
        <v>299</v>
      </c>
      <c r="BA4" s="66" t="s">
        <v>1138</v>
      </c>
      <c r="BB4" s="65" t="s">
        <v>2746</v>
      </c>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c r="CM4" s="65"/>
      <c r="CN4" s="65"/>
      <c r="CO4" s="65"/>
      <c r="CP4" s="65"/>
      <c r="CQ4" s="65"/>
      <c r="CR4" s="65"/>
      <c r="CS4" s="65"/>
      <c r="CT4" s="65"/>
      <c r="CU4" s="65"/>
      <c r="CV4" s="65"/>
      <c r="CW4" s="65"/>
      <c r="CX4" s="65"/>
      <c r="CY4" s="65"/>
      <c r="CZ4" s="65"/>
      <c r="DA4" s="65"/>
      <c r="DB4" s="65"/>
      <c r="DC4" s="65"/>
      <c r="DD4" s="65"/>
      <c r="DE4" s="65"/>
      <c r="DF4" s="65"/>
      <c r="DG4" s="65"/>
      <c r="DH4" s="65"/>
      <c r="DI4" s="65"/>
      <c r="DJ4" s="65"/>
      <c r="DK4" s="65"/>
      <c r="DL4" s="65"/>
      <c r="DM4" s="65"/>
      <c r="DN4" s="65"/>
      <c r="DO4" s="65"/>
      <c r="DP4" s="65"/>
      <c r="DQ4" s="65"/>
      <c r="DR4" s="65"/>
      <c r="DS4" s="65"/>
      <c r="DT4" s="65"/>
      <c r="DU4" s="65"/>
      <c r="DV4" s="65"/>
      <c r="DW4" s="65"/>
      <c r="DX4" s="65"/>
      <c r="DY4" s="65"/>
      <c r="DZ4" s="65"/>
      <c r="EA4" s="65"/>
      <c r="EB4" s="65"/>
      <c r="EC4" s="65"/>
      <c r="ED4" s="65"/>
      <c r="EE4" s="65"/>
      <c r="EF4" s="65"/>
      <c r="EG4" s="65"/>
      <c r="EH4" s="65"/>
      <c r="EI4" s="65"/>
      <c r="EJ4" s="65"/>
      <c r="EK4" s="65"/>
      <c r="EL4" s="65"/>
      <c r="EM4" s="65"/>
      <c r="EN4" s="65"/>
      <c r="EO4" s="65"/>
      <c r="EP4" s="65"/>
      <c r="EQ4" s="65"/>
      <c r="ER4" s="65"/>
      <c r="ES4" s="65"/>
      <c r="ET4" s="65"/>
      <c r="EU4" s="65"/>
      <c r="EV4" s="65"/>
      <c r="EW4" s="65"/>
      <c r="EX4" s="65"/>
    </row>
    <row r="5" spans="1:154">
      <c r="B5" s="64"/>
      <c r="C5" s="64"/>
      <c r="D5" s="64"/>
      <c r="E5" s="64"/>
      <c r="F5" s="64"/>
      <c r="G5" s="64"/>
    </row>
    <row r="6" spans="1:154">
      <c r="A6" s="22" t="s">
        <v>1165</v>
      </c>
      <c r="B6" s="22" t="s">
        <v>1166</v>
      </c>
      <c r="C6" s="22" t="s">
        <v>599</v>
      </c>
      <c r="D6" s="22" t="s">
        <v>600</v>
      </c>
      <c r="E6" s="22" t="s">
        <v>601</v>
      </c>
      <c r="F6" s="22" t="s">
        <v>602</v>
      </c>
      <c r="G6" s="22" t="s">
        <v>603</v>
      </c>
      <c r="H6" s="22" t="s">
        <v>172</v>
      </c>
      <c r="I6" s="22" t="s">
        <v>173</v>
      </c>
      <c r="J6" s="22" t="s">
        <v>174</v>
      </c>
      <c r="K6" s="22" t="s">
        <v>175</v>
      </c>
      <c r="L6" s="22" t="s">
        <v>176</v>
      </c>
      <c r="M6" s="22" t="s">
        <v>177</v>
      </c>
      <c r="N6" s="22" t="s">
        <v>944</v>
      </c>
      <c r="O6" s="22" t="s">
        <v>945</v>
      </c>
      <c r="P6" s="22" t="s">
        <v>946</v>
      </c>
      <c r="Q6" s="22" t="s">
        <v>1312</v>
      </c>
      <c r="R6" s="22" t="s">
        <v>1313</v>
      </c>
      <c r="S6" s="22" t="s">
        <v>1314</v>
      </c>
      <c r="T6" s="22" t="s">
        <v>1315</v>
      </c>
      <c r="U6" s="22" t="s">
        <v>1316</v>
      </c>
      <c r="V6" s="22" t="s">
        <v>1317</v>
      </c>
      <c r="W6" s="22" t="s">
        <v>1318</v>
      </c>
      <c r="X6" s="22" t="s">
        <v>1319</v>
      </c>
      <c r="Y6" s="22" t="s">
        <v>1320</v>
      </c>
      <c r="Z6" s="22" t="s">
        <v>1321</v>
      </c>
      <c r="AA6" s="22" t="s">
        <v>1322</v>
      </c>
      <c r="AB6" s="22" t="s">
        <v>1323</v>
      </c>
      <c r="AC6" s="22" t="s">
        <v>1324</v>
      </c>
      <c r="AD6" s="22" t="s">
        <v>1325</v>
      </c>
      <c r="AE6" s="22" t="s">
        <v>1326</v>
      </c>
      <c r="AF6" s="22" t="s">
        <v>1327</v>
      </c>
      <c r="AG6" s="22" t="s">
        <v>1328</v>
      </c>
      <c r="AH6" s="22" t="s">
        <v>1329</v>
      </c>
      <c r="AI6" s="22" t="s">
        <v>1330</v>
      </c>
      <c r="AJ6" s="22" t="s">
        <v>1331</v>
      </c>
      <c r="AK6" s="22" t="s">
        <v>684</v>
      </c>
      <c r="AL6" s="22" t="s">
        <v>685</v>
      </c>
      <c r="AM6" s="22" t="s">
        <v>686</v>
      </c>
      <c r="AN6" s="22" t="s">
        <v>687</v>
      </c>
      <c r="AO6" s="22" t="s">
        <v>326</v>
      </c>
      <c r="AP6" s="22" t="s">
        <v>482</v>
      </c>
      <c r="AQ6" s="22" t="s">
        <v>3309</v>
      </c>
      <c r="AR6" s="22" t="s">
        <v>483</v>
      </c>
      <c r="AS6" s="22" t="s">
        <v>484</v>
      </c>
      <c r="AT6" s="22" t="s">
        <v>1170</v>
      </c>
      <c r="AU6" s="22" t="s">
        <v>1171</v>
      </c>
      <c r="AV6" s="22" t="s">
        <v>1172</v>
      </c>
      <c r="AW6" s="22" t="s">
        <v>1173</v>
      </c>
      <c r="AX6" s="22" t="s">
        <v>1174</v>
      </c>
      <c r="AY6" s="22" t="s">
        <v>1175</v>
      </c>
      <c r="AZ6" s="22" t="s">
        <v>436</v>
      </c>
      <c r="BA6" s="22" t="s">
        <v>437</v>
      </c>
      <c r="BB6" s="22" t="s">
        <v>187</v>
      </c>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row>
    <row r="7" spans="1:154">
      <c r="A7" s="22" t="s">
        <v>1167</v>
      </c>
      <c r="B7" s="22">
        <v>0</v>
      </c>
      <c r="C7" s="22">
        <v>0</v>
      </c>
      <c r="D7" s="22">
        <v>0</v>
      </c>
      <c r="E7" s="22">
        <v>0</v>
      </c>
      <c r="F7" s="22">
        <v>0</v>
      </c>
      <c r="G7" s="22">
        <v>0</v>
      </c>
      <c r="H7" s="22">
        <v>0</v>
      </c>
      <c r="I7" s="22">
        <v>0</v>
      </c>
      <c r="J7" s="22">
        <v>0</v>
      </c>
      <c r="K7" s="22">
        <v>0</v>
      </c>
      <c r="L7" s="22">
        <v>0</v>
      </c>
      <c r="M7" s="22">
        <v>0</v>
      </c>
      <c r="N7" s="22">
        <v>0</v>
      </c>
      <c r="O7" s="22">
        <v>0</v>
      </c>
      <c r="P7" s="22">
        <v>0</v>
      </c>
      <c r="Q7" s="22">
        <v>0</v>
      </c>
      <c r="R7" s="22">
        <v>0</v>
      </c>
      <c r="S7" s="22">
        <v>0</v>
      </c>
      <c r="T7" s="22">
        <v>0</v>
      </c>
      <c r="U7" s="22">
        <v>0</v>
      </c>
      <c r="V7" s="22">
        <v>0</v>
      </c>
      <c r="W7" s="22">
        <v>0</v>
      </c>
      <c r="X7" s="22">
        <v>0</v>
      </c>
      <c r="Y7" s="22">
        <v>0</v>
      </c>
      <c r="Z7" s="22">
        <v>0</v>
      </c>
      <c r="AA7" s="22">
        <v>0</v>
      </c>
      <c r="AB7" s="22">
        <v>0</v>
      </c>
      <c r="AC7" s="22">
        <v>0</v>
      </c>
      <c r="AD7" s="22">
        <v>0</v>
      </c>
      <c r="AE7" s="22">
        <v>0</v>
      </c>
      <c r="AF7" s="22">
        <v>0</v>
      </c>
      <c r="AG7" s="22">
        <v>0</v>
      </c>
      <c r="AH7" s="22">
        <v>0</v>
      </c>
      <c r="AI7" s="22">
        <v>0</v>
      </c>
      <c r="AJ7" s="22">
        <v>0</v>
      </c>
      <c r="AK7" s="22">
        <v>0</v>
      </c>
      <c r="AL7" s="22">
        <v>0</v>
      </c>
      <c r="AM7" s="22">
        <v>0</v>
      </c>
      <c r="AN7" s="22">
        <v>0</v>
      </c>
      <c r="AO7" s="22">
        <v>0</v>
      </c>
      <c r="AP7" s="22">
        <v>0</v>
      </c>
      <c r="AQ7" s="22">
        <v>0</v>
      </c>
      <c r="AR7" s="22">
        <v>0</v>
      </c>
      <c r="AS7" s="22">
        <v>0</v>
      </c>
      <c r="AT7" s="22">
        <v>0</v>
      </c>
      <c r="AU7" s="22">
        <v>0</v>
      </c>
      <c r="AV7" s="22">
        <v>0</v>
      </c>
      <c r="AW7" s="22">
        <v>0</v>
      </c>
      <c r="AX7" s="22">
        <v>0</v>
      </c>
      <c r="AY7" s="22">
        <v>0</v>
      </c>
      <c r="AZ7" s="22">
        <v>0</v>
      </c>
      <c r="BA7" s="22">
        <v>0</v>
      </c>
      <c r="BB7" s="22">
        <v>0</v>
      </c>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row>
    <row r="8" spans="1:154">
      <c r="A8" t="s">
        <v>1167</v>
      </c>
      <c r="B8">
        <v>0</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row>
    <row r="9" spans="1:154">
      <c r="A9" t="s">
        <v>1167</v>
      </c>
      <c r="B9">
        <v>0</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row>
    <row r="10" spans="1:154">
      <c r="A10" t="s">
        <v>477</v>
      </c>
      <c r="B10">
        <v>0</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row>
    <row r="11" spans="1:154">
      <c r="A11" t="s">
        <v>1167</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row>
    <row r="12" spans="1:154">
      <c r="A12" t="s">
        <v>1167</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D12" s="1130" t="s">
        <v>3237</v>
      </c>
    </row>
    <row r="13" spans="1:154">
      <c r="A13" t="s">
        <v>1167</v>
      </c>
      <c r="B13">
        <v>0</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D13" s="851" t="s">
        <v>3236</v>
      </c>
      <c r="BE13" s="21" t="s">
        <v>3185</v>
      </c>
    </row>
    <row r="14" spans="1:154">
      <c r="A14" t="s">
        <v>1167</v>
      </c>
      <c r="B14">
        <v>0</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row>
    <row r="15" spans="1:154">
      <c r="A15" t="s">
        <v>1167</v>
      </c>
      <c r="B15">
        <v>0</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row>
    <row r="16" spans="1:154">
      <c r="A16" t="s">
        <v>937</v>
      </c>
      <c r="B16">
        <v>0</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row>
    <row r="17" spans="1:59">
      <c r="A17" t="s">
        <v>487</v>
      </c>
      <c r="B17">
        <v>0</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row>
    <row r="18" spans="1:59">
      <c r="A18" t="s">
        <v>488</v>
      </c>
      <c r="B18">
        <v>201359</v>
      </c>
      <c r="C18">
        <v>3692</v>
      </c>
      <c r="D18">
        <v>73809</v>
      </c>
      <c r="E18">
        <v>357347</v>
      </c>
      <c r="F18">
        <v>62548</v>
      </c>
      <c r="G18" s="135">
        <v>1721516</v>
      </c>
      <c r="H18">
        <v>1303</v>
      </c>
      <c r="I18">
        <v>21640</v>
      </c>
      <c r="J18">
        <v>672067</v>
      </c>
      <c r="K18">
        <v>84305</v>
      </c>
      <c r="L18">
        <v>60405</v>
      </c>
      <c r="M18">
        <v>0</v>
      </c>
      <c r="N18">
        <v>185629</v>
      </c>
      <c r="O18">
        <v>380215</v>
      </c>
      <c r="P18">
        <v>1058146</v>
      </c>
      <c r="Q18">
        <v>308</v>
      </c>
      <c r="R18">
        <v>611023</v>
      </c>
      <c r="S18">
        <v>2517</v>
      </c>
      <c r="T18">
        <v>255076</v>
      </c>
      <c r="U18">
        <v>4417825</v>
      </c>
      <c r="V18">
        <v>35779</v>
      </c>
      <c r="W18" s="146">
        <v>107003</v>
      </c>
      <c r="X18">
        <v>100039</v>
      </c>
      <c r="Y18">
        <v>1667779</v>
      </c>
      <c r="Z18">
        <v>238913</v>
      </c>
      <c r="AA18">
        <v>28133</v>
      </c>
      <c r="AB18">
        <v>82435</v>
      </c>
      <c r="AC18">
        <v>0</v>
      </c>
      <c r="AD18">
        <v>21202</v>
      </c>
      <c r="AE18">
        <v>422641</v>
      </c>
      <c r="AF18">
        <v>253738</v>
      </c>
      <c r="AG18">
        <v>21826</v>
      </c>
      <c r="AH18">
        <v>62464</v>
      </c>
      <c r="AI18">
        <v>5768</v>
      </c>
      <c r="AJ18">
        <v>35534</v>
      </c>
      <c r="AK18">
        <v>39899</v>
      </c>
      <c r="AL18">
        <v>168446</v>
      </c>
      <c r="AM18">
        <v>0</v>
      </c>
      <c r="AN18">
        <v>1675727</v>
      </c>
      <c r="AO18">
        <v>872198</v>
      </c>
      <c r="AP18">
        <v>696878</v>
      </c>
      <c r="AQ18" s="128">
        <v>0</v>
      </c>
      <c r="AR18">
        <v>96879</v>
      </c>
      <c r="AS18">
        <v>656704</v>
      </c>
      <c r="AT18">
        <v>0</v>
      </c>
      <c r="AU18">
        <v>0</v>
      </c>
      <c r="AV18">
        <v>0</v>
      </c>
      <c r="AW18">
        <v>0</v>
      </c>
      <c r="AX18">
        <v>0</v>
      </c>
      <c r="AY18">
        <v>17572</v>
      </c>
      <c r="AZ18">
        <v>0</v>
      </c>
      <c r="BA18">
        <v>9404638</v>
      </c>
      <c r="BB18" s="146">
        <v>6823774</v>
      </c>
      <c r="BD18" s="146">
        <v>0</v>
      </c>
      <c r="BE18" s="146">
        <v>0</v>
      </c>
      <c r="BG18">
        <f>+BE18-BE70</f>
        <v>0</v>
      </c>
    </row>
    <row r="19" spans="1:59">
      <c r="A19" t="s">
        <v>489</v>
      </c>
      <c r="B19">
        <v>0</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row>
    <row r="20" spans="1:59">
      <c r="A20" t="s">
        <v>490</v>
      </c>
      <c r="B20">
        <v>0</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row>
    <row r="21" spans="1:59">
      <c r="A21" t="s">
        <v>491</v>
      </c>
      <c r="B21">
        <v>0</v>
      </c>
      <c r="C21">
        <v>283</v>
      </c>
      <c r="D21">
        <v>7902</v>
      </c>
      <c r="E21">
        <v>30868</v>
      </c>
      <c r="F21">
        <v>2940</v>
      </c>
      <c r="G21">
        <v>70281</v>
      </c>
      <c r="H21">
        <v>68</v>
      </c>
      <c r="I21">
        <v>3958</v>
      </c>
      <c r="J21">
        <v>14444</v>
      </c>
      <c r="K21">
        <v>3973</v>
      </c>
      <c r="L21">
        <v>413</v>
      </c>
      <c r="M21">
        <v>0</v>
      </c>
      <c r="N21">
        <v>39506</v>
      </c>
      <c r="O21">
        <v>9730</v>
      </c>
      <c r="P21">
        <v>6305</v>
      </c>
      <c r="Q21">
        <v>54</v>
      </c>
      <c r="R21">
        <v>32321</v>
      </c>
      <c r="S21">
        <v>4551</v>
      </c>
      <c r="T21">
        <v>5671</v>
      </c>
      <c r="U21">
        <v>263805</v>
      </c>
      <c r="V21">
        <v>0</v>
      </c>
      <c r="W21">
        <v>0</v>
      </c>
      <c r="X21">
        <v>0</v>
      </c>
      <c r="Y21">
        <v>103173</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s="146">
        <v>52621</v>
      </c>
      <c r="BD21" s="146">
        <v>0</v>
      </c>
      <c r="BE21" s="146">
        <v>0</v>
      </c>
    </row>
    <row r="22" spans="1:59">
      <c r="A22" t="s">
        <v>492</v>
      </c>
      <c r="B22">
        <v>0</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row>
    <row r="23" spans="1:59">
      <c r="A23" t="s">
        <v>493</v>
      </c>
      <c r="B23">
        <v>0</v>
      </c>
      <c r="C23">
        <v>0</v>
      </c>
      <c r="D23">
        <v>0</v>
      </c>
      <c r="E23">
        <v>0</v>
      </c>
      <c r="F23">
        <v>4500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row>
    <row r="24" spans="1:59">
      <c r="A24" t="s">
        <v>1089</v>
      </c>
      <c r="B24">
        <v>0</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s="987">
        <v>110000</v>
      </c>
      <c r="BB24">
        <v>0</v>
      </c>
    </row>
    <row r="25" spans="1:59">
      <c r="A25" t="s">
        <v>1090</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row>
    <row r="26" spans="1:59">
      <c r="A26" t="s">
        <v>1299</v>
      </c>
      <c r="B26">
        <v>0</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row>
    <row r="27" spans="1:59">
      <c r="A27" t="s">
        <v>342</v>
      </c>
      <c r="B27">
        <v>0</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row>
    <row r="28" spans="1:59">
      <c r="A28" t="s">
        <v>1300</v>
      </c>
      <c r="B28">
        <v>0</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row>
    <row r="29" spans="1:59">
      <c r="A29" t="s">
        <v>488</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s="146">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row>
    <row r="30" spans="1:59">
      <c r="A30" t="s">
        <v>489</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row>
    <row r="31" spans="1:59">
      <c r="A31" t="s">
        <v>1301</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row>
    <row r="32" spans="1:59">
      <c r="A32" t="s">
        <v>1302</v>
      </c>
      <c r="B32">
        <v>0</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6602</v>
      </c>
    </row>
    <row r="33" spans="1:54">
      <c r="A33" t="s">
        <v>1303</v>
      </c>
      <c r="B33">
        <v>0</v>
      </c>
      <c r="C33">
        <v>0</v>
      </c>
      <c r="D33">
        <v>0</v>
      </c>
      <c r="E33">
        <v>0</v>
      </c>
      <c r="F33" s="211">
        <f>4500-4500+4635</f>
        <v>4635</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row>
    <row r="34" spans="1:54">
      <c r="A34" t="s">
        <v>1219</v>
      </c>
      <c r="B34">
        <v>0</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row>
    <row r="35" spans="1:54">
      <c r="A35" t="s">
        <v>1305</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row>
    <row r="36" spans="1:54">
      <c r="A36" t="s">
        <v>1306</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row>
    <row r="37" spans="1:54">
      <c r="A37" t="s">
        <v>872</v>
      </c>
      <c r="B37">
        <v>0</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row>
    <row r="38" spans="1:54">
      <c r="A38" t="s">
        <v>1367</v>
      </c>
      <c r="B38">
        <v>0</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row>
    <row r="39" spans="1:54">
      <c r="A39" t="s">
        <v>448</v>
      </c>
      <c r="B39">
        <v>0</v>
      </c>
      <c r="C39">
        <v>0</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row>
    <row r="40" spans="1:54">
      <c r="A40" t="s">
        <v>449</v>
      </c>
      <c r="B40">
        <v>0</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row>
    <row r="41" spans="1:54">
      <c r="A41" t="s">
        <v>450</v>
      </c>
      <c r="B41">
        <v>0</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row>
    <row r="42" spans="1:54">
      <c r="A42" t="s">
        <v>451</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row>
    <row r="43" spans="1:54">
      <c r="A43" t="s">
        <v>254</v>
      </c>
      <c r="B43">
        <v>201359</v>
      </c>
      <c r="C43">
        <v>3975</v>
      </c>
      <c r="D43">
        <v>81711</v>
      </c>
      <c r="E43">
        <v>388215</v>
      </c>
      <c r="F43">
        <v>69988</v>
      </c>
      <c r="G43" s="135">
        <v>1791797</v>
      </c>
      <c r="H43">
        <v>1371</v>
      </c>
      <c r="I43">
        <v>25598</v>
      </c>
      <c r="J43">
        <v>686511</v>
      </c>
      <c r="K43">
        <v>88278</v>
      </c>
      <c r="L43">
        <v>60818</v>
      </c>
      <c r="M43">
        <v>0</v>
      </c>
      <c r="N43">
        <v>225135</v>
      </c>
      <c r="O43">
        <v>389945</v>
      </c>
      <c r="P43">
        <v>1064451</v>
      </c>
      <c r="Q43">
        <v>362</v>
      </c>
      <c r="R43">
        <v>643344</v>
      </c>
      <c r="S43">
        <v>7068</v>
      </c>
      <c r="T43">
        <v>260747</v>
      </c>
      <c r="U43">
        <v>4681630</v>
      </c>
      <c r="V43">
        <v>35779</v>
      </c>
      <c r="W43">
        <v>107003</v>
      </c>
      <c r="X43">
        <v>100039</v>
      </c>
      <c r="Y43">
        <v>1770952</v>
      </c>
      <c r="Z43">
        <v>238913</v>
      </c>
      <c r="AA43">
        <v>28133</v>
      </c>
      <c r="AB43">
        <v>82435</v>
      </c>
      <c r="AC43">
        <v>0</v>
      </c>
      <c r="AD43">
        <v>21202</v>
      </c>
      <c r="AE43">
        <v>422641</v>
      </c>
      <c r="AF43">
        <v>253738</v>
      </c>
      <c r="AG43">
        <v>21826</v>
      </c>
      <c r="AH43">
        <v>62464</v>
      </c>
      <c r="AI43">
        <v>5768</v>
      </c>
      <c r="AJ43">
        <v>35534</v>
      </c>
      <c r="AK43">
        <v>39899</v>
      </c>
      <c r="AL43">
        <v>168446</v>
      </c>
      <c r="AM43">
        <v>0</v>
      </c>
      <c r="AN43">
        <v>1675727</v>
      </c>
      <c r="AO43">
        <v>872198</v>
      </c>
      <c r="AP43">
        <v>696878</v>
      </c>
      <c r="AQ43" s="128">
        <v>0</v>
      </c>
      <c r="AR43">
        <v>96879</v>
      </c>
      <c r="AS43">
        <v>656704</v>
      </c>
      <c r="AT43">
        <v>0</v>
      </c>
      <c r="AU43">
        <v>0</v>
      </c>
      <c r="AV43">
        <v>0</v>
      </c>
      <c r="AW43">
        <v>0</v>
      </c>
      <c r="AX43">
        <v>0</v>
      </c>
      <c r="AY43">
        <v>17572</v>
      </c>
      <c r="AZ43">
        <v>0</v>
      </c>
      <c r="BA43">
        <v>9404638</v>
      </c>
      <c r="BB43">
        <v>6882997</v>
      </c>
    </row>
    <row r="44" spans="1:54">
      <c r="A44" t="s">
        <v>1167</v>
      </c>
      <c r="B44">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row>
    <row r="45" spans="1:54">
      <c r="A45" t="s">
        <v>597</v>
      </c>
      <c r="B45">
        <v>0</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v>0</v>
      </c>
      <c r="BB45">
        <v>0</v>
      </c>
    </row>
    <row r="46" spans="1:54">
      <c r="A46" t="s">
        <v>987</v>
      </c>
      <c r="B46">
        <v>0</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row>
    <row r="47" spans="1:54">
      <c r="A47" t="s">
        <v>643</v>
      </c>
      <c r="B47">
        <v>0</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row>
    <row r="48" spans="1:54">
      <c r="A48" t="s">
        <v>452</v>
      </c>
      <c r="B48">
        <v>0</v>
      </c>
      <c r="C48">
        <v>0</v>
      </c>
      <c r="D48">
        <v>0</v>
      </c>
      <c r="E48">
        <v>0</v>
      </c>
      <c r="F48">
        <v>0</v>
      </c>
      <c r="G48" s="211">
        <f>-666+666</f>
        <v>0</v>
      </c>
      <c r="H48">
        <v>0</v>
      </c>
      <c r="I48">
        <v>0</v>
      </c>
      <c r="J48">
        <v>0</v>
      </c>
      <c r="K48">
        <v>0</v>
      </c>
      <c r="L48">
        <v>0</v>
      </c>
      <c r="M48">
        <v>0</v>
      </c>
      <c r="N48">
        <v>0</v>
      </c>
      <c r="O48">
        <v>0</v>
      </c>
      <c r="P48">
        <v>0</v>
      </c>
      <c r="Q48">
        <v>0</v>
      </c>
      <c r="R48">
        <v>0</v>
      </c>
      <c r="S48">
        <v>0</v>
      </c>
      <c r="T48">
        <v>0</v>
      </c>
      <c r="U48">
        <v>627</v>
      </c>
      <c r="V48" s="211">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s="211">
        <f>-2506+2506</f>
        <v>0</v>
      </c>
      <c r="AS48">
        <v>0</v>
      </c>
      <c r="AT48">
        <v>0</v>
      </c>
      <c r="AU48">
        <v>0</v>
      </c>
      <c r="AV48">
        <v>0</v>
      </c>
      <c r="AW48">
        <v>0</v>
      </c>
      <c r="AX48">
        <v>0</v>
      </c>
      <c r="AY48">
        <v>0</v>
      </c>
      <c r="AZ48">
        <v>0</v>
      </c>
      <c r="BA48">
        <v>0</v>
      </c>
      <c r="BB48">
        <v>0</v>
      </c>
    </row>
    <row r="49" spans="1:62">
      <c r="A49" t="s">
        <v>648</v>
      </c>
      <c r="B49">
        <v>0</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row>
    <row r="50" spans="1:62">
      <c r="A50" t="s">
        <v>649</v>
      </c>
      <c r="B50">
        <v>0</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row>
    <row r="51" spans="1:62">
      <c r="A51" t="s">
        <v>453</v>
      </c>
      <c r="B51">
        <v>374291</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62477</v>
      </c>
      <c r="AU51">
        <v>22045</v>
      </c>
      <c r="AV51">
        <v>0</v>
      </c>
      <c r="AW51">
        <v>11972</v>
      </c>
      <c r="AX51">
        <v>0</v>
      </c>
      <c r="AY51">
        <v>0</v>
      </c>
      <c r="AZ51">
        <v>8728</v>
      </c>
      <c r="BA51" s="987">
        <f>197128</f>
        <v>197128</v>
      </c>
      <c r="BB51">
        <v>6602</v>
      </c>
    </row>
    <row r="52" spans="1:62">
      <c r="A52" t="s">
        <v>1085</v>
      </c>
      <c r="B52">
        <v>0</v>
      </c>
      <c r="C52">
        <v>283</v>
      </c>
      <c r="D52">
        <v>7902</v>
      </c>
      <c r="E52">
        <v>30868</v>
      </c>
      <c r="F52">
        <v>2940</v>
      </c>
      <c r="G52" s="146">
        <v>70281</v>
      </c>
      <c r="H52">
        <v>68</v>
      </c>
      <c r="I52">
        <v>3958</v>
      </c>
      <c r="J52">
        <v>14444</v>
      </c>
      <c r="K52">
        <v>3973</v>
      </c>
      <c r="L52">
        <v>413</v>
      </c>
      <c r="M52">
        <v>0</v>
      </c>
      <c r="N52">
        <v>39506</v>
      </c>
      <c r="O52">
        <v>9730</v>
      </c>
      <c r="P52">
        <v>6305</v>
      </c>
      <c r="Q52">
        <v>54</v>
      </c>
      <c r="R52">
        <v>32321</v>
      </c>
      <c r="S52">
        <v>4551</v>
      </c>
      <c r="T52">
        <v>5671</v>
      </c>
      <c r="U52" s="146">
        <v>263805</v>
      </c>
      <c r="V52">
        <v>0</v>
      </c>
      <c r="W52">
        <v>0</v>
      </c>
      <c r="X52">
        <v>0</v>
      </c>
      <c r="Y52">
        <v>103173</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s="987">
        <f>4528385-1848098+110000</f>
        <v>2790287</v>
      </c>
      <c r="BB52" s="146">
        <v>52621</v>
      </c>
      <c r="BD52" s="146">
        <v>0</v>
      </c>
      <c r="BE52" s="146">
        <v>0</v>
      </c>
    </row>
    <row r="53" spans="1:62">
      <c r="A53" t="s">
        <v>650</v>
      </c>
      <c r="B53">
        <v>0</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row>
    <row r="54" spans="1:62">
      <c r="A54" t="s">
        <v>651</v>
      </c>
      <c r="B54">
        <v>0</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row>
    <row r="55" spans="1:62">
      <c r="A55" t="s">
        <v>652</v>
      </c>
      <c r="B55">
        <v>0</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row>
    <row r="56" spans="1:62">
      <c r="A56" t="s">
        <v>653</v>
      </c>
      <c r="B56">
        <v>0</v>
      </c>
      <c r="C56">
        <v>0</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row>
    <row r="57" spans="1:62">
      <c r="A57" t="s">
        <v>455</v>
      </c>
      <c r="B57">
        <v>0</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row>
    <row r="58" spans="1:62">
      <c r="A58" t="s">
        <v>654</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row>
    <row r="59" spans="1:62">
      <c r="A59" t="s">
        <v>655</v>
      </c>
      <c r="B59">
        <v>0</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row>
    <row r="60" spans="1:62">
      <c r="A60" t="s">
        <v>656</v>
      </c>
      <c r="B60">
        <v>0</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row>
    <row r="61" spans="1:62">
      <c r="A61" t="s">
        <v>657</v>
      </c>
      <c r="B61">
        <v>0</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J61">
        <v>104225.25</v>
      </c>
    </row>
    <row r="62" spans="1:62">
      <c r="A62" t="s">
        <v>651</v>
      </c>
      <c r="B62">
        <v>0</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J62">
        <v>-87008.25</v>
      </c>
    </row>
    <row r="63" spans="1:62">
      <c r="A63" t="s">
        <v>658</v>
      </c>
      <c r="B63">
        <v>0</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J63" t="s">
        <v>3341</v>
      </c>
    </row>
    <row r="64" spans="1:62">
      <c r="A64" t="s">
        <v>659</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J64" t="s">
        <v>3341</v>
      </c>
    </row>
    <row r="65" spans="1:62">
      <c r="A65" t="s">
        <v>805</v>
      </c>
      <c r="B65">
        <v>0</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J65" t="s">
        <v>3341</v>
      </c>
    </row>
    <row r="66" spans="1:62">
      <c r="A66" t="s">
        <v>1167</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J66">
        <v>-25945.16</v>
      </c>
    </row>
    <row r="67" spans="1:62">
      <c r="A67" t="s">
        <v>456</v>
      </c>
      <c r="B67">
        <v>374291</v>
      </c>
      <c r="C67">
        <v>283</v>
      </c>
      <c r="D67">
        <v>7902</v>
      </c>
      <c r="E67">
        <v>30868</v>
      </c>
      <c r="F67">
        <v>2940</v>
      </c>
      <c r="G67">
        <v>69615</v>
      </c>
      <c r="H67">
        <v>68</v>
      </c>
      <c r="I67">
        <v>3958</v>
      </c>
      <c r="J67">
        <v>14444</v>
      </c>
      <c r="K67">
        <v>3973</v>
      </c>
      <c r="L67">
        <v>413</v>
      </c>
      <c r="M67">
        <v>0</v>
      </c>
      <c r="N67">
        <v>39506</v>
      </c>
      <c r="O67">
        <v>9730</v>
      </c>
      <c r="P67">
        <v>6305</v>
      </c>
      <c r="Q67">
        <v>54</v>
      </c>
      <c r="R67">
        <v>32321</v>
      </c>
      <c r="S67">
        <v>4551</v>
      </c>
      <c r="T67">
        <v>5671</v>
      </c>
      <c r="U67">
        <v>264432</v>
      </c>
      <c r="V67">
        <v>0</v>
      </c>
      <c r="W67">
        <v>0</v>
      </c>
      <c r="X67">
        <v>0</v>
      </c>
      <c r="Y67">
        <v>103173</v>
      </c>
      <c r="Z67">
        <v>0</v>
      </c>
      <c r="AA67">
        <v>0</v>
      </c>
      <c r="AB67">
        <v>0</v>
      </c>
      <c r="AC67">
        <v>0</v>
      </c>
      <c r="AD67">
        <v>0</v>
      </c>
      <c r="AE67">
        <v>0</v>
      </c>
      <c r="AF67">
        <v>0</v>
      </c>
      <c r="AG67">
        <v>0</v>
      </c>
      <c r="AH67">
        <v>0</v>
      </c>
      <c r="AI67">
        <v>0</v>
      </c>
      <c r="AJ67">
        <v>0</v>
      </c>
      <c r="AK67">
        <v>0</v>
      </c>
      <c r="AL67">
        <v>0</v>
      </c>
      <c r="AM67">
        <v>0</v>
      </c>
      <c r="AN67">
        <v>0</v>
      </c>
      <c r="AO67">
        <v>0</v>
      </c>
      <c r="AP67">
        <v>0</v>
      </c>
      <c r="AQ67">
        <v>0</v>
      </c>
      <c r="AR67">
        <v>-2506</v>
      </c>
      <c r="AS67">
        <v>0</v>
      </c>
      <c r="AT67">
        <v>62477</v>
      </c>
      <c r="AU67">
        <v>22045</v>
      </c>
      <c r="AV67">
        <v>0</v>
      </c>
      <c r="AW67">
        <v>11972</v>
      </c>
      <c r="AX67">
        <v>0</v>
      </c>
      <c r="AY67">
        <v>0</v>
      </c>
      <c r="AZ67">
        <v>8728</v>
      </c>
      <c r="BA67">
        <v>197128</v>
      </c>
      <c r="BB67">
        <v>59223</v>
      </c>
    </row>
    <row r="68" spans="1:62">
      <c r="A68" t="s">
        <v>1167</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row>
    <row r="69" spans="1:62">
      <c r="A69" t="s">
        <v>457</v>
      </c>
      <c r="B69">
        <v>0</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row>
    <row r="70" spans="1:62">
      <c r="A70" t="s">
        <v>458</v>
      </c>
      <c r="B70">
        <v>-172932</v>
      </c>
      <c r="C70">
        <v>3692</v>
      </c>
      <c r="D70">
        <v>73809</v>
      </c>
      <c r="E70">
        <v>357347</v>
      </c>
      <c r="F70" s="211">
        <f>67048+4500-4500+4635</f>
        <v>71683</v>
      </c>
      <c r="G70" s="211">
        <f>1721681+500-666</f>
        <v>1721515</v>
      </c>
      <c r="H70">
        <v>1303</v>
      </c>
      <c r="I70">
        <v>21640</v>
      </c>
      <c r="J70">
        <v>672067</v>
      </c>
      <c r="K70">
        <v>84305</v>
      </c>
      <c r="L70">
        <v>60405</v>
      </c>
      <c r="M70">
        <v>0</v>
      </c>
      <c r="N70">
        <v>185629</v>
      </c>
      <c r="O70">
        <v>380215</v>
      </c>
      <c r="P70" s="211">
        <f>1058119+27</f>
        <v>1058146</v>
      </c>
      <c r="Q70">
        <v>308</v>
      </c>
      <c r="R70">
        <v>611023</v>
      </c>
      <c r="S70">
        <v>2517</v>
      </c>
      <c r="T70">
        <v>255076</v>
      </c>
      <c r="U70" s="168">
        <v>4417199</v>
      </c>
      <c r="V70" s="211">
        <v>35779</v>
      </c>
      <c r="W70">
        <v>107003</v>
      </c>
      <c r="X70">
        <v>100039</v>
      </c>
      <c r="Y70" s="211">
        <f>1667209+570</f>
        <v>1667779</v>
      </c>
      <c r="Z70">
        <v>238913</v>
      </c>
      <c r="AA70">
        <v>28133</v>
      </c>
      <c r="AB70">
        <v>82435</v>
      </c>
      <c r="AC70">
        <v>0</v>
      </c>
      <c r="AD70">
        <v>21202</v>
      </c>
      <c r="AE70">
        <v>422641</v>
      </c>
      <c r="AF70">
        <v>253738</v>
      </c>
      <c r="AG70">
        <v>21826</v>
      </c>
      <c r="AH70">
        <v>62464</v>
      </c>
      <c r="AI70">
        <v>5768</v>
      </c>
      <c r="AJ70">
        <v>35534</v>
      </c>
      <c r="AK70">
        <v>39899</v>
      </c>
      <c r="AL70">
        <v>168446</v>
      </c>
      <c r="AM70">
        <v>0</v>
      </c>
      <c r="AN70">
        <v>1675727</v>
      </c>
      <c r="AO70">
        <v>872198</v>
      </c>
      <c r="AP70">
        <v>696878</v>
      </c>
      <c r="AQ70" s="128">
        <v>0</v>
      </c>
      <c r="AR70" s="211">
        <f>99385-2506</f>
        <v>96879</v>
      </c>
      <c r="AS70">
        <v>656704</v>
      </c>
      <c r="AT70">
        <v>-62477</v>
      </c>
      <c r="AU70" s="128">
        <v>-22045</v>
      </c>
      <c r="AV70">
        <v>0</v>
      </c>
      <c r="AW70">
        <v>-11972</v>
      </c>
      <c r="AX70">
        <v>0</v>
      </c>
      <c r="AY70">
        <v>17572</v>
      </c>
      <c r="AZ70">
        <v>-8728</v>
      </c>
      <c r="BA70" s="987">
        <f>9207510-4528385+1848098-110000+110000</f>
        <v>6527223</v>
      </c>
      <c r="BB70" s="168">
        <f>6823774</f>
        <v>6823774</v>
      </c>
      <c r="BD70" s="146">
        <v>0</v>
      </c>
      <c r="BE70" s="146">
        <v>0</v>
      </c>
    </row>
    <row r="71" spans="1:62">
      <c r="A71" t="s">
        <v>1167</v>
      </c>
      <c r="B71">
        <v>0</v>
      </c>
      <c r="C71">
        <v>0</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row>
    <row r="72" spans="1:62">
      <c r="A72" t="s">
        <v>459</v>
      </c>
      <c r="B72">
        <v>-172932</v>
      </c>
      <c r="C72">
        <v>3692</v>
      </c>
      <c r="D72">
        <v>73809</v>
      </c>
      <c r="E72">
        <v>357347</v>
      </c>
      <c r="F72">
        <v>67048</v>
      </c>
      <c r="G72">
        <v>1721681</v>
      </c>
      <c r="H72">
        <v>1303</v>
      </c>
      <c r="I72">
        <v>21640</v>
      </c>
      <c r="J72">
        <v>672067</v>
      </c>
      <c r="K72">
        <v>84305</v>
      </c>
      <c r="L72">
        <v>60405</v>
      </c>
      <c r="M72">
        <v>0</v>
      </c>
      <c r="N72">
        <v>185629</v>
      </c>
      <c r="O72">
        <v>380215</v>
      </c>
      <c r="P72">
        <v>1058119</v>
      </c>
      <c r="Q72">
        <v>308</v>
      </c>
      <c r="R72">
        <v>611023</v>
      </c>
      <c r="S72">
        <v>2517</v>
      </c>
      <c r="T72">
        <v>255076</v>
      </c>
      <c r="U72">
        <v>4417199</v>
      </c>
      <c r="V72">
        <v>35779</v>
      </c>
      <c r="W72">
        <v>107003</v>
      </c>
      <c r="X72">
        <v>100039</v>
      </c>
      <c r="Y72">
        <v>1667209</v>
      </c>
      <c r="Z72">
        <v>238913</v>
      </c>
      <c r="AA72">
        <v>28133</v>
      </c>
      <c r="AB72">
        <v>82435</v>
      </c>
      <c r="AC72">
        <v>0</v>
      </c>
      <c r="AD72">
        <v>21202</v>
      </c>
      <c r="AE72">
        <v>422641</v>
      </c>
      <c r="AF72">
        <v>253738</v>
      </c>
      <c r="AG72">
        <v>21826</v>
      </c>
      <c r="AH72">
        <v>62464</v>
      </c>
      <c r="AI72">
        <v>5768</v>
      </c>
      <c r="AJ72">
        <v>35534</v>
      </c>
      <c r="AK72">
        <v>39899</v>
      </c>
      <c r="AL72">
        <v>168446</v>
      </c>
      <c r="AM72">
        <v>0</v>
      </c>
      <c r="AN72">
        <v>1675727</v>
      </c>
      <c r="AO72">
        <v>872198</v>
      </c>
      <c r="AP72">
        <v>696878</v>
      </c>
      <c r="AQ72" s="128">
        <v>0</v>
      </c>
      <c r="AR72">
        <v>99385</v>
      </c>
      <c r="AS72">
        <v>656704</v>
      </c>
      <c r="AT72">
        <v>-62477</v>
      </c>
      <c r="AU72">
        <v>-22045</v>
      </c>
      <c r="AV72">
        <v>0</v>
      </c>
      <c r="AW72">
        <v>-11972</v>
      </c>
      <c r="AX72">
        <v>0</v>
      </c>
      <c r="AY72">
        <v>17572</v>
      </c>
      <c r="AZ72">
        <v>-8728</v>
      </c>
      <c r="BA72">
        <v>9207510</v>
      </c>
      <c r="BB72">
        <v>6823774</v>
      </c>
    </row>
    <row r="73" spans="1:62">
      <c r="A73" t="s">
        <v>1167</v>
      </c>
      <c r="B73">
        <v>0</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row>
    <row r="74" spans="1:62">
      <c r="A74" t="s">
        <v>460</v>
      </c>
      <c r="B74">
        <v>201359</v>
      </c>
      <c r="C74">
        <v>3975</v>
      </c>
      <c r="D74">
        <v>81711</v>
      </c>
      <c r="E74">
        <v>388215</v>
      </c>
      <c r="F74">
        <f>69988</f>
        <v>69988</v>
      </c>
      <c r="G74" s="135">
        <v>1791296</v>
      </c>
      <c r="H74">
        <v>1371</v>
      </c>
      <c r="I74">
        <v>25598</v>
      </c>
      <c r="J74">
        <v>686511</v>
      </c>
      <c r="K74">
        <v>88278</v>
      </c>
      <c r="L74">
        <v>60818</v>
      </c>
      <c r="M74">
        <v>0</v>
      </c>
      <c r="N74">
        <v>225135</v>
      </c>
      <c r="O74">
        <v>389945</v>
      </c>
      <c r="P74">
        <f>1064424</f>
        <v>1064424</v>
      </c>
      <c r="Q74">
        <v>362</v>
      </c>
      <c r="R74">
        <v>643344</v>
      </c>
      <c r="S74">
        <v>7068</v>
      </c>
      <c r="T74">
        <v>260747</v>
      </c>
      <c r="U74">
        <v>4681631</v>
      </c>
      <c r="V74">
        <v>35779</v>
      </c>
      <c r="W74">
        <v>107003</v>
      </c>
      <c r="X74">
        <v>100039</v>
      </c>
      <c r="Y74">
        <v>1770382</v>
      </c>
      <c r="Z74">
        <v>238913</v>
      </c>
      <c r="AA74">
        <v>28133</v>
      </c>
      <c r="AB74">
        <v>82435</v>
      </c>
      <c r="AC74">
        <v>0</v>
      </c>
      <c r="AD74">
        <v>21202</v>
      </c>
      <c r="AE74">
        <v>422641</v>
      </c>
      <c r="AF74">
        <v>253738</v>
      </c>
      <c r="AG74">
        <v>21826</v>
      </c>
      <c r="AH74">
        <v>62464</v>
      </c>
      <c r="AI74">
        <v>5768</v>
      </c>
      <c r="AJ74">
        <v>35534</v>
      </c>
      <c r="AK74">
        <v>39899</v>
      </c>
      <c r="AL74">
        <v>168446</v>
      </c>
      <c r="AM74">
        <v>0</v>
      </c>
      <c r="AN74">
        <v>1675727</v>
      </c>
      <c r="AO74">
        <v>872198</v>
      </c>
      <c r="AP74">
        <v>696878</v>
      </c>
      <c r="AQ74" s="128">
        <v>0</v>
      </c>
      <c r="AR74">
        <v>96879</v>
      </c>
      <c r="AS74">
        <v>656704</v>
      </c>
      <c r="AT74">
        <v>0</v>
      </c>
      <c r="AU74">
        <v>0</v>
      </c>
      <c r="AV74">
        <v>0</v>
      </c>
      <c r="AW74">
        <v>0</v>
      </c>
      <c r="AX74">
        <v>0</v>
      </c>
      <c r="AY74">
        <v>17572</v>
      </c>
      <c r="AZ74">
        <v>0</v>
      </c>
      <c r="BA74">
        <v>9404638</v>
      </c>
      <c r="BB74">
        <v>6882997</v>
      </c>
    </row>
    <row r="75" spans="1:62">
      <c r="AQ75" s="128"/>
    </row>
    <row r="76" spans="1:62">
      <c r="A76" s="851" t="s">
        <v>2626</v>
      </c>
      <c r="AQ76" s="128"/>
      <c r="BA76" s="211" t="s">
        <v>3337</v>
      </c>
    </row>
    <row r="77" spans="1:62">
      <c r="G77" s="211" t="s">
        <v>3322</v>
      </c>
      <c r="P77" s="211" t="s">
        <v>3325</v>
      </c>
      <c r="Y77" s="211" t="s">
        <v>3324</v>
      </c>
      <c r="AQ77" s="128"/>
    </row>
    <row r="78" spans="1:62">
      <c r="AQ78" s="128"/>
    </row>
    <row r="79" spans="1:62">
      <c r="AQ79" s="128"/>
    </row>
    <row r="80" spans="1:62">
      <c r="AQ80" s="128"/>
    </row>
    <row r="81" spans="7:43">
      <c r="AQ81" s="128"/>
    </row>
    <row r="82" spans="7:43">
      <c r="AQ82" s="128"/>
    </row>
    <row r="83" spans="7:43">
      <c r="AQ83" s="128"/>
    </row>
    <row r="84" spans="7:43">
      <c r="AQ84" s="128"/>
    </row>
    <row r="85" spans="7:43">
      <c r="AQ85" s="128"/>
    </row>
    <row r="86" spans="7:43">
      <c r="AQ86" s="128"/>
    </row>
    <row r="87" spans="7:43">
      <c r="AQ87" s="128"/>
    </row>
    <row r="88" spans="7:43">
      <c r="AQ88" s="128"/>
    </row>
    <row r="90" spans="7:43">
      <c r="U90" s="168" t="s">
        <v>1765</v>
      </c>
    </row>
    <row r="91" spans="7:43">
      <c r="G91" s="168" t="s">
        <v>1764</v>
      </c>
    </row>
  </sheetData>
  <phoneticPr fontId="0" type="noConversion"/>
  <pageMargins left="0.75" right="0.75" top="1" bottom="1" header="0.5" footer="0.5"/>
  <pageSetup orientation="portrait" r:id="rId1"/>
  <headerFooter alignWithMargins="0"/>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4"/>
  <dimension ref="A1:H74"/>
  <sheetViews>
    <sheetView workbookViewId="0">
      <pane xSplit="1" ySplit="4" topLeftCell="B6" activePane="bottomRight" state="frozen"/>
      <selection activeCell="B24" sqref="B24"/>
      <selection pane="topRight" activeCell="B24" sqref="B24"/>
      <selection pane="bottomLeft" activeCell="B24" sqref="B24"/>
      <selection pane="bottomRight" activeCell="B7" sqref="B7"/>
    </sheetView>
  </sheetViews>
  <sheetFormatPr defaultRowHeight="12.75"/>
  <cols>
    <col min="1" max="8" width="9.140625" customWidth="1"/>
  </cols>
  <sheetData>
    <row r="1" spans="1:8">
      <c r="B1" s="28" t="s">
        <v>1185</v>
      </c>
      <c r="C1" s="28" t="s">
        <v>604</v>
      </c>
      <c r="D1" s="28" t="s">
        <v>1298</v>
      </c>
      <c r="E1" s="28"/>
      <c r="F1" s="28" t="s">
        <v>1655</v>
      </c>
      <c r="G1" s="28" t="s">
        <v>2595</v>
      </c>
      <c r="H1" s="28" t="s">
        <v>307</v>
      </c>
    </row>
    <row r="2" spans="1:8">
      <c r="B2" s="28" t="s">
        <v>517</v>
      </c>
      <c r="C2" s="28" t="s">
        <v>1283</v>
      </c>
      <c r="D2" s="28" t="s">
        <v>62</v>
      </c>
      <c r="E2" s="28" t="s">
        <v>63</v>
      </c>
      <c r="F2" s="28" t="s">
        <v>1656</v>
      </c>
      <c r="G2" s="28" t="s">
        <v>577</v>
      </c>
      <c r="H2" s="28" t="s">
        <v>64</v>
      </c>
    </row>
    <row r="3" spans="1:8">
      <c r="B3" s="28" t="s">
        <v>1186</v>
      </c>
      <c r="C3" s="28" t="s">
        <v>65</v>
      </c>
      <c r="D3" s="28" t="s">
        <v>65</v>
      </c>
      <c r="E3" s="28" t="s">
        <v>222</v>
      </c>
      <c r="F3" s="28" t="s">
        <v>1742</v>
      </c>
      <c r="G3" s="28" t="s">
        <v>65</v>
      </c>
      <c r="H3" s="28" t="s">
        <v>856</v>
      </c>
    </row>
    <row r="4" spans="1:8">
      <c r="B4" s="64">
        <v>500</v>
      </c>
      <c r="C4" s="64">
        <v>501</v>
      </c>
      <c r="D4" s="64">
        <v>502</v>
      </c>
      <c r="E4" s="64">
        <v>503</v>
      </c>
      <c r="F4" s="64">
        <v>504</v>
      </c>
      <c r="G4" s="64">
        <v>505</v>
      </c>
      <c r="H4" s="64" t="s">
        <v>1999</v>
      </c>
    </row>
    <row r="5" spans="1:8">
      <c r="B5" s="64"/>
      <c r="C5" s="64"/>
      <c r="D5" s="64"/>
      <c r="E5" s="64"/>
      <c r="F5" s="64"/>
      <c r="G5" s="64"/>
      <c r="H5" s="64"/>
    </row>
    <row r="6" spans="1:8">
      <c r="A6" s="22" t="s">
        <v>1165</v>
      </c>
      <c r="B6" s="22" t="s">
        <v>1166</v>
      </c>
      <c r="C6" s="22" t="s">
        <v>599</v>
      </c>
      <c r="D6" s="22" t="s">
        <v>600</v>
      </c>
      <c r="E6" s="22" t="s">
        <v>601</v>
      </c>
      <c r="F6" s="22" t="s">
        <v>602</v>
      </c>
      <c r="G6" s="22" t="s">
        <v>603</v>
      </c>
      <c r="H6" s="22" t="s">
        <v>172</v>
      </c>
    </row>
    <row r="7" spans="1:8">
      <c r="A7" t="s">
        <v>1167</v>
      </c>
      <c r="B7">
        <v>0</v>
      </c>
      <c r="C7">
        <v>0</v>
      </c>
      <c r="D7">
        <v>0</v>
      </c>
      <c r="E7">
        <v>0</v>
      </c>
      <c r="F7">
        <v>0</v>
      </c>
      <c r="G7">
        <v>0</v>
      </c>
      <c r="H7">
        <v>0</v>
      </c>
    </row>
    <row r="8" spans="1:8">
      <c r="A8" t="s">
        <v>1167</v>
      </c>
      <c r="B8">
        <v>0</v>
      </c>
      <c r="C8">
        <v>0</v>
      </c>
      <c r="D8">
        <v>0</v>
      </c>
      <c r="E8">
        <v>0</v>
      </c>
      <c r="F8">
        <v>0</v>
      </c>
      <c r="G8">
        <v>0</v>
      </c>
      <c r="H8">
        <v>0</v>
      </c>
    </row>
    <row r="9" spans="1:8">
      <c r="A9" t="s">
        <v>1167</v>
      </c>
      <c r="B9">
        <v>0</v>
      </c>
      <c r="C9">
        <v>0</v>
      </c>
      <c r="D9">
        <v>0</v>
      </c>
      <c r="E9">
        <v>0</v>
      </c>
      <c r="F9">
        <v>0</v>
      </c>
      <c r="G9">
        <v>0</v>
      </c>
      <c r="H9">
        <v>0</v>
      </c>
    </row>
    <row r="10" spans="1:8">
      <c r="A10" t="s">
        <v>477</v>
      </c>
      <c r="B10">
        <v>0</v>
      </c>
      <c r="C10">
        <v>0</v>
      </c>
      <c r="D10">
        <v>0</v>
      </c>
      <c r="E10">
        <v>0</v>
      </c>
      <c r="F10">
        <v>0</v>
      </c>
      <c r="G10">
        <v>0</v>
      </c>
      <c r="H10">
        <v>0</v>
      </c>
    </row>
    <row r="11" spans="1:8">
      <c r="A11" t="s">
        <v>1167</v>
      </c>
      <c r="B11">
        <v>0</v>
      </c>
      <c r="C11">
        <v>0</v>
      </c>
      <c r="D11">
        <v>0</v>
      </c>
      <c r="E11">
        <v>0</v>
      </c>
      <c r="F11">
        <v>0</v>
      </c>
      <c r="G11">
        <v>0</v>
      </c>
      <c r="H11">
        <v>0</v>
      </c>
    </row>
    <row r="12" spans="1:8">
      <c r="A12" t="s">
        <v>1167</v>
      </c>
      <c r="B12">
        <v>0</v>
      </c>
      <c r="C12">
        <v>0</v>
      </c>
      <c r="D12">
        <v>0</v>
      </c>
      <c r="E12">
        <v>0</v>
      </c>
      <c r="F12">
        <v>0</v>
      </c>
      <c r="G12">
        <v>0</v>
      </c>
      <c r="H12">
        <v>0</v>
      </c>
    </row>
    <row r="13" spans="1:8">
      <c r="A13" t="s">
        <v>1167</v>
      </c>
      <c r="B13">
        <v>0</v>
      </c>
      <c r="C13">
        <v>0</v>
      </c>
      <c r="D13">
        <v>0</v>
      </c>
      <c r="E13">
        <v>0</v>
      </c>
      <c r="F13">
        <v>0</v>
      </c>
      <c r="G13">
        <v>0</v>
      </c>
      <c r="H13">
        <v>0</v>
      </c>
    </row>
    <row r="14" spans="1:8">
      <c r="A14" t="s">
        <v>1167</v>
      </c>
      <c r="B14">
        <v>0</v>
      </c>
      <c r="C14">
        <v>0</v>
      </c>
      <c r="D14">
        <v>0</v>
      </c>
      <c r="E14">
        <v>0</v>
      </c>
      <c r="F14">
        <v>0</v>
      </c>
      <c r="G14">
        <v>0</v>
      </c>
      <c r="H14">
        <v>0</v>
      </c>
    </row>
    <row r="15" spans="1:8">
      <c r="A15" t="s">
        <v>1167</v>
      </c>
      <c r="B15">
        <v>0</v>
      </c>
      <c r="C15">
        <v>0</v>
      </c>
      <c r="D15">
        <v>0</v>
      </c>
      <c r="E15">
        <v>0</v>
      </c>
      <c r="F15">
        <v>0</v>
      </c>
      <c r="G15">
        <v>0</v>
      </c>
      <c r="H15">
        <v>0</v>
      </c>
    </row>
    <row r="16" spans="1:8">
      <c r="A16" t="s">
        <v>937</v>
      </c>
      <c r="B16">
        <v>0</v>
      </c>
      <c r="C16">
        <v>0</v>
      </c>
      <c r="D16">
        <v>0</v>
      </c>
      <c r="E16">
        <v>0</v>
      </c>
      <c r="F16">
        <v>0</v>
      </c>
      <c r="G16">
        <v>0</v>
      </c>
      <c r="H16">
        <v>0</v>
      </c>
    </row>
    <row r="17" spans="1:8">
      <c r="A17" t="s">
        <v>487</v>
      </c>
      <c r="B17">
        <v>0</v>
      </c>
      <c r="C17">
        <v>0</v>
      </c>
      <c r="D17">
        <v>0</v>
      </c>
      <c r="E17">
        <v>0</v>
      </c>
      <c r="F17">
        <v>0</v>
      </c>
      <c r="G17">
        <v>0</v>
      </c>
      <c r="H17">
        <v>0</v>
      </c>
    </row>
    <row r="18" spans="1:8">
      <c r="A18" t="s">
        <v>488</v>
      </c>
      <c r="B18">
        <v>0</v>
      </c>
      <c r="C18">
        <v>41294</v>
      </c>
      <c r="D18">
        <v>0</v>
      </c>
      <c r="E18">
        <v>387148</v>
      </c>
      <c r="F18">
        <v>55606</v>
      </c>
      <c r="G18" s="146">
        <v>19430</v>
      </c>
      <c r="H18" s="146">
        <v>121101</v>
      </c>
    </row>
    <row r="19" spans="1:8">
      <c r="A19" t="s">
        <v>489</v>
      </c>
      <c r="B19">
        <v>0</v>
      </c>
      <c r="C19">
        <v>0</v>
      </c>
      <c r="D19">
        <v>0</v>
      </c>
      <c r="E19">
        <v>0</v>
      </c>
      <c r="F19">
        <v>0</v>
      </c>
      <c r="G19">
        <v>0</v>
      </c>
      <c r="H19">
        <v>0</v>
      </c>
    </row>
    <row r="20" spans="1:8">
      <c r="A20" t="s">
        <v>490</v>
      </c>
      <c r="B20">
        <v>0</v>
      </c>
      <c r="C20">
        <v>0</v>
      </c>
      <c r="D20">
        <v>0</v>
      </c>
      <c r="E20">
        <v>0</v>
      </c>
      <c r="F20">
        <v>0</v>
      </c>
      <c r="G20">
        <v>0</v>
      </c>
      <c r="H20">
        <v>0</v>
      </c>
    </row>
    <row r="21" spans="1:8">
      <c r="A21" t="s">
        <v>491</v>
      </c>
      <c r="B21">
        <v>0</v>
      </c>
      <c r="C21">
        <v>22709</v>
      </c>
      <c r="D21">
        <v>0</v>
      </c>
      <c r="E21">
        <v>0</v>
      </c>
      <c r="F21">
        <v>2273</v>
      </c>
      <c r="G21">
        <v>15468</v>
      </c>
      <c r="H21">
        <v>511160</v>
      </c>
    </row>
    <row r="22" spans="1:8">
      <c r="A22" t="s">
        <v>492</v>
      </c>
      <c r="B22">
        <v>0</v>
      </c>
      <c r="C22">
        <v>0</v>
      </c>
      <c r="D22">
        <v>0</v>
      </c>
      <c r="E22">
        <v>0</v>
      </c>
      <c r="F22">
        <v>0</v>
      </c>
      <c r="G22">
        <v>0</v>
      </c>
      <c r="H22">
        <v>0</v>
      </c>
    </row>
    <row r="23" spans="1:8">
      <c r="A23" t="s">
        <v>493</v>
      </c>
      <c r="B23">
        <v>0</v>
      </c>
      <c r="C23">
        <v>0</v>
      </c>
      <c r="D23">
        <v>0</v>
      </c>
      <c r="E23">
        <v>0</v>
      </c>
      <c r="F23">
        <v>0</v>
      </c>
      <c r="G23">
        <v>0</v>
      </c>
      <c r="H23">
        <v>0</v>
      </c>
    </row>
    <row r="24" spans="1:8">
      <c r="A24" t="s">
        <v>1089</v>
      </c>
      <c r="B24">
        <v>0</v>
      </c>
      <c r="C24">
        <v>0</v>
      </c>
      <c r="D24">
        <v>0</v>
      </c>
      <c r="E24">
        <v>0</v>
      </c>
      <c r="F24">
        <v>0</v>
      </c>
      <c r="G24">
        <v>0</v>
      </c>
      <c r="H24">
        <v>0</v>
      </c>
    </row>
    <row r="25" spans="1:8">
      <c r="A25" t="s">
        <v>1090</v>
      </c>
      <c r="B25">
        <v>0</v>
      </c>
      <c r="C25">
        <v>0</v>
      </c>
      <c r="D25">
        <v>0</v>
      </c>
      <c r="E25">
        <v>0</v>
      </c>
      <c r="F25">
        <v>0</v>
      </c>
      <c r="G25">
        <v>0</v>
      </c>
      <c r="H25">
        <v>0</v>
      </c>
    </row>
    <row r="26" spans="1:8">
      <c r="A26" t="s">
        <v>1299</v>
      </c>
      <c r="B26">
        <v>0</v>
      </c>
      <c r="C26">
        <v>0</v>
      </c>
      <c r="D26">
        <v>0</v>
      </c>
      <c r="E26">
        <v>0</v>
      </c>
      <c r="F26">
        <v>0</v>
      </c>
      <c r="G26">
        <v>0</v>
      </c>
      <c r="H26">
        <v>0</v>
      </c>
    </row>
    <row r="27" spans="1:8">
      <c r="A27" t="s">
        <v>342</v>
      </c>
      <c r="B27">
        <v>0</v>
      </c>
      <c r="C27">
        <v>0</v>
      </c>
      <c r="D27">
        <v>0</v>
      </c>
      <c r="E27">
        <v>0</v>
      </c>
      <c r="F27">
        <v>0</v>
      </c>
      <c r="G27">
        <v>0</v>
      </c>
      <c r="H27">
        <v>0</v>
      </c>
    </row>
    <row r="28" spans="1:8">
      <c r="A28" t="s">
        <v>1300</v>
      </c>
      <c r="B28">
        <v>0</v>
      </c>
      <c r="C28">
        <v>0</v>
      </c>
      <c r="D28">
        <v>0</v>
      </c>
      <c r="E28">
        <v>0</v>
      </c>
      <c r="F28">
        <v>0</v>
      </c>
      <c r="G28">
        <v>0</v>
      </c>
      <c r="H28">
        <v>0</v>
      </c>
    </row>
    <row r="29" spans="1:8">
      <c r="A29" t="s">
        <v>488</v>
      </c>
      <c r="B29">
        <v>0</v>
      </c>
      <c r="C29">
        <v>0</v>
      </c>
      <c r="D29">
        <v>0</v>
      </c>
      <c r="E29">
        <v>0</v>
      </c>
      <c r="F29">
        <v>0</v>
      </c>
      <c r="G29">
        <v>0</v>
      </c>
      <c r="H29">
        <v>0</v>
      </c>
    </row>
    <row r="30" spans="1:8">
      <c r="A30" t="s">
        <v>489</v>
      </c>
      <c r="B30">
        <v>0</v>
      </c>
      <c r="C30">
        <v>0</v>
      </c>
      <c r="D30">
        <v>0</v>
      </c>
      <c r="E30">
        <v>0</v>
      </c>
      <c r="F30">
        <v>0</v>
      </c>
      <c r="G30">
        <v>0</v>
      </c>
      <c r="H30">
        <v>0</v>
      </c>
    </row>
    <row r="31" spans="1:8">
      <c r="A31" t="s">
        <v>1301</v>
      </c>
      <c r="B31">
        <v>0</v>
      </c>
      <c r="C31">
        <v>0</v>
      </c>
      <c r="D31">
        <v>0</v>
      </c>
      <c r="E31">
        <v>0</v>
      </c>
      <c r="F31">
        <v>0</v>
      </c>
      <c r="G31">
        <v>0</v>
      </c>
      <c r="H31">
        <v>0</v>
      </c>
    </row>
    <row r="32" spans="1:8">
      <c r="A32" t="s">
        <v>1302</v>
      </c>
      <c r="B32">
        <v>0</v>
      </c>
      <c r="C32">
        <v>0</v>
      </c>
      <c r="D32">
        <v>0</v>
      </c>
      <c r="E32">
        <v>0</v>
      </c>
      <c r="F32">
        <v>0</v>
      </c>
      <c r="G32">
        <v>0</v>
      </c>
      <c r="H32">
        <v>0</v>
      </c>
    </row>
    <row r="33" spans="1:8">
      <c r="A33" t="s">
        <v>1303</v>
      </c>
      <c r="B33">
        <v>0</v>
      </c>
      <c r="C33">
        <v>0</v>
      </c>
      <c r="D33">
        <v>0</v>
      </c>
      <c r="E33">
        <v>0</v>
      </c>
      <c r="F33">
        <v>0</v>
      </c>
      <c r="G33">
        <v>0</v>
      </c>
      <c r="H33">
        <v>0</v>
      </c>
    </row>
    <row r="34" spans="1:8">
      <c r="A34" t="s">
        <v>1219</v>
      </c>
      <c r="B34">
        <v>0</v>
      </c>
      <c r="C34">
        <v>0</v>
      </c>
      <c r="D34">
        <v>0</v>
      </c>
      <c r="E34">
        <v>0</v>
      </c>
      <c r="F34">
        <v>0</v>
      </c>
      <c r="G34">
        <v>0</v>
      </c>
      <c r="H34">
        <v>0</v>
      </c>
    </row>
    <row r="35" spans="1:8">
      <c r="A35" t="s">
        <v>1305</v>
      </c>
      <c r="B35">
        <v>0</v>
      </c>
      <c r="C35">
        <v>0</v>
      </c>
      <c r="D35">
        <v>0</v>
      </c>
      <c r="E35">
        <v>0</v>
      </c>
      <c r="F35">
        <v>0</v>
      </c>
      <c r="G35">
        <v>0</v>
      </c>
      <c r="H35">
        <v>0</v>
      </c>
    </row>
    <row r="36" spans="1:8">
      <c r="A36" t="s">
        <v>1306</v>
      </c>
      <c r="B36">
        <v>0</v>
      </c>
      <c r="C36">
        <v>0</v>
      </c>
      <c r="D36">
        <v>0</v>
      </c>
      <c r="E36">
        <v>0</v>
      </c>
      <c r="F36">
        <v>0</v>
      </c>
      <c r="G36">
        <v>0</v>
      </c>
      <c r="H36">
        <v>0</v>
      </c>
    </row>
    <row r="37" spans="1:8">
      <c r="A37" t="s">
        <v>872</v>
      </c>
      <c r="B37">
        <v>0</v>
      </c>
      <c r="C37">
        <v>0</v>
      </c>
      <c r="D37">
        <v>0</v>
      </c>
      <c r="E37">
        <v>0</v>
      </c>
      <c r="F37">
        <v>0</v>
      </c>
      <c r="G37">
        <v>0</v>
      </c>
      <c r="H37">
        <v>0</v>
      </c>
    </row>
    <row r="38" spans="1:8">
      <c r="A38" t="s">
        <v>1367</v>
      </c>
      <c r="B38">
        <v>0</v>
      </c>
      <c r="C38">
        <v>0</v>
      </c>
      <c r="D38">
        <v>0</v>
      </c>
      <c r="E38">
        <v>0</v>
      </c>
      <c r="F38">
        <v>0</v>
      </c>
      <c r="G38">
        <v>0</v>
      </c>
      <c r="H38">
        <v>0</v>
      </c>
    </row>
    <row r="39" spans="1:8">
      <c r="A39" t="s">
        <v>448</v>
      </c>
      <c r="B39">
        <v>0</v>
      </c>
      <c r="C39">
        <v>0</v>
      </c>
      <c r="D39">
        <v>0</v>
      </c>
      <c r="E39">
        <v>0</v>
      </c>
      <c r="F39">
        <v>0</v>
      </c>
      <c r="G39">
        <v>0</v>
      </c>
      <c r="H39">
        <v>0</v>
      </c>
    </row>
    <row r="40" spans="1:8">
      <c r="A40" t="s">
        <v>449</v>
      </c>
      <c r="B40">
        <v>0</v>
      </c>
      <c r="C40">
        <v>0</v>
      </c>
      <c r="D40">
        <v>0</v>
      </c>
      <c r="E40">
        <v>0</v>
      </c>
      <c r="F40">
        <v>0</v>
      </c>
      <c r="G40">
        <v>0</v>
      </c>
      <c r="H40">
        <v>0</v>
      </c>
    </row>
    <row r="41" spans="1:8">
      <c r="A41" t="s">
        <v>450</v>
      </c>
      <c r="B41">
        <v>0</v>
      </c>
      <c r="C41">
        <v>0</v>
      </c>
      <c r="D41">
        <v>0</v>
      </c>
      <c r="E41">
        <v>0</v>
      </c>
      <c r="F41">
        <v>0</v>
      </c>
      <c r="G41">
        <v>0</v>
      </c>
      <c r="H41">
        <v>0</v>
      </c>
    </row>
    <row r="42" spans="1:8">
      <c r="A42" t="s">
        <v>451</v>
      </c>
      <c r="B42">
        <v>0</v>
      </c>
      <c r="C42">
        <v>0</v>
      </c>
      <c r="D42">
        <v>0</v>
      </c>
      <c r="E42">
        <v>0</v>
      </c>
      <c r="F42">
        <v>0</v>
      </c>
      <c r="G42">
        <v>0</v>
      </c>
      <c r="H42">
        <v>0</v>
      </c>
    </row>
    <row r="43" spans="1:8">
      <c r="A43" t="s">
        <v>254</v>
      </c>
      <c r="B43">
        <v>0</v>
      </c>
      <c r="C43">
        <v>64003</v>
      </c>
      <c r="D43">
        <v>0</v>
      </c>
      <c r="E43">
        <v>387148</v>
      </c>
      <c r="F43">
        <v>57879</v>
      </c>
      <c r="G43">
        <v>34898</v>
      </c>
      <c r="H43">
        <v>632261</v>
      </c>
    </row>
    <row r="44" spans="1:8">
      <c r="A44" t="s">
        <v>1167</v>
      </c>
      <c r="B44">
        <v>0</v>
      </c>
      <c r="C44">
        <v>0</v>
      </c>
      <c r="D44">
        <v>0</v>
      </c>
      <c r="E44">
        <v>0</v>
      </c>
      <c r="F44">
        <v>0</v>
      </c>
      <c r="G44">
        <v>0</v>
      </c>
      <c r="H44">
        <v>0</v>
      </c>
    </row>
    <row r="45" spans="1:8">
      <c r="A45" t="s">
        <v>597</v>
      </c>
      <c r="B45">
        <v>0</v>
      </c>
      <c r="C45">
        <v>0</v>
      </c>
      <c r="D45">
        <v>0</v>
      </c>
      <c r="E45">
        <v>0</v>
      </c>
      <c r="F45">
        <v>0</v>
      </c>
      <c r="G45">
        <v>0</v>
      </c>
      <c r="H45">
        <v>0</v>
      </c>
    </row>
    <row r="46" spans="1:8">
      <c r="A46" t="s">
        <v>987</v>
      </c>
      <c r="B46">
        <v>0</v>
      </c>
      <c r="C46">
        <v>0</v>
      </c>
      <c r="D46">
        <v>0</v>
      </c>
      <c r="E46">
        <v>0</v>
      </c>
      <c r="F46">
        <v>0</v>
      </c>
      <c r="G46">
        <v>0</v>
      </c>
      <c r="H46">
        <v>0</v>
      </c>
    </row>
    <row r="47" spans="1:8">
      <c r="A47" t="s">
        <v>643</v>
      </c>
      <c r="B47">
        <v>0</v>
      </c>
      <c r="C47">
        <v>0</v>
      </c>
      <c r="D47">
        <v>0</v>
      </c>
      <c r="E47">
        <v>0</v>
      </c>
      <c r="F47">
        <v>0</v>
      </c>
      <c r="G47">
        <v>0</v>
      </c>
      <c r="H47">
        <v>0</v>
      </c>
    </row>
    <row r="48" spans="1:8">
      <c r="A48" t="s">
        <v>452</v>
      </c>
      <c r="B48">
        <v>0</v>
      </c>
      <c r="C48">
        <v>0</v>
      </c>
      <c r="D48">
        <v>0</v>
      </c>
      <c r="E48">
        <v>0</v>
      </c>
      <c r="F48">
        <v>0</v>
      </c>
      <c r="G48">
        <v>0</v>
      </c>
      <c r="H48">
        <v>0</v>
      </c>
    </row>
    <row r="49" spans="1:8">
      <c r="A49" t="s">
        <v>648</v>
      </c>
      <c r="B49">
        <v>0</v>
      </c>
      <c r="C49">
        <v>0</v>
      </c>
      <c r="D49">
        <v>0</v>
      </c>
      <c r="E49">
        <v>0</v>
      </c>
      <c r="F49">
        <v>0</v>
      </c>
      <c r="G49">
        <v>0</v>
      </c>
      <c r="H49">
        <v>0</v>
      </c>
    </row>
    <row r="50" spans="1:8">
      <c r="A50" t="s">
        <v>649</v>
      </c>
      <c r="B50">
        <v>0</v>
      </c>
      <c r="C50">
        <v>0</v>
      </c>
      <c r="D50">
        <v>0</v>
      </c>
      <c r="E50">
        <v>0</v>
      </c>
      <c r="F50">
        <v>0</v>
      </c>
      <c r="G50">
        <v>0</v>
      </c>
      <c r="H50">
        <v>0</v>
      </c>
    </row>
    <row r="51" spans="1:8">
      <c r="A51" t="s">
        <v>453</v>
      </c>
      <c r="B51">
        <v>0</v>
      </c>
      <c r="C51">
        <v>0</v>
      </c>
      <c r="D51">
        <v>0</v>
      </c>
      <c r="E51">
        <v>0</v>
      </c>
      <c r="F51">
        <v>0</v>
      </c>
      <c r="G51">
        <v>0</v>
      </c>
      <c r="H51">
        <v>0</v>
      </c>
    </row>
    <row r="52" spans="1:8">
      <c r="A52" t="s">
        <v>1085</v>
      </c>
      <c r="B52">
        <v>0</v>
      </c>
      <c r="C52">
        <v>22709</v>
      </c>
      <c r="D52">
        <v>0</v>
      </c>
      <c r="E52">
        <v>0</v>
      </c>
      <c r="F52">
        <v>2273</v>
      </c>
      <c r="G52">
        <v>15468</v>
      </c>
      <c r="H52">
        <v>511160</v>
      </c>
    </row>
    <row r="53" spans="1:8">
      <c r="A53" t="s">
        <v>650</v>
      </c>
      <c r="B53">
        <v>0</v>
      </c>
      <c r="C53">
        <v>0</v>
      </c>
      <c r="D53">
        <v>0</v>
      </c>
      <c r="E53">
        <v>0</v>
      </c>
      <c r="F53">
        <v>0</v>
      </c>
      <c r="G53">
        <v>0</v>
      </c>
      <c r="H53">
        <v>0</v>
      </c>
    </row>
    <row r="54" spans="1:8">
      <c r="A54" t="s">
        <v>651</v>
      </c>
      <c r="B54">
        <v>0</v>
      </c>
      <c r="C54">
        <v>0</v>
      </c>
      <c r="D54">
        <v>0</v>
      </c>
      <c r="E54">
        <v>0</v>
      </c>
      <c r="F54">
        <v>0</v>
      </c>
      <c r="G54">
        <v>0</v>
      </c>
      <c r="H54">
        <v>0</v>
      </c>
    </row>
    <row r="55" spans="1:8">
      <c r="A55" t="s">
        <v>652</v>
      </c>
      <c r="B55">
        <v>0</v>
      </c>
      <c r="C55">
        <v>0</v>
      </c>
      <c r="D55">
        <v>0</v>
      </c>
      <c r="E55">
        <v>0</v>
      </c>
      <c r="F55">
        <v>0</v>
      </c>
      <c r="G55">
        <v>0</v>
      </c>
      <c r="H55">
        <v>0</v>
      </c>
    </row>
    <row r="56" spans="1:8">
      <c r="A56" t="s">
        <v>653</v>
      </c>
      <c r="B56">
        <v>0</v>
      </c>
      <c r="C56">
        <v>0</v>
      </c>
      <c r="D56">
        <v>0</v>
      </c>
      <c r="E56">
        <v>0</v>
      </c>
      <c r="F56">
        <v>0</v>
      </c>
      <c r="G56">
        <v>0</v>
      </c>
      <c r="H56">
        <v>0</v>
      </c>
    </row>
    <row r="57" spans="1:8">
      <c r="A57" t="s">
        <v>455</v>
      </c>
      <c r="B57">
        <v>0</v>
      </c>
      <c r="C57">
        <v>0</v>
      </c>
      <c r="D57">
        <v>0</v>
      </c>
      <c r="E57">
        <v>0</v>
      </c>
      <c r="F57">
        <v>0</v>
      </c>
      <c r="G57">
        <v>0</v>
      </c>
      <c r="H57">
        <v>0</v>
      </c>
    </row>
    <row r="58" spans="1:8">
      <c r="A58" t="s">
        <v>654</v>
      </c>
      <c r="B58">
        <v>0</v>
      </c>
      <c r="C58">
        <v>0</v>
      </c>
      <c r="D58">
        <v>0</v>
      </c>
      <c r="E58">
        <v>0</v>
      </c>
      <c r="F58">
        <v>0</v>
      </c>
      <c r="G58">
        <v>0</v>
      </c>
      <c r="H58">
        <v>0</v>
      </c>
    </row>
    <row r="59" spans="1:8">
      <c r="A59" t="s">
        <v>655</v>
      </c>
      <c r="B59">
        <v>0</v>
      </c>
      <c r="C59">
        <v>0</v>
      </c>
      <c r="D59">
        <v>0</v>
      </c>
      <c r="E59">
        <v>0</v>
      </c>
      <c r="F59">
        <v>0</v>
      </c>
      <c r="G59">
        <v>0</v>
      </c>
      <c r="H59">
        <v>0</v>
      </c>
    </row>
    <row r="60" spans="1:8">
      <c r="A60" t="s">
        <v>656</v>
      </c>
      <c r="B60">
        <v>0</v>
      </c>
      <c r="C60">
        <v>0</v>
      </c>
      <c r="D60">
        <v>0</v>
      </c>
      <c r="E60">
        <v>0</v>
      </c>
      <c r="F60">
        <v>0</v>
      </c>
      <c r="G60">
        <v>0</v>
      </c>
      <c r="H60">
        <v>0</v>
      </c>
    </row>
    <row r="61" spans="1:8">
      <c r="A61" t="s">
        <v>657</v>
      </c>
      <c r="B61">
        <v>0</v>
      </c>
      <c r="C61">
        <v>0</v>
      </c>
      <c r="D61">
        <v>0</v>
      </c>
      <c r="E61">
        <v>0</v>
      </c>
      <c r="F61">
        <v>0</v>
      </c>
      <c r="G61">
        <v>0</v>
      </c>
      <c r="H61">
        <v>0</v>
      </c>
    </row>
    <row r="62" spans="1:8">
      <c r="A62" t="s">
        <v>651</v>
      </c>
      <c r="B62">
        <v>0</v>
      </c>
      <c r="C62">
        <v>0</v>
      </c>
      <c r="D62">
        <v>0</v>
      </c>
      <c r="E62">
        <v>0</v>
      </c>
      <c r="F62">
        <v>0</v>
      </c>
      <c r="G62">
        <v>0</v>
      </c>
      <c r="H62">
        <v>0</v>
      </c>
    </row>
    <row r="63" spans="1:8">
      <c r="A63" t="s">
        <v>658</v>
      </c>
      <c r="B63">
        <v>0</v>
      </c>
      <c r="C63">
        <v>0</v>
      </c>
      <c r="D63">
        <v>0</v>
      </c>
      <c r="E63">
        <v>0</v>
      </c>
      <c r="F63">
        <v>0</v>
      </c>
      <c r="G63">
        <v>0</v>
      </c>
      <c r="H63">
        <v>0</v>
      </c>
    </row>
    <row r="64" spans="1:8">
      <c r="A64" t="s">
        <v>659</v>
      </c>
      <c r="B64">
        <v>0</v>
      </c>
      <c r="C64">
        <v>0</v>
      </c>
      <c r="D64">
        <v>0</v>
      </c>
      <c r="E64">
        <v>0</v>
      </c>
      <c r="F64">
        <v>0</v>
      </c>
      <c r="G64">
        <v>0</v>
      </c>
      <c r="H64">
        <v>0</v>
      </c>
    </row>
    <row r="65" spans="1:8">
      <c r="A65" t="s">
        <v>805</v>
      </c>
      <c r="B65">
        <v>0</v>
      </c>
      <c r="C65">
        <v>0</v>
      </c>
      <c r="D65">
        <v>0</v>
      </c>
      <c r="E65">
        <v>0</v>
      </c>
      <c r="F65">
        <v>0</v>
      </c>
      <c r="G65">
        <v>0</v>
      </c>
      <c r="H65">
        <v>0</v>
      </c>
    </row>
    <row r="66" spans="1:8">
      <c r="A66" t="s">
        <v>1167</v>
      </c>
      <c r="B66">
        <v>0</v>
      </c>
      <c r="C66">
        <v>0</v>
      </c>
      <c r="D66">
        <v>0</v>
      </c>
      <c r="E66">
        <v>0</v>
      </c>
      <c r="F66">
        <v>0</v>
      </c>
      <c r="G66">
        <v>0</v>
      </c>
      <c r="H66">
        <v>0</v>
      </c>
    </row>
    <row r="67" spans="1:8">
      <c r="A67" t="s">
        <v>456</v>
      </c>
      <c r="B67">
        <v>0</v>
      </c>
      <c r="C67">
        <v>22709</v>
      </c>
      <c r="D67">
        <v>0</v>
      </c>
      <c r="E67">
        <v>0</v>
      </c>
      <c r="F67">
        <v>2273</v>
      </c>
      <c r="G67">
        <v>15468</v>
      </c>
      <c r="H67">
        <v>511160</v>
      </c>
    </row>
    <row r="68" spans="1:8">
      <c r="A68" t="s">
        <v>1167</v>
      </c>
      <c r="B68">
        <v>0</v>
      </c>
      <c r="C68">
        <v>0</v>
      </c>
      <c r="D68">
        <v>0</v>
      </c>
      <c r="E68">
        <v>0</v>
      </c>
      <c r="F68">
        <v>0</v>
      </c>
      <c r="G68">
        <v>0</v>
      </c>
      <c r="H68">
        <v>0</v>
      </c>
    </row>
    <row r="69" spans="1:8">
      <c r="A69" t="s">
        <v>457</v>
      </c>
      <c r="B69">
        <v>0</v>
      </c>
      <c r="C69">
        <v>0</v>
      </c>
      <c r="D69">
        <v>0</v>
      </c>
      <c r="E69">
        <v>0</v>
      </c>
      <c r="F69">
        <v>0</v>
      </c>
      <c r="G69">
        <v>0</v>
      </c>
      <c r="H69">
        <v>0</v>
      </c>
    </row>
    <row r="70" spans="1:8">
      <c r="A70" t="s">
        <v>458</v>
      </c>
      <c r="B70">
        <v>0</v>
      </c>
      <c r="C70">
        <v>41294</v>
      </c>
      <c r="D70">
        <v>0</v>
      </c>
      <c r="E70">
        <v>387148</v>
      </c>
      <c r="F70">
        <v>55606</v>
      </c>
      <c r="G70" s="135">
        <v>19430</v>
      </c>
      <c r="H70" s="135">
        <v>121101</v>
      </c>
    </row>
    <row r="71" spans="1:8">
      <c r="A71" t="s">
        <v>1167</v>
      </c>
      <c r="B71">
        <v>0</v>
      </c>
      <c r="C71">
        <v>0</v>
      </c>
      <c r="D71">
        <v>0</v>
      </c>
      <c r="E71">
        <v>0</v>
      </c>
      <c r="F71">
        <v>0</v>
      </c>
      <c r="G71">
        <v>0</v>
      </c>
      <c r="H71">
        <v>0</v>
      </c>
    </row>
    <row r="72" spans="1:8">
      <c r="A72" t="s">
        <v>459</v>
      </c>
      <c r="B72">
        <v>0</v>
      </c>
      <c r="C72">
        <v>41294</v>
      </c>
      <c r="D72">
        <v>0</v>
      </c>
      <c r="E72">
        <v>387148</v>
      </c>
      <c r="F72">
        <v>55606</v>
      </c>
      <c r="G72">
        <v>19430</v>
      </c>
      <c r="H72">
        <v>121101</v>
      </c>
    </row>
    <row r="73" spans="1:8">
      <c r="A73" t="s">
        <v>1167</v>
      </c>
      <c r="B73">
        <v>0</v>
      </c>
      <c r="C73">
        <v>0</v>
      </c>
      <c r="D73">
        <v>0</v>
      </c>
      <c r="E73">
        <v>0</v>
      </c>
      <c r="F73">
        <v>0</v>
      </c>
      <c r="G73">
        <v>0</v>
      </c>
      <c r="H73">
        <v>0</v>
      </c>
    </row>
    <row r="74" spans="1:8">
      <c r="A74" t="s">
        <v>460</v>
      </c>
      <c r="B74">
        <v>0</v>
      </c>
      <c r="C74">
        <v>64003</v>
      </c>
      <c r="D74">
        <v>0</v>
      </c>
      <c r="E74">
        <v>387148</v>
      </c>
      <c r="F74">
        <v>57879</v>
      </c>
      <c r="G74">
        <v>34898</v>
      </c>
      <c r="H74">
        <v>632261</v>
      </c>
    </row>
  </sheetData>
  <phoneticPr fontId="0" type="noConversion"/>
  <pageMargins left="0.75" right="0.75" top="1" bottom="1" header="0.5" footer="0.5"/>
  <pageSetup orientation="portrait" r:id="rId1"/>
  <headerFooter alignWithMargins="0"/>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ransitionEvaluation="1" codeName="Sheet45"/>
  <dimension ref="A4:AB129"/>
  <sheetViews>
    <sheetView topLeftCell="A4" zoomScale="75" zoomScaleNormal="75" workbookViewId="0">
      <pane xSplit="2" ySplit="8" topLeftCell="C12" activePane="bottomRight" state="frozen"/>
      <selection activeCell="B7" sqref="B7"/>
      <selection pane="topRight" activeCell="B7" sqref="B7"/>
      <selection pane="bottomLeft" activeCell="B7" sqref="B7"/>
      <selection pane="bottomRight" activeCell="B7" sqref="B7"/>
    </sheetView>
  </sheetViews>
  <sheetFormatPr defaultColWidth="9.7109375" defaultRowHeight="12.75"/>
  <cols>
    <col min="1" max="1" width="2.5703125" customWidth="1"/>
    <col min="2" max="23" width="9.7109375" customWidth="1"/>
    <col min="24" max="24" width="8.140625" customWidth="1"/>
    <col min="25" max="25" width="7.7109375" customWidth="1"/>
    <col min="26" max="26" width="10" bestFit="1" customWidth="1"/>
    <col min="28" max="28" width="10" bestFit="1" customWidth="1"/>
  </cols>
  <sheetData>
    <row r="4" spans="1:25" ht="15.75">
      <c r="C4" s="13" t="s">
        <v>1358</v>
      </c>
      <c r="D4" s="20"/>
      <c r="E4" s="20"/>
      <c r="F4" s="13" t="s">
        <v>604</v>
      </c>
      <c r="G4" s="20"/>
      <c r="H4" s="20"/>
      <c r="I4" s="25" t="s">
        <v>1298</v>
      </c>
      <c r="J4" s="13"/>
      <c r="K4" s="13"/>
      <c r="L4" s="13" t="s">
        <v>16</v>
      </c>
      <c r="M4" s="20"/>
      <c r="N4" s="20"/>
      <c r="O4" s="13" t="s">
        <v>1655</v>
      </c>
      <c r="P4" s="20"/>
      <c r="Q4" s="20"/>
      <c r="R4" s="13" t="s">
        <v>2595</v>
      </c>
      <c r="S4" s="20"/>
      <c r="T4" s="20"/>
      <c r="U4" s="13" t="s">
        <v>307</v>
      </c>
      <c r="V4" s="20"/>
      <c r="W4" s="20"/>
      <c r="Y4" s="20"/>
    </row>
    <row r="5" spans="1:25" ht="15.75">
      <c r="C5" s="13" t="s">
        <v>310</v>
      </c>
      <c r="D5" s="20"/>
      <c r="E5" s="20"/>
      <c r="F5" s="13" t="s">
        <v>1283</v>
      </c>
      <c r="G5" s="20"/>
      <c r="H5" s="20"/>
      <c r="I5" s="13" t="s">
        <v>62</v>
      </c>
      <c r="J5" s="20"/>
      <c r="K5" s="20"/>
      <c r="L5" s="13" t="s">
        <v>63</v>
      </c>
      <c r="M5" s="20"/>
      <c r="N5" s="20"/>
      <c r="O5" s="13" t="s">
        <v>1656</v>
      </c>
      <c r="P5" s="20"/>
      <c r="Q5" s="20"/>
      <c r="R5" s="13" t="s">
        <v>577</v>
      </c>
      <c r="S5" s="20"/>
      <c r="T5" s="20"/>
      <c r="U5" s="13" t="s">
        <v>64</v>
      </c>
      <c r="V5" s="20"/>
      <c r="W5" s="20"/>
      <c r="Y5" s="20"/>
    </row>
    <row r="6" spans="1:25" ht="15.75">
      <c r="C6" s="13" t="s">
        <v>65</v>
      </c>
      <c r="D6" s="20"/>
      <c r="E6" s="20"/>
      <c r="F6" s="13" t="s">
        <v>65</v>
      </c>
      <c r="G6" s="20"/>
      <c r="H6" s="20"/>
      <c r="I6" s="13" t="s">
        <v>65</v>
      </c>
      <c r="J6" s="20"/>
      <c r="K6" s="20"/>
      <c r="L6" s="13" t="s">
        <v>222</v>
      </c>
      <c r="M6" s="20"/>
      <c r="N6" s="20"/>
      <c r="O6" s="13" t="s">
        <v>1742</v>
      </c>
      <c r="P6" s="20"/>
      <c r="Q6" s="20"/>
      <c r="R6" s="13" t="s">
        <v>65</v>
      </c>
      <c r="S6" s="20"/>
      <c r="T6" s="20"/>
      <c r="U6" s="13" t="s">
        <v>856</v>
      </c>
      <c r="V6" s="20"/>
      <c r="W6" s="20"/>
      <c r="Y6" s="20"/>
    </row>
    <row r="7" spans="1:25" ht="15.75">
      <c r="C7" s="67">
        <v>500</v>
      </c>
      <c r="D7" s="20"/>
      <c r="E7" s="20"/>
      <c r="F7" s="67">
        <v>501</v>
      </c>
      <c r="G7" s="20"/>
      <c r="H7" s="20"/>
      <c r="I7" s="67">
        <v>502</v>
      </c>
      <c r="J7" s="20"/>
      <c r="K7" s="20"/>
      <c r="L7" s="67">
        <v>503</v>
      </c>
      <c r="M7" s="20"/>
      <c r="N7" s="20"/>
      <c r="O7" s="67">
        <v>504</v>
      </c>
      <c r="P7" s="20"/>
      <c r="Q7" s="20"/>
      <c r="R7" s="67">
        <v>505</v>
      </c>
      <c r="S7" s="20"/>
      <c r="T7" s="20"/>
      <c r="U7" s="67" t="s">
        <v>2738</v>
      </c>
      <c r="V7" s="20"/>
      <c r="W7" s="20"/>
      <c r="Y7" s="20"/>
    </row>
    <row r="8" spans="1:25" ht="15.75">
      <c r="C8" s="25"/>
      <c r="D8" s="25"/>
      <c r="E8" s="25"/>
      <c r="F8" s="25"/>
      <c r="G8" s="25"/>
      <c r="H8" s="25"/>
      <c r="I8" s="25"/>
      <c r="J8" s="25"/>
      <c r="K8" s="25"/>
      <c r="L8" s="25"/>
      <c r="M8" s="25"/>
      <c r="N8" s="25"/>
      <c r="O8" s="25"/>
      <c r="P8" s="25"/>
      <c r="Q8" s="25"/>
      <c r="R8" s="25"/>
      <c r="S8" s="3"/>
    </row>
    <row r="9" spans="1:25" ht="15.75">
      <c r="C9" s="25"/>
      <c r="D9" s="3"/>
      <c r="E9" s="3"/>
      <c r="F9" s="25"/>
      <c r="G9" s="3"/>
      <c r="H9" s="3"/>
      <c r="I9" s="25"/>
      <c r="J9" s="3"/>
      <c r="K9" s="3"/>
      <c r="L9" s="25"/>
      <c r="M9" s="3"/>
      <c r="N9" s="3"/>
      <c r="O9" s="25"/>
      <c r="P9" s="3"/>
      <c r="Q9" s="3"/>
      <c r="R9" s="25"/>
      <c r="S9" s="3"/>
    </row>
    <row r="10" spans="1:25" ht="15.75">
      <c r="C10" s="3" t="s">
        <v>414</v>
      </c>
      <c r="D10" s="3" t="s">
        <v>858</v>
      </c>
      <c r="E10" s="3"/>
      <c r="F10" s="3" t="s">
        <v>414</v>
      </c>
      <c r="G10" s="3" t="s">
        <v>858</v>
      </c>
      <c r="H10" s="3"/>
      <c r="I10" s="3" t="s">
        <v>414</v>
      </c>
      <c r="J10" s="3" t="s">
        <v>858</v>
      </c>
      <c r="K10" s="3"/>
      <c r="L10" s="3" t="s">
        <v>414</v>
      </c>
      <c r="M10" s="3" t="s">
        <v>858</v>
      </c>
      <c r="N10" s="3"/>
      <c r="O10" s="3" t="s">
        <v>414</v>
      </c>
      <c r="P10" s="3" t="s">
        <v>858</v>
      </c>
      <c r="Q10" s="3"/>
      <c r="R10" s="3" t="s">
        <v>414</v>
      </c>
      <c r="S10" s="3" t="s">
        <v>858</v>
      </c>
      <c r="U10" s="3" t="s">
        <v>414</v>
      </c>
      <c r="V10" s="3" t="s">
        <v>858</v>
      </c>
    </row>
    <row r="11" spans="1:25" ht="15.75">
      <c r="C11" s="16" t="s">
        <v>435</v>
      </c>
      <c r="D11" s="16" t="s">
        <v>376</v>
      </c>
      <c r="E11" s="16"/>
      <c r="F11" s="16" t="s">
        <v>435</v>
      </c>
      <c r="G11" s="16" t="s">
        <v>376</v>
      </c>
      <c r="H11" s="16"/>
      <c r="I11" s="16" t="s">
        <v>435</v>
      </c>
      <c r="J11" s="16" t="s">
        <v>376</v>
      </c>
      <c r="K11" s="16"/>
      <c r="L11" s="16" t="s">
        <v>435</v>
      </c>
      <c r="M11" s="16" t="s">
        <v>376</v>
      </c>
      <c r="N11" s="16"/>
      <c r="O11" s="16" t="s">
        <v>435</v>
      </c>
      <c r="P11" s="16" t="s">
        <v>376</v>
      </c>
      <c r="Q11" s="16"/>
      <c r="R11" s="16" t="s">
        <v>435</v>
      </c>
      <c r="S11" s="16" t="s">
        <v>376</v>
      </c>
      <c r="U11" s="16" t="s">
        <v>435</v>
      </c>
      <c r="V11" s="16" t="s">
        <v>376</v>
      </c>
    </row>
    <row r="13" spans="1:25">
      <c r="A13" s="22"/>
      <c r="B13" s="22" t="s">
        <v>1165</v>
      </c>
      <c r="C13" s="22" t="s">
        <v>1166</v>
      </c>
      <c r="D13" s="22" t="s">
        <v>599</v>
      </c>
      <c r="E13" s="22" t="s">
        <v>600</v>
      </c>
      <c r="F13" s="22" t="s">
        <v>601</v>
      </c>
      <c r="G13" s="22" t="s">
        <v>602</v>
      </c>
      <c r="H13" s="22" t="s">
        <v>603</v>
      </c>
      <c r="I13" s="22" t="s">
        <v>172</v>
      </c>
      <c r="J13" s="22" t="s">
        <v>173</v>
      </c>
      <c r="K13" s="28" t="s">
        <v>174</v>
      </c>
      <c r="L13" s="22" t="s">
        <v>175</v>
      </c>
      <c r="M13" s="22" t="s">
        <v>176</v>
      </c>
      <c r="N13" s="22" t="s">
        <v>177</v>
      </c>
      <c r="O13" s="22" t="s">
        <v>944</v>
      </c>
      <c r="P13" s="22" t="s">
        <v>945</v>
      </c>
      <c r="Q13" s="22" t="s">
        <v>946</v>
      </c>
      <c r="R13" s="22" t="s">
        <v>1312</v>
      </c>
      <c r="S13" s="22" t="s">
        <v>1313</v>
      </c>
      <c r="T13" s="22" t="s">
        <v>1314</v>
      </c>
      <c r="U13" s="22" t="s">
        <v>1315</v>
      </c>
      <c r="V13" s="22" t="s">
        <v>1316</v>
      </c>
      <c r="W13" s="22" t="s">
        <v>1317</v>
      </c>
    </row>
    <row r="14" spans="1:25" ht="15.75">
      <c r="B14" t="s">
        <v>784</v>
      </c>
      <c r="C14">
        <v>0</v>
      </c>
      <c r="D14">
        <v>0</v>
      </c>
      <c r="E14">
        <v>0</v>
      </c>
      <c r="F14" s="22">
        <v>0</v>
      </c>
      <c r="G14" s="22">
        <v>0</v>
      </c>
      <c r="H14" s="22">
        <v>0</v>
      </c>
      <c r="I14" s="22">
        <v>0</v>
      </c>
      <c r="J14" s="22">
        <v>0</v>
      </c>
      <c r="K14" s="3">
        <v>0</v>
      </c>
      <c r="L14" s="22">
        <v>0</v>
      </c>
      <c r="M14" s="22">
        <v>0</v>
      </c>
      <c r="N14" s="22">
        <v>0</v>
      </c>
      <c r="O14" s="22">
        <v>0</v>
      </c>
      <c r="P14" s="22">
        <v>0</v>
      </c>
      <c r="Q14" s="22">
        <v>0</v>
      </c>
      <c r="R14">
        <v>0</v>
      </c>
      <c r="S14">
        <v>0</v>
      </c>
      <c r="T14">
        <v>0</v>
      </c>
      <c r="U14">
        <v>0</v>
      </c>
      <c r="V14">
        <v>0</v>
      </c>
      <c r="W14">
        <v>0</v>
      </c>
    </row>
    <row r="15" spans="1:25" ht="15.75">
      <c r="B15" t="s">
        <v>810</v>
      </c>
      <c r="C15">
        <v>0</v>
      </c>
      <c r="D15">
        <v>0</v>
      </c>
      <c r="E15">
        <v>0</v>
      </c>
      <c r="F15">
        <v>0</v>
      </c>
      <c r="G15">
        <v>0</v>
      </c>
      <c r="H15">
        <v>0</v>
      </c>
      <c r="I15">
        <v>0</v>
      </c>
      <c r="J15">
        <v>0</v>
      </c>
      <c r="K15" s="3">
        <v>0</v>
      </c>
      <c r="L15">
        <v>0</v>
      </c>
      <c r="M15">
        <v>0</v>
      </c>
      <c r="N15">
        <v>0</v>
      </c>
      <c r="O15">
        <v>0</v>
      </c>
      <c r="P15">
        <v>0</v>
      </c>
      <c r="Q15">
        <v>0</v>
      </c>
      <c r="R15">
        <v>0</v>
      </c>
      <c r="S15">
        <v>0</v>
      </c>
      <c r="T15">
        <v>0</v>
      </c>
      <c r="U15">
        <v>0</v>
      </c>
      <c r="V15">
        <v>0</v>
      </c>
      <c r="W15">
        <v>0</v>
      </c>
    </row>
    <row r="16" spans="1:25" ht="15.75">
      <c r="B16" t="s">
        <v>596</v>
      </c>
      <c r="C16">
        <v>0</v>
      </c>
      <c r="D16">
        <v>0</v>
      </c>
      <c r="E16">
        <v>0</v>
      </c>
      <c r="F16">
        <v>0</v>
      </c>
      <c r="G16">
        <v>0</v>
      </c>
      <c r="H16">
        <v>0</v>
      </c>
      <c r="I16">
        <v>0</v>
      </c>
      <c r="J16">
        <v>0</v>
      </c>
      <c r="K16" s="3">
        <v>0</v>
      </c>
      <c r="L16">
        <v>0</v>
      </c>
      <c r="M16">
        <v>0</v>
      </c>
      <c r="N16">
        <v>0</v>
      </c>
      <c r="O16">
        <v>0</v>
      </c>
      <c r="P16">
        <v>0</v>
      </c>
      <c r="Q16">
        <v>0</v>
      </c>
      <c r="R16">
        <v>0</v>
      </c>
      <c r="S16">
        <v>0</v>
      </c>
      <c r="T16">
        <v>0</v>
      </c>
      <c r="U16">
        <v>0</v>
      </c>
      <c r="V16">
        <v>0</v>
      </c>
      <c r="W16">
        <v>0</v>
      </c>
    </row>
    <row r="17" spans="2:28" ht="15.75">
      <c r="B17" t="s">
        <v>1151</v>
      </c>
      <c r="C17">
        <v>0</v>
      </c>
      <c r="D17">
        <v>0</v>
      </c>
      <c r="E17">
        <v>0</v>
      </c>
      <c r="F17">
        <v>0</v>
      </c>
      <c r="G17">
        <v>0</v>
      </c>
      <c r="H17">
        <v>0</v>
      </c>
      <c r="I17">
        <v>0</v>
      </c>
      <c r="J17">
        <v>0</v>
      </c>
      <c r="K17" s="3">
        <v>0</v>
      </c>
      <c r="L17">
        <v>0</v>
      </c>
      <c r="M17">
        <v>0</v>
      </c>
      <c r="N17">
        <v>0</v>
      </c>
      <c r="O17">
        <v>0</v>
      </c>
      <c r="P17">
        <v>0</v>
      </c>
      <c r="Q17">
        <v>0</v>
      </c>
      <c r="R17">
        <v>0</v>
      </c>
      <c r="S17">
        <v>0</v>
      </c>
      <c r="T17">
        <v>0</v>
      </c>
      <c r="U17">
        <v>0</v>
      </c>
      <c r="V17">
        <v>0</v>
      </c>
      <c r="W17">
        <v>0</v>
      </c>
    </row>
    <row r="18" spans="2:28" ht="15.75">
      <c r="B18" t="s">
        <v>1152</v>
      </c>
      <c r="C18">
        <v>0</v>
      </c>
      <c r="D18">
        <v>0</v>
      </c>
      <c r="E18">
        <v>0</v>
      </c>
      <c r="F18">
        <v>927183</v>
      </c>
      <c r="G18" s="158">
        <v>946730</v>
      </c>
      <c r="H18">
        <v>0</v>
      </c>
      <c r="I18">
        <v>0</v>
      </c>
      <c r="J18">
        <v>0</v>
      </c>
      <c r="K18" s="3">
        <v>0</v>
      </c>
      <c r="L18">
        <v>0</v>
      </c>
      <c r="M18">
        <v>0</v>
      </c>
      <c r="N18">
        <v>0</v>
      </c>
      <c r="O18">
        <v>100000</v>
      </c>
      <c r="P18" s="158">
        <v>91757</v>
      </c>
      <c r="Q18">
        <v>0</v>
      </c>
      <c r="R18" s="158">
        <v>636600</v>
      </c>
      <c r="S18">
        <v>643929</v>
      </c>
      <c r="T18">
        <v>0</v>
      </c>
      <c r="U18">
        <v>96347</v>
      </c>
      <c r="V18" s="158">
        <v>128783</v>
      </c>
      <c r="W18">
        <v>0</v>
      </c>
      <c r="Z18">
        <f>+D18+G18+J18+M18++P18+S18+V18</f>
        <v>1811199</v>
      </c>
      <c r="AB18">
        <f>+D18+G18+J18+M18+S18+V18+Table_Query_from_HTEDA23_19[[#This Row],[ERC015]]</f>
        <v>1811199</v>
      </c>
    </row>
    <row r="19" spans="2:28" ht="15.75">
      <c r="B19" t="s">
        <v>1153</v>
      </c>
      <c r="C19">
        <v>0</v>
      </c>
      <c r="D19">
        <v>0</v>
      </c>
      <c r="E19">
        <v>0</v>
      </c>
      <c r="F19">
        <v>0</v>
      </c>
      <c r="G19">
        <v>0</v>
      </c>
      <c r="H19">
        <v>0</v>
      </c>
      <c r="I19">
        <v>0</v>
      </c>
      <c r="J19">
        <v>0</v>
      </c>
      <c r="K19" s="3">
        <v>0</v>
      </c>
      <c r="L19">
        <v>0</v>
      </c>
      <c r="M19">
        <v>0</v>
      </c>
      <c r="N19">
        <v>0</v>
      </c>
      <c r="O19">
        <v>0</v>
      </c>
      <c r="P19">
        <v>0</v>
      </c>
      <c r="Q19">
        <v>0</v>
      </c>
      <c r="R19">
        <v>0</v>
      </c>
      <c r="S19">
        <v>0</v>
      </c>
      <c r="T19">
        <v>0</v>
      </c>
      <c r="U19">
        <v>0</v>
      </c>
      <c r="V19">
        <v>0</v>
      </c>
      <c r="W19">
        <v>0</v>
      </c>
      <c r="Z19">
        <f t="shared" ref="Z19:Z82" si="0">+D19+G19+J19+M19++P19+S19+V19</f>
        <v>0</v>
      </c>
      <c r="AB19">
        <f>+D19+G19+J19+M19+S19+V19+Table_Query_from_HTEDA23_19[[#This Row],[ERC015]]</f>
        <v>0</v>
      </c>
    </row>
    <row r="20" spans="2:28" ht="15.75">
      <c r="B20" t="s">
        <v>1287</v>
      </c>
      <c r="C20">
        <v>0</v>
      </c>
      <c r="D20">
        <v>0</v>
      </c>
      <c r="E20">
        <v>0</v>
      </c>
      <c r="F20">
        <v>0</v>
      </c>
      <c r="G20">
        <v>0</v>
      </c>
      <c r="H20">
        <v>0</v>
      </c>
      <c r="I20">
        <v>0</v>
      </c>
      <c r="J20">
        <v>0</v>
      </c>
      <c r="K20" s="3">
        <v>0</v>
      </c>
      <c r="L20">
        <v>0</v>
      </c>
      <c r="M20">
        <v>0</v>
      </c>
      <c r="N20">
        <v>0</v>
      </c>
      <c r="O20">
        <v>0</v>
      </c>
      <c r="P20">
        <v>0</v>
      </c>
      <c r="Q20">
        <v>0</v>
      </c>
      <c r="R20">
        <v>0</v>
      </c>
      <c r="S20">
        <v>0</v>
      </c>
      <c r="T20">
        <v>0</v>
      </c>
      <c r="U20">
        <v>0</v>
      </c>
      <c r="V20">
        <v>0</v>
      </c>
      <c r="W20">
        <v>0</v>
      </c>
      <c r="Z20">
        <f t="shared" si="0"/>
        <v>0</v>
      </c>
      <c r="AB20">
        <f>+D20+G20+J20+M20+S20+V20+Table_Query_from_HTEDA23_19[[#This Row],[ERC015]]</f>
        <v>0</v>
      </c>
    </row>
    <row r="21" spans="2:28" ht="15.75">
      <c r="B21" t="s">
        <v>165</v>
      </c>
      <c r="C21">
        <v>0</v>
      </c>
      <c r="D21">
        <v>0</v>
      </c>
      <c r="E21">
        <v>0</v>
      </c>
      <c r="F21">
        <v>0</v>
      </c>
      <c r="G21">
        <v>0</v>
      </c>
      <c r="H21">
        <v>0</v>
      </c>
      <c r="I21">
        <v>0</v>
      </c>
      <c r="J21">
        <v>0</v>
      </c>
      <c r="K21" s="3">
        <v>0</v>
      </c>
      <c r="L21">
        <v>0</v>
      </c>
      <c r="M21">
        <v>0</v>
      </c>
      <c r="N21">
        <v>0</v>
      </c>
      <c r="O21">
        <v>0</v>
      </c>
      <c r="P21">
        <v>0</v>
      </c>
      <c r="Q21">
        <v>0</v>
      </c>
      <c r="R21">
        <v>0</v>
      </c>
      <c r="S21">
        <v>0</v>
      </c>
      <c r="T21">
        <v>0</v>
      </c>
      <c r="U21">
        <v>0</v>
      </c>
      <c r="V21">
        <v>0</v>
      </c>
      <c r="W21">
        <v>0</v>
      </c>
      <c r="Z21">
        <f t="shared" si="0"/>
        <v>0</v>
      </c>
      <c r="AB21">
        <f>+D21+G21+J21+M21+S21+V21+Table_Query_from_HTEDA23_19[[#This Row],[ERC015]]</f>
        <v>0</v>
      </c>
    </row>
    <row r="22" spans="2:28" ht="15.75">
      <c r="B22" t="s">
        <v>166</v>
      </c>
      <c r="C22">
        <v>0</v>
      </c>
      <c r="D22">
        <v>0</v>
      </c>
      <c r="E22">
        <v>0</v>
      </c>
      <c r="F22">
        <v>0</v>
      </c>
      <c r="G22">
        <v>0</v>
      </c>
      <c r="H22">
        <v>0</v>
      </c>
      <c r="I22">
        <v>0</v>
      </c>
      <c r="J22">
        <v>0</v>
      </c>
      <c r="K22" s="3">
        <v>0</v>
      </c>
      <c r="L22">
        <v>0</v>
      </c>
      <c r="M22">
        <v>0</v>
      </c>
      <c r="N22">
        <v>0</v>
      </c>
      <c r="O22">
        <v>0</v>
      </c>
      <c r="P22">
        <v>0</v>
      </c>
      <c r="Q22">
        <v>0</v>
      </c>
      <c r="R22">
        <v>0</v>
      </c>
      <c r="S22">
        <v>0</v>
      </c>
      <c r="T22">
        <v>0</v>
      </c>
      <c r="U22">
        <v>0</v>
      </c>
      <c r="V22">
        <v>0</v>
      </c>
      <c r="W22">
        <v>0</v>
      </c>
      <c r="Z22">
        <f t="shared" si="0"/>
        <v>0</v>
      </c>
      <c r="AB22">
        <f>+D22+G22+J22+M22+S22+V22+Table_Query_from_HTEDA23_19[[#This Row],[ERC015]]</f>
        <v>0</v>
      </c>
    </row>
    <row r="23" spans="2:28" ht="15.75">
      <c r="B23" t="s">
        <v>1023</v>
      </c>
      <c r="C23">
        <v>0</v>
      </c>
      <c r="D23">
        <v>0</v>
      </c>
      <c r="E23">
        <v>0</v>
      </c>
      <c r="F23">
        <v>0</v>
      </c>
      <c r="G23">
        <v>0</v>
      </c>
      <c r="H23">
        <v>0</v>
      </c>
      <c r="I23">
        <v>0</v>
      </c>
      <c r="J23">
        <v>0</v>
      </c>
      <c r="K23" s="3">
        <v>0</v>
      </c>
      <c r="L23">
        <v>0</v>
      </c>
      <c r="M23">
        <v>0</v>
      </c>
      <c r="N23">
        <v>0</v>
      </c>
      <c r="O23">
        <v>0</v>
      </c>
      <c r="P23">
        <v>0</v>
      </c>
      <c r="Q23">
        <v>0</v>
      </c>
      <c r="R23">
        <v>0</v>
      </c>
      <c r="S23">
        <v>0</v>
      </c>
      <c r="T23">
        <v>0</v>
      </c>
      <c r="U23">
        <v>0</v>
      </c>
      <c r="V23">
        <v>0</v>
      </c>
      <c r="W23">
        <v>0</v>
      </c>
      <c r="Z23">
        <f t="shared" si="0"/>
        <v>0</v>
      </c>
      <c r="AB23">
        <f>+D23+G23+J23+M23+S23+V23+Table_Query_from_HTEDA23_19[[#This Row],[ERC015]]</f>
        <v>0</v>
      </c>
    </row>
    <row r="24" spans="2:28" ht="15.75">
      <c r="B24" t="s">
        <v>1024</v>
      </c>
      <c r="C24">
        <v>0</v>
      </c>
      <c r="D24">
        <v>0</v>
      </c>
      <c r="E24">
        <v>0</v>
      </c>
      <c r="F24">
        <v>0</v>
      </c>
      <c r="G24">
        <v>0</v>
      </c>
      <c r="H24">
        <v>0</v>
      </c>
      <c r="I24">
        <v>0</v>
      </c>
      <c r="J24">
        <v>0</v>
      </c>
      <c r="K24" s="3">
        <v>0</v>
      </c>
      <c r="L24">
        <v>0</v>
      </c>
      <c r="M24">
        <v>0</v>
      </c>
      <c r="N24">
        <v>0</v>
      </c>
      <c r="O24">
        <v>0</v>
      </c>
      <c r="P24">
        <v>0</v>
      </c>
      <c r="Q24">
        <v>0</v>
      </c>
      <c r="R24">
        <v>0</v>
      </c>
      <c r="S24">
        <v>0</v>
      </c>
      <c r="T24">
        <v>0</v>
      </c>
      <c r="U24">
        <v>0</v>
      </c>
      <c r="V24">
        <v>0</v>
      </c>
      <c r="W24">
        <v>0</v>
      </c>
      <c r="Z24">
        <f t="shared" si="0"/>
        <v>0</v>
      </c>
      <c r="AB24">
        <f>+D24+G24+J24+M24+S24+V24+Table_Query_from_HTEDA23_19[[#This Row],[ERC015]]</f>
        <v>0</v>
      </c>
    </row>
    <row r="25" spans="2:28" ht="15.75">
      <c r="B25" t="s">
        <v>1208</v>
      </c>
      <c r="C25">
        <v>0</v>
      </c>
      <c r="D25">
        <v>0</v>
      </c>
      <c r="E25">
        <v>0</v>
      </c>
      <c r="F25">
        <v>0</v>
      </c>
      <c r="G25">
        <v>0</v>
      </c>
      <c r="H25">
        <v>0</v>
      </c>
      <c r="I25">
        <v>0</v>
      </c>
      <c r="J25">
        <v>0</v>
      </c>
      <c r="K25" s="3">
        <v>0</v>
      </c>
      <c r="L25">
        <v>0</v>
      </c>
      <c r="M25">
        <v>0</v>
      </c>
      <c r="N25">
        <v>0</v>
      </c>
      <c r="O25">
        <v>0</v>
      </c>
      <c r="P25">
        <v>0</v>
      </c>
      <c r="Q25">
        <v>0</v>
      </c>
      <c r="R25">
        <v>0</v>
      </c>
      <c r="S25">
        <v>0</v>
      </c>
      <c r="T25">
        <v>0</v>
      </c>
      <c r="U25">
        <v>0</v>
      </c>
      <c r="V25">
        <v>0</v>
      </c>
      <c r="W25">
        <v>0</v>
      </c>
      <c r="Z25">
        <f t="shared" si="0"/>
        <v>0</v>
      </c>
      <c r="AB25">
        <f>+D25+G25+J25+M25+S25+V25+Table_Query_from_HTEDA23_19[[#This Row],[ERC015]]</f>
        <v>0</v>
      </c>
    </row>
    <row r="26" spans="2:28" ht="15.75">
      <c r="B26" t="s">
        <v>573</v>
      </c>
      <c r="C26">
        <v>0</v>
      </c>
      <c r="D26">
        <v>0</v>
      </c>
      <c r="E26">
        <v>0</v>
      </c>
      <c r="F26">
        <v>0</v>
      </c>
      <c r="G26">
        <v>0</v>
      </c>
      <c r="H26">
        <v>0</v>
      </c>
      <c r="I26">
        <v>0</v>
      </c>
      <c r="J26">
        <v>0</v>
      </c>
      <c r="K26" s="3">
        <v>0</v>
      </c>
      <c r="L26">
        <v>0</v>
      </c>
      <c r="M26">
        <v>0</v>
      </c>
      <c r="N26">
        <v>0</v>
      </c>
      <c r="O26">
        <v>0</v>
      </c>
      <c r="P26">
        <v>0</v>
      </c>
      <c r="Q26">
        <v>0</v>
      </c>
      <c r="R26">
        <v>0</v>
      </c>
      <c r="S26">
        <v>0</v>
      </c>
      <c r="T26">
        <v>0</v>
      </c>
      <c r="U26">
        <v>0</v>
      </c>
      <c r="V26">
        <v>0</v>
      </c>
      <c r="W26">
        <v>0</v>
      </c>
      <c r="Z26">
        <f t="shared" si="0"/>
        <v>0</v>
      </c>
      <c r="AB26">
        <f>+D26+G26+J26+M26+S26+V26+Table_Query_from_HTEDA23_19[[#This Row],[ERC015]]</f>
        <v>0</v>
      </c>
    </row>
    <row r="27" spans="2:28" ht="15.75">
      <c r="B27" t="s">
        <v>574</v>
      </c>
      <c r="C27">
        <v>0</v>
      </c>
      <c r="D27">
        <v>0</v>
      </c>
      <c r="E27">
        <v>0</v>
      </c>
      <c r="F27">
        <v>0</v>
      </c>
      <c r="G27">
        <v>0</v>
      </c>
      <c r="H27">
        <v>0</v>
      </c>
      <c r="I27">
        <v>0</v>
      </c>
      <c r="J27">
        <v>0</v>
      </c>
      <c r="K27" s="3">
        <v>0</v>
      </c>
      <c r="L27">
        <v>0</v>
      </c>
      <c r="M27">
        <v>0</v>
      </c>
      <c r="N27">
        <v>0</v>
      </c>
      <c r="O27">
        <v>0</v>
      </c>
      <c r="P27">
        <v>0</v>
      </c>
      <c r="Q27">
        <v>0</v>
      </c>
      <c r="R27">
        <v>0</v>
      </c>
      <c r="S27">
        <v>0</v>
      </c>
      <c r="T27">
        <v>0</v>
      </c>
      <c r="U27">
        <v>0</v>
      </c>
      <c r="V27">
        <v>0</v>
      </c>
      <c r="W27">
        <v>0</v>
      </c>
      <c r="Z27">
        <f t="shared" si="0"/>
        <v>0</v>
      </c>
      <c r="AB27">
        <f>+D27+G27+J27+M27+S27+V27+Table_Query_from_HTEDA23_19[[#This Row],[ERC015]]</f>
        <v>0</v>
      </c>
    </row>
    <row r="28" spans="2:28" ht="15.75">
      <c r="B28" t="s">
        <v>575</v>
      </c>
      <c r="C28">
        <v>0</v>
      </c>
      <c r="D28">
        <v>0</v>
      </c>
      <c r="E28">
        <v>0</v>
      </c>
      <c r="F28">
        <v>0</v>
      </c>
      <c r="G28">
        <v>0</v>
      </c>
      <c r="H28">
        <v>0</v>
      </c>
      <c r="I28">
        <v>0</v>
      </c>
      <c r="J28">
        <v>0</v>
      </c>
      <c r="K28" s="3">
        <v>0</v>
      </c>
      <c r="L28">
        <v>0</v>
      </c>
      <c r="M28">
        <v>0</v>
      </c>
      <c r="N28">
        <v>0</v>
      </c>
      <c r="O28">
        <v>0</v>
      </c>
      <c r="P28">
        <v>0</v>
      </c>
      <c r="Q28">
        <v>0</v>
      </c>
      <c r="R28">
        <v>0</v>
      </c>
      <c r="S28">
        <v>0</v>
      </c>
      <c r="T28">
        <v>0</v>
      </c>
      <c r="U28">
        <v>0</v>
      </c>
      <c r="V28">
        <v>0</v>
      </c>
      <c r="W28">
        <v>0</v>
      </c>
      <c r="Z28">
        <f t="shared" si="0"/>
        <v>0</v>
      </c>
      <c r="AB28">
        <f>+D28+G28+J28+M28+S28+V28+Table_Query_from_HTEDA23_19[[#This Row],[ERC015]]</f>
        <v>0</v>
      </c>
    </row>
    <row r="29" spans="2:28" ht="15.75">
      <c r="B29" t="s">
        <v>1113</v>
      </c>
      <c r="C29">
        <v>0</v>
      </c>
      <c r="D29">
        <v>0</v>
      </c>
      <c r="E29">
        <v>0</v>
      </c>
      <c r="F29">
        <v>0</v>
      </c>
      <c r="G29">
        <v>0</v>
      </c>
      <c r="H29">
        <v>0</v>
      </c>
      <c r="I29">
        <v>0</v>
      </c>
      <c r="J29">
        <v>0</v>
      </c>
      <c r="K29" s="3">
        <v>0</v>
      </c>
      <c r="L29">
        <v>0</v>
      </c>
      <c r="M29">
        <v>0</v>
      </c>
      <c r="N29">
        <v>0</v>
      </c>
      <c r="O29">
        <v>0</v>
      </c>
      <c r="P29">
        <v>0</v>
      </c>
      <c r="Q29">
        <v>0</v>
      </c>
      <c r="R29">
        <v>0</v>
      </c>
      <c r="S29">
        <v>0</v>
      </c>
      <c r="T29">
        <v>0</v>
      </c>
      <c r="U29">
        <v>0</v>
      </c>
      <c r="V29">
        <v>0</v>
      </c>
      <c r="W29">
        <v>0</v>
      </c>
      <c r="Z29">
        <f t="shared" si="0"/>
        <v>0</v>
      </c>
      <c r="AB29">
        <f>+D29+G29+J29+M29+S29+V29+Table_Query_from_HTEDA23_19[[#This Row],[ERC015]]</f>
        <v>0</v>
      </c>
    </row>
    <row r="30" spans="2:28" ht="15.75">
      <c r="B30" t="s">
        <v>1114</v>
      </c>
      <c r="C30">
        <v>0</v>
      </c>
      <c r="D30">
        <v>0</v>
      </c>
      <c r="E30">
        <v>0</v>
      </c>
      <c r="F30">
        <v>0</v>
      </c>
      <c r="G30">
        <v>0</v>
      </c>
      <c r="H30">
        <v>0</v>
      </c>
      <c r="I30">
        <v>0</v>
      </c>
      <c r="J30">
        <v>0</v>
      </c>
      <c r="K30" s="3">
        <v>0</v>
      </c>
      <c r="L30">
        <v>0</v>
      </c>
      <c r="M30">
        <v>0</v>
      </c>
      <c r="N30">
        <v>0</v>
      </c>
      <c r="O30">
        <v>0</v>
      </c>
      <c r="P30">
        <v>0</v>
      </c>
      <c r="Q30">
        <v>0</v>
      </c>
      <c r="R30">
        <v>0</v>
      </c>
      <c r="S30">
        <v>0</v>
      </c>
      <c r="T30">
        <v>0</v>
      </c>
      <c r="U30">
        <v>0</v>
      </c>
      <c r="V30">
        <v>0</v>
      </c>
      <c r="W30">
        <v>0</v>
      </c>
      <c r="Z30">
        <f t="shared" si="0"/>
        <v>0</v>
      </c>
      <c r="AB30">
        <f>+D30+G30+J30+M30+S30+V30+Table_Query_from_HTEDA23_19[[#This Row],[ERC015]]</f>
        <v>0</v>
      </c>
    </row>
    <row r="31" spans="2:28" ht="15.75">
      <c r="B31" t="s">
        <v>1115</v>
      </c>
      <c r="C31">
        <v>0</v>
      </c>
      <c r="D31">
        <v>0</v>
      </c>
      <c r="E31">
        <v>0</v>
      </c>
      <c r="F31">
        <v>0</v>
      </c>
      <c r="G31">
        <v>0</v>
      </c>
      <c r="H31">
        <v>0</v>
      </c>
      <c r="I31">
        <v>0</v>
      </c>
      <c r="J31">
        <v>0</v>
      </c>
      <c r="K31" s="3">
        <v>0</v>
      </c>
      <c r="L31">
        <v>0</v>
      </c>
      <c r="M31">
        <v>0</v>
      </c>
      <c r="N31">
        <v>0</v>
      </c>
      <c r="O31">
        <v>0</v>
      </c>
      <c r="P31">
        <v>0</v>
      </c>
      <c r="Q31">
        <v>0</v>
      </c>
      <c r="R31">
        <v>0</v>
      </c>
      <c r="S31">
        <v>0</v>
      </c>
      <c r="T31">
        <v>0</v>
      </c>
      <c r="U31">
        <v>0</v>
      </c>
      <c r="V31">
        <v>0</v>
      </c>
      <c r="W31">
        <v>0</v>
      </c>
      <c r="Z31">
        <f t="shared" si="0"/>
        <v>0</v>
      </c>
      <c r="AB31">
        <f>+D31+G31+J31+M31+S31+V31+Table_Query_from_HTEDA23_19[[#This Row],[ERC015]]</f>
        <v>0</v>
      </c>
    </row>
    <row r="32" spans="2:28" ht="15.75">
      <c r="B32" t="s">
        <v>1116</v>
      </c>
      <c r="C32">
        <v>0</v>
      </c>
      <c r="D32">
        <v>0</v>
      </c>
      <c r="E32">
        <v>0</v>
      </c>
      <c r="F32">
        <v>0</v>
      </c>
      <c r="G32">
        <v>0</v>
      </c>
      <c r="H32">
        <v>0</v>
      </c>
      <c r="I32">
        <v>0</v>
      </c>
      <c r="J32">
        <v>0</v>
      </c>
      <c r="K32" s="3">
        <v>0</v>
      </c>
      <c r="L32">
        <v>0</v>
      </c>
      <c r="M32">
        <v>0</v>
      </c>
      <c r="N32">
        <v>0</v>
      </c>
      <c r="O32">
        <v>0</v>
      </c>
      <c r="P32">
        <v>0</v>
      </c>
      <c r="Q32">
        <v>0</v>
      </c>
      <c r="R32">
        <v>0</v>
      </c>
      <c r="S32">
        <v>0</v>
      </c>
      <c r="T32">
        <v>0</v>
      </c>
      <c r="U32">
        <v>0</v>
      </c>
      <c r="V32">
        <v>0</v>
      </c>
      <c r="W32">
        <v>0</v>
      </c>
      <c r="Z32">
        <f t="shared" si="0"/>
        <v>0</v>
      </c>
      <c r="AB32">
        <f>+D32+G32+J32+M32+S32+V32+Table_Query_from_HTEDA23_19[[#This Row],[ERC015]]</f>
        <v>0</v>
      </c>
    </row>
    <row r="33" spans="2:28" ht="15.75">
      <c r="B33" t="s">
        <v>1117</v>
      </c>
      <c r="C33">
        <v>0</v>
      </c>
      <c r="D33">
        <v>0</v>
      </c>
      <c r="E33">
        <v>0</v>
      </c>
      <c r="F33">
        <v>0</v>
      </c>
      <c r="G33">
        <v>0</v>
      </c>
      <c r="H33">
        <v>0</v>
      </c>
      <c r="I33">
        <v>0</v>
      </c>
      <c r="J33">
        <v>0</v>
      </c>
      <c r="K33" s="3">
        <v>0</v>
      </c>
      <c r="L33">
        <v>0</v>
      </c>
      <c r="M33">
        <v>0</v>
      </c>
      <c r="N33">
        <v>0</v>
      </c>
      <c r="O33">
        <v>0</v>
      </c>
      <c r="P33">
        <v>0</v>
      </c>
      <c r="Q33">
        <v>0</v>
      </c>
      <c r="R33">
        <v>0</v>
      </c>
      <c r="S33">
        <v>0</v>
      </c>
      <c r="T33">
        <v>0</v>
      </c>
      <c r="U33">
        <v>0</v>
      </c>
      <c r="V33">
        <v>0</v>
      </c>
      <c r="W33">
        <v>0</v>
      </c>
      <c r="Z33">
        <f t="shared" si="0"/>
        <v>0</v>
      </c>
      <c r="AB33">
        <f>+D33+G33+J33+M33+S33+V33+Table_Query_from_HTEDA23_19[[#This Row],[ERC015]]</f>
        <v>0</v>
      </c>
    </row>
    <row r="34" spans="2:28" ht="15.75">
      <c r="B34" t="s">
        <v>1118</v>
      </c>
      <c r="C34">
        <v>0</v>
      </c>
      <c r="D34">
        <v>0</v>
      </c>
      <c r="E34">
        <v>0</v>
      </c>
      <c r="F34">
        <v>0</v>
      </c>
      <c r="G34">
        <v>0</v>
      </c>
      <c r="H34">
        <v>0</v>
      </c>
      <c r="I34">
        <v>0</v>
      </c>
      <c r="J34">
        <v>0</v>
      </c>
      <c r="K34" s="3">
        <v>0</v>
      </c>
      <c r="L34">
        <v>0</v>
      </c>
      <c r="M34">
        <v>0</v>
      </c>
      <c r="N34">
        <v>0</v>
      </c>
      <c r="O34">
        <v>0</v>
      </c>
      <c r="P34">
        <v>0</v>
      </c>
      <c r="Q34">
        <v>0</v>
      </c>
      <c r="R34">
        <v>0</v>
      </c>
      <c r="S34">
        <v>0</v>
      </c>
      <c r="T34">
        <v>0</v>
      </c>
      <c r="U34">
        <v>0</v>
      </c>
      <c r="V34">
        <v>0</v>
      </c>
      <c r="W34">
        <v>0</v>
      </c>
      <c r="Z34">
        <f t="shared" si="0"/>
        <v>0</v>
      </c>
      <c r="AB34">
        <f>+D34+G34+J34+M34+S34+V34+Table_Query_from_HTEDA23_19[[#This Row],[ERC015]]</f>
        <v>0</v>
      </c>
    </row>
    <row r="35" spans="2:28" ht="15.75">
      <c r="B35" t="s">
        <v>1119</v>
      </c>
      <c r="C35">
        <v>0</v>
      </c>
      <c r="D35">
        <v>0</v>
      </c>
      <c r="E35">
        <v>0</v>
      </c>
      <c r="F35">
        <v>0</v>
      </c>
      <c r="G35">
        <v>0</v>
      </c>
      <c r="H35">
        <v>0</v>
      </c>
      <c r="I35">
        <v>0</v>
      </c>
      <c r="J35">
        <v>0</v>
      </c>
      <c r="K35" s="3">
        <v>0</v>
      </c>
      <c r="L35">
        <v>0</v>
      </c>
      <c r="M35">
        <v>0</v>
      </c>
      <c r="N35">
        <v>0</v>
      </c>
      <c r="O35">
        <v>0</v>
      </c>
      <c r="P35">
        <v>0</v>
      </c>
      <c r="Q35">
        <v>0</v>
      </c>
      <c r="R35">
        <v>0</v>
      </c>
      <c r="S35">
        <v>0</v>
      </c>
      <c r="T35">
        <v>0</v>
      </c>
      <c r="U35">
        <v>0</v>
      </c>
      <c r="V35">
        <v>0</v>
      </c>
      <c r="W35">
        <v>0</v>
      </c>
      <c r="Z35">
        <f t="shared" si="0"/>
        <v>0</v>
      </c>
      <c r="AB35">
        <f>+D35+G35+J35+M35+S35+V35+Table_Query_from_HTEDA23_19[[#This Row],[ERC015]]</f>
        <v>0</v>
      </c>
    </row>
    <row r="36" spans="2:28" ht="15.75">
      <c r="B36" t="s">
        <v>1009</v>
      </c>
      <c r="C36">
        <v>0</v>
      </c>
      <c r="D36">
        <v>0</v>
      </c>
      <c r="E36">
        <v>0</v>
      </c>
      <c r="F36">
        <v>0</v>
      </c>
      <c r="G36">
        <v>0</v>
      </c>
      <c r="H36">
        <v>0</v>
      </c>
      <c r="I36">
        <v>0</v>
      </c>
      <c r="J36">
        <v>0</v>
      </c>
      <c r="K36" s="3">
        <v>0</v>
      </c>
      <c r="L36">
        <v>0</v>
      </c>
      <c r="M36">
        <v>0</v>
      </c>
      <c r="N36">
        <v>0</v>
      </c>
      <c r="O36">
        <v>0</v>
      </c>
      <c r="P36">
        <v>0</v>
      </c>
      <c r="Q36">
        <v>0</v>
      </c>
      <c r="R36">
        <v>0</v>
      </c>
      <c r="S36">
        <v>0</v>
      </c>
      <c r="T36">
        <v>0</v>
      </c>
      <c r="U36">
        <v>0</v>
      </c>
      <c r="V36">
        <v>0</v>
      </c>
      <c r="W36">
        <v>0</v>
      </c>
      <c r="Z36">
        <f t="shared" si="0"/>
        <v>0</v>
      </c>
      <c r="AB36">
        <f>+D36+G36+J36+M36+S36+V36+Table_Query_from_HTEDA23_19[[#This Row],[ERC015]]</f>
        <v>0</v>
      </c>
    </row>
    <row r="37" spans="2:28" ht="15.75">
      <c r="B37" t="s">
        <v>1010</v>
      </c>
      <c r="C37">
        <v>0</v>
      </c>
      <c r="D37">
        <v>0</v>
      </c>
      <c r="E37">
        <v>0</v>
      </c>
      <c r="F37">
        <v>0</v>
      </c>
      <c r="G37">
        <v>0</v>
      </c>
      <c r="H37">
        <v>0</v>
      </c>
      <c r="I37">
        <v>0</v>
      </c>
      <c r="J37">
        <v>0</v>
      </c>
      <c r="K37" s="3">
        <v>0</v>
      </c>
      <c r="L37">
        <v>0</v>
      </c>
      <c r="M37">
        <v>0</v>
      </c>
      <c r="N37">
        <v>0</v>
      </c>
      <c r="O37">
        <v>0</v>
      </c>
      <c r="P37">
        <v>0</v>
      </c>
      <c r="Q37">
        <v>0</v>
      </c>
      <c r="R37">
        <v>0</v>
      </c>
      <c r="S37">
        <v>0</v>
      </c>
      <c r="T37">
        <v>0</v>
      </c>
      <c r="U37">
        <v>0</v>
      </c>
      <c r="V37">
        <v>0</v>
      </c>
      <c r="W37">
        <v>0</v>
      </c>
      <c r="Z37">
        <f t="shared" si="0"/>
        <v>0</v>
      </c>
      <c r="AB37">
        <f>+D37+G37+J37+M37+S37+V37+Table_Query_from_HTEDA23_19[[#This Row],[ERC015]]</f>
        <v>0</v>
      </c>
    </row>
    <row r="38" spans="2:28" ht="15.75">
      <c r="B38" t="s">
        <v>1143</v>
      </c>
      <c r="C38">
        <v>0</v>
      </c>
      <c r="D38">
        <v>0</v>
      </c>
      <c r="E38">
        <v>0</v>
      </c>
      <c r="F38">
        <v>0</v>
      </c>
      <c r="G38">
        <v>0</v>
      </c>
      <c r="H38">
        <v>0</v>
      </c>
      <c r="I38">
        <v>0</v>
      </c>
      <c r="J38">
        <v>0</v>
      </c>
      <c r="K38" s="3">
        <v>0</v>
      </c>
      <c r="L38">
        <v>0</v>
      </c>
      <c r="M38">
        <v>0</v>
      </c>
      <c r="N38">
        <v>0</v>
      </c>
      <c r="O38">
        <v>0</v>
      </c>
      <c r="P38">
        <v>0</v>
      </c>
      <c r="Q38">
        <v>0</v>
      </c>
      <c r="R38">
        <v>0</v>
      </c>
      <c r="S38">
        <v>0</v>
      </c>
      <c r="T38">
        <v>0</v>
      </c>
      <c r="U38">
        <v>0</v>
      </c>
      <c r="V38">
        <v>0</v>
      </c>
      <c r="W38">
        <v>0</v>
      </c>
      <c r="Z38">
        <f t="shared" si="0"/>
        <v>0</v>
      </c>
      <c r="AB38">
        <f>+D38+G38+J38+M38+S38+V38+Table_Query_from_HTEDA23_19[[#This Row],[ERC015]]</f>
        <v>0</v>
      </c>
    </row>
    <row r="39" spans="2:28" ht="15.75">
      <c r="B39" t="s">
        <v>1144</v>
      </c>
      <c r="C39">
        <v>0</v>
      </c>
      <c r="D39">
        <v>0</v>
      </c>
      <c r="E39">
        <v>0</v>
      </c>
      <c r="F39">
        <v>0</v>
      </c>
      <c r="G39">
        <v>0</v>
      </c>
      <c r="H39">
        <v>0</v>
      </c>
      <c r="I39">
        <v>0</v>
      </c>
      <c r="J39">
        <v>0</v>
      </c>
      <c r="K39" s="3">
        <v>0</v>
      </c>
      <c r="L39">
        <v>0</v>
      </c>
      <c r="M39">
        <v>0</v>
      </c>
      <c r="N39">
        <v>0</v>
      </c>
      <c r="O39">
        <v>0</v>
      </c>
      <c r="P39">
        <v>0</v>
      </c>
      <c r="Q39">
        <v>0</v>
      </c>
      <c r="R39">
        <v>0</v>
      </c>
      <c r="S39">
        <v>0</v>
      </c>
      <c r="T39">
        <v>0</v>
      </c>
      <c r="U39">
        <v>0</v>
      </c>
      <c r="V39">
        <v>0</v>
      </c>
      <c r="W39">
        <v>0</v>
      </c>
      <c r="Z39">
        <f t="shared" si="0"/>
        <v>0</v>
      </c>
      <c r="AB39">
        <f>+D39+G39+J39+M39+S39+V39+Table_Query_from_HTEDA23_19[[#This Row],[ERC015]]</f>
        <v>0</v>
      </c>
    </row>
    <row r="40" spans="2:28" ht="15.75">
      <c r="B40" t="s">
        <v>162</v>
      </c>
      <c r="C40">
        <v>0</v>
      </c>
      <c r="D40">
        <v>0</v>
      </c>
      <c r="E40">
        <v>0</v>
      </c>
      <c r="F40">
        <v>0</v>
      </c>
      <c r="G40">
        <v>0</v>
      </c>
      <c r="H40">
        <v>0</v>
      </c>
      <c r="I40">
        <v>0</v>
      </c>
      <c r="J40">
        <v>0</v>
      </c>
      <c r="K40" s="3">
        <v>0</v>
      </c>
      <c r="L40">
        <v>0</v>
      </c>
      <c r="M40">
        <v>0</v>
      </c>
      <c r="N40">
        <v>0</v>
      </c>
      <c r="O40">
        <v>0</v>
      </c>
      <c r="P40">
        <v>0</v>
      </c>
      <c r="Q40">
        <v>0</v>
      </c>
      <c r="R40">
        <v>0</v>
      </c>
      <c r="S40">
        <v>0</v>
      </c>
      <c r="T40">
        <v>0</v>
      </c>
      <c r="U40">
        <v>0</v>
      </c>
      <c r="V40">
        <v>0</v>
      </c>
      <c r="W40">
        <v>0</v>
      </c>
      <c r="Z40">
        <f t="shared" si="0"/>
        <v>0</v>
      </c>
      <c r="AB40">
        <f>+D40+G40+J40+M40+S40+V40+Table_Query_from_HTEDA23_19[[#This Row],[ERC015]]</f>
        <v>0</v>
      </c>
    </row>
    <row r="41" spans="2:28" ht="15.75">
      <c r="B41" t="s">
        <v>1011</v>
      </c>
      <c r="C41">
        <v>0</v>
      </c>
      <c r="D41">
        <v>0</v>
      </c>
      <c r="E41">
        <v>0</v>
      </c>
      <c r="F41">
        <v>0</v>
      </c>
      <c r="G41">
        <v>0</v>
      </c>
      <c r="H41">
        <v>0</v>
      </c>
      <c r="I41">
        <v>0</v>
      </c>
      <c r="J41">
        <v>0</v>
      </c>
      <c r="K41" s="3">
        <v>0</v>
      </c>
      <c r="L41">
        <v>0</v>
      </c>
      <c r="M41">
        <v>0</v>
      </c>
      <c r="N41">
        <v>0</v>
      </c>
      <c r="O41">
        <v>0</v>
      </c>
      <c r="P41">
        <v>0</v>
      </c>
      <c r="Q41">
        <v>0</v>
      </c>
      <c r="R41">
        <v>0</v>
      </c>
      <c r="S41">
        <v>0</v>
      </c>
      <c r="T41">
        <v>0</v>
      </c>
      <c r="U41">
        <v>0</v>
      </c>
      <c r="V41">
        <v>0</v>
      </c>
      <c r="W41">
        <v>0</v>
      </c>
      <c r="Z41">
        <f t="shared" si="0"/>
        <v>0</v>
      </c>
      <c r="AB41">
        <f>+D41+G41+J41+M41+S41+V41+Table_Query_from_HTEDA23_19[[#This Row],[ERC015]]</f>
        <v>0</v>
      </c>
    </row>
    <row r="42" spans="2:28" ht="15.75">
      <c r="B42" t="s">
        <v>823</v>
      </c>
      <c r="C42">
        <v>0</v>
      </c>
      <c r="D42">
        <v>0</v>
      </c>
      <c r="E42">
        <v>0</v>
      </c>
      <c r="F42">
        <v>0</v>
      </c>
      <c r="G42">
        <v>0</v>
      </c>
      <c r="H42">
        <v>0</v>
      </c>
      <c r="I42">
        <v>0</v>
      </c>
      <c r="J42">
        <v>0</v>
      </c>
      <c r="K42" s="3">
        <v>0</v>
      </c>
      <c r="L42">
        <v>0</v>
      </c>
      <c r="M42">
        <v>0</v>
      </c>
      <c r="N42">
        <v>0</v>
      </c>
      <c r="O42">
        <v>0</v>
      </c>
      <c r="P42">
        <v>0</v>
      </c>
      <c r="Q42">
        <v>0</v>
      </c>
      <c r="R42">
        <v>0</v>
      </c>
      <c r="S42">
        <v>0</v>
      </c>
      <c r="T42">
        <v>0</v>
      </c>
      <c r="U42">
        <v>0</v>
      </c>
      <c r="V42">
        <v>0</v>
      </c>
      <c r="W42">
        <v>0</v>
      </c>
      <c r="Z42">
        <f t="shared" si="0"/>
        <v>0</v>
      </c>
      <c r="AB42">
        <f>+D42+G42+J42+M42+S42+V42+Table_Query_from_HTEDA23_19[[#This Row],[ERC015]]</f>
        <v>0</v>
      </c>
    </row>
    <row r="43" spans="2:28" ht="15.75">
      <c r="B43" t="s">
        <v>824</v>
      </c>
      <c r="C43">
        <v>0</v>
      </c>
      <c r="D43">
        <v>0</v>
      </c>
      <c r="E43">
        <v>0</v>
      </c>
      <c r="F43">
        <v>0</v>
      </c>
      <c r="G43">
        <v>0</v>
      </c>
      <c r="H43">
        <v>0</v>
      </c>
      <c r="I43">
        <v>0</v>
      </c>
      <c r="J43">
        <v>0</v>
      </c>
      <c r="K43" s="3">
        <v>0</v>
      </c>
      <c r="L43">
        <v>0</v>
      </c>
      <c r="M43">
        <v>0</v>
      </c>
      <c r="N43">
        <v>0</v>
      </c>
      <c r="O43">
        <v>0</v>
      </c>
      <c r="P43">
        <v>0</v>
      </c>
      <c r="Q43">
        <v>0</v>
      </c>
      <c r="R43">
        <v>0</v>
      </c>
      <c r="S43">
        <v>0</v>
      </c>
      <c r="T43">
        <v>0</v>
      </c>
      <c r="U43">
        <v>0</v>
      </c>
      <c r="V43">
        <v>0</v>
      </c>
      <c r="W43">
        <v>0</v>
      </c>
      <c r="Z43">
        <f t="shared" si="0"/>
        <v>0</v>
      </c>
      <c r="AB43">
        <f>+D43+G43+J43+M43+S43+V43+Table_Query_from_HTEDA23_19[[#This Row],[ERC015]]</f>
        <v>0</v>
      </c>
    </row>
    <row r="44" spans="2:28" ht="15.75">
      <c r="B44" t="s">
        <v>825</v>
      </c>
      <c r="C44">
        <v>0</v>
      </c>
      <c r="D44">
        <v>0</v>
      </c>
      <c r="E44">
        <v>0</v>
      </c>
      <c r="F44">
        <v>0</v>
      </c>
      <c r="G44">
        <v>0</v>
      </c>
      <c r="H44">
        <v>0</v>
      </c>
      <c r="I44">
        <v>0</v>
      </c>
      <c r="J44">
        <v>0</v>
      </c>
      <c r="K44" s="3">
        <v>0</v>
      </c>
      <c r="L44">
        <v>0</v>
      </c>
      <c r="M44">
        <v>0</v>
      </c>
      <c r="N44">
        <v>0</v>
      </c>
      <c r="O44">
        <v>0</v>
      </c>
      <c r="P44">
        <v>0</v>
      </c>
      <c r="Q44">
        <v>0</v>
      </c>
      <c r="R44">
        <v>0</v>
      </c>
      <c r="S44">
        <v>0</v>
      </c>
      <c r="T44">
        <v>0</v>
      </c>
      <c r="U44">
        <v>0</v>
      </c>
      <c r="V44">
        <v>0</v>
      </c>
      <c r="W44">
        <v>0</v>
      </c>
      <c r="Z44">
        <f t="shared" si="0"/>
        <v>0</v>
      </c>
      <c r="AB44">
        <f>+D44+G44+J44+M44+S44+V44+Table_Query_from_HTEDA23_19[[#This Row],[ERC015]]</f>
        <v>0</v>
      </c>
    </row>
    <row r="45" spans="2:28" ht="15.75">
      <c r="B45" t="s">
        <v>1074</v>
      </c>
      <c r="C45">
        <v>0</v>
      </c>
      <c r="D45">
        <v>0</v>
      </c>
      <c r="E45">
        <v>0</v>
      </c>
      <c r="F45">
        <v>0</v>
      </c>
      <c r="G45">
        <v>0</v>
      </c>
      <c r="H45">
        <v>0</v>
      </c>
      <c r="I45">
        <v>0</v>
      </c>
      <c r="J45">
        <v>0</v>
      </c>
      <c r="K45" s="3">
        <v>0</v>
      </c>
      <c r="L45">
        <v>0</v>
      </c>
      <c r="M45">
        <v>0</v>
      </c>
      <c r="N45">
        <v>0</v>
      </c>
      <c r="O45">
        <v>0</v>
      </c>
      <c r="P45">
        <v>0</v>
      </c>
      <c r="Q45">
        <v>0</v>
      </c>
      <c r="R45">
        <v>0</v>
      </c>
      <c r="S45">
        <v>0</v>
      </c>
      <c r="T45">
        <v>0</v>
      </c>
      <c r="U45">
        <v>0</v>
      </c>
      <c r="V45">
        <v>0</v>
      </c>
      <c r="W45">
        <v>0</v>
      </c>
      <c r="Z45">
        <f t="shared" si="0"/>
        <v>0</v>
      </c>
      <c r="AB45">
        <f>+D45+G45+J45+M45+S45+V45+Table_Query_from_HTEDA23_19[[#This Row],[ERC015]]</f>
        <v>0</v>
      </c>
    </row>
    <row r="46" spans="2:28" ht="15.75">
      <c r="B46" t="s">
        <v>331</v>
      </c>
      <c r="C46">
        <v>0</v>
      </c>
      <c r="D46">
        <v>0</v>
      </c>
      <c r="E46">
        <v>0</v>
      </c>
      <c r="F46">
        <v>0</v>
      </c>
      <c r="G46">
        <v>0</v>
      </c>
      <c r="H46">
        <v>0</v>
      </c>
      <c r="I46">
        <v>0</v>
      </c>
      <c r="J46">
        <v>0</v>
      </c>
      <c r="K46" s="3">
        <v>0</v>
      </c>
      <c r="L46">
        <v>0</v>
      </c>
      <c r="M46">
        <v>0</v>
      </c>
      <c r="N46">
        <v>0</v>
      </c>
      <c r="O46">
        <v>0</v>
      </c>
      <c r="P46">
        <v>0</v>
      </c>
      <c r="Q46">
        <v>0</v>
      </c>
      <c r="R46">
        <v>0</v>
      </c>
      <c r="S46">
        <v>0</v>
      </c>
      <c r="T46">
        <v>0</v>
      </c>
      <c r="U46">
        <v>0</v>
      </c>
      <c r="V46">
        <v>0</v>
      </c>
      <c r="W46">
        <v>0</v>
      </c>
      <c r="Z46">
        <f t="shared" si="0"/>
        <v>0</v>
      </c>
      <c r="AB46">
        <f>+D46+G46+J46+M46+S46+V46+Table_Query_from_HTEDA23_19[[#This Row],[ERC015]]</f>
        <v>0</v>
      </c>
    </row>
    <row r="47" spans="2:28" ht="15.75">
      <c r="B47" t="s">
        <v>826</v>
      </c>
      <c r="C47">
        <v>0</v>
      </c>
      <c r="D47">
        <v>0</v>
      </c>
      <c r="E47">
        <v>0</v>
      </c>
      <c r="F47">
        <v>0</v>
      </c>
      <c r="G47">
        <v>0</v>
      </c>
      <c r="H47">
        <v>0</v>
      </c>
      <c r="I47">
        <v>0</v>
      </c>
      <c r="J47">
        <v>0</v>
      </c>
      <c r="K47" s="3">
        <v>0</v>
      </c>
      <c r="L47">
        <v>0</v>
      </c>
      <c r="M47">
        <v>0</v>
      </c>
      <c r="N47">
        <v>0</v>
      </c>
      <c r="O47">
        <v>0</v>
      </c>
      <c r="P47">
        <v>0</v>
      </c>
      <c r="Q47">
        <v>0</v>
      </c>
      <c r="R47">
        <v>0</v>
      </c>
      <c r="S47">
        <v>0</v>
      </c>
      <c r="T47">
        <v>0</v>
      </c>
      <c r="U47">
        <v>0</v>
      </c>
      <c r="V47">
        <v>0</v>
      </c>
      <c r="W47">
        <v>0</v>
      </c>
      <c r="Z47">
        <f t="shared" si="0"/>
        <v>0</v>
      </c>
      <c r="AB47">
        <f>+D47+G47+J47+M47+S47+V47+Table_Query_from_HTEDA23_19[[#This Row],[ERC015]]</f>
        <v>0</v>
      </c>
    </row>
    <row r="48" spans="2:28" ht="15.75">
      <c r="B48" t="s">
        <v>263</v>
      </c>
      <c r="C48">
        <v>0</v>
      </c>
      <c r="D48">
        <v>0</v>
      </c>
      <c r="E48">
        <v>0</v>
      </c>
      <c r="F48">
        <v>0</v>
      </c>
      <c r="G48">
        <v>0</v>
      </c>
      <c r="H48">
        <v>0</v>
      </c>
      <c r="I48">
        <v>0</v>
      </c>
      <c r="J48">
        <v>0</v>
      </c>
      <c r="K48" s="3">
        <v>0</v>
      </c>
      <c r="L48">
        <v>0</v>
      </c>
      <c r="M48">
        <v>0</v>
      </c>
      <c r="N48">
        <v>0</v>
      </c>
      <c r="O48">
        <v>0</v>
      </c>
      <c r="P48">
        <v>0</v>
      </c>
      <c r="Q48">
        <v>0</v>
      </c>
      <c r="R48">
        <v>0</v>
      </c>
      <c r="S48">
        <v>0</v>
      </c>
      <c r="T48">
        <v>0</v>
      </c>
      <c r="U48">
        <v>0</v>
      </c>
      <c r="V48">
        <v>0</v>
      </c>
      <c r="W48">
        <v>0</v>
      </c>
      <c r="Z48">
        <f t="shared" si="0"/>
        <v>0</v>
      </c>
      <c r="AB48">
        <f>+D48+G48+J48+M48+S48+V48+Table_Query_from_HTEDA23_19[[#This Row],[ERC015]]</f>
        <v>0</v>
      </c>
    </row>
    <row r="49" spans="2:28" ht="15.75">
      <c r="B49" t="s">
        <v>827</v>
      </c>
      <c r="C49">
        <v>0</v>
      </c>
      <c r="D49">
        <v>0</v>
      </c>
      <c r="E49">
        <v>0</v>
      </c>
      <c r="F49">
        <v>0</v>
      </c>
      <c r="G49">
        <v>0</v>
      </c>
      <c r="H49">
        <v>0</v>
      </c>
      <c r="I49">
        <v>0</v>
      </c>
      <c r="J49">
        <v>0</v>
      </c>
      <c r="K49" s="3">
        <v>0</v>
      </c>
      <c r="L49">
        <v>0</v>
      </c>
      <c r="M49">
        <v>0</v>
      </c>
      <c r="N49">
        <v>0</v>
      </c>
      <c r="O49">
        <v>0</v>
      </c>
      <c r="P49">
        <v>0</v>
      </c>
      <c r="Q49">
        <v>0</v>
      </c>
      <c r="R49">
        <v>0</v>
      </c>
      <c r="S49">
        <v>0</v>
      </c>
      <c r="T49">
        <v>0</v>
      </c>
      <c r="U49">
        <v>0</v>
      </c>
      <c r="V49">
        <v>0</v>
      </c>
      <c r="W49">
        <v>0</v>
      </c>
      <c r="Z49">
        <f t="shared" si="0"/>
        <v>0</v>
      </c>
      <c r="AB49">
        <f>+D49+G49+J49+M49+S49+V49+Table_Query_from_HTEDA23_19[[#This Row],[ERC015]]</f>
        <v>0</v>
      </c>
    </row>
    <row r="50" spans="2:28" ht="15.75">
      <c r="B50" t="s">
        <v>828</v>
      </c>
      <c r="C50">
        <v>0</v>
      </c>
      <c r="D50">
        <v>0</v>
      </c>
      <c r="E50">
        <v>0</v>
      </c>
      <c r="F50">
        <v>0</v>
      </c>
      <c r="G50">
        <v>0</v>
      </c>
      <c r="H50">
        <v>0</v>
      </c>
      <c r="I50">
        <v>0</v>
      </c>
      <c r="J50">
        <v>0</v>
      </c>
      <c r="K50" s="3">
        <v>0</v>
      </c>
      <c r="L50">
        <v>0</v>
      </c>
      <c r="M50">
        <v>0</v>
      </c>
      <c r="N50">
        <v>0</v>
      </c>
      <c r="O50">
        <v>0</v>
      </c>
      <c r="P50">
        <v>0</v>
      </c>
      <c r="Q50">
        <v>0</v>
      </c>
      <c r="R50">
        <v>0</v>
      </c>
      <c r="S50">
        <v>0</v>
      </c>
      <c r="T50">
        <v>0</v>
      </c>
      <c r="U50">
        <v>0</v>
      </c>
      <c r="V50">
        <v>0</v>
      </c>
      <c r="W50">
        <v>0</v>
      </c>
      <c r="Z50">
        <f t="shared" si="0"/>
        <v>0</v>
      </c>
      <c r="AB50">
        <f>+D50+G50+J50+M50+S50+V50+Table_Query_from_HTEDA23_19[[#This Row],[ERC015]]</f>
        <v>0</v>
      </c>
    </row>
    <row r="51" spans="2:28" ht="15.75">
      <c r="B51" t="s">
        <v>769</v>
      </c>
      <c r="C51">
        <v>112807</v>
      </c>
      <c r="D51" s="987">
        <f>112084+155+70</f>
        <v>112309</v>
      </c>
      <c r="E51">
        <v>0</v>
      </c>
      <c r="F51">
        <v>0</v>
      </c>
      <c r="G51">
        <v>0</v>
      </c>
      <c r="H51">
        <v>0</v>
      </c>
      <c r="I51">
        <v>0</v>
      </c>
      <c r="J51">
        <v>0</v>
      </c>
      <c r="K51" s="3">
        <v>0</v>
      </c>
      <c r="L51">
        <v>0</v>
      </c>
      <c r="M51">
        <v>0</v>
      </c>
      <c r="N51">
        <v>0</v>
      </c>
      <c r="O51">
        <v>0</v>
      </c>
      <c r="P51">
        <v>0</v>
      </c>
      <c r="Q51">
        <v>0</v>
      </c>
      <c r="R51">
        <v>0</v>
      </c>
      <c r="S51">
        <v>0</v>
      </c>
      <c r="T51">
        <v>0</v>
      </c>
      <c r="U51">
        <v>0</v>
      </c>
      <c r="V51">
        <v>0</v>
      </c>
      <c r="W51">
        <v>0</v>
      </c>
      <c r="Z51">
        <f t="shared" si="0"/>
        <v>112309</v>
      </c>
      <c r="AB51">
        <f>+D51+G51+J51+M51+S51+V51+Table_Query_from_HTEDA23_19[[#This Row],[ERC015]]</f>
        <v>112309</v>
      </c>
    </row>
    <row r="52" spans="2:28" ht="15.75">
      <c r="B52" t="s">
        <v>770</v>
      </c>
      <c r="C52">
        <v>0</v>
      </c>
      <c r="D52">
        <v>0</v>
      </c>
      <c r="E52">
        <v>0</v>
      </c>
      <c r="F52">
        <v>0</v>
      </c>
      <c r="G52" s="158">
        <v>14292</v>
      </c>
      <c r="H52">
        <v>0</v>
      </c>
      <c r="I52">
        <v>0</v>
      </c>
      <c r="J52">
        <v>0</v>
      </c>
      <c r="K52" s="3">
        <v>0</v>
      </c>
      <c r="L52">
        <v>0</v>
      </c>
      <c r="M52">
        <v>12653</v>
      </c>
      <c r="N52">
        <v>0</v>
      </c>
      <c r="O52">
        <v>0</v>
      </c>
      <c r="P52" s="158">
        <v>1125</v>
      </c>
      <c r="Q52">
        <v>0</v>
      </c>
      <c r="R52">
        <v>0</v>
      </c>
      <c r="S52">
        <v>7284</v>
      </c>
      <c r="T52">
        <v>0</v>
      </c>
      <c r="U52">
        <v>0</v>
      </c>
      <c r="V52" s="158">
        <v>2794</v>
      </c>
      <c r="W52">
        <v>0</v>
      </c>
      <c r="Z52">
        <f t="shared" si="0"/>
        <v>38148</v>
      </c>
      <c r="AB52">
        <f>+D52+G52+J52+M52+S52+V52+Table_Query_from_HTEDA23_19[[#This Row],[ERC015]]</f>
        <v>38148</v>
      </c>
    </row>
    <row r="53" spans="2:28" ht="15.75">
      <c r="B53" t="s">
        <v>1167</v>
      </c>
      <c r="C53">
        <v>0</v>
      </c>
      <c r="D53">
        <v>0</v>
      </c>
      <c r="E53">
        <v>0</v>
      </c>
      <c r="F53">
        <v>0</v>
      </c>
      <c r="G53">
        <v>0</v>
      </c>
      <c r="H53">
        <v>0</v>
      </c>
      <c r="I53">
        <v>0</v>
      </c>
      <c r="J53">
        <v>0</v>
      </c>
      <c r="K53" s="3">
        <v>0</v>
      </c>
      <c r="L53">
        <v>0</v>
      </c>
      <c r="M53">
        <v>0</v>
      </c>
      <c r="N53">
        <v>0</v>
      </c>
      <c r="O53">
        <v>0</v>
      </c>
      <c r="P53">
        <v>0</v>
      </c>
      <c r="Q53">
        <v>0</v>
      </c>
      <c r="R53">
        <v>0</v>
      </c>
      <c r="S53">
        <v>0</v>
      </c>
      <c r="T53">
        <v>0</v>
      </c>
      <c r="U53">
        <v>0</v>
      </c>
      <c r="V53">
        <v>0</v>
      </c>
      <c r="W53">
        <v>0</v>
      </c>
      <c r="Z53">
        <f t="shared" si="0"/>
        <v>0</v>
      </c>
      <c r="AB53">
        <f>+D53+G53+J53+M53+S53+V53+Table_Query_from_HTEDA23_19[[#This Row],[ERC015]]</f>
        <v>0</v>
      </c>
    </row>
    <row r="54" spans="2:28" ht="15.75">
      <c r="B54" t="s">
        <v>771</v>
      </c>
      <c r="C54">
        <v>112807</v>
      </c>
      <c r="D54">
        <v>112084</v>
      </c>
      <c r="E54">
        <v>0</v>
      </c>
      <c r="F54">
        <v>927183</v>
      </c>
      <c r="G54">
        <v>961022</v>
      </c>
      <c r="H54">
        <v>0</v>
      </c>
      <c r="I54">
        <v>0</v>
      </c>
      <c r="J54">
        <v>0</v>
      </c>
      <c r="K54" s="3">
        <v>0</v>
      </c>
      <c r="L54">
        <v>0</v>
      </c>
      <c r="M54">
        <v>12653</v>
      </c>
      <c r="N54">
        <v>0</v>
      </c>
      <c r="O54">
        <v>100000</v>
      </c>
      <c r="P54">
        <v>92882</v>
      </c>
      <c r="Q54">
        <v>0</v>
      </c>
      <c r="R54">
        <v>636600</v>
      </c>
      <c r="S54">
        <v>651213</v>
      </c>
      <c r="T54">
        <v>0</v>
      </c>
      <c r="U54">
        <v>96347</v>
      </c>
      <c r="V54">
        <v>131577</v>
      </c>
      <c r="W54">
        <v>0</v>
      </c>
      <c r="Z54">
        <f t="shared" si="0"/>
        <v>1961431</v>
      </c>
      <c r="AB54">
        <f>+D54+G54+J54+M54+S54+V54+Table_Query_from_HTEDA23_19[[#This Row],[ERC015]]</f>
        <v>1961431</v>
      </c>
    </row>
    <row r="55" spans="2:28" ht="15.75">
      <c r="B55" t="s">
        <v>1167</v>
      </c>
      <c r="C55">
        <v>0</v>
      </c>
      <c r="D55">
        <v>0</v>
      </c>
      <c r="E55">
        <v>0</v>
      </c>
      <c r="F55">
        <v>0</v>
      </c>
      <c r="G55">
        <v>0</v>
      </c>
      <c r="H55">
        <v>0</v>
      </c>
      <c r="I55">
        <v>0</v>
      </c>
      <c r="J55">
        <v>0</v>
      </c>
      <c r="K55" s="3">
        <v>0</v>
      </c>
      <c r="L55">
        <v>0</v>
      </c>
      <c r="M55">
        <v>0</v>
      </c>
      <c r="N55">
        <v>0</v>
      </c>
      <c r="O55">
        <v>0</v>
      </c>
      <c r="P55">
        <v>0</v>
      </c>
      <c r="Q55">
        <v>0</v>
      </c>
      <c r="R55">
        <v>0</v>
      </c>
      <c r="S55">
        <v>0</v>
      </c>
      <c r="T55">
        <v>0</v>
      </c>
      <c r="U55">
        <v>0</v>
      </c>
      <c r="V55">
        <v>0</v>
      </c>
      <c r="W55">
        <v>0</v>
      </c>
      <c r="Z55">
        <f t="shared" si="0"/>
        <v>0</v>
      </c>
      <c r="AB55">
        <f>+D55+G55+J55+M55+S55+V55+Table_Query_from_HTEDA23_19[[#This Row],[ERC015]]</f>
        <v>0</v>
      </c>
    </row>
    <row r="56" spans="2:28" ht="15.75">
      <c r="B56" t="s">
        <v>202</v>
      </c>
      <c r="C56">
        <v>0</v>
      </c>
      <c r="D56">
        <v>0</v>
      </c>
      <c r="E56">
        <v>0</v>
      </c>
      <c r="F56">
        <v>0</v>
      </c>
      <c r="G56">
        <v>0</v>
      </c>
      <c r="H56">
        <v>0</v>
      </c>
      <c r="I56">
        <v>0</v>
      </c>
      <c r="J56">
        <v>0</v>
      </c>
      <c r="K56" s="3">
        <v>0</v>
      </c>
      <c r="L56">
        <v>0</v>
      </c>
      <c r="M56">
        <v>0</v>
      </c>
      <c r="N56">
        <v>0</v>
      </c>
      <c r="O56">
        <v>0</v>
      </c>
      <c r="P56">
        <v>0</v>
      </c>
      <c r="Q56">
        <v>0</v>
      </c>
      <c r="R56">
        <v>0</v>
      </c>
      <c r="S56">
        <v>0</v>
      </c>
      <c r="T56">
        <v>0</v>
      </c>
      <c r="U56">
        <v>0</v>
      </c>
      <c r="V56">
        <v>0</v>
      </c>
      <c r="W56">
        <v>0</v>
      </c>
      <c r="Z56">
        <f t="shared" si="0"/>
        <v>0</v>
      </c>
      <c r="AB56">
        <f>+D56+G56+J56+M56+S56+V56+Table_Query_from_HTEDA23_19[[#This Row],[ERC015]]</f>
        <v>0</v>
      </c>
    </row>
    <row r="57" spans="2:28" ht="15.75">
      <c r="B57" t="s">
        <v>829</v>
      </c>
      <c r="C57">
        <v>0</v>
      </c>
      <c r="D57">
        <v>0</v>
      </c>
      <c r="E57">
        <v>0</v>
      </c>
      <c r="F57">
        <v>0</v>
      </c>
      <c r="G57">
        <v>0</v>
      </c>
      <c r="H57">
        <v>0</v>
      </c>
      <c r="I57">
        <v>0</v>
      </c>
      <c r="J57">
        <v>0</v>
      </c>
      <c r="K57" s="3">
        <v>0</v>
      </c>
      <c r="L57">
        <v>0</v>
      </c>
      <c r="M57">
        <v>0</v>
      </c>
      <c r="N57">
        <v>0</v>
      </c>
      <c r="O57">
        <v>0</v>
      </c>
      <c r="P57">
        <v>0</v>
      </c>
      <c r="Q57">
        <v>0</v>
      </c>
      <c r="R57">
        <v>0</v>
      </c>
      <c r="S57">
        <v>0</v>
      </c>
      <c r="T57">
        <v>0</v>
      </c>
      <c r="U57">
        <v>0</v>
      </c>
      <c r="V57">
        <v>0</v>
      </c>
      <c r="W57">
        <v>0</v>
      </c>
      <c r="Z57">
        <f t="shared" si="0"/>
        <v>0</v>
      </c>
      <c r="AB57">
        <f>+D57+G57+J57+M57+S57+V57+Table_Query_from_HTEDA23_19[[#This Row],[ERC015]]</f>
        <v>0</v>
      </c>
    </row>
    <row r="58" spans="2:28" ht="15.75">
      <c r="B58" t="s">
        <v>186</v>
      </c>
      <c r="C58">
        <v>0</v>
      </c>
      <c r="D58">
        <v>0</v>
      </c>
      <c r="E58">
        <v>0</v>
      </c>
      <c r="F58">
        <v>0</v>
      </c>
      <c r="G58">
        <v>0</v>
      </c>
      <c r="H58">
        <v>0</v>
      </c>
      <c r="I58">
        <v>0</v>
      </c>
      <c r="J58">
        <v>0</v>
      </c>
      <c r="K58" s="3">
        <v>0</v>
      </c>
      <c r="L58">
        <v>0</v>
      </c>
      <c r="M58">
        <v>0</v>
      </c>
      <c r="N58">
        <v>0</v>
      </c>
      <c r="O58">
        <v>0</v>
      </c>
      <c r="P58">
        <v>0</v>
      </c>
      <c r="Q58">
        <v>0</v>
      </c>
      <c r="R58">
        <v>0</v>
      </c>
      <c r="S58">
        <v>0</v>
      </c>
      <c r="T58">
        <v>0</v>
      </c>
      <c r="U58">
        <v>0</v>
      </c>
      <c r="V58">
        <v>0</v>
      </c>
      <c r="W58">
        <v>0</v>
      </c>
      <c r="Z58">
        <f t="shared" si="0"/>
        <v>0</v>
      </c>
      <c r="AB58">
        <f>+D58+G58+J58+M58+S58+V58+Table_Query_from_HTEDA23_19[[#This Row],[ERC015]]</f>
        <v>0</v>
      </c>
    </row>
    <row r="59" spans="2:28" ht="15.75">
      <c r="B59" t="s">
        <v>464</v>
      </c>
      <c r="C59">
        <v>0</v>
      </c>
      <c r="D59">
        <v>0</v>
      </c>
      <c r="E59">
        <v>0</v>
      </c>
      <c r="F59">
        <v>0</v>
      </c>
      <c r="G59">
        <v>0</v>
      </c>
      <c r="H59">
        <v>0</v>
      </c>
      <c r="I59">
        <v>0</v>
      </c>
      <c r="J59">
        <v>0</v>
      </c>
      <c r="K59" s="3">
        <v>0</v>
      </c>
      <c r="L59">
        <v>0</v>
      </c>
      <c r="M59">
        <v>0</v>
      </c>
      <c r="N59">
        <v>0</v>
      </c>
      <c r="O59">
        <v>0</v>
      </c>
      <c r="P59">
        <v>0</v>
      </c>
      <c r="Q59">
        <v>0</v>
      </c>
      <c r="R59">
        <v>0</v>
      </c>
      <c r="S59">
        <v>0</v>
      </c>
      <c r="T59">
        <v>0</v>
      </c>
      <c r="U59">
        <v>0</v>
      </c>
      <c r="V59">
        <v>0</v>
      </c>
      <c r="W59">
        <v>0</v>
      </c>
      <c r="Z59">
        <f t="shared" si="0"/>
        <v>0</v>
      </c>
      <c r="AB59">
        <f>+D59+G59+J59+M59+S59+V59+Table_Query_from_HTEDA23_19[[#This Row],[ERC015]]</f>
        <v>0</v>
      </c>
    </row>
    <row r="60" spans="2:28" ht="15.75">
      <c r="B60" t="s">
        <v>845</v>
      </c>
      <c r="C60">
        <v>0</v>
      </c>
      <c r="D60">
        <v>0</v>
      </c>
      <c r="E60">
        <v>0</v>
      </c>
      <c r="F60">
        <v>0</v>
      </c>
      <c r="G60">
        <v>0</v>
      </c>
      <c r="H60">
        <v>0</v>
      </c>
      <c r="I60">
        <v>0</v>
      </c>
      <c r="J60">
        <v>0</v>
      </c>
      <c r="K60" s="3">
        <v>0</v>
      </c>
      <c r="L60">
        <v>0</v>
      </c>
      <c r="M60">
        <v>0</v>
      </c>
      <c r="N60">
        <v>0</v>
      </c>
      <c r="O60">
        <v>0</v>
      </c>
      <c r="P60">
        <v>0</v>
      </c>
      <c r="Q60">
        <v>0</v>
      </c>
      <c r="R60">
        <v>0</v>
      </c>
      <c r="S60">
        <v>0</v>
      </c>
      <c r="T60">
        <v>0</v>
      </c>
      <c r="U60">
        <v>0</v>
      </c>
      <c r="V60">
        <v>0</v>
      </c>
      <c r="W60">
        <v>0</v>
      </c>
      <c r="Z60">
        <f t="shared" si="0"/>
        <v>0</v>
      </c>
      <c r="AB60">
        <f>+D60+G60+J60+M60+S60+V60+Table_Query_from_HTEDA23_19[[#This Row],[ERC015]]</f>
        <v>0</v>
      </c>
    </row>
    <row r="61" spans="2:28" ht="15.75">
      <c r="B61" t="s">
        <v>960</v>
      </c>
      <c r="C61">
        <v>0</v>
      </c>
      <c r="D61">
        <v>0</v>
      </c>
      <c r="E61">
        <v>0</v>
      </c>
      <c r="F61">
        <v>0</v>
      </c>
      <c r="G61">
        <v>0</v>
      </c>
      <c r="H61">
        <v>0</v>
      </c>
      <c r="I61">
        <v>0</v>
      </c>
      <c r="J61">
        <v>0</v>
      </c>
      <c r="K61" s="3">
        <v>0</v>
      </c>
      <c r="L61">
        <v>0</v>
      </c>
      <c r="M61">
        <v>0</v>
      </c>
      <c r="N61">
        <v>0</v>
      </c>
      <c r="O61">
        <v>0</v>
      </c>
      <c r="P61">
        <v>0</v>
      </c>
      <c r="Q61">
        <v>0</v>
      </c>
      <c r="R61">
        <v>0</v>
      </c>
      <c r="S61">
        <v>0</v>
      </c>
      <c r="T61">
        <v>0</v>
      </c>
      <c r="U61">
        <v>0</v>
      </c>
      <c r="V61">
        <v>0</v>
      </c>
      <c r="W61">
        <v>0</v>
      </c>
      <c r="Z61">
        <f t="shared" si="0"/>
        <v>0</v>
      </c>
      <c r="AB61">
        <f>+D61+G61+J61+M61+S61+V61+Table_Query_from_HTEDA23_19[[#This Row],[ERC015]]</f>
        <v>0</v>
      </c>
    </row>
    <row r="62" spans="2:28" ht="15.75">
      <c r="B62" t="s">
        <v>464</v>
      </c>
      <c r="C62">
        <v>0</v>
      </c>
      <c r="D62">
        <v>0</v>
      </c>
      <c r="E62">
        <v>0</v>
      </c>
      <c r="F62">
        <v>0</v>
      </c>
      <c r="G62">
        <v>0</v>
      </c>
      <c r="H62">
        <v>0</v>
      </c>
      <c r="I62">
        <v>0</v>
      </c>
      <c r="J62">
        <v>0</v>
      </c>
      <c r="K62" s="3">
        <v>0</v>
      </c>
      <c r="L62">
        <v>0</v>
      </c>
      <c r="M62">
        <v>0</v>
      </c>
      <c r="N62">
        <v>0</v>
      </c>
      <c r="O62">
        <v>0</v>
      </c>
      <c r="P62">
        <v>0</v>
      </c>
      <c r="Q62">
        <v>0</v>
      </c>
      <c r="R62">
        <v>0</v>
      </c>
      <c r="S62">
        <v>0</v>
      </c>
      <c r="T62">
        <v>0</v>
      </c>
      <c r="U62">
        <v>0</v>
      </c>
      <c r="V62">
        <v>0</v>
      </c>
      <c r="W62">
        <v>0</v>
      </c>
      <c r="Z62">
        <f t="shared" si="0"/>
        <v>0</v>
      </c>
      <c r="AB62">
        <f>+D62+G62+J62+M62+S62+V62+Table_Query_from_HTEDA23_19[[#This Row],[ERC015]]</f>
        <v>0</v>
      </c>
    </row>
    <row r="63" spans="2:28" ht="15.75">
      <c r="B63" t="s">
        <v>846</v>
      </c>
      <c r="C63">
        <v>0</v>
      </c>
      <c r="D63">
        <v>0</v>
      </c>
      <c r="E63">
        <v>0</v>
      </c>
      <c r="F63">
        <v>0</v>
      </c>
      <c r="G63">
        <v>0</v>
      </c>
      <c r="H63">
        <v>0</v>
      </c>
      <c r="I63">
        <v>0</v>
      </c>
      <c r="J63">
        <v>0</v>
      </c>
      <c r="K63" s="3">
        <v>0</v>
      </c>
      <c r="L63">
        <v>0</v>
      </c>
      <c r="M63">
        <v>0</v>
      </c>
      <c r="N63">
        <v>0</v>
      </c>
      <c r="O63">
        <v>0</v>
      </c>
      <c r="P63">
        <v>0</v>
      </c>
      <c r="Q63">
        <v>0</v>
      </c>
      <c r="R63">
        <v>0</v>
      </c>
      <c r="S63">
        <v>0</v>
      </c>
      <c r="T63">
        <v>0</v>
      </c>
      <c r="U63">
        <v>0</v>
      </c>
      <c r="V63">
        <v>0</v>
      </c>
      <c r="W63">
        <v>0</v>
      </c>
      <c r="Z63">
        <f t="shared" si="0"/>
        <v>0</v>
      </c>
      <c r="AB63">
        <f>+D63+G63+J63+M63+S63+V63+Table_Query_from_HTEDA23_19[[#This Row],[ERC015]]</f>
        <v>0</v>
      </c>
    </row>
    <row r="64" spans="2:28" ht="15.75">
      <c r="B64" t="s">
        <v>847</v>
      </c>
      <c r="C64">
        <v>0</v>
      </c>
      <c r="D64">
        <v>0</v>
      </c>
      <c r="E64">
        <v>0</v>
      </c>
      <c r="F64">
        <v>0</v>
      </c>
      <c r="G64">
        <v>0</v>
      </c>
      <c r="H64">
        <v>0</v>
      </c>
      <c r="I64">
        <v>0</v>
      </c>
      <c r="J64">
        <v>0</v>
      </c>
      <c r="K64" s="3">
        <v>0</v>
      </c>
      <c r="L64">
        <v>0</v>
      </c>
      <c r="M64">
        <v>0</v>
      </c>
      <c r="N64">
        <v>0</v>
      </c>
      <c r="O64">
        <v>0</v>
      </c>
      <c r="P64">
        <v>0</v>
      </c>
      <c r="Q64">
        <v>0</v>
      </c>
      <c r="R64">
        <v>0</v>
      </c>
      <c r="S64">
        <v>0</v>
      </c>
      <c r="T64">
        <v>0</v>
      </c>
      <c r="U64">
        <v>0</v>
      </c>
      <c r="V64">
        <v>0</v>
      </c>
      <c r="W64">
        <v>0</v>
      </c>
      <c r="Z64">
        <f t="shared" si="0"/>
        <v>0</v>
      </c>
      <c r="AB64">
        <f>+D64+G64+J64+M64+S64+V64+Table_Query_from_HTEDA23_19[[#This Row],[ERC015]]</f>
        <v>0</v>
      </c>
    </row>
    <row r="65" spans="2:28" ht="15.75">
      <c r="B65" t="s">
        <v>464</v>
      </c>
      <c r="C65">
        <v>0</v>
      </c>
      <c r="D65">
        <v>0</v>
      </c>
      <c r="E65">
        <v>0</v>
      </c>
      <c r="F65">
        <v>0</v>
      </c>
      <c r="G65">
        <v>0</v>
      </c>
      <c r="H65">
        <v>0</v>
      </c>
      <c r="I65">
        <v>0</v>
      </c>
      <c r="J65">
        <v>0</v>
      </c>
      <c r="K65" s="3">
        <v>0</v>
      </c>
      <c r="L65">
        <v>0</v>
      </c>
      <c r="M65">
        <v>0</v>
      </c>
      <c r="N65">
        <v>0</v>
      </c>
      <c r="O65">
        <v>0</v>
      </c>
      <c r="P65">
        <v>0</v>
      </c>
      <c r="Q65">
        <v>0</v>
      </c>
      <c r="R65">
        <v>0</v>
      </c>
      <c r="S65">
        <v>0</v>
      </c>
      <c r="T65">
        <v>0</v>
      </c>
      <c r="U65">
        <v>0</v>
      </c>
      <c r="V65">
        <v>0</v>
      </c>
      <c r="W65">
        <v>0</v>
      </c>
      <c r="Z65">
        <f t="shared" si="0"/>
        <v>0</v>
      </c>
      <c r="AB65">
        <f>+D65+G65+J65+M65+S65+V65+Table_Query_from_HTEDA23_19[[#This Row],[ERC015]]</f>
        <v>0</v>
      </c>
    </row>
    <row r="66" spans="2:28" ht="15.75">
      <c r="B66" t="s">
        <v>846</v>
      </c>
      <c r="C66">
        <v>0</v>
      </c>
      <c r="D66">
        <v>0</v>
      </c>
      <c r="E66">
        <v>0</v>
      </c>
      <c r="F66">
        <v>0</v>
      </c>
      <c r="G66">
        <v>0</v>
      </c>
      <c r="H66">
        <v>0</v>
      </c>
      <c r="I66">
        <v>0</v>
      </c>
      <c r="J66">
        <v>0</v>
      </c>
      <c r="K66" s="3">
        <v>0</v>
      </c>
      <c r="L66">
        <v>0</v>
      </c>
      <c r="M66">
        <v>0</v>
      </c>
      <c r="N66">
        <v>0</v>
      </c>
      <c r="O66">
        <v>0</v>
      </c>
      <c r="P66">
        <v>0</v>
      </c>
      <c r="Q66">
        <v>0</v>
      </c>
      <c r="R66">
        <v>0</v>
      </c>
      <c r="S66">
        <v>0</v>
      </c>
      <c r="T66">
        <v>0</v>
      </c>
      <c r="U66">
        <v>0</v>
      </c>
      <c r="V66">
        <v>0</v>
      </c>
      <c r="W66">
        <v>0</v>
      </c>
      <c r="Z66">
        <f t="shared" si="0"/>
        <v>0</v>
      </c>
      <c r="AB66">
        <f>+D66+G66+J66+M66+S66+V66+Table_Query_from_HTEDA23_19[[#This Row],[ERC015]]</f>
        <v>0</v>
      </c>
    </row>
    <row r="67" spans="2:28" ht="15.75">
      <c r="B67" t="s">
        <v>44</v>
      </c>
      <c r="C67">
        <v>0</v>
      </c>
      <c r="D67">
        <v>0</v>
      </c>
      <c r="E67">
        <v>0</v>
      </c>
      <c r="F67">
        <v>0</v>
      </c>
      <c r="G67">
        <v>0</v>
      </c>
      <c r="H67">
        <v>0</v>
      </c>
      <c r="I67">
        <v>0</v>
      </c>
      <c r="J67">
        <v>0</v>
      </c>
      <c r="K67" s="3">
        <v>0</v>
      </c>
      <c r="L67">
        <v>0</v>
      </c>
      <c r="M67">
        <v>0</v>
      </c>
      <c r="N67">
        <v>0</v>
      </c>
      <c r="O67">
        <v>0</v>
      </c>
      <c r="P67">
        <v>0</v>
      </c>
      <c r="Q67">
        <v>0</v>
      </c>
      <c r="R67">
        <v>0</v>
      </c>
      <c r="S67">
        <v>0</v>
      </c>
      <c r="T67">
        <v>0</v>
      </c>
      <c r="U67">
        <v>0</v>
      </c>
      <c r="V67">
        <v>0</v>
      </c>
      <c r="W67">
        <v>0</v>
      </c>
      <c r="Z67">
        <f t="shared" si="0"/>
        <v>0</v>
      </c>
      <c r="AB67">
        <f>+D67+G67+J67+M67+S67+V67+Table_Query_from_HTEDA23_19[[#This Row],[ERC015]]</f>
        <v>0</v>
      </c>
    </row>
    <row r="68" spans="2:28" ht="15.75">
      <c r="B68" t="s">
        <v>464</v>
      </c>
      <c r="C68">
        <v>0</v>
      </c>
      <c r="D68">
        <v>0</v>
      </c>
      <c r="E68">
        <v>0</v>
      </c>
      <c r="F68">
        <v>0</v>
      </c>
      <c r="G68">
        <v>0</v>
      </c>
      <c r="H68">
        <v>0</v>
      </c>
      <c r="I68">
        <v>0</v>
      </c>
      <c r="J68">
        <v>0</v>
      </c>
      <c r="K68" s="3">
        <v>0</v>
      </c>
      <c r="L68">
        <v>0</v>
      </c>
      <c r="M68">
        <v>0</v>
      </c>
      <c r="N68">
        <v>0</v>
      </c>
      <c r="O68">
        <v>0</v>
      </c>
      <c r="P68">
        <v>0</v>
      </c>
      <c r="Q68">
        <v>0</v>
      </c>
      <c r="R68">
        <v>0</v>
      </c>
      <c r="S68">
        <v>0</v>
      </c>
      <c r="T68">
        <v>0</v>
      </c>
      <c r="U68">
        <v>0</v>
      </c>
      <c r="V68">
        <v>0</v>
      </c>
      <c r="W68">
        <v>0</v>
      </c>
      <c r="Z68">
        <f t="shared" si="0"/>
        <v>0</v>
      </c>
      <c r="AB68">
        <f>+D68+G68+J68+M68+S68+V68+Table_Query_from_HTEDA23_19[[#This Row],[ERC015]]</f>
        <v>0</v>
      </c>
    </row>
    <row r="69" spans="2:28" ht="15.75">
      <c r="B69" t="s">
        <v>846</v>
      </c>
      <c r="C69">
        <v>0</v>
      </c>
      <c r="D69">
        <v>0</v>
      </c>
      <c r="E69">
        <v>0</v>
      </c>
      <c r="F69">
        <v>0</v>
      </c>
      <c r="G69">
        <v>0</v>
      </c>
      <c r="H69">
        <v>0</v>
      </c>
      <c r="I69">
        <v>0</v>
      </c>
      <c r="J69">
        <v>0</v>
      </c>
      <c r="K69" s="3">
        <v>0</v>
      </c>
      <c r="L69">
        <v>0</v>
      </c>
      <c r="M69">
        <v>0</v>
      </c>
      <c r="N69">
        <v>0</v>
      </c>
      <c r="O69">
        <v>0</v>
      </c>
      <c r="P69">
        <v>0</v>
      </c>
      <c r="Q69">
        <v>0</v>
      </c>
      <c r="R69">
        <v>0</v>
      </c>
      <c r="S69">
        <v>0</v>
      </c>
      <c r="T69">
        <v>0</v>
      </c>
      <c r="U69">
        <v>0</v>
      </c>
      <c r="V69">
        <v>0</v>
      </c>
      <c r="W69">
        <v>0</v>
      </c>
      <c r="Z69">
        <f t="shared" si="0"/>
        <v>0</v>
      </c>
      <c r="AB69">
        <f>+D69+G69+J69+M69+S69+V69+Table_Query_from_HTEDA23_19[[#This Row],[ERC015]]</f>
        <v>0</v>
      </c>
    </row>
    <row r="70" spans="2:28" ht="15.75">
      <c r="B70" t="s">
        <v>45</v>
      </c>
      <c r="C70">
        <v>0</v>
      </c>
      <c r="D70">
        <v>0</v>
      </c>
      <c r="E70">
        <v>0</v>
      </c>
      <c r="F70">
        <v>0</v>
      </c>
      <c r="G70">
        <v>0</v>
      </c>
      <c r="H70">
        <v>0</v>
      </c>
      <c r="I70">
        <v>0</v>
      </c>
      <c r="J70">
        <v>0</v>
      </c>
      <c r="K70" s="3">
        <v>0</v>
      </c>
      <c r="L70">
        <v>0</v>
      </c>
      <c r="M70">
        <v>0</v>
      </c>
      <c r="N70">
        <v>0</v>
      </c>
      <c r="O70">
        <v>0</v>
      </c>
      <c r="P70">
        <v>0</v>
      </c>
      <c r="Q70">
        <v>0</v>
      </c>
      <c r="R70">
        <v>0</v>
      </c>
      <c r="S70">
        <v>0</v>
      </c>
      <c r="T70">
        <v>0</v>
      </c>
      <c r="U70">
        <v>0</v>
      </c>
      <c r="V70">
        <v>0</v>
      </c>
      <c r="W70">
        <v>0</v>
      </c>
      <c r="Z70">
        <f t="shared" si="0"/>
        <v>0</v>
      </c>
      <c r="AB70">
        <f>+D70+G70+J70+M70+S70+V70+Table_Query_from_HTEDA23_19[[#This Row],[ERC015]]</f>
        <v>0</v>
      </c>
    </row>
    <row r="71" spans="2:28" ht="15.75">
      <c r="B71" t="s">
        <v>464</v>
      </c>
      <c r="C71">
        <v>0</v>
      </c>
      <c r="D71">
        <v>0</v>
      </c>
      <c r="E71">
        <v>0</v>
      </c>
      <c r="F71">
        <v>0</v>
      </c>
      <c r="G71">
        <v>0</v>
      </c>
      <c r="H71">
        <v>0</v>
      </c>
      <c r="I71">
        <v>0</v>
      </c>
      <c r="J71">
        <v>0</v>
      </c>
      <c r="K71" s="3">
        <v>0</v>
      </c>
      <c r="L71">
        <v>0</v>
      </c>
      <c r="M71">
        <v>0</v>
      </c>
      <c r="N71">
        <v>0</v>
      </c>
      <c r="O71">
        <v>0</v>
      </c>
      <c r="P71">
        <v>0</v>
      </c>
      <c r="Q71">
        <v>0</v>
      </c>
      <c r="R71">
        <v>0</v>
      </c>
      <c r="S71">
        <v>0</v>
      </c>
      <c r="T71">
        <v>0</v>
      </c>
      <c r="U71">
        <v>0</v>
      </c>
      <c r="V71">
        <v>0</v>
      </c>
      <c r="W71">
        <v>0</v>
      </c>
      <c r="Z71">
        <f t="shared" si="0"/>
        <v>0</v>
      </c>
      <c r="AB71">
        <f>+D71+G71+J71+M71+S71+V71+Table_Query_from_HTEDA23_19[[#This Row],[ERC015]]</f>
        <v>0</v>
      </c>
    </row>
    <row r="72" spans="2:28" ht="15.75">
      <c r="B72" t="s">
        <v>846</v>
      </c>
      <c r="C72">
        <v>0</v>
      </c>
      <c r="D72">
        <v>0</v>
      </c>
      <c r="E72">
        <v>0</v>
      </c>
      <c r="F72">
        <v>0</v>
      </c>
      <c r="G72">
        <v>0</v>
      </c>
      <c r="H72">
        <v>0</v>
      </c>
      <c r="I72">
        <v>0</v>
      </c>
      <c r="J72">
        <v>0</v>
      </c>
      <c r="K72" s="3">
        <v>0</v>
      </c>
      <c r="L72">
        <v>0</v>
      </c>
      <c r="M72">
        <v>0</v>
      </c>
      <c r="N72">
        <v>0</v>
      </c>
      <c r="O72">
        <v>0</v>
      </c>
      <c r="P72">
        <v>0</v>
      </c>
      <c r="Q72">
        <v>0</v>
      </c>
      <c r="R72">
        <v>0</v>
      </c>
      <c r="S72">
        <v>0</v>
      </c>
      <c r="T72">
        <v>0</v>
      </c>
      <c r="U72">
        <v>0</v>
      </c>
      <c r="V72">
        <v>0</v>
      </c>
      <c r="W72">
        <v>0</v>
      </c>
      <c r="Z72">
        <f t="shared" si="0"/>
        <v>0</v>
      </c>
      <c r="AB72">
        <f>+D72+G72+J72+M72+S72+V72+Table_Query_from_HTEDA23_19[[#This Row],[ERC015]]</f>
        <v>0</v>
      </c>
    </row>
    <row r="73" spans="2:28" ht="15.75">
      <c r="B73" t="s">
        <v>47</v>
      </c>
      <c r="C73">
        <v>0</v>
      </c>
      <c r="D73">
        <v>0</v>
      </c>
      <c r="E73">
        <v>0</v>
      </c>
      <c r="F73">
        <v>0</v>
      </c>
      <c r="G73">
        <v>0</v>
      </c>
      <c r="H73">
        <v>0</v>
      </c>
      <c r="I73">
        <v>0</v>
      </c>
      <c r="J73">
        <v>0</v>
      </c>
      <c r="K73" s="3">
        <v>0</v>
      </c>
      <c r="L73">
        <v>0</v>
      </c>
      <c r="M73">
        <v>0</v>
      </c>
      <c r="N73">
        <v>0</v>
      </c>
      <c r="O73">
        <v>0</v>
      </c>
      <c r="P73">
        <v>0</v>
      </c>
      <c r="Q73">
        <v>0</v>
      </c>
      <c r="R73">
        <v>0</v>
      </c>
      <c r="S73">
        <v>0</v>
      </c>
      <c r="T73">
        <v>0</v>
      </c>
      <c r="U73">
        <v>0</v>
      </c>
      <c r="V73">
        <v>0</v>
      </c>
      <c r="W73">
        <v>0</v>
      </c>
      <c r="Z73">
        <f t="shared" si="0"/>
        <v>0</v>
      </c>
      <c r="AB73">
        <f>+D73+G73+J73+M73+S73+V73+Table_Query_from_HTEDA23_19[[#This Row],[ERC015]]</f>
        <v>0</v>
      </c>
    </row>
    <row r="74" spans="2:28" ht="15.75">
      <c r="B74" t="s">
        <v>464</v>
      </c>
      <c r="C74">
        <v>0</v>
      </c>
      <c r="D74">
        <v>0</v>
      </c>
      <c r="E74">
        <v>0</v>
      </c>
      <c r="F74">
        <v>0</v>
      </c>
      <c r="G74">
        <v>0</v>
      </c>
      <c r="H74">
        <v>0</v>
      </c>
      <c r="I74">
        <v>0</v>
      </c>
      <c r="J74">
        <v>0</v>
      </c>
      <c r="K74" s="3">
        <v>0</v>
      </c>
      <c r="L74">
        <v>0</v>
      </c>
      <c r="M74">
        <v>0</v>
      </c>
      <c r="N74">
        <v>0</v>
      </c>
      <c r="O74">
        <v>0</v>
      </c>
      <c r="P74">
        <v>0</v>
      </c>
      <c r="Q74">
        <v>0</v>
      </c>
      <c r="R74">
        <v>0</v>
      </c>
      <c r="S74">
        <v>0</v>
      </c>
      <c r="T74">
        <v>0</v>
      </c>
      <c r="U74">
        <v>0</v>
      </c>
      <c r="V74">
        <v>0</v>
      </c>
      <c r="W74">
        <v>0</v>
      </c>
      <c r="Z74">
        <f t="shared" si="0"/>
        <v>0</v>
      </c>
      <c r="AB74">
        <f>+D74+G74+J74+M74+S74+V74+Table_Query_from_HTEDA23_19[[#This Row],[ERC015]]</f>
        <v>0</v>
      </c>
    </row>
    <row r="75" spans="2:28" ht="15.75">
      <c r="B75" t="s">
        <v>846</v>
      </c>
      <c r="C75">
        <v>0</v>
      </c>
      <c r="D75">
        <v>0</v>
      </c>
      <c r="E75">
        <v>0</v>
      </c>
      <c r="F75">
        <v>0</v>
      </c>
      <c r="G75">
        <v>0</v>
      </c>
      <c r="H75">
        <v>0</v>
      </c>
      <c r="I75">
        <v>0</v>
      </c>
      <c r="J75">
        <v>0</v>
      </c>
      <c r="K75" s="3">
        <v>0</v>
      </c>
      <c r="L75">
        <v>0</v>
      </c>
      <c r="M75">
        <v>0</v>
      </c>
      <c r="N75">
        <v>0</v>
      </c>
      <c r="O75">
        <v>0</v>
      </c>
      <c r="P75">
        <v>0</v>
      </c>
      <c r="Q75">
        <v>0</v>
      </c>
      <c r="R75">
        <v>0</v>
      </c>
      <c r="S75">
        <v>0</v>
      </c>
      <c r="T75">
        <v>0</v>
      </c>
      <c r="U75">
        <v>0</v>
      </c>
      <c r="V75">
        <v>0</v>
      </c>
      <c r="W75">
        <v>0</v>
      </c>
      <c r="Z75">
        <f t="shared" si="0"/>
        <v>0</v>
      </c>
      <c r="AB75">
        <f>+D75+G75+J75+M75+S75+V75+Table_Query_from_HTEDA23_19[[#This Row],[ERC015]]</f>
        <v>0</v>
      </c>
    </row>
    <row r="76" spans="2:28" ht="15.75">
      <c r="B76" t="s">
        <v>247</v>
      </c>
      <c r="C76">
        <v>0</v>
      </c>
      <c r="D76">
        <v>0</v>
      </c>
      <c r="E76">
        <v>0</v>
      </c>
      <c r="F76">
        <v>0</v>
      </c>
      <c r="G76">
        <v>0</v>
      </c>
      <c r="H76">
        <v>0</v>
      </c>
      <c r="I76">
        <v>0</v>
      </c>
      <c r="J76">
        <v>0</v>
      </c>
      <c r="K76" s="3">
        <v>0</v>
      </c>
      <c r="L76">
        <v>0</v>
      </c>
      <c r="M76">
        <v>0</v>
      </c>
      <c r="N76">
        <v>0</v>
      </c>
      <c r="O76">
        <v>0</v>
      </c>
      <c r="P76">
        <v>0</v>
      </c>
      <c r="Q76">
        <v>0</v>
      </c>
      <c r="R76">
        <v>0</v>
      </c>
      <c r="S76">
        <v>0</v>
      </c>
      <c r="T76">
        <v>0</v>
      </c>
      <c r="U76">
        <v>0</v>
      </c>
      <c r="V76">
        <v>0</v>
      </c>
      <c r="W76">
        <v>0</v>
      </c>
      <c r="Z76">
        <f t="shared" si="0"/>
        <v>0</v>
      </c>
      <c r="AB76">
        <f>+D76+G76+J76+M76+S76+V76+Table_Query_from_HTEDA23_19[[#This Row],[ERC015]]</f>
        <v>0</v>
      </c>
    </row>
    <row r="77" spans="2:28" ht="15.75">
      <c r="B77" t="s">
        <v>848</v>
      </c>
      <c r="C77">
        <v>98321</v>
      </c>
      <c r="D77" s="987">
        <f>98320+155+70</f>
        <v>98545</v>
      </c>
      <c r="E77">
        <v>0</v>
      </c>
      <c r="F77">
        <v>874183</v>
      </c>
      <c r="G77">
        <v>775000</v>
      </c>
      <c r="H77">
        <v>0</v>
      </c>
      <c r="I77">
        <v>0</v>
      </c>
      <c r="J77">
        <v>0</v>
      </c>
      <c r="K77" s="3">
        <v>0</v>
      </c>
      <c r="L77">
        <v>0</v>
      </c>
      <c r="M77">
        <v>0</v>
      </c>
      <c r="N77">
        <v>0</v>
      </c>
      <c r="O77">
        <v>94689</v>
      </c>
      <c r="P77">
        <v>94689</v>
      </c>
      <c r="Q77">
        <v>0</v>
      </c>
      <c r="R77">
        <v>365500</v>
      </c>
      <c r="S77" s="987">
        <f>500550-135550</f>
        <v>365000</v>
      </c>
      <c r="T77">
        <v>0</v>
      </c>
      <c r="U77">
        <v>131765</v>
      </c>
      <c r="V77">
        <v>91485</v>
      </c>
      <c r="W77">
        <v>0</v>
      </c>
      <c r="Z77">
        <f t="shared" si="0"/>
        <v>1424719</v>
      </c>
      <c r="AB77">
        <f>+D77+G77+J77+M77+S77+V77+Table_Query_from_HTEDA23_19[[#This Row],[ERC015]]</f>
        <v>1424719</v>
      </c>
    </row>
    <row r="78" spans="2:28" ht="15.75">
      <c r="B78" t="s">
        <v>1021</v>
      </c>
      <c r="C78">
        <v>14486</v>
      </c>
      <c r="D78">
        <v>13764</v>
      </c>
      <c r="E78">
        <v>0</v>
      </c>
      <c r="F78">
        <v>92500</v>
      </c>
      <c r="G78">
        <v>191683</v>
      </c>
      <c r="H78">
        <v>0</v>
      </c>
      <c r="I78">
        <v>0</v>
      </c>
      <c r="J78">
        <v>0</v>
      </c>
      <c r="K78" s="3">
        <v>0</v>
      </c>
      <c r="L78">
        <v>0</v>
      </c>
      <c r="M78">
        <v>0</v>
      </c>
      <c r="N78">
        <v>0</v>
      </c>
      <c r="O78">
        <v>1840</v>
      </c>
      <c r="P78">
        <v>1781</v>
      </c>
      <c r="Q78">
        <v>0</v>
      </c>
      <c r="R78">
        <v>271100</v>
      </c>
      <c r="S78" s="987">
        <f>136050+135550</f>
        <v>271600</v>
      </c>
      <c r="T78">
        <v>0</v>
      </c>
      <c r="U78">
        <v>3697</v>
      </c>
      <c r="V78">
        <v>5663</v>
      </c>
      <c r="W78">
        <v>0</v>
      </c>
      <c r="Z78">
        <f t="shared" si="0"/>
        <v>484491</v>
      </c>
      <c r="AA78">
        <f>+M78+M77</f>
        <v>0</v>
      </c>
      <c r="AB78">
        <f>+D78+G78+J78+M78+S78+V78+Table_Query_from_HTEDA23_19[[#This Row],[ERC015]]</f>
        <v>484491</v>
      </c>
    </row>
    <row r="79" spans="2:28" ht="15.75">
      <c r="B79" t="s">
        <v>1022</v>
      </c>
      <c r="C79">
        <v>0</v>
      </c>
      <c r="D79">
        <v>0</v>
      </c>
      <c r="E79">
        <v>0</v>
      </c>
      <c r="F79">
        <v>0</v>
      </c>
      <c r="G79">
        <v>0</v>
      </c>
      <c r="H79">
        <v>0</v>
      </c>
      <c r="I79">
        <v>0</v>
      </c>
      <c r="J79">
        <v>0</v>
      </c>
      <c r="K79" s="3">
        <v>0</v>
      </c>
      <c r="L79">
        <v>0</v>
      </c>
      <c r="M79">
        <v>0</v>
      </c>
      <c r="N79">
        <v>0</v>
      </c>
      <c r="O79">
        <v>0</v>
      </c>
      <c r="P79">
        <v>0</v>
      </c>
      <c r="Q79">
        <v>0</v>
      </c>
      <c r="R79">
        <v>0</v>
      </c>
      <c r="S79">
        <v>0</v>
      </c>
      <c r="T79">
        <v>0</v>
      </c>
      <c r="U79">
        <v>0</v>
      </c>
      <c r="V79">
        <v>0</v>
      </c>
      <c r="W79">
        <v>0</v>
      </c>
      <c r="Z79">
        <f t="shared" si="0"/>
        <v>0</v>
      </c>
      <c r="AB79">
        <f>+D79+G79+J79+M79+S79+V79+Table_Query_from_HTEDA23_19[[#This Row],[ERC015]]</f>
        <v>0</v>
      </c>
    </row>
    <row r="80" spans="2:28" ht="15.75">
      <c r="B80" t="s">
        <v>1167</v>
      </c>
      <c r="C80">
        <v>0</v>
      </c>
      <c r="D80">
        <v>0</v>
      </c>
      <c r="E80">
        <v>0</v>
      </c>
      <c r="F80">
        <v>0</v>
      </c>
      <c r="G80">
        <v>0</v>
      </c>
      <c r="H80">
        <v>0</v>
      </c>
      <c r="I80">
        <v>0</v>
      </c>
      <c r="J80">
        <v>0</v>
      </c>
      <c r="K80" s="3">
        <v>0</v>
      </c>
      <c r="L80">
        <v>0</v>
      </c>
      <c r="M80">
        <v>0</v>
      </c>
      <c r="N80">
        <v>0</v>
      </c>
      <c r="O80">
        <v>0</v>
      </c>
      <c r="P80">
        <v>0</v>
      </c>
      <c r="Q80">
        <v>0</v>
      </c>
      <c r="R80">
        <v>0</v>
      </c>
      <c r="S80">
        <v>0</v>
      </c>
      <c r="T80">
        <v>0</v>
      </c>
      <c r="U80">
        <v>0</v>
      </c>
      <c r="V80">
        <v>0</v>
      </c>
      <c r="W80">
        <v>0</v>
      </c>
      <c r="Z80">
        <f t="shared" si="0"/>
        <v>0</v>
      </c>
      <c r="AB80">
        <f>+D80+G80+J80+M80+S80+V80+Table_Query_from_HTEDA23_19[[#This Row],[ERC015]]</f>
        <v>0</v>
      </c>
    </row>
    <row r="81" spans="2:28" ht="15.75">
      <c r="B81" t="s">
        <v>849</v>
      </c>
      <c r="C81">
        <v>112807</v>
      </c>
      <c r="D81">
        <v>112084</v>
      </c>
      <c r="E81">
        <v>0</v>
      </c>
      <c r="F81">
        <v>966683</v>
      </c>
      <c r="G81">
        <v>966683</v>
      </c>
      <c r="H81">
        <v>0</v>
      </c>
      <c r="I81">
        <v>0</v>
      </c>
      <c r="J81">
        <v>0</v>
      </c>
      <c r="K81" s="3">
        <v>0</v>
      </c>
      <c r="L81">
        <v>0</v>
      </c>
      <c r="M81">
        <v>0</v>
      </c>
      <c r="N81">
        <v>0</v>
      </c>
      <c r="O81">
        <v>96529</v>
      </c>
      <c r="P81">
        <v>96470</v>
      </c>
      <c r="Q81">
        <v>0</v>
      </c>
      <c r="R81">
        <v>636600</v>
      </c>
      <c r="S81">
        <v>636600</v>
      </c>
      <c r="T81">
        <v>0</v>
      </c>
      <c r="U81">
        <v>135462</v>
      </c>
      <c r="V81">
        <v>97148</v>
      </c>
      <c r="W81">
        <v>0</v>
      </c>
      <c r="Z81">
        <f t="shared" si="0"/>
        <v>1908985</v>
      </c>
      <c r="AB81">
        <f>+D81+G81+J81+M81+S81+V81+Table_Query_from_HTEDA23_19[[#This Row],[ERC015]]</f>
        <v>1908985</v>
      </c>
    </row>
    <row r="82" spans="2:28" ht="15.75">
      <c r="B82" t="s">
        <v>850</v>
      </c>
      <c r="C82">
        <v>0</v>
      </c>
      <c r="D82">
        <v>0</v>
      </c>
      <c r="E82">
        <v>0</v>
      </c>
      <c r="F82">
        <v>0</v>
      </c>
      <c r="G82">
        <v>0</v>
      </c>
      <c r="H82">
        <v>0</v>
      </c>
      <c r="I82">
        <v>0</v>
      </c>
      <c r="J82">
        <v>0</v>
      </c>
      <c r="K82" s="3">
        <v>0</v>
      </c>
      <c r="L82">
        <v>0</v>
      </c>
      <c r="M82">
        <v>0</v>
      </c>
      <c r="N82">
        <v>0</v>
      </c>
      <c r="O82">
        <v>0</v>
      </c>
      <c r="P82">
        <v>0</v>
      </c>
      <c r="Q82">
        <v>0</v>
      </c>
      <c r="R82">
        <v>0</v>
      </c>
      <c r="S82">
        <v>0</v>
      </c>
      <c r="T82">
        <v>0</v>
      </c>
      <c r="U82">
        <v>0</v>
      </c>
      <c r="V82">
        <v>0</v>
      </c>
      <c r="W82">
        <v>0</v>
      </c>
      <c r="Z82">
        <f t="shared" si="0"/>
        <v>0</v>
      </c>
      <c r="AB82">
        <f>+D82+G82+J82+M82+S82+V82+Table_Query_from_HTEDA23_19[[#This Row],[ERC015]]</f>
        <v>0</v>
      </c>
    </row>
    <row r="83" spans="2:28" ht="15.75">
      <c r="B83" t="s">
        <v>427</v>
      </c>
      <c r="C83">
        <v>0</v>
      </c>
      <c r="D83">
        <v>0</v>
      </c>
      <c r="E83">
        <v>0</v>
      </c>
      <c r="F83">
        <v>-39500</v>
      </c>
      <c r="G83">
        <v>-5661</v>
      </c>
      <c r="H83">
        <v>0</v>
      </c>
      <c r="I83">
        <v>0</v>
      </c>
      <c r="J83">
        <v>0</v>
      </c>
      <c r="K83" s="3">
        <v>0</v>
      </c>
      <c r="L83">
        <v>0</v>
      </c>
      <c r="M83">
        <v>12653</v>
      </c>
      <c r="N83">
        <v>0</v>
      </c>
      <c r="O83">
        <v>3471</v>
      </c>
      <c r="P83">
        <v>-3588</v>
      </c>
      <c r="Q83">
        <v>0</v>
      </c>
      <c r="R83">
        <v>0</v>
      </c>
      <c r="S83">
        <v>14613</v>
      </c>
      <c r="T83">
        <v>0</v>
      </c>
      <c r="U83">
        <v>-39115</v>
      </c>
      <c r="V83">
        <v>34429</v>
      </c>
      <c r="W83">
        <v>0</v>
      </c>
      <c r="Z83">
        <f t="shared" ref="Z83:Z95" si="1">+D83+G83+J83+M83++P83+S83+V83</f>
        <v>52446</v>
      </c>
      <c r="AB83">
        <f>+D83+G83+J83+M83+S83+V83+Table_Query_from_HTEDA23_19[[#This Row],[ERC015]]</f>
        <v>52446</v>
      </c>
    </row>
    <row r="84" spans="2:28" ht="15.75">
      <c r="B84" t="s">
        <v>1167</v>
      </c>
      <c r="C84">
        <v>0</v>
      </c>
      <c r="D84">
        <v>0</v>
      </c>
      <c r="E84">
        <v>0</v>
      </c>
      <c r="F84">
        <v>0</v>
      </c>
      <c r="G84">
        <v>0</v>
      </c>
      <c r="H84">
        <v>0</v>
      </c>
      <c r="I84">
        <v>0</v>
      </c>
      <c r="J84">
        <v>0</v>
      </c>
      <c r="K84" s="3">
        <v>0</v>
      </c>
      <c r="L84">
        <v>0</v>
      </c>
      <c r="M84">
        <v>0</v>
      </c>
      <c r="N84">
        <v>0</v>
      </c>
      <c r="O84">
        <v>0</v>
      </c>
      <c r="P84">
        <v>0</v>
      </c>
      <c r="Q84">
        <v>0</v>
      </c>
      <c r="R84">
        <v>0</v>
      </c>
      <c r="S84">
        <v>0</v>
      </c>
      <c r="T84">
        <v>0</v>
      </c>
      <c r="U84">
        <v>0</v>
      </c>
      <c r="V84">
        <v>0</v>
      </c>
      <c r="W84">
        <v>0</v>
      </c>
      <c r="Z84">
        <f t="shared" si="1"/>
        <v>0</v>
      </c>
      <c r="AB84">
        <f>+D84+G84+J84+M84+S84+V84+Table_Query_from_HTEDA23_19[[#This Row],[ERC015]]</f>
        <v>0</v>
      </c>
    </row>
    <row r="85" spans="2:28" ht="15.75">
      <c r="B85" t="s">
        <v>428</v>
      </c>
      <c r="C85">
        <v>0</v>
      </c>
      <c r="D85">
        <v>0</v>
      </c>
      <c r="E85">
        <v>0</v>
      </c>
      <c r="F85">
        <v>0</v>
      </c>
      <c r="G85">
        <v>0</v>
      </c>
      <c r="H85">
        <v>0</v>
      </c>
      <c r="I85">
        <v>0</v>
      </c>
      <c r="J85">
        <v>0</v>
      </c>
      <c r="K85" s="3">
        <v>0</v>
      </c>
      <c r="L85">
        <v>0</v>
      </c>
      <c r="M85">
        <v>0</v>
      </c>
      <c r="N85">
        <v>0</v>
      </c>
      <c r="O85">
        <v>0</v>
      </c>
      <c r="P85">
        <v>0</v>
      </c>
      <c r="Q85">
        <v>0</v>
      </c>
      <c r="R85">
        <v>0</v>
      </c>
      <c r="S85">
        <v>0</v>
      </c>
      <c r="T85">
        <v>0</v>
      </c>
      <c r="U85">
        <v>0</v>
      </c>
      <c r="V85">
        <v>0</v>
      </c>
      <c r="W85">
        <v>0</v>
      </c>
      <c r="Z85">
        <f t="shared" si="1"/>
        <v>0</v>
      </c>
      <c r="AB85">
        <f>+D85+G85+J85+M85+S85+V85+Table_Query_from_HTEDA23_19[[#This Row],[ERC015]]</f>
        <v>0</v>
      </c>
    </row>
    <row r="86" spans="2:28" ht="15.75">
      <c r="B86" t="s">
        <v>429</v>
      </c>
      <c r="C86">
        <v>0</v>
      </c>
      <c r="D86">
        <v>0</v>
      </c>
      <c r="E86">
        <v>0</v>
      </c>
      <c r="F86">
        <v>0</v>
      </c>
      <c r="G86">
        <v>0</v>
      </c>
      <c r="H86">
        <v>0</v>
      </c>
      <c r="I86">
        <v>0</v>
      </c>
      <c r="J86">
        <v>0</v>
      </c>
      <c r="K86" s="3">
        <v>0</v>
      </c>
      <c r="L86">
        <v>0</v>
      </c>
      <c r="M86">
        <v>0</v>
      </c>
      <c r="N86">
        <v>0</v>
      </c>
      <c r="O86">
        <v>0</v>
      </c>
      <c r="P86">
        <v>0</v>
      </c>
      <c r="Q86">
        <v>0</v>
      </c>
      <c r="R86">
        <v>0</v>
      </c>
      <c r="S86">
        <v>0</v>
      </c>
      <c r="T86">
        <v>0</v>
      </c>
      <c r="U86">
        <v>0</v>
      </c>
      <c r="V86">
        <v>0</v>
      </c>
      <c r="W86">
        <v>0</v>
      </c>
      <c r="Z86">
        <f t="shared" si="1"/>
        <v>0</v>
      </c>
      <c r="AB86">
        <f>+D86+G86+J86+M86+S86+V86+Table_Query_from_HTEDA23_19[[#This Row],[ERC015]]</f>
        <v>0</v>
      </c>
    </row>
    <row r="87" spans="2:28" ht="15.75">
      <c r="B87" t="s">
        <v>430</v>
      </c>
      <c r="C87">
        <v>0</v>
      </c>
      <c r="D87">
        <v>0</v>
      </c>
      <c r="E87">
        <v>0</v>
      </c>
      <c r="F87">
        <v>0</v>
      </c>
      <c r="G87">
        <v>0</v>
      </c>
      <c r="H87">
        <v>0</v>
      </c>
      <c r="I87">
        <v>0</v>
      </c>
      <c r="J87">
        <v>0</v>
      </c>
      <c r="K87" s="3">
        <v>0</v>
      </c>
      <c r="L87">
        <v>0</v>
      </c>
      <c r="M87">
        <v>0</v>
      </c>
      <c r="N87">
        <v>0</v>
      </c>
      <c r="O87">
        <v>0</v>
      </c>
      <c r="P87">
        <v>0</v>
      </c>
      <c r="Q87">
        <v>0</v>
      </c>
      <c r="R87">
        <v>0</v>
      </c>
      <c r="S87" s="128">
        <v>0</v>
      </c>
      <c r="T87">
        <v>0</v>
      </c>
      <c r="U87">
        <v>0</v>
      </c>
      <c r="V87">
        <v>-8109</v>
      </c>
      <c r="W87">
        <v>0</v>
      </c>
      <c r="Z87">
        <f t="shared" si="1"/>
        <v>-8109</v>
      </c>
      <c r="AB87">
        <f>+D87+G87+J87+M87+S87+V87+Table_Query_from_HTEDA23_19[[#This Row],[ERC015]]</f>
        <v>-8109</v>
      </c>
    </row>
    <row r="88" spans="2:28" ht="15.75">
      <c r="B88" t="s">
        <v>431</v>
      </c>
      <c r="C88">
        <v>0</v>
      </c>
      <c r="D88">
        <v>0</v>
      </c>
      <c r="E88">
        <v>0</v>
      </c>
      <c r="F88">
        <v>0</v>
      </c>
      <c r="G88" s="128">
        <v>0</v>
      </c>
      <c r="H88">
        <v>0</v>
      </c>
      <c r="I88">
        <v>0</v>
      </c>
      <c r="J88">
        <v>0</v>
      </c>
      <c r="K88" s="3">
        <v>0</v>
      </c>
      <c r="L88">
        <v>0</v>
      </c>
      <c r="M88">
        <v>7975</v>
      </c>
      <c r="N88">
        <v>0</v>
      </c>
      <c r="O88">
        <v>0</v>
      </c>
      <c r="P88">
        <v>0</v>
      </c>
      <c r="Q88">
        <v>0</v>
      </c>
      <c r="R88">
        <v>0</v>
      </c>
      <c r="S88">
        <v>0</v>
      </c>
      <c r="T88">
        <v>0</v>
      </c>
      <c r="U88">
        <v>0</v>
      </c>
      <c r="V88">
        <v>0</v>
      </c>
      <c r="W88">
        <v>0</v>
      </c>
      <c r="Z88">
        <f t="shared" si="1"/>
        <v>7975</v>
      </c>
      <c r="AB88">
        <f>+D88+G88+J88+M88+S88+V88+Table_Query_from_HTEDA23_19[[#This Row],[ERC015]]</f>
        <v>7975</v>
      </c>
    </row>
    <row r="89" spans="2:28" ht="15.75">
      <c r="B89" t="s">
        <v>432</v>
      </c>
      <c r="C89">
        <v>0</v>
      </c>
      <c r="D89">
        <v>0</v>
      </c>
      <c r="E89">
        <v>0</v>
      </c>
      <c r="F89">
        <v>0</v>
      </c>
      <c r="G89">
        <v>0</v>
      </c>
      <c r="H89">
        <v>0</v>
      </c>
      <c r="I89">
        <v>0</v>
      </c>
      <c r="J89">
        <v>0</v>
      </c>
      <c r="K89" s="3">
        <v>0</v>
      </c>
      <c r="L89">
        <v>0</v>
      </c>
      <c r="M89">
        <v>0</v>
      </c>
      <c r="N89">
        <v>0</v>
      </c>
      <c r="O89">
        <v>0</v>
      </c>
      <c r="P89">
        <v>0</v>
      </c>
      <c r="Q89">
        <v>0</v>
      </c>
      <c r="R89">
        <v>0</v>
      </c>
      <c r="S89">
        <v>0</v>
      </c>
      <c r="T89">
        <v>0</v>
      </c>
      <c r="U89">
        <v>0</v>
      </c>
      <c r="V89">
        <v>0</v>
      </c>
      <c r="W89">
        <v>0</v>
      </c>
      <c r="Z89">
        <f t="shared" si="1"/>
        <v>0</v>
      </c>
      <c r="AB89">
        <f>+D89+G89+J89+M89+S89+V89+Table_Query_from_HTEDA23_19[[#This Row],[ERC015]]</f>
        <v>0</v>
      </c>
    </row>
    <row r="90" spans="2:28" ht="15.75">
      <c r="B90" t="s">
        <v>1167</v>
      </c>
      <c r="C90">
        <v>0</v>
      </c>
      <c r="D90">
        <v>0</v>
      </c>
      <c r="E90">
        <v>0</v>
      </c>
      <c r="F90">
        <v>0</v>
      </c>
      <c r="G90">
        <v>0</v>
      </c>
      <c r="H90">
        <v>0</v>
      </c>
      <c r="I90">
        <v>0</v>
      </c>
      <c r="J90">
        <v>0</v>
      </c>
      <c r="K90" s="3">
        <v>0</v>
      </c>
      <c r="L90">
        <v>0</v>
      </c>
      <c r="M90">
        <v>0</v>
      </c>
      <c r="N90">
        <v>0</v>
      </c>
      <c r="O90">
        <v>0</v>
      </c>
      <c r="P90">
        <v>0</v>
      </c>
      <c r="Q90">
        <v>0</v>
      </c>
      <c r="R90">
        <v>0</v>
      </c>
      <c r="S90">
        <v>0</v>
      </c>
      <c r="T90">
        <v>0</v>
      </c>
      <c r="U90">
        <v>0</v>
      </c>
      <c r="V90">
        <v>0</v>
      </c>
      <c r="W90">
        <v>0</v>
      </c>
      <c r="Z90">
        <f t="shared" si="1"/>
        <v>0</v>
      </c>
      <c r="AB90">
        <f>+D90+G90+J90+M90+S90+V90+Table_Query_from_HTEDA23_19[[#This Row],[ERC015]]</f>
        <v>0</v>
      </c>
    </row>
    <row r="91" spans="2:28" ht="15.75">
      <c r="B91" t="s">
        <v>433</v>
      </c>
      <c r="C91">
        <v>0</v>
      </c>
      <c r="D91">
        <v>0</v>
      </c>
      <c r="E91">
        <v>0</v>
      </c>
      <c r="F91">
        <v>0</v>
      </c>
      <c r="G91">
        <v>0</v>
      </c>
      <c r="H91">
        <v>0</v>
      </c>
      <c r="I91">
        <v>0</v>
      </c>
      <c r="J91">
        <v>0</v>
      </c>
      <c r="K91" s="3">
        <v>0</v>
      </c>
      <c r="L91">
        <v>0</v>
      </c>
      <c r="M91">
        <v>7975</v>
      </c>
      <c r="N91">
        <v>0</v>
      </c>
      <c r="O91">
        <v>0</v>
      </c>
      <c r="P91">
        <v>0</v>
      </c>
      <c r="Q91">
        <v>0</v>
      </c>
      <c r="R91">
        <v>0</v>
      </c>
      <c r="S91">
        <v>0</v>
      </c>
      <c r="T91">
        <v>0</v>
      </c>
      <c r="U91">
        <v>0</v>
      </c>
      <c r="V91">
        <v>-8109</v>
      </c>
      <c r="W91">
        <v>0</v>
      </c>
      <c r="Z91">
        <f t="shared" si="1"/>
        <v>-134</v>
      </c>
      <c r="AB91">
        <f>+D91+G91+J91+M91+S91+V91+Table_Query_from_HTEDA23_19[[#This Row],[ERC015]]</f>
        <v>-134</v>
      </c>
    </row>
    <row r="92" spans="2:28" ht="15.75">
      <c r="B92" t="s">
        <v>1167</v>
      </c>
      <c r="C92">
        <v>0</v>
      </c>
      <c r="D92">
        <v>0</v>
      </c>
      <c r="E92">
        <v>0</v>
      </c>
      <c r="F92">
        <v>0</v>
      </c>
      <c r="G92">
        <v>0</v>
      </c>
      <c r="H92">
        <v>0</v>
      </c>
      <c r="I92">
        <v>0</v>
      </c>
      <c r="J92">
        <v>0</v>
      </c>
      <c r="K92" s="3">
        <v>0</v>
      </c>
      <c r="L92">
        <v>0</v>
      </c>
      <c r="M92">
        <v>0</v>
      </c>
      <c r="N92">
        <v>0</v>
      </c>
      <c r="O92">
        <v>0</v>
      </c>
      <c r="P92">
        <v>0</v>
      </c>
      <c r="Q92">
        <v>0</v>
      </c>
      <c r="R92">
        <v>0</v>
      </c>
      <c r="S92">
        <v>0</v>
      </c>
      <c r="T92">
        <v>0</v>
      </c>
      <c r="U92">
        <v>0</v>
      </c>
      <c r="V92">
        <v>0</v>
      </c>
      <c r="W92">
        <v>0</v>
      </c>
      <c r="Z92">
        <f t="shared" si="1"/>
        <v>0</v>
      </c>
      <c r="AB92">
        <f>+D92+G92+J92+M92+S92+V92+Table_Query_from_HTEDA23_19[[#This Row],[ERC015]]</f>
        <v>0</v>
      </c>
    </row>
    <row r="93" spans="2:28" ht="15.75">
      <c r="B93" t="s">
        <v>851</v>
      </c>
      <c r="C93">
        <v>0</v>
      </c>
      <c r="D93">
        <v>0</v>
      </c>
      <c r="E93">
        <v>0</v>
      </c>
      <c r="F93">
        <v>-39500</v>
      </c>
      <c r="G93">
        <v>-5661</v>
      </c>
      <c r="H93">
        <v>0</v>
      </c>
      <c r="I93">
        <v>0</v>
      </c>
      <c r="J93">
        <v>0</v>
      </c>
      <c r="K93" s="3">
        <v>0</v>
      </c>
      <c r="L93">
        <v>0</v>
      </c>
      <c r="M93">
        <v>20628</v>
      </c>
      <c r="N93">
        <v>0</v>
      </c>
      <c r="O93">
        <v>3471</v>
      </c>
      <c r="P93">
        <v>-3588</v>
      </c>
      <c r="Q93">
        <v>0</v>
      </c>
      <c r="R93">
        <v>0</v>
      </c>
      <c r="S93">
        <v>14613</v>
      </c>
      <c r="T93">
        <v>0</v>
      </c>
      <c r="U93">
        <v>-39115</v>
      </c>
      <c r="V93">
        <v>26320</v>
      </c>
      <c r="W93">
        <v>0</v>
      </c>
      <c r="Z93">
        <f t="shared" si="1"/>
        <v>52312</v>
      </c>
      <c r="AB93">
        <f>+D93+G93+J93+M93+S93+V93+Table_Query_from_HTEDA23_19[[#This Row],[ERC015]]</f>
        <v>52312</v>
      </c>
    </row>
    <row r="94" spans="2:28" ht="15.75">
      <c r="B94" t="s">
        <v>1167</v>
      </c>
      <c r="C94">
        <v>0</v>
      </c>
      <c r="D94">
        <v>0</v>
      </c>
      <c r="E94">
        <v>0</v>
      </c>
      <c r="F94">
        <v>0</v>
      </c>
      <c r="G94">
        <v>0</v>
      </c>
      <c r="H94">
        <v>0</v>
      </c>
      <c r="I94">
        <v>0</v>
      </c>
      <c r="J94">
        <v>0</v>
      </c>
      <c r="K94" s="3">
        <v>0</v>
      </c>
      <c r="L94">
        <v>0</v>
      </c>
      <c r="M94">
        <v>0</v>
      </c>
      <c r="N94">
        <v>0</v>
      </c>
      <c r="O94">
        <v>0</v>
      </c>
      <c r="P94">
        <v>0</v>
      </c>
      <c r="Q94">
        <v>0</v>
      </c>
      <c r="R94">
        <v>0</v>
      </c>
      <c r="S94">
        <v>0</v>
      </c>
      <c r="T94">
        <v>0</v>
      </c>
      <c r="U94">
        <v>0</v>
      </c>
      <c r="V94">
        <v>0</v>
      </c>
      <c r="W94">
        <v>0</v>
      </c>
      <c r="Z94">
        <f t="shared" si="1"/>
        <v>0</v>
      </c>
      <c r="AB94">
        <f>+D94+G94+J94+M94+S94+V94+Table_Query_from_HTEDA23_19[[#This Row],[ERC015]]</f>
        <v>0</v>
      </c>
    </row>
    <row r="95" spans="2:28" ht="15.75">
      <c r="B95" t="s">
        <v>852</v>
      </c>
      <c r="C95">
        <v>0</v>
      </c>
      <c r="D95">
        <v>0</v>
      </c>
      <c r="E95">
        <v>0</v>
      </c>
      <c r="F95">
        <v>0</v>
      </c>
      <c r="G95">
        <v>46955</v>
      </c>
      <c r="H95">
        <v>0</v>
      </c>
      <c r="I95">
        <v>0</v>
      </c>
      <c r="J95">
        <v>0</v>
      </c>
      <c r="K95" s="3">
        <v>0</v>
      </c>
      <c r="L95">
        <v>0</v>
      </c>
      <c r="M95">
        <v>366520</v>
      </c>
      <c r="N95">
        <v>0</v>
      </c>
      <c r="O95">
        <v>0</v>
      </c>
      <c r="P95">
        <v>59194</v>
      </c>
      <c r="Q95">
        <v>0</v>
      </c>
      <c r="R95">
        <v>0</v>
      </c>
      <c r="S95" s="128">
        <v>4817</v>
      </c>
      <c r="T95">
        <v>0</v>
      </c>
      <c r="U95">
        <v>0</v>
      </c>
      <c r="V95" s="128">
        <v>94782</v>
      </c>
      <c r="W95">
        <v>0</v>
      </c>
      <c r="Z95">
        <f t="shared" si="1"/>
        <v>572268</v>
      </c>
      <c r="AB95">
        <f>+D95+G95+J95+M95+S95+V95+Table_Query_from_HTEDA23_19[[#This Row],[ERC015]]</f>
        <v>572268</v>
      </c>
    </row>
    <row r="96" spans="2:28" ht="15.75">
      <c r="R96" s="3"/>
      <c r="S96" s="3"/>
      <c r="Z96">
        <f>+D96+G96+J96+M96++P96+S96</f>
        <v>0</v>
      </c>
    </row>
    <row r="97" spans="18:19" ht="15.75">
      <c r="R97" s="3"/>
      <c r="S97" s="3"/>
    </row>
    <row r="98" spans="18:19" ht="15.75">
      <c r="R98" s="3"/>
      <c r="S98" s="3"/>
    </row>
    <row r="99" spans="18:19" ht="15.75">
      <c r="R99" s="3"/>
      <c r="S99" s="3"/>
    </row>
    <row r="100" spans="18:19" ht="15.75">
      <c r="R100" s="3"/>
      <c r="S100" s="3"/>
    </row>
    <row r="101" spans="18:19" ht="15.75">
      <c r="R101" s="3"/>
      <c r="S101" s="3"/>
    </row>
    <row r="102" spans="18:19" ht="15.75">
      <c r="R102" s="3"/>
      <c r="S102" s="3"/>
    </row>
    <row r="103" spans="18:19" ht="15.75">
      <c r="R103" s="3"/>
      <c r="S103" s="3"/>
    </row>
    <row r="104" spans="18:19" ht="15.75">
      <c r="R104" s="3"/>
      <c r="S104" s="3"/>
    </row>
    <row r="105" spans="18:19" ht="15.75">
      <c r="R105" s="3"/>
      <c r="S105" s="3"/>
    </row>
    <row r="106" spans="18:19" ht="15.75">
      <c r="R106" s="3"/>
      <c r="S106" s="3"/>
    </row>
    <row r="107" spans="18:19" ht="15.75">
      <c r="R107" s="3"/>
      <c r="S107" s="3"/>
    </row>
    <row r="108" spans="18:19" ht="15.75">
      <c r="R108" s="3"/>
      <c r="S108" s="3"/>
    </row>
    <row r="109" spans="18:19" ht="15.75">
      <c r="R109" s="3"/>
      <c r="S109" s="3"/>
    </row>
    <row r="110" spans="18:19" ht="15.75">
      <c r="R110" s="3"/>
      <c r="S110" s="3"/>
    </row>
    <row r="111" spans="18:19" ht="15.75">
      <c r="R111" s="3"/>
      <c r="S111" s="3"/>
    </row>
    <row r="112" spans="18:19" ht="15.75">
      <c r="R112" s="3"/>
      <c r="S112" s="3"/>
    </row>
    <row r="113" spans="18:19" ht="15.75">
      <c r="R113" s="3"/>
      <c r="S113" s="3"/>
    </row>
    <row r="114" spans="18:19" ht="15.75">
      <c r="R114" s="3"/>
      <c r="S114" s="3"/>
    </row>
    <row r="115" spans="18:19" ht="15.75">
      <c r="R115" s="3"/>
      <c r="S115" s="3"/>
    </row>
    <row r="116" spans="18:19" ht="15.75">
      <c r="R116" s="3"/>
      <c r="S116" s="3"/>
    </row>
    <row r="117" spans="18:19" ht="15.75">
      <c r="R117" s="3"/>
      <c r="S117" s="3"/>
    </row>
    <row r="118" spans="18:19" ht="15.75">
      <c r="R118" s="3"/>
      <c r="S118" s="3"/>
    </row>
    <row r="119" spans="18:19" ht="15.75">
      <c r="R119" s="3"/>
      <c r="S119" s="3"/>
    </row>
    <row r="120" spans="18:19" ht="15.75">
      <c r="R120" s="3"/>
      <c r="S120" s="3"/>
    </row>
    <row r="121" spans="18:19" ht="15.75">
      <c r="R121" s="3"/>
      <c r="S121" s="3"/>
    </row>
    <row r="122" spans="18:19" ht="15.75">
      <c r="R122" s="3"/>
      <c r="S122" s="3"/>
    </row>
    <row r="123" spans="18:19" ht="15.75">
      <c r="R123" s="3"/>
      <c r="S123" s="3"/>
    </row>
    <row r="124" spans="18:19" ht="15.75">
      <c r="R124" s="3"/>
      <c r="S124" s="3"/>
    </row>
    <row r="125" spans="18:19" ht="15.75">
      <c r="R125" s="3"/>
      <c r="S125" s="3"/>
    </row>
    <row r="126" spans="18:19" ht="15.75">
      <c r="R126" s="3"/>
      <c r="S126" s="3"/>
    </row>
    <row r="127" spans="18:19" ht="15.75">
      <c r="R127" s="3"/>
      <c r="S127" s="3"/>
    </row>
    <row r="128" spans="18:19" ht="15.75">
      <c r="R128" s="3"/>
      <c r="S128" s="3"/>
    </row>
    <row r="129" spans="18:19" ht="15.75">
      <c r="R129" s="3"/>
      <c r="S129" s="3"/>
    </row>
  </sheetData>
  <phoneticPr fontId="0" type="noConversion"/>
  <pageMargins left="0.5" right="0.5" top="0.5" bottom="0.75" header="0.5" footer="0.25"/>
  <pageSetup scale="65" firstPageNumber="100" orientation="portrait" useFirstPageNumber="1" horizontalDpi="4294967292" r:id="rId1"/>
  <headerFooter alignWithMargins="0"/>
  <tableParts count="1">
    <tablePart r:id="rId2"/>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6"/>
  <dimension ref="A1:R74"/>
  <sheetViews>
    <sheetView workbookViewId="0">
      <pane xSplit="1" ySplit="4" topLeftCell="B5" activePane="bottomRight" state="frozen"/>
      <selection activeCell="J9" sqref="J9"/>
      <selection pane="topRight" activeCell="J9" sqref="J9"/>
      <selection pane="bottomLeft" activeCell="J9" sqref="J9"/>
      <selection pane="bottomRight" activeCell="B7" sqref="B7"/>
    </sheetView>
  </sheetViews>
  <sheetFormatPr defaultRowHeight="12.75"/>
  <cols>
    <col min="1" max="7" width="9.140625" customWidth="1"/>
    <col min="8" max="8" width="12.7109375" customWidth="1"/>
    <col min="9" max="9" width="8.7109375" customWidth="1"/>
    <col min="10" max="10" width="7.7109375" customWidth="1"/>
    <col min="12" max="13" width="7.7109375" customWidth="1"/>
    <col min="15" max="15" width="8.7109375" customWidth="1"/>
    <col min="16" max="16" width="7.7109375" customWidth="1"/>
    <col min="18" max="18" width="8.7109375" customWidth="1"/>
  </cols>
  <sheetData>
    <row r="1" spans="1:18">
      <c r="B1" s="28"/>
      <c r="C1" s="28"/>
      <c r="D1" s="28"/>
      <c r="E1" s="28" t="s">
        <v>279</v>
      </c>
      <c r="F1" s="28"/>
      <c r="G1" s="28" t="s">
        <v>1294</v>
      </c>
    </row>
    <row r="2" spans="1:18">
      <c r="B2" s="28" t="s">
        <v>67</v>
      </c>
      <c r="C2" s="28" t="s">
        <v>882</v>
      </c>
      <c r="D2" s="28" t="s">
        <v>883</v>
      </c>
      <c r="E2" s="28" t="s">
        <v>761</v>
      </c>
      <c r="F2" s="28" t="s">
        <v>2595</v>
      </c>
      <c r="G2" s="28" t="s">
        <v>1295</v>
      </c>
    </row>
    <row r="3" spans="1:18">
      <c r="B3" s="28" t="s">
        <v>1384</v>
      </c>
      <c r="C3" s="28" t="s">
        <v>224</v>
      </c>
      <c r="D3" s="28" t="s">
        <v>224</v>
      </c>
      <c r="E3" s="28" t="s">
        <v>224</v>
      </c>
      <c r="F3" s="28" t="s">
        <v>2600</v>
      </c>
      <c r="G3" s="28" t="s">
        <v>224</v>
      </c>
    </row>
    <row r="4" spans="1:18">
      <c r="B4" s="64">
        <v>550</v>
      </c>
      <c r="C4" s="64">
        <v>551</v>
      </c>
      <c r="D4" s="64">
        <v>552</v>
      </c>
      <c r="E4" s="64">
        <v>553</v>
      </c>
      <c r="F4" s="64">
        <v>555</v>
      </c>
      <c r="G4" s="64">
        <v>556</v>
      </c>
    </row>
    <row r="5" spans="1:18">
      <c r="B5" s="64"/>
      <c r="C5" s="64"/>
      <c r="D5" s="64"/>
      <c r="E5" s="64"/>
      <c r="F5" s="64"/>
      <c r="G5" s="64"/>
      <c r="H5" s="64"/>
    </row>
    <row r="6" spans="1:18">
      <c r="A6" s="22" t="s">
        <v>1165</v>
      </c>
      <c r="B6" s="22" t="s">
        <v>1166</v>
      </c>
      <c r="C6" s="22" t="s">
        <v>599</v>
      </c>
      <c r="D6" s="22" t="s">
        <v>600</v>
      </c>
      <c r="E6" s="22" t="s">
        <v>601</v>
      </c>
      <c r="F6" s="22" t="s">
        <v>602</v>
      </c>
      <c r="G6" s="22" t="s">
        <v>603</v>
      </c>
      <c r="H6" s="22"/>
      <c r="I6" s="22"/>
      <c r="J6" s="22"/>
      <c r="K6" s="22"/>
      <c r="L6" s="22"/>
      <c r="M6" s="22"/>
      <c r="N6" s="22"/>
      <c r="O6" s="22"/>
      <c r="P6" s="22"/>
      <c r="Q6" s="22"/>
      <c r="R6" s="22"/>
    </row>
    <row r="7" spans="1:18">
      <c r="A7" t="s">
        <v>1167</v>
      </c>
      <c r="B7">
        <v>0</v>
      </c>
      <c r="C7">
        <v>0</v>
      </c>
      <c r="D7">
        <v>0</v>
      </c>
      <c r="E7">
        <v>0</v>
      </c>
      <c r="F7">
        <v>0</v>
      </c>
      <c r="G7">
        <v>0</v>
      </c>
    </row>
    <row r="8" spans="1:18">
      <c r="A8" t="s">
        <v>1167</v>
      </c>
      <c r="B8">
        <v>0</v>
      </c>
      <c r="C8">
        <v>0</v>
      </c>
      <c r="D8">
        <v>0</v>
      </c>
      <c r="E8">
        <v>0</v>
      </c>
      <c r="F8">
        <v>0</v>
      </c>
      <c r="G8">
        <v>0</v>
      </c>
    </row>
    <row r="9" spans="1:18">
      <c r="A9" t="s">
        <v>1167</v>
      </c>
      <c r="B9">
        <v>0</v>
      </c>
      <c r="C9">
        <v>0</v>
      </c>
      <c r="D9">
        <v>0</v>
      </c>
      <c r="E9">
        <v>0</v>
      </c>
      <c r="F9">
        <v>0</v>
      </c>
      <c r="G9">
        <v>0</v>
      </c>
    </row>
    <row r="10" spans="1:18">
      <c r="A10" t="s">
        <v>477</v>
      </c>
      <c r="B10">
        <v>0</v>
      </c>
      <c r="C10">
        <v>0</v>
      </c>
      <c r="D10">
        <v>0</v>
      </c>
      <c r="E10">
        <v>0</v>
      </c>
      <c r="F10">
        <v>0</v>
      </c>
      <c r="G10">
        <v>0</v>
      </c>
    </row>
    <row r="11" spans="1:18">
      <c r="A11" t="s">
        <v>1167</v>
      </c>
      <c r="B11">
        <v>0</v>
      </c>
      <c r="C11">
        <v>0</v>
      </c>
      <c r="D11">
        <v>0</v>
      </c>
      <c r="E11">
        <v>0</v>
      </c>
      <c r="F11">
        <v>0</v>
      </c>
      <c r="G11">
        <v>0</v>
      </c>
    </row>
    <row r="12" spans="1:18">
      <c r="A12" t="s">
        <v>1167</v>
      </c>
      <c r="B12">
        <v>0</v>
      </c>
      <c r="C12">
        <v>0</v>
      </c>
      <c r="D12">
        <v>0</v>
      </c>
      <c r="E12">
        <v>0</v>
      </c>
      <c r="F12">
        <v>0</v>
      </c>
      <c r="G12">
        <v>0</v>
      </c>
    </row>
    <row r="13" spans="1:18">
      <c r="A13" t="s">
        <v>1167</v>
      </c>
      <c r="B13">
        <v>0</v>
      </c>
      <c r="C13">
        <v>0</v>
      </c>
      <c r="D13">
        <v>0</v>
      </c>
      <c r="E13">
        <v>0</v>
      </c>
      <c r="F13">
        <v>0</v>
      </c>
      <c r="G13">
        <v>0</v>
      </c>
    </row>
    <row r="14" spans="1:18">
      <c r="A14" t="s">
        <v>1167</v>
      </c>
      <c r="B14">
        <v>0</v>
      </c>
      <c r="C14">
        <v>0</v>
      </c>
      <c r="D14">
        <v>0</v>
      </c>
      <c r="E14">
        <v>0</v>
      </c>
      <c r="F14">
        <v>0</v>
      </c>
      <c r="G14">
        <v>0</v>
      </c>
    </row>
    <row r="15" spans="1:18">
      <c r="A15" t="s">
        <v>1167</v>
      </c>
      <c r="B15">
        <v>0</v>
      </c>
      <c r="C15">
        <v>0</v>
      </c>
      <c r="D15">
        <v>0</v>
      </c>
      <c r="E15">
        <v>0</v>
      </c>
      <c r="F15">
        <v>0</v>
      </c>
      <c r="G15">
        <v>0</v>
      </c>
    </row>
    <row r="16" spans="1:18">
      <c r="A16" t="s">
        <v>937</v>
      </c>
      <c r="B16">
        <v>0</v>
      </c>
      <c r="C16">
        <v>0</v>
      </c>
      <c r="D16">
        <v>0</v>
      </c>
      <c r="E16">
        <v>0</v>
      </c>
      <c r="F16">
        <v>0</v>
      </c>
      <c r="G16">
        <v>0</v>
      </c>
    </row>
    <row r="17" spans="1:7">
      <c r="A17" t="s">
        <v>487</v>
      </c>
      <c r="B17">
        <v>0</v>
      </c>
      <c r="C17">
        <v>0</v>
      </c>
      <c r="D17">
        <v>0</v>
      </c>
      <c r="E17">
        <v>0</v>
      </c>
      <c r="F17">
        <v>0</v>
      </c>
      <c r="G17">
        <v>0</v>
      </c>
    </row>
    <row r="18" spans="1:7">
      <c r="A18" t="s">
        <v>488</v>
      </c>
      <c r="B18">
        <v>16834365</v>
      </c>
      <c r="C18">
        <v>0</v>
      </c>
      <c r="D18">
        <v>0</v>
      </c>
      <c r="E18" s="146">
        <v>0</v>
      </c>
      <c r="F18">
        <v>0</v>
      </c>
      <c r="G18">
        <v>2453628</v>
      </c>
    </row>
    <row r="19" spans="1:7">
      <c r="A19" t="s">
        <v>489</v>
      </c>
      <c r="B19">
        <v>0</v>
      </c>
      <c r="C19">
        <v>0</v>
      </c>
      <c r="D19">
        <v>0</v>
      </c>
      <c r="E19">
        <v>0</v>
      </c>
      <c r="F19">
        <v>0</v>
      </c>
      <c r="G19">
        <v>0</v>
      </c>
    </row>
    <row r="20" spans="1:7">
      <c r="A20" t="s">
        <v>490</v>
      </c>
      <c r="B20">
        <v>0</v>
      </c>
      <c r="C20">
        <v>0</v>
      </c>
      <c r="D20">
        <v>0</v>
      </c>
      <c r="E20">
        <v>0</v>
      </c>
      <c r="F20">
        <v>0</v>
      </c>
      <c r="G20">
        <v>0</v>
      </c>
    </row>
    <row r="21" spans="1:7">
      <c r="A21" t="s">
        <v>491</v>
      </c>
      <c r="B21">
        <v>0</v>
      </c>
      <c r="C21">
        <v>0</v>
      </c>
      <c r="D21">
        <v>0</v>
      </c>
      <c r="E21">
        <v>0</v>
      </c>
      <c r="F21">
        <v>0</v>
      </c>
      <c r="G21">
        <v>0</v>
      </c>
    </row>
    <row r="22" spans="1:7">
      <c r="A22" t="s">
        <v>492</v>
      </c>
      <c r="B22">
        <v>0</v>
      </c>
      <c r="C22">
        <v>0</v>
      </c>
      <c r="D22">
        <v>0</v>
      </c>
      <c r="E22">
        <v>0</v>
      </c>
      <c r="F22">
        <v>0</v>
      </c>
      <c r="G22">
        <v>0</v>
      </c>
    </row>
    <row r="23" spans="1:7">
      <c r="A23" t="s">
        <v>493</v>
      </c>
      <c r="B23">
        <v>0</v>
      </c>
      <c r="C23">
        <v>0</v>
      </c>
      <c r="D23">
        <v>0</v>
      </c>
      <c r="E23">
        <v>0</v>
      </c>
      <c r="F23">
        <v>0</v>
      </c>
      <c r="G23">
        <v>0</v>
      </c>
    </row>
    <row r="24" spans="1:7">
      <c r="A24" t="s">
        <v>1089</v>
      </c>
      <c r="B24">
        <v>0</v>
      </c>
      <c r="C24">
        <v>0</v>
      </c>
      <c r="D24">
        <v>0</v>
      </c>
      <c r="E24">
        <v>0</v>
      </c>
      <c r="F24">
        <v>0</v>
      </c>
      <c r="G24">
        <v>0</v>
      </c>
    </row>
    <row r="25" spans="1:7">
      <c r="A25" t="s">
        <v>1090</v>
      </c>
      <c r="B25">
        <v>0</v>
      </c>
      <c r="C25">
        <v>0</v>
      </c>
      <c r="D25">
        <v>0</v>
      </c>
      <c r="E25">
        <v>0</v>
      </c>
      <c r="F25">
        <v>0</v>
      </c>
      <c r="G25">
        <v>0</v>
      </c>
    </row>
    <row r="26" spans="1:7">
      <c r="A26" t="s">
        <v>1299</v>
      </c>
      <c r="B26">
        <v>0</v>
      </c>
      <c r="C26">
        <v>0</v>
      </c>
      <c r="D26">
        <v>0</v>
      </c>
      <c r="E26">
        <v>0</v>
      </c>
      <c r="F26">
        <v>0</v>
      </c>
      <c r="G26">
        <v>0</v>
      </c>
    </row>
    <row r="27" spans="1:7">
      <c r="A27" t="s">
        <v>342</v>
      </c>
      <c r="B27">
        <v>0</v>
      </c>
      <c r="C27">
        <v>0</v>
      </c>
      <c r="D27">
        <v>0</v>
      </c>
      <c r="E27">
        <v>0</v>
      </c>
      <c r="F27">
        <v>0</v>
      </c>
      <c r="G27">
        <v>0</v>
      </c>
    </row>
    <row r="28" spans="1:7">
      <c r="A28" t="s">
        <v>1300</v>
      </c>
      <c r="B28">
        <v>0</v>
      </c>
      <c r="C28">
        <v>0</v>
      </c>
      <c r="D28">
        <v>0</v>
      </c>
      <c r="E28">
        <v>0</v>
      </c>
      <c r="F28">
        <v>0</v>
      </c>
      <c r="G28">
        <v>0</v>
      </c>
    </row>
    <row r="29" spans="1:7">
      <c r="A29" t="s">
        <v>488</v>
      </c>
      <c r="B29">
        <v>0</v>
      </c>
      <c r="C29">
        <v>0</v>
      </c>
      <c r="D29">
        <v>0</v>
      </c>
      <c r="E29">
        <v>0</v>
      </c>
      <c r="F29">
        <v>0</v>
      </c>
      <c r="G29">
        <v>0</v>
      </c>
    </row>
    <row r="30" spans="1:7">
      <c r="A30" t="s">
        <v>489</v>
      </c>
      <c r="B30">
        <v>0</v>
      </c>
      <c r="C30">
        <v>0</v>
      </c>
      <c r="D30">
        <v>0</v>
      </c>
      <c r="E30">
        <v>0</v>
      </c>
      <c r="F30">
        <v>0</v>
      </c>
      <c r="G30">
        <v>0</v>
      </c>
    </row>
    <row r="31" spans="1:7">
      <c r="A31" t="s">
        <v>1301</v>
      </c>
      <c r="B31">
        <v>0</v>
      </c>
      <c r="C31">
        <v>0</v>
      </c>
      <c r="D31">
        <v>0</v>
      </c>
      <c r="E31">
        <v>0</v>
      </c>
      <c r="F31">
        <v>0</v>
      </c>
      <c r="G31">
        <v>0</v>
      </c>
    </row>
    <row r="32" spans="1:7">
      <c r="A32" t="s">
        <v>1302</v>
      </c>
      <c r="B32">
        <v>1123725</v>
      </c>
      <c r="C32">
        <v>0</v>
      </c>
      <c r="D32">
        <v>0</v>
      </c>
      <c r="E32">
        <v>0</v>
      </c>
      <c r="F32">
        <v>0</v>
      </c>
      <c r="G32">
        <v>0</v>
      </c>
    </row>
    <row r="33" spans="1:7">
      <c r="A33" t="s">
        <v>1303</v>
      </c>
      <c r="B33">
        <v>0</v>
      </c>
      <c r="C33">
        <v>0</v>
      </c>
      <c r="D33">
        <v>0</v>
      </c>
      <c r="E33">
        <v>0</v>
      </c>
      <c r="F33">
        <v>0</v>
      </c>
      <c r="G33">
        <v>0</v>
      </c>
    </row>
    <row r="34" spans="1:7">
      <c r="A34" t="s">
        <v>1219</v>
      </c>
      <c r="B34">
        <v>0</v>
      </c>
      <c r="C34">
        <v>0</v>
      </c>
      <c r="D34">
        <v>0</v>
      </c>
      <c r="E34">
        <v>0</v>
      </c>
      <c r="F34">
        <v>0</v>
      </c>
      <c r="G34">
        <v>0</v>
      </c>
    </row>
    <row r="35" spans="1:7">
      <c r="A35" t="s">
        <v>1305</v>
      </c>
      <c r="B35">
        <v>0</v>
      </c>
      <c r="C35">
        <v>0</v>
      </c>
      <c r="D35">
        <v>0</v>
      </c>
      <c r="E35">
        <v>0</v>
      </c>
      <c r="F35">
        <v>0</v>
      </c>
      <c r="G35">
        <v>0</v>
      </c>
    </row>
    <row r="36" spans="1:7">
      <c r="A36" t="s">
        <v>1306</v>
      </c>
      <c r="B36">
        <v>0</v>
      </c>
      <c r="C36">
        <v>0</v>
      </c>
      <c r="D36">
        <v>0</v>
      </c>
      <c r="E36">
        <v>0</v>
      </c>
      <c r="F36">
        <v>0</v>
      </c>
      <c r="G36">
        <v>0</v>
      </c>
    </row>
    <row r="37" spans="1:7">
      <c r="A37" t="s">
        <v>872</v>
      </c>
      <c r="B37">
        <v>0</v>
      </c>
      <c r="C37">
        <v>0</v>
      </c>
      <c r="D37">
        <v>0</v>
      </c>
      <c r="E37">
        <v>0</v>
      </c>
      <c r="F37">
        <v>0</v>
      </c>
      <c r="G37">
        <v>0</v>
      </c>
    </row>
    <row r="38" spans="1:7">
      <c r="A38" t="s">
        <v>1367</v>
      </c>
      <c r="B38">
        <v>0</v>
      </c>
      <c r="C38">
        <v>0</v>
      </c>
      <c r="D38">
        <v>0</v>
      </c>
      <c r="E38">
        <v>0</v>
      </c>
      <c r="F38">
        <v>0</v>
      </c>
      <c r="G38">
        <v>0</v>
      </c>
    </row>
    <row r="39" spans="1:7">
      <c r="A39" t="s">
        <v>448</v>
      </c>
      <c r="B39">
        <v>0</v>
      </c>
      <c r="C39">
        <v>0</v>
      </c>
      <c r="D39">
        <v>0</v>
      </c>
      <c r="E39">
        <v>0</v>
      </c>
      <c r="F39">
        <v>0</v>
      </c>
      <c r="G39">
        <v>0</v>
      </c>
    </row>
    <row r="40" spans="1:7">
      <c r="A40" t="s">
        <v>449</v>
      </c>
      <c r="B40">
        <v>0</v>
      </c>
      <c r="C40">
        <v>0</v>
      </c>
      <c r="D40">
        <v>0</v>
      </c>
      <c r="E40">
        <v>0</v>
      </c>
      <c r="F40">
        <v>0</v>
      </c>
      <c r="G40">
        <v>0</v>
      </c>
    </row>
    <row r="41" spans="1:7">
      <c r="A41" t="s">
        <v>450</v>
      </c>
      <c r="B41">
        <v>0</v>
      </c>
      <c r="C41">
        <v>0</v>
      </c>
      <c r="D41">
        <v>0</v>
      </c>
      <c r="E41">
        <v>0</v>
      </c>
      <c r="F41">
        <v>0</v>
      </c>
      <c r="G41">
        <v>0</v>
      </c>
    </row>
    <row r="42" spans="1:7">
      <c r="A42" t="s">
        <v>451</v>
      </c>
      <c r="B42">
        <v>0</v>
      </c>
      <c r="C42">
        <v>0</v>
      </c>
      <c r="D42">
        <v>0</v>
      </c>
      <c r="E42">
        <v>0</v>
      </c>
      <c r="F42">
        <v>0</v>
      </c>
      <c r="G42">
        <v>0</v>
      </c>
    </row>
    <row r="43" spans="1:7">
      <c r="A43" t="s">
        <v>254</v>
      </c>
      <c r="B43">
        <v>17958090</v>
      </c>
      <c r="C43">
        <v>0</v>
      </c>
      <c r="D43">
        <v>0</v>
      </c>
      <c r="E43">
        <v>0</v>
      </c>
      <c r="F43">
        <v>0</v>
      </c>
      <c r="G43">
        <v>2453628</v>
      </c>
    </row>
    <row r="44" spans="1:7">
      <c r="A44" t="s">
        <v>1167</v>
      </c>
      <c r="B44">
        <v>0</v>
      </c>
      <c r="C44">
        <v>0</v>
      </c>
      <c r="D44">
        <v>0</v>
      </c>
      <c r="E44">
        <v>0</v>
      </c>
      <c r="F44">
        <v>0</v>
      </c>
      <c r="G44">
        <v>0</v>
      </c>
    </row>
    <row r="45" spans="1:7">
      <c r="A45" t="s">
        <v>597</v>
      </c>
      <c r="B45">
        <v>0</v>
      </c>
      <c r="C45">
        <v>0</v>
      </c>
      <c r="D45">
        <v>0</v>
      </c>
      <c r="E45">
        <v>0</v>
      </c>
      <c r="F45">
        <v>0</v>
      </c>
      <c r="G45">
        <v>0</v>
      </c>
    </row>
    <row r="46" spans="1:7">
      <c r="A46" t="s">
        <v>987</v>
      </c>
      <c r="B46">
        <v>0</v>
      </c>
      <c r="C46">
        <v>0</v>
      </c>
      <c r="D46">
        <v>0</v>
      </c>
      <c r="E46">
        <v>0</v>
      </c>
      <c r="F46">
        <v>0</v>
      </c>
      <c r="G46">
        <v>0</v>
      </c>
    </row>
    <row r="47" spans="1:7">
      <c r="A47" t="s">
        <v>643</v>
      </c>
      <c r="B47">
        <v>0</v>
      </c>
      <c r="C47">
        <v>0</v>
      </c>
      <c r="D47">
        <v>0</v>
      </c>
      <c r="E47">
        <v>0</v>
      </c>
      <c r="F47">
        <v>0</v>
      </c>
      <c r="G47">
        <v>0</v>
      </c>
    </row>
    <row r="48" spans="1:7">
      <c r="A48" t="s">
        <v>452</v>
      </c>
      <c r="B48">
        <v>0</v>
      </c>
      <c r="C48">
        <v>0</v>
      </c>
      <c r="D48">
        <v>0</v>
      </c>
      <c r="E48">
        <v>0</v>
      </c>
      <c r="F48">
        <v>0</v>
      </c>
      <c r="G48">
        <v>0</v>
      </c>
    </row>
    <row r="49" spans="1:7">
      <c r="A49" t="s">
        <v>648</v>
      </c>
      <c r="B49">
        <v>0</v>
      </c>
      <c r="C49">
        <v>0</v>
      </c>
      <c r="D49">
        <v>0</v>
      </c>
      <c r="E49">
        <v>0</v>
      </c>
      <c r="F49">
        <v>0</v>
      </c>
      <c r="G49">
        <v>0</v>
      </c>
    </row>
    <row r="50" spans="1:7">
      <c r="A50" t="s">
        <v>649</v>
      </c>
      <c r="B50">
        <v>0</v>
      </c>
      <c r="C50">
        <v>0</v>
      </c>
      <c r="D50">
        <v>0</v>
      </c>
      <c r="E50">
        <v>0</v>
      </c>
      <c r="F50">
        <v>0</v>
      </c>
      <c r="G50">
        <v>0</v>
      </c>
    </row>
    <row r="51" spans="1:7">
      <c r="A51" t="s">
        <v>453</v>
      </c>
      <c r="B51">
        <v>0</v>
      </c>
      <c r="C51">
        <v>0</v>
      </c>
      <c r="D51">
        <v>24383</v>
      </c>
      <c r="E51" s="146">
        <v>0</v>
      </c>
      <c r="F51">
        <v>0</v>
      </c>
      <c r="G51">
        <v>0</v>
      </c>
    </row>
    <row r="52" spans="1:7">
      <c r="A52" t="s">
        <v>1085</v>
      </c>
      <c r="B52">
        <v>0</v>
      </c>
      <c r="C52">
        <v>0</v>
      </c>
      <c r="D52">
        <v>0</v>
      </c>
      <c r="E52">
        <v>0</v>
      </c>
      <c r="F52">
        <v>0</v>
      </c>
      <c r="G52">
        <v>0</v>
      </c>
    </row>
    <row r="53" spans="1:7">
      <c r="A53" t="s">
        <v>650</v>
      </c>
      <c r="B53">
        <v>0</v>
      </c>
      <c r="C53">
        <v>0</v>
      </c>
      <c r="D53">
        <v>0</v>
      </c>
      <c r="E53">
        <v>0</v>
      </c>
      <c r="F53">
        <v>0</v>
      </c>
      <c r="G53">
        <v>0</v>
      </c>
    </row>
    <row r="54" spans="1:7">
      <c r="A54" t="s">
        <v>651</v>
      </c>
      <c r="B54">
        <v>0</v>
      </c>
      <c r="C54">
        <v>0</v>
      </c>
      <c r="D54">
        <v>0</v>
      </c>
      <c r="E54">
        <v>0</v>
      </c>
      <c r="F54">
        <v>0</v>
      </c>
      <c r="G54">
        <v>0</v>
      </c>
    </row>
    <row r="55" spans="1:7">
      <c r="A55" t="s">
        <v>652</v>
      </c>
      <c r="B55">
        <v>0</v>
      </c>
      <c r="C55">
        <v>0</v>
      </c>
      <c r="D55">
        <v>0</v>
      </c>
      <c r="E55">
        <v>0</v>
      </c>
      <c r="F55">
        <v>0</v>
      </c>
      <c r="G55">
        <v>0</v>
      </c>
    </row>
    <row r="56" spans="1:7">
      <c r="A56" t="s">
        <v>653</v>
      </c>
      <c r="B56">
        <v>0</v>
      </c>
      <c r="C56">
        <v>0</v>
      </c>
      <c r="D56">
        <v>0</v>
      </c>
      <c r="E56">
        <v>0</v>
      </c>
      <c r="F56">
        <v>0</v>
      </c>
      <c r="G56">
        <v>0</v>
      </c>
    </row>
    <row r="57" spans="1:7">
      <c r="A57" t="s">
        <v>455</v>
      </c>
      <c r="B57">
        <v>0</v>
      </c>
      <c r="C57">
        <v>0</v>
      </c>
      <c r="D57">
        <v>0</v>
      </c>
      <c r="E57">
        <v>0</v>
      </c>
      <c r="F57">
        <v>0</v>
      </c>
      <c r="G57">
        <v>0</v>
      </c>
    </row>
    <row r="58" spans="1:7">
      <c r="A58" t="s">
        <v>654</v>
      </c>
      <c r="B58">
        <v>0</v>
      </c>
      <c r="C58">
        <v>0</v>
      </c>
      <c r="D58">
        <v>0</v>
      </c>
      <c r="E58">
        <v>0</v>
      </c>
      <c r="F58">
        <v>0</v>
      </c>
      <c r="G58">
        <v>0</v>
      </c>
    </row>
    <row r="59" spans="1:7">
      <c r="A59" t="s">
        <v>655</v>
      </c>
      <c r="B59">
        <v>0</v>
      </c>
      <c r="C59">
        <v>0</v>
      </c>
      <c r="D59">
        <v>0</v>
      </c>
      <c r="E59">
        <v>0</v>
      </c>
      <c r="F59">
        <v>0</v>
      </c>
      <c r="G59">
        <v>0</v>
      </c>
    </row>
    <row r="60" spans="1:7">
      <c r="A60" t="s">
        <v>656</v>
      </c>
      <c r="B60">
        <v>0</v>
      </c>
      <c r="C60">
        <v>0</v>
      </c>
      <c r="D60">
        <v>0</v>
      </c>
      <c r="E60">
        <v>0</v>
      </c>
      <c r="F60">
        <v>0</v>
      </c>
      <c r="G60">
        <v>0</v>
      </c>
    </row>
    <row r="61" spans="1:7">
      <c r="A61" t="s">
        <v>657</v>
      </c>
      <c r="B61">
        <v>0</v>
      </c>
      <c r="C61">
        <v>0</v>
      </c>
      <c r="D61">
        <v>0</v>
      </c>
      <c r="E61">
        <v>0</v>
      </c>
      <c r="F61">
        <v>0</v>
      </c>
      <c r="G61">
        <v>0</v>
      </c>
    </row>
    <row r="62" spans="1:7">
      <c r="A62" t="s">
        <v>651</v>
      </c>
      <c r="B62">
        <v>0</v>
      </c>
      <c r="C62">
        <v>0</v>
      </c>
      <c r="D62">
        <v>0</v>
      </c>
      <c r="E62">
        <v>0</v>
      </c>
      <c r="F62">
        <v>0</v>
      </c>
      <c r="G62">
        <v>0</v>
      </c>
    </row>
    <row r="63" spans="1:7">
      <c r="A63" t="s">
        <v>658</v>
      </c>
      <c r="B63">
        <v>0</v>
      </c>
      <c r="C63">
        <v>0</v>
      </c>
      <c r="D63">
        <v>0</v>
      </c>
      <c r="E63">
        <v>0</v>
      </c>
      <c r="F63">
        <v>0</v>
      </c>
      <c r="G63">
        <v>0</v>
      </c>
    </row>
    <row r="64" spans="1:7">
      <c r="A64" t="s">
        <v>659</v>
      </c>
      <c r="B64">
        <v>0</v>
      </c>
      <c r="C64">
        <v>0</v>
      </c>
      <c r="D64">
        <v>0</v>
      </c>
      <c r="E64">
        <v>0</v>
      </c>
      <c r="F64">
        <v>0</v>
      </c>
      <c r="G64">
        <v>0</v>
      </c>
    </row>
    <row r="65" spans="1:7">
      <c r="A65" t="s">
        <v>805</v>
      </c>
      <c r="B65">
        <v>0</v>
      </c>
      <c r="C65">
        <v>0</v>
      </c>
      <c r="D65">
        <v>0</v>
      </c>
      <c r="E65">
        <v>0</v>
      </c>
      <c r="F65">
        <v>0</v>
      </c>
      <c r="G65">
        <v>0</v>
      </c>
    </row>
    <row r="66" spans="1:7">
      <c r="A66" t="s">
        <v>1167</v>
      </c>
      <c r="B66">
        <v>0</v>
      </c>
      <c r="C66">
        <v>0</v>
      </c>
      <c r="D66">
        <v>0</v>
      </c>
      <c r="E66">
        <v>0</v>
      </c>
      <c r="F66">
        <v>0</v>
      </c>
      <c r="G66">
        <v>0</v>
      </c>
    </row>
    <row r="67" spans="1:7">
      <c r="A67" t="s">
        <v>456</v>
      </c>
      <c r="B67">
        <v>0</v>
      </c>
      <c r="C67">
        <v>0</v>
      </c>
      <c r="D67">
        <v>24383</v>
      </c>
      <c r="E67">
        <v>0</v>
      </c>
      <c r="F67">
        <v>0</v>
      </c>
      <c r="G67">
        <v>0</v>
      </c>
    </row>
    <row r="68" spans="1:7">
      <c r="A68" t="s">
        <v>1167</v>
      </c>
      <c r="B68">
        <v>0</v>
      </c>
      <c r="C68">
        <v>0</v>
      </c>
      <c r="D68">
        <v>0</v>
      </c>
      <c r="E68">
        <v>0</v>
      </c>
      <c r="F68">
        <v>0</v>
      </c>
      <c r="G68">
        <v>0</v>
      </c>
    </row>
    <row r="69" spans="1:7">
      <c r="A69" t="s">
        <v>457</v>
      </c>
      <c r="B69">
        <v>0</v>
      </c>
      <c r="C69">
        <v>0</v>
      </c>
      <c r="D69">
        <v>0</v>
      </c>
      <c r="E69">
        <v>0</v>
      </c>
      <c r="F69">
        <v>0</v>
      </c>
      <c r="G69">
        <v>0</v>
      </c>
    </row>
    <row r="70" spans="1:7">
      <c r="A70" t="s">
        <v>458</v>
      </c>
      <c r="B70">
        <v>17958090</v>
      </c>
      <c r="C70">
        <v>0</v>
      </c>
      <c r="D70">
        <v>-24383</v>
      </c>
      <c r="E70">
        <v>0</v>
      </c>
      <c r="F70">
        <v>0</v>
      </c>
      <c r="G70">
        <v>2453628</v>
      </c>
    </row>
    <row r="71" spans="1:7">
      <c r="A71" t="s">
        <v>1167</v>
      </c>
      <c r="B71">
        <v>0</v>
      </c>
      <c r="C71">
        <v>0</v>
      </c>
      <c r="D71">
        <v>0</v>
      </c>
      <c r="E71">
        <v>0</v>
      </c>
      <c r="F71">
        <v>0</v>
      </c>
      <c r="G71">
        <v>0</v>
      </c>
    </row>
    <row r="72" spans="1:7">
      <c r="A72" t="s">
        <v>459</v>
      </c>
      <c r="B72">
        <v>17958090</v>
      </c>
      <c r="C72">
        <v>0</v>
      </c>
      <c r="D72">
        <v>-24383</v>
      </c>
      <c r="E72">
        <v>0</v>
      </c>
      <c r="F72">
        <v>0</v>
      </c>
      <c r="G72">
        <v>2453628</v>
      </c>
    </row>
    <row r="73" spans="1:7">
      <c r="A73" t="s">
        <v>1167</v>
      </c>
      <c r="B73">
        <v>0</v>
      </c>
      <c r="C73">
        <v>0</v>
      </c>
      <c r="D73">
        <v>0</v>
      </c>
      <c r="E73">
        <v>0</v>
      </c>
      <c r="F73">
        <v>0</v>
      </c>
      <c r="G73">
        <v>0</v>
      </c>
    </row>
    <row r="74" spans="1:7">
      <c r="A74" t="s">
        <v>460</v>
      </c>
      <c r="B74">
        <v>17958090</v>
      </c>
      <c r="C74">
        <v>0</v>
      </c>
      <c r="D74">
        <v>0</v>
      </c>
      <c r="E74">
        <v>0</v>
      </c>
      <c r="F74">
        <v>0</v>
      </c>
      <c r="G74">
        <v>2453628</v>
      </c>
    </row>
  </sheetData>
  <phoneticPr fontId="0" type="noConversion"/>
  <pageMargins left="0.75" right="0.75" top="1" bottom="1" header="0.5" footer="0.5"/>
  <pageSetup orientation="portrait" r:id="rId1"/>
  <headerFooter alignWithMargins="0"/>
  <tableParts count="1">
    <tablePart r:id="rId2"/>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ransitionEvaluation="1" codeName="Sheet47"/>
  <dimension ref="B4:AA129"/>
  <sheetViews>
    <sheetView topLeftCell="A5" zoomScale="85" zoomScaleNormal="85" workbookViewId="0">
      <pane xSplit="2" ySplit="7" topLeftCell="C12" activePane="bottomRight" state="frozen"/>
      <selection activeCell="F178" sqref="F178"/>
      <selection pane="topRight" activeCell="F178" sqref="F178"/>
      <selection pane="bottomLeft" activeCell="F178" sqref="F178"/>
      <selection pane="bottomRight" activeCell="F28" sqref="F28"/>
    </sheetView>
  </sheetViews>
  <sheetFormatPr defaultColWidth="9.7109375" defaultRowHeight="12.75"/>
  <cols>
    <col min="1" max="1" width="2.7109375" customWidth="1"/>
    <col min="2" max="21" width="9.7109375" customWidth="1"/>
    <col min="22" max="22" width="9.85546875" customWidth="1"/>
    <col min="23" max="23" width="10.5703125" bestFit="1" customWidth="1"/>
    <col min="24" max="24" width="9.85546875" customWidth="1"/>
    <col min="25" max="25" width="12.28515625" bestFit="1" customWidth="1"/>
    <col min="26" max="26" width="13.140625" bestFit="1" customWidth="1"/>
    <col min="27" max="27" width="10.28515625" bestFit="1" customWidth="1"/>
  </cols>
  <sheetData>
    <row r="4" spans="2:27">
      <c r="D4" s="26"/>
      <c r="E4" s="20"/>
      <c r="F4" s="20"/>
      <c r="G4" s="26"/>
      <c r="H4" s="20"/>
      <c r="I4" s="20"/>
      <c r="J4" s="26"/>
      <c r="K4" s="20"/>
      <c r="L4" s="20"/>
      <c r="M4" s="26" t="s">
        <v>279</v>
      </c>
      <c r="N4" s="20"/>
      <c r="O4" s="20"/>
      <c r="P4" s="20"/>
      <c r="Q4" s="20"/>
      <c r="R4" s="20"/>
      <c r="S4" s="26" t="s">
        <v>1294</v>
      </c>
      <c r="T4" s="20"/>
      <c r="U4" s="20"/>
      <c r="X4" s="20"/>
      <c r="AA4" s="20"/>
    </row>
    <row r="5" spans="2:27">
      <c r="D5" s="26" t="s">
        <v>67</v>
      </c>
      <c r="E5" s="20"/>
      <c r="F5" s="20"/>
      <c r="G5" s="26" t="s">
        <v>882</v>
      </c>
      <c r="H5" s="20"/>
      <c r="I5" s="20"/>
      <c r="J5" s="26" t="s">
        <v>883</v>
      </c>
      <c r="K5" s="20"/>
      <c r="L5" s="20"/>
      <c r="M5" s="26" t="s">
        <v>761</v>
      </c>
      <c r="N5" s="20"/>
      <c r="O5" s="20"/>
      <c r="P5" s="26" t="s">
        <v>2595</v>
      </c>
      <c r="Q5" s="20"/>
      <c r="R5" s="20"/>
      <c r="S5" s="26" t="s">
        <v>1295</v>
      </c>
      <c r="T5" s="20"/>
      <c r="U5" s="20"/>
      <c r="X5" s="20"/>
      <c r="AA5" s="20"/>
    </row>
    <row r="6" spans="2:27">
      <c r="D6" s="26" t="s">
        <v>1384</v>
      </c>
      <c r="E6" s="20"/>
      <c r="F6" s="20"/>
      <c r="G6" s="26" t="s">
        <v>224</v>
      </c>
      <c r="H6" s="20"/>
      <c r="I6" s="20"/>
      <c r="J6" s="26" t="s">
        <v>224</v>
      </c>
      <c r="K6" s="20"/>
      <c r="L6" s="20"/>
      <c r="M6" s="26" t="s">
        <v>224</v>
      </c>
      <c r="N6" s="20"/>
      <c r="O6" s="20"/>
      <c r="P6" s="26" t="s">
        <v>2600</v>
      </c>
      <c r="Q6" s="20"/>
      <c r="R6" s="20"/>
      <c r="S6" s="26" t="s">
        <v>224</v>
      </c>
      <c r="T6" s="20"/>
      <c r="U6" s="20"/>
      <c r="X6" s="20"/>
      <c r="AA6" s="20"/>
    </row>
    <row r="7" spans="2:27">
      <c r="D7" s="66">
        <v>550</v>
      </c>
      <c r="E7" s="20"/>
      <c r="F7" s="20"/>
      <c r="G7" s="66">
        <v>551</v>
      </c>
      <c r="H7" s="20"/>
      <c r="I7" s="20"/>
      <c r="J7" s="66">
        <v>552</v>
      </c>
      <c r="K7" s="20"/>
      <c r="L7" s="20"/>
      <c r="M7" s="66">
        <v>553</v>
      </c>
      <c r="N7" s="20"/>
      <c r="O7" s="20"/>
      <c r="P7" s="66">
        <v>555</v>
      </c>
      <c r="Q7" s="20"/>
      <c r="R7" s="20"/>
      <c r="S7" s="66">
        <v>556</v>
      </c>
      <c r="T7" s="20"/>
      <c r="U7" s="20"/>
      <c r="X7" s="20"/>
      <c r="AA7" s="20"/>
    </row>
    <row r="8" spans="2:27" ht="15.75">
      <c r="D8" s="25"/>
      <c r="E8" s="25"/>
      <c r="F8" s="25"/>
      <c r="G8" s="25"/>
      <c r="H8" s="25"/>
      <c r="I8" s="25"/>
      <c r="J8" s="25"/>
      <c r="K8" s="25"/>
      <c r="L8" s="25"/>
      <c r="M8" s="25"/>
      <c r="N8" s="25"/>
      <c r="O8" s="25"/>
      <c r="P8" s="25"/>
      <c r="Q8" s="25"/>
      <c r="R8" s="25"/>
      <c r="S8" s="25"/>
      <c r="T8" s="25"/>
      <c r="U8" s="25"/>
    </row>
    <row r="9" spans="2:27" ht="15.75">
      <c r="D9" s="25"/>
      <c r="E9" s="3"/>
      <c r="F9" s="3"/>
      <c r="G9" s="25"/>
      <c r="H9" s="3"/>
      <c r="I9" s="3"/>
      <c r="J9" s="25"/>
      <c r="K9" s="3"/>
      <c r="L9" s="3"/>
      <c r="M9" s="25"/>
      <c r="N9" s="3"/>
      <c r="O9" s="3"/>
      <c r="P9" s="25"/>
      <c r="Q9" s="3"/>
      <c r="R9" s="3"/>
      <c r="S9" s="25"/>
      <c r="T9" s="3"/>
      <c r="U9" s="3"/>
    </row>
    <row r="10" spans="2:27" ht="15.75">
      <c r="D10" s="3" t="s">
        <v>414</v>
      </c>
      <c r="E10" s="3" t="s">
        <v>858</v>
      </c>
      <c r="F10" s="3"/>
      <c r="G10" s="3" t="s">
        <v>414</v>
      </c>
      <c r="H10" s="3" t="s">
        <v>858</v>
      </c>
      <c r="I10" s="3"/>
      <c r="J10" s="3" t="s">
        <v>414</v>
      </c>
      <c r="K10" s="3" t="s">
        <v>858</v>
      </c>
      <c r="L10" s="3"/>
      <c r="M10" s="3" t="s">
        <v>414</v>
      </c>
      <c r="N10" s="3" t="s">
        <v>858</v>
      </c>
      <c r="O10" s="3"/>
      <c r="P10" s="3" t="s">
        <v>414</v>
      </c>
      <c r="Q10" s="3" t="s">
        <v>858</v>
      </c>
      <c r="R10" s="3"/>
      <c r="S10" s="3" t="s">
        <v>414</v>
      </c>
      <c r="T10" s="3" t="s">
        <v>858</v>
      </c>
      <c r="U10" s="3"/>
    </row>
    <row r="11" spans="2:27" ht="15.75">
      <c r="D11" s="16" t="s">
        <v>435</v>
      </c>
      <c r="E11" s="16" t="s">
        <v>376</v>
      </c>
      <c r="F11" s="16"/>
      <c r="G11" s="16" t="s">
        <v>435</v>
      </c>
      <c r="H11" s="16" t="s">
        <v>376</v>
      </c>
      <c r="I11" s="16"/>
      <c r="J11" s="16" t="s">
        <v>435</v>
      </c>
      <c r="K11" s="16" t="s">
        <v>376</v>
      </c>
      <c r="L11" s="16"/>
      <c r="M11" s="16" t="s">
        <v>435</v>
      </c>
      <c r="N11" s="16" t="s">
        <v>376</v>
      </c>
      <c r="O11" s="16"/>
      <c r="P11" s="16" t="s">
        <v>435</v>
      </c>
      <c r="Q11" s="16" t="s">
        <v>376</v>
      </c>
      <c r="R11" s="16"/>
      <c r="S11" s="16" t="s">
        <v>435</v>
      </c>
      <c r="T11" s="16" t="s">
        <v>376</v>
      </c>
      <c r="U11" s="16"/>
    </row>
    <row r="12" spans="2:27">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row>
    <row r="13" spans="2:27">
      <c r="B13" s="28" t="s">
        <v>1165</v>
      </c>
      <c r="C13" s="28" t="s">
        <v>1166</v>
      </c>
      <c r="D13" s="28" t="s">
        <v>599</v>
      </c>
      <c r="E13" s="28" t="s">
        <v>600</v>
      </c>
      <c r="F13" s="28" t="s">
        <v>601</v>
      </c>
      <c r="G13" s="28" t="s">
        <v>602</v>
      </c>
      <c r="H13" s="28" t="s">
        <v>603</v>
      </c>
      <c r="I13" s="28" t="s">
        <v>172</v>
      </c>
      <c r="J13" s="28" t="s">
        <v>173</v>
      </c>
      <c r="K13" s="28" t="s">
        <v>174</v>
      </c>
      <c r="L13" s="28" t="s">
        <v>175</v>
      </c>
      <c r="M13" s="28" t="s">
        <v>176</v>
      </c>
      <c r="N13" s="28" t="s">
        <v>177</v>
      </c>
      <c r="O13" s="28" t="s">
        <v>944</v>
      </c>
      <c r="P13" s="28" t="s">
        <v>945</v>
      </c>
      <c r="Q13" s="28" t="s">
        <v>946</v>
      </c>
      <c r="R13" s="28" t="s">
        <v>1312</v>
      </c>
      <c r="S13" s="28" t="s">
        <v>1313</v>
      </c>
      <c r="T13" s="28" t="s">
        <v>1314</v>
      </c>
      <c r="U13" s="28" t="s">
        <v>1315</v>
      </c>
      <c r="V13" s="22"/>
      <c r="W13" s="22"/>
      <c r="X13" s="22"/>
      <c r="Y13" s="28"/>
      <c r="Z13" s="28"/>
      <c r="AA13" s="22"/>
    </row>
    <row r="14" spans="2:27" ht="15.75">
      <c r="B14" t="s">
        <v>784</v>
      </c>
      <c r="C14">
        <v>0</v>
      </c>
      <c r="D14">
        <v>0</v>
      </c>
      <c r="E14">
        <v>0</v>
      </c>
      <c r="F14">
        <v>0</v>
      </c>
      <c r="G14" s="22">
        <v>0</v>
      </c>
      <c r="H14" s="22">
        <v>0</v>
      </c>
      <c r="I14" s="22">
        <v>0</v>
      </c>
      <c r="J14" s="22">
        <v>0</v>
      </c>
      <c r="K14" s="22">
        <v>0</v>
      </c>
      <c r="L14" s="22">
        <v>0</v>
      </c>
      <c r="M14" s="22">
        <v>0</v>
      </c>
      <c r="N14" s="22">
        <v>0</v>
      </c>
      <c r="O14" s="22">
        <v>0</v>
      </c>
      <c r="P14" s="22">
        <v>0</v>
      </c>
      <c r="Q14" s="22">
        <v>0</v>
      </c>
      <c r="R14" s="22">
        <v>0</v>
      </c>
      <c r="S14" s="22">
        <v>0</v>
      </c>
      <c r="T14" s="22">
        <v>0</v>
      </c>
      <c r="U14" s="22">
        <v>0</v>
      </c>
      <c r="W14">
        <f>+Table_Query_from_HTEDA23_15[[#This Row],[ERC019]]+Table_Query_from_HTEDA23_15[[#This Row],[ERC016]]+Table_Query_from_HTEDA23_15[[#This Row],[ERC013]]+Table_Query_from_HTEDA23_15[[#This Row],[ERC010]]+Table_Query_from_HTEDA23_15[[#This Row],[ERC007]]+Table_Query_from_HTEDA23_15[[#This Row],[ERC004]]</f>
        <v>0</v>
      </c>
      <c r="Y14" s="3"/>
      <c r="Z14" s="3"/>
    </row>
    <row r="15" spans="2:27" ht="15.75">
      <c r="B15" t="s">
        <v>810</v>
      </c>
      <c r="C15">
        <v>0</v>
      </c>
      <c r="D15">
        <v>0</v>
      </c>
      <c r="E15">
        <v>0</v>
      </c>
      <c r="F15">
        <v>0</v>
      </c>
      <c r="G15">
        <v>0</v>
      </c>
      <c r="H15">
        <v>0</v>
      </c>
      <c r="I15">
        <v>0</v>
      </c>
      <c r="J15">
        <v>0</v>
      </c>
      <c r="K15">
        <v>0</v>
      </c>
      <c r="L15">
        <v>0</v>
      </c>
      <c r="M15">
        <v>0</v>
      </c>
      <c r="N15">
        <v>0</v>
      </c>
      <c r="O15">
        <v>0</v>
      </c>
      <c r="P15">
        <v>0</v>
      </c>
      <c r="Q15">
        <v>0</v>
      </c>
      <c r="R15">
        <v>0</v>
      </c>
      <c r="S15">
        <v>0</v>
      </c>
      <c r="T15">
        <v>0</v>
      </c>
      <c r="U15">
        <v>0</v>
      </c>
      <c r="W15">
        <f>+Table_Query_from_HTEDA23_15[[#This Row],[ERC019]]+Table_Query_from_HTEDA23_15[[#This Row],[ERC016]]+Table_Query_from_HTEDA23_15[[#This Row],[ERC013]]+Table_Query_from_HTEDA23_15[[#This Row],[ERC010]]+Table_Query_from_HTEDA23_15[[#This Row],[ERC007]]+Table_Query_from_HTEDA23_15[[#This Row],[ERC004]]</f>
        <v>0</v>
      </c>
      <c r="Y15" s="3"/>
      <c r="Z15" s="3"/>
    </row>
    <row r="16" spans="2:27" ht="15.75">
      <c r="B16" t="s">
        <v>596</v>
      </c>
      <c r="C16">
        <v>0</v>
      </c>
      <c r="D16">
        <v>0</v>
      </c>
      <c r="E16">
        <v>0</v>
      </c>
      <c r="F16">
        <v>0</v>
      </c>
      <c r="G16">
        <v>0</v>
      </c>
      <c r="H16">
        <v>0</v>
      </c>
      <c r="I16">
        <v>0</v>
      </c>
      <c r="J16">
        <v>0</v>
      </c>
      <c r="K16">
        <v>0</v>
      </c>
      <c r="L16">
        <v>0</v>
      </c>
      <c r="M16">
        <v>0</v>
      </c>
      <c r="N16">
        <v>0</v>
      </c>
      <c r="O16">
        <v>0</v>
      </c>
      <c r="P16">
        <v>0</v>
      </c>
      <c r="Q16">
        <v>0</v>
      </c>
      <c r="R16">
        <v>0</v>
      </c>
      <c r="S16">
        <v>0</v>
      </c>
      <c r="T16">
        <v>0</v>
      </c>
      <c r="U16">
        <v>0</v>
      </c>
      <c r="W16">
        <f>+Table_Query_from_HTEDA23_15[[#This Row],[ERC019]]+Table_Query_from_HTEDA23_15[[#This Row],[ERC016]]+Table_Query_from_HTEDA23_15[[#This Row],[ERC013]]+Table_Query_from_HTEDA23_15[[#This Row],[ERC010]]+Table_Query_from_HTEDA23_15[[#This Row],[ERC007]]+Table_Query_from_HTEDA23_15[[#This Row],[ERC004]]</f>
        <v>0</v>
      </c>
      <c r="Y16" s="3"/>
      <c r="Z16" s="3"/>
    </row>
    <row r="17" spans="2:26" ht="15.75">
      <c r="B17" t="s">
        <v>1151</v>
      </c>
      <c r="C17">
        <v>0</v>
      </c>
      <c r="D17">
        <v>0</v>
      </c>
      <c r="E17">
        <v>0</v>
      </c>
      <c r="F17">
        <v>0</v>
      </c>
      <c r="G17">
        <v>0</v>
      </c>
      <c r="H17">
        <v>0</v>
      </c>
      <c r="I17">
        <v>0</v>
      </c>
      <c r="J17">
        <v>0</v>
      </c>
      <c r="K17">
        <v>0</v>
      </c>
      <c r="L17">
        <v>0</v>
      </c>
      <c r="M17">
        <v>0</v>
      </c>
      <c r="N17">
        <v>0</v>
      </c>
      <c r="O17">
        <v>0</v>
      </c>
      <c r="P17">
        <v>0</v>
      </c>
      <c r="Q17">
        <v>0</v>
      </c>
      <c r="R17">
        <v>0</v>
      </c>
      <c r="S17">
        <v>0</v>
      </c>
      <c r="T17">
        <v>0</v>
      </c>
      <c r="U17">
        <v>0</v>
      </c>
      <c r="W17">
        <f>+Table_Query_from_HTEDA23_15[[#This Row],[ERC019]]+Table_Query_from_HTEDA23_15[[#This Row],[ERC016]]+Table_Query_from_HTEDA23_15[[#This Row],[ERC013]]+Table_Query_from_HTEDA23_15[[#This Row],[ERC010]]+Table_Query_from_HTEDA23_15[[#This Row],[ERC007]]+Table_Query_from_HTEDA23_15[[#This Row],[ERC004]]</f>
        <v>0</v>
      </c>
      <c r="Y17" s="3"/>
      <c r="Z17" s="3"/>
    </row>
    <row r="18" spans="2:26" ht="15.75">
      <c r="B18" t="s">
        <v>1152</v>
      </c>
      <c r="C18">
        <v>0</v>
      </c>
      <c r="D18">
        <v>0</v>
      </c>
      <c r="E18">
        <v>0</v>
      </c>
      <c r="F18">
        <v>0</v>
      </c>
      <c r="G18">
        <v>0</v>
      </c>
      <c r="H18">
        <v>0</v>
      </c>
      <c r="I18">
        <v>0</v>
      </c>
      <c r="J18">
        <v>0</v>
      </c>
      <c r="K18">
        <v>0</v>
      </c>
      <c r="L18">
        <v>0</v>
      </c>
      <c r="M18">
        <v>0</v>
      </c>
      <c r="N18">
        <v>0</v>
      </c>
      <c r="O18">
        <v>0</v>
      </c>
      <c r="P18">
        <v>0</v>
      </c>
      <c r="Q18">
        <v>0</v>
      </c>
      <c r="R18">
        <v>0</v>
      </c>
      <c r="S18">
        <v>0</v>
      </c>
      <c r="T18">
        <v>0</v>
      </c>
      <c r="U18">
        <v>0</v>
      </c>
      <c r="W18">
        <f>+Table_Query_from_HTEDA23_15[[#This Row],[ERC019]]+Table_Query_from_HTEDA23_15[[#This Row],[ERC016]]+Table_Query_from_HTEDA23_15[[#This Row],[ERC013]]+Table_Query_from_HTEDA23_15[[#This Row],[ERC010]]+Table_Query_from_HTEDA23_15[[#This Row],[ERC007]]+Table_Query_from_HTEDA23_15[[#This Row],[ERC004]]</f>
        <v>0</v>
      </c>
      <c r="Y18" s="3"/>
      <c r="Z18" s="3"/>
    </row>
    <row r="19" spans="2:26" ht="15.75">
      <c r="B19" t="s">
        <v>1153</v>
      </c>
      <c r="C19">
        <v>0</v>
      </c>
      <c r="D19">
        <v>0</v>
      </c>
      <c r="E19">
        <v>0</v>
      </c>
      <c r="F19">
        <v>0</v>
      </c>
      <c r="G19">
        <v>0</v>
      </c>
      <c r="H19">
        <v>0</v>
      </c>
      <c r="I19">
        <v>0</v>
      </c>
      <c r="J19">
        <v>0</v>
      </c>
      <c r="K19">
        <v>0</v>
      </c>
      <c r="L19">
        <v>0</v>
      </c>
      <c r="M19">
        <v>0</v>
      </c>
      <c r="N19">
        <v>0</v>
      </c>
      <c r="O19">
        <v>0</v>
      </c>
      <c r="P19">
        <v>0</v>
      </c>
      <c r="Q19">
        <v>0</v>
      </c>
      <c r="R19">
        <v>0</v>
      </c>
      <c r="S19">
        <v>0</v>
      </c>
      <c r="T19">
        <v>0</v>
      </c>
      <c r="U19">
        <v>0</v>
      </c>
      <c r="W19">
        <f>+Table_Query_from_HTEDA23_15[[#This Row],[ERC019]]+Table_Query_from_HTEDA23_15[[#This Row],[ERC016]]+Table_Query_from_HTEDA23_15[[#This Row],[ERC013]]+Table_Query_from_HTEDA23_15[[#This Row],[ERC010]]+Table_Query_from_HTEDA23_15[[#This Row],[ERC007]]+Table_Query_from_HTEDA23_15[[#This Row],[ERC004]]</f>
        <v>0</v>
      </c>
      <c r="Y19" s="3"/>
      <c r="Z19" s="3"/>
    </row>
    <row r="20" spans="2:26" ht="15.75">
      <c r="B20" t="s">
        <v>1287</v>
      </c>
      <c r="C20">
        <v>0</v>
      </c>
      <c r="D20">
        <v>0</v>
      </c>
      <c r="E20">
        <v>0</v>
      </c>
      <c r="F20">
        <v>0</v>
      </c>
      <c r="G20">
        <v>0</v>
      </c>
      <c r="H20">
        <v>0</v>
      </c>
      <c r="I20">
        <v>0</v>
      </c>
      <c r="J20">
        <v>0</v>
      </c>
      <c r="K20">
        <v>0</v>
      </c>
      <c r="L20">
        <v>0</v>
      </c>
      <c r="M20">
        <v>0</v>
      </c>
      <c r="N20">
        <v>0</v>
      </c>
      <c r="O20">
        <v>0</v>
      </c>
      <c r="P20">
        <v>0</v>
      </c>
      <c r="Q20">
        <v>0</v>
      </c>
      <c r="R20">
        <v>0</v>
      </c>
      <c r="S20">
        <v>0</v>
      </c>
      <c r="T20">
        <v>0</v>
      </c>
      <c r="U20">
        <v>0</v>
      </c>
      <c r="W20">
        <f>+Table_Query_from_HTEDA23_15[[#This Row],[ERC019]]+Table_Query_from_HTEDA23_15[[#This Row],[ERC016]]+Table_Query_from_HTEDA23_15[[#This Row],[ERC013]]+Table_Query_from_HTEDA23_15[[#This Row],[ERC010]]+Table_Query_from_HTEDA23_15[[#This Row],[ERC007]]+Table_Query_from_HTEDA23_15[[#This Row],[ERC004]]</f>
        <v>0</v>
      </c>
      <c r="Y20" s="3"/>
      <c r="Z20" s="3"/>
    </row>
    <row r="21" spans="2:26" ht="15.75">
      <c r="B21" t="s">
        <v>165</v>
      </c>
      <c r="C21">
        <v>0</v>
      </c>
      <c r="D21">
        <v>0</v>
      </c>
      <c r="E21">
        <v>0</v>
      </c>
      <c r="F21">
        <v>0</v>
      </c>
      <c r="G21">
        <v>0</v>
      </c>
      <c r="H21">
        <v>0</v>
      </c>
      <c r="I21">
        <v>0</v>
      </c>
      <c r="J21">
        <v>0</v>
      </c>
      <c r="K21">
        <v>0</v>
      </c>
      <c r="L21">
        <v>0</v>
      </c>
      <c r="M21">
        <v>0</v>
      </c>
      <c r="N21">
        <v>0</v>
      </c>
      <c r="O21">
        <v>0</v>
      </c>
      <c r="P21">
        <v>0</v>
      </c>
      <c r="Q21">
        <v>0</v>
      </c>
      <c r="R21">
        <v>0</v>
      </c>
      <c r="S21">
        <v>0</v>
      </c>
      <c r="T21">
        <v>0</v>
      </c>
      <c r="U21">
        <v>0</v>
      </c>
      <c r="W21">
        <f>+Table_Query_from_HTEDA23_15[[#This Row],[ERC019]]+Table_Query_from_HTEDA23_15[[#This Row],[ERC016]]+Table_Query_from_HTEDA23_15[[#This Row],[ERC013]]+Table_Query_from_HTEDA23_15[[#This Row],[ERC010]]+Table_Query_from_HTEDA23_15[[#This Row],[ERC007]]+Table_Query_from_HTEDA23_15[[#This Row],[ERC004]]</f>
        <v>0</v>
      </c>
      <c r="Y21" s="3"/>
      <c r="Z21" s="3"/>
    </row>
    <row r="22" spans="2:26" ht="15.75">
      <c r="B22" t="s">
        <v>166</v>
      </c>
      <c r="C22">
        <v>0</v>
      </c>
      <c r="D22">
        <v>0</v>
      </c>
      <c r="E22">
        <v>0</v>
      </c>
      <c r="F22">
        <v>0</v>
      </c>
      <c r="G22">
        <v>0</v>
      </c>
      <c r="H22">
        <v>0</v>
      </c>
      <c r="I22">
        <v>0</v>
      </c>
      <c r="J22">
        <v>0</v>
      </c>
      <c r="K22">
        <v>0</v>
      </c>
      <c r="L22">
        <v>0</v>
      </c>
      <c r="M22">
        <v>0</v>
      </c>
      <c r="N22">
        <v>0</v>
      </c>
      <c r="O22">
        <v>0</v>
      </c>
      <c r="P22">
        <v>0</v>
      </c>
      <c r="Q22">
        <v>0</v>
      </c>
      <c r="R22">
        <v>0</v>
      </c>
      <c r="S22">
        <v>0</v>
      </c>
      <c r="T22">
        <v>0</v>
      </c>
      <c r="U22">
        <v>0</v>
      </c>
      <c r="W22">
        <f>+Table_Query_from_HTEDA23_15[[#This Row],[ERC019]]+Table_Query_from_HTEDA23_15[[#This Row],[ERC016]]+Table_Query_from_HTEDA23_15[[#This Row],[ERC013]]+Table_Query_from_HTEDA23_15[[#This Row],[ERC010]]+Table_Query_from_HTEDA23_15[[#This Row],[ERC007]]+Table_Query_from_HTEDA23_15[[#This Row],[ERC004]]</f>
        <v>0</v>
      </c>
      <c r="Y22" s="3"/>
      <c r="Z22" s="3"/>
    </row>
    <row r="23" spans="2:26" ht="15.75">
      <c r="B23" t="s">
        <v>1023</v>
      </c>
      <c r="C23">
        <v>0</v>
      </c>
      <c r="D23">
        <v>0</v>
      </c>
      <c r="E23">
        <v>0</v>
      </c>
      <c r="F23">
        <v>0</v>
      </c>
      <c r="G23">
        <v>0</v>
      </c>
      <c r="H23">
        <v>0</v>
      </c>
      <c r="I23">
        <v>0</v>
      </c>
      <c r="J23">
        <v>0</v>
      </c>
      <c r="K23">
        <v>0</v>
      </c>
      <c r="L23">
        <v>0</v>
      </c>
      <c r="M23">
        <v>0</v>
      </c>
      <c r="N23">
        <v>0</v>
      </c>
      <c r="O23">
        <v>0</v>
      </c>
      <c r="P23">
        <v>0</v>
      </c>
      <c r="Q23">
        <v>0</v>
      </c>
      <c r="R23">
        <v>0</v>
      </c>
      <c r="S23">
        <v>0</v>
      </c>
      <c r="T23">
        <v>0</v>
      </c>
      <c r="U23">
        <v>0</v>
      </c>
      <c r="W23">
        <f>+Table_Query_from_HTEDA23_15[[#This Row],[ERC019]]+Table_Query_from_HTEDA23_15[[#This Row],[ERC016]]+Table_Query_from_HTEDA23_15[[#This Row],[ERC013]]+Table_Query_from_HTEDA23_15[[#This Row],[ERC010]]+Table_Query_from_HTEDA23_15[[#This Row],[ERC007]]+Table_Query_from_HTEDA23_15[[#This Row],[ERC004]]</f>
        <v>0</v>
      </c>
      <c r="Y23" s="3"/>
      <c r="Z23" s="3"/>
    </row>
    <row r="24" spans="2:26" ht="15.75">
      <c r="B24" t="s">
        <v>1024</v>
      </c>
      <c r="C24">
        <v>0</v>
      </c>
      <c r="D24">
        <v>0</v>
      </c>
      <c r="E24">
        <v>0</v>
      </c>
      <c r="F24">
        <v>0</v>
      </c>
      <c r="G24">
        <v>0</v>
      </c>
      <c r="H24">
        <v>0</v>
      </c>
      <c r="I24">
        <v>0</v>
      </c>
      <c r="J24">
        <v>0</v>
      </c>
      <c r="K24">
        <v>0</v>
      </c>
      <c r="L24">
        <v>0</v>
      </c>
      <c r="M24">
        <v>0</v>
      </c>
      <c r="N24">
        <v>0</v>
      </c>
      <c r="O24">
        <v>0</v>
      </c>
      <c r="P24">
        <v>0</v>
      </c>
      <c r="Q24">
        <v>0</v>
      </c>
      <c r="R24">
        <v>0</v>
      </c>
      <c r="S24">
        <v>0</v>
      </c>
      <c r="T24">
        <v>0</v>
      </c>
      <c r="U24">
        <v>0</v>
      </c>
      <c r="W24">
        <f>+Table_Query_from_HTEDA23_15[[#This Row],[ERC019]]+Table_Query_from_HTEDA23_15[[#This Row],[ERC016]]+Table_Query_from_HTEDA23_15[[#This Row],[ERC013]]+Table_Query_from_HTEDA23_15[[#This Row],[ERC010]]+Table_Query_from_HTEDA23_15[[#This Row],[ERC007]]+Table_Query_from_HTEDA23_15[[#This Row],[ERC004]]</f>
        <v>0</v>
      </c>
      <c r="Y24" s="3"/>
      <c r="Z24" s="3"/>
    </row>
    <row r="25" spans="2:26" ht="15.75">
      <c r="B25" t="s">
        <v>1208</v>
      </c>
      <c r="C25">
        <v>0</v>
      </c>
      <c r="D25">
        <v>0</v>
      </c>
      <c r="E25">
        <v>0</v>
      </c>
      <c r="F25">
        <v>0</v>
      </c>
      <c r="G25">
        <v>0</v>
      </c>
      <c r="H25">
        <v>0</v>
      </c>
      <c r="I25">
        <v>0</v>
      </c>
      <c r="J25">
        <v>0</v>
      </c>
      <c r="K25">
        <v>0</v>
      </c>
      <c r="L25">
        <v>0</v>
      </c>
      <c r="M25">
        <v>0</v>
      </c>
      <c r="N25">
        <v>0</v>
      </c>
      <c r="O25">
        <v>0</v>
      </c>
      <c r="P25">
        <v>0</v>
      </c>
      <c r="Q25">
        <v>0</v>
      </c>
      <c r="R25">
        <v>0</v>
      </c>
      <c r="S25">
        <v>0</v>
      </c>
      <c r="T25">
        <v>0</v>
      </c>
      <c r="U25">
        <v>0</v>
      </c>
      <c r="W25">
        <f>+Table_Query_from_HTEDA23_15[[#This Row],[ERC019]]+Table_Query_from_HTEDA23_15[[#This Row],[ERC016]]+Table_Query_from_HTEDA23_15[[#This Row],[ERC013]]+Table_Query_from_HTEDA23_15[[#This Row],[ERC010]]+Table_Query_from_HTEDA23_15[[#This Row],[ERC007]]+Table_Query_from_HTEDA23_15[[#This Row],[ERC004]]</f>
        <v>0</v>
      </c>
      <c r="Y25" s="3"/>
      <c r="Z25" s="3"/>
    </row>
    <row r="26" spans="2:26" ht="15.75">
      <c r="B26" t="s">
        <v>573</v>
      </c>
      <c r="C26">
        <v>0</v>
      </c>
      <c r="D26">
        <v>0</v>
      </c>
      <c r="E26">
        <v>0</v>
      </c>
      <c r="F26">
        <v>0</v>
      </c>
      <c r="G26">
        <v>0</v>
      </c>
      <c r="H26">
        <v>0</v>
      </c>
      <c r="I26">
        <v>0</v>
      </c>
      <c r="J26">
        <v>0</v>
      </c>
      <c r="K26">
        <v>0</v>
      </c>
      <c r="L26">
        <v>0</v>
      </c>
      <c r="M26">
        <v>0</v>
      </c>
      <c r="N26">
        <v>0</v>
      </c>
      <c r="O26">
        <v>0</v>
      </c>
      <c r="P26">
        <v>0</v>
      </c>
      <c r="Q26">
        <v>0</v>
      </c>
      <c r="R26">
        <v>0</v>
      </c>
      <c r="S26">
        <v>0</v>
      </c>
      <c r="T26">
        <v>0</v>
      </c>
      <c r="U26">
        <v>0</v>
      </c>
      <c r="W26">
        <f>+Table_Query_from_HTEDA23_15[[#This Row],[ERC019]]+Table_Query_from_HTEDA23_15[[#This Row],[ERC016]]+Table_Query_from_HTEDA23_15[[#This Row],[ERC013]]+Table_Query_from_HTEDA23_15[[#This Row],[ERC010]]+Table_Query_from_HTEDA23_15[[#This Row],[ERC007]]+Table_Query_from_HTEDA23_15[[#This Row],[ERC004]]</f>
        <v>0</v>
      </c>
      <c r="Y26" s="3"/>
      <c r="Z26" s="3"/>
    </row>
    <row r="27" spans="2:26" ht="15.75">
      <c r="B27" t="s">
        <v>574</v>
      </c>
      <c r="C27">
        <v>0</v>
      </c>
      <c r="D27">
        <v>0</v>
      </c>
      <c r="E27">
        <v>0</v>
      </c>
      <c r="F27">
        <v>0</v>
      </c>
      <c r="G27">
        <v>0</v>
      </c>
      <c r="H27">
        <v>0</v>
      </c>
      <c r="I27">
        <v>0</v>
      </c>
      <c r="J27">
        <v>0</v>
      </c>
      <c r="K27">
        <v>0</v>
      </c>
      <c r="L27">
        <v>0</v>
      </c>
      <c r="M27">
        <v>0</v>
      </c>
      <c r="N27">
        <v>0</v>
      </c>
      <c r="O27">
        <v>0</v>
      </c>
      <c r="P27">
        <v>0</v>
      </c>
      <c r="Q27">
        <v>0</v>
      </c>
      <c r="R27">
        <v>0</v>
      </c>
      <c r="S27">
        <v>0</v>
      </c>
      <c r="T27">
        <v>0</v>
      </c>
      <c r="U27">
        <v>0</v>
      </c>
      <c r="W27">
        <f>+Table_Query_from_HTEDA23_15[[#This Row],[ERC019]]+Table_Query_from_HTEDA23_15[[#This Row],[ERC016]]+Table_Query_from_HTEDA23_15[[#This Row],[ERC013]]+Table_Query_from_HTEDA23_15[[#This Row],[ERC010]]+Table_Query_from_HTEDA23_15[[#This Row],[ERC007]]+Table_Query_from_HTEDA23_15[[#This Row],[ERC004]]</f>
        <v>0</v>
      </c>
      <c r="Y27" s="3"/>
      <c r="Z27" s="3"/>
    </row>
    <row r="28" spans="2:26" ht="15.75">
      <c r="B28" t="s">
        <v>575</v>
      </c>
      <c r="C28">
        <v>0</v>
      </c>
      <c r="D28">
        <v>0</v>
      </c>
      <c r="E28">
        <v>0</v>
      </c>
      <c r="F28">
        <v>0</v>
      </c>
      <c r="G28">
        <v>0</v>
      </c>
      <c r="H28">
        <v>0</v>
      </c>
      <c r="I28">
        <v>0</v>
      </c>
      <c r="J28">
        <v>0</v>
      </c>
      <c r="K28">
        <v>0</v>
      </c>
      <c r="L28">
        <v>0</v>
      </c>
      <c r="M28">
        <v>0</v>
      </c>
      <c r="N28" s="158">
        <v>0</v>
      </c>
      <c r="O28">
        <v>0</v>
      </c>
      <c r="P28">
        <v>0</v>
      </c>
      <c r="Q28">
        <v>0</v>
      </c>
      <c r="R28">
        <v>0</v>
      </c>
      <c r="S28">
        <v>105000</v>
      </c>
      <c r="T28" s="158">
        <v>0</v>
      </c>
      <c r="U28">
        <v>0</v>
      </c>
      <c r="W28">
        <f>+Table_Query_from_HTEDA23_15[[#This Row],[ERC019]]+Table_Query_from_HTEDA23_15[[#This Row],[ERC016]]+Table_Query_from_HTEDA23_15[[#This Row],[ERC013]]+Table_Query_from_HTEDA23_15[[#This Row],[ERC010]]+Table_Query_from_HTEDA23_15[[#This Row],[ERC007]]+Table_Query_from_HTEDA23_15[[#This Row],[ERC004]]</f>
        <v>0</v>
      </c>
      <c r="Y28" s="3"/>
      <c r="Z28" s="3"/>
    </row>
    <row r="29" spans="2:26" ht="15.75">
      <c r="B29" t="s">
        <v>1113</v>
      </c>
      <c r="C29">
        <v>0</v>
      </c>
      <c r="D29">
        <v>0</v>
      </c>
      <c r="E29">
        <v>0</v>
      </c>
      <c r="F29">
        <v>0</v>
      </c>
      <c r="G29">
        <v>0</v>
      </c>
      <c r="H29">
        <v>0</v>
      </c>
      <c r="I29">
        <v>0</v>
      </c>
      <c r="J29">
        <v>0</v>
      </c>
      <c r="K29">
        <v>0</v>
      </c>
      <c r="L29">
        <v>0</v>
      </c>
      <c r="M29">
        <v>0</v>
      </c>
      <c r="N29">
        <v>0</v>
      </c>
      <c r="O29">
        <v>0</v>
      </c>
      <c r="P29">
        <v>0</v>
      </c>
      <c r="Q29">
        <v>0</v>
      </c>
      <c r="R29">
        <v>0</v>
      </c>
      <c r="S29">
        <v>0</v>
      </c>
      <c r="T29">
        <v>0</v>
      </c>
      <c r="U29">
        <v>0</v>
      </c>
      <c r="W29">
        <f>+Table_Query_from_HTEDA23_15[[#This Row],[ERC019]]+Table_Query_from_HTEDA23_15[[#This Row],[ERC016]]+Table_Query_from_HTEDA23_15[[#This Row],[ERC013]]+Table_Query_from_HTEDA23_15[[#This Row],[ERC010]]+Table_Query_from_HTEDA23_15[[#This Row],[ERC007]]+Table_Query_from_HTEDA23_15[[#This Row],[ERC004]]</f>
        <v>0</v>
      </c>
      <c r="Y29" s="3"/>
      <c r="Z29" s="3"/>
    </row>
    <row r="30" spans="2:26" ht="15.75">
      <c r="B30" t="s">
        <v>1114</v>
      </c>
      <c r="C30">
        <v>0</v>
      </c>
      <c r="D30">
        <v>0</v>
      </c>
      <c r="E30">
        <v>0</v>
      </c>
      <c r="F30">
        <v>0</v>
      </c>
      <c r="G30">
        <v>0</v>
      </c>
      <c r="H30">
        <v>0</v>
      </c>
      <c r="I30">
        <v>0</v>
      </c>
      <c r="J30">
        <v>0</v>
      </c>
      <c r="K30">
        <v>0</v>
      </c>
      <c r="L30">
        <v>0</v>
      </c>
      <c r="M30">
        <v>0</v>
      </c>
      <c r="N30">
        <v>0</v>
      </c>
      <c r="O30">
        <v>0</v>
      </c>
      <c r="P30">
        <v>0</v>
      </c>
      <c r="Q30">
        <v>0</v>
      </c>
      <c r="R30">
        <v>0</v>
      </c>
      <c r="S30">
        <v>0</v>
      </c>
      <c r="T30">
        <v>0</v>
      </c>
      <c r="U30">
        <v>0</v>
      </c>
      <c r="W30">
        <f>+Table_Query_from_HTEDA23_15[[#This Row],[ERC019]]+Table_Query_from_HTEDA23_15[[#This Row],[ERC016]]+Table_Query_from_HTEDA23_15[[#This Row],[ERC013]]+Table_Query_from_HTEDA23_15[[#This Row],[ERC010]]+Table_Query_from_HTEDA23_15[[#This Row],[ERC007]]+Table_Query_from_HTEDA23_15[[#This Row],[ERC004]]</f>
        <v>0</v>
      </c>
      <c r="Y30" s="3"/>
      <c r="Z30" s="3"/>
    </row>
    <row r="31" spans="2:26" ht="15.75">
      <c r="B31" t="s">
        <v>1115</v>
      </c>
      <c r="C31">
        <v>0</v>
      </c>
      <c r="D31">
        <v>0</v>
      </c>
      <c r="E31">
        <v>0</v>
      </c>
      <c r="F31">
        <v>0</v>
      </c>
      <c r="G31">
        <v>0</v>
      </c>
      <c r="H31">
        <v>0</v>
      </c>
      <c r="I31">
        <v>0</v>
      </c>
      <c r="J31">
        <v>0</v>
      </c>
      <c r="K31">
        <v>0</v>
      </c>
      <c r="L31">
        <v>0</v>
      </c>
      <c r="M31">
        <v>0</v>
      </c>
      <c r="N31">
        <v>0</v>
      </c>
      <c r="O31">
        <v>0</v>
      </c>
      <c r="P31">
        <v>0</v>
      </c>
      <c r="Q31">
        <v>0</v>
      </c>
      <c r="R31">
        <v>0</v>
      </c>
      <c r="S31">
        <v>0</v>
      </c>
      <c r="T31">
        <v>0</v>
      </c>
      <c r="U31">
        <v>0</v>
      </c>
      <c r="W31">
        <f>+Table_Query_from_HTEDA23_15[[#This Row],[ERC019]]+Table_Query_from_HTEDA23_15[[#This Row],[ERC016]]+Table_Query_from_HTEDA23_15[[#This Row],[ERC013]]+Table_Query_from_HTEDA23_15[[#This Row],[ERC010]]+Table_Query_from_HTEDA23_15[[#This Row],[ERC007]]+Table_Query_from_HTEDA23_15[[#This Row],[ERC004]]</f>
        <v>0</v>
      </c>
      <c r="Y31" s="3"/>
      <c r="Z31" s="3"/>
    </row>
    <row r="32" spans="2:26" ht="15.75">
      <c r="B32" t="s">
        <v>1116</v>
      </c>
      <c r="C32">
        <v>0</v>
      </c>
      <c r="D32">
        <v>0</v>
      </c>
      <c r="E32">
        <v>0</v>
      </c>
      <c r="F32">
        <v>0</v>
      </c>
      <c r="G32">
        <v>0</v>
      </c>
      <c r="H32">
        <v>0</v>
      </c>
      <c r="I32">
        <v>0</v>
      </c>
      <c r="J32">
        <v>0</v>
      </c>
      <c r="K32">
        <v>0</v>
      </c>
      <c r="L32">
        <v>0</v>
      </c>
      <c r="M32">
        <v>0</v>
      </c>
      <c r="N32">
        <v>0</v>
      </c>
      <c r="O32">
        <v>0</v>
      </c>
      <c r="P32">
        <v>0</v>
      </c>
      <c r="Q32">
        <v>0</v>
      </c>
      <c r="R32">
        <v>0</v>
      </c>
      <c r="S32">
        <v>0</v>
      </c>
      <c r="T32">
        <v>0</v>
      </c>
      <c r="U32">
        <v>0</v>
      </c>
      <c r="W32">
        <f>+Table_Query_from_HTEDA23_15[[#This Row],[ERC019]]+Table_Query_from_HTEDA23_15[[#This Row],[ERC016]]+Table_Query_from_HTEDA23_15[[#This Row],[ERC013]]+Table_Query_from_HTEDA23_15[[#This Row],[ERC010]]+Table_Query_from_HTEDA23_15[[#This Row],[ERC007]]+Table_Query_from_HTEDA23_15[[#This Row],[ERC004]]</f>
        <v>0</v>
      </c>
      <c r="Y32" s="3"/>
      <c r="Z32" s="3"/>
    </row>
    <row r="33" spans="2:26" ht="15.75">
      <c r="B33" t="s">
        <v>1117</v>
      </c>
      <c r="C33">
        <v>0</v>
      </c>
      <c r="D33">
        <v>0</v>
      </c>
      <c r="E33">
        <v>0</v>
      </c>
      <c r="F33">
        <v>0</v>
      </c>
      <c r="G33">
        <v>0</v>
      </c>
      <c r="H33">
        <v>0</v>
      </c>
      <c r="I33">
        <v>0</v>
      </c>
      <c r="J33">
        <v>0</v>
      </c>
      <c r="K33">
        <v>0</v>
      </c>
      <c r="L33">
        <v>0</v>
      </c>
      <c r="M33">
        <v>0</v>
      </c>
      <c r="N33">
        <v>0</v>
      </c>
      <c r="O33">
        <v>0</v>
      </c>
      <c r="P33">
        <v>0</v>
      </c>
      <c r="Q33">
        <v>0</v>
      </c>
      <c r="R33">
        <v>0</v>
      </c>
      <c r="S33">
        <v>0</v>
      </c>
      <c r="T33">
        <v>0</v>
      </c>
      <c r="U33">
        <v>0</v>
      </c>
      <c r="W33">
        <f>+Table_Query_from_HTEDA23_15[[#This Row],[ERC019]]+Table_Query_from_HTEDA23_15[[#This Row],[ERC016]]+Table_Query_from_HTEDA23_15[[#This Row],[ERC013]]+Table_Query_from_HTEDA23_15[[#This Row],[ERC010]]+Table_Query_from_HTEDA23_15[[#This Row],[ERC007]]+Table_Query_from_HTEDA23_15[[#This Row],[ERC004]]</f>
        <v>0</v>
      </c>
      <c r="Y33" s="3"/>
      <c r="Z33" s="3"/>
    </row>
    <row r="34" spans="2:26" ht="15.75">
      <c r="B34" t="s">
        <v>1118</v>
      </c>
      <c r="C34">
        <v>0</v>
      </c>
      <c r="D34">
        <v>0</v>
      </c>
      <c r="E34">
        <v>0</v>
      </c>
      <c r="F34">
        <v>0</v>
      </c>
      <c r="G34">
        <v>0</v>
      </c>
      <c r="H34">
        <v>0</v>
      </c>
      <c r="I34">
        <v>0</v>
      </c>
      <c r="J34">
        <v>0</v>
      </c>
      <c r="K34">
        <v>0</v>
      </c>
      <c r="L34">
        <v>0</v>
      </c>
      <c r="M34">
        <v>0</v>
      </c>
      <c r="N34">
        <v>0</v>
      </c>
      <c r="O34">
        <v>0</v>
      </c>
      <c r="P34">
        <v>0</v>
      </c>
      <c r="Q34">
        <v>0</v>
      </c>
      <c r="R34">
        <v>0</v>
      </c>
      <c r="S34">
        <v>0</v>
      </c>
      <c r="T34">
        <v>0</v>
      </c>
      <c r="U34">
        <v>0</v>
      </c>
      <c r="W34">
        <f>+Table_Query_from_HTEDA23_15[[#This Row],[ERC019]]+Table_Query_from_HTEDA23_15[[#This Row],[ERC016]]+Table_Query_from_HTEDA23_15[[#This Row],[ERC013]]+Table_Query_from_HTEDA23_15[[#This Row],[ERC010]]+Table_Query_from_HTEDA23_15[[#This Row],[ERC007]]+Table_Query_from_HTEDA23_15[[#This Row],[ERC004]]</f>
        <v>0</v>
      </c>
      <c r="Y34" s="3"/>
      <c r="Z34" s="3"/>
    </row>
    <row r="35" spans="2:26" ht="15.75">
      <c r="B35" t="s">
        <v>1119</v>
      </c>
      <c r="C35">
        <v>0</v>
      </c>
      <c r="D35">
        <v>0</v>
      </c>
      <c r="E35">
        <v>0</v>
      </c>
      <c r="F35">
        <v>0</v>
      </c>
      <c r="G35">
        <v>0</v>
      </c>
      <c r="H35">
        <v>0</v>
      </c>
      <c r="I35">
        <v>0</v>
      </c>
      <c r="J35">
        <v>0</v>
      </c>
      <c r="K35">
        <v>0</v>
      </c>
      <c r="L35">
        <v>0</v>
      </c>
      <c r="M35">
        <v>0</v>
      </c>
      <c r="N35">
        <v>0</v>
      </c>
      <c r="O35">
        <v>0</v>
      </c>
      <c r="P35">
        <v>0</v>
      </c>
      <c r="Q35">
        <v>0</v>
      </c>
      <c r="R35">
        <v>0</v>
      </c>
      <c r="S35">
        <v>2315000</v>
      </c>
      <c r="T35">
        <v>13259</v>
      </c>
      <c r="U35">
        <v>0</v>
      </c>
      <c r="W35">
        <f>+Table_Query_from_HTEDA23_15[[#This Row],[ERC019]]+Table_Query_from_HTEDA23_15[[#This Row],[ERC016]]+Table_Query_from_HTEDA23_15[[#This Row],[ERC013]]+Table_Query_from_HTEDA23_15[[#This Row],[ERC010]]+Table_Query_from_HTEDA23_15[[#This Row],[ERC007]]+Table_Query_from_HTEDA23_15[[#This Row],[ERC004]]</f>
        <v>13259</v>
      </c>
      <c r="Y35" s="3"/>
      <c r="Z35" s="3"/>
    </row>
    <row r="36" spans="2:26" ht="15.75">
      <c r="B36" t="s">
        <v>1009</v>
      </c>
      <c r="C36">
        <v>0</v>
      </c>
      <c r="D36">
        <v>0</v>
      </c>
      <c r="E36">
        <v>0</v>
      </c>
      <c r="F36">
        <v>0</v>
      </c>
      <c r="G36">
        <v>0</v>
      </c>
      <c r="H36">
        <v>0</v>
      </c>
      <c r="I36">
        <v>0</v>
      </c>
      <c r="J36">
        <v>0</v>
      </c>
      <c r="K36">
        <v>0</v>
      </c>
      <c r="L36">
        <v>0</v>
      </c>
      <c r="M36">
        <v>0</v>
      </c>
      <c r="N36">
        <v>0</v>
      </c>
      <c r="O36">
        <v>0</v>
      </c>
      <c r="P36">
        <v>0</v>
      </c>
      <c r="Q36">
        <v>0</v>
      </c>
      <c r="R36">
        <v>0</v>
      </c>
      <c r="S36">
        <v>0</v>
      </c>
      <c r="T36">
        <v>0</v>
      </c>
      <c r="U36">
        <v>0</v>
      </c>
      <c r="W36">
        <f>+Table_Query_from_HTEDA23_15[[#This Row],[ERC019]]+Table_Query_from_HTEDA23_15[[#This Row],[ERC016]]+Table_Query_from_HTEDA23_15[[#This Row],[ERC013]]+Table_Query_from_HTEDA23_15[[#This Row],[ERC010]]+Table_Query_from_HTEDA23_15[[#This Row],[ERC007]]+Table_Query_from_HTEDA23_15[[#This Row],[ERC004]]</f>
        <v>0</v>
      </c>
      <c r="Y36" s="3"/>
      <c r="Z36" s="3"/>
    </row>
    <row r="37" spans="2:26" ht="15.75">
      <c r="B37" t="s">
        <v>1010</v>
      </c>
      <c r="C37">
        <v>0</v>
      </c>
      <c r="D37">
        <v>0</v>
      </c>
      <c r="E37">
        <v>0</v>
      </c>
      <c r="F37">
        <v>0</v>
      </c>
      <c r="G37">
        <v>0</v>
      </c>
      <c r="H37">
        <v>0</v>
      </c>
      <c r="I37">
        <v>0</v>
      </c>
      <c r="J37">
        <v>0</v>
      </c>
      <c r="K37">
        <v>0</v>
      </c>
      <c r="L37">
        <v>0</v>
      </c>
      <c r="M37">
        <v>0</v>
      </c>
      <c r="N37">
        <v>0</v>
      </c>
      <c r="O37">
        <v>0</v>
      </c>
      <c r="P37">
        <v>0</v>
      </c>
      <c r="Q37">
        <v>0</v>
      </c>
      <c r="R37">
        <v>0</v>
      </c>
      <c r="S37">
        <v>0</v>
      </c>
      <c r="T37">
        <v>0</v>
      </c>
      <c r="U37">
        <v>0</v>
      </c>
      <c r="W37">
        <f>+Table_Query_from_HTEDA23_15[[#This Row],[ERC019]]+Table_Query_from_HTEDA23_15[[#This Row],[ERC016]]+Table_Query_from_HTEDA23_15[[#This Row],[ERC013]]+Table_Query_from_HTEDA23_15[[#This Row],[ERC010]]+Table_Query_from_HTEDA23_15[[#This Row],[ERC007]]+Table_Query_from_HTEDA23_15[[#This Row],[ERC004]]</f>
        <v>0</v>
      </c>
      <c r="Y37" s="3"/>
      <c r="Z37" s="3"/>
    </row>
    <row r="38" spans="2:26" ht="15.75">
      <c r="B38" t="s">
        <v>1143</v>
      </c>
      <c r="C38">
        <v>0</v>
      </c>
      <c r="D38">
        <v>0</v>
      </c>
      <c r="E38">
        <v>0</v>
      </c>
      <c r="F38">
        <v>0</v>
      </c>
      <c r="G38">
        <v>0</v>
      </c>
      <c r="H38">
        <v>0</v>
      </c>
      <c r="I38">
        <v>0</v>
      </c>
      <c r="J38">
        <v>0</v>
      </c>
      <c r="K38">
        <v>0</v>
      </c>
      <c r="L38">
        <v>0</v>
      </c>
      <c r="M38">
        <v>0</v>
      </c>
      <c r="N38">
        <v>0</v>
      </c>
      <c r="O38">
        <v>0</v>
      </c>
      <c r="P38">
        <v>0</v>
      </c>
      <c r="Q38">
        <v>0</v>
      </c>
      <c r="R38">
        <v>0</v>
      </c>
      <c r="S38">
        <v>0</v>
      </c>
      <c r="T38">
        <v>0</v>
      </c>
      <c r="U38">
        <v>0</v>
      </c>
      <c r="W38">
        <f>+Table_Query_from_HTEDA23_15[[#This Row],[ERC019]]+Table_Query_from_HTEDA23_15[[#This Row],[ERC016]]+Table_Query_from_HTEDA23_15[[#This Row],[ERC013]]+Table_Query_from_HTEDA23_15[[#This Row],[ERC010]]+Table_Query_from_HTEDA23_15[[#This Row],[ERC007]]+Table_Query_from_HTEDA23_15[[#This Row],[ERC004]]</f>
        <v>0</v>
      </c>
      <c r="Y38" s="3"/>
      <c r="Z38" s="3"/>
    </row>
    <row r="39" spans="2:26" ht="15.75">
      <c r="B39" t="s">
        <v>1144</v>
      </c>
      <c r="C39">
        <v>0</v>
      </c>
      <c r="D39">
        <v>0</v>
      </c>
      <c r="E39">
        <v>0</v>
      </c>
      <c r="F39">
        <v>0</v>
      </c>
      <c r="G39">
        <v>0</v>
      </c>
      <c r="H39">
        <v>0</v>
      </c>
      <c r="I39">
        <v>0</v>
      </c>
      <c r="J39">
        <v>0</v>
      </c>
      <c r="K39">
        <v>0</v>
      </c>
      <c r="L39">
        <v>0</v>
      </c>
      <c r="M39">
        <v>0</v>
      </c>
      <c r="N39">
        <v>0</v>
      </c>
      <c r="O39">
        <v>0</v>
      </c>
      <c r="P39">
        <v>0</v>
      </c>
      <c r="Q39">
        <v>0</v>
      </c>
      <c r="R39">
        <v>0</v>
      </c>
      <c r="S39">
        <v>0</v>
      </c>
      <c r="T39">
        <v>0</v>
      </c>
      <c r="U39">
        <v>0</v>
      </c>
      <c r="W39">
        <f>+Table_Query_from_HTEDA23_15[[#This Row],[ERC019]]+Table_Query_from_HTEDA23_15[[#This Row],[ERC016]]+Table_Query_from_HTEDA23_15[[#This Row],[ERC013]]+Table_Query_from_HTEDA23_15[[#This Row],[ERC010]]+Table_Query_from_HTEDA23_15[[#This Row],[ERC007]]+Table_Query_from_HTEDA23_15[[#This Row],[ERC004]]</f>
        <v>0</v>
      </c>
      <c r="Y39" s="3"/>
      <c r="Z39" s="3"/>
    </row>
    <row r="40" spans="2:26" ht="15.75">
      <c r="B40" t="s">
        <v>162</v>
      </c>
      <c r="C40">
        <v>0</v>
      </c>
      <c r="D40">
        <v>0</v>
      </c>
      <c r="E40">
        <v>0</v>
      </c>
      <c r="F40">
        <v>0</v>
      </c>
      <c r="G40">
        <v>0</v>
      </c>
      <c r="H40">
        <v>0</v>
      </c>
      <c r="I40">
        <v>0</v>
      </c>
      <c r="J40">
        <v>0</v>
      </c>
      <c r="K40">
        <v>0</v>
      </c>
      <c r="L40">
        <v>0</v>
      </c>
      <c r="M40">
        <v>0</v>
      </c>
      <c r="N40">
        <v>0</v>
      </c>
      <c r="O40">
        <v>0</v>
      </c>
      <c r="P40">
        <v>0</v>
      </c>
      <c r="Q40">
        <v>0</v>
      </c>
      <c r="R40">
        <v>0</v>
      </c>
      <c r="S40">
        <v>0</v>
      </c>
      <c r="T40">
        <v>0</v>
      </c>
      <c r="U40">
        <v>0</v>
      </c>
      <c r="W40">
        <f>+Table_Query_from_HTEDA23_15[[#This Row],[ERC019]]+Table_Query_from_HTEDA23_15[[#This Row],[ERC016]]+Table_Query_from_HTEDA23_15[[#This Row],[ERC013]]+Table_Query_from_HTEDA23_15[[#This Row],[ERC010]]+Table_Query_from_HTEDA23_15[[#This Row],[ERC007]]+Table_Query_from_HTEDA23_15[[#This Row],[ERC004]]</f>
        <v>0</v>
      </c>
      <c r="Y40" s="3"/>
      <c r="Z40" s="3"/>
    </row>
    <row r="41" spans="2:26" ht="15.75">
      <c r="B41" t="s">
        <v>1011</v>
      </c>
      <c r="C41">
        <v>0</v>
      </c>
      <c r="D41">
        <v>0</v>
      </c>
      <c r="E41">
        <v>0</v>
      </c>
      <c r="F41">
        <v>0</v>
      </c>
      <c r="G41">
        <v>0</v>
      </c>
      <c r="H41">
        <v>0</v>
      </c>
      <c r="I41">
        <v>0</v>
      </c>
      <c r="J41">
        <v>0</v>
      </c>
      <c r="K41">
        <v>0</v>
      </c>
      <c r="L41">
        <v>0</v>
      </c>
      <c r="M41">
        <v>0</v>
      </c>
      <c r="N41">
        <v>0</v>
      </c>
      <c r="O41">
        <v>0</v>
      </c>
      <c r="P41">
        <v>0</v>
      </c>
      <c r="Q41">
        <v>0</v>
      </c>
      <c r="R41">
        <v>0</v>
      </c>
      <c r="S41">
        <v>0</v>
      </c>
      <c r="T41">
        <v>0</v>
      </c>
      <c r="U41">
        <v>0</v>
      </c>
      <c r="W41">
        <f>+Table_Query_from_HTEDA23_15[[#This Row],[ERC019]]+Table_Query_from_HTEDA23_15[[#This Row],[ERC016]]+Table_Query_from_HTEDA23_15[[#This Row],[ERC013]]+Table_Query_from_HTEDA23_15[[#This Row],[ERC010]]+Table_Query_from_HTEDA23_15[[#This Row],[ERC007]]+Table_Query_from_HTEDA23_15[[#This Row],[ERC004]]</f>
        <v>0</v>
      </c>
      <c r="Y41" s="3"/>
      <c r="Z41" s="3"/>
    </row>
    <row r="42" spans="2:26" ht="15.75">
      <c r="B42" t="s">
        <v>823</v>
      </c>
      <c r="C42">
        <v>0</v>
      </c>
      <c r="D42">
        <v>0</v>
      </c>
      <c r="E42">
        <v>0</v>
      </c>
      <c r="F42">
        <v>0</v>
      </c>
      <c r="G42">
        <v>0</v>
      </c>
      <c r="H42">
        <v>0</v>
      </c>
      <c r="I42">
        <v>0</v>
      </c>
      <c r="J42">
        <v>0</v>
      </c>
      <c r="K42">
        <v>0</v>
      </c>
      <c r="L42">
        <v>0</v>
      </c>
      <c r="M42">
        <v>0</v>
      </c>
      <c r="N42">
        <v>0</v>
      </c>
      <c r="O42">
        <v>0</v>
      </c>
      <c r="P42">
        <v>0</v>
      </c>
      <c r="Q42">
        <v>0</v>
      </c>
      <c r="R42">
        <v>0</v>
      </c>
      <c r="S42">
        <v>0</v>
      </c>
      <c r="T42">
        <v>0</v>
      </c>
      <c r="U42">
        <v>0</v>
      </c>
      <c r="W42">
        <f>+Table_Query_from_HTEDA23_15[[#This Row],[ERC019]]+Table_Query_from_HTEDA23_15[[#This Row],[ERC016]]+Table_Query_from_HTEDA23_15[[#This Row],[ERC013]]+Table_Query_from_HTEDA23_15[[#This Row],[ERC010]]+Table_Query_from_HTEDA23_15[[#This Row],[ERC007]]+Table_Query_from_HTEDA23_15[[#This Row],[ERC004]]</f>
        <v>0</v>
      </c>
      <c r="Y42" s="3"/>
      <c r="Z42" s="3"/>
    </row>
    <row r="43" spans="2:26" ht="15.75">
      <c r="B43" t="s">
        <v>824</v>
      </c>
      <c r="C43">
        <v>0</v>
      </c>
      <c r="D43">
        <v>0</v>
      </c>
      <c r="E43">
        <v>0</v>
      </c>
      <c r="F43">
        <v>0</v>
      </c>
      <c r="G43">
        <v>0</v>
      </c>
      <c r="H43">
        <v>0</v>
      </c>
      <c r="I43">
        <v>0</v>
      </c>
      <c r="J43">
        <v>0</v>
      </c>
      <c r="K43">
        <v>0</v>
      </c>
      <c r="L43">
        <v>0</v>
      </c>
      <c r="M43">
        <v>0</v>
      </c>
      <c r="N43">
        <v>0</v>
      </c>
      <c r="O43">
        <v>0</v>
      </c>
      <c r="P43">
        <v>0</v>
      </c>
      <c r="Q43">
        <v>0</v>
      </c>
      <c r="R43">
        <v>0</v>
      </c>
      <c r="S43">
        <v>0</v>
      </c>
      <c r="T43">
        <v>0</v>
      </c>
      <c r="U43">
        <v>0</v>
      </c>
      <c r="W43">
        <f>+Table_Query_from_HTEDA23_15[[#This Row],[ERC019]]+Table_Query_from_HTEDA23_15[[#This Row],[ERC016]]+Table_Query_from_HTEDA23_15[[#This Row],[ERC013]]+Table_Query_from_HTEDA23_15[[#This Row],[ERC010]]+Table_Query_from_HTEDA23_15[[#This Row],[ERC007]]+Table_Query_from_HTEDA23_15[[#This Row],[ERC004]]</f>
        <v>0</v>
      </c>
      <c r="Y43" s="3"/>
      <c r="Z43" s="3"/>
    </row>
    <row r="44" spans="2:26" ht="15.75">
      <c r="B44" t="s">
        <v>825</v>
      </c>
      <c r="C44">
        <v>0</v>
      </c>
      <c r="D44">
        <v>0</v>
      </c>
      <c r="E44">
        <v>0</v>
      </c>
      <c r="F44">
        <v>0</v>
      </c>
      <c r="G44">
        <v>0</v>
      </c>
      <c r="H44">
        <v>0</v>
      </c>
      <c r="I44">
        <v>0</v>
      </c>
      <c r="J44">
        <v>0</v>
      </c>
      <c r="K44">
        <v>0</v>
      </c>
      <c r="L44">
        <v>0</v>
      </c>
      <c r="M44">
        <v>0</v>
      </c>
      <c r="N44">
        <v>0</v>
      </c>
      <c r="O44">
        <v>0</v>
      </c>
      <c r="P44">
        <v>0</v>
      </c>
      <c r="Q44">
        <v>0</v>
      </c>
      <c r="R44">
        <v>0</v>
      </c>
      <c r="S44">
        <v>0</v>
      </c>
      <c r="T44">
        <v>0</v>
      </c>
      <c r="U44">
        <v>0</v>
      </c>
      <c r="W44">
        <f>+Table_Query_from_HTEDA23_15[[#This Row],[ERC019]]+Table_Query_from_HTEDA23_15[[#This Row],[ERC016]]+Table_Query_from_HTEDA23_15[[#This Row],[ERC013]]+Table_Query_from_HTEDA23_15[[#This Row],[ERC010]]+Table_Query_from_HTEDA23_15[[#This Row],[ERC007]]+Table_Query_from_HTEDA23_15[[#This Row],[ERC004]]</f>
        <v>0</v>
      </c>
      <c r="Y44" s="3"/>
      <c r="Z44" s="3"/>
    </row>
    <row r="45" spans="2:26" ht="15.75">
      <c r="B45" t="s">
        <v>1074</v>
      </c>
      <c r="C45">
        <v>0</v>
      </c>
      <c r="D45">
        <v>0</v>
      </c>
      <c r="E45">
        <v>0</v>
      </c>
      <c r="F45">
        <v>0</v>
      </c>
      <c r="G45">
        <v>0</v>
      </c>
      <c r="H45">
        <v>0</v>
      </c>
      <c r="I45">
        <v>0</v>
      </c>
      <c r="J45">
        <v>0</v>
      </c>
      <c r="K45">
        <v>0</v>
      </c>
      <c r="L45">
        <v>0</v>
      </c>
      <c r="M45">
        <v>0</v>
      </c>
      <c r="N45">
        <v>0</v>
      </c>
      <c r="O45">
        <v>0</v>
      </c>
      <c r="P45">
        <v>0</v>
      </c>
      <c r="Q45">
        <v>0</v>
      </c>
      <c r="R45">
        <v>0</v>
      </c>
      <c r="S45">
        <v>0</v>
      </c>
      <c r="T45">
        <v>0</v>
      </c>
      <c r="U45">
        <v>0</v>
      </c>
      <c r="W45">
        <f>+Table_Query_from_HTEDA23_15[[#This Row],[ERC019]]+Table_Query_from_HTEDA23_15[[#This Row],[ERC016]]+Table_Query_from_HTEDA23_15[[#This Row],[ERC013]]+Table_Query_from_HTEDA23_15[[#This Row],[ERC010]]+Table_Query_from_HTEDA23_15[[#This Row],[ERC007]]+Table_Query_from_HTEDA23_15[[#This Row],[ERC004]]</f>
        <v>0</v>
      </c>
      <c r="Y45" s="3"/>
      <c r="Z45" s="3"/>
    </row>
    <row r="46" spans="2:26" ht="15.75">
      <c r="B46" t="s">
        <v>331</v>
      </c>
      <c r="C46">
        <v>0</v>
      </c>
      <c r="D46">
        <v>0</v>
      </c>
      <c r="E46">
        <v>0</v>
      </c>
      <c r="F46">
        <v>0</v>
      </c>
      <c r="G46">
        <v>0</v>
      </c>
      <c r="H46">
        <v>0</v>
      </c>
      <c r="I46">
        <v>0</v>
      </c>
      <c r="J46">
        <v>0</v>
      </c>
      <c r="K46">
        <v>0</v>
      </c>
      <c r="L46">
        <v>0</v>
      </c>
      <c r="M46">
        <v>0</v>
      </c>
      <c r="N46">
        <v>0</v>
      </c>
      <c r="O46">
        <v>0</v>
      </c>
      <c r="P46">
        <v>0</v>
      </c>
      <c r="Q46">
        <v>0</v>
      </c>
      <c r="R46">
        <v>0</v>
      </c>
      <c r="S46">
        <v>0</v>
      </c>
      <c r="T46">
        <v>0</v>
      </c>
      <c r="U46">
        <v>0</v>
      </c>
      <c r="W46">
        <f>+Table_Query_from_HTEDA23_15[[#This Row],[ERC019]]+Table_Query_from_HTEDA23_15[[#This Row],[ERC016]]+Table_Query_from_HTEDA23_15[[#This Row],[ERC013]]+Table_Query_from_HTEDA23_15[[#This Row],[ERC010]]+Table_Query_from_HTEDA23_15[[#This Row],[ERC007]]+Table_Query_from_HTEDA23_15[[#This Row],[ERC004]]</f>
        <v>0</v>
      </c>
      <c r="Y46" s="3"/>
      <c r="Z46" s="3"/>
    </row>
    <row r="47" spans="2:26" ht="15.75">
      <c r="B47" t="s">
        <v>826</v>
      </c>
      <c r="C47">
        <v>0</v>
      </c>
      <c r="D47">
        <v>0</v>
      </c>
      <c r="E47">
        <v>0</v>
      </c>
      <c r="F47">
        <v>0</v>
      </c>
      <c r="G47">
        <v>0</v>
      </c>
      <c r="H47">
        <v>0</v>
      </c>
      <c r="I47">
        <v>0</v>
      </c>
      <c r="J47">
        <v>0</v>
      </c>
      <c r="K47">
        <v>0</v>
      </c>
      <c r="L47">
        <v>0</v>
      </c>
      <c r="M47">
        <v>0</v>
      </c>
      <c r="N47">
        <v>0</v>
      </c>
      <c r="O47">
        <v>0</v>
      </c>
      <c r="P47">
        <v>0</v>
      </c>
      <c r="Q47">
        <v>0</v>
      </c>
      <c r="R47">
        <v>0</v>
      </c>
      <c r="S47">
        <v>0</v>
      </c>
      <c r="T47">
        <v>0</v>
      </c>
      <c r="U47">
        <v>0</v>
      </c>
      <c r="W47">
        <f>+Table_Query_from_HTEDA23_15[[#This Row],[ERC019]]+Table_Query_from_HTEDA23_15[[#This Row],[ERC016]]+Table_Query_from_HTEDA23_15[[#This Row],[ERC013]]+Table_Query_from_HTEDA23_15[[#This Row],[ERC010]]+Table_Query_from_HTEDA23_15[[#This Row],[ERC007]]+Table_Query_from_HTEDA23_15[[#This Row],[ERC004]]</f>
        <v>0</v>
      </c>
      <c r="Y47" s="3"/>
      <c r="Z47" s="3"/>
    </row>
    <row r="48" spans="2:26" ht="15.75">
      <c r="B48" t="s">
        <v>263</v>
      </c>
      <c r="C48">
        <v>0</v>
      </c>
      <c r="D48">
        <v>0</v>
      </c>
      <c r="E48">
        <v>0</v>
      </c>
      <c r="F48">
        <v>0</v>
      </c>
      <c r="G48">
        <v>0</v>
      </c>
      <c r="H48">
        <v>0</v>
      </c>
      <c r="I48">
        <v>0</v>
      </c>
      <c r="J48">
        <v>0</v>
      </c>
      <c r="K48">
        <v>0</v>
      </c>
      <c r="L48">
        <v>0</v>
      </c>
      <c r="M48">
        <v>0</v>
      </c>
      <c r="N48">
        <v>0</v>
      </c>
      <c r="O48">
        <v>0</v>
      </c>
      <c r="P48">
        <v>0</v>
      </c>
      <c r="Q48">
        <v>0</v>
      </c>
      <c r="R48">
        <v>0</v>
      </c>
      <c r="S48">
        <v>0</v>
      </c>
      <c r="T48">
        <v>0</v>
      </c>
      <c r="U48">
        <v>0</v>
      </c>
      <c r="W48">
        <f>+Table_Query_from_HTEDA23_15[[#This Row],[ERC019]]+Table_Query_from_HTEDA23_15[[#This Row],[ERC016]]+Table_Query_from_HTEDA23_15[[#This Row],[ERC013]]+Table_Query_from_HTEDA23_15[[#This Row],[ERC010]]+Table_Query_from_HTEDA23_15[[#This Row],[ERC007]]+Table_Query_from_HTEDA23_15[[#This Row],[ERC004]]</f>
        <v>0</v>
      </c>
      <c r="Y48" s="3"/>
      <c r="Z48" s="3"/>
    </row>
    <row r="49" spans="2:26" ht="15.75">
      <c r="B49" t="s">
        <v>827</v>
      </c>
      <c r="C49">
        <v>0</v>
      </c>
      <c r="D49">
        <v>0</v>
      </c>
      <c r="E49">
        <v>0</v>
      </c>
      <c r="F49">
        <v>0</v>
      </c>
      <c r="G49">
        <v>0</v>
      </c>
      <c r="H49">
        <v>0</v>
      </c>
      <c r="I49">
        <v>0</v>
      </c>
      <c r="J49">
        <v>0</v>
      </c>
      <c r="K49">
        <v>0</v>
      </c>
      <c r="L49">
        <v>0</v>
      </c>
      <c r="M49">
        <v>0</v>
      </c>
      <c r="N49">
        <v>0</v>
      </c>
      <c r="O49">
        <v>0</v>
      </c>
      <c r="P49">
        <v>0</v>
      </c>
      <c r="Q49">
        <v>0</v>
      </c>
      <c r="R49">
        <v>0</v>
      </c>
      <c r="S49">
        <v>0</v>
      </c>
      <c r="T49">
        <v>0</v>
      </c>
      <c r="U49">
        <v>0</v>
      </c>
      <c r="W49">
        <f>+Table_Query_from_HTEDA23_15[[#This Row],[ERC019]]+Table_Query_from_HTEDA23_15[[#This Row],[ERC016]]+Table_Query_from_HTEDA23_15[[#This Row],[ERC013]]+Table_Query_from_HTEDA23_15[[#This Row],[ERC010]]+Table_Query_from_HTEDA23_15[[#This Row],[ERC007]]+Table_Query_from_HTEDA23_15[[#This Row],[ERC004]]</f>
        <v>0</v>
      </c>
      <c r="Y49" s="3"/>
      <c r="Z49" s="3"/>
    </row>
    <row r="50" spans="2:26" ht="15.75">
      <c r="B50" t="s">
        <v>828</v>
      </c>
      <c r="C50">
        <v>0</v>
      </c>
      <c r="D50">
        <v>0</v>
      </c>
      <c r="E50">
        <v>0</v>
      </c>
      <c r="F50">
        <v>0</v>
      </c>
      <c r="G50">
        <v>0</v>
      </c>
      <c r="H50">
        <v>0</v>
      </c>
      <c r="I50">
        <v>0</v>
      </c>
      <c r="J50">
        <v>0</v>
      </c>
      <c r="K50">
        <v>0</v>
      </c>
      <c r="L50">
        <v>0</v>
      </c>
      <c r="M50">
        <v>0</v>
      </c>
      <c r="N50">
        <v>0</v>
      </c>
      <c r="O50">
        <v>0</v>
      </c>
      <c r="P50">
        <v>0</v>
      </c>
      <c r="Q50">
        <v>0</v>
      </c>
      <c r="R50">
        <v>0</v>
      </c>
      <c r="S50">
        <v>0</v>
      </c>
      <c r="T50">
        <v>0</v>
      </c>
      <c r="U50">
        <v>0</v>
      </c>
      <c r="W50">
        <f>+Table_Query_from_HTEDA23_15[[#This Row],[ERC019]]+Table_Query_from_HTEDA23_15[[#This Row],[ERC016]]+Table_Query_from_HTEDA23_15[[#This Row],[ERC013]]+Table_Query_from_HTEDA23_15[[#This Row],[ERC010]]+Table_Query_from_HTEDA23_15[[#This Row],[ERC007]]+Table_Query_from_HTEDA23_15[[#This Row],[ERC004]]</f>
        <v>0</v>
      </c>
      <c r="Y50" s="3"/>
      <c r="Z50" s="3"/>
    </row>
    <row r="51" spans="2:26" ht="15.75">
      <c r="B51" t="s">
        <v>769</v>
      </c>
      <c r="C51">
        <v>0</v>
      </c>
      <c r="D51">
        <v>0</v>
      </c>
      <c r="E51">
        <v>5090</v>
      </c>
      <c r="F51">
        <v>0</v>
      </c>
      <c r="G51">
        <v>0</v>
      </c>
      <c r="H51">
        <v>0</v>
      </c>
      <c r="I51">
        <v>0</v>
      </c>
      <c r="J51">
        <v>0</v>
      </c>
      <c r="K51">
        <v>0</v>
      </c>
      <c r="L51">
        <v>0</v>
      </c>
      <c r="M51">
        <v>0</v>
      </c>
      <c r="N51">
        <v>0</v>
      </c>
      <c r="O51">
        <v>0</v>
      </c>
      <c r="P51">
        <v>0</v>
      </c>
      <c r="Q51">
        <v>0</v>
      </c>
      <c r="R51">
        <v>0</v>
      </c>
      <c r="S51">
        <v>0</v>
      </c>
      <c r="T51">
        <v>111</v>
      </c>
      <c r="U51">
        <v>0</v>
      </c>
      <c r="W51">
        <f>+Table_Query_from_HTEDA23_15[[#This Row],[ERC019]]+Table_Query_from_HTEDA23_15[[#This Row],[ERC016]]+Table_Query_from_HTEDA23_15[[#This Row],[ERC013]]+Table_Query_from_HTEDA23_15[[#This Row],[ERC010]]+Table_Query_from_HTEDA23_15[[#This Row],[ERC007]]+Table_Query_from_HTEDA23_15[[#This Row],[ERC004]]</f>
        <v>5201</v>
      </c>
      <c r="Y51" s="3"/>
      <c r="Z51" s="3"/>
    </row>
    <row r="52" spans="2:26" ht="15.75">
      <c r="B52" t="s">
        <v>770</v>
      </c>
      <c r="C52">
        <v>40000</v>
      </c>
      <c r="D52">
        <v>40000</v>
      </c>
      <c r="E52" s="158">
        <v>556062</v>
      </c>
      <c r="F52">
        <v>0</v>
      </c>
      <c r="G52">
        <v>0</v>
      </c>
      <c r="H52">
        <v>0</v>
      </c>
      <c r="I52">
        <v>0</v>
      </c>
      <c r="J52">
        <v>0</v>
      </c>
      <c r="K52">
        <v>0</v>
      </c>
      <c r="L52">
        <v>0</v>
      </c>
      <c r="M52">
        <v>0</v>
      </c>
      <c r="N52">
        <v>0</v>
      </c>
      <c r="O52">
        <v>0</v>
      </c>
      <c r="P52">
        <v>0</v>
      </c>
      <c r="Q52" s="158">
        <v>318</v>
      </c>
      <c r="R52">
        <v>0</v>
      </c>
      <c r="S52">
        <v>0</v>
      </c>
      <c r="T52">
        <v>0</v>
      </c>
      <c r="U52">
        <v>0</v>
      </c>
      <c r="W52">
        <f>+Table_Query_from_HTEDA23_15[[#This Row],[ERC019]]+Table_Query_from_HTEDA23_15[[#This Row],[ERC016]]+Table_Query_from_HTEDA23_15[[#This Row],[ERC013]]+Table_Query_from_HTEDA23_15[[#This Row],[ERC010]]+Table_Query_from_HTEDA23_15[[#This Row],[ERC007]]+Table_Query_from_HTEDA23_15[[#This Row],[ERC004]]</f>
        <v>556380</v>
      </c>
      <c r="Y52" s="3"/>
      <c r="Z52" s="3"/>
    </row>
    <row r="53" spans="2:26" ht="15.75">
      <c r="B53" t="s">
        <v>1167</v>
      </c>
      <c r="C53">
        <v>0</v>
      </c>
      <c r="D53">
        <v>0</v>
      </c>
      <c r="E53">
        <v>0</v>
      </c>
      <c r="F53">
        <v>0</v>
      </c>
      <c r="G53">
        <v>0</v>
      </c>
      <c r="H53">
        <v>0</v>
      </c>
      <c r="I53">
        <v>0</v>
      </c>
      <c r="J53">
        <v>0</v>
      </c>
      <c r="K53">
        <v>0</v>
      </c>
      <c r="L53">
        <v>0</v>
      </c>
      <c r="M53">
        <v>0</v>
      </c>
      <c r="N53">
        <v>0</v>
      </c>
      <c r="O53">
        <v>0</v>
      </c>
      <c r="P53">
        <v>0</v>
      </c>
      <c r="Q53">
        <v>0</v>
      </c>
      <c r="R53">
        <v>0</v>
      </c>
      <c r="S53">
        <v>0</v>
      </c>
      <c r="T53">
        <v>0</v>
      </c>
      <c r="U53">
        <v>0</v>
      </c>
      <c r="W53">
        <f>+Table_Query_from_HTEDA23_15[[#This Row],[ERC019]]+Table_Query_from_HTEDA23_15[[#This Row],[ERC016]]+Table_Query_from_HTEDA23_15[[#This Row],[ERC013]]+Table_Query_from_HTEDA23_15[[#This Row],[ERC010]]+Table_Query_from_HTEDA23_15[[#This Row],[ERC007]]+Table_Query_from_HTEDA23_15[[#This Row],[ERC004]]</f>
        <v>0</v>
      </c>
      <c r="Y53" s="3"/>
      <c r="Z53" s="3"/>
    </row>
    <row r="54" spans="2:26" ht="15.75">
      <c r="B54" t="s">
        <v>771</v>
      </c>
      <c r="C54">
        <v>40000</v>
      </c>
      <c r="D54">
        <v>40000</v>
      </c>
      <c r="E54">
        <v>561152</v>
      </c>
      <c r="F54">
        <v>0</v>
      </c>
      <c r="G54">
        <v>0</v>
      </c>
      <c r="H54">
        <v>0</v>
      </c>
      <c r="I54">
        <v>0</v>
      </c>
      <c r="J54">
        <v>0</v>
      </c>
      <c r="K54">
        <v>0</v>
      </c>
      <c r="L54">
        <v>0</v>
      </c>
      <c r="M54">
        <v>0</v>
      </c>
      <c r="N54">
        <v>0</v>
      </c>
      <c r="O54">
        <v>0</v>
      </c>
      <c r="P54">
        <v>0</v>
      </c>
      <c r="Q54">
        <v>318</v>
      </c>
      <c r="R54">
        <v>0</v>
      </c>
      <c r="S54">
        <v>2420000</v>
      </c>
      <c r="T54">
        <v>13370</v>
      </c>
      <c r="U54">
        <v>0</v>
      </c>
      <c r="W54">
        <f>+Table_Query_from_HTEDA23_15[[#This Row],[ERC019]]+Table_Query_from_HTEDA23_15[[#This Row],[ERC016]]+Table_Query_from_HTEDA23_15[[#This Row],[ERC013]]+Table_Query_from_HTEDA23_15[[#This Row],[ERC010]]+Table_Query_from_HTEDA23_15[[#This Row],[ERC007]]+Table_Query_from_HTEDA23_15[[#This Row],[ERC004]]</f>
        <v>574840</v>
      </c>
      <c r="Y54" s="3"/>
      <c r="Z54" s="3"/>
    </row>
    <row r="55" spans="2:26" ht="15.75">
      <c r="B55" t="s">
        <v>1167</v>
      </c>
      <c r="C55">
        <v>0</v>
      </c>
      <c r="D55">
        <v>0</v>
      </c>
      <c r="E55">
        <v>0</v>
      </c>
      <c r="F55">
        <v>0</v>
      </c>
      <c r="G55">
        <v>0</v>
      </c>
      <c r="H55">
        <v>0</v>
      </c>
      <c r="I55">
        <v>0</v>
      </c>
      <c r="J55">
        <v>0</v>
      </c>
      <c r="K55">
        <v>0</v>
      </c>
      <c r="L55">
        <v>0</v>
      </c>
      <c r="M55">
        <v>0</v>
      </c>
      <c r="N55">
        <v>0</v>
      </c>
      <c r="O55">
        <v>0</v>
      </c>
      <c r="P55">
        <v>0</v>
      </c>
      <c r="Q55">
        <v>0</v>
      </c>
      <c r="R55">
        <v>0</v>
      </c>
      <c r="S55">
        <v>0</v>
      </c>
      <c r="T55">
        <v>0</v>
      </c>
      <c r="U55">
        <v>0</v>
      </c>
      <c r="W55">
        <f>+Table_Query_from_HTEDA23_15[[#This Row],[ERC019]]+Table_Query_from_HTEDA23_15[[#This Row],[ERC016]]+Table_Query_from_HTEDA23_15[[#This Row],[ERC013]]+Table_Query_from_HTEDA23_15[[#This Row],[ERC010]]+Table_Query_from_HTEDA23_15[[#This Row],[ERC007]]+Table_Query_from_HTEDA23_15[[#This Row],[ERC004]]</f>
        <v>0</v>
      </c>
      <c r="Y55" s="3"/>
      <c r="Z55" s="3"/>
    </row>
    <row r="56" spans="2:26" ht="15.75">
      <c r="B56" t="s">
        <v>202</v>
      </c>
      <c r="C56">
        <v>0</v>
      </c>
      <c r="D56">
        <v>0</v>
      </c>
      <c r="E56">
        <v>0</v>
      </c>
      <c r="F56">
        <v>0</v>
      </c>
      <c r="G56">
        <v>0</v>
      </c>
      <c r="H56">
        <v>0</v>
      </c>
      <c r="I56">
        <v>0</v>
      </c>
      <c r="J56">
        <v>0</v>
      </c>
      <c r="K56">
        <v>0</v>
      </c>
      <c r="L56">
        <v>0</v>
      </c>
      <c r="M56">
        <v>0</v>
      </c>
      <c r="N56">
        <v>0</v>
      </c>
      <c r="O56">
        <v>0</v>
      </c>
      <c r="P56">
        <v>0</v>
      </c>
      <c r="Q56">
        <v>0</v>
      </c>
      <c r="R56">
        <v>0</v>
      </c>
      <c r="S56">
        <v>0</v>
      </c>
      <c r="T56">
        <v>0</v>
      </c>
      <c r="U56">
        <v>0</v>
      </c>
      <c r="W56">
        <f>+Table_Query_from_HTEDA23_15[[#This Row],[ERC019]]+Table_Query_from_HTEDA23_15[[#This Row],[ERC016]]+Table_Query_from_HTEDA23_15[[#This Row],[ERC013]]+Table_Query_from_HTEDA23_15[[#This Row],[ERC010]]+Table_Query_from_HTEDA23_15[[#This Row],[ERC007]]+Table_Query_from_HTEDA23_15[[#This Row],[ERC004]]</f>
        <v>0</v>
      </c>
      <c r="Y56" s="3"/>
      <c r="Z56" s="3"/>
    </row>
    <row r="57" spans="2:26" ht="15.75">
      <c r="B57" t="s">
        <v>829</v>
      </c>
      <c r="C57">
        <v>0</v>
      </c>
      <c r="D57">
        <v>0</v>
      </c>
      <c r="E57">
        <v>0</v>
      </c>
      <c r="F57">
        <v>0</v>
      </c>
      <c r="G57">
        <v>0</v>
      </c>
      <c r="H57">
        <v>0</v>
      </c>
      <c r="I57">
        <v>0</v>
      </c>
      <c r="J57">
        <v>0</v>
      </c>
      <c r="K57">
        <v>0</v>
      </c>
      <c r="L57">
        <v>0</v>
      </c>
      <c r="M57">
        <v>0</v>
      </c>
      <c r="N57">
        <v>0</v>
      </c>
      <c r="O57">
        <v>0</v>
      </c>
      <c r="P57">
        <v>0</v>
      </c>
      <c r="Q57">
        <v>0</v>
      </c>
      <c r="R57">
        <v>0</v>
      </c>
      <c r="S57">
        <v>0</v>
      </c>
      <c r="T57">
        <v>0</v>
      </c>
      <c r="U57">
        <v>0</v>
      </c>
      <c r="W57">
        <f>+Table_Query_from_HTEDA23_15[[#This Row],[ERC019]]+Table_Query_from_HTEDA23_15[[#This Row],[ERC016]]+Table_Query_from_HTEDA23_15[[#This Row],[ERC013]]+Table_Query_from_HTEDA23_15[[#This Row],[ERC010]]+Table_Query_from_HTEDA23_15[[#This Row],[ERC007]]+Table_Query_from_HTEDA23_15[[#This Row],[ERC004]]</f>
        <v>0</v>
      </c>
      <c r="Y57" s="3"/>
      <c r="Z57" s="3"/>
    </row>
    <row r="58" spans="2:26" ht="15.75">
      <c r="B58" t="s">
        <v>186</v>
      </c>
      <c r="C58">
        <v>0</v>
      </c>
      <c r="D58">
        <v>0</v>
      </c>
      <c r="E58">
        <v>0</v>
      </c>
      <c r="F58">
        <v>0</v>
      </c>
      <c r="G58">
        <v>0</v>
      </c>
      <c r="H58">
        <v>0</v>
      </c>
      <c r="I58">
        <v>0</v>
      </c>
      <c r="J58">
        <v>0</v>
      </c>
      <c r="K58">
        <v>0</v>
      </c>
      <c r="L58">
        <v>0</v>
      </c>
      <c r="M58">
        <v>0</v>
      </c>
      <c r="N58">
        <v>0</v>
      </c>
      <c r="O58">
        <v>0</v>
      </c>
      <c r="P58">
        <v>0</v>
      </c>
      <c r="Q58">
        <v>0</v>
      </c>
      <c r="R58">
        <v>0</v>
      </c>
      <c r="S58">
        <v>0</v>
      </c>
      <c r="T58">
        <v>0</v>
      </c>
      <c r="U58">
        <v>0</v>
      </c>
      <c r="W58">
        <f>+Table_Query_from_HTEDA23_15[[#This Row],[ERC019]]+Table_Query_from_HTEDA23_15[[#This Row],[ERC016]]+Table_Query_from_HTEDA23_15[[#This Row],[ERC013]]+Table_Query_from_HTEDA23_15[[#This Row],[ERC010]]+Table_Query_from_HTEDA23_15[[#This Row],[ERC007]]+Table_Query_from_HTEDA23_15[[#This Row],[ERC004]]</f>
        <v>0</v>
      </c>
      <c r="Y58" s="3"/>
      <c r="Z58" s="3"/>
    </row>
    <row r="59" spans="2:26" ht="15.75">
      <c r="B59" t="s">
        <v>464</v>
      </c>
      <c r="C59">
        <v>0</v>
      </c>
      <c r="D59">
        <v>0</v>
      </c>
      <c r="E59">
        <v>0</v>
      </c>
      <c r="F59">
        <v>0</v>
      </c>
      <c r="G59">
        <v>0</v>
      </c>
      <c r="H59">
        <v>0</v>
      </c>
      <c r="I59">
        <v>0</v>
      </c>
      <c r="J59">
        <v>0</v>
      </c>
      <c r="K59">
        <v>0</v>
      </c>
      <c r="L59">
        <v>0</v>
      </c>
      <c r="M59">
        <v>0</v>
      </c>
      <c r="N59">
        <v>0</v>
      </c>
      <c r="O59">
        <v>0</v>
      </c>
      <c r="P59">
        <v>0</v>
      </c>
      <c r="Q59">
        <v>0</v>
      </c>
      <c r="R59">
        <v>0</v>
      </c>
      <c r="S59">
        <v>0</v>
      </c>
      <c r="T59">
        <v>0</v>
      </c>
      <c r="U59">
        <v>0</v>
      </c>
      <c r="W59">
        <f>+Table_Query_from_HTEDA23_15[[#This Row],[ERC019]]+Table_Query_from_HTEDA23_15[[#This Row],[ERC016]]+Table_Query_from_HTEDA23_15[[#This Row],[ERC013]]+Table_Query_from_HTEDA23_15[[#This Row],[ERC010]]+Table_Query_from_HTEDA23_15[[#This Row],[ERC007]]+Table_Query_from_HTEDA23_15[[#This Row],[ERC004]]</f>
        <v>0</v>
      </c>
      <c r="Y59" s="3"/>
      <c r="Z59" s="3"/>
    </row>
    <row r="60" spans="2:26" ht="15.75">
      <c r="B60" t="s">
        <v>845</v>
      </c>
      <c r="C60">
        <v>5605450</v>
      </c>
      <c r="D60">
        <v>5605450</v>
      </c>
      <c r="E60">
        <v>937979</v>
      </c>
      <c r="F60">
        <v>0</v>
      </c>
      <c r="G60">
        <v>0</v>
      </c>
      <c r="H60">
        <v>0</v>
      </c>
      <c r="I60">
        <v>0</v>
      </c>
      <c r="J60">
        <v>0</v>
      </c>
      <c r="K60">
        <v>0</v>
      </c>
      <c r="L60">
        <v>0</v>
      </c>
      <c r="M60">
        <v>0</v>
      </c>
      <c r="N60">
        <v>0</v>
      </c>
      <c r="O60">
        <v>0</v>
      </c>
      <c r="P60">
        <v>0</v>
      </c>
      <c r="Q60">
        <v>0</v>
      </c>
      <c r="R60">
        <v>0</v>
      </c>
      <c r="S60">
        <v>0</v>
      </c>
      <c r="T60">
        <v>0</v>
      </c>
      <c r="U60">
        <v>0</v>
      </c>
      <c r="W60">
        <f>+Table_Query_from_HTEDA23_15[[#This Row],[ERC019]]+Table_Query_from_HTEDA23_15[[#This Row],[ERC016]]+Table_Query_from_HTEDA23_15[[#This Row],[ERC013]]+Table_Query_from_HTEDA23_15[[#This Row],[ERC010]]+Table_Query_from_HTEDA23_15[[#This Row],[ERC007]]+Table_Query_from_HTEDA23_15[[#This Row],[ERC004]]</f>
        <v>937979</v>
      </c>
      <c r="Y60" s="3"/>
      <c r="Z60" s="3"/>
    </row>
    <row r="61" spans="2:26" ht="15.75">
      <c r="B61" t="s">
        <v>960</v>
      </c>
      <c r="C61">
        <v>0</v>
      </c>
      <c r="D61">
        <v>0</v>
      </c>
      <c r="E61">
        <v>0</v>
      </c>
      <c r="F61">
        <v>0</v>
      </c>
      <c r="G61">
        <v>0</v>
      </c>
      <c r="H61">
        <v>0</v>
      </c>
      <c r="I61">
        <v>0</v>
      </c>
      <c r="J61">
        <v>0</v>
      </c>
      <c r="K61">
        <v>0</v>
      </c>
      <c r="L61">
        <v>0</v>
      </c>
      <c r="M61">
        <v>0</v>
      </c>
      <c r="N61">
        <v>0</v>
      </c>
      <c r="O61">
        <v>0</v>
      </c>
      <c r="P61">
        <v>0</v>
      </c>
      <c r="Q61">
        <v>0</v>
      </c>
      <c r="R61">
        <v>0</v>
      </c>
      <c r="S61">
        <v>0</v>
      </c>
      <c r="T61">
        <v>0</v>
      </c>
      <c r="U61">
        <v>0</v>
      </c>
      <c r="W61">
        <f>+Table_Query_from_HTEDA23_15[[#This Row],[ERC019]]+Table_Query_from_HTEDA23_15[[#This Row],[ERC016]]+Table_Query_from_HTEDA23_15[[#This Row],[ERC013]]+Table_Query_from_HTEDA23_15[[#This Row],[ERC010]]+Table_Query_from_HTEDA23_15[[#This Row],[ERC007]]+Table_Query_from_HTEDA23_15[[#This Row],[ERC004]]</f>
        <v>0</v>
      </c>
      <c r="Y61" s="3"/>
      <c r="Z61" s="3"/>
    </row>
    <row r="62" spans="2:26" ht="15.75">
      <c r="B62" t="s">
        <v>464</v>
      </c>
      <c r="C62">
        <v>0</v>
      </c>
      <c r="D62">
        <v>0</v>
      </c>
      <c r="E62">
        <v>0</v>
      </c>
      <c r="F62">
        <v>0</v>
      </c>
      <c r="G62">
        <v>0</v>
      </c>
      <c r="H62">
        <v>0</v>
      </c>
      <c r="I62">
        <v>0</v>
      </c>
      <c r="J62">
        <v>0</v>
      </c>
      <c r="K62">
        <v>0</v>
      </c>
      <c r="L62">
        <v>0</v>
      </c>
      <c r="M62">
        <v>0</v>
      </c>
      <c r="N62">
        <v>0</v>
      </c>
      <c r="O62">
        <v>0</v>
      </c>
      <c r="P62">
        <v>0</v>
      </c>
      <c r="Q62">
        <v>0</v>
      </c>
      <c r="R62">
        <v>0</v>
      </c>
      <c r="S62">
        <v>0</v>
      </c>
      <c r="T62">
        <v>0</v>
      </c>
      <c r="U62">
        <v>0</v>
      </c>
      <c r="W62">
        <f>+Table_Query_from_HTEDA23_15[[#This Row],[ERC019]]+Table_Query_from_HTEDA23_15[[#This Row],[ERC016]]+Table_Query_from_HTEDA23_15[[#This Row],[ERC013]]+Table_Query_from_HTEDA23_15[[#This Row],[ERC010]]+Table_Query_from_HTEDA23_15[[#This Row],[ERC007]]+Table_Query_from_HTEDA23_15[[#This Row],[ERC004]]</f>
        <v>0</v>
      </c>
      <c r="Y62" s="3"/>
      <c r="Z62" s="3"/>
    </row>
    <row r="63" spans="2:26" ht="15.75">
      <c r="B63" t="s">
        <v>846</v>
      </c>
      <c r="C63">
        <v>406040</v>
      </c>
      <c r="D63">
        <v>406040</v>
      </c>
      <c r="E63">
        <v>248609</v>
      </c>
      <c r="F63">
        <v>0</v>
      </c>
      <c r="G63">
        <v>0</v>
      </c>
      <c r="H63">
        <v>0</v>
      </c>
      <c r="I63">
        <v>0</v>
      </c>
      <c r="J63">
        <v>0</v>
      </c>
      <c r="K63">
        <v>0</v>
      </c>
      <c r="L63">
        <v>0</v>
      </c>
      <c r="M63">
        <v>0</v>
      </c>
      <c r="N63">
        <v>0</v>
      </c>
      <c r="O63">
        <v>0</v>
      </c>
      <c r="P63">
        <v>46482</v>
      </c>
      <c r="Q63">
        <v>2416</v>
      </c>
      <c r="R63">
        <v>0</v>
      </c>
      <c r="S63">
        <v>0</v>
      </c>
      <c r="T63">
        <v>0</v>
      </c>
      <c r="U63">
        <v>0</v>
      </c>
      <c r="W63">
        <f>+Table_Query_from_HTEDA23_15[[#This Row],[ERC019]]+Table_Query_from_HTEDA23_15[[#This Row],[ERC016]]+Table_Query_from_HTEDA23_15[[#This Row],[ERC013]]+Table_Query_from_HTEDA23_15[[#This Row],[ERC010]]+Table_Query_from_HTEDA23_15[[#This Row],[ERC007]]+Table_Query_from_HTEDA23_15[[#This Row],[ERC004]]</f>
        <v>251025</v>
      </c>
      <c r="Y63" s="3"/>
      <c r="Z63" s="3"/>
    </row>
    <row r="64" spans="2:26" ht="15.75">
      <c r="B64" t="s">
        <v>847</v>
      </c>
      <c r="C64">
        <v>0</v>
      </c>
      <c r="D64">
        <v>0</v>
      </c>
      <c r="E64">
        <v>0</v>
      </c>
      <c r="F64">
        <v>0</v>
      </c>
      <c r="G64">
        <v>0</v>
      </c>
      <c r="H64">
        <v>0</v>
      </c>
      <c r="I64">
        <v>0</v>
      </c>
      <c r="J64">
        <v>0</v>
      </c>
      <c r="K64">
        <v>0</v>
      </c>
      <c r="L64">
        <v>0</v>
      </c>
      <c r="M64">
        <v>0</v>
      </c>
      <c r="N64">
        <v>0</v>
      </c>
      <c r="O64">
        <v>0</v>
      </c>
      <c r="P64">
        <v>0</v>
      </c>
      <c r="Q64">
        <v>0</v>
      </c>
      <c r="R64">
        <v>0</v>
      </c>
      <c r="S64">
        <v>0</v>
      </c>
      <c r="T64">
        <v>0</v>
      </c>
      <c r="U64">
        <v>0</v>
      </c>
      <c r="W64">
        <f>+Table_Query_from_HTEDA23_15[[#This Row],[ERC019]]+Table_Query_from_HTEDA23_15[[#This Row],[ERC016]]+Table_Query_from_HTEDA23_15[[#This Row],[ERC013]]+Table_Query_from_HTEDA23_15[[#This Row],[ERC010]]+Table_Query_from_HTEDA23_15[[#This Row],[ERC007]]+Table_Query_from_HTEDA23_15[[#This Row],[ERC004]]</f>
        <v>0</v>
      </c>
      <c r="Y64" s="3"/>
      <c r="Z64" s="3"/>
    </row>
    <row r="65" spans="2:26" ht="15.75">
      <c r="B65" t="s">
        <v>464</v>
      </c>
      <c r="C65">
        <v>0</v>
      </c>
      <c r="D65">
        <v>0</v>
      </c>
      <c r="E65">
        <v>0</v>
      </c>
      <c r="F65">
        <v>0</v>
      </c>
      <c r="G65">
        <v>0</v>
      </c>
      <c r="H65">
        <v>0</v>
      </c>
      <c r="I65">
        <v>0</v>
      </c>
      <c r="J65">
        <v>0</v>
      </c>
      <c r="K65">
        <v>0</v>
      </c>
      <c r="L65">
        <v>0</v>
      </c>
      <c r="M65">
        <v>0</v>
      </c>
      <c r="N65">
        <v>0</v>
      </c>
      <c r="O65">
        <v>0</v>
      </c>
      <c r="P65">
        <v>0</v>
      </c>
      <c r="Q65">
        <v>0</v>
      </c>
      <c r="R65">
        <v>0</v>
      </c>
      <c r="S65">
        <v>0</v>
      </c>
      <c r="T65">
        <v>0</v>
      </c>
      <c r="U65">
        <v>0</v>
      </c>
      <c r="W65">
        <f>+Table_Query_from_HTEDA23_15[[#This Row],[ERC019]]+Table_Query_from_HTEDA23_15[[#This Row],[ERC016]]+Table_Query_from_HTEDA23_15[[#This Row],[ERC013]]+Table_Query_from_HTEDA23_15[[#This Row],[ERC010]]+Table_Query_from_HTEDA23_15[[#This Row],[ERC007]]+Table_Query_from_HTEDA23_15[[#This Row],[ERC004]]</f>
        <v>0</v>
      </c>
      <c r="Y65" s="3"/>
      <c r="Z65" s="3"/>
    </row>
    <row r="66" spans="2:26" ht="15.75">
      <c r="B66" t="s">
        <v>846</v>
      </c>
      <c r="C66">
        <v>2272490</v>
      </c>
      <c r="D66">
        <v>2272490</v>
      </c>
      <c r="E66">
        <v>717222</v>
      </c>
      <c r="F66">
        <v>0</v>
      </c>
      <c r="G66">
        <v>0</v>
      </c>
      <c r="H66">
        <v>0</v>
      </c>
      <c r="I66">
        <v>0</v>
      </c>
      <c r="J66">
        <v>300000</v>
      </c>
      <c r="K66" s="158">
        <v>473929</v>
      </c>
      <c r="L66">
        <v>0</v>
      </c>
      <c r="M66">
        <v>0</v>
      </c>
      <c r="N66">
        <v>0</v>
      </c>
      <c r="O66">
        <v>0</v>
      </c>
      <c r="P66">
        <v>0</v>
      </c>
      <c r="Q66">
        <v>0</v>
      </c>
      <c r="R66">
        <v>0</v>
      </c>
      <c r="S66">
        <v>5311547</v>
      </c>
      <c r="T66" s="158">
        <v>533661</v>
      </c>
      <c r="U66">
        <v>0</v>
      </c>
      <c r="W66">
        <f>+Table_Query_from_HTEDA23_15[[#This Row],[ERC019]]+Table_Query_from_HTEDA23_15[[#This Row],[ERC016]]+Table_Query_from_HTEDA23_15[[#This Row],[ERC013]]+Table_Query_from_HTEDA23_15[[#This Row],[ERC010]]+Table_Query_from_HTEDA23_15[[#This Row],[ERC007]]+Table_Query_from_HTEDA23_15[[#This Row],[ERC004]]</f>
        <v>1724812</v>
      </c>
      <c r="Y66" s="3"/>
      <c r="Z66" s="3"/>
    </row>
    <row r="67" spans="2:26" ht="15.75">
      <c r="B67" t="s">
        <v>44</v>
      </c>
      <c r="C67">
        <v>0</v>
      </c>
      <c r="D67">
        <v>0</v>
      </c>
      <c r="E67">
        <v>0</v>
      </c>
      <c r="F67">
        <v>0</v>
      </c>
      <c r="G67">
        <v>0</v>
      </c>
      <c r="H67">
        <v>0</v>
      </c>
      <c r="I67">
        <v>0</v>
      </c>
      <c r="J67">
        <v>0</v>
      </c>
      <c r="K67">
        <v>0</v>
      </c>
      <c r="L67">
        <v>0</v>
      </c>
      <c r="M67">
        <v>0</v>
      </c>
      <c r="N67">
        <v>0</v>
      </c>
      <c r="O67">
        <v>0</v>
      </c>
      <c r="P67">
        <v>0</v>
      </c>
      <c r="Q67">
        <v>0</v>
      </c>
      <c r="R67">
        <v>0</v>
      </c>
      <c r="S67">
        <v>0</v>
      </c>
      <c r="T67">
        <v>0</v>
      </c>
      <c r="U67">
        <v>0</v>
      </c>
      <c r="W67">
        <f>+Table_Query_from_HTEDA23_15[[#This Row],[ERC019]]+Table_Query_from_HTEDA23_15[[#This Row],[ERC016]]+Table_Query_from_HTEDA23_15[[#This Row],[ERC013]]+Table_Query_from_HTEDA23_15[[#This Row],[ERC010]]+Table_Query_from_HTEDA23_15[[#This Row],[ERC007]]+Table_Query_from_HTEDA23_15[[#This Row],[ERC004]]</f>
        <v>0</v>
      </c>
      <c r="Y67" s="3"/>
      <c r="Z67" s="3"/>
    </row>
    <row r="68" spans="2:26" ht="15.75">
      <c r="B68" t="s">
        <v>464</v>
      </c>
      <c r="C68">
        <v>0</v>
      </c>
      <c r="D68">
        <v>0</v>
      </c>
      <c r="E68">
        <v>0</v>
      </c>
      <c r="F68">
        <v>0</v>
      </c>
      <c r="G68">
        <v>0</v>
      </c>
      <c r="H68">
        <v>0</v>
      </c>
      <c r="I68">
        <v>0</v>
      </c>
      <c r="J68">
        <v>0</v>
      </c>
      <c r="K68">
        <v>0</v>
      </c>
      <c r="L68">
        <v>0</v>
      </c>
      <c r="M68">
        <v>0</v>
      </c>
      <c r="N68">
        <v>0</v>
      </c>
      <c r="O68">
        <v>0</v>
      </c>
      <c r="P68">
        <v>0</v>
      </c>
      <c r="Q68">
        <v>0</v>
      </c>
      <c r="R68">
        <v>0</v>
      </c>
      <c r="S68">
        <v>0</v>
      </c>
      <c r="T68">
        <v>0</v>
      </c>
      <c r="U68">
        <v>0</v>
      </c>
      <c r="W68">
        <f>+Table_Query_from_HTEDA23_15[[#This Row],[ERC019]]+Table_Query_from_HTEDA23_15[[#This Row],[ERC016]]+Table_Query_from_HTEDA23_15[[#This Row],[ERC013]]+Table_Query_from_HTEDA23_15[[#This Row],[ERC010]]+Table_Query_from_HTEDA23_15[[#This Row],[ERC007]]+Table_Query_from_HTEDA23_15[[#This Row],[ERC004]]</f>
        <v>0</v>
      </c>
      <c r="Y68" s="3"/>
      <c r="Z68" s="3"/>
    </row>
    <row r="69" spans="2:26" ht="15.75">
      <c r="B69" t="s">
        <v>846</v>
      </c>
      <c r="C69">
        <v>60510</v>
      </c>
      <c r="D69">
        <v>60510</v>
      </c>
      <c r="E69">
        <v>41899</v>
      </c>
      <c r="F69">
        <v>0</v>
      </c>
      <c r="G69">
        <v>0</v>
      </c>
      <c r="H69">
        <v>0</v>
      </c>
      <c r="I69">
        <v>0</v>
      </c>
      <c r="J69">
        <v>0</v>
      </c>
      <c r="K69">
        <v>0</v>
      </c>
      <c r="L69">
        <v>0</v>
      </c>
      <c r="M69">
        <v>0</v>
      </c>
      <c r="N69">
        <v>0</v>
      </c>
      <c r="O69">
        <v>0</v>
      </c>
      <c r="P69">
        <v>0</v>
      </c>
      <c r="Q69">
        <v>0</v>
      </c>
      <c r="R69">
        <v>0</v>
      </c>
      <c r="S69">
        <v>0</v>
      </c>
      <c r="T69">
        <v>0</v>
      </c>
      <c r="U69">
        <v>0</v>
      </c>
      <c r="W69">
        <f>+Table_Query_from_HTEDA23_15[[#This Row],[ERC019]]+Table_Query_from_HTEDA23_15[[#This Row],[ERC016]]+Table_Query_from_HTEDA23_15[[#This Row],[ERC013]]+Table_Query_from_HTEDA23_15[[#This Row],[ERC010]]+Table_Query_from_HTEDA23_15[[#This Row],[ERC007]]+Table_Query_from_HTEDA23_15[[#This Row],[ERC004]]</f>
        <v>41899</v>
      </c>
      <c r="Y69" s="3"/>
      <c r="Z69" s="3"/>
    </row>
    <row r="70" spans="2:26" ht="15.75">
      <c r="B70" t="s">
        <v>45</v>
      </c>
      <c r="C70">
        <v>0</v>
      </c>
      <c r="D70">
        <v>0</v>
      </c>
      <c r="E70">
        <v>0</v>
      </c>
      <c r="F70">
        <v>0</v>
      </c>
      <c r="G70">
        <v>0</v>
      </c>
      <c r="H70">
        <v>0</v>
      </c>
      <c r="I70">
        <v>0</v>
      </c>
      <c r="J70">
        <v>0</v>
      </c>
      <c r="K70">
        <v>0</v>
      </c>
      <c r="L70">
        <v>0</v>
      </c>
      <c r="M70">
        <v>0</v>
      </c>
      <c r="N70">
        <v>0</v>
      </c>
      <c r="O70">
        <v>0</v>
      </c>
      <c r="P70">
        <v>0</v>
      </c>
      <c r="Q70">
        <v>0</v>
      </c>
      <c r="R70">
        <v>0</v>
      </c>
      <c r="S70">
        <v>0</v>
      </c>
      <c r="T70">
        <v>0</v>
      </c>
      <c r="U70">
        <v>0</v>
      </c>
      <c r="W70">
        <f>+Table_Query_from_HTEDA23_15[[#This Row],[ERC019]]+Table_Query_from_HTEDA23_15[[#This Row],[ERC016]]+Table_Query_from_HTEDA23_15[[#This Row],[ERC013]]+Table_Query_from_HTEDA23_15[[#This Row],[ERC010]]+Table_Query_from_HTEDA23_15[[#This Row],[ERC007]]+Table_Query_from_HTEDA23_15[[#This Row],[ERC004]]</f>
        <v>0</v>
      </c>
      <c r="Y70" s="3"/>
      <c r="Z70" s="3"/>
    </row>
    <row r="71" spans="2:26" ht="15.75">
      <c r="B71" t="s">
        <v>464</v>
      </c>
      <c r="C71">
        <v>0</v>
      </c>
      <c r="D71">
        <v>0</v>
      </c>
      <c r="E71">
        <v>0</v>
      </c>
      <c r="F71">
        <v>0</v>
      </c>
      <c r="G71">
        <v>0</v>
      </c>
      <c r="H71">
        <v>0</v>
      </c>
      <c r="I71">
        <v>0</v>
      </c>
      <c r="J71">
        <v>0</v>
      </c>
      <c r="K71">
        <v>0</v>
      </c>
      <c r="L71">
        <v>0</v>
      </c>
      <c r="M71">
        <v>0</v>
      </c>
      <c r="N71">
        <v>0</v>
      </c>
      <c r="O71">
        <v>0</v>
      </c>
      <c r="P71">
        <v>0</v>
      </c>
      <c r="Q71">
        <v>0</v>
      </c>
      <c r="R71">
        <v>0</v>
      </c>
      <c r="S71">
        <v>0</v>
      </c>
      <c r="T71">
        <v>0</v>
      </c>
      <c r="U71">
        <v>0</v>
      </c>
      <c r="W71">
        <f>+Table_Query_from_HTEDA23_15[[#This Row],[ERC019]]+Table_Query_from_HTEDA23_15[[#This Row],[ERC016]]+Table_Query_from_HTEDA23_15[[#This Row],[ERC013]]+Table_Query_from_HTEDA23_15[[#This Row],[ERC010]]+Table_Query_from_HTEDA23_15[[#This Row],[ERC007]]+Table_Query_from_HTEDA23_15[[#This Row],[ERC004]]</f>
        <v>0</v>
      </c>
      <c r="Y71" s="3"/>
      <c r="Z71" s="3"/>
    </row>
    <row r="72" spans="2:26" ht="15.75">
      <c r="B72" t="s">
        <v>846</v>
      </c>
      <c r="C72">
        <v>0</v>
      </c>
      <c r="D72">
        <v>0</v>
      </c>
      <c r="E72">
        <v>0</v>
      </c>
      <c r="F72">
        <v>0</v>
      </c>
      <c r="G72">
        <v>0</v>
      </c>
      <c r="H72">
        <v>0</v>
      </c>
      <c r="I72">
        <v>0</v>
      </c>
      <c r="J72">
        <v>0</v>
      </c>
      <c r="K72">
        <v>0</v>
      </c>
      <c r="L72">
        <v>0</v>
      </c>
      <c r="M72">
        <v>0</v>
      </c>
      <c r="N72">
        <v>0</v>
      </c>
      <c r="O72">
        <v>0</v>
      </c>
      <c r="P72">
        <v>0</v>
      </c>
      <c r="Q72">
        <v>0</v>
      </c>
      <c r="R72">
        <v>0</v>
      </c>
      <c r="S72">
        <v>0</v>
      </c>
      <c r="T72">
        <v>0</v>
      </c>
      <c r="U72">
        <v>0</v>
      </c>
      <c r="W72">
        <f>+Table_Query_from_HTEDA23_15[[#This Row],[ERC019]]+Table_Query_from_HTEDA23_15[[#This Row],[ERC016]]+Table_Query_from_HTEDA23_15[[#This Row],[ERC013]]+Table_Query_from_HTEDA23_15[[#This Row],[ERC010]]+Table_Query_from_HTEDA23_15[[#This Row],[ERC007]]+Table_Query_from_HTEDA23_15[[#This Row],[ERC004]]</f>
        <v>0</v>
      </c>
      <c r="Y72" s="3"/>
      <c r="Z72" s="3"/>
    </row>
    <row r="73" spans="2:26" ht="15.75">
      <c r="B73" t="s">
        <v>47</v>
      </c>
      <c r="C73">
        <v>0</v>
      </c>
      <c r="D73">
        <v>0</v>
      </c>
      <c r="E73">
        <v>0</v>
      </c>
      <c r="F73">
        <v>0</v>
      </c>
      <c r="G73">
        <v>0</v>
      </c>
      <c r="H73">
        <v>0</v>
      </c>
      <c r="I73">
        <v>0</v>
      </c>
      <c r="J73">
        <v>0</v>
      </c>
      <c r="K73">
        <v>0</v>
      </c>
      <c r="L73">
        <v>0</v>
      </c>
      <c r="M73">
        <v>0</v>
      </c>
      <c r="N73">
        <v>0</v>
      </c>
      <c r="O73">
        <v>0</v>
      </c>
      <c r="P73">
        <v>0</v>
      </c>
      <c r="Q73">
        <v>0</v>
      </c>
      <c r="R73">
        <v>0</v>
      </c>
      <c r="S73">
        <v>0</v>
      </c>
      <c r="T73">
        <v>0</v>
      </c>
      <c r="U73">
        <v>0</v>
      </c>
      <c r="W73">
        <f>+Table_Query_from_HTEDA23_15[[#This Row],[ERC019]]+Table_Query_from_HTEDA23_15[[#This Row],[ERC016]]+Table_Query_from_HTEDA23_15[[#This Row],[ERC013]]+Table_Query_from_HTEDA23_15[[#This Row],[ERC010]]+Table_Query_from_HTEDA23_15[[#This Row],[ERC007]]+Table_Query_from_HTEDA23_15[[#This Row],[ERC004]]</f>
        <v>0</v>
      </c>
      <c r="Y73" s="3"/>
      <c r="Z73" s="3"/>
    </row>
    <row r="74" spans="2:26" ht="15.75">
      <c r="B74" t="s">
        <v>464</v>
      </c>
      <c r="C74">
        <v>0</v>
      </c>
      <c r="D74">
        <v>0</v>
      </c>
      <c r="E74">
        <v>0</v>
      </c>
      <c r="F74">
        <v>0</v>
      </c>
      <c r="G74">
        <v>0</v>
      </c>
      <c r="H74">
        <v>0</v>
      </c>
      <c r="I74">
        <v>0</v>
      </c>
      <c r="J74">
        <v>0</v>
      </c>
      <c r="K74">
        <v>0</v>
      </c>
      <c r="L74">
        <v>0</v>
      </c>
      <c r="M74">
        <v>0</v>
      </c>
      <c r="N74">
        <v>0</v>
      </c>
      <c r="O74">
        <v>0</v>
      </c>
      <c r="P74">
        <v>0</v>
      </c>
      <c r="Q74">
        <v>0</v>
      </c>
      <c r="R74">
        <v>0</v>
      </c>
      <c r="S74">
        <v>0</v>
      </c>
      <c r="T74">
        <v>0</v>
      </c>
      <c r="U74">
        <v>0</v>
      </c>
      <c r="W74">
        <f>+Table_Query_from_HTEDA23_15[[#This Row],[ERC019]]+Table_Query_from_HTEDA23_15[[#This Row],[ERC016]]+Table_Query_from_HTEDA23_15[[#This Row],[ERC013]]+Table_Query_from_HTEDA23_15[[#This Row],[ERC010]]+Table_Query_from_HTEDA23_15[[#This Row],[ERC007]]+Table_Query_from_HTEDA23_15[[#This Row],[ERC004]]</f>
        <v>0</v>
      </c>
      <c r="Y74" s="3"/>
      <c r="Z74" s="3"/>
    </row>
    <row r="75" spans="2:26" ht="15.75">
      <c r="B75" t="s">
        <v>846</v>
      </c>
      <c r="C75">
        <v>0</v>
      </c>
      <c r="D75">
        <v>0</v>
      </c>
      <c r="E75">
        <v>0</v>
      </c>
      <c r="F75">
        <v>0</v>
      </c>
      <c r="G75">
        <v>0</v>
      </c>
      <c r="H75">
        <v>0</v>
      </c>
      <c r="I75">
        <v>0</v>
      </c>
      <c r="J75">
        <v>0</v>
      </c>
      <c r="K75">
        <v>0</v>
      </c>
      <c r="L75">
        <v>0</v>
      </c>
      <c r="M75">
        <v>0</v>
      </c>
      <c r="N75">
        <v>0</v>
      </c>
      <c r="O75">
        <v>0</v>
      </c>
      <c r="P75">
        <v>0</v>
      </c>
      <c r="Q75">
        <v>0</v>
      </c>
      <c r="R75">
        <v>0</v>
      </c>
      <c r="S75">
        <v>0</v>
      </c>
      <c r="T75">
        <v>0</v>
      </c>
      <c r="U75">
        <v>0</v>
      </c>
      <c r="W75">
        <f>+Table_Query_from_HTEDA23_15[[#This Row],[ERC019]]+Table_Query_from_HTEDA23_15[[#This Row],[ERC016]]+Table_Query_from_HTEDA23_15[[#This Row],[ERC013]]+Table_Query_from_HTEDA23_15[[#This Row],[ERC010]]+Table_Query_from_HTEDA23_15[[#This Row],[ERC007]]+Table_Query_from_HTEDA23_15[[#This Row],[ERC004]]</f>
        <v>0</v>
      </c>
      <c r="Y75" s="3"/>
      <c r="Z75" s="3"/>
    </row>
    <row r="76" spans="2:26" ht="15.75">
      <c r="B76" t="s">
        <v>247</v>
      </c>
      <c r="C76">
        <v>0</v>
      </c>
      <c r="D76">
        <v>0</v>
      </c>
      <c r="E76">
        <v>0</v>
      </c>
      <c r="F76">
        <v>0</v>
      </c>
      <c r="G76">
        <v>0</v>
      </c>
      <c r="H76">
        <v>0</v>
      </c>
      <c r="I76">
        <v>0</v>
      </c>
      <c r="J76">
        <v>0</v>
      </c>
      <c r="K76">
        <v>0</v>
      </c>
      <c r="L76">
        <v>0</v>
      </c>
      <c r="M76">
        <v>0</v>
      </c>
      <c r="N76">
        <v>0</v>
      </c>
      <c r="O76">
        <v>0</v>
      </c>
      <c r="P76">
        <v>0</v>
      </c>
      <c r="Q76">
        <v>0</v>
      </c>
      <c r="R76">
        <v>0</v>
      </c>
      <c r="S76">
        <v>0</v>
      </c>
      <c r="T76">
        <v>0</v>
      </c>
      <c r="U76">
        <v>0</v>
      </c>
      <c r="W76">
        <f>+Table_Query_from_HTEDA23_15[[#This Row],[ERC019]]+Table_Query_from_HTEDA23_15[[#This Row],[ERC016]]+Table_Query_from_HTEDA23_15[[#This Row],[ERC013]]+Table_Query_from_HTEDA23_15[[#This Row],[ERC010]]+Table_Query_from_HTEDA23_15[[#This Row],[ERC007]]+Table_Query_from_HTEDA23_15[[#This Row],[ERC004]]</f>
        <v>0</v>
      </c>
      <c r="Y76" s="3"/>
      <c r="Z76" s="3"/>
    </row>
    <row r="77" spans="2:26" ht="15.75">
      <c r="B77" t="s">
        <v>848</v>
      </c>
      <c r="C77">
        <v>0</v>
      </c>
      <c r="D77">
        <v>0</v>
      </c>
      <c r="E77">
        <v>0</v>
      </c>
      <c r="F77">
        <v>0</v>
      </c>
      <c r="G77">
        <v>0</v>
      </c>
      <c r="H77">
        <v>0</v>
      </c>
      <c r="I77">
        <v>0</v>
      </c>
      <c r="J77">
        <v>0</v>
      </c>
      <c r="K77">
        <v>0</v>
      </c>
      <c r="L77">
        <v>0</v>
      </c>
      <c r="M77">
        <v>0</v>
      </c>
      <c r="N77">
        <v>0</v>
      </c>
      <c r="O77">
        <v>0</v>
      </c>
      <c r="P77">
        <v>0</v>
      </c>
      <c r="Q77">
        <v>0</v>
      </c>
      <c r="R77">
        <v>0</v>
      </c>
      <c r="S77">
        <v>0</v>
      </c>
      <c r="T77">
        <v>0</v>
      </c>
      <c r="U77">
        <v>0</v>
      </c>
      <c r="W77">
        <f>+Table_Query_from_HTEDA23_15[[#This Row],[ERC019]]+Table_Query_from_HTEDA23_15[[#This Row],[ERC016]]+Table_Query_from_HTEDA23_15[[#This Row],[ERC013]]+Table_Query_from_HTEDA23_15[[#This Row],[ERC010]]+Table_Query_from_HTEDA23_15[[#This Row],[ERC007]]+Table_Query_from_HTEDA23_15[[#This Row],[ERC004]]</f>
        <v>0</v>
      </c>
      <c r="Y77" s="3"/>
      <c r="Z77" s="3"/>
    </row>
    <row r="78" spans="2:26" ht="15.75">
      <c r="B78" t="s">
        <v>1021</v>
      </c>
      <c r="C78">
        <v>0</v>
      </c>
      <c r="D78">
        <v>0</v>
      </c>
      <c r="E78">
        <v>0</v>
      </c>
      <c r="F78">
        <v>0</v>
      </c>
      <c r="G78">
        <v>0</v>
      </c>
      <c r="H78">
        <v>0</v>
      </c>
      <c r="I78">
        <v>0</v>
      </c>
      <c r="J78">
        <v>0</v>
      </c>
      <c r="K78">
        <v>0</v>
      </c>
      <c r="L78">
        <v>0</v>
      </c>
      <c r="M78">
        <v>0</v>
      </c>
      <c r="N78">
        <v>0</v>
      </c>
      <c r="O78">
        <v>0</v>
      </c>
      <c r="P78">
        <v>0</v>
      </c>
      <c r="Q78">
        <v>0</v>
      </c>
      <c r="R78">
        <v>0</v>
      </c>
      <c r="S78">
        <v>0</v>
      </c>
      <c r="T78">
        <v>0</v>
      </c>
      <c r="U78">
        <v>0</v>
      </c>
      <c r="W78">
        <f>+Table_Query_from_HTEDA23_15[[#This Row],[ERC019]]+Table_Query_from_HTEDA23_15[[#This Row],[ERC016]]+Table_Query_from_HTEDA23_15[[#This Row],[ERC013]]+Table_Query_from_HTEDA23_15[[#This Row],[ERC010]]+Table_Query_from_HTEDA23_15[[#This Row],[ERC007]]+Table_Query_from_HTEDA23_15[[#This Row],[ERC004]]</f>
        <v>0</v>
      </c>
      <c r="Y78" s="3"/>
      <c r="Z78" s="3"/>
    </row>
    <row r="79" spans="2:26" ht="15.75">
      <c r="B79" t="s">
        <v>1022</v>
      </c>
      <c r="C79">
        <v>0</v>
      </c>
      <c r="D79">
        <v>0</v>
      </c>
      <c r="E79">
        <v>0</v>
      </c>
      <c r="F79">
        <v>0</v>
      </c>
      <c r="G79">
        <v>0</v>
      </c>
      <c r="H79">
        <v>0</v>
      </c>
      <c r="I79">
        <v>0</v>
      </c>
      <c r="J79">
        <v>0</v>
      </c>
      <c r="K79">
        <v>0</v>
      </c>
      <c r="L79">
        <v>0</v>
      </c>
      <c r="M79">
        <v>0</v>
      </c>
      <c r="N79">
        <v>0</v>
      </c>
      <c r="O79">
        <v>0</v>
      </c>
      <c r="P79">
        <v>0</v>
      </c>
      <c r="Q79">
        <v>0</v>
      </c>
      <c r="R79">
        <v>0</v>
      </c>
      <c r="S79">
        <v>0</v>
      </c>
      <c r="T79">
        <v>0</v>
      </c>
      <c r="U79">
        <v>0</v>
      </c>
      <c r="W79">
        <f>+Table_Query_from_HTEDA23_15[[#This Row],[ERC019]]+Table_Query_from_HTEDA23_15[[#This Row],[ERC016]]+Table_Query_from_HTEDA23_15[[#This Row],[ERC013]]+Table_Query_from_HTEDA23_15[[#This Row],[ERC010]]+Table_Query_from_HTEDA23_15[[#This Row],[ERC007]]+Table_Query_from_HTEDA23_15[[#This Row],[ERC004]]</f>
        <v>0</v>
      </c>
      <c r="Y79" s="3"/>
      <c r="Z79" s="3"/>
    </row>
    <row r="80" spans="2:26" ht="15.75">
      <c r="B80" t="s">
        <v>1167</v>
      </c>
      <c r="C80">
        <v>0</v>
      </c>
      <c r="D80">
        <v>0</v>
      </c>
      <c r="E80">
        <v>0</v>
      </c>
      <c r="F80">
        <v>0</v>
      </c>
      <c r="G80">
        <v>0</v>
      </c>
      <c r="H80">
        <v>0</v>
      </c>
      <c r="I80">
        <v>0</v>
      </c>
      <c r="J80">
        <v>0</v>
      </c>
      <c r="K80">
        <v>0</v>
      </c>
      <c r="L80">
        <v>0</v>
      </c>
      <c r="M80">
        <v>0</v>
      </c>
      <c r="N80">
        <v>0</v>
      </c>
      <c r="O80">
        <v>0</v>
      </c>
      <c r="P80">
        <v>0</v>
      </c>
      <c r="Q80">
        <v>0</v>
      </c>
      <c r="R80">
        <v>0</v>
      </c>
      <c r="S80">
        <v>0</v>
      </c>
      <c r="T80">
        <v>0</v>
      </c>
      <c r="U80">
        <v>0</v>
      </c>
      <c r="W80">
        <f>+Table_Query_from_HTEDA23_15[[#This Row],[ERC019]]+Table_Query_from_HTEDA23_15[[#This Row],[ERC016]]+Table_Query_from_HTEDA23_15[[#This Row],[ERC013]]+Table_Query_from_HTEDA23_15[[#This Row],[ERC010]]+Table_Query_from_HTEDA23_15[[#This Row],[ERC007]]+Table_Query_from_HTEDA23_15[[#This Row],[ERC004]]</f>
        <v>0</v>
      </c>
      <c r="Y80" s="3"/>
      <c r="Z80" s="3"/>
    </row>
    <row r="81" spans="2:26" ht="15.75">
      <c r="B81" t="s">
        <v>849</v>
      </c>
      <c r="C81">
        <v>8344490</v>
      </c>
      <c r="D81">
        <v>8344490</v>
      </c>
      <c r="E81">
        <v>1945709</v>
      </c>
      <c r="F81">
        <v>0</v>
      </c>
      <c r="G81">
        <v>0</v>
      </c>
      <c r="H81">
        <v>0</v>
      </c>
      <c r="I81">
        <v>0</v>
      </c>
      <c r="J81">
        <v>300000</v>
      </c>
      <c r="K81">
        <v>473929</v>
      </c>
      <c r="L81">
        <v>0</v>
      </c>
      <c r="M81">
        <v>0</v>
      </c>
      <c r="N81">
        <v>0</v>
      </c>
      <c r="O81">
        <v>0</v>
      </c>
      <c r="P81">
        <v>46482</v>
      </c>
      <c r="Q81">
        <v>2416</v>
      </c>
      <c r="R81">
        <v>0</v>
      </c>
      <c r="S81">
        <v>5311547</v>
      </c>
      <c r="T81">
        <v>533661</v>
      </c>
      <c r="U81">
        <v>0</v>
      </c>
      <c r="W81">
        <f>+Table_Query_from_HTEDA23_15[[#This Row],[ERC019]]+Table_Query_from_HTEDA23_15[[#This Row],[ERC016]]+Table_Query_from_HTEDA23_15[[#This Row],[ERC013]]+Table_Query_from_HTEDA23_15[[#This Row],[ERC010]]+Table_Query_from_HTEDA23_15[[#This Row],[ERC007]]+Table_Query_from_HTEDA23_15[[#This Row],[ERC004]]</f>
        <v>2955715</v>
      </c>
      <c r="Y81" s="3"/>
      <c r="Z81" s="3"/>
    </row>
    <row r="82" spans="2:26" ht="15.75">
      <c r="B82" t="s">
        <v>850</v>
      </c>
      <c r="C82">
        <v>0</v>
      </c>
      <c r="D82">
        <v>0</v>
      </c>
      <c r="E82">
        <v>0</v>
      </c>
      <c r="F82">
        <v>0</v>
      </c>
      <c r="G82">
        <v>0</v>
      </c>
      <c r="H82">
        <v>0</v>
      </c>
      <c r="I82">
        <v>0</v>
      </c>
      <c r="J82">
        <v>0</v>
      </c>
      <c r="K82">
        <v>0</v>
      </c>
      <c r="L82">
        <v>0</v>
      </c>
      <c r="M82">
        <v>0</v>
      </c>
      <c r="N82">
        <v>0</v>
      </c>
      <c r="O82">
        <v>0</v>
      </c>
      <c r="P82">
        <v>0</v>
      </c>
      <c r="Q82">
        <v>0</v>
      </c>
      <c r="R82">
        <v>0</v>
      </c>
      <c r="S82">
        <v>0</v>
      </c>
      <c r="T82">
        <v>0</v>
      </c>
      <c r="U82">
        <v>0</v>
      </c>
      <c r="W82">
        <f>+Table_Query_from_HTEDA23_15[[#This Row],[ERC019]]+Table_Query_from_HTEDA23_15[[#This Row],[ERC016]]+Table_Query_from_HTEDA23_15[[#This Row],[ERC013]]+Table_Query_from_HTEDA23_15[[#This Row],[ERC010]]+Table_Query_from_HTEDA23_15[[#This Row],[ERC007]]+Table_Query_from_HTEDA23_15[[#This Row],[ERC004]]</f>
        <v>0</v>
      </c>
      <c r="Y82" s="3"/>
      <c r="Z82" s="3"/>
    </row>
    <row r="83" spans="2:26" ht="15.75">
      <c r="B83" t="s">
        <v>427</v>
      </c>
      <c r="C83">
        <v>-8304490</v>
      </c>
      <c r="D83">
        <v>-8304490</v>
      </c>
      <c r="E83">
        <v>-1384557</v>
      </c>
      <c r="F83">
        <v>0</v>
      </c>
      <c r="G83">
        <v>0</v>
      </c>
      <c r="H83">
        <v>0</v>
      </c>
      <c r="I83">
        <v>0</v>
      </c>
      <c r="J83">
        <v>-300000</v>
      </c>
      <c r="K83">
        <v>-473929</v>
      </c>
      <c r="L83">
        <v>0</v>
      </c>
      <c r="M83">
        <v>0</v>
      </c>
      <c r="N83">
        <v>0</v>
      </c>
      <c r="O83">
        <v>0</v>
      </c>
      <c r="P83">
        <v>-46482</v>
      </c>
      <c r="Q83">
        <v>-2098</v>
      </c>
      <c r="R83">
        <v>0</v>
      </c>
      <c r="S83">
        <v>-2891547</v>
      </c>
      <c r="T83">
        <v>-520291</v>
      </c>
      <c r="U83">
        <v>0</v>
      </c>
      <c r="W83">
        <f>+Table_Query_from_HTEDA23_15[[#This Row],[ERC019]]+Table_Query_from_HTEDA23_15[[#This Row],[ERC016]]+Table_Query_from_HTEDA23_15[[#This Row],[ERC013]]+Table_Query_from_HTEDA23_15[[#This Row],[ERC010]]+Table_Query_from_HTEDA23_15[[#This Row],[ERC007]]+Table_Query_from_HTEDA23_15[[#This Row],[ERC004]]</f>
        <v>-2380875</v>
      </c>
      <c r="Y83" s="3"/>
      <c r="Z83" s="3"/>
    </row>
    <row r="84" spans="2:26" ht="15.75">
      <c r="B84" t="s">
        <v>1167</v>
      </c>
      <c r="C84">
        <v>0</v>
      </c>
      <c r="D84">
        <v>0</v>
      </c>
      <c r="E84">
        <v>0</v>
      </c>
      <c r="F84">
        <v>0</v>
      </c>
      <c r="G84">
        <v>0</v>
      </c>
      <c r="H84">
        <v>0</v>
      </c>
      <c r="I84">
        <v>0</v>
      </c>
      <c r="J84">
        <v>0</v>
      </c>
      <c r="K84">
        <v>0</v>
      </c>
      <c r="L84">
        <v>0</v>
      </c>
      <c r="M84">
        <v>0</v>
      </c>
      <c r="N84">
        <v>0</v>
      </c>
      <c r="O84">
        <v>0</v>
      </c>
      <c r="P84">
        <v>0</v>
      </c>
      <c r="Q84">
        <v>0</v>
      </c>
      <c r="R84">
        <v>0</v>
      </c>
      <c r="S84">
        <v>0</v>
      </c>
      <c r="T84">
        <v>0</v>
      </c>
      <c r="U84">
        <v>0</v>
      </c>
      <c r="W84">
        <f>+Table_Query_from_HTEDA23_15[[#This Row],[ERC019]]+Table_Query_from_HTEDA23_15[[#This Row],[ERC016]]+Table_Query_from_HTEDA23_15[[#This Row],[ERC013]]+Table_Query_from_HTEDA23_15[[#This Row],[ERC010]]+Table_Query_from_HTEDA23_15[[#This Row],[ERC007]]+Table_Query_from_HTEDA23_15[[#This Row],[ERC004]]</f>
        <v>0</v>
      </c>
      <c r="Y84" s="3"/>
      <c r="Z84" s="3"/>
    </row>
    <row r="85" spans="2:26" ht="15.75">
      <c r="B85" t="s">
        <v>428</v>
      </c>
      <c r="C85">
        <v>0</v>
      </c>
      <c r="D85">
        <v>0</v>
      </c>
      <c r="E85">
        <v>0</v>
      </c>
      <c r="F85">
        <v>0</v>
      </c>
      <c r="G85">
        <v>0</v>
      </c>
      <c r="H85">
        <v>0</v>
      </c>
      <c r="I85">
        <v>0</v>
      </c>
      <c r="J85">
        <v>0</v>
      </c>
      <c r="K85">
        <v>0</v>
      </c>
      <c r="L85">
        <v>0</v>
      </c>
      <c r="M85">
        <v>0</v>
      </c>
      <c r="N85">
        <v>0</v>
      </c>
      <c r="O85">
        <v>0</v>
      </c>
      <c r="P85">
        <v>0</v>
      </c>
      <c r="Q85">
        <v>0</v>
      </c>
      <c r="R85">
        <v>0</v>
      </c>
      <c r="S85">
        <v>0</v>
      </c>
      <c r="T85">
        <v>0</v>
      </c>
      <c r="U85">
        <v>0</v>
      </c>
      <c r="W85">
        <f>+Table_Query_from_HTEDA23_15[[#This Row],[ERC019]]+Table_Query_from_HTEDA23_15[[#This Row],[ERC016]]+Table_Query_from_HTEDA23_15[[#This Row],[ERC013]]+Table_Query_from_HTEDA23_15[[#This Row],[ERC010]]+Table_Query_from_HTEDA23_15[[#This Row],[ERC007]]+Table_Query_from_HTEDA23_15[[#This Row],[ERC004]]</f>
        <v>0</v>
      </c>
      <c r="Y85" s="3"/>
      <c r="Z85" s="3"/>
    </row>
    <row r="86" spans="2:26" ht="15.75">
      <c r="B86" t="s">
        <v>429</v>
      </c>
      <c r="C86">
        <v>3003474</v>
      </c>
      <c r="D86">
        <v>3003474</v>
      </c>
      <c r="E86">
        <v>4055811</v>
      </c>
      <c r="F86">
        <v>0</v>
      </c>
      <c r="G86">
        <v>0</v>
      </c>
      <c r="H86">
        <v>0</v>
      </c>
      <c r="I86">
        <v>0</v>
      </c>
      <c r="J86">
        <v>0</v>
      </c>
      <c r="K86">
        <v>316372</v>
      </c>
      <c r="L86">
        <v>0</v>
      </c>
      <c r="M86">
        <v>0</v>
      </c>
      <c r="N86" s="146">
        <v>0</v>
      </c>
      <c r="O86">
        <v>0</v>
      </c>
      <c r="P86">
        <v>0</v>
      </c>
      <c r="Q86">
        <v>0</v>
      </c>
      <c r="R86">
        <v>0</v>
      </c>
      <c r="S86">
        <v>1256376</v>
      </c>
      <c r="T86">
        <v>1277424</v>
      </c>
      <c r="U86">
        <v>0</v>
      </c>
      <c r="W86">
        <f>+Table_Query_from_HTEDA23_15[[#This Row],[ERC019]]+Table_Query_from_HTEDA23_15[[#This Row],[ERC016]]+Table_Query_from_HTEDA23_15[[#This Row],[ERC013]]+Table_Query_from_HTEDA23_15[[#This Row],[ERC010]]+Table_Query_from_HTEDA23_15[[#This Row],[ERC007]]+Table_Query_from_HTEDA23_15[[#This Row],[ERC004]]</f>
        <v>5649607</v>
      </c>
      <c r="Y86" s="3"/>
      <c r="Z86" s="3"/>
    </row>
    <row r="87" spans="2:26" ht="15.75">
      <c r="B87" t="s">
        <v>430</v>
      </c>
      <c r="C87">
        <v>-170000</v>
      </c>
      <c r="D87">
        <v>-170000</v>
      </c>
      <c r="E87" s="146">
        <v>-319640</v>
      </c>
      <c r="F87">
        <v>0</v>
      </c>
      <c r="G87">
        <v>0</v>
      </c>
      <c r="H87">
        <v>0</v>
      </c>
      <c r="I87">
        <v>0</v>
      </c>
      <c r="J87">
        <v>0</v>
      </c>
      <c r="K87">
        <v>-3032</v>
      </c>
      <c r="L87">
        <v>0</v>
      </c>
      <c r="M87">
        <v>0</v>
      </c>
      <c r="N87">
        <v>0</v>
      </c>
      <c r="O87">
        <v>0</v>
      </c>
      <c r="P87">
        <v>0</v>
      </c>
      <c r="Q87">
        <v>-44065</v>
      </c>
      <c r="R87">
        <v>0</v>
      </c>
      <c r="S87">
        <v>0</v>
      </c>
      <c r="T87">
        <v>-12743</v>
      </c>
      <c r="U87">
        <v>0</v>
      </c>
      <c r="W87">
        <f>+Table_Query_from_HTEDA23_15[[#This Row],[ERC019]]+Table_Query_from_HTEDA23_15[[#This Row],[ERC016]]+Table_Query_from_HTEDA23_15[[#This Row],[ERC013]]+Table_Query_from_HTEDA23_15[[#This Row],[ERC010]]+Table_Query_from_HTEDA23_15[[#This Row],[ERC007]]+Table_Query_from_HTEDA23_15[[#This Row],[ERC004]]</f>
        <v>-379480</v>
      </c>
      <c r="Y87" s="3"/>
      <c r="Z87" s="3"/>
    </row>
    <row r="88" spans="2:26" ht="15.75">
      <c r="B88" t="s">
        <v>431</v>
      </c>
      <c r="C88">
        <v>0</v>
      </c>
      <c r="D88">
        <v>0</v>
      </c>
      <c r="E88">
        <v>0</v>
      </c>
      <c r="F88">
        <v>0</v>
      </c>
      <c r="G88">
        <v>0</v>
      </c>
      <c r="H88">
        <v>0</v>
      </c>
      <c r="I88">
        <v>0</v>
      </c>
      <c r="J88">
        <v>315315</v>
      </c>
      <c r="K88">
        <v>151522</v>
      </c>
      <c r="L88">
        <v>0</v>
      </c>
      <c r="M88">
        <v>0</v>
      </c>
      <c r="N88">
        <v>0</v>
      </c>
      <c r="O88">
        <v>0</v>
      </c>
      <c r="P88">
        <v>0</v>
      </c>
      <c r="Q88">
        <v>0</v>
      </c>
      <c r="R88">
        <v>0</v>
      </c>
      <c r="S88">
        <v>0</v>
      </c>
      <c r="T88">
        <v>0</v>
      </c>
      <c r="U88">
        <v>0</v>
      </c>
      <c r="W88">
        <f>+Table_Query_from_HTEDA23_15[[#This Row],[ERC019]]+Table_Query_from_HTEDA23_15[[#This Row],[ERC016]]+Table_Query_from_HTEDA23_15[[#This Row],[ERC013]]+Table_Query_from_HTEDA23_15[[#This Row],[ERC010]]+Table_Query_from_HTEDA23_15[[#This Row],[ERC007]]+Table_Query_from_HTEDA23_15[[#This Row],[ERC004]]</f>
        <v>151522</v>
      </c>
      <c r="Y88" s="3"/>
      <c r="Z88" s="3"/>
    </row>
    <row r="89" spans="2:26" ht="15.75">
      <c r="B89" t="s">
        <v>432</v>
      </c>
      <c r="C89">
        <v>0</v>
      </c>
      <c r="D89">
        <v>0</v>
      </c>
      <c r="E89">
        <v>81250</v>
      </c>
      <c r="F89">
        <v>0</v>
      </c>
      <c r="G89">
        <v>0</v>
      </c>
      <c r="H89">
        <v>0</v>
      </c>
      <c r="I89">
        <v>0</v>
      </c>
      <c r="J89">
        <v>0</v>
      </c>
      <c r="K89">
        <v>0</v>
      </c>
      <c r="L89">
        <v>0</v>
      </c>
      <c r="M89">
        <v>0</v>
      </c>
      <c r="N89">
        <v>0</v>
      </c>
      <c r="O89">
        <v>0</v>
      </c>
      <c r="P89">
        <v>0</v>
      </c>
      <c r="Q89">
        <v>0</v>
      </c>
      <c r="R89">
        <v>0</v>
      </c>
      <c r="S89">
        <v>0</v>
      </c>
      <c r="T89">
        <v>0</v>
      </c>
      <c r="U89">
        <v>0</v>
      </c>
      <c r="W89">
        <f>+Table_Query_from_HTEDA23_15[[#This Row],[ERC019]]+Table_Query_from_HTEDA23_15[[#This Row],[ERC016]]+Table_Query_from_HTEDA23_15[[#This Row],[ERC013]]+Table_Query_from_HTEDA23_15[[#This Row],[ERC010]]+Table_Query_from_HTEDA23_15[[#This Row],[ERC007]]+Table_Query_from_HTEDA23_15[[#This Row],[ERC004]]</f>
        <v>81250</v>
      </c>
      <c r="Y89" s="3"/>
      <c r="Z89" s="3"/>
    </row>
    <row r="90" spans="2:26" ht="15.75">
      <c r="B90" t="s">
        <v>1167</v>
      </c>
      <c r="C90">
        <v>0</v>
      </c>
      <c r="D90">
        <v>0</v>
      </c>
      <c r="E90">
        <v>0</v>
      </c>
      <c r="F90">
        <v>0</v>
      </c>
      <c r="G90">
        <v>0</v>
      </c>
      <c r="H90">
        <v>0</v>
      </c>
      <c r="I90">
        <v>0</v>
      </c>
      <c r="J90">
        <v>0</v>
      </c>
      <c r="K90">
        <v>0</v>
      </c>
      <c r="L90">
        <v>0</v>
      </c>
      <c r="M90">
        <v>0</v>
      </c>
      <c r="N90">
        <v>0</v>
      </c>
      <c r="O90">
        <v>0</v>
      </c>
      <c r="P90">
        <v>0</v>
      </c>
      <c r="Q90">
        <v>0</v>
      </c>
      <c r="R90">
        <v>0</v>
      </c>
      <c r="S90">
        <v>0</v>
      </c>
      <c r="T90">
        <v>0</v>
      </c>
      <c r="U90">
        <v>0</v>
      </c>
      <c r="W90">
        <f>+Table_Query_from_HTEDA23_15[[#This Row],[ERC019]]+Table_Query_from_HTEDA23_15[[#This Row],[ERC016]]+Table_Query_from_HTEDA23_15[[#This Row],[ERC013]]+Table_Query_from_HTEDA23_15[[#This Row],[ERC010]]+Table_Query_from_HTEDA23_15[[#This Row],[ERC007]]+Table_Query_from_HTEDA23_15[[#This Row],[ERC004]]</f>
        <v>0</v>
      </c>
      <c r="Y90" s="3"/>
      <c r="Z90" s="3"/>
    </row>
    <row r="91" spans="2:26" ht="15.75">
      <c r="B91" t="s">
        <v>433</v>
      </c>
      <c r="C91">
        <v>2833474</v>
      </c>
      <c r="D91">
        <v>2833474</v>
      </c>
      <c r="E91">
        <v>3817421</v>
      </c>
      <c r="F91">
        <v>0</v>
      </c>
      <c r="G91">
        <v>0</v>
      </c>
      <c r="H91">
        <v>0</v>
      </c>
      <c r="I91">
        <v>0</v>
      </c>
      <c r="J91">
        <v>315315</v>
      </c>
      <c r="K91">
        <v>464862</v>
      </c>
      <c r="L91">
        <v>0</v>
      </c>
      <c r="M91">
        <v>0</v>
      </c>
      <c r="N91">
        <v>0</v>
      </c>
      <c r="O91">
        <v>0</v>
      </c>
      <c r="P91">
        <v>0</v>
      </c>
      <c r="Q91">
        <v>-44065</v>
      </c>
      <c r="R91">
        <v>0</v>
      </c>
      <c r="S91">
        <v>1256376</v>
      </c>
      <c r="T91">
        <v>1264681</v>
      </c>
      <c r="U91">
        <v>0</v>
      </c>
      <c r="W91">
        <f>+Table_Query_from_HTEDA23_15[[#This Row],[ERC019]]+Table_Query_from_HTEDA23_15[[#This Row],[ERC016]]+Table_Query_from_HTEDA23_15[[#This Row],[ERC013]]+Table_Query_from_HTEDA23_15[[#This Row],[ERC010]]+Table_Query_from_HTEDA23_15[[#This Row],[ERC007]]+Table_Query_from_HTEDA23_15[[#This Row],[ERC004]]</f>
        <v>5502899</v>
      </c>
      <c r="Y91" s="3"/>
      <c r="Z91" s="3"/>
    </row>
    <row r="92" spans="2:26" ht="15.75">
      <c r="B92" t="s">
        <v>1167</v>
      </c>
      <c r="C92">
        <v>0</v>
      </c>
      <c r="D92">
        <v>0</v>
      </c>
      <c r="E92">
        <v>0</v>
      </c>
      <c r="F92">
        <v>0</v>
      </c>
      <c r="G92">
        <v>0</v>
      </c>
      <c r="H92">
        <v>0</v>
      </c>
      <c r="I92">
        <v>0</v>
      </c>
      <c r="J92">
        <v>0</v>
      </c>
      <c r="K92">
        <v>0</v>
      </c>
      <c r="L92">
        <v>0</v>
      </c>
      <c r="M92">
        <v>0</v>
      </c>
      <c r="N92">
        <v>0</v>
      </c>
      <c r="O92">
        <v>0</v>
      </c>
      <c r="P92">
        <v>0</v>
      </c>
      <c r="Q92">
        <v>0</v>
      </c>
      <c r="R92">
        <v>0</v>
      </c>
      <c r="S92">
        <v>0</v>
      </c>
      <c r="T92">
        <v>0</v>
      </c>
      <c r="U92">
        <v>0</v>
      </c>
      <c r="W92">
        <f>+Table_Query_from_HTEDA23_15[[#This Row],[ERC019]]+Table_Query_from_HTEDA23_15[[#This Row],[ERC016]]+Table_Query_from_HTEDA23_15[[#This Row],[ERC013]]+Table_Query_from_HTEDA23_15[[#This Row],[ERC010]]+Table_Query_from_HTEDA23_15[[#This Row],[ERC007]]+Table_Query_from_HTEDA23_15[[#This Row],[ERC004]]</f>
        <v>0</v>
      </c>
      <c r="Y92" s="3"/>
      <c r="Z92" s="3"/>
    </row>
    <row r="93" spans="2:26" ht="15.75">
      <c r="B93" t="s">
        <v>851</v>
      </c>
      <c r="C93">
        <v>-5471016</v>
      </c>
      <c r="D93">
        <v>-5471016</v>
      </c>
      <c r="E93">
        <v>2432864</v>
      </c>
      <c r="F93">
        <v>0</v>
      </c>
      <c r="G93">
        <v>0</v>
      </c>
      <c r="H93">
        <v>0</v>
      </c>
      <c r="I93">
        <v>0</v>
      </c>
      <c r="J93">
        <v>15315</v>
      </c>
      <c r="K93">
        <v>-9067</v>
      </c>
      <c r="L93">
        <v>0</v>
      </c>
      <c r="M93">
        <v>0</v>
      </c>
      <c r="N93">
        <v>0</v>
      </c>
      <c r="O93">
        <v>0</v>
      </c>
      <c r="P93">
        <v>-46482</v>
      </c>
      <c r="Q93">
        <v>-46163</v>
      </c>
      <c r="R93">
        <v>0</v>
      </c>
      <c r="S93">
        <v>-1635171</v>
      </c>
      <c r="T93">
        <v>744390</v>
      </c>
      <c r="U93">
        <v>0</v>
      </c>
      <c r="W93">
        <f>+Table_Query_from_HTEDA23_15[[#This Row],[ERC019]]+Table_Query_from_HTEDA23_15[[#This Row],[ERC016]]+Table_Query_from_HTEDA23_15[[#This Row],[ERC013]]+Table_Query_from_HTEDA23_15[[#This Row],[ERC010]]+Table_Query_from_HTEDA23_15[[#This Row],[ERC007]]+Table_Query_from_HTEDA23_15[[#This Row],[ERC004]]</f>
        <v>3122024</v>
      </c>
      <c r="Y93" s="3"/>
      <c r="Z93" s="3"/>
    </row>
    <row r="94" spans="2:26" ht="15.75">
      <c r="B94" t="s">
        <v>1167</v>
      </c>
      <c r="C94">
        <v>0</v>
      </c>
      <c r="D94">
        <v>0</v>
      </c>
      <c r="E94">
        <v>0</v>
      </c>
      <c r="F94">
        <v>0</v>
      </c>
      <c r="G94">
        <v>0</v>
      </c>
      <c r="H94">
        <v>0</v>
      </c>
      <c r="I94">
        <v>0</v>
      </c>
      <c r="J94">
        <v>0</v>
      </c>
      <c r="K94">
        <v>0</v>
      </c>
      <c r="L94">
        <v>0</v>
      </c>
      <c r="M94">
        <v>0</v>
      </c>
      <c r="N94">
        <v>0</v>
      </c>
      <c r="O94">
        <v>0</v>
      </c>
      <c r="P94">
        <v>0</v>
      </c>
      <c r="Q94">
        <v>0</v>
      </c>
      <c r="R94">
        <v>0</v>
      </c>
      <c r="S94">
        <v>0</v>
      </c>
      <c r="T94">
        <v>0</v>
      </c>
      <c r="U94">
        <v>0</v>
      </c>
      <c r="W94">
        <f>+Table_Query_from_HTEDA23_15[[#This Row],[ERC019]]+Table_Query_from_HTEDA23_15[[#This Row],[ERC016]]+Table_Query_from_HTEDA23_15[[#This Row],[ERC013]]+Table_Query_from_HTEDA23_15[[#This Row],[ERC010]]+Table_Query_from_HTEDA23_15[[#This Row],[ERC007]]+Table_Query_from_HTEDA23_15[[#This Row],[ERC004]]</f>
        <v>0</v>
      </c>
      <c r="Y94" s="3"/>
      <c r="Z94" s="3"/>
    </row>
    <row r="95" spans="2:26" ht="15.75">
      <c r="B95" t="s">
        <v>852</v>
      </c>
      <c r="C95">
        <v>0</v>
      </c>
      <c r="D95">
        <v>0</v>
      </c>
      <c r="E95" s="35">
        <v>15525227</v>
      </c>
      <c r="F95">
        <v>0</v>
      </c>
      <c r="G95">
        <v>0</v>
      </c>
      <c r="H95">
        <v>0</v>
      </c>
      <c r="I95">
        <v>0</v>
      </c>
      <c r="J95">
        <v>0</v>
      </c>
      <c r="K95">
        <v>-15316</v>
      </c>
      <c r="L95">
        <v>0</v>
      </c>
      <c r="M95">
        <v>0</v>
      </c>
      <c r="N95" s="35">
        <v>0</v>
      </c>
      <c r="O95">
        <v>0</v>
      </c>
      <c r="P95">
        <v>0</v>
      </c>
      <c r="Q95">
        <v>46164</v>
      </c>
      <c r="R95">
        <v>0</v>
      </c>
      <c r="S95">
        <v>0</v>
      </c>
      <c r="T95">
        <v>1709238</v>
      </c>
      <c r="U95">
        <v>0</v>
      </c>
      <c r="W95">
        <f>+Table_Query_from_HTEDA23_15[[#This Row],[ERC019]]+Table_Query_from_HTEDA23_15[[#This Row],[ERC016]]+Table_Query_from_HTEDA23_15[[#This Row],[ERC013]]+Table_Query_from_HTEDA23_15[[#This Row],[ERC010]]+Table_Query_from_HTEDA23_15[[#This Row],[ERC007]]+Table_Query_from_HTEDA23_15[[#This Row],[ERC004]]</f>
        <v>17265313</v>
      </c>
      <c r="Y95" s="3"/>
      <c r="Z95" s="3"/>
    </row>
    <row r="96" spans="2:26" ht="15.75">
      <c r="Y96" s="3"/>
      <c r="Z96" s="3"/>
    </row>
    <row r="97" spans="25:26" ht="15.75">
      <c r="Y97" s="3"/>
      <c r="Z97" s="3"/>
    </row>
    <row r="98" spans="25:26" ht="15.75">
      <c r="Y98" s="3"/>
      <c r="Z98" s="3"/>
    </row>
    <row r="99" spans="25:26" ht="15.75">
      <c r="Y99" s="3"/>
      <c r="Z99" s="3"/>
    </row>
    <row r="100" spans="25:26" ht="15.75">
      <c r="Y100" s="3"/>
      <c r="Z100" s="3"/>
    </row>
    <row r="101" spans="25:26" ht="15.75">
      <c r="Y101" s="3"/>
      <c r="Z101" s="3"/>
    </row>
    <row r="102" spans="25:26" ht="15.75">
      <c r="Y102" s="3"/>
      <c r="Z102" s="3"/>
    </row>
    <row r="103" spans="25:26" ht="15.75">
      <c r="Y103" s="3"/>
      <c r="Z103" s="3"/>
    </row>
    <row r="104" spans="25:26" ht="15.75">
      <c r="Y104" s="3"/>
      <c r="Z104" s="3"/>
    </row>
    <row r="105" spans="25:26" ht="15.75">
      <c r="Y105" s="3"/>
      <c r="Z105" s="3"/>
    </row>
    <row r="106" spans="25:26" ht="15.75">
      <c r="Y106" s="3"/>
      <c r="Z106" s="3"/>
    </row>
    <row r="107" spans="25:26" ht="15.75">
      <c r="Y107" s="3"/>
      <c r="Z107" s="3"/>
    </row>
    <row r="108" spans="25:26" ht="15.75">
      <c r="Y108" s="3"/>
      <c r="Z108" s="3"/>
    </row>
    <row r="109" spans="25:26" ht="15.75">
      <c r="Y109" s="3"/>
      <c r="Z109" s="3"/>
    </row>
    <row r="110" spans="25:26" ht="15.75">
      <c r="Y110" s="3"/>
      <c r="Z110" s="3"/>
    </row>
    <row r="111" spans="25:26" ht="15.75">
      <c r="Y111" s="3"/>
      <c r="Z111" s="3"/>
    </row>
    <row r="112" spans="25:26" ht="15.75">
      <c r="Y112" s="3"/>
      <c r="Z112" s="3"/>
    </row>
    <row r="113" spans="25:26" ht="15.75">
      <c r="Y113" s="3"/>
      <c r="Z113" s="3"/>
    </row>
    <row r="114" spans="25:26" ht="15.75">
      <c r="Y114" s="3"/>
      <c r="Z114" s="3"/>
    </row>
    <row r="115" spans="25:26" ht="15.75">
      <c r="Y115" s="3"/>
      <c r="Z115" s="3"/>
    </row>
    <row r="116" spans="25:26" ht="15.75">
      <c r="Y116" s="3"/>
      <c r="Z116" s="3"/>
    </row>
    <row r="117" spans="25:26" ht="15.75">
      <c r="Y117" s="3"/>
      <c r="Z117" s="3"/>
    </row>
    <row r="118" spans="25:26" ht="15.75">
      <c r="Y118" s="3"/>
      <c r="Z118" s="3"/>
    </row>
    <row r="119" spans="25:26" ht="15.75">
      <c r="Y119" s="3"/>
      <c r="Z119" s="3"/>
    </row>
    <row r="120" spans="25:26" ht="15.75">
      <c r="Y120" s="3"/>
      <c r="Z120" s="3"/>
    </row>
    <row r="121" spans="25:26" ht="15.75">
      <c r="Y121" s="3"/>
      <c r="Z121" s="3"/>
    </row>
    <row r="122" spans="25:26" ht="15.75">
      <c r="Y122" s="3"/>
      <c r="Z122" s="3"/>
    </row>
    <row r="123" spans="25:26" ht="15.75">
      <c r="Y123" s="3"/>
      <c r="Z123" s="3"/>
    </row>
    <row r="124" spans="25:26" ht="15.75">
      <c r="Y124" s="3"/>
      <c r="Z124" s="3"/>
    </row>
    <row r="125" spans="25:26" ht="15.75">
      <c r="Y125" s="3"/>
      <c r="Z125" s="3"/>
    </row>
    <row r="126" spans="25:26" ht="15.75">
      <c r="Y126" s="3"/>
      <c r="Z126" s="3"/>
    </row>
    <row r="127" spans="25:26" ht="15.75">
      <c r="Y127" s="3"/>
      <c r="Z127" s="3"/>
    </row>
    <row r="128" spans="25:26" ht="15.75">
      <c r="Y128" s="3"/>
      <c r="Z128" s="3"/>
    </row>
    <row r="129" spans="25:26" ht="15.75">
      <c r="Y129" s="3"/>
      <c r="Z129" s="3"/>
    </row>
  </sheetData>
  <phoneticPr fontId="0" type="noConversion"/>
  <pageMargins left="0.5" right="0.5" top="0.5" bottom="0.75" header="0.5" footer="0.25"/>
  <pageSetup scale="65" firstPageNumber="100" orientation="portrait" useFirstPageNumber="1" horizontalDpi="4294967292" r:id="rId1"/>
  <headerFooter alignWithMargins="0"/>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8">
    <tabColor rgb="FFFF9900"/>
  </sheetPr>
  <dimension ref="B1:T61"/>
  <sheetViews>
    <sheetView zoomScale="85" zoomScaleNormal="85" workbookViewId="0">
      <pane xSplit="4" ySplit="5" topLeftCell="E20" activePane="bottomRight" state="frozen"/>
      <selection activeCell="I56" sqref="I56"/>
      <selection pane="topRight" activeCell="I56" sqref="I56"/>
      <selection pane="bottomLeft" activeCell="I56" sqref="I56"/>
      <selection pane="bottomRight" activeCell="N33" sqref="N33"/>
    </sheetView>
  </sheetViews>
  <sheetFormatPr defaultColWidth="9.140625" defaultRowHeight="15"/>
  <cols>
    <col min="1" max="1" width="11.140625" style="627" customWidth="1"/>
    <col min="2" max="3" width="5.28515625" style="627" customWidth="1"/>
    <col min="4" max="4" width="55.28515625" style="627" customWidth="1"/>
    <col min="5" max="5" width="14.140625" style="652" customWidth="1"/>
    <col min="6" max="6" width="14.140625" style="652" bestFit="1" customWidth="1"/>
    <col min="7" max="7" width="2.7109375" style="627" customWidth="1"/>
    <col min="8" max="8" width="12.140625" style="627" bestFit="1" customWidth="1"/>
    <col min="9" max="9" width="10.5703125" style="627" bestFit="1" customWidth="1"/>
    <col min="10" max="10" width="2.7109375" style="627" customWidth="1"/>
    <col min="11" max="11" width="10.28515625" style="627" customWidth="1"/>
    <col min="12" max="12" width="12.85546875" style="627" bestFit="1" customWidth="1"/>
    <col min="13" max="13" width="2.7109375" style="627" customWidth="1"/>
    <col min="14" max="15" width="12.28515625" style="627" customWidth="1"/>
    <col min="16" max="16" width="2.7109375" style="627" customWidth="1"/>
    <col min="17" max="18" width="12.28515625" style="627" customWidth="1"/>
    <col min="19" max="19" width="11.7109375" style="627" customWidth="1"/>
    <col min="20" max="20" width="9.7109375" style="627" bestFit="1" customWidth="1"/>
    <col min="21" max="16384" width="9.140625" style="627"/>
  </cols>
  <sheetData>
    <row r="1" spans="2:19" ht="15.75">
      <c r="B1" s="624" t="s">
        <v>2649</v>
      </c>
      <c r="C1" s="624"/>
      <c r="D1" s="624"/>
      <c r="E1" s="625"/>
      <c r="F1" s="625"/>
      <c r="H1" s="626"/>
      <c r="I1" s="626"/>
      <c r="J1" s="626"/>
      <c r="K1" s="626"/>
      <c r="L1" s="626"/>
      <c r="M1" s="626"/>
      <c r="N1" s="626"/>
      <c r="O1" s="626"/>
    </row>
    <row r="2" spans="2:19" ht="15.75">
      <c r="B2" s="624" t="s">
        <v>3354</v>
      </c>
      <c r="C2" s="624"/>
      <c r="D2" s="624"/>
      <c r="E2" s="625"/>
      <c r="F2" s="625"/>
      <c r="H2" s="626"/>
      <c r="I2" s="626"/>
      <c r="J2" s="626"/>
      <c r="K2" s="626"/>
      <c r="L2" s="626"/>
      <c r="M2" s="626"/>
      <c r="N2" s="626"/>
      <c r="O2" s="626"/>
    </row>
    <row r="3" spans="2:19" ht="15.75">
      <c r="B3" s="624" t="s">
        <v>2430</v>
      </c>
      <c r="C3" s="624"/>
      <c r="D3" s="624"/>
      <c r="E3" s="625"/>
      <c r="F3" s="625"/>
      <c r="H3" s="626"/>
      <c r="I3" s="626"/>
      <c r="J3" s="626"/>
      <c r="K3" s="626"/>
      <c r="L3" s="626"/>
      <c r="M3" s="626"/>
      <c r="N3" s="626"/>
      <c r="O3" s="626"/>
    </row>
    <row r="4" spans="2:19" ht="15.75">
      <c r="C4" s="628"/>
      <c r="D4" s="628"/>
      <c r="E4" s="629" t="s">
        <v>2431</v>
      </c>
      <c r="F4" s="629"/>
      <c r="H4" s="626"/>
      <c r="I4" s="626"/>
      <c r="J4" s="626"/>
      <c r="K4" s="626"/>
      <c r="L4" s="626"/>
      <c r="M4" s="626"/>
      <c r="N4" s="626"/>
      <c r="O4" s="626"/>
    </row>
    <row r="5" spans="2:19" ht="16.5">
      <c r="E5" s="630" t="s">
        <v>2434</v>
      </c>
      <c r="F5" s="630" t="s">
        <v>2435</v>
      </c>
      <c r="H5" s="626"/>
      <c r="I5" s="626"/>
      <c r="J5" s="626"/>
      <c r="K5" s="626"/>
      <c r="L5" s="626"/>
      <c r="M5" s="626"/>
      <c r="N5" s="626"/>
      <c r="O5" s="626"/>
    </row>
    <row r="6" spans="2:19">
      <c r="C6" s="631"/>
      <c r="D6" s="632"/>
      <c r="E6" s="273"/>
      <c r="F6" s="273"/>
      <c r="H6" s="626"/>
      <c r="I6" s="626"/>
      <c r="J6" s="626"/>
      <c r="K6" s="626"/>
      <c r="L6" s="626"/>
      <c r="M6" s="626"/>
      <c r="N6" s="626"/>
      <c r="O6" s="626"/>
    </row>
    <row r="7" spans="2:19">
      <c r="E7" s="627"/>
      <c r="F7" s="627"/>
      <c r="H7" s="626"/>
      <c r="I7" s="626"/>
      <c r="J7" s="626"/>
      <c r="K7" s="626"/>
      <c r="L7" s="626"/>
      <c r="M7" s="626"/>
      <c r="N7" s="626"/>
      <c r="O7" s="626"/>
    </row>
    <row r="8" spans="2:19">
      <c r="B8" s="635" t="s">
        <v>941</v>
      </c>
      <c r="C8" s="638"/>
      <c r="E8" s="627"/>
      <c r="F8" s="627"/>
      <c r="H8" s="626"/>
      <c r="I8" s="626"/>
      <c r="J8" s="626"/>
      <c r="K8" s="626"/>
      <c r="L8" s="626"/>
      <c r="M8" s="626"/>
      <c r="N8" s="626"/>
      <c r="O8" s="626"/>
    </row>
    <row r="9" spans="2:19">
      <c r="B9" s="637"/>
      <c r="C9" s="631" t="s">
        <v>2023</v>
      </c>
      <c r="D9" s="632"/>
      <c r="E9" s="640"/>
      <c r="F9" s="639">
        <f>+'OPEB, note 14'!G7</f>
        <v>804106</v>
      </c>
      <c r="H9" s="626"/>
      <c r="I9" s="626"/>
      <c r="J9" s="626"/>
      <c r="K9" s="626"/>
      <c r="L9" s="626"/>
      <c r="M9" s="626"/>
      <c r="N9" s="626"/>
      <c r="O9" s="626"/>
      <c r="S9" s="632"/>
    </row>
    <row r="10" spans="2:19">
      <c r="B10" s="637"/>
      <c r="C10" s="631"/>
      <c r="D10" s="632"/>
      <c r="E10" s="640"/>
      <c r="F10" s="639"/>
      <c r="H10" s="626"/>
      <c r="I10" s="626"/>
      <c r="J10" s="626"/>
      <c r="K10" s="626"/>
      <c r="L10" s="626"/>
      <c r="M10" s="626"/>
      <c r="N10" s="626"/>
      <c r="O10" s="626"/>
      <c r="S10" s="632"/>
    </row>
    <row r="11" spans="2:19" ht="15.75">
      <c r="B11" s="635" t="s">
        <v>1817</v>
      </c>
      <c r="C11" s="636"/>
      <c r="D11" s="632"/>
      <c r="E11" s="273"/>
      <c r="F11" s="273"/>
      <c r="H11" s="626"/>
      <c r="I11" s="626"/>
      <c r="J11" s="626"/>
      <c r="K11" s="626"/>
      <c r="L11" s="626"/>
      <c r="M11" s="626"/>
      <c r="N11" s="626"/>
      <c r="O11" s="626"/>
      <c r="S11" s="632"/>
    </row>
    <row r="12" spans="2:19">
      <c r="B12" s="637"/>
      <c r="C12" s="638" t="s">
        <v>2660</v>
      </c>
      <c r="D12" s="632"/>
      <c r="E12" s="639">
        <v>0</v>
      </c>
      <c r="F12" s="640"/>
      <c r="H12" s="626"/>
      <c r="I12" s="626"/>
      <c r="J12" s="626"/>
      <c r="K12" s="626"/>
      <c r="L12" s="626"/>
      <c r="M12" s="626"/>
      <c r="N12" s="626"/>
      <c r="O12" s="626"/>
      <c r="S12" s="632"/>
    </row>
    <row r="13" spans="2:19">
      <c r="B13" s="637"/>
      <c r="C13" s="631" t="s">
        <v>2662</v>
      </c>
      <c r="E13" s="639">
        <f>+'OPEB, note 14'!R87</f>
        <v>1013809</v>
      </c>
      <c r="F13" s="640"/>
      <c r="H13" s="626"/>
      <c r="I13" s="626"/>
      <c r="J13" s="626"/>
      <c r="K13" s="626"/>
      <c r="L13" s="626"/>
      <c r="M13" s="626"/>
      <c r="N13" s="626"/>
      <c r="O13" s="626"/>
      <c r="S13" s="632"/>
    </row>
    <row r="14" spans="2:19">
      <c r="B14" s="637"/>
      <c r="C14" s="631" t="s">
        <v>2661</v>
      </c>
      <c r="D14" s="632"/>
      <c r="E14" s="639"/>
      <c r="F14" s="640"/>
      <c r="H14" s="626"/>
      <c r="I14" s="626"/>
      <c r="J14" s="626"/>
      <c r="K14" s="626"/>
      <c r="L14" s="626"/>
      <c r="M14" s="626"/>
      <c r="N14" s="626"/>
      <c r="O14" s="626"/>
      <c r="S14" s="632"/>
    </row>
    <row r="15" spans="2:19">
      <c r="B15" s="637"/>
      <c r="C15" s="631" t="s">
        <v>2920</v>
      </c>
      <c r="D15" s="632"/>
      <c r="E15" s="639"/>
      <c r="F15" s="640"/>
      <c r="H15" s="626"/>
      <c r="I15" s="626"/>
      <c r="J15" s="626"/>
      <c r="K15" s="626"/>
      <c r="L15" s="626"/>
      <c r="M15" s="626"/>
      <c r="N15" s="626"/>
      <c r="O15" s="626"/>
      <c r="S15" s="632"/>
    </row>
    <row r="16" spans="2:19">
      <c r="B16" s="637"/>
      <c r="C16" s="631" t="s">
        <v>2663</v>
      </c>
      <c r="D16" s="632"/>
      <c r="E16" s="639">
        <v>0</v>
      </c>
      <c r="F16" s="640"/>
      <c r="H16" s="626"/>
      <c r="I16" s="626"/>
      <c r="J16" s="626"/>
      <c r="K16" s="626"/>
      <c r="L16" s="626"/>
      <c r="M16" s="626"/>
      <c r="N16" s="626"/>
      <c r="O16" s="626"/>
      <c r="S16" s="632"/>
    </row>
    <row r="17" spans="2:19">
      <c r="D17" s="798" t="s">
        <v>2652</v>
      </c>
      <c r="E17" s="643">
        <f>SUM(E7:E16)</f>
        <v>1013809</v>
      </c>
      <c r="F17" s="640"/>
      <c r="H17" s="626"/>
      <c r="I17" s="626"/>
      <c r="J17" s="626"/>
      <c r="K17" s="626"/>
      <c r="L17" s="626"/>
      <c r="M17" s="626"/>
      <c r="N17" s="626"/>
      <c r="O17" s="626"/>
      <c r="S17" s="632"/>
    </row>
    <row r="18" spans="2:19">
      <c r="E18" s="627"/>
      <c r="F18" s="627"/>
      <c r="H18" s="626"/>
      <c r="I18" s="626"/>
      <c r="J18" s="626"/>
      <c r="K18" s="626"/>
      <c r="L18" s="626"/>
      <c r="M18" s="626"/>
      <c r="N18" s="626"/>
      <c r="O18" s="626"/>
      <c r="S18" s="632"/>
    </row>
    <row r="19" spans="2:19">
      <c r="B19" s="635" t="s">
        <v>1815</v>
      </c>
      <c r="C19" s="638"/>
      <c r="E19" s="627"/>
      <c r="F19" s="627"/>
      <c r="H19" s="626"/>
      <c r="I19" s="626"/>
      <c r="J19" s="626"/>
      <c r="K19" s="626"/>
      <c r="L19" s="626"/>
      <c r="M19" s="626"/>
      <c r="N19" s="626"/>
      <c r="O19" s="626"/>
      <c r="S19" s="632"/>
    </row>
    <row r="20" spans="2:19">
      <c r="B20" s="637"/>
      <c r="C20" s="638"/>
      <c r="D20" s="632"/>
      <c r="E20" s="639"/>
      <c r="F20" s="639">
        <f>-'OPEB, note 14'!S87</f>
        <v>1249375</v>
      </c>
      <c r="G20" s="639"/>
      <c r="H20" s="626"/>
      <c r="I20" s="626"/>
      <c r="J20" s="626"/>
      <c r="K20" s="626"/>
      <c r="L20" s="626"/>
      <c r="M20" s="626"/>
      <c r="N20" s="626"/>
      <c r="O20" s="626"/>
      <c r="S20" s="632"/>
    </row>
    <row r="21" spans="2:19">
      <c r="B21" s="637"/>
      <c r="C21" s="631" t="s">
        <v>2664</v>
      </c>
      <c r="D21" s="632"/>
      <c r="E21" s="640"/>
      <c r="F21" s="639"/>
      <c r="H21" s="626"/>
      <c r="I21" s="626"/>
      <c r="J21" s="626"/>
      <c r="K21" s="626"/>
      <c r="L21" s="626"/>
      <c r="M21" s="626"/>
      <c r="N21" s="626"/>
      <c r="O21" s="626"/>
      <c r="S21" s="632"/>
    </row>
    <row r="22" spans="2:19">
      <c r="B22" s="637"/>
      <c r="C22" s="631" t="s">
        <v>2920</v>
      </c>
      <c r="D22" s="632"/>
      <c r="E22" s="273"/>
      <c r="F22" s="639">
        <v>0</v>
      </c>
      <c r="H22" s="626"/>
      <c r="I22" s="626"/>
      <c r="J22" s="626"/>
      <c r="K22" s="626"/>
      <c r="L22" s="626"/>
      <c r="M22" s="626"/>
      <c r="N22" s="626"/>
      <c r="O22" s="626"/>
      <c r="S22" s="632"/>
    </row>
    <row r="23" spans="2:19">
      <c r="B23" s="637"/>
      <c r="C23" s="631" t="s">
        <v>2665</v>
      </c>
      <c r="D23" s="632"/>
      <c r="E23" s="273"/>
      <c r="F23" s="639">
        <v>0</v>
      </c>
      <c r="H23" s="626"/>
      <c r="I23" s="626"/>
      <c r="J23" s="626"/>
      <c r="K23" s="626"/>
      <c r="L23" s="626"/>
      <c r="M23" s="626"/>
      <c r="N23" s="626"/>
      <c r="O23" s="626"/>
      <c r="S23" s="632"/>
    </row>
    <row r="24" spans="2:19">
      <c r="B24" s="637"/>
      <c r="C24" s="631"/>
      <c r="D24" s="798" t="s">
        <v>2655</v>
      </c>
      <c r="E24" s="643"/>
      <c r="F24" s="643">
        <f>SUM(F20:F23)</f>
        <v>1249375</v>
      </c>
      <c r="H24" s="626"/>
      <c r="I24" s="626"/>
      <c r="J24" s="626"/>
      <c r="K24" s="626"/>
      <c r="L24" s="626"/>
      <c r="M24" s="626"/>
      <c r="N24" s="626"/>
      <c r="O24" s="626"/>
      <c r="S24" s="632"/>
    </row>
    <row r="25" spans="2:19">
      <c r="E25" s="627"/>
      <c r="F25" s="627"/>
      <c r="H25" s="626"/>
      <c r="I25" s="626"/>
      <c r="J25" s="626"/>
      <c r="K25" s="626"/>
      <c r="L25" s="626"/>
      <c r="M25" s="626"/>
      <c r="N25" s="626"/>
      <c r="O25" s="626"/>
      <c r="S25" s="632"/>
    </row>
    <row r="26" spans="2:19">
      <c r="C26" s="632"/>
      <c r="D26" s="642" t="s">
        <v>2024</v>
      </c>
      <c r="E26" s="643">
        <f>+E9+E17+E24</f>
        <v>1013809</v>
      </c>
      <c r="F26" s="643">
        <f>+F9+F17+F24</f>
        <v>2053481</v>
      </c>
      <c r="H26" s="626"/>
      <c r="I26" s="626"/>
      <c r="J26" s="626"/>
      <c r="K26" s="626"/>
      <c r="L26" s="626"/>
      <c r="M26" s="626"/>
      <c r="N26" s="626"/>
      <c r="O26" s="626"/>
      <c r="S26" s="632"/>
    </row>
    <row r="27" spans="2:19" ht="15.75" thickBot="1">
      <c r="B27" s="644"/>
      <c r="C27" s="645"/>
      <c r="D27" s="645"/>
      <c r="E27" s="645"/>
      <c r="F27" s="646">
        <f>+E26-F26</f>
        <v>-1039672</v>
      </c>
      <c r="G27" s="645"/>
      <c r="H27" s="626"/>
      <c r="I27" s="626"/>
      <c r="J27" s="626"/>
      <c r="K27" s="626"/>
      <c r="L27" s="626"/>
      <c r="M27" s="626"/>
      <c r="N27" s="626"/>
      <c r="O27" s="626"/>
      <c r="S27" s="632"/>
    </row>
    <row r="28" spans="2:19" ht="15.75" thickBot="1">
      <c r="B28" s="644"/>
      <c r="C28" s="647"/>
      <c r="D28" s="644"/>
      <c r="E28" s="215"/>
      <c r="F28" s="215"/>
      <c r="G28" s="644"/>
      <c r="H28" s="626"/>
      <c r="I28" s="626"/>
      <c r="J28" s="626"/>
      <c r="K28" s="626"/>
      <c r="L28" s="626"/>
      <c r="M28" s="626"/>
      <c r="N28" s="626"/>
      <c r="O28" s="626"/>
      <c r="S28" s="632"/>
    </row>
    <row r="29" spans="2:19">
      <c r="D29" s="648"/>
      <c r="E29" s="649"/>
      <c r="F29" s="649"/>
      <c r="H29" s="626"/>
      <c r="I29" s="626"/>
      <c r="J29" s="626"/>
      <c r="K29" s="626"/>
      <c r="L29" s="626"/>
      <c r="M29" s="626"/>
      <c r="N29" s="626"/>
      <c r="O29" s="626"/>
      <c r="S29" s="632"/>
    </row>
    <row r="30" spans="2:19">
      <c r="D30" s="642" t="s">
        <v>2667</v>
      </c>
      <c r="E30" s="649" t="s">
        <v>2444</v>
      </c>
      <c r="F30" s="649">
        <f>-420888-76747-18812+5311+1302</f>
        <v>-509834</v>
      </c>
      <c r="H30" s="626"/>
      <c r="I30" s="626"/>
      <c r="J30" s="626"/>
      <c r="K30" s="626"/>
      <c r="L30" s="626"/>
      <c r="M30" s="626"/>
      <c r="N30" s="626"/>
      <c r="O30" s="626"/>
      <c r="S30" s="632"/>
    </row>
    <row r="31" spans="2:19">
      <c r="D31" s="642"/>
      <c r="E31" s="649" t="s">
        <v>2592</v>
      </c>
      <c r="F31" s="649">
        <v>115497</v>
      </c>
      <c r="H31" s="626"/>
      <c r="I31" s="626"/>
      <c r="J31" s="626"/>
      <c r="K31" s="626"/>
      <c r="L31" s="626"/>
      <c r="M31" s="626"/>
      <c r="N31" s="626"/>
      <c r="O31" s="626"/>
      <c r="S31" s="632"/>
    </row>
    <row r="32" spans="2:19">
      <c r="D32" s="642"/>
      <c r="E32" s="649" t="s">
        <v>2730</v>
      </c>
      <c r="F32" s="649">
        <v>-299449</v>
      </c>
      <c r="H32" s="626"/>
      <c r="I32" s="626"/>
      <c r="J32" s="626"/>
      <c r="K32" s="626"/>
      <c r="L32" s="626"/>
      <c r="M32" s="626"/>
      <c r="N32" s="626"/>
      <c r="O32" s="626"/>
      <c r="S32" s="632"/>
    </row>
    <row r="33" spans="2:20">
      <c r="D33" s="642"/>
      <c r="E33" s="649" t="s">
        <v>2919</v>
      </c>
      <c r="F33" s="649">
        <v>254774</v>
      </c>
      <c r="H33" s="626"/>
      <c r="I33" s="626"/>
      <c r="J33" s="626"/>
      <c r="K33" s="626"/>
      <c r="L33" s="626"/>
      <c r="M33" s="626"/>
      <c r="N33" s="626"/>
      <c r="O33" s="626"/>
      <c r="S33" s="632"/>
    </row>
    <row r="34" spans="2:20">
      <c r="D34" s="642"/>
      <c r="E34" s="649" t="s">
        <v>3018</v>
      </c>
      <c r="F34" s="649">
        <v>-208475</v>
      </c>
      <c r="H34" s="626"/>
      <c r="I34" s="626"/>
      <c r="J34" s="626"/>
      <c r="K34" s="626"/>
      <c r="L34" s="626"/>
      <c r="M34" s="626"/>
      <c r="N34" s="626"/>
      <c r="O34" s="626"/>
      <c r="S34" s="632"/>
    </row>
    <row r="35" spans="2:20">
      <c r="D35" s="653" t="s">
        <v>3412</v>
      </c>
      <c r="E35" s="649" t="s">
        <v>3411</v>
      </c>
      <c r="F35" s="649">
        <v>-174967</v>
      </c>
      <c r="H35" s="626"/>
      <c r="I35" s="626"/>
      <c r="J35" s="626"/>
      <c r="K35" s="626"/>
      <c r="L35" s="626"/>
      <c r="M35" s="626"/>
      <c r="N35" s="626"/>
      <c r="O35" s="626"/>
      <c r="S35" s="632"/>
    </row>
    <row r="36" spans="2:20">
      <c r="D36" s="653"/>
      <c r="E36" s="649" t="s">
        <v>3185</v>
      </c>
      <c r="F36" s="649">
        <v>-120935</v>
      </c>
      <c r="H36" s="626"/>
      <c r="I36" s="626"/>
      <c r="J36" s="626"/>
      <c r="K36" s="626"/>
      <c r="L36" s="626"/>
      <c r="M36" s="626"/>
      <c r="N36" s="626"/>
      <c r="O36" s="626"/>
      <c r="S36" s="632"/>
    </row>
    <row r="37" spans="2:20" ht="8.25" customHeight="1">
      <c r="D37" s="653"/>
      <c r="E37" s="649"/>
      <c r="F37" s="649"/>
      <c r="H37" s="626"/>
      <c r="I37" s="626"/>
      <c r="J37" s="626"/>
      <c r="K37" s="626"/>
      <c r="L37" s="626"/>
      <c r="M37" s="626"/>
      <c r="N37" s="626"/>
      <c r="O37" s="626"/>
      <c r="S37" s="632"/>
    </row>
    <row r="38" spans="2:20">
      <c r="B38" s="635"/>
      <c r="E38" s="650" t="s">
        <v>2443</v>
      </c>
      <c r="F38" s="651">
        <f>SUM(F29:F36)</f>
        <v>-943389</v>
      </c>
      <c r="H38" s="649"/>
      <c r="I38" s="649"/>
      <c r="L38" s="649"/>
      <c r="O38" s="649"/>
      <c r="Q38" s="773"/>
      <c r="R38" s="649"/>
      <c r="S38" s="632"/>
      <c r="T38" s="649"/>
    </row>
    <row r="39" spans="2:20">
      <c r="B39" s="635"/>
      <c r="E39" s="650"/>
      <c r="F39" s="649"/>
      <c r="H39" s="649"/>
      <c r="I39" s="649"/>
      <c r="L39" s="649"/>
      <c r="O39" s="649"/>
      <c r="Q39" s="773"/>
      <c r="R39" s="649"/>
      <c r="S39" s="632"/>
      <c r="T39" s="649"/>
    </row>
    <row r="40" spans="2:20">
      <c r="D40" s="835" t="s">
        <v>2696</v>
      </c>
      <c r="E40" s="649" t="s">
        <v>3351</v>
      </c>
      <c r="F40" s="649">
        <f>+F41-F38</f>
        <v>-96283</v>
      </c>
      <c r="H40" s="649" t="s">
        <v>3406</v>
      </c>
      <c r="I40" s="649"/>
      <c r="L40" s="649"/>
      <c r="O40" s="649"/>
      <c r="Q40" s="773"/>
      <c r="R40" s="649"/>
      <c r="S40" s="632"/>
      <c r="T40" s="649"/>
    </row>
    <row r="41" spans="2:20" ht="16.5" thickBot="1">
      <c r="B41" s="2"/>
      <c r="E41" s="650" t="s">
        <v>2778</v>
      </c>
      <c r="F41" s="651">
        <f>+F27</f>
        <v>-1039672</v>
      </c>
      <c r="H41" s="1248" t="s">
        <v>3401</v>
      </c>
      <c r="I41" s="649"/>
      <c r="L41" s="649"/>
      <c r="O41" s="649"/>
      <c r="Q41" s="773"/>
      <c r="R41" s="649"/>
      <c r="S41" s="632"/>
      <c r="T41" s="649"/>
    </row>
    <row r="42" spans="2:20">
      <c r="E42" s="649"/>
      <c r="F42" s="649">
        <f>+F41-F27</f>
        <v>0</v>
      </c>
      <c r="H42" s="649"/>
      <c r="I42" s="649"/>
      <c r="L42" s="649"/>
      <c r="O42" s="649"/>
      <c r="Q42" s="773"/>
      <c r="R42" s="649"/>
      <c r="S42" s="632"/>
      <c r="T42" s="649"/>
    </row>
    <row r="43" spans="2:20">
      <c r="E43" s="649"/>
      <c r="F43" s="649"/>
      <c r="H43" s="649"/>
      <c r="I43" s="649"/>
      <c r="L43" s="649"/>
      <c r="O43" s="649"/>
      <c r="Q43" s="773"/>
      <c r="R43" s="649"/>
      <c r="S43" s="632"/>
      <c r="T43" s="649"/>
    </row>
    <row r="44" spans="2:20" ht="16.5">
      <c r="D44" s="801" t="s">
        <v>2325</v>
      </c>
      <c r="E44" s="800" t="s">
        <v>2668</v>
      </c>
      <c r="F44" s="800" t="s">
        <v>2669</v>
      </c>
      <c r="I44" s="649"/>
      <c r="L44" s="649"/>
      <c r="O44" s="649"/>
      <c r="Q44" s="773"/>
      <c r="R44" s="649"/>
      <c r="S44" s="632"/>
      <c r="T44" s="649"/>
    </row>
    <row r="45" spans="2:20">
      <c r="E45" s="802">
        <f>-F38</f>
        <v>943389</v>
      </c>
      <c r="F45" s="802">
        <f>-F41</f>
        <v>1039672</v>
      </c>
      <c r="I45" s="649"/>
      <c r="L45" s="649"/>
      <c r="O45" s="649"/>
      <c r="Q45" s="773"/>
      <c r="R45" s="649"/>
      <c r="S45" s="632"/>
      <c r="T45" s="649"/>
    </row>
    <row r="46" spans="2:20" ht="16.5">
      <c r="E46" s="800" t="s">
        <v>2326</v>
      </c>
      <c r="F46" s="800" t="s">
        <v>2327</v>
      </c>
      <c r="I46" s="649"/>
      <c r="L46" s="649"/>
      <c r="O46" s="649"/>
      <c r="Q46" s="773"/>
      <c r="R46" s="649"/>
      <c r="S46" s="632"/>
      <c r="T46" s="649"/>
    </row>
    <row r="47" spans="2:20">
      <c r="E47" s="802"/>
      <c r="F47" s="649"/>
      <c r="I47" s="649"/>
      <c r="L47" s="649"/>
      <c r="O47" s="649"/>
      <c r="Q47" s="773"/>
      <c r="R47" s="649"/>
      <c r="S47" s="632"/>
      <c r="T47" s="649"/>
    </row>
    <row r="48" spans="2:20">
      <c r="F48" s="649"/>
      <c r="H48" s="649"/>
      <c r="I48" s="649"/>
      <c r="L48" s="649"/>
      <c r="O48" s="649"/>
      <c r="Q48" s="773"/>
      <c r="R48" s="649"/>
      <c r="S48" s="632"/>
      <c r="T48" s="649"/>
    </row>
    <row r="49" spans="6:15">
      <c r="F49" s="649">
        <f>+F38+F40</f>
        <v>-1039672</v>
      </c>
      <c r="H49" s="649"/>
      <c r="I49" s="649"/>
      <c r="K49" s="649"/>
    </row>
    <row r="50" spans="6:15">
      <c r="F50" s="649"/>
      <c r="H50" s="649"/>
      <c r="I50" s="649"/>
      <c r="K50" s="649"/>
      <c r="L50" s="649"/>
    </row>
    <row r="51" spans="6:15">
      <c r="F51" s="649"/>
      <c r="H51" s="649"/>
      <c r="I51" s="649"/>
      <c r="K51" s="649"/>
      <c r="L51" s="649"/>
    </row>
    <row r="52" spans="6:15">
      <c r="F52" s="649"/>
      <c r="H52" s="649"/>
      <c r="I52" s="649"/>
      <c r="K52" s="649"/>
      <c r="L52" s="649"/>
    </row>
    <row r="53" spans="6:15">
      <c r="F53" s="649"/>
      <c r="L53" s="649"/>
      <c r="N53" s="649"/>
      <c r="O53" s="649"/>
    </row>
    <row r="54" spans="6:15">
      <c r="F54" s="649"/>
      <c r="L54" s="649"/>
      <c r="N54" s="649"/>
      <c r="O54" s="649"/>
    </row>
    <row r="55" spans="6:15">
      <c r="F55" s="649"/>
    </row>
    <row r="56" spans="6:15">
      <c r="F56" s="649"/>
    </row>
    <row r="57" spans="6:15">
      <c r="F57" s="649"/>
      <c r="K57" s="649"/>
      <c r="L57" s="649"/>
    </row>
    <row r="58" spans="6:15">
      <c r="F58" s="649"/>
      <c r="L58" s="649"/>
    </row>
    <row r="59" spans="6:15">
      <c r="F59" s="649"/>
      <c r="L59" s="649"/>
    </row>
    <row r="60" spans="6:15">
      <c r="F60" s="649"/>
      <c r="L60" s="649"/>
    </row>
    <row r="61" spans="6:15">
      <c r="F61" s="649"/>
    </row>
  </sheetData>
  <printOptions horizontalCentered="1"/>
  <pageMargins left="0.25" right="0.25" top="0.5" bottom="0.5" header="0.25" footer="0.25"/>
  <pageSetup scale="65"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
  <dimension ref="B1:EQ80"/>
  <sheetViews>
    <sheetView workbookViewId="0">
      <pane xSplit="2" ySplit="4" topLeftCell="C38" activePane="bottomRight" state="frozen"/>
      <selection activeCell="O48" sqref="O48"/>
      <selection pane="topRight" activeCell="O48" sqref="O48"/>
      <selection pane="bottomLeft" activeCell="O48" sqref="O48"/>
      <selection pane="bottomRight" activeCell="O70" sqref="O70"/>
    </sheetView>
  </sheetViews>
  <sheetFormatPr defaultRowHeight="12.75"/>
  <cols>
    <col min="1" max="1" width="3.42578125" customWidth="1"/>
    <col min="2" max="2" width="14" customWidth="1"/>
    <col min="3" max="20" width="10" customWidth="1"/>
    <col min="21" max="24" width="7.7109375" customWidth="1"/>
    <col min="25" max="25" width="10.28515625" bestFit="1" customWidth="1"/>
    <col min="27" max="30" width="7.7109375" customWidth="1"/>
    <col min="32" max="32" width="8.140625" customWidth="1"/>
    <col min="33" max="36" width="7.7109375" customWidth="1"/>
    <col min="39" max="39" width="7.7109375" customWidth="1"/>
    <col min="40" max="41" width="8.7109375" customWidth="1"/>
    <col min="42" max="42" width="7.7109375" customWidth="1"/>
    <col min="43" max="44" width="8.7109375" customWidth="1"/>
    <col min="45" max="45" width="7.7109375" customWidth="1"/>
    <col min="47" max="47" width="8.140625" customWidth="1"/>
    <col min="48" max="51" width="7.7109375" customWidth="1"/>
    <col min="53" max="53" width="8.7109375" customWidth="1"/>
    <col min="54" max="54" width="7.7109375" customWidth="1"/>
    <col min="55" max="56" width="8.140625" customWidth="1"/>
    <col min="57" max="57" width="7.7109375" customWidth="1"/>
    <col min="58" max="59" width="8.140625" customWidth="1"/>
    <col min="60" max="60" width="7.7109375" customWidth="1"/>
    <col min="61" max="62" width="8.7109375" customWidth="1"/>
    <col min="63" max="66" width="7.7109375" customWidth="1"/>
    <col min="67" max="68" width="8.140625" customWidth="1"/>
    <col min="69" max="72" width="7.7109375" customWidth="1"/>
    <col min="73" max="74" width="8.140625" customWidth="1"/>
    <col min="75" max="81" width="7.7109375" customWidth="1"/>
    <col min="82" max="82" width="8.140625" customWidth="1"/>
    <col min="83" max="87" width="7.7109375" customWidth="1"/>
    <col min="88" max="89" width="8.7109375" customWidth="1"/>
    <col min="90" max="108" width="7.7109375" customWidth="1"/>
    <col min="109" max="110" width="8.140625" customWidth="1"/>
    <col min="111" max="114" width="7.7109375" customWidth="1"/>
    <col min="115" max="115" width="8.140625" customWidth="1"/>
    <col min="116" max="117" width="7.7109375" customWidth="1"/>
    <col min="118" max="118" width="8.7109375" customWidth="1"/>
    <col min="119" max="119" width="8.140625" customWidth="1"/>
    <col min="120" max="127" width="7.7109375" customWidth="1"/>
    <col min="128" max="128" width="8.140625" customWidth="1"/>
    <col min="129" max="130" width="7.7109375" customWidth="1"/>
    <col min="131" max="131" width="8.140625" customWidth="1"/>
    <col min="132" max="132" width="7.7109375" customWidth="1"/>
    <col min="133" max="133" width="8.140625" customWidth="1"/>
    <col min="134" max="141" width="7.7109375" customWidth="1"/>
    <col min="142" max="143" width="8.140625" customWidth="1"/>
    <col min="144" max="144" width="7.7109375" customWidth="1"/>
    <col min="146" max="146" width="8.7109375" customWidth="1"/>
    <col min="147" max="147" width="7.7109375" customWidth="1"/>
  </cols>
  <sheetData>
    <row r="1" spans="2:147">
      <c r="D1" s="28"/>
      <c r="E1" s="28"/>
      <c r="F1" s="28"/>
      <c r="G1" s="28"/>
      <c r="H1" s="28" t="s">
        <v>308</v>
      </c>
      <c r="I1" s="28"/>
      <c r="J1" s="28"/>
      <c r="M1" s="28" t="s">
        <v>310</v>
      </c>
      <c r="N1" s="28" t="s">
        <v>1298</v>
      </c>
      <c r="O1" s="28"/>
      <c r="P1" s="28"/>
      <c r="Q1" s="28"/>
      <c r="R1" s="28"/>
      <c r="S1" s="28"/>
      <c r="T1" s="28" t="s">
        <v>1355</v>
      </c>
    </row>
    <row r="2" spans="2:147">
      <c r="C2" s="28" t="s">
        <v>294</v>
      </c>
      <c r="D2" s="28" t="s">
        <v>1356</v>
      </c>
      <c r="E2" s="28" t="s">
        <v>294</v>
      </c>
      <c r="F2" s="28" t="s">
        <v>193</v>
      </c>
      <c r="G2" s="28" t="s">
        <v>900</v>
      </c>
      <c r="H2" s="28" t="s">
        <v>68</v>
      </c>
      <c r="I2" s="28" t="s">
        <v>517</v>
      </c>
      <c r="J2" s="28" t="s">
        <v>69</v>
      </c>
      <c r="M2" s="28" t="s">
        <v>72</v>
      </c>
      <c r="N2" s="28" t="s">
        <v>73</v>
      </c>
      <c r="O2" s="28" t="s">
        <v>517</v>
      </c>
      <c r="P2" s="28" t="s">
        <v>74</v>
      </c>
      <c r="Q2" s="28" t="s">
        <v>531</v>
      </c>
      <c r="R2" s="28" t="s">
        <v>532</v>
      </c>
      <c r="S2" s="28" t="s">
        <v>1298</v>
      </c>
      <c r="T2" s="28" t="s">
        <v>533</v>
      </c>
    </row>
    <row r="3" spans="2:147">
      <c r="C3" s="28" t="s">
        <v>624</v>
      </c>
      <c r="D3" s="28" t="s">
        <v>225</v>
      </c>
      <c r="E3" s="28" t="s">
        <v>623</v>
      </c>
      <c r="F3" s="28" t="s">
        <v>194</v>
      </c>
      <c r="G3" s="28" t="s">
        <v>194</v>
      </c>
      <c r="H3" s="28" t="s">
        <v>194</v>
      </c>
      <c r="I3" s="28" t="s">
        <v>194</v>
      </c>
      <c r="J3" s="28" t="s">
        <v>194</v>
      </c>
      <c r="M3" s="28" t="s">
        <v>1267</v>
      </c>
      <c r="N3" s="28" t="s">
        <v>539</v>
      </c>
      <c r="O3" s="28" t="s">
        <v>1268</v>
      </c>
      <c r="P3" s="28" t="s">
        <v>222</v>
      </c>
      <c r="Q3" s="28" t="s">
        <v>1269</v>
      </c>
      <c r="R3" s="28" t="s">
        <v>1270</v>
      </c>
      <c r="S3" s="28" t="s">
        <v>1270</v>
      </c>
      <c r="T3" s="28" t="s">
        <v>1039</v>
      </c>
    </row>
    <row r="4" spans="2:147">
      <c r="C4" s="64">
        <v>599</v>
      </c>
      <c r="D4" s="64">
        <v>601</v>
      </c>
      <c r="E4" s="64">
        <v>602</v>
      </c>
      <c r="F4" s="64">
        <v>610</v>
      </c>
      <c r="G4" s="64">
        <v>611</v>
      </c>
      <c r="H4" s="64">
        <v>612</v>
      </c>
      <c r="I4" s="64">
        <v>613</v>
      </c>
      <c r="J4" s="64">
        <v>614</v>
      </c>
      <c r="M4" s="64">
        <v>650</v>
      </c>
      <c r="N4" s="64">
        <v>651</v>
      </c>
      <c r="O4" s="64">
        <v>652</v>
      </c>
      <c r="P4" s="64">
        <v>653</v>
      </c>
      <c r="Q4" s="64">
        <v>655</v>
      </c>
      <c r="R4" s="64">
        <v>656</v>
      </c>
      <c r="S4" s="64">
        <v>657</v>
      </c>
      <c r="T4" s="64">
        <v>658</v>
      </c>
    </row>
    <row r="5" spans="2:147">
      <c r="D5" s="64"/>
      <c r="E5" s="64"/>
      <c r="F5" s="64"/>
      <c r="G5" s="64"/>
      <c r="H5" s="64"/>
      <c r="Z5" s="21" t="s">
        <v>2626</v>
      </c>
    </row>
    <row r="6" spans="2:147">
      <c r="B6" s="22" t="s">
        <v>1165</v>
      </c>
      <c r="C6" s="22" t="s">
        <v>1166</v>
      </c>
      <c r="D6" s="22" t="s">
        <v>599</v>
      </c>
      <c r="E6" s="22" t="s">
        <v>600</v>
      </c>
      <c r="F6" s="22" t="s">
        <v>601</v>
      </c>
      <c r="G6" s="22" t="s">
        <v>602</v>
      </c>
      <c r="H6" s="22" t="s">
        <v>603</v>
      </c>
      <c r="I6" s="22" t="s">
        <v>172</v>
      </c>
      <c r="J6" s="22" t="s">
        <v>173</v>
      </c>
      <c r="K6" s="22" t="s">
        <v>174</v>
      </c>
      <c r="L6" s="22" t="s">
        <v>175</v>
      </c>
      <c r="M6" s="22" t="s">
        <v>176</v>
      </c>
      <c r="N6" s="22" t="s">
        <v>177</v>
      </c>
      <c r="O6" s="22" t="s">
        <v>944</v>
      </c>
      <c r="P6" s="22" t="s">
        <v>945</v>
      </c>
      <c r="Q6" s="22" t="s">
        <v>946</v>
      </c>
      <c r="R6" s="22" t="s">
        <v>1312</v>
      </c>
      <c r="S6" s="22" t="s">
        <v>1313</v>
      </c>
      <c r="T6" s="22" t="s">
        <v>1314</v>
      </c>
      <c r="U6" s="22"/>
      <c r="V6" s="22"/>
      <c r="W6" s="22"/>
      <c r="X6" s="22"/>
    </row>
    <row r="7" spans="2:147">
      <c r="B7" s="22" t="s">
        <v>1167</v>
      </c>
      <c r="C7" s="22">
        <v>0</v>
      </c>
      <c r="D7" s="22">
        <v>0</v>
      </c>
      <c r="E7" s="22">
        <v>0</v>
      </c>
      <c r="F7" s="22">
        <v>0</v>
      </c>
      <c r="G7" s="22">
        <v>0</v>
      </c>
      <c r="H7" s="22">
        <v>0</v>
      </c>
      <c r="I7" s="22">
        <v>0</v>
      </c>
      <c r="J7" s="22">
        <v>0</v>
      </c>
      <c r="K7" s="22">
        <v>0</v>
      </c>
      <c r="L7" s="22">
        <v>0</v>
      </c>
      <c r="M7" s="22">
        <v>0</v>
      </c>
      <c r="N7" s="22">
        <v>0</v>
      </c>
      <c r="O7" s="22">
        <v>0</v>
      </c>
      <c r="P7" s="22">
        <v>0</v>
      </c>
      <c r="Q7" s="22">
        <v>0</v>
      </c>
      <c r="R7" s="22">
        <v>0</v>
      </c>
      <c r="S7" s="22">
        <v>0</v>
      </c>
      <c r="T7" s="22">
        <v>0</v>
      </c>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row>
    <row r="8" spans="2:147">
      <c r="B8" t="s">
        <v>1167</v>
      </c>
      <c r="C8">
        <v>0</v>
      </c>
      <c r="D8">
        <v>0</v>
      </c>
      <c r="E8">
        <v>0</v>
      </c>
      <c r="F8">
        <v>0</v>
      </c>
      <c r="G8">
        <v>0</v>
      </c>
      <c r="H8">
        <v>0</v>
      </c>
      <c r="I8">
        <v>0</v>
      </c>
      <c r="J8">
        <v>0</v>
      </c>
      <c r="K8">
        <v>0</v>
      </c>
      <c r="L8">
        <v>0</v>
      </c>
      <c r="M8">
        <v>0</v>
      </c>
      <c r="N8">
        <v>0</v>
      </c>
      <c r="O8">
        <v>0</v>
      </c>
      <c r="P8">
        <v>0</v>
      </c>
      <c r="Q8">
        <v>0</v>
      </c>
      <c r="R8">
        <v>0</v>
      </c>
      <c r="S8">
        <v>0</v>
      </c>
      <c r="T8">
        <v>0</v>
      </c>
    </row>
    <row r="9" spans="2:147">
      <c r="B9" t="s">
        <v>1167</v>
      </c>
      <c r="C9">
        <v>0</v>
      </c>
      <c r="D9">
        <v>0</v>
      </c>
      <c r="E9">
        <v>0</v>
      </c>
      <c r="F9">
        <v>0</v>
      </c>
      <c r="G9">
        <v>0</v>
      </c>
      <c r="H9">
        <v>0</v>
      </c>
      <c r="I9">
        <v>0</v>
      </c>
      <c r="J9">
        <v>0</v>
      </c>
      <c r="K9">
        <v>0</v>
      </c>
      <c r="L9">
        <v>0</v>
      </c>
      <c r="M9">
        <v>0</v>
      </c>
      <c r="N9">
        <v>0</v>
      </c>
      <c r="O9">
        <v>0</v>
      </c>
      <c r="P9">
        <v>0</v>
      </c>
      <c r="Q9">
        <v>0</v>
      </c>
      <c r="R9">
        <v>0</v>
      </c>
      <c r="S9">
        <v>0</v>
      </c>
      <c r="T9">
        <v>0</v>
      </c>
    </row>
    <row r="10" spans="2:147">
      <c r="B10" t="s">
        <v>477</v>
      </c>
      <c r="C10">
        <v>0</v>
      </c>
      <c r="D10">
        <v>0</v>
      </c>
      <c r="E10">
        <v>0</v>
      </c>
      <c r="F10">
        <v>0</v>
      </c>
      <c r="G10">
        <v>0</v>
      </c>
      <c r="H10">
        <v>0</v>
      </c>
      <c r="I10">
        <v>0</v>
      </c>
      <c r="J10">
        <v>0</v>
      </c>
      <c r="K10">
        <v>0</v>
      </c>
      <c r="L10">
        <v>0</v>
      </c>
      <c r="M10">
        <v>0</v>
      </c>
      <c r="N10">
        <v>0</v>
      </c>
      <c r="O10">
        <v>0</v>
      </c>
      <c r="P10">
        <v>0</v>
      </c>
      <c r="Q10">
        <v>0</v>
      </c>
      <c r="R10">
        <v>0</v>
      </c>
      <c r="S10">
        <v>0</v>
      </c>
      <c r="T10">
        <v>0</v>
      </c>
    </row>
    <row r="11" spans="2:147">
      <c r="B11" t="s">
        <v>1167</v>
      </c>
      <c r="C11">
        <v>0</v>
      </c>
      <c r="D11">
        <v>0</v>
      </c>
      <c r="E11">
        <v>0</v>
      </c>
      <c r="F11">
        <v>0</v>
      </c>
      <c r="G11">
        <v>0</v>
      </c>
      <c r="H11">
        <v>0</v>
      </c>
      <c r="I11">
        <v>0</v>
      </c>
      <c r="J11">
        <v>0</v>
      </c>
      <c r="K11">
        <v>0</v>
      </c>
      <c r="L11">
        <v>0</v>
      </c>
      <c r="M11">
        <v>0</v>
      </c>
      <c r="N11">
        <v>0</v>
      </c>
      <c r="O11">
        <v>0</v>
      </c>
      <c r="P11">
        <v>0</v>
      </c>
      <c r="Q11">
        <v>0</v>
      </c>
      <c r="R11">
        <v>0</v>
      </c>
      <c r="S11">
        <v>0</v>
      </c>
      <c r="T11">
        <v>0</v>
      </c>
    </row>
    <row r="12" spans="2:147">
      <c r="B12" t="s">
        <v>1167</v>
      </c>
      <c r="C12">
        <v>0</v>
      </c>
      <c r="D12">
        <v>0</v>
      </c>
      <c r="E12">
        <v>0</v>
      </c>
      <c r="F12">
        <v>0</v>
      </c>
      <c r="G12">
        <v>0</v>
      </c>
      <c r="H12">
        <v>0</v>
      </c>
      <c r="I12">
        <v>0</v>
      </c>
      <c r="J12">
        <v>0</v>
      </c>
      <c r="K12">
        <v>0</v>
      </c>
      <c r="L12">
        <v>0</v>
      </c>
      <c r="M12">
        <v>0</v>
      </c>
      <c r="N12">
        <v>0</v>
      </c>
      <c r="O12">
        <v>0</v>
      </c>
      <c r="P12">
        <v>0</v>
      </c>
      <c r="Q12">
        <v>0</v>
      </c>
      <c r="R12">
        <v>0</v>
      </c>
      <c r="S12">
        <v>0</v>
      </c>
      <c r="T12">
        <v>0</v>
      </c>
    </row>
    <row r="13" spans="2:147">
      <c r="B13" t="s">
        <v>1167</v>
      </c>
      <c r="C13">
        <v>0</v>
      </c>
      <c r="D13">
        <v>0</v>
      </c>
      <c r="E13">
        <v>0</v>
      </c>
      <c r="F13">
        <v>0</v>
      </c>
      <c r="G13">
        <v>0</v>
      </c>
      <c r="H13">
        <v>0</v>
      </c>
      <c r="I13">
        <v>0</v>
      </c>
      <c r="J13">
        <v>0</v>
      </c>
      <c r="K13">
        <v>0</v>
      </c>
      <c r="L13">
        <v>0</v>
      </c>
      <c r="M13">
        <v>0</v>
      </c>
      <c r="N13">
        <v>0</v>
      </c>
      <c r="O13">
        <v>0</v>
      </c>
      <c r="P13">
        <v>0</v>
      </c>
      <c r="Q13">
        <v>0</v>
      </c>
      <c r="R13">
        <v>0</v>
      </c>
      <c r="S13">
        <v>0</v>
      </c>
      <c r="T13">
        <v>0</v>
      </c>
    </row>
    <row r="14" spans="2:147">
      <c r="B14" t="s">
        <v>1167</v>
      </c>
      <c r="C14">
        <v>0</v>
      </c>
      <c r="D14">
        <v>0</v>
      </c>
      <c r="E14">
        <v>0</v>
      </c>
      <c r="F14">
        <v>0</v>
      </c>
      <c r="G14">
        <v>0</v>
      </c>
      <c r="H14">
        <v>0</v>
      </c>
      <c r="I14">
        <v>0</v>
      </c>
      <c r="J14">
        <v>0</v>
      </c>
      <c r="K14">
        <v>0</v>
      </c>
      <c r="L14">
        <v>0</v>
      </c>
      <c r="M14">
        <v>0</v>
      </c>
      <c r="N14">
        <v>0</v>
      </c>
      <c r="O14">
        <v>0</v>
      </c>
      <c r="P14">
        <v>0</v>
      </c>
      <c r="Q14">
        <v>0</v>
      </c>
      <c r="R14">
        <v>0</v>
      </c>
      <c r="S14">
        <v>0</v>
      </c>
      <c r="T14">
        <v>0</v>
      </c>
    </row>
    <row r="15" spans="2:147">
      <c r="B15" t="s">
        <v>1167</v>
      </c>
      <c r="C15">
        <v>0</v>
      </c>
      <c r="D15">
        <v>0</v>
      </c>
      <c r="E15">
        <v>0</v>
      </c>
      <c r="F15">
        <v>0</v>
      </c>
      <c r="G15">
        <v>0</v>
      </c>
      <c r="H15">
        <v>0</v>
      </c>
      <c r="I15">
        <v>0</v>
      </c>
      <c r="J15">
        <v>0</v>
      </c>
      <c r="K15">
        <v>0</v>
      </c>
      <c r="L15">
        <v>0</v>
      </c>
      <c r="M15">
        <v>0</v>
      </c>
      <c r="N15">
        <v>0</v>
      </c>
      <c r="O15">
        <v>0</v>
      </c>
      <c r="P15">
        <v>0</v>
      </c>
      <c r="Q15">
        <v>0</v>
      </c>
      <c r="R15">
        <v>0</v>
      </c>
      <c r="S15">
        <v>0</v>
      </c>
      <c r="T15">
        <v>0</v>
      </c>
    </row>
    <row r="16" spans="2:147">
      <c r="B16" t="s">
        <v>937</v>
      </c>
      <c r="C16">
        <v>0</v>
      </c>
      <c r="D16">
        <v>0</v>
      </c>
      <c r="E16">
        <v>0</v>
      </c>
      <c r="F16">
        <v>0</v>
      </c>
      <c r="G16">
        <v>0</v>
      </c>
      <c r="H16">
        <v>0</v>
      </c>
      <c r="I16">
        <v>0</v>
      </c>
      <c r="J16">
        <v>0</v>
      </c>
      <c r="K16">
        <v>0</v>
      </c>
      <c r="L16">
        <v>0</v>
      </c>
      <c r="M16">
        <v>0</v>
      </c>
      <c r="N16">
        <v>0</v>
      </c>
      <c r="O16">
        <v>0</v>
      </c>
      <c r="P16">
        <v>0</v>
      </c>
      <c r="Q16">
        <v>0</v>
      </c>
      <c r="R16">
        <v>0</v>
      </c>
      <c r="S16">
        <v>0</v>
      </c>
      <c r="T16">
        <v>0</v>
      </c>
    </row>
    <row r="17" spans="2:26">
      <c r="B17" t="s">
        <v>487</v>
      </c>
      <c r="C17">
        <v>0</v>
      </c>
      <c r="D17">
        <v>0</v>
      </c>
      <c r="E17">
        <v>0</v>
      </c>
      <c r="F17">
        <v>0</v>
      </c>
      <c r="G17">
        <v>0</v>
      </c>
      <c r="H17">
        <v>0</v>
      </c>
      <c r="I17">
        <v>0</v>
      </c>
      <c r="J17">
        <v>0</v>
      </c>
      <c r="K17">
        <v>0</v>
      </c>
      <c r="L17">
        <v>0</v>
      </c>
      <c r="M17">
        <v>0</v>
      </c>
      <c r="N17">
        <v>0</v>
      </c>
      <c r="O17">
        <v>0</v>
      </c>
      <c r="P17">
        <v>0</v>
      </c>
      <c r="Q17">
        <v>0</v>
      </c>
      <c r="R17">
        <v>0</v>
      </c>
      <c r="S17">
        <v>0</v>
      </c>
      <c r="T17">
        <v>0</v>
      </c>
    </row>
    <row r="18" spans="2:26">
      <c r="B18" t="s">
        <v>488</v>
      </c>
      <c r="C18">
        <v>0</v>
      </c>
      <c r="D18">
        <v>0</v>
      </c>
      <c r="E18">
        <v>759582</v>
      </c>
      <c r="F18">
        <v>35385</v>
      </c>
      <c r="G18">
        <v>24556</v>
      </c>
      <c r="H18">
        <v>1167929</v>
      </c>
      <c r="I18" s="158">
        <v>4202162</v>
      </c>
      <c r="J18">
        <v>115013</v>
      </c>
      <c r="K18">
        <v>0</v>
      </c>
      <c r="L18">
        <v>0</v>
      </c>
      <c r="M18">
        <v>2302854</v>
      </c>
      <c r="N18">
        <v>383211</v>
      </c>
      <c r="O18">
        <v>359841</v>
      </c>
      <c r="P18">
        <v>94233</v>
      </c>
      <c r="Q18">
        <v>1402938</v>
      </c>
      <c r="R18">
        <v>801614</v>
      </c>
      <c r="S18">
        <v>97424</v>
      </c>
      <c r="T18">
        <v>0</v>
      </c>
      <c r="Z18" s="158">
        <v>1</v>
      </c>
    </row>
    <row r="19" spans="2:26">
      <c r="B19" t="s">
        <v>489</v>
      </c>
      <c r="C19">
        <v>0</v>
      </c>
      <c r="D19">
        <v>0</v>
      </c>
      <c r="E19">
        <v>0</v>
      </c>
      <c r="F19">
        <v>0</v>
      </c>
      <c r="G19">
        <v>0</v>
      </c>
      <c r="H19">
        <v>0</v>
      </c>
      <c r="I19">
        <v>0</v>
      </c>
      <c r="J19">
        <v>0</v>
      </c>
      <c r="K19">
        <v>0</v>
      </c>
      <c r="L19">
        <v>0</v>
      </c>
      <c r="M19">
        <v>0</v>
      </c>
      <c r="N19">
        <v>0</v>
      </c>
      <c r="O19">
        <v>0</v>
      </c>
      <c r="P19">
        <v>0</v>
      </c>
      <c r="Q19">
        <v>0</v>
      </c>
      <c r="R19">
        <v>0</v>
      </c>
      <c r="S19">
        <v>0</v>
      </c>
      <c r="T19">
        <v>0</v>
      </c>
    </row>
    <row r="20" spans="2:26">
      <c r="B20" t="s">
        <v>490</v>
      </c>
      <c r="C20">
        <v>0</v>
      </c>
      <c r="D20">
        <v>0</v>
      </c>
      <c r="E20">
        <v>0</v>
      </c>
      <c r="F20">
        <v>0</v>
      </c>
      <c r="G20">
        <v>0</v>
      </c>
      <c r="H20">
        <v>0</v>
      </c>
      <c r="I20">
        <v>0</v>
      </c>
      <c r="J20">
        <v>0</v>
      </c>
      <c r="K20">
        <v>0</v>
      </c>
      <c r="L20">
        <v>0</v>
      </c>
      <c r="M20">
        <v>0</v>
      </c>
      <c r="N20">
        <v>0</v>
      </c>
      <c r="O20">
        <v>0</v>
      </c>
      <c r="P20">
        <v>0</v>
      </c>
      <c r="Q20">
        <v>0</v>
      </c>
      <c r="R20">
        <v>0</v>
      </c>
      <c r="S20">
        <v>0</v>
      </c>
      <c r="T20">
        <v>0</v>
      </c>
    </row>
    <row r="21" spans="2:26">
      <c r="B21" t="s">
        <v>491</v>
      </c>
      <c r="C21">
        <v>0</v>
      </c>
      <c r="D21">
        <v>0</v>
      </c>
      <c r="E21">
        <v>14985</v>
      </c>
      <c r="F21">
        <v>6056</v>
      </c>
      <c r="G21">
        <v>22402</v>
      </c>
      <c r="H21">
        <v>174257</v>
      </c>
      <c r="I21">
        <v>0</v>
      </c>
      <c r="J21">
        <v>3645</v>
      </c>
      <c r="K21">
        <v>0</v>
      </c>
      <c r="L21">
        <v>0</v>
      </c>
      <c r="M21">
        <v>0</v>
      </c>
      <c r="N21">
        <v>0</v>
      </c>
      <c r="O21">
        <v>0</v>
      </c>
      <c r="P21">
        <v>0</v>
      </c>
      <c r="Q21">
        <v>0</v>
      </c>
      <c r="R21">
        <v>0</v>
      </c>
      <c r="S21">
        <v>0</v>
      </c>
      <c r="T21">
        <v>0</v>
      </c>
    </row>
    <row r="22" spans="2:26">
      <c r="B22" t="s">
        <v>492</v>
      </c>
      <c r="C22">
        <v>0</v>
      </c>
      <c r="D22">
        <v>0</v>
      </c>
      <c r="E22">
        <v>0</v>
      </c>
      <c r="F22">
        <v>0</v>
      </c>
      <c r="G22">
        <v>0</v>
      </c>
      <c r="H22">
        <v>0</v>
      </c>
      <c r="I22">
        <v>0</v>
      </c>
      <c r="J22">
        <v>0</v>
      </c>
      <c r="K22">
        <v>0</v>
      </c>
      <c r="L22">
        <v>0</v>
      </c>
      <c r="M22">
        <v>0</v>
      </c>
      <c r="N22">
        <v>0</v>
      </c>
      <c r="O22">
        <v>0</v>
      </c>
      <c r="P22">
        <v>0</v>
      </c>
      <c r="Q22">
        <v>0</v>
      </c>
      <c r="R22">
        <v>0</v>
      </c>
      <c r="S22">
        <v>0</v>
      </c>
      <c r="T22">
        <v>0</v>
      </c>
    </row>
    <row r="23" spans="2:26">
      <c r="B23" t="s">
        <v>493</v>
      </c>
      <c r="C23">
        <v>0</v>
      </c>
      <c r="D23">
        <v>0</v>
      </c>
      <c r="E23">
        <v>0</v>
      </c>
      <c r="F23">
        <v>0</v>
      </c>
      <c r="G23">
        <v>0</v>
      </c>
      <c r="H23">
        <v>0</v>
      </c>
      <c r="I23">
        <v>0</v>
      </c>
      <c r="J23">
        <v>0</v>
      </c>
      <c r="K23">
        <v>0</v>
      </c>
      <c r="L23">
        <v>0</v>
      </c>
      <c r="M23">
        <v>0</v>
      </c>
      <c r="N23">
        <v>0</v>
      </c>
      <c r="O23" s="158">
        <v>0</v>
      </c>
      <c r="P23">
        <v>0</v>
      </c>
      <c r="Q23">
        <v>0</v>
      </c>
      <c r="R23">
        <v>0</v>
      </c>
      <c r="S23">
        <v>0</v>
      </c>
      <c r="T23">
        <v>0</v>
      </c>
    </row>
    <row r="24" spans="2:26">
      <c r="B24" t="s">
        <v>1089</v>
      </c>
      <c r="C24">
        <v>0</v>
      </c>
      <c r="D24">
        <v>0</v>
      </c>
      <c r="E24">
        <v>0</v>
      </c>
      <c r="F24">
        <v>0</v>
      </c>
      <c r="G24">
        <v>0</v>
      </c>
      <c r="H24">
        <v>0</v>
      </c>
      <c r="I24">
        <v>0</v>
      </c>
      <c r="J24">
        <v>0</v>
      </c>
      <c r="K24">
        <v>0</v>
      </c>
      <c r="L24">
        <v>0</v>
      </c>
      <c r="M24">
        <v>0</v>
      </c>
      <c r="N24">
        <v>0</v>
      </c>
      <c r="O24">
        <v>0</v>
      </c>
      <c r="P24">
        <v>0</v>
      </c>
      <c r="Q24">
        <v>0</v>
      </c>
      <c r="R24">
        <v>0</v>
      </c>
      <c r="S24">
        <v>0</v>
      </c>
      <c r="T24">
        <v>0</v>
      </c>
    </row>
    <row r="25" spans="2:26">
      <c r="B25" t="s">
        <v>1090</v>
      </c>
      <c r="C25">
        <v>0</v>
      </c>
      <c r="D25">
        <v>0</v>
      </c>
      <c r="E25">
        <v>0</v>
      </c>
      <c r="F25">
        <v>0</v>
      </c>
      <c r="G25">
        <v>0</v>
      </c>
      <c r="H25">
        <v>0</v>
      </c>
      <c r="I25">
        <v>0</v>
      </c>
      <c r="J25">
        <v>0</v>
      </c>
      <c r="K25">
        <v>0</v>
      </c>
      <c r="L25">
        <v>0</v>
      </c>
      <c r="M25">
        <v>0</v>
      </c>
      <c r="N25">
        <v>0</v>
      </c>
      <c r="O25">
        <v>0</v>
      </c>
      <c r="P25">
        <v>0</v>
      </c>
      <c r="Q25">
        <v>0</v>
      </c>
      <c r="R25">
        <v>0</v>
      </c>
      <c r="S25">
        <v>0</v>
      </c>
      <c r="T25">
        <v>0</v>
      </c>
    </row>
    <row r="26" spans="2:26">
      <c r="B26" t="s">
        <v>1299</v>
      </c>
      <c r="C26">
        <v>0</v>
      </c>
      <c r="D26">
        <v>0</v>
      </c>
      <c r="E26">
        <v>0</v>
      </c>
      <c r="F26">
        <v>0</v>
      </c>
      <c r="G26">
        <v>0</v>
      </c>
      <c r="H26">
        <v>0</v>
      </c>
      <c r="I26">
        <v>0</v>
      </c>
      <c r="J26">
        <v>0</v>
      </c>
      <c r="K26">
        <v>0</v>
      </c>
      <c r="L26">
        <v>0</v>
      </c>
      <c r="M26">
        <v>0</v>
      </c>
      <c r="N26">
        <v>0</v>
      </c>
      <c r="O26">
        <v>0</v>
      </c>
      <c r="P26">
        <v>0</v>
      </c>
      <c r="Q26">
        <v>0</v>
      </c>
      <c r="R26">
        <v>0</v>
      </c>
      <c r="S26">
        <v>0</v>
      </c>
      <c r="T26">
        <v>0</v>
      </c>
    </row>
    <row r="27" spans="2:26">
      <c r="B27" t="s">
        <v>342</v>
      </c>
      <c r="C27">
        <v>0</v>
      </c>
      <c r="D27">
        <v>0</v>
      </c>
      <c r="E27">
        <v>0</v>
      </c>
      <c r="F27">
        <v>0</v>
      </c>
      <c r="G27">
        <v>0</v>
      </c>
      <c r="H27">
        <v>0</v>
      </c>
      <c r="I27">
        <v>0</v>
      </c>
      <c r="J27">
        <v>0</v>
      </c>
      <c r="K27">
        <v>0</v>
      </c>
      <c r="L27">
        <v>0</v>
      </c>
      <c r="M27">
        <v>0</v>
      </c>
      <c r="N27">
        <v>0</v>
      </c>
      <c r="O27">
        <v>0</v>
      </c>
      <c r="P27">
        <v>0</v>
      </c>
      <c r="Q27">
        <v>0</v>
      </c>
      <c r="R27">
        <v>0</v>
      </c>
      <c r="S27">
        <v>0</v>
      </c>
      <c r="T27">
        <v>0</v>
      </c>
    </row>
    <row r="28" spans="2:26">
      <c r="B28" t="s">
        <v>1300</v>
      </c>
      <c r="C28">
        <v>0</v>
      </c>
      <c r="D28">
        <v>0</v>
      </c>
      <c r="E28">
        <v>0</v>
      </c>
      <c r="F28">
        <v>0</v>
      </c>
      <c r="G28">
        <v>0</v>
      </c>
      <c r="H28">
        <v>0</v>
      </c>
      <c r="I28">
        <v>0</v>
      </c>
      <c r="J28">
        <v>0</v>
      </c>
      <c r="K28">
        <v>0</v>
      </c>
      <c r="L28">
        <v>0</v>
      </c>
      <c r="M28">
        <v>0</v>
      </c>
      <c r="N28">
        <v>0</v>
      </c>
      <c r="O28">
        <v>0</v>
      </c>
      <c r="P28">
        <v>0</v>
      </c>
      <c r="Q28">
        <v>0</v>
      </c>
      <c r="R28">
        <v>0</v>
      </c>
      <c r="S28">
        <v>0</v>
      </c>
      <c r="T28">
        <v>0</v>
      </c>
    </row>
    <row r="29" spans="2:26">
      <c r="B29" t="s">
        <v>488</v>
      </c>
      <c r="C29">
        <v>0</v>
      </c>
      <c r="D29">
        <v>0</v>
      </c>
      <c r="E29">
        <v>0</v>
      </c>
      <c r="F29">
        <v>0</v>
      </c>
      <c r="G29">
        <v>0</v>
      </c>
      <c r="H29">
        <v>0</v>
      </c>
      <c r="I29">
        <v>0</v>
      </c>
      <c r="J29">
        <v>0</v>
      </c>
      <c r="K29">
        <v>0</v>
      </c>
      <c r="L29">
        <v>0</v>
      </c>
      <c r="M29">
        <v>0</v>
      </c>
      <c r="N29">
        <v>0</v>
      </c>
      <c r="O29">
        <v>0</v>
      </c>
      <c r="P29">
        <v>0</v>
      </c>
      <c r="Q29">
        <v>0</v>
      </c>
      <c r="R29">
        <v>0</v>
      </c>
      <c r="S29">
        <v>0</v>
      </c>
      <c r="T29">
        <v>0</v>
      </c>
    </row>
    <row r="30" spans="2:26">
      <c r="B30" t="s">
        <v>489</v>
      </c>
      <c r="C30">
        <v>0</v>
      </c>
      <c r="D30">
        <v>0</v>
      </c>
      <c r="E30">
        <v>0</v>
      </c>
      <c r="F30">
        <v>0</v>
      </c>
      <c r="G30">
        <v>0</v>
      </c>
      <c r="H30">
        <v>0</v>
      </c>
      <c r="I30">
        <v>0</v>
      </c>
      <c r="J30">
        <v>0</v>
      </c>
      <c r="K30">
        <v>0</v>
      </c>
      <c r="L30">
        <v>0</v>
      </c>
      <c r="M30">
        <v>0</v>
      </c>
      <c r="N30">
        <v>0</v>
      </c>
      <c r="O30">
        <v>0</v>
      </c>
      <c r="P30">
        <v>0</v>
      </c>
      <c r="Q30">
        <v>0</v>
      </c>
      <c r="R30">
        <v>0</v>
      </c>
      <c r="S30">
        <v>0</v>
      </c>
      <c r="T30">
        <v>0</v>
      </c>
    </row>
    <row r="31" spans="2:26">
      <c r="B31" t="s">
        <v>1301</v>
      </c>
      <c r="C31">
        <v>0</v>
      </c>
      <c r="D31">
        <v>0</v>
      </c>
      <c r="E31">
        <v>0</v>
      </c>
      <c r="F31">
        <v>0</v>
      </c>
      <c r="G31">
        <v>0</v>
      </c>
      <c r="H31">
        <v>0</v>
      </c>
      <c r="I31">
        <v>0</v>
      </c>
      <c r="J31">
        <v>0</v>
      </c>
      <c r="K31">
        <v>0</v>
      </c>
      <c r="L31">
        <v>0</v>
      </c>
      <c r="M31">
        <v>0</v>
      </c>
      <c r="N31">
        <v>0</v>
      </c>
      <c r="O31">
        <v>0</v>
      </c>
      <c r="P31">
        <v>0</v>
      </c>
      <c r="Q31">
        <v>0</v>
      </c>
      <c r="R31">
        <v>0</v>
      </c>
      <c r="S31">
        <v>0</v>
      </c>
      <c r="T31">
        <v>0</v>
      </c>
    </row>
    <row r="32" spans="2:26">
      <c r="B32" t="s">
        <v>1302</v>
      </c>
      <c r="C32">
        <v>0</v>
      </c>
      <c r="D32">
        <v>0</v>
      </c>
      <c r="E32">
        <v>0</v>
      </c>
      <c r="F32">
        <v>0</v>
      </c>
      <c r="G32">
        <v>0</v>
      </c>
      <c r="H32">
        <v>0</v>
      </c>
      <c r="I32">
        <v>0</v>
      </c>
      <c r="J32">
        <v>0</v>
      </c>
      <c r="K32">
        <v>0</v>
      </c>
      <c r="L32">
        <v>0</v>
      </c>
      <c r="M32">
        <v>0</v>
      </c>
      <c r="N32">
        <v>0</v>
      </c>
      <c r="O32">
        <v>0</v>
      </c>
      <c r="P32">
        <v>0</v>
      </c>
      <c r="Q32">
        <v>0</v>
      </c>
      <c r="R32">
        <v>0</v>
      </c>
      <c r="S32">
        <v>0</v>
      </c>
      <c r="T32">
        <v>0</v>
      </c>
    </row>
    <row r="33" spans="2:20">
      <c r="B33" t="s">
        <v>1303</v>
      </c>
      <c r="C33">
        <v>0</v>
      </c>
      <c r="D33">
        <v>0</v>
      </c>
      <c r="E33">
        <v>0</v>
      </c>
      <c r="F33">
        <v>0</v>
      </c>
      <c r="G33">
        <v>0</v>
      </c>
      <c r="H33">
        <v>0</v>
      </c>
      <c r="I33">
        <v>0</v>
      </c>
      <c r="J33">
        <v>0</v>
      </c>
      <c r="K33">
        <v>0</v>
      </c>
      <c r="L33">
        <v>0</v>
      </c>
      <c r="M33">
        <v>0</v>
      </c>
      <c r="N33">
        <v>0</v>
      </c>
      <c r="O33">
        <v>0</v>
      </c>
      <c r="P33">
        <v>0</v>
      </c>
      <c r="Q33">
        <v>0</v>
      </c>
      <c r="R33">
        <v>0</v>
      </c>
      <c r="S33">
        <v>0</v>
      </c>
      <c r="T33">
        <v>0</v>
      </c>
    </row>
    <row r="34" spans="2:20">
      <c r="B34" t="s">
        <v>1219</v>
      </c>
      <c r="C34">
        <v>0</v>
      </c>
      <c r="D34">
        <v>0</v>
      </c>
      <c r="E34">
        <v>0</v>
      </c>
      <c r="F34">
        <v>0</v>
      </c>
      <c r="G34">
        <v>0</v>
      </c>
      <c r="H34">
        <v>0</v>
      </c>
      <c r="I34">
        <v>0</v>
      </c>
      <c r="J34">
        <v>0</v>
      </c>
      <c r="K34">
        <v>0</v>
      </c>
      <c r="L34">
        <v>0</v>
      </c>
      <c r="M34">
        <v>0</v>
      </c>
      <c r="N34">
        <v>0</v>
      </c>
      <c r="O34">
        <v>0</v>
      </c>
      <c r="P34">
        <v>0</v>
      </c>
      <c r="Q34">
        <v>0</v>
      </c>
      <c r="R34">
        <v>0</v>
      </c>
      <c r="S34">
        <v>0</v>
      </c>
      <c r="T34">
        <v>0</v>
      </c>
    </row>
    <row r="35" spans="2:20">
      <c r="B35" t="s">
        <v>1305</v>
      </c>
      <c r="C35">
        <v>0</v>
      </c>
      <c r="D35">
        <v>0</v>
      </c>
      <c r="E35">
        <v>0</v>
      </c>
      <c r="F35">
        <v>0</v>
      </c>
      <c r="G35">
        <v>0</v>
      </c>
      <c r="H35">
        <v>0</v>
      </c>
      <c r="I35">
        <v>0</v>
      </c>
      <c r="J35">
        <v>0</v>
      </c>
      <c r="K35">
        <v>0</v>
      </c>
      <c r="L35">
        <v>0</v>
      </c>
      <c r="M35">
        <v>0</v>
      </c>
      <c r="N35">
        <v>0</v>
      </c>
      <c r="O35">
        <v>0</v>
      </c>
      <c r="P35">
        <v>0</v>
      </c>
      <c r="Q35">
        <v>0</v>
      </c>
      <c r="R35">
        <v>0</v>
      </c>
      <c r="S35">
        <v>0</v>
      </c>
      <c r="T35">
        <v>0</v>
      </c>
    </row>
    <row r="36" spans="2:20">
      <c r="B36" t="s">
        <v>1306</v>
      </c>
      <c r="C36">
        <v>0</v>
      </c>
      <c r="D36">
        <v>0</v>
      </c>
      <c r="E36">
        <v>0</v>
      </c>
      <c r="F36">
        <v>0</v>
      </c>
      <c r="G36">
        <v>0</v>
      </c>
      <c r="H36">
        <v>0</v>
      </c>
      <c r="I36">
        <v>0</v>
      </c>
      <c r="J36">
        <v>0</v>
      </c>
      <c r="K36">
        <v>0</v>
      </c>
      <c r="L36">
        <v>0</v>
      </c>
      <c r="M36">
        <v>0</v>
      </c>
      <c r="N36">
        <v>0</v>
      </c>
      <c r="O36">
        <v>0</v>
      </c>
      <c r="P36">
        <v>0</v>
      </c>
      <c r="Q36">
        <v>0</v>
      </c>
      <c r="R36">
        <v>0</v>
      </c>
      <c r="S36">
        <v>0</v>
      </c>
      <c r="T36">
        <v>0</v>
      </c>
    </row>
    <row r="37" spans="2:20">
      <c r="B37" t="s">
        <v>872</v>
      </c>
      <c r="C37">
        <v>0</v>
      </c>
      <c r="D37">
        <v>0</v>
      </c>
      <c r="E37" s="158">
        <v>7433602</v>
      </c>
      <c r="F37" s="158">
        <v>11365</v>
      </c>
      <c r="G37" s="158">
        <v>73483</v>
      </c>
      <c r="H37">
        <v>54611</v>
      </c>
      <c r="I37" s="158">
        <v>5508286</v>
      </c>
      <c r="J37">
        <v>3587</v>
      </c>
      <c r="K37">
        <v>0</v>
      </c>
      <c r="L37">
        <v>0</v>
      </c>
      <c r="M37" s="158">
        <v>58040</v>
      </c>
      <c r="N37">
        <v>629459</v>
      </c>
      <c r="O37" s="158">
        <v>9465</v>
      </c>
      <c r="P37">
        <v>0</v>
      </c>
      <c r="Q37" s="158">
        <v>9476</v>
      </c>
      <c r="R37">
        <v>0</v>
      </c>
      <c r="S37">
        <v>0</v>
      </c>
      <c r="T37">
        <v>0</v>
      </c>
    </row>
    <row r="38" spans="2:20">
      <c r="B38" t="s">
        <v>1367</v>
      </c>
      <c r="C38">
        <v>0</v>
      </c>
      <c r="D38">
        <v>0</v>
      </c>
      <c r="E38">
        <v>0</v>
      </c>
      <c r="F38">
        <v>0</v>
      </c>
      <c r="G38">
        <v>0</v>
      </c>
      <c r="H38">
        <v>0</v>
      </c>
      <c r="I38">
        <v>0</v>
      </c>
      <c r="J38">
        <v>0</v>
      </c>
      <c r="K38">
        <v>0</v>
      </c>
      <c r="L38">
        <v>0</v>
      </c>
      <c r="M38">
        <v>0</v>
      </c>
      <c r="N38">
        <v>0</v>
      </c>
      <c r="O38">
        <v>0</v>
      </c>
      <c r="P38">
        <v>0</v>
      </c>
      <c r="Q38">
        <v>0</v>
      </c>
      <c r="R38">
        <v>0</v>
      </c>
      <c r="S38">
        <v>0</v>
      </c>
      <c r="T38">
        <v>0</v>
      </c>
    </row>
    <row r="39" spans="2:20">
      <c r="B39" t="s">
        <v>448</v>
      </c>
      <c r="C39">
        <v>0</v>
      </c>
      <c r="D39">
        <v>0</v>
      </c>
      <c r="E39">
        <v>0</v>
      </c>
      <c r="F39">
        <v>0</v>
      </c>
      <c r="G39">
        <v>0</v>
      </c>
      <c r="H39">
        <v>0</v>
      </c>
      <c r="I39">
        <v>0</v>
      </c>
      <c r="J39">
        <v>0</v>
      </c>
      <c r="K39">
        <v>0</v>
      </c>
      <c r="L39">
        <v>0</v>
      </c>
      <c r="M39">
        <v>0</v>
      </c>
      <c r="N39">
        <v>0</v>
      </c>
      <c r="O39">
        <v>0</v>
      </c>
      <c r="P39">
        <v>0</v>
      </c>
      <c r="Q39">
        <v>0</v>
      </c>
      <c r="R39">
        <v>0</v>
      </c>
      <c r="S39">
        <v>0</v>
      </c>
      <c r="T39">
        <v>0</v>
      </c>
    </row>
    <row r="40" spans="2:20">
      <c r="B40" t="s">
        <v>449</v>
      </c>
      <c r="C40">
        <v>0</v>
      </c>
      <c r="D40">
        <v>0</v>
      </c>
      <c r="E40">
        <v>0</v>
      </c>
      <c r="F40">
        <v>0</v>
      </c>
      <c r="G40">
        <v>0</v>
      </c>
      <c r="H40">
        <v>0</v>
      </c>
      <c r="I40">
        <v>0</v>
      </c>
      <c r="J40">
        <v>0</v>
      </c>
      <c r="K40">
        <v>0</v>
      </c>
      <c r="L40">
        <v>0</v>
      </c>
      <c r="M40">
        <v>0</v>
      </c>
      <c r="N40">
        <v>0</v>
      </c>
      <c r="O40">
        <v>0</v>
      </c>
      <c r="P40">
        <v>0</v>
      </c>
      <c r="Q40">
        <v>0</v>
      </c>
      <c r="R40">
        <v>0</v>
      </c>
      <c r="S40">
        <v>0</v>
      </c>
      <c r="T40">
        <v>0</v>
      </c>
    </row>
    <row r="41" spans="2:20">
      <c r="B41" t="s">
        <v>450</v>
      </c>
      <c r="C41">
        <v>0</v>
      </c>
      <c r="D41">
        <v>0</v>
      </c>
      <c r="E41">
        <v>0</v>
      </c>
      <c r="F41">
        <v>0</v>
      </c>
      <c r="G41">
        <v>0</v>
      </c>
      <c r="H41">
        <v>0</v>
      </c>
      <c r="I41">
        <v>0</v>
      </c>
      <c r="J41">
        <v>0</v>
      </c>
      <c r="K41">
        <v>0</v>
      </c>
      <c r="L41">
        <v>0</v>
      </c>
      <c r="M41">
        <v>0</v>
      </c>
      <c r="N41">
        <v>0</v>
      </c>
      <c r="O41">
        <v>0</v>
      </c>
      <c r="P41">
        <v>0</v>
      </c>
      <c r="Q41">
        <v>0</v>
      </c>
      <c r="R41">
        <v>0</v>
      </c>
      <c r="S41">
        <v>0</v>
      </c>
      <c r="T41">
        <v>0</v>
      </c>
    </row>
    <row r="42" spans="2:20">
      <c r="B42" t="s">
        <v>451</v>
      </c>
      <c r="C42">
        <v>0</v>
      </c>
      <c r="D42">
        <v>0</v>
      </c>
      <c r="E42">
        <v>0</v>
      </c>
      <c r="F42">
        <v>0</v>
      </c>
      <c r="G42">
        <v>0</v>
      </c>
      <c r="H42">
        <v>0</v>
      </c>
      <c r="I42">
        <v>0</v>
      </c>
      <c r="J42">
        <v>0</v>
      </c>
      <c r="K42">
        <v>0</v>
      </c>
      <c r="L42">
        <v>0</v>
      </c>
      <c r="M42">
        <v>0</v>
      </c>
      <c r="N42">
        <v>0</v>
      </c>
      <c r="O42">
        <v>0</v>
      </c>
      <c r="P42">
        <v>0</v>
      </c>
      <c r="Q42">
        <v>0</v>
      </c>
      <c r="R42">
        <v>0</v>
      </c>
      <c r="S42">
        <v>0</v>
      </c>
      <c r="T42">
        <v>0</v>
      </c>
    </row>
    <row r="43" spans="2:20">
      <c r="B43" t="s">
        <v>254</v>
      </c>
      <c r="C43">
        <v>0</v>
      </c>
      <c r="D43">
        <v>0</v>
      </c>
      <c r="E43">
        <v>774567</v>
      </c>
      <c r="F43">
        <v>41441</v>
      </c>
      <c r="G43">
        <v>46958</v>
      </c>
      <c r="H43">
        <v>1342186</v>
      </c>
      <c r="I43">
        <v>4202162</v>
      </c>
      <c r="J43">
        <v>118658</v>
      </c>
      <c r="K43">
        <v>0</v>
      </c>
      <c r="L43">
        <v>0</v>
      </c>
      <c r="M43">
        <v>2302854</v>
      </c>
      <c r="N43">
        <v>383211</v>
      </c>
      <c r="O43">
        <v>359841</v>
      </c>
      <c r="P43">
        <v>94233</v>
      </c>
      <c r="Q43">
        <v>1402938</v>
      </c>
      <c r="R43">
        <v>801614</v>
      </c>
      <c r="S43">
        <v>97424</v>
      </c>
      <c r="T43">
        <v>0</v>
      </c>
    </row>
    <row r="44" spans="2:20">
      <c r="B44" t="s">
        <v>1167</v>
      </c>
      <c r="C44">
        <v>0</v>
      </c>
      <c r="D44">
        <v>0</v>
      </c>
      <c r="E44">
        <v>0</v>
      </c>
      <c r="F44">
        <v>0</v>
      </c>
      <c r="G44">
        <v>0</v>
      </c>
      <c r="H44">
        <v>0</v>
      </c>
      <c r="I44">
        <v>0</v>
      </c>
      <c r="J44">
        <v>0</v>
      </c>
      <c r="K44">
        <v>0</v>
      </c>
      <c r="L44">
        <v>0</v>
      </c>
      <c r="M44">
        <v>0</v>
      </c>
      <c r="N44">
        <v>0</v>
      </c>
      <c r="O44">
        <v>0</v>
      </c>
      <c r="P44">
        <v>0</v>
      </c>
      <c r="Q44">
        <v>0</v>
      </c>
      <c r="R44">
        <v>0</v>
      </c>
      <c r="S44">
        <v>0</v>
      </c>
      <c r="T44">
        <v>0</v>
      </c>
    </row>
    <row r="45" spans="2:20">
      <c r="B45" t="s">
        <v>597</v>
      </c>
      <c r="C45">
        <v>0</v>
      </c>
      <c r="D45">
        <v>0</v>
      </c>
      <c r="E45">
        <v>0</v>
      </c>
      <c r="F45">
        <v>0</v>
      </c>
      <c r="G45">
        <v>0</v>
      </c>
      <c r="H45">
        <v>0</v>
      </c>
      <c r="I45">
        <v>0</v>
      </c>
      <c r="J45">
        <v>0</v>
      </c>
      <c r="K45">
        <v>0</v>
      </c>
      <c r="L45">
        <v>0</v>
      </c>
      <c r="M45">
        <v>0</v>
      </c>
      <c r="N45">
        <v>0</v>
      </c>
      <c r="O45">
        <v>0</v>
      </c>
      <c r="P45">
        <v>0</v>
      </c>
      <c r="Q45">
        <v>0</v>
      </c>
      <c r="R45">
        <v>0</v>
      </c>
      <c r="S45">
        <v>0</v>
      </c>
      <c r="T45">
        <v>0</v>
      </c>
    </row>
    <row r="46" spans="2:20">
      <c r="B46" t="s">
        <v>987</v>
      </c>
      <c r="C46">
        <v>0</v>
      </c>
      <c r="D46">
        <v>0</v>
      </c>
      <c r="E46">
        <v>0</v>
      </c>
      <c r="F46">
        <v>0</v>
      </c>
      <c r="G46">
        <v>0</v>
      </c>
      <c r="H46">
        <v>0</v>
      </c>
      <c r="I46">
        <v>0</v>
      </c>
      <c r="J46">
        <v>0</v>
      </c>
      <c r="K46">
        <v>0</v>
      </c>
      <c r="L46">
        <v>0</v>
      </c>
      <c r="M46">
        <v>0</v>
      </c>
      <c r="N46">
        <v>0</v>
      </c>
      <c r="O46">
        <v>0</v>
      </c>
      <c r="P46">
        <v>0</v>
      </c>
      <c r="Q46">
        <v>0</v>
      </c>
      <c r="R46">
        <v>0</v>
      </c>
      <c r="S46">
        <v>0</v>
      </c>
      <c r="T46">
        <v>0</v>
      </c>
    </row>
    <row r="47" spans="2:20">
      <c r="B47" t="s">
        <v>643</v>
      </c>
      <c r="C47">
        <v>0</v>
      </c>
      <c r="D47">
        <v>0</v>
      </c>
      <c r="E47">
        <v>0</v>
      </c>
      <c r="F47">
        <v>0</v>
      </c>
      <c r="G47">
        <v>0</v>
      </c>
      <c r="H47">
        <v>0</v>
      </c>
      <c r="I47">
        <v>0</v>
      </c>
      <c r="J47">
        <v>0</v>
      </c>
      <c r="K47">
        <v>0</v>
      </c>
      <c r="L47">
        <v>0</v>
      </c>
      <c r="M47">
        <v>0</v>
      </c>
      <c r="N47">
        <v>0</v>
      </c>
      <c r="O47">
        <v>0</v>
      </c>
      <c r="P47">
        <v>0</v>
      </c>
      <c r="Q47">
        <v>0</v>
      </c>
      <c r="R47">
        <v>0</v>
      </c>
      <c r="S47">
        <v>0</v>
      </c>
      <c r="T47">
        <v>0</v>
      </c>
    </row>
    <row r="48" spans="2:20">
      <c r="B48" t="s">
        <v>452</v>
      </c>
      <c r="C48">
        <v>0</v>
      </c>
      <c r="D48">
        <v>0</v>
      </c>
      <c r="E48">
        <v>28736</v>
      </c>
      <c r="F48">
        <v>0</v>
      </c>
      <c r="G48">
        <v>0</v>
      </c>
      <c r="H48">
        <v>0</v>
      </c>
      <c r="I48">
        <v>516</v>
      </c>
      <c r="J48">
        <v>0</v>
      </c>
      <c r="K48">
        <v>0</v>
      </c>
      <c r="L48">
        <v>0</v>
      </c>
      <c r="M48" s="211">
        <v>0</v>
      </c>
      <c r="N48">
        <v>0</v>
      </c>
      <c r="O48" s="211">
        <f>-33+33</f>
        <v>0</v>
      </c>
      <c r="P48">
        <v>0</v>
      </c>
      <c r="Q48">
        <v>0</v>
      </c>
      <c r="R48">
        <v>0</v>
      </c>
      <c r="S48">
        <v>0</v>
      </c>
      <c r="T48">
        <v>0</v>
      </c>
    </row>
    <row r="49" spans="2:20">
      <c r="B49" t="s">
        <v>648</v>
      </c>
      <c r="C49">
        <v>0</v>
      </c>
      <c r="D49">
        <v>0</v>
      </c>
      <c r="E49">
        <v>0</v>
      </c>
      <c r="F49">
        <v>0</v>
      </c>
      <c r="G49">
        <v>0</v>
      </c>
      <c r="H49">
        <v>0</v>
      </c>
      <c r="I49">
        <v>0</v>
      </c>
      <c r="J49">
        <v>0</v>
      </c>
      <c r="K49">
        <v>0</v>
      </c>
      <c r="L49">
        <v>0</v>
      </c>
      <c r="M49">
        <v>0</v>
      </c>
      <c r="N49">
        <v>0</v>
      </c>
      <c r="O49">
        <v>0</v>
      </c>
      <c r="P49">
        <v>0</v>
      </c>
      <c r="Q49">
        <v>0</v>
      </c>
      <c r="R49">
        <v>0</v>
      </c>
      <c r="S49">
        <v>0</v>
      </c>
      <c r="T49">
        <v>0</v>
      </c>
    </row>
    <row r="50" spans="2:20">
      <c r="B50" t="s">
        <v>649</v>
      </c>
      <c r="C50">
        <v>0</v>
      </c>
      <c r="D50">
        <v>0</v>
      </c>
      <c r="E50">
        <v>0</v>
      </c>
      <c r="F50">
        <v>0</v>
      </c>
      <c r="G50">
        <v>0</v>
      </c>
      <c r="H50">
        <v>0</v>
      </c>
      <c r="I50">
        <v>0</v>
      </c>
      <c r="J50">
        <v>0</v>
      </c>
      <c r="K50">
        <v>0</v>
      </c>
      <c r="L50">
        <v>0</v>
      </c>
      <c r="M50">
        <v>0</v>
      </c>
      <c r="N50">
        <v>0</v>
      </c>
      <c r="O50">
        <v>0</v>
      </c>
      <c r="P50">
        <v>0</v>
      </c>
      <c r="Q50">
        <v>0</v>
      </c>
      <c r="R50">
        <v>0</v>
      </c>
      <c r="S50">
        <v>0</v>
      </c>
      <c r="T50">
        <v>0</v>
      </c>
    </row>
    <row r="51" spans="2:20">
      <c r="B51" t="s">
        <v>453</v>
      </c>
      <c r="C51">
        <v>0</v>
      </c>
      <c r="D51">
        <v>0</v>
      </c>
      <c r="E51">
        <v>0</v>
      </c>
      <c r="F51">
        <v>0</v>
      </c>
      <c r="G51">
        <v>0</v>
      </c>
      <c r="H51">
        <v>0</v>
      </c>
      <c r="I51">
        <v>1123725</v>
      </c>
      <c r="J51">
        <v>0</v>
      </c>
      <c r="K51">
        <v>0</v>
      </c>
      <c r="L51">
        <v>0</v>
      </c>
      <c r="M51">
        <v>0</v>
      </c>
      <c r="N51">
        <v>0</v>
      </c>
      <c r="O51">
        <v>0</v>
      </c>
      <c r="P51">
        <v>0</v>
      </c>
      <c r="Q51">
        <v>0</v>
      </c>
      <c r="R51">
        <v>0</v>
      </c>
      <c r="S51">
        <v>0</v>
      </c>
      <c r="T51">
        <v>0</v>
      </c>
    </row>
    <row r="52" spans="2:20">
      <c r="B52" t="s">
        <v>1085</v>
      </c>
      <c r="C52">
        <v>0</v>
      </c>
      <c r="D52">
        <v>0</v>
      </c>
      <c r="E52">
        <v>14985</v>
      </c>
      <c r="F52">
        <v>6056</v>
      </c>
      <c r="G52">
        <v>22402</v>
      </c>
      <c r="H52">
        <v>174257</v>
      </c>
      <c r="I52">
        <v>0</v>
      </c>
      <c r="J52">
        <v>3645</v>
      </c>
      <c r="K52">
        <v>0</v>
      </c>
      <c r="L52">
        <v>0</v>
      </c>
      <c r="M52">
        <v>0</v>
      </c>
      <c r="N52">
        <v>0</v>
      </c>
      <c r="O52">
        <v>0</v>
      </c>
      <c r="P52">
        <v>0</v>
      </c>
      <c r="Q52">
        <v>0</v>
      </c>
      <c r="R52">
        <v>0</v>
      </c>
      <c r="S52">
        <v>0</v>
      </c>
      <c r="T52">
        <v>0</v>
      </c>
    </row>
    <row r="53" spans="2:20">
      <c r="B53" t="s">
        <v>650</v>
      </c>
      <c r="C53">
        <v>0</v>
      </c>
      <c r="D53">
        <v>0</v>
      </c>
      <c r="E53">
        <v>0</v>
      </c>
      <c r="F53">
        <v>0</v>
      </c>
      <c r="G53">
        <v>0</v>
      </c>
      <c r="H53">
        <v>0</v>
      </c>
      <c r="I53">
        <v>0</v>
      </c>
      <c r="J53">
        <v>0</v>
      </c>
      <c r="K53">
        <v>0</v>
      </c>
      <c r="L53">
        <v>0</v>
      </c>
      <c r="M53">
        <v>0</v>
      </c>
      <c r="N53">
        <v>0</v>
      </c>
      <c r="O53">
        <v>0</v>
      </c>
      <c r="P53">
        <v>0</v>
      </c>
      <c r="Q53">
        <v>0</v>
      </c>
      <c r="R53">
        <v>0</v>
      </c>
      <c r="S53">
        <v>0</v>
      </c>
      <c r="T53">
        <v>0</v>
      </c>
    </row>
    <row r="54" spans="2:20">
      <c r="B54" t="s">
        <v>651</v>
      </c>
      <c r="C54">
        <v>0</v>
      </c>
      <c r="D54">
        <v>0</v>
      </c>
      <c r="E54">
        <v>0</v>
      </c>
      <c r="F54">
        <v>0</v>
      </c>
      <c r="G54">
        <v>0</v>
      </c>
      <c r="H54">
        <v>0</v>
      </c>
      <c r="I54">
        <v>0</v>
      </c>
      <c r="J54">
        <v>0</v>
      </c>
      <c r="K54">
        <v>0</v>
      </c>
      <c r="L54">
        <v>0</v>
      </c>
      <c r="M54">
        <v>0</v>
      </c>
      <c r="N54">
        <v>0</v>
      </c>
      <c r="O54">
        <v>0</v>
      </c>
      <c r="P54">
        <v>0</v>
      </c>
      <c r="Q54">
        <v>0</v>
      </c>
      <c r="R54">
        <v>0</v>
      </c>
      <c r="S54">
        <v>0</v>
      </c>
      <c r="T54">
        <v>0</v>
      </c>
    </row>
    <row r="55" spans="2:20">
      <c r="B55" t="s">
        <v>652</v>
      </c>
      <c r="C55">
        <v>0</v>
      </c>
      <c r="D55">
        <v>0</v>
      </c>
      <c r="E55">
        <v>0</v>
      </c>
      <c r="F55">
        <v>0</v>
      </c>
      <c r="G55">
        <v>0</v>
      </c>
      <c r="H55">
        <v>0</v>
      </c>
      <c r="I55">
        <v>0</v>
      </c>
      <c r="J55">
        <v>0</v>
      </c>
      <c r="K55">
        <v>0</v>
      </c>
      <c r="L55">
        <v>0</v>
      </c>
      <c r="M55">
        <v>0</v>
      </c>
      <c r="N55">
        <v>0</v>
      </c>
      <c r="O55">
        <v>0</v>
      </c>
      <c r="P55">
        <v>0</v>
      </c>
      <c r="Q55">
        <v>0</v>
      </c>
      <c r="R55">
        <v>0</v>
      </c>
      <c r="S55">
        <v>0</v>
      </c>
      <c r="T55">
        <v>0</v>
      </c>
    </row>
    <row r="56" spans="2:20">
      <c r="B56" t="s">
        <v>653</v>
      </c>
      <c r="C56">
        <v>0</v>
      </c>
      <c r="D56">
        <v>0</v>
      </c>
      <c r="E56">
        <v>0</v>
      </c>
      <c r="F56">
        <v>0</v>
      </c>
      <c r="G56">
        <v>0</v>
      </c>
      <c r="H56">
        <v>0</v>
      </c>
      <c r="I56">
        <v>0</v>
      </c>
      <c r="J56">
        <v>0</v>
      </c>
      <c r="K56">
        <v>0</v>
      </c>
      <c r="L56">
        <v>0</v>
      </c>
      <c r="M56">
        <v>0</v>
      </c>
      <c r="N56">
        <v>0</v>
      </c>
      <c r="O56">
        <v>0</v>
      </c>
      <c r="P56">
        <v>0</v>
      </c>
      <c r="Q56">
        <v>0</v>
      </c>
      <c r="R56">
        <v>0</v>
      </c>
      <c r="S56">
        <v>0</v>
      </c>
      <c r="T56">
        <v>0</v>
      </c>
    </row>
    <row r="57" spans="2:20">
      <c r="B57" t="s">
        <v>455</v>
      </c>
      <c r="C57">
        <v>0</v>
      </c>
      <c r="D57">
        <v>0</v>
      </c>
      <c r="E57">
        <v>0</v>
      </c>
      <c r="F57">
        <v>0</v>
      </c>
      <c r="G57">
        <v>0</v>
      </c>
      <c r="H57">
        <v>0</v>
      </c>
      <c r="I57">
        <v>0</v>
      </c>
      <c r="J57">
        <v>0</v>
      </c>
      <c r="K57">
        <v>0</v>
      </c>
      <c r="L57">
        <v>0</v>
      </c>
      <c r="M57">
        <v>0</v>
      </c>
      <c r="N57">
        <v>0</v>
      </c>
      <c r="O57">
        <v>0</v>
      </c>
      <c r="P57">
        <v>0</v>
      </c>
      <c r="Q57">
        <v>0</v>
      </c>
      <c r="R57">
        <v>0</v>
      </c>
      <c r="S57">
        <v>0</v>
      </c>
      <c r="T57">
        <v>0</v>
      </c>
    </row>
    <row r="58" spans="2:20">
      <c r="B58" t="s">
        <v>654</v>
      </c>
      <c r="C58">
        <v>0</v>
      </c>
      <c r="D58">
        <v>0</v>
      </c>
      <c r="E58">
        <v>0</v>
      </c>
      <c r="F58">
        <v>0</v>
      </c>
      <c r="G58">
        <v>0</v>
      </c>
      <c r="H58">
        <v>0</v>
      </c>
      <c r="I58">
        <v>0</v>
      </c>
      <c r="J58">
        <v>0</v>
      </c>
      <c r="K58">
        <v>0</v>
      </c>
      <c r="L58">
        <v>0</v>
      </c>
      <c r="M58">
        <v>0</v>
      </c>
      <c r="N58">
        <v>0</v>
      </c>
      <c r="O58">
        <v>0</v>
      </c>
      <c r="P58">
        <v>0</v>
      </c>
      <c r="Q58">
        <v>0</v>
      </c>
      <c r="R58">
        <v>0</v>
      </c>
      <c r="S58">
        <v>0</v>
      </c>
      <c r="T58">
        <v>0</v>
      </c>
    </row>
    <row r="59" spans="2:20">
      <c r="B59" t="s">
        <v>655</v>
      </c>
      <c r="C59">
        <v>0</v>
      </c>
      <c r="D59">
        <v>0</v>
      </c>
      <c r="E59">
        <v>0</v>
      </c>
      <c r="F59">
        <v>0</v>
      </c>
      <c r="G59">
        <v>0</v>
      </c>
      <c r="H59">
        <v>0</v>
      </c>
      <c r="I59">
        <v>0</v>
      </c>
      <c r="J59">
        <v>0</v>
      </c>
      <c r="K59">
        <v>0</v>
      </c>
      <c r="L59">
        <v>0</v>
      </c>
      <c r="M59">
        <v>0</v>
      </c>
      <c r="N59">
        <v>0</v>
      </c>
      <c r="O59">
        <v>0</v>
      </c>
      <c r="P59">
        <v>0</v>
      </c>
      <c r="Q59">
        <v>0</v>
      </c>
      <c r="R59">
        <v>0</v>
      </c>
      <c r="S59">
        <v>0</v>
      </c>
      <c r="T59">
        <v>0</v>
      </c>
    </row>
    <row r="60" spans="2:20">
      <c r="B60" t="s">
        <v>656</v>
      </c>
      <c r="C60">
        <v>0</v>
      </c>
      <c r="D60">
        <v>0</v>
      </c>
      <c r="E60">
        <v>0</v>
      </c>
      <c r="F60">
        <v>0</v>
      </c>
      <c r="G60">
        <v>0</v>
      </c>
      <c r="H60">
        <v>0</v>
      </c>
      <c r="I60">
        <v>0</v>
      </c>
      <c r="J60">
        <v>0</v>
      </c>
      <c r="K60">
        <v>0</v>
      </c>
      <c r="L60">
        <v>0</v>
      </c>
      <c r="M60">
        <v>0</v>
      </c>
      <c r="N60">
        <v>0</v>
      </c>
      <c r="O60">
        <v>0</v>
      </c>
      <c r="P60">
        <v>0</v>
      </c>
      <c r="Q60">
        <v>0</v>
      </c>
      <c r="R60">
        <v>0</v>
      </c>
      <c r="S60">
        <v>0</v>
      </c>
      <c r="T60">
        <v>0</v>
      </c>
    </row>
    <row r="61" spans="2:20">
      <c r="B61" t="s">
        <v>657</v>
      </c>
      <c r="C61">
        <v>0</v>
      </c>
      <c r="D61">
        <v>0</v>
      </c>
      <c r="E61">
        <v>0</v>
      </c>
      <c r="F61">
        <v>0</v>
      </c>
      <c r="G61">
        <v>0</v>
      </c>
      <c r="H61">
        <v>0</v>
      </c>
      <c r="I61">
        <v>0</v>
      </c>
      <c r="J61">
        <v>0</v>
      </c>
      <c r="K61">
        <v>0</v>
      </c>
      <c r="L61">
        <v>0</v>
      </c>
      <c r="M61">
        <v>0</v>
      </c>
      <c r="N61">
        <v>0</v>
      </c>
      <c r="O61">
        <v>0</v>
      </c>
      <c r="P61">
        <v>0</v>
      </c>
      <c r="Q61">
        <v>0</v>
      </c>
      <c r="R61">
        <v>0</v>
      </c>
      <c r="S61">
        <v>0</v>
      </c>
      <c r="T61">
        <v>0</v>
      </c>
    </row>
    <row r="62" spans="2:20">
      <c r="B62" t="s">
        <v>651</v>
      </c>
      <c r="C62">
        <v>0</v>
      </c>
      <c r="D62">
        <v>0</v>
      </c>
      <c r="E62" s="35">
        <v>0</v>
      </c>
      <c r="F62">
        <v>0</v>
      </c>
      <c r="G62">
        <v>0</v>
      </c>
      <c r="H62">
        <v>0</v>
      </c>
      <c r="I62" s="73">
        <v>0</v>
      </c>
      <c r="J62">
        <v>0</v>
      </c>
      <c r="K62">
        <v>0</v>
      </c>
      <c r="L62">
        <v>0</v>
      </c>
      <c r="M62">
        <v>0</v>
      </c>
      <c r="N62">
        <v>0</v>
      </c>
      <c r="O62">
        <v>0</v>
      </c>
      <c r="P62">
        <v>0</v>
      </c>
      <c r="Q62">
        <v>0</v>
      </c>
      <c r="R62">
        <v>0</v>
      </c>
      <c r="S62">
        <v>0</v>
      </c>
      <c r="T62">
        <v>0</v>
      </c>
    </row>
    <row r="63" spans="2:20">
      <c r="B63" t="s">
        <v>658</v>
      </c>
      <c r="C63">
        <v>0</v>
      </c>
      <c r="D63">
        <v>0</v>
      </c>
      <c r="E63">
        <v>0</v>
      </c>
      <c r="F63">
        <v>0</v>
      </c>
      <c r="G63">
        <v>0</v>
      </c>
      <c r="H63">
        <v>0</v>
      </c>
      <c r="I63">
        <v>0</v>
      </c>
      <c r="J63">
        <v>0</v>
      </c>
      <c r="K63">
        <v>0</v>
      </c>
      <c r="L63">
        <v>0</v>
      </c>
      <c r="M63">
        <v>0</v>
      </c>
      <c r="N63">
        <v>0</v>
      </c>
      <c r="O63">
        <v>0</v>
      </c>
      <c r="P63">
        <v>0</v>
      </c>
      <c r="Q63">
        <v>0</v>
      </c>
      <c r="R63">
        <v>0</v>
      </c>
      <c r="S63">
        <v>0</v>
      </c>
      <c r="T63">
        <v>0</v>
      </c>
    </row>
    <row r="64" spans="2:20">
      <c r="B64" t="s">
        <v>659</v>
      </c>
      <c r="C64">
        <v>0</v>
      </c>
      <c r="D64">
        <v>0</v>
      </c>
      <c r="E64">
        <v>0</v>
      </c>
      <c r="F64">
        <v>0</v>
      </c>
      <c r="G64">
        <v>0</v>
      </c>
      <c r="H64">
        <v>26775</v>
      </c>
      <c r="I64">
        <v>1098566</v>
      </c>
      <c r="J64">
        <v>0</v>
      </c>
      <c r="K64">
        <v>0</v>
      </c>
      <c r="L64">
        <v>0</v>
      </c>
      <c r="M64">
        <v>0</v>
      </c>
      <c r="N64">
        <v>0</v>
      </c>
      <c r="O64">
        <v>0</v>
      </c>
      <c r="P64">
        <v>0</v>
      </c>
      <c r="Q64">
        <v>0</v>
      </c>
      <c r="R64">
        <v>0</v>
      </c>
      <c r="S64">
        <v>0</v>
      </c>
      <c r="T64">
        <v>0</v>
      </c>
    </row>
    <row r="65" spans="2:25">
      <c r="B65" t="s">
        <v>805</v>
      </c>
      <c r="C65">
        <v>0</v>
      </c>
      <c r="D65">
        <v>0</v>
      </c>
      <c r="E65">
        <v>0</v>
      </c>
      <c r="F65">
        <v>0</v>
      </c>
      <c r="G65">
        <v>0</v>
      </c>
      <c r="H65">
        <v>0</v>
      </c>
      <c r="I65">
        <v>0</v>
      </c>
      <c r="J65">
        <v>0</v>
      </c>
      <c r="K65">
        <v>0</v>
      </c>
      <c r="L65">
        <v>0</v>
      </c>
      <c r="M65">
        <v>0</v>
      </c>
      <c r="N65">
        <v>0</v>
      </c>
      <c r="O65">
        <v>0</v>
      </c>
      <c r="P65">
        <v>0</v>
      </c>
      <c r="Q65">
        <v>0</v>
      </c>
      <c r="R65">
        <v>0</v>
      </c>
      <c r="S65">
        <v>0</v>
      </c>
      <c r="T65">
        <v>0</v>
      </c>
    </row>
    <row r="66" spans="2:25">
      <c r="B66" t="s">
        <v>1167</v>
      </c>
      <c r="C66">
        <v>0</v>
      </c>
      <c r="D66">
        <v>0</v>
      </c>
      <c r="E66">
        <v>0</v>
      </c>
      <c r="F66">
        <v>0</v>
      </c>
      <c r="G66">
        <v>0</v>
      </c>
      <c r="H66">
        <v>0</v>
      </c>
      <c r="I66">
        <v>0</v>
      </c>
      <c r="J66">
        <v>0</v>
      </c>
      <c r="K66">
        <v>0</v>
      </c>
      <c r="L66">
        <v>0</v>
      </c>
      <c r="M66">
        <v>0</v>
      </c>
      <c r="N66">
        <v>0</v>
      </c>
      <c r="O66">
        <v>0</v>
      </c>
      <c r="P66">
        <v>0</v>
      </c>
      <c r="Q66">
        <v>0</v>
      </c>
      <c r="R66">
        <v>0</v>
      </c>
      <c r="S66">
        <v>0</v>
      </c>
      <c r="T66">
        <v>0</v>
      </c>
    </row>
    <row r="67" spans="2:25">
      <c r="B67" t="s">
        <v>456</v>
      </c>
      <c r="C67">
        <v>0</v>
      </c>
      <c r="D67">
        <v>0</v>
      </c>
      <c r="E67">
        <v>43721</v>
      </c>
      <c r="F67">
        <v>6056</v>
      </c>
      <c r="G67">
        <v>22402</v>
      </c>
      <c r="H67">
        <v>201032</v>
      </c>
      <c r="I67">
        <v>2222807</v>
      </c>
      <c r="J67">
        <v>3645</v>
      </c>
      <c r="K67">
        <v>0</v>
      </c>
      <c r="L67">
        <v>0</v>
      </c>
      <c r="M67">
        <v>0</v>
      </c>
      <c r="N67">
        <v>0</v>
      </c>
      <c r="O67">
        <v>-33</v>
      </c>
      <c r="P67">
        <v>0</v>
      </c>
      <c r="Q67">
        <v>0</v>
      </c>
      <c r="R67">
        <v>0</v>
      </c>
      <c r="S67">
        <v>0</v>
      </c>
      <c r="T67">
        <v>0</v>
      </c>
      <c r="Y67">
        <v>929936</v>
      </c>
    </row>
    <row r="68" spans="2:25">
      <c r="B68" t="s">
        <v>1167</v>
      </c>
      <c r="C68">
        <v>0</v>
      </c>
      <c r="D68">
        <v>0</v>
      </c>
      <c r="E68">
        <v>0</v>
      </c>
      <c r="F68">
        <v>0</v>
      </c>
      <c r="G68">
        <v>0</v>
      </c>
      <c r="H68">
        <v>0</v>
      </c>
      <c r="I68">
        <v>0</v>
      </c>
      <c r="J68">
        <v>0</v>
      </c>
      <c r="K68">
        <v>0</v>
      </c>
      <c r="L68">
        <v>0</v>
      </c>
      <c r="M68">
        <v>0</v>
      </c>
      <c r="N68">
        <v>0</v>
      </c>
      <c r="O68">
        <v>0</v>
      </c>
      <c r="P68">
        <v>0</v>
      </c>
      <c r="Q68">
        <v>0</v>
      </c>
      <c r="R68">
        <v>0</v>
      </c>
      <c r="S68">
        <v>0</v>
      </c>
      <c r="T68">
        <v>0</v>
      </c>
      <c r="Y68">
        <v>-1158275</v>
      </c>
    </row>
    <row r="69" spans="2:25">
      <c r="B69" t="s">
        <v>457</v>
      </c>
      <c r="C69">
        <v>0</v>
      </c>
      <c r="D69">
        <v>0</v>
      </c>
      <c r="E69">
        <v>0</v>
      </c>
      <c r="F69">
        <v>0</v>
      </c>
      <c r="G69">
        <v>0</v>
      </c>
      <c r="H69">
        <v>0</v>
      </c>
      <c r="I69">
        <v>0</v>
      </c>
      <c r="J69">
        <v>0</v>
      </c>
      <c r="K69">
        <v>0</v>
      </c>
      <c r="L69">
        <v>0</v>
      </c>
      <c r="M69">
        <v>0</v>
      </c>
      <c r="N69">
        <v>0</v>
      </c>
      <c r="O69">
        <v>0</v>
      </c>
      <c r="P69">
        <v>0</v>
      </c>
      <c r="Q69">
        <v>0</v>
      </c>
      <c r="R69">
        <v>0</v>
      </c>
      <c r="S69">
        <v>0</v>
      </c>
      <c r="T69">
        <v>0</v>
      </c>
      <c r="Y69">
        <v>1025279</v>
      </c>
    </row>
    <row r="70" spans="2:25">
      <c r="B70" t="s">
        <v>458</v>
      </c>
      <c r="C70">
        <v>0</v>
      </c>
      <c r="D70">
        <v>0</v>
      </c>
      <c r="E70" s="73">
        <v>8164448</v>
      </c>
      <c r="F70" s="146">
        <v>46750</v>
      </c>
      <c r="G70" s="146">
        <v>98038</v>
      </c>
      <c r="H70">
        <v>1195765</v>
      </c>
      <c r="I70" s="73">
        <v>7487641</v>
      </c>
      <c r="J70">
        <v>118600</v>
      </c>
      <c r="K70">
        <v>0</v>
      </c>
      <c r="L70">
        <v>0</v>
      </c>
      <c r="M70">
        <f>2360894</f>
        <v>2360894</v>
      </c>
      <c r="N70">
        <v>1012671</v>
      </c>
      <c r="O70" s="211">
        <f>369339-33</f>
        <v>369306</v>
      </c>
      <c r="P70">
        <v>94233</v>
      </c>
      <c r="Q70" s="35">
        <v>1412414</v>
      </c>
      <c r="R70" s="211">
        <f>796941+4673</f>
        <v>801614</v>
      </c>
      <c r="S70">
        <v>97424</v>
      </c>
      <c r="T70">
        <v>0</v>
      </c>
    </row>
    <row r="71" spans="2:25">
      <c r="B71" t="s">
        <v>1167</v>
      </c>
      <c r="C71">
        <v>0</v>
      </c>
      <c r="D71">
        <v>0</v>
      </c>
      <c r="E71">
        <v>0</v>
      </c>
      <c r="F71">
        <v>0</v>
      </c>
      <c r="G71">
        <v>0</v>
      </c>
      <c r="H71">
        <v>0</v>
      </c>
      <c r="I71">
        <v>0</v>
      </c>
      <c r="J71">
        <v>0</v>
      </c>
      <c r="K71">
        <v>0</v>
      </c>
      <c r="L71">
        <v>0</v>
      </c>
      <c r="M71">
        <v>0</v>
      </c>
      <c r="N71">
        <v>0</v>
      </c>
      <c r="O71">
        <v>0</v>
      </c>
      <c r="P71">
        <v>0</v>
      </c>
      <c r="Q71">
        <v>0</v>
      </c>
      <c r="R71">
        <v>0</v>
      </c>
      <c r="S71">
        <v>0</v>
      </c>
      <c r="T71">
        <v>0</v>
      </c>
    </row>
    <row r="72" spans="2:25">
      <c r="B72" t="s">
        <v>459</v>
      </c>
      <c r="C72">
        <v>0</v>
      </c>
      <c r="D72">
        <v>0</v>
      </c>
      <c r="E72">
        <v>8164448</v>
      </c>
      <c r="F72">
        <v>46750</v>
      </c>
      <c r="G72">
        <v>98038</v>
      </c>
      <c r="H72">
        <v>1195765</v>
      </c>
      <c r="I72">
        <v>7487641</v>
      </c>
      <c r="J72">
        <v>118600</v>
      </c>
      <c r="K72">
        <v>0</v>
      </c>
      <c r="L72">
        <v>0</v>
      </c>
      <c r="M72">
        <v>2360894</v>
      </c>
      <c r="N72">
        <v>1012671</v>
      </c>
      <c r="O72">
        <v>369339</v>
      </c>
      <c r="P72">
        <v>94233</v>
      </c>
      <c r="Q72">
        <v>1412414</v>
      </c>
      <c r="R72">
        <v>796941</v>
      </c>
      <c r="S72">
        <v>97424</v>
      </c>
      <c r="T72">
        <v>0</v>
      </c>
    </row>
    <row r="73" spans="2:25">
      <c r="B73" t="s">
        <v>1167</v>
      </c>
      <c r="C73">
        <v>0</v>
      </c>
      <c r="D73">
        <v>0</v>
      </c>
      <c r="E73">
        <v>0</v>
      </c>
      <c r="F73">
        <v>0</v>
      </c>
      <c r="G73">
        <v>0</v>
      </c>
      <c r="H73">
        <v>0</v>
      </c>
      <c r="I73">
        <v>0</v>
      </c>
      <c r="J73">
        <v>0</v>
      </c>
      <c r="K73">
        <v>0</v>
      </c>
      <c r="L73">
        <v>0</v>
      </c>
      <c r="M73">
        <v>0</v>
      </c>
      <c r="N73">
        <v>0</v>
      </c>
      <c r="O73">
        <v>0</v>
      </c>
      <c r="P73">
        <v>0</v>
      </c>
      <c r="Q73">
        <v>0</v>
      </c>
      <c r="R73">
        <v>0</v>
      </c>
      <c r="S73">
        <v>0</v>
      </c>
      <c r="T73">
        <v>0</v>
      </c>
    </row>
    <row r="74" spans="2:25">
      <c r="B74" t="s">
        <v>460</v>
      </c>
      <c r="C74">
        <v>0</v>
      </c>
      <c r="D74">
        <v>0</v>
      </c>
      <c r="E74">
        <v>8208169</v>
      </c>
      <c r="F74">
        <v>52806</v>
      </c>
      <c r="G74">
        <v>120440</v>
      </c>
      <c r="H74">
        <v>1396797</v>
      </c>
      <c r="I74">
        <v>9710448</v>
      </c>
      <c r="J74">
        <v>122245</v>
      </c>
      <c r="K74">
        <v>0</v>
      </c>
      <c r="L74">
        <v>0</v>
      </c>
      <c r="M74">
        <v>2360894</v>
      </c>
      <c r="N74">
        <v>1012671</v>
      </c>
      <c r="O74">
        <v>369306</v>
      </c>
      <c r="P74">
        <v>94233</v>
      </c>
      <c r="Q74">
        <v>1412414</v>
      </c>
      <c r="R74">
        <v>796941</v>
      </c>
      <c r="S74">
        <v>97424</v>
      </c>
      <c r="T74">
        <v>0</v>
      </c>
    </row>
    <row r="76" spans="2:25">
      <c r="M76">
        <v>1</v>
      </c>
      <c r="N76">
        <v>1</v>
      </c>
      <c r="O76">
        <v>1</v>
      </c>
      <c r="Q76">
        <v>-1</v>
      </c>
    </row>
    <row r="77" spans="2:25">
      <c r="R77" s="211" t="s">
        <v>3316</v>
      </c>
    </row>
    <row r="79" spans="2:25">
      <c r="I79">
        <v>-62000</v>
      </c>
    </row>
    <row r="80" spans="2:25">
      <c r="I80">
        <v>62000</v>
      </c>
    </row>
  </sheetData>
  <phoneticPr fontId="0" type="noConversion"/>
  <pageMargins left="0.75" right="0.75" top="1" bottom="1" header="0.5" footer="0.5"/>
  <pageSetup orientation="portrait" r:id="rId1"/>
  <headerFooter alignWithMargins="0"/>
  <tableParts count="1">
    <tablePart r:id="rId2"/>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ransitionEvaluation="1" codeName="Sheet8">
    <pageSetUpPr fitToPage="1"/>
  </sheetPr>
  <dimension ref="B4:AC83"/>
  <sheetViews>
    <sheetView topLeftCell="A4" zoomScale="75" zoomScaleNormal="75" workbookViewId="0">
      <pane xSplit="2" ySplit="8" topLeftCell="C36" activePane="bottomRight" state="frozen"/>
      <selection activeCell="E71" sqref="E71"/>
      <selection pane="topRight" activeCell="E71" sqref="E71"/>
      <selection pane="bottomLeft" activeCell="E71" sqref="E71"/>
      <selection pane="bottomRight" activeCell="O83" sqref="O83"/>
    </sheetView>
  </sheetViews>
  <sheetFormatPr defaultColWidth="9.7109375" defaultRowHeight="12.75"/>
  <cols>
    <col min="1" max="1" width="2.7109375" customWidth="1"/>
    <col min="2" max="2" width="21.140625" bestFit="1" customWidth="1"/>
    <col min="3" max="10" width="13.140625" bestFit="1" customWidth="1"/>
    <col min="11" max="11" width="12.7109375" bestFit="1" customWidth="1"/>
    <col min="12" max="12" width="12.28515625" bestFit="1" customWidth="1"/>
    <col min="13" max="20" width="12.7109375" bestFit="1" customWidth="1"/>
    <col min="21" max="36" width="10.42578125" customWidth="1"/>
  </cols>
  <sheetData>
    <row r="4" spans="2:29">
      <c r="N4" s="20"/>
      <c r="O4" s="20"/>
      <c r="P4" s="20"/>
      <c r="Q4" s="20"/>
      <c r="R4" s="20"/>
      <c r="S4" s="20"/>
      <c r="V4" s="20"/>
      <c r="W4" s="20"/>
      <c r="X4" s="20"/>
      <c r="Y4" s="20"/>
      <c r="Z4" s="20"/>
      <c r="AA4" s="20"/>
      <c r="AB4" s="20"/>
      <c r="AC4" s="20"/>
    </row>
    <row r="5" spans="2:29">
      <c r="D5" s="28"/>
      <c r="E5" s="28"/>
      <c r="F5" s="28"/>
      <c r="G5" s="28"/>
      <c r="H5" s="28" t="s">
        <v>308</v>
      </c>
      <c r="I5" s="28"/>
      <c r="J5" s="28"/>
      <c r="M5" s="28" t="s">
        <v>310</v>
      </c>
      <c r="N5" s="28" t="s">
        <v>1298</v>
      </c>
      <c r="O5" s="28"/>
      <c r="P5" s="28"/>
      <c r="Q5" s="28"/>
      <c r="R5" s="28"/>
      <c r="S5" s="28"/>
      <c r="T5" s="28" t="s">
        <v>1355</v>
      </c>
    </row>
    <row r="6" spans="2:29">
      <c r="C6" s="28" t="s">
        <v>1004</v>
      </c>
      <c r="D6" s="28" t="s">
        <v>1356</v>
      </c>
      <c r="E6" s="28" t="s">
        <v>1004</v>
      </c>
      <c r="F6" s="28" t="s">
        <v>193</v>
      </c>
      <c r="G6" s="28" t="s">
        <v>900</v>
      </c>
      <c r="H6" s="28" t="s">
        <v>68</v>
      </c>
      <c r="I6" s="28" t="s">
        <v>517</v>
      </c>
      <c r="J6" s="28" t="s">
        <v>69</v>
      </c>
      <c r="M6" s="28" t="s">
        <v>72</v>
      </c>
      <c r="N6" s="28" t="s">
        <v>73</v>
      </c>
      <c r="O6" s="28" t="s">
        <v>517</v>
      </c>
      <c r="P6" s="28" t="s">
        <v>74</v>
      </c>
      <c r="Q6" s="28" t="s">
        <v>531</v>
      </c>
      <c r="R6" s="28" t="s">
        <v>532</v>
      </c>
      <c r="S6" s="28" t="s">
        <v>1298</v>
      </c>
      <c r="T6" s="28" t="s">
        <v>533</v>
      </c>
    </row>
    <row r="7" spans="2:29">
      <c r="C7" s="28" t="s">
        <v>624</v>
      </c>
      <c r="D7" s="28" t="s">
        <v>225</v>
      </c>
      <c r="E7" s="28" t="s">
        <v>625</v>
      </c>
      <c r="F7" s="28" t="s">
        <v>194</v>
      </c>
      <c r="G7" s="28" t="s">
        <v>194</v>
      </c>
      <c r="H7" s="28" t="s">
        <v>194</v>
      </c>
      <c r="I7" s="28" t="s">
        <v>194</v>
      </c>
      <c r="J7" s="28" t="s">
        <v>194</v>
      </c>
      <c r="M7" s="28" t="s">
        <v>1267</v>
      </c>
      <c r="N7" s="28" t="s">
        <v>539</v>
      </c>
      <c r="O7" s="28" t="s">
        <v>1268</v>
      </c>
      <c r="P7" s="28" t="s">
        <v>222</v>
      </c>
      <c r="Q7" s="28" t="s">
        <v>1269</v>
      </c>
      <c r="R7" s="28" t="s">
        <v>1270</v>
      </c>
      <c r="S7" s="28" t="s">
        <v>1270</v>
      </c>
      <c r="T7" s="28" t="s">
        <v>1039</v>
      </c>
    </row>
    <row r="8" spans="2:29">
      <c r="C8" s="64">
        <v>599</v>
      </c>
      <c r="D8" s="64">
        <v>601</v>
      </c>
      <c r="E8" s="64">
        <v>602</v>
      </c>
      <c r="F8" s="64">
        <v>610</v>
      </c>
      <c r="G8" s="64">
        <v>611</v>
      </c>
      <c r="H8" s="64">
        <v>612</v>
      </c>
      <c r="I8" s="64">
        <v>613</v>
      </c>
      <c r="J8" s="64">
        <v>614</v>
      </c>
      <c r="M8" s="64">
        <v>650</v>
      </c>
      <c r="N8" s="64">
        <v>651</v>
      </c>
      <c r="O8" s="64">
        <v>652</v>
      </c>
      <c r="P8" s="64">
        <v>653</v>
      </c>
      <c r="Q8" s="64">
        <v>655</v>
      </c>
      <c r="R8" s="64">
        <v>656</v>
      </c>
      <c r="S8" s="64">
        <v>657</v>
      </c>
      <c r="T8" s="64">
        <v>658</v>
      </c>
    </row>
    <row r="9" spans="2:29" ht="15.75">
      <c r="C9" s="3"/>
      <c r="D9" s="3"/>
      <c r="E9" s="3"/>
      <c r="F9" s="3"/>
      <c r="G9" s="3"/>
      <c r="H9" s="3"/>
      <c r="I9" s="3"/>
      <c r="M9" s="3"/>
      <c r="N9" s="3"/>
      <c r="O9" s="3"/>
      <c r="P9" s="3"/>
      <c r="Q9" s="3"/>
      <c r="R9" s="3"/>
      <c r="S9" s="3"/>
      <c r="T9" s="3"/>
    </row>
    <row r="10" spans="2:29" ht="15.75">
      <c r="C10" s="3" t="s">
        <v>858</v>
      </c>
      <c r="D10" s="3" t="s">
        <v>858</v>
      </c>
      <c r="E10" s="3" t="s">
        <v>858</v>
      </c>
      <c r="F10" s="3" t="s">
        <v>858</v>
      </c>
      <c r="G10" s="3" t="s">
        <v>858</v>
      </c>
      <c r="H10" s="3" t="s">
        <v>858</v>
      </c>
      <c r="I10" s="3" t="s">
        <v>858</v>
      </c>
      <c r="J10" s="3" t="s">
        <v>858</v>
      </c>
      <c r="M10" s="3" t="s">
        <v>858</v>
      </c>
      <c r="N10" s="3" t="s">
        <v>858</v>
      </c>
      <c r="O10" s="3" t="s">
        <v>858</v>
      </c>
      <c r="P10" s="3" t="s">
        <v>858</v>
      </c>
      <c r="Q10" s="3" t="s">
        <v>858</v>
      </c>
      <c r="R10" s="3" t="s">
        <v>858</v>
      </c>
      <c r="S10" s="3" t="s">
        <v>858</v>
      </c>
      <c r="T10" s="3" t="s">
        <v>858</v>
      </c>
    </row>
    <row r="11" spans="2:29" ht="15.75">
      <c r="C11" s="16" t="s">
        <v>376</v>
      </c>
      <c r="D11" s="16" t="s">
        <v>376</v>
      </c>
      <c r="E11" s="16" t="s">
        <v>376</v>
      </c>
      <c r="F11" s="16" t="s">
        <v>376</v>
      </c>
      <c r="G11" s="16" t="s">
        <v>376</v>
      </c>
      <c r="H11" s="16" t="s">
        <v>376</v>
      </c>
      <c r="I11" s="16" t="s">
        <v>376</v>
      </c>
      <c r="J11" s="16" t="s">
        <v>376</v>
      </c>
      <c r="M11" s="16" t="s">
        <v>376</v>
      </c>
      <c r="N11" s="16" t="s">
        <v>376</v>
      </c>
      <c r="O11" s="16" t="s">
        <v>376</v>
      </c>
      <c r="P11" s="16" t="s">
        <v>376</v>
      </c>
      <c r="Q11" s="16" t="s">
        <v>376</v>
      </c>
      <c r="R11" s="16" t="s">
        <v>376</v>
      </c>
      <c r="S11" s="16" t="s">
        <v>376</v>
      </c>
      <c r="T11" s="16" t="s">
        <v>376</v>
      </c>
    </row>
    <row r="13" spans="2:29">
      <c r="B13" s="22" t="s">
        <v>1165</v>
      </c>
      <c r="C13" s="22" t="s">
        <v>1166</v>
      </c>
      <c r="D13" s="22" t="s">
        <v>599</v>
      </c>
      <c r="E13" s="22" t="s">
        <v>600</v>
      </c>
      <c r="F13" s="22" t="s">
        <v>601</v>
      </c>
      <c r="G13" s="22" t="s">
        <v>602</v>
      </c>
      <c r="H13" s="22" t="s">
        <v>603</v>
      </c>
      <c r="I13" s="22" t="s">
        <v>172</v>
      </c>
      <c r="J13" s="22" t="s">
        <v>173</v>
      </c>
      <c r="K13" s="22" t="s">
        <v>174</v>
      </c>
      <c r="L13" s="22" t="s">
        <v>175</v>
      </c>
      <c r="M13" s="22" t="s">
        <v>176</v>
      </c>
      <c r="N13" s="22" t="s">
        <v>177</v>
      </c>
      <c r="O13" s="22" t="s">
        <v>944</v>
      </c>
      <c r="P13" s="22" t="s">
        <v>945</v>
      </c>
      <c r="Q13" s="22" t="s">
        <v>946</v>
      </c>
      <c r="R13" s="22" t="s">
        <v>1312</v>
      </c>
      <c r="S13" s="22" t="s">
        <v>1313</v>
      </c>
      <c r="T13" s="22" t="s">
        <v>1314</v>
      </c>
    </row>
    <row r="14" spans="2:29">
      <c r="B14" t="s">
        <v>784</v>
      </c>
      <c r="C14">
        <v>0</v>
      </c>
      <c r="D14">
        <v>0</v>
      </c>
      <c r="E14">
        <v>0</v>
      </c>
      <c r="F14">
        <v>0</v>
      </c>
      <c r="G14">
        <v>0</v>
      </c>
      <c r="H14">
        <v>0</v>
      </c>
      <c r="I14">
        <v>0</v>
      </c>
      <c r="J14">
        <v>0</v>
      </c>
      <c r="K14">
        <v>0</v>
      </c>
      <c r="L14" s="22">
        <v>0</v>
      </c>
      <c r="M14">
        <v>0</v>
      </c>
      <c r="N14">
        <v>0</v>
      </c>
      <c r="O14" s="22">
        <v>0</v>
      </c>
      <c r="P14" s="22">
        <v>0</v>
      </c>
      <c r="Q14" s="22">
        <v>0</v>
      </c>
      <c r="R14" s="22">
        <v>0</v>
      </c>
      <c r="S14">
        <v>0</v>
      </c>
      <c r="T14">
        <v>0</v>
      </c>
    </row>
    <row r="15" spans="2:29">
      <c r="B15" t="s">
        <v>810</v>
      </c>
      <c r="C15">
        <v>0</v>
      </c>
      <c r="D15">
        <v>0</v>
      </c>
      <c r="E15">
        <v>0</v>
      </c>
      <c r="F15">
        <v>0</v>
      </c>
      <c r="G15">
        <v>0</v>
      </c>
      <c r="H15">
        <v>0</v>
      </c>
      <c r="I15">
        <v>0</v>
      </c>
      <c r="J15">
        <v>0</v>
      </c>
      <c r="K15">
        <v>0</v>
      </c>
      <c r="L15">
        <v>0</v>
      </c>
      <c r="M15">
        <v>0</v>
      </c>
      <c r="N15">
        <v>0</v>
      </c>
      <c r="O15">
        <v>0</v>
      </c>
      <c r="P15">
        <v>0</v>
      </c>
      <c r="Q15">
        <v>0</v>
      </c>
      <c r="R15">
        <v>0</v>
      </c>
      <c r="S15">
        <v>0</v>
      </c>
      <c r="T15">
        <v>0</v>
      </c>
    </row>
    <row r="16" spans="2:29">
      <c r="B16" t="s">
        <v>596</v>
      </c>
      <c r="C16">
        <v>0</v>
      </c>
      <c r="D16">
        <v>0</v>
      </c>
      <c r="E16">
        <v>0</v>
      </c>
      <c r="F16">
        <v>0</v>
      </c>
      <c r="G16">
        <v>0</v>
      </c>
      <c r="H16">
        <v>0</v>
      </c>
      <c r="I16">
        <v>0</v>
      </c>
      <c r="J16">
        <v>0</v>
      </c>
      <c r="K16">
        <v>0</v>
      </c>
      <c r="L16">
        <v>0</v>
      </c>
      <c r="M16">
        <v>0</v>
      </c>
      <c r="N16">
        <v>0</v>
      </c>
      <c r="O16">
        <v>0</v>
      </c>
      <c r="P16">
        <v>0</v>
      </c>
      <c r="Q16">
        <v>0</v>
      </c>
      <c r="R16">
        <v>0</v>
      </c>
      <c r="S16">
        <v>0</v>
      </c>
      <c r="T16">
        <v>0</v>
      </c>
    </row>
    <row r="17" spans="2:20">
      <c r="B17" t="s">
        <v>1151</v>
      </c>
      <c r="C17">
        <v>0</v>
      </c>
      <c r="D17">
        <v>0</v>
      </c>
      <c r="E17">
        <v>0</v>
      </c>
      <c r="F17">
        <v>0</v>
      </c>
      <c r="G17">
        <v>0</v>
      </c>
      <c r="H17">
        <v>0</v>
      </c>
      <c r="I17">
        <v>0</v>
      </c>
      <c r="J17">
        <v>0</v>
      </c>
      <c r="K17">
        <v>0</v>
      </c>
      <c r="L17">
        <v>0</v>
      </c>
      <c r="M17">
        <v>0</v>
      </c>
      <c r="N17">
        <v>0</v>
      </c>
      <c r="O17">
        <v>0</v>
      </c>
      <c r="P17">
        <v>0</v>
      </c>
      <c r="Q17">
        <v>0</v>
      </c>
      <c r="R17">
        <v>0</v>
      </c>
      <c r="S17">
        <v>0</v>
      </c>
      <c r="T17">
        <v>0</v>
      </c>
    </row>
    <row r="18" spans="2:20">
      <c r="B18" t="s">
        <v>1152</v>
      </c>
      <c r="C18">
        <v>0</v>
      </c>
      <c r="D18">
        <v>0</v>
      </c>
      <c r="E18">
        <v>551891</v>
      </c>
      <c r="F18">
        <v>0</v>
      </c>
      <c r="G18">
        <v>0</v>
      </c>
      <c r="H18">
        <v>0</v>
      </c>
      <c r="I18">
        <v>0</v>
      </c>
      <c r="J18">
        <v>0</v>
      </c>
      <c r="K18">
        <v>0</v>
      </c>
      <c r="L18">
        <v>0</v>
      </c>
      <c r="M18">
        <v>0</v>
      </c>
      <c r="N18">
        <v>0</v>
      </c>
      <c r="O18" s="73">
        <v>0</v>
      </c>
      <c r="P18">
        <v>0</v>
      </c>
      <c r="Q18">
        <v>0</v>
      </c>
      <c r="R18">
        <v>0</v>
      </c>
      <c r="S18">
        <v>0</v>
      </c>
      <c r="T18">
        <v>0</v>
      </c>
    </row>
    <row r="19" spans="2:20">
      <c r="B19" t="s">
        <v>1153</v>
      </c>
      <c r="C19">
        <v>0</v>
      </c>
      <c r="D19">
        <v>0</v>
      </c>
      <c r="E19">
        <v>0</v>
      </c>
      <c r="F19">
        <v>0</v>
      </c>
      <c r="G19">
        <v>0</v>
      </c>
      <c r="H19">
        <v>0</v>
      </c>
      <c r="I19">
        <v>0</v>
      </c>
      <c r="J19">
        <v>0</v>
      </c>
      <c r="K19">
        <v>0</v>
      </c>
      <c r="L19">
        <v>0</v>
      </c>
      <c r="M19">
        <v>0</v>
      </c>
      <c r="N19">
        <v>0</v>
      </c>
      <c r="O19">
        <v>0</v>
      </c>
      <c r="P19">
        <v>0</v>
      </c>
      <c r="Q19">
        <v>0</v>
      </c>
      <c r="R19">
        <v>0</v>
      </c>
      <c r="S19">
        <v>0</v>
      </c>
      <c r="T19">
        <v>0</v>
      </c>
    </row>
    <row r="20" spans="2:20">
      <c r="B20" t="s">
        <v>1287</v>
      </c>
      <c r="C20">
        <v>0</v>
      </c>
      <c r="D20">
        <v>0</v>
      </c>
      <c r="E20">
        <v>0</v>
      </c>
      <c r="F20">
        <v>0</v>
      </c>
      <c r="G20">
        <v>0</v>
      </c>
      <c r="H20">
        <v>0</v>
      </c>
      <c r="I20">
        <v>0</v>
      </c>
      <c r="J20">
        <v>0</v>
      </c>
      <c r="K20">
        <v>0</v>
      </c>
      <c r="L20">
        <v>0</v>
      </c>
      <c r="M20">
        <v>0</v>
      </c>
      <c r="N20">
        <v>0</v>
      </c>
      <c r="O20">
        <v>0</v>
      </c>
      <c r="P20">
        <v>0</v>
      </c>
      <c r="Q20">
        <v>0</v>
      </c>
      <c r="R20">
        <v>0</v>
      </c>
      <c r="S20">
        <v>0</v>
      </c>
      <c r="T20">
        <v>0</v>
      </c>
    </row>
    <row r="21" spans="2:20">
      <c r="B21" t="s">
        <v>165</v>
      </c>
      <c r="C21">
        <v>0</v>
      </c>
      <c r="D21">
        <v>0</v>
      </c>
      <c r="E21">
        <v>0</v>
      </c>
      <c r="F21">
        <v>0</v>
      </c>
      <c r="G21">
        <v>0</v>
      </c>
      <c r="H21">
        <v>0</v>
      </c>
      <c r="I21">
        <v>0</v>
      </c>
      <c r="J21">
        <v>0</v>
      </c>
      <c r="K21">
        <v>0</v>
      </c>
      <c r="L21">
        <v>0</v>
      </c>
      <c r="M21">
        <v>0</v>
      </c>
      <c r="N21">
        <v>0</v>
      </c>
      <c r="O21">
        <v>0</v>
      </c>
      <c r="P21">
        <v>0</v>
      </c>
      <c r="Q21">
        <v>0</v>
      </c>
      <c r="R21">
        <v>0</v>
      </c>
      <c r="S21">
        <v>0</v>
      </c>
      <c r="T21">
        <v>0</v>
      </c>
    </row>
    <row r="22" spans="2:20">
      <c r="B22" t="s">
        <v>166</v>
      </c>
      <c r="C22">
        <v>0</v>
      </c>
      <c r="D22">
        <v>0</v>
      </c>
      <c r="E22">
        <v>0</v>
      </c>
      <c r="F22">
        <v>0</v>
      </c>
      <c r="G22">
        <v>0</v>
      </c>
      <c r="H22">
        <v>0</v>
      </c>
      <c r="I22">
        <v>0</v>
      </c>
      <c r="J22">
        <v>0</v>
      </c>
      <c r="K22">
        <v>0</v>
      </c>
      <c r="L22">
        <v>0</v>
      </c>
      <c r="M22">
        <v>0</v>
      </c>
      <c r="N22">
        <v>0</v>
      </c>
      <c r="O22">
        <v>0</v>
      </c>
      <c r="P22">
        <v>0</v>
      </c>
      <c r="Q22">
        <v>0</v>
      </c>
      <c r="R22">
        <v>0</v>
      </c>
      <c r="S22">
        <v>0</v>
      </c>
      <c r="T22">
        <v>0</v>
      </c>
    </row>
    <row r="23" spans="2:20">
      <c r="B23" t="s">
        <v>1023</v>
      </c>
      <c r="C23">
        <v>0</v>
      </c>
      <c r="D23">
        <v>0</v>
      </c>
      <c r="E23">
        <v>0</v>
      </c>
      <c r="F23">
        <v>0</v>
      </c>
      <c r="G23">
        <v>0</v>
      </c>
      <c r="H23">
        <v>0</v>
      </c>
      <c r="I23">
        <v>0</v>
      </c>
      <c r="J23">
        <v>0</v>
      </c>
      <c r="K23">
        <v>0</v>
      </c>
      <c r="L23">
        <v>0</v>
      </c>
      <c r="M23">
        <v>0</v>
      </c>
      <c r="N23">
        <v>0</v>
      </c>
      <c r="O23">
        <v>0</v>
      </c>
      <c r="P23">
        <v>0</v>
      </c>
      <c r="Q23">
        <v>0</v>
      </c>
      <c r="R23">
        <v>0</v>
      </c>
      <c r="S23">
        <v>0</v>
      </c>
      <c r="T23">
        <v>0</v>
      </c>
    </row>
    <row r="24" spans="2:20">
      <c r="B24" t="s">
        <v>1024</v>
      </c>
      <c r="C24">
        <v>0</v>
      </c>
      <c r="D24">
        <v>0</v>
      </c>
      <c r="E24">
        <v>0</v>
      </c>
      <c r="F24">
        <v>0</v>
      </c>
      <c r="G24">
        <v>0</v>
      </c>
      <c r="H24">
        <v>0</v>
      </c>
      <c r="I24">
        <v>0</v>
      </c>
      <c r="J24">
        <v>0</v>
      </c>
      <c r="K24">
        <v>0</v>
      </c>
      <c r="L24">
        <v>0</v>
      </c>
      <c r="M24">
        <v>0</v>
      </c>
      <c r="N24">
        <v>0</v>
      </c>
      <c r="O24">
        <v>0</v>
      </c>
      <c r="P24">
        <v>0</v>
      </c>
      <c r="Q24">
        <v>0</v>
      </c>
      <c r="R24">
        <v>0</v>
      </c>
      <c r="S24">
        <v>0</v>
      </c>
      <c r="T24">
        <v>0</v>
      </c>
    </row>
    <row r="25" spans="2:20">
      <c r="B25" t="s">
        <v>1208</v>
      </c>
      <c r="C25">
        <v>0</v>
      </c>
      <c r="D25">
        <v>0</v>
      </c>
      <c r="E25">
        <v>0</v>
      </c>
      <c r="F25">
        <v>0</v>
      </c>
      <c r="G25">
        <v>0</v>
      </c>
      <c r="H25">
        <v>0</v>
      </c>
      <c r="I25">
        <v>0</v>
      </c>
      <c r="J25">
        <v>0</v>
      </c>
      <c r="K25">
        <v>0</v>
      </c>
      <c r="L25">
        <v>0</v>
      </c>
      <c r="M25">
        <v>0</v>
      </c>
      <c r="N25">
        <v>0</v>
      </c>
      <c r="O25">
        <v>0</v>
      </c>
      <c r="P25">
        <v>0</v>
      </c>
      <c r="Q25">
        <v>0</v>
      </c>
      <c r="R25">
        <v>0</v>
      </c>
      <c r="S25">
        <v>0</v>
      </c>
      <c r="T25">
        <v>0</v>
      </c>
    </row>
    <row r="26" spans="2:20">
      <c r="B26" t="s">
        <v>573</v>
      </c>
      <c r="C26">
        <v>0</v>
      </c>
      <c r="D26">
        <v>0</v>
      </c>
      <c r="E26">
        <v>0</v>
      </c>
      <c r="F26">
        <v>0</v>
      </c>
      <c r="G26">
        <v>0</v>
      </c>
      <c r="H26">
        <v>0</v>
      </c>
      <c r="I26">
        <v>0</v>
      </c>
      <c r="J26">
        <v>0</v>
      </c>
      <c r="K26">
        <v>0</v>
      </c>
      <c r="L26">
        <v>0</v>
      </c>
      <c r="M26">
        <v>0</v>
      </c>
      <c r="N26">
        <v>0</v>
      </c>
      <c r="O26">
        <v>0</v>
      </c>
      <c r="P26">
        <v>0</v>
      </c>
      <c r="Q26">
        <v>0</v>
      </c>
      <c r="R26">
        <v>0</v>
      </c>
      <c r="S26">
        <v>0</v>
      </c>
      <c r="T26">
        <v>0</v>
      </c>
    </row>
    <row r="27" spans="2:20">
      <c r="B27" t="s">
        <v>574</v>
      </c>
      <c r="C27">
        <v>0</v>
      </c>
      <c r="D27">
        <v>0</v>
      </c>
      <c r="E27">
        <v>0</v>
      </c>
      <c r="F27">
        <v>0</v>
      </c>
      <c r="G27">
        <v>0</v>
      </c>
      <c r="H27">
        <v>0</v>
      </c>
      <c r="I27">
        <v>0</v>
      </c>
      <c r="J27">
        <v>0</v>
      </c>
      <c r="K27">
        <v>0</v>
      </c>
      <c r="L27">
        <v>0</v>
      </c>
      <c r="M27">
        <v>0</v>
      </c>
      <c r="N27">
        <v>0</v>
      </c>
      <c r="O27">
        <v>0</v>
      </c>
      <c r="P27">
        <v>0</v>
      </c>
      <c r="Q27">
        <v>0</v>
      </c>
      <c r="R27">
        <v>0</v>
      </c>
      <c r="S27">
        <v>0</v>
      </c>
      <c r="T27">
        <v>0</v>
      </c>
    </row>
    <row r="28" spans="2:20">
      <c r="B28" t="s">
        <v>575</v>
      </c>
      <c r="C28">
        <v>0</v>
      </c>
      <c r="D28">
        <v>0</v>
      </c>
      <c r="E28">
        <v>0</v>
      </c>
      <c r="F28">
        <v>0</v>
      </c>
      <c r="G28">
        <v>0</v>
      </c>
      <c r="H28">
        <v>0</v>
      </c>
      <c r="I28">
        <v>0</v>
      </c>
      <c r="J28">
        <v>0</v>
      </c>
      <c r="K28">
        <v>0</v>
      </c>
      <c r="L28">
        <v>0</v>
      </c>
      <c r="M28">
        <v>0</v>
      </c>
      <c r="N28">
        <v>0</v>
      </c>
      <c r="O28">
        <v>0</v>
      </c>
      <c r="P28">
        <v>0</v>
      </c>
      <c r="Q28">
        <v>0</v>
      </c>
      <c r="R28">
        <v>0</v>
      </c>
      <c r="S28">
        <v>0</v>
      </c>
      <c r="T28">
        <v>0</v>
      </c>
    </row>
    <row r="29" spans="2:20">
      <c r="B29" t="s">
        <v>1113</v>
      </c>
      <c r="C29">
        <v>0</v>
      </c>
      <c r="D29">
        <v>0</v>
      </c>
      <c r="E29">
        <v>0</v>
      </c>
      <c r="F29">
        <v>0</v>
      </c>
      <c r="G29">
        <v>0</v>
      </c>
      <c r="H29">
        <v>0</v>
      </c>
      <c r="I29">
        <v>0</v>
      </c>
      <c r="J29">
        <v>0</v>
      </c>
      <c r="K29">
        <v>0</v>
      </c>
      <c r="L29">
        <v>0</v>
      </c>
      <c r="M29">
        <v>0</v>
      </c>
      <c r="N29">
        <v>0</v>
      </c>
      <c r="O29">
        <v>0</v>
      </c>
      <c r="P29">
        <v>0</v>
      </c>
      <c r="Q29">
        <v>0</v>
      </c>
      <c r="R29">
        <v>0</v>
      </c>
      <c r="S29">
        <v>0</v>
      </c>
      <c r="T29">
        <v>0</v>
      </c>
    </row>
    <row r="30" spans="2:20">
      <c r="B30" t="s">
        <v>1114</v>
      </c>
      <c r="C30">
        <v>0</v>
      </c>
      <c r="D30">
        <v>0</v>
      </c>
      <c r="E30">
        <v>0</v>
      </c>
      <c r="F30">
        <v>0</v>
      </c>
      <c r="G30">
        <v>0</v>
      </c>
      <c r="H30">
        <v>0</v>
      </c>
      <c r="I30">
        <v>0</v>
      </c>
      <c r="J30">
        <v>0</v>
      </c>
      <c r="K30">
        <v>0</v>
      </c>
      <c r="L30">
        <v>0</v>
      </c>
      <c r="M30">
        <v>0</v>
      </c>
      <c r="N30">
        <v>0</v>
      </c>
      <c r="O30">
        <v>0</v>
      </c>
      <c r="P30">
        <v>0</v>
      </c>
      <c r="Q30">
        <v>0</v>
      </c>
      <c r="R30">
        <v>0</v>
      </c>
      <c r="S30">
        <v>0</v>
      </c>
      <c r="T30">
        <v>0</v>
      </c>
    </row>
    <row r="31" spans="2:20">
      <c r="B31" t="s">
        <v>1115</v>
      </c>
      <c r="C31">
        <v>0</v>
      </c>
      <c r="D31">
        <v>0</v>
      </c>
      <c r="E31">
        <v>0</v>
      </c>
      <c r="F31">
        <v>0</v>
      </c>
      <c r="G31">
        <v>0</v>
      </c>
      <c r="H31">
        <v>0</v>
      </c>
      <c r="I31">
        <v>0</v>
      </c>
      <c r="J31">
        <v>0</v>
      </c>
      <c r="K31">
        <v>0</v>
      </c>
      <c r="L31">
        <v>0</v>
      </c>
      <c r="M31">
        <v>0</v>
      </c>
      <c r="N31">
        <v>0</v>
      </c>
      <c r="O31">
        <v>0</v>
      </c>
      <c r="P31">
        <v>0</v>
      </c>
      <c r="Q31">
        <v>0</v>
      </c>
      <c r="R31">
        <v>0</v>
      </c>
      <c r="S31">
        <v>0</v>
      </c>
      <c r="T31">
        <v>0</v>
      </c>
    </row>
    <row r="32" spans="2:20">
      <c r="B32" t="s">
        <v>1116</v>
      </c>
      <c r="C32">
        <v>0</v>
      </c>
      <c r="D32">
        <v>0</v>
      </c>
      <c r="E32">
        <v>0</v>
      </c>
      <c r="F32">
        <v>0</v>
      </c>
      <c r="G32">
        <v>0</v>
      </c>
      <c r="H32">
        <v>0</v>
      </c>
      <c r="I32">
        <v>0</v>
      </c>
      <c r="J32">
        <v>0</v>
      </c>
      <c r="K32">
        <v>0</v>
      </c>
      <c r="L32">
        <v>0</v>
      </c>
      <c r="M32">
        <v>0</v>
      </c>
      <c r="N32">
        <v>0</v>
      </c>
      <c r="O32">
        <v>0</v>
      </c>
      <c r="P32">
        <v>0</v>
      </c>
      <c r="Q32">
        <v>0</v>
      </c>
      <c r="R32">
        <v>0</v>
      </c>
      <c r="S32">
        <v>0</v>
      </c>
      <c r="T32">
        <v>0</v>
      </c>
    </row>
    <row r="33" spans="2:20">
      <c r="B33" t="s">
        <v>1117</v>
      </c>
      <c r="C33">
        <v>0</v>
      </c>
      <c r="D33">
        <v>0</v>
      </c>
      <c r="E33">
        <v>0</v>
      </c>
      <c r="F33">
        <v>0</v>
      </c>
      <c r="G33">
        <v>0</v>
      </c>
      <c r="H33">
        <v>0</v>
      </c>
      <c r="I33">
        <v>0</v>
      </c>
      <c r="J33">
        <v>0</v>
      </c>
      <c r="K33">
        <v>0</v>
      </c>
      <c r="L33">
        <v>0</v>
      </c>
      <c r="M33">
        <v>0</v>
      </c>
      <c r="N33">
        <v>0</v>
      </c>
      <c r="O33">
        <v>0</v>
      </c>
      <c r="P33">
        <v>0</v>
      </c>
      <c r="Q33">
        <v>0</v>
      </c>
      <c r="R33">
        <v>0</v>
      </c>
      <c r="S33">
        <v>0</v>
      </c>
      <c r="T33">
        <v>0</v>
      </c>
    </row>
    <row r="34" spans="2:20">
      <c r="B34" t="s">
        <v>1118</v>
      </c>
      <c r="C34">
        <v>0</v>
      </c>
      <c r="D34">
        <v>0</v>
      </c>
      <c r="E34">
        <v>0</v>
      </c>
      <c r="F34">
        <v>0</v>
      </c>
      <c r="G34">
        <v>0</v>
      </c>
      <c r="H34">
        <v>0</v>
      </c>
      <c r="I34">
        <v>0</v>
      </c>
      <c r="J34">
        <v>0</v>
      </c>
      <c r="K34">
        <v>0</v>
      </c>
      <c r="L34">
        <v>0</v>
      </c>
      <c r="M34">
        <v>0</v>
      </c>
      <c r="N34">
        <v>0</v>
      </c>
      <c r="O34">
        <v>0</v>
      </c>
      <c r="P34">
        <v>0</v>
      </c>
      <c r="Q34">
        <v>0</v>
      </c>
      <c r="R34">
        <v>0</v>
      </c>
      <c r="S34">
        <v>0</v>
      </c>
      <c r="T34">
        <v>0</v>
      </c>
    </row>
    <row r="35" spans="2:20">
      <c r="B35" t="s">
        <v>1119</v>
      </c>
      <c r="C35">
        <v>0</v>
      </c>
      <c r="D35">
        <v>0</v>
      </c>
      <c r="E35">
        <v>0</v>
      </c>
      <c r="F35">
        <v>0</v>
      </c>
      <c r="G35">
        <v>0</v>
      </c>
      <c r="H35">
        <v>0</v>
      </c>
      <c r="I35">
        <v>0</v>
      </c>
      <c r="J35">
        <v>0</v>
      </c>
      <c r="K35">
        <v>0</v>
      </c>
      <c r="L35">
        <v>0</v>
      </c>
      <c r="M35">
        <v>0</v>
      </c>
      <c r="N35">
        <v>0</v>
      </c>
      <c r="O35">
        <v>0</v>
      </c>
      <c r="P35">
        <v>0</v>
      </c>
      <c r="Q35">
        <v>0</v>
      </c>
      <c r="R35">
        <v>0</v>
      </c>
      <c r="S35">
        <v>0</v>
      </c>
      <c r="T35">
        <v>0</v>
      </c>
    </row>
    <row r="36" spans="2:20">
      <c r="B36" t="s">
        <v>1009</v>
      </c>
      <c r="C36">
        <v>0</v>
      </c>
      <c r="D36">
        <v>0</v>
      </c>
      <c r="E36">
        <v>0</v>
      </c>
      <c r="F36">
        <v>0</v>
      </c>
      <c r="G36">
        <v>0</v>
      </c>
      <c r="H36">
        <v>0</v>
      </c>
      <c r="I36">
        <v>0</v>
      </c>
      <c r="J36">
        <v>0</v>
      </c>
      <c r="K36">
        <v>0</v>
      </c>
      <c r="L36">
        <v>0</v>
      </c>
      <c r="M36">
        <v>0</v>
      </c>
      <c r="N36">
        <v>0</v>
      </c>
      <c r="O36">
        <v>0</v>
      </c>
      <c r="P36">
        <v>0</v>
      </c>
      <c r="Q36">
        <v>0</v>
      </c>
      <c r="R36">
        <v>0</v>
      </c>
      <c r="S36">
        <v>0</v>
      </c>
      <c r="T36">
        <v>0</v>
      </c>
    </row>
    <row r="37" spans="2:20">
      <c r="B37" t="s">
        <v>1010</v>
      </c>
      <c r="C37">
        <v>0</v>
      </c>
      <c r="D37">
        <v>0</v>
      </c>
      <c r="E37">
        <v>19350</v>
      </c>
      <c r="F37">
        <v>0</v>
      </c>
      <c r="G37">
        <v>0</v>
      </c>
      <c r="H37">
        <v>0</v>
      </c>
      <c r="I37">
        <v>0</v>
      </c>
      <c r="J37">
        <v>0</v>
      </c>
      <c r="K37">
        <v>0</v>
      </c>
      <c r="L37">
        <v>0</v>
      </c>
      <c r="M37">
        <v>0</v>
      </c>
      <c r="N37">
        <v>0</v>
      </c>
      <c r="O37">
        <v>0</v>
      </c>
      <c r="P37">
        <v>0</v>
      </c>
      <c r="Q37">
        <v>0</v>
      </c>
      <c r="R37">
        <v>0</v>
      </c>
      <c r="S37">
        <v>0</v>
      </c>
      <c r="T37">
        <v>0</v>
      </c>
    </row>
    <row r="38" spans="2:20">
      <c r="B38" t="s">
        <v>1143</v>
      </c>
      <c r="C38">
        <v>0</v>
      </c>
      <c r="D38">
        <v>0</v>
      </c>
      <c r="E38">
        <v>0</v>
      </c>
      <c r="F38">
        <v>0</v>
      </c>
      <c r="G38">
        <v>0</v>
      </c>
      <c r="H38">
        <v>0</v>
      </c>
      <c r="I38">
        <v>0</v>
      </c>
      <c r="J38">
        <v>0</v>
      </c>
      <c r="K38">
        <v>0</v>
      </c>
      <c r="L38">
        <v>0</v>
      </c>
      <c r="M38">
        <v>0</v>
      </c>
      <c r="N38">
        <v>0</v>
      </c>
      <c r="O38">
        <v>0</v>
      </c>
      <c r="P38">
        <v>0</v>
      </c>
      <c r="Q38">
        <v>0</v>
      </c>
      <c r="R38">
        <v>0</v>
      </c>
      <c r="S38">
        <v>0</v>
      </c>
      <c r="T38">
        <v>0</v>
      </c>
    </row>
    <row r="39" spans="2:20">
      <c r="B39" t="s">
        <v>1144</v>
      </c>
      <c r="C39">
        <v>0</v>
      </c>
      <c r="D39">
        <v>0</v>
      </c>
      <c r="E39">
        <v>0</v>
      </c>
      <c r="F39">
        <v>0</v>
      </c>
      <c r="G39">
        <v>0</v>
      </c>
      <c r="H39">
        <v>0</v>
      </c>
      <c r="I39">
        <v>0</v>
      </c>
      <c r="J39">
        <v>0</v>
      </c>
      <c r="K39">
        <v>0</v>
      </c>
      <c r="L39">
        <v>0</v>
      </c>
      <c r="M39">
        <v>0</v>
      </c>
      <c r="N39">
        <v>0</v>
      </c>
      <c r="O39">
        <v>0</v>
      </c>
      <c r="P39">
        <v>0</v>
      </c>
      <c r="Q39">
        <v>0</v>
      </c>
      <c r="R39">
        <v>0</v>
      </c>
      <c r="S39">
        <v>0</v>
      </c>
      <c r="T39">
        <v>0</v>
      </c>
    </row>
    <row r="40" spans="2:20">
      <c r="B40" t="s">
        <v>162</v>
      </c>
      <c r="C40">
        <v>0</v>
      </c>
      <c r="D40">
        <v>0</v>
      </c>
      <c r="E40">
        <v>0</v>
      </c>
      <c r="F40">
        <v>0</v>
      </c>
      <c r="G40">
        <v>0</v>
      </c>
      <c r="H40">
        <v>0</v>
      </c>
      <c r="I40">
        <v>0</v>
      </c>
      <c r="J40">
        <v>0</v>
      </c>
      <c r="K40">
        <v>0</v>
      </c>
      <c r="L40">
        <v>0</v>
      </c>
      <c r="M40">
        <v>0</v>
      </c>
      <c r="N40">
        <v>0</v>
      </c>
      <c r="O40">
        <v>0</v>
      </c>
      <c r="P40">
        <v>0</v>
      </c>
      <c r="Q40">
        <v>0</v>
      </c>
      <c r="R40">
        <v>0</v>
      </c>
      <c r="S40">
        <v>0</v>
      </c>
      <c r="T40">
        <v>0</v>
      </c>
    </row>
    <row r="41" spans="2:20">
      <c r="B41" t="s">
        <v>1011</v>
      </c>
      <c r="C41">
        <v>0</v>
      </c>
      <c r="D41">
        <v>0</v>
      </c>
      <c r="E41">
        <v>0</v>
      </c>
      <c r="F41">
        <v>0</v>
      </c>
      <c r="G41">
        <v>0</v>
      </c>
      <c r="H41">
        <v>0</v>
      </c>
      <c r="I41">
        <v>0</v>
      </c>
      <c r="J41">
        <v>0</v>
      </c>
      <c r="K41">
        <v>0</v>
      </c>
      <c r="L41">
        <v>0</v>
      </c>
      <c r="M41">
        <v>0</v>
      </c>
      <c r="N41">
        <v>0</v>
      </c>
      <c r="O41">
        <v>0</v>
      </c>
      <c r="P41">
        <v>0</v>
      </c>
      <c r="Q41">
        <v>0</v>
      </c>
      <c r="R41">
        <v>0</v>
      </c>
      <c r="S41">
        <v>0</v>
      </c>
      <c r="T41">
        <v>0</v>
      </c>
    </row>
    <row r="42" spans="2:20">
      <c r="B42" t="s">
        <v>823</v>
      </c>
      <c r="C42">
        <v>0</v>
      </c>
      <c r="D42">
        <v>0</v>
      </c>
      <c r="E42">
        <v>0</v>
      </c>
      <c r="F42">
        <v>0</v>
      </c>
      <c r="G42">
        <v>0</v>
      </c>
      <c r="H42">
        <v>0</v>
      </c>
      <c r="I42">
        <v>0</v>
      </c>
      <c r="J42">
        <v>0</v>
      </c>
      <c r="K42">
        <v>0</v>
      </c>
      <c r="L42">
        <v>0</v>
      </c>
      <c r="M42">
        <v>0</v>
      </c>
      <c r="N42">
        <v>0</v>
      </c>
      <c r="O42">
        <v>863032</v>
      </c>
      <c r="P42">
        <v>499718</v>
      </c>
      <c r="Q42">
        <v>2785238</v>
      </c>
      <c r="R42">
        <v>797864</v>
      </c>
      <c r="S42">
        <v>6740589</v>
      </c>
      <c r="T42">
        <v>0</v>
      </c>
    </row>
    <row r="43" spans="2:20">
      <c r="B43" t="s">
        <v>824</v>
      </c>
      <c r="C43">
        <v>0</v>
      </c>
      <c r="D43">
        <v>0</v>
      </c>
      <c r="E43">
        <v>0</v>
      </c>
      <c r="F43">
        <v>0</v>
      </c>
      <c r="G43">
        <v>0</v>
      </c>
      <c r="H43">
        <v>0</v>
      </c>
      <c r="I43">
        <v>0</v>
      </c>
      <c r="J43">
        <v>0</v>
      </c>
      <c r="K43">
        <v>0</v>
      </c>
      <c r="L43">
        <v>0</v>
      </c>
      <c r="M43">
        <v>0</v>
      </c>
      <c r="N43">
        <v>0</v>
      </c>
      <c r="O43">
        <v>0</v>
      </c>
      <c r="P43">
        <v>0</v>
      </c>
      <c r="Q43">
        <v>0</v>
      </c>
      <c r="R43">
        <v>0</v>
      </c>
      <c r="S43">
        <v>0</v>
      </c>
      <c r="T43">
        <v>0</v>
      </c>
    </row>
    <row r="44" spans="2:20">
      <c r="B44" t="s">
        <v>825</v>
      </c>
      <c r="C44">
        <v>0</v>
      </c>
      <c r="D44">
        <v>0</v>
      </c>
      <c r="E44">
        <v>0</v>
      </c>
      <c r="F44">
        <v>119682</v>
      </c>
      <c r="G44">
        <v>156096</v>
      </c>
      <c r="H44">
        <v>1392910</v>
      </c>
      <c r="I44">
        <v>1346141</v>
      </c>
      <c r="J44">
        <v>42684</v>
      </c>
      <c r="K44">
        <v>0</v>
      </c>
      <c r="L44">
        <v>0</v>
      </c>
      <c r="M44">
        <v>0</v>
      </c>
      <c r="N44">
        <v>0</v>
      </c>
      <c r="O44">
        <v>0</v>
      </c>
      <c r="P44">
        <v>0</v>
      </c>
      <c r="Q44">
        <v>0</v>
      </c>
      <c r="R44">
        <v>0</v>
      </c>
      <c r="S44">
        <v>0</v>
      </c>
      <c r="T44">
        <v>0</v>
      </c>
    </row>
    <row r="45" spans="2:20">
      <c r="B45" t="s">
        <v>1074</v>
      </c>
      <c r="C45">
        <v>0</v>
      </c>
      <c r="D45">
        <v>0</v>
      </c>
      <c r="E45">
        <v>0</v>
      </c>
      <c r="F45">
        <v>0</v>
      </c>
      <c r="G45">
        <v>0</v>
      </c>
      <c r="H45">
        <v>0</v>
      </c>
      <c r="I45">
        <v>0</v>
      </c>
      <c r="J45">
        <v>0</v>
      </c>
      <c r="K45">
        <v>0</v>
      </c>
      <c r="L45">
        <v>0</v>
      </c>
      <c r="M45">
        <v>0</v>
      </c>
      <c r="N45" s="35">
        <v>0</v>
      </c>
      <c r="O45">
        <v>0</v>
      </c>
      <c r="P45">
        <v>0</v>
      </c>
      <c r="Q45">
        <v>0</v>
      </c>
      <c r="R45">
        <v>0</v>
      </c>
      <c r="S45">
        <v>0</v>
      </c>
      <c r="T45">
        <v>0</v>
      </c>
    </row>
    <row r="46" spans="2:20">
      <c r="B46" t="s">
        <v>331</v>
      </c>
      <c r="C46">
        <v>0</v>
      </c>
      <c r="D46">
        <v>0</v>
      </c>
      <c r="E46">
        <v>0</v>
      </c>
      <c r="F46">
        <v>0</v>
      </c>
      <c r="G46">
        <v>0</v>
      </c>
      <c r="H46">
        <v>0</v>
      </c>
      <c r="I46">
        <v>0</v>
      </c>
      <c r="J46">
        <v>0</v>
      </c>
      <c r="K46">
        <v>0</v>
      </c>
      <c r="L46">
        <v>0</v>
      </c>
      <c r="M46">
        <v>0</v>
      </c>
      <c r="N46">
        <v>0</v>
      </c>
      <c r="O46">
        <v>0</v>
      </c>
      <c r="P46">
        <v>0</v>
      </c>
      <c r="Q46">
        <v>0</v>
      </c>
      <c r="R46">
        <v>0</v>
      </c>
      <c r="S46">
        <v>0</v>
      </c>
      <c r="T46">
        <v>0</v>
      </c>
    </row>
    <row r="47" spans="2:20">
      <c r="B47" t="s">
        <v>826</v>
      </c>
      <c r="C47">
        <v>0</v>
      </c>
      <c r="D47">
        <v>0</v>
      </c>
      <c r="E47">
        <v>0</v>
      </c>
      <c r="F47">
        <v>0</v>
      </c>
      <c r="G47">
        <v>0</v>
      </c>
      <c r="H47">
        <v>0</v>
      </c>
      <c r="I47">
        <v>0</v>
      </c>
      <c r="J47">
        <v>0</v>
      </c>
      <c r="K47">
        <v>0</v>
      </c>
      <c r="L47">
        <v>0</v>
      </c>
      <c r="M47">
        <v>0</v>
      </c>
      <c r="N47">
        <v>0</v>
      </c>
      <c r="O47">
        <v>0</v>
      </c>
      <c r="P47">
        <v>0</v>
      </c>
      <c r="Q47">
        <v>0</v>
      </c>
      <c r="R47">
        <v>0</v>
      </c>
      <c r="S47">
        <v>0</v>
      </c>
      <c r="T47">
        <v>0</v>
      </c>
    </row>
    <row r="48" spans="2:20">
      <c r="B48" t="s">
        <v>263</v>
      </c>
      <c r="C48">
        <v>0</v>
      </c>
      <c r="D48">
        <v>0</v>
      </c>
      <c r="E48">
        <v>0</v>
      </c>
      <c r="F48">
        <v>0</v>
      </c>
      <c r="G48">
        <v>0</v>
      </c>
      <c r="H48">
        <v>0</v>
      </c>
      <c r="I48">
        <v>0</v>
      </c>
      <c r="J48">
        <v>0</v>
      </c>
      <c r="K48">
        <v>0</v>
      </c>
      <c r="L48">
        <v>0</v>
      </c>
      <c r="M48">
        <v>0</v>
      </c>
      <c r="N48">
        <v>0</v>
      </c>
      <c r="O48">
        <v>0</v>
      </c>
      <c r="P48">
        <v>0</v>
      </c>
      <c r="Q48">
        <v>0</v>
      </c>
      <c r="R48">
        <v>0</v>
      </c>
      <c r="S48">
        <v>0</v>
      </c>
      <c r="T48">
        <v>0</v>
      </c>
    </row>
    <row r="49" spans="2:20">
      <c r="B49" t="s">
        <v>827</v>
      </c>
      <c r="C49">
        <v>0</v>
      </c>
      <c r="D49">
        <v>0</v>
      </c>
      <c r="E49">
        <v>0</v>
      </c>
      <c r="F49">
        <v>0</v>
      </c>
      <c r="G49">
        <v>0</v>
      </c>
      <c r="H49">
        <v>0</v>
      </c>
      <c r="I49">
        <v>0</v>
      </c>
      <c r="J49">
        <v>0</v>
      </c>
      <c r="K49">
        <v>0</v>
      </c>
      <c r="L49">
        <v>0</v>
      </c>
      <c r="M49">
        <v>0</v>
      </c>
      <c r="N49">
        <v>0</v>
      </c>
      <c r="O49">
        <v>0</v>
      </c>
      <c r="P49">
        <v>0</v>
      </c>
      <c r="Q49">
        <v>0</v>
      </c>
      <c r="R49">
        <v>0</v>
      </c>
      <c r="S49">
        <v>0</v>
      </c>
      <c r="T49">
        <v>0</v>
      </c>
    </row>
    <row r="50" spans="2:20">
      <c r="B50" t="s">
        <v>828</v>
      </c>
      <c r="C50">
        <v>0</v>
      </c>
      <c r="D50">
        <v>0</v>
      </c>
      <c r="E50">
        <v>0</v>
      </c>
      <c r="F50">
        <v>0</v>
      </c>
      <c r="G50">
        <v>0</v>
      </c>
      <c r="H50">
        <v>0</v>
      </c>
      <c r="I50">
        <v>0</v>
      </c>
      <c r="J50">
        <v>0</v>
      </c>
      <c r="K50">
        <v>0</v>
      </c>
      <c r="L50">
        <v>0</v>
      </c>
      <c r="M50">
        <v>0</v>
      </c>
      <c r="N50">
        <v>0</v>
      </c>
      <c r="O50">
        <v>0</v>
      </c>
      <c r="P50">
        <v>0</v>
      </c>
      <c r="Q50">
        <v>0</v>
      </c>
      <c r="R50">
        <v>0</v>
      </c>
      <c r="S50">
        <v>0</v>
      </c>
      <c r="T50">
        <v>0</v>
      </c>
    </row>
    <row r="51" spans="2:20">
      <c r="B51" t="s">
        <v>769</v>
      </c>
      <c r="C51">
        <v>0</v>
      </c>
      <c r="D51">
        <v>0</v>
      </c>
      <c r="E51" s="133">
        <v>1257477</v>
      </c>
      <c r="F51">
        <v>10191</v>
      </c>
      <c r="G51">
        <v>9123</v>
      </c>
      <c r="H51">
        <v>0</v>
      </c>
      <c r="I51" s="73">
        <v>3399</v>
      </c>
      <c r="J51">
        <v>600</v>
      </c>
      <c r="K51">
        <v>0</v>
      </c>
      <c r="L51">
        <v>0</v>
      </c>
      <c r="M51">
        <v>1842365</v>
      </c>
      <c r="N51" s="73">
        <v>550000</v>
      </c>
      <c r="O51" s="73">
        <v>8197</v>
      </c>
      <c r="P51" s="73">
        <v>3375</v>
      </c>
      <c r="Q51" s="73">
        <v>30</v>
      </c>
      <c r="R51" s="73">
        <v>11363</v>
      </c>
      <c r="S51" s="73">
        <v>0</v>
      </c>
      <c r="T51">
        <v>0</v>
      </c>
    </row>
    <row r="52" spans="2:20">
      <c r="B52" t="s">
        <v>770</v>
      </c>
      <c r="C52">
        <v>0</v>
      </c>
      <c r="D52">
        <v>0</v>
      </c>
      <c r="E52">
        <v>11854</v>
      </c>
      <c r="F52">
        <v>583</v>
      </c>
      <c r="G52">
        <v>1126</v>
      </c>
      <c r="H52">
        <v>32023</v>
      </c>
      <c r="I52">
        <v>132256</v>
      </c>
      <c r="J52">
        <v>3622</v>
      </c>
      <c r="K52">
        <v>0</v>
      </c>
      <c r="L52">
        <v>0</v>
      </c>
      <c r="M52">
        <v>68501</v>
      </c>
      <c r="N52">
        <v>12192</v>
      </c>
      <c r="O52">
        <v>18060</v>
      </c>
      <c r="P52">
        <v>2411</v>
      </c>
      <c r="Q52">
        <v>37985</v>
      </c>
      <c r="R52" s="73">
        <v>20709</v>
      </c>
      <c r="S52">
        <v>18291</v>
      </c>
      <c r="T52">
        <v>0</v>
      </c>
    </row>
    <row r="53" spans="2:20">
      <c r="B53" t="s">
        <v>1167</v>
      </c>
      <c r="C53">
        <v>0</v>
      </c>
      <c r="D53">
        <v>0</v>
      </c>
      <c r="E53">
        <v>0</v>
      </c>
      <c r="F53">
        <v>0</v>
      </c>
      <c r="G53">
        <v>0</v>
      </c>
      <c r="H53">
        <v>0</v>
      </c>
      <c r="I53">
        <v>0</v>
      </c>
      <c r="J53">
        <v>0</v>
      </c>
      <c r="K53">
        <v>0</v>
      </c>
      <c r="L53">
        <v>0</v>
      </c>
      <c r="M53">
        <v>0</v>
      </c>
      <c r="N53">
        <v>0</v>
      </c>
      <c r="O53">
        <v>0</v>
      </c>
      <c r="P53">
        <v>0</v>
      </c>
      <c r="Q53">
        <v>0</v>
      </c>
      <c r="R53">
        <v>0</v>
      </c>
      <c r="S53">
        <v>0</v>
      </c>
      <c r="T53">
        <v>0</v>
      </c>
    </row>
    <row r="54" spans="2:20">
      <c r="B54" t="s">
        <v>771</v>
      </c>
      <c r="C54">
        <v>0</v>
      </c>
      <c r="D54">
        <v>0</v>
      </c>
      <c r="E54">
        <v>3681144</v>
      </c>
      <c r="F54">
        <v>130456</v>
      </c>
      <c r="G54">
        <v>166345</v>
      </c>
      <c r="H54">
        <v>1424933</v>
      </c>
      <c r="I54">
        <v>1481796</v>
      </c>
      <c r="J54">
        <v>46906</v>
      </c>
      <c r="K54">
        <v>0</v>
      </c>
      <c r="L54">
        <v>0</v>
      </c>
      <c r="M54">
        <v>1910866</v>
      </c>
      <c r="N54">
        <v>562192</v>
      </c>
      <c r="O54">
        <v>889289</v>
      </c>
      <c r="P54">
        <v>505504</v>
      </c>
      <c r="Q54">
        <v>2823253</v>
      </c>
      <c r="R54">
        <v>829936</v>
      </c>
      <c r="S54">
        <v>6758880</v>
      </c>
      <c r="T54">
        <v>0</v>
      </c>
    </row>
    <row r="55" spans="2:20">
      <c r="B55" t="s">
        <v>1167</v>
      </c>
      <c r="C55">
        <v>0</v>
      </c>
      <c r="D55">
        <v>0</v>
      </c>
      <c r="E55">
        <v>0</v>
      </c>
      <c r="F55">
        <v>0</v>
      </c>
      <c r="G55">
        <v>0</v>
      </c>
      <c r="H55">
        <v>0</v>
      </c>
      <c r="I55">
        <v>0</v>
      </c>
      <c r="J55">
        <v>0</v>
      </c>
      <c r="K55">
        <v>0</v>
      </c>
      <c r="L55">
        <v>0</v>
      </c>
      <c r="M55">
        <v>0</v>
      </c>
      <c r="N55">
        <v>0</v>
      </c>
      <c r="O55">
        <v>0</v>
      </c>
      <c r="P55">
        <v>0</v>
      </c>
      <c r="Q55">
        <v>0</v>
      </c>
      <c r="R55">
        <v>0</v>
      </c>
      <c r="S55">
        <v>0</v>
      </c>
      <c r="T55">
        <v>0</v>
      </c>
    </row>
    <row r="56" spans="2:20">
      <c r="B56" t="s">
        <v>1092</v>
      </c>
      <c r="C56">
        <v>0</v>
      </c>
      <c r="D56">
        <v>0</v>
      </c>
      <c r="E56">
        <v>0</v>
      </c>
      <c r="F56">
        <v>0</v>
      </c>
      <c r="G56">
        <v>0</v>
      </c>
      <c r="H56">
        <v>0</v>
      </c>
      <c r="I56">
        <v>0</v>
      </c>
      <c r="J56">
        <v>0</v>
      </c>
      <c r="K56">
        <v>0</v>
      </c>
      <c r="L56">
        <v>0</v>
      </c>
      <c r="M56">
        <v>0</v>
      </c>
      <c r="N56">
        <v>0</v>
      </c>
      <c r="O56">
        <v>0</v>
      </c>
      <c r="P56">
        <v>0</v>
      </c>
      <c r="Q56">
        <v>0</v>
      </c>
      <c r="R56">
        <v>0</v>
      </c>
      <c r="S56">
        <v>0</v>
      </c>
      <c r="T56">
        <v>0</v>
      </c>
    </row>
    <row r="57" spans="2:20">
      <c r="B57" t="s">
        <v>464</v>
      </c>
      <c r="C57">
        <v>0</v>
      </c>
      <c r="D57">
        <v>0</v>
      </c>
      <c r="E57">
        <v>514085</v>
      </c>
      <c r="F57">
        <v>30387</v>
      </c>
      <c r="G57">
        <v>19459</v>
      </c>
      <c r="H57">
        <v>0</v>
      </c>
      <c r="I57">
        <v>248529</v>
      </c>
      <c r="J57">
        <v>17121</v>
      </c>
      <c r="K57">
        <v>0</v>
      </c>
      <c r="L57">
        <v>0</v>
      </c>
      <c r="M57">
        <v>740556</v>
      </c>
      <c r="N57">
        <v>0</v>
      </c>
      <c r="O57">
        <v>454451</v>
      </c>
      <c r="P57">
        <v>0</v>
      </c>
      <c r="Q57">
        <v>1369136</v>
      </c>
      <c r="R57">
        <v>0</v>
      </c>
      <c r="S57">
        <v>52343</v>
      </c>
      <c r="T57">
        <v>0</v>
      </c>
    </row>
    <row r="58" spans="2:20">
      <c r="B58" t="s">
        <v>845</v>
      </c>
      <c r="C58">
        <v>0</v>
      </c>
      <c r="D58">
        <v>0</v>
      </c>
      <c r="E58">
        <v>247402</v>
      </c>
      <c r="F58">
        <v>10966</v>
      </c>
      <c r="G58">
        <v>10299</v>
      </c>
      <c r="H58">
        <v>55091</v>
      </c>
      <c r="I58">
        <v>279857</v>
      </c>
      <c r="J58">
        <v>12799</v>
      </c>
      <c r="K58">
        <v>0</v>
      </c>
      <c r="L58">
        <v>0</v>
      </c>
      <c r="M58" s="211">
        <f>335741-200</f>
        <v>335541</v>
      </c>
      <c r="N58">
        <v>77920</v>
      </c>
      <c r="O58" s="211">
        <f>269319-691+4+33</f>
        <v>268665</v>
      </c>
      <c r="P58">
        <v>472403</v>
      </c>
      <c r="Q58">
        <v>950472</v>
      </c>
      <c r="R58">
        <v>1147473</v>
      </c>
      <c r="S58">
        <v>761095</v>
      </c>
      <c r="T58">
        <v>0</v>
      </c>
    </row>
    <row r="59" spans="2:20">
      <c r="B59" t="s">
        <v>466</v>
      </c>
      <c r="C59">
        <v>0</v>
      </c>
      <c r="D59">
        <v>0</v>
      </c>
      <c r="E59">
        <v>903811</v>
      </c>
      <c r="F59">
        <v>64576</v>
      </c>
      <c r="G59">
        <v>165701</v>
      </c>
      <c r="H59">
        <v>1392222</v>
      </c>
      <c r="I59">
        <v>231141</v>
      </c>
      <c r="J59">
        <v>2314</v>
      </c>
      <c r="K59">
        <v>0</v>
      </c>
      <c r="L59">
        <v>0</v>
      </c>
      <c r="M59">
        <v>645713</v>
      </c>
      <c r="N59">
        <v>105922</v>
      </c>
      <c r="O59">
        <v>64096</v>
      </c>
      <c r="P59">
        <v>3130</v>
      </c>
      <c r="Q59">
        <v>280564</v>
      </c>
      <c r="R59">
        <v>10801</v>
      </c>
      <c r="S59">
        <v>8250917</v>
      </c>
      <c r="T59">
        <v>0</v>
      </c>
    </row>
    <row r="60" spans="2:20">
      <c r="B60" t="s">
        <v>247</v>
      </c>
      <c r="C60">
        <v>0</v>
      </c>
      <c r="D60">
        <v>0</v>
      </c>
      <c r="E60">
        <v>0</v>
      </c>
      <c r="F60">
        <v>0</v>
      </c>
      <c r="G60">
        <v>0</v>
      </c>
      <c r="H60">
        <v>0</v>
      </c>
      <c r="I60">
        <v>0</v>
      </c>
      <c r="J60">
        <v>0</v>
      </c>
      <c r="K60">
        <v>0</v>
      </c>
      <c r="L60">
        <v>0</v>
      </c>
      <c r="M60">
        <v>0</v>
      </c>
      <c r="N60">
        <v>0</v>
      </c>
      <c r="O60">
        <v>0</v>
      </c>
      <c r="P60">
        <v>0</v>
      </c>
      <c r="Q60">
        <v>0</v>
      </c>
      <c r="R60">
        <v>0</v>
      </c>
      <c r="S60">
        <v>0</v>
      </c>
      <c r="T60">
        <v>0</v>
      </c>
    </row>
    <row r="61" spans="2:20">
      <c r="B61" t="s">
        <v>848</v>
      </c>
      <c r="C61">
        <v>0</v>
      </c>
      <c r="D61">
        <v>0</v>
      </c>
      <c r="E61">
        <v>0</v>
      </c>
      <c r="F61">
        <v>0</v>
      </c>
      <c r="G61">
        <v>0</v>
      </c>
      <c r="H61">
        <v>0</v>
      </c>
      <c r="I61">
        <v>0</v>
      </c>
      <c r="J61">
        <v>0</v>
      </c>
      <c r="K61">
        <v>0</v>
      </c>
      <c r="L61">
        <v>0</v>
      </c>
      <c r="M61">
        <v>0</v>
      </c>
      <c r="N61">
        <v>0</v>
      </c>
      <c r="O61">
        <v>0</v>
      </c>
      <c r="P61">
        <v>0</v>
      </c>
      <c r="Q61">
        <v>0</v>
      </c>
      <c r="R61">
        <v>0</v>
      </c>
      <c r="S61">
        <v>0</v>
      </c>
      <c r="T61">
        <v>0</v>
      </c>
    </row>
    <row r="62" spans="2:20">
      <c r="B62" t="s">
        <v>1021</v>
      </c>
      <c r="C62">
        <v>0</v>
      </c>
      <c r="D62">
        <v>0</v>
      </c>
      <c r="E62">
        <v>0</v>
      </c>
      <c r="F62">
        <v>0</v>
      </c>
      <c r="G62">
        <v>0</v>
      </c>
      <c r="H62">
        <v>0</v>
      </c>
      <c r="I62">
        <v>23768</v>
      </c>
      <c r="J62">
        <v>0</v>
      </c>
      <c r="K62">
        <v>0</v>
      </c>
      <c r="L62">
        <v>0</v>
      </c>
      <c r="M62">
        <v>0</v>
      </c>
      <c r="N62">
        <v>0</v>
      </c>
      <c r="O62">
        <v>0</v>
      </c>
      <c r="P62">
        <v>0</v>
      </c>
      <c r="Q62">
        <v>0</v>
      </c>
      <c r="R62">
        <v>0</v>
      </c>
      <c r="S62">
        <v>0</v>
      </c>
      <c r="T62">
        <v>0</v>
      </c>
    </row>
    <row r="63" spans="2:20">
      <c r="B63" t="s">
        <v>1022</v>
      </c>
      <c r="C63">
        <v>0</v>
      </c>
      <c r="D63">
        <v>0</v>
      </c>
      <c r="E63">
        <v>0</v>
      </c>
      <c r="F63">
        <v>0</v>
      </c>
      <c r="G63">
        <v>73850</v>
      </c>
      <c r="H63">
        <v>5273</v>
      </c>
      <c r="I63">
        <v>22423</v>
      </c>
      <c r="J63">
        <v>0</v>
      </c>
      <c r="K63">
        <v>0</v>
      </c>
      <c r="L63">
        <v>0</v>
      </c>
      <c r="M63">
        <v>126264</v>
      </c>
      <c r="N63">
        <v>31259</v>
      </c>
      <c r="O63">
        <v>13144</v>
      </c>
      <c r="P63">
        <v>0</v>
      </c>
      <c r="Q63">
        <v>0</v>
      </c>
      <c r="R63">
        <v>0</v>
      </c>
      <c r="S63">
        <v>0</v>
      </c>
      <c r="T63">
        <v>0</v>
      </c>
    </row>
    <row r="64" spans="2:20">
      <c r="B64" t="s">
        <v>1167</v>
      </c>
      <c r="C64">
        <v>0</v>
      </c>
      <c r="D64">
        <v>0</v>
      </c>
      <c r="E64">
        <v>0</v>
      </c>
      <c r="F64">
        <v>0</v>
      </c>
      <c r="G64">
        <v>0</v>
      </c>
      <c r="H64">
        <v>0</v>
      </c>
      <c r="I64">
        <v>0</v>
      </c>
      <c r="J64">
        <v>0</v>
      </c>
      <c r="K64">
        <v>0</v>
      </c>
      <c r="L64">
        <v>0</v>
      </c>
      <c r="M64">
        <v>0</v>
      </c>
      <c r="N64">
        <v>0</v>
      </c>
      <c r="O64">
        <v>0</v>
      </c>
      <c r="P64">
        <v>0</v>
      </c>
      <c r="Q64">
        <v>0</v>
      </c>
      <c r="R64">
        <v>0</v>
      </c>
      <c r="S64">
        <v>0</v>
      </c>
      <c r="T64">
        <v>0</v>
      </c>
    </row>
    <row r="65" spans="2:21">
      <c r="B65" t="s">
        <v>849</v>
      </c>
      <c r="C65">
        <v>0</v>
      </c>
      <c r="D65">
        <v>0</v>
      </c>
      <c r="E65">
        <v>3330596</v>
      </c>
      <c r="F65">
        <v>105929</v>
      </c>
      <c r="G65">
        <v>269309</v>
      </c>
      <c r="H65">
        <v>1452586</v>
      </c>
      <c r="I65">
        <v>805718</v>
      </c>
      <c r="J65">
        <v>32234</v>
      </c>
      <c r="K65">
        <v>0</v>
      </c>
      <c r="L65">
        <v>0</v>
      </c>
      <c r="M65">
        <v>1848274</v>
      </c>
      <c r="N65">
        <v>215101</v>
      </c>
      <c r="O65">
        <v>801010</v>
      </c>
      <c r="P65">
        <v>475533</v>
      </c>
      <c r="Q65">
        <v>2600172</v>
      </c>
      <c r="R65">
        <v>1158274</v>
      </c>
      <c r="S65">
        <v>9064355</v>
      </c>
      <c r="T65">
        <v>0</v>
      </c>
    </row>
    <row r="66" spans="2:21">
      <c r="B66" t="s">
        <v>850</v>
      </c>
      <c r="C66">
        <v>0</v>
      </c>
      <c r="D66">
        <v>0</v>
      </c>
      <c r="E66">
        <v>0</v>
      </c>
      <c r="F66">
        <v>0</v>
      </c>
      <c r="G66">
        <v>0</v>
      </c>
      <c r="H66">
        <v>0</v>
      </c>
      <c r="I66">
        <v>0</v>
      </c>
      <c r="J66">
        <v>0</v>
      </c>
      <c r="K66">
        <v>0</v>
      </c>
      <c r="L66">
        <v>0</v>
      </c>
      <c r="M66">
        <v>0</v>
      </c>
      <c r="N66">
        <v>0</v>
      </c>
      <c r="O66">
        <v>0</v>
      </c>
      <c r="P66">
        <v>0</v>
      </c>
      <c r="Q66">
        <v>0</v>
      </c>
      <c r="R66">
        <v>0</v>
      </c>
      <c r="S66">
        <v>0</v>
      </c>
      <c r="T66">
        <v>0</v>
      </c>
    </row>
    <row r="67" spans="2:21">
      <c r="B67" t="s">
        <v>427</v>
      </c>
      <c r="C67">
        <v>0</v>
      </c>
      <c r="D67">
        <v>0</v>
      </c>
      <c r="E67">
        <v>701096</v>
      </c>
      <c r="F67">
        <v>24527</v>
      </c>
      <c r="G67">
        <v>-102964</v>
      </c>
      <c r="H67">
        <v>-27653</v>
      </c>
      <c r="I67">
        <v>676078</v>
      </c>
      <c r="J67">
        <v>14672</v>
      </c>
      <c r="K67">
        <v>0</v>
      </c>
      <c r="L67">
        <v>0</v>
      </c>
      <c r="M67">
        <v>62592</v>
      </c>
      <c r="N67">
        <v>347091</v>
      </c>
      <c r="O67">
        <v>88279</v>
      </c>
      <c r="P67">
        <v>29971</v>
      </c>
      <c r="Q67">
        <v>223081</v>
      </c>
      <c r="R67">
        <v>-328338</v>
      </c>
      <c r="S67">
        <v>-2305475</v>
      </c>
      <c r="T67">
        <v>0</v>
      </c>
    </row>
    <row r="68" spans="2:21">
      <c r="B68" t="s">
        <v>1167</v>
      </c>
      <c r="C68">
        <v>0</v>
      </c>
      <c r="D68">
        <v>0</v>
      </c>
      <c r="E68">
        <v>0</v>
      </c>
      <c r="F68">
        <v>0</v>
      </c>
      <c r="G68">
        <v>0</v>
      </c>
      <c r="H68">
        <v>0</v>
      </c>
      <c r="I68">
        <v>0</v>
      </c>
      <c r="J68">
        <v>0</v>
      </c>
      <c r="K68">
        <v>0</v>
      </c>
      <c r="L68">
        <v>0</v>
      </c>
      <c r="M68">
        <v>0</v>
      </c>
      <c r="N68">
        <v>0</v>
      </c>
      <c r="O68">
        <v>0</v>
      </c>
      <c r="P68">
        <v>0</v>
      </c>
      <c r="Q68">
        <v>0</v>
      </c>
      <c r="R68">
        <v>0</v>
      </c>
      <c r="S68">
        <v>0</v>
      </c>
      <c r="T68">
        <v>0</v>
      </c>
    </row>
    <row r="69" spans="2:21">
      <c r="B69" t="s">
        <v>428</v>
      </c>
      <c r="C69">
        <v>0</v>
      </c>
      <c r="D69">
        <v>0</v>
      </c>
      <c r="E69">
        <v>0</v>
      </c>
      <c r="F69">
        <v>0</v>
      </c>
      <c r="G69">
        <v>0</v>
      </c>
      <c r="H69">
        <v>0</v>
      </c>
      <c r="I69">
        <v>0</v>
      </c>
      <c r="J69">
        <v>0</v>
      </c>
      <c r="K69">
        <v>0</v>
      </c>
      <c r="L69">
        <v>0</v>
      </c>
      <c r="M69">
        <v>0</v>
      </c>
      <c r="N69">
        <v>0</v>
      </c>
      <c r="O69">
        <v>0</v>
      </c>
      <c r="P69">
        <v>0</v>
      </c>
      <c r="Q69">
        <v>0</v>
      </c>
      <c r="R69">
        <v>0</v>
      </c>
      <c r="S69">
        <v>0</v>
      </c>
      <c r="T69">
        <v>0</v>
      </c>
    </row>
    <row r="70" spans="2:21">
      <c r="B70" t="s">
        <v>429</v>
      </c>
      <c r="C70">
        <v>0</v>
      </c>
      <c r="D70">
        <v>0</v>
      </c>
      <c r="E70">
        <v>50000</v>
      </c>
      <c r="F70">
        <v>0</v>
      </c>
      <c r="G70">
        <v>0</v>
      </c>
      <c r="H70">
        <v>0</v>
      </c>
      <c r="I70">
        <v>82</v>
      </c>
      <c r="J70">
        <v>0</v>
      </c>
      <c r="K70">
        <v>0</v>
      </c>
      <c r="L70">
        <v>0</v>
      </c>
      <c r="M70" s="73">
        <v>555742</v>
      </c>
      <c r="N70">
        <v>0</v>
      </c>
      <c r="O70">
        <v>0</v>
      </c>
      <c r="P70">
        <v>0</v>
      </c>
      <c r="Q70">
        <v>1135</v>
      </c>
      <c r="R70">
        <v>100000</v>
      </c>
      <c r="S70">
        <v>1500000</v>
      </c>
      <c r="T70">
        <v>0</v>
      </c>
    </row>
    <row r="71" spans="2:21">
      <c r="B71" t="s">
        <v>430</v>
      </c>
      <c r="C71">
        <v>0</v>
      </c>
      <c r="D71">
        <v>0</v>
      </c>
      <c r="E71">
        <v>0</v>
      </c>
      <c r="F71">
        <v>-82</v>
      </c>
      <c r="G71">
        <v>0</v>
      </c>
      <c r="H71">
        <v>0</v>
      </c>
      <c r="I71">
        <v>-2545</v>
      </c>
      <c r="J71">
        <v>0</v>
      </c>
      <c r="K71">
        <v>0</v>
      </c>
      <c r="L71">
        <v>0</v>
      </c>
      <c r="M71" s="73">
        <v>0</v>
      </c>
      <c r="N71">
        <v>-297020</v>
      </c>
      <c r="O71">
        <v>-269037</v>
      </c>
      <c r="P71">
        <v>0</v>
      </c>
      <c r="Q71">
        <v>0</v>
      </c>
      <c r="R71">
        <v>0</v>
      </c>
      <c r="S71">
        <v>0</v>
      </c>
      <c r="T71">
        <v>0</v>
      </c>
    </row>
    <row r="72" spans="2:21">
      <c r="B72" t="s">
        <v>431</v>
      </c>
      <c r="C72">
        <v>0</v>
      </c>
      <c r="D72">
        <v>0</v>
      </c>
      <c r="E72">
        <v>0</v>
      </c>
      <c r="F72">
        <v>0</v>
      </c>
      <c r="G72">
        <v>0</v>
      </c>
      <c r="H72">
        <v>0</v>
      </c>
      <c r="I72">
        <v>0</v>
      </c>
      <c r="J72">
        <v>0</v>
      </c>
      <c r="K72">
        <v>0</v>
      </c>
      <c r="L72">
        <v>0</v>
      </c>
      <c r="M72">
        <v>0</v>
      </c>
      <c r="N72">
        <v>0</v>
      </c>
      <c r="O72">
        <v>0</v>
      </c>
      <c r="P72">
        <v>0</v>
      </c>
      <c r="Q72">
        <v>0</v>
      </c>
      <c r="R72">
        <v>0</v>
      </c>
      <c r="S72">
        <v>0</v>
      </c>
      <c r="T72">
        <v>0</v>
      </c>
    </row>
    <row r="73" spans="2:21">
      <c r="B73" t="s">
        <v>432</v>
      </c>
      <c r="C73">
        <v>0</v>
      </c>
      <c r="D73">
        <v>0</v>
      </c>
      <c r="E73">
        <v>0</v>
      </c>
      <c r="F73">
        <v>0</v>
      </c>
      <c r="G73">
        <v>0</v>
      </c>
      <c r="H73">
        <v>0</v>
      </c>
      <c r="I73">
        <v>0</v>
      </c>
      <c r="J73">
        <v>0</v>
      </c>
      <c r="K73">
        <v>0</v>
      </c>
      <c r="L73">
        <v>0</v>
      </c>
      <c r="M73">
        <v>0</v>
      </c>
      <c r="N73">
        <v>0</v>
      </c>
      <c r="O73">
        <v>9000</v>
      </c>
      <c r="P73">
        <v>0</v>
      </c>
      <c r="Q73">
        <v>0</v>
      </c>
      <c r="R73">
        <v>0</v>
      </c>
      <c r="S73">
        <v>0</v>
      </c>
      <c r="T73">
        <v>0</v>
      </c>
    </row>
    <row r="74" spans="2:21">
      <c r="B74" t="s">
        <v>1167</v>
      </c>
      <c r="C74">
        <v>0</v>
      </c>
      <c r="D74">
        <v>0</v>
      </c>
      <c r="E74">
        <v>0</v>
      </c>
      <c r="F74">
        <v>0</v>
      </c>
      <c r="G74">
        <v>0</v>
      </c>
      <c r="H74">
        <v>0</v>
      </c>
      <c r="I74">
        <v>0</v>
      </c>
      <c r="J74">
        <v>0</v>
      </c>
      <c r="K74">
        <v>0</v>
      </c>
      <c r="L74">
        <v>0</v>
      </c>
      <c r="M74">
        <v>0</v>
      </c>
      <c r="N74">
        <v>0</v>
      </c>
      <c r="O74">
        <v>0</v>
      </c>
      <c r="P74">
        <v>0</v>
      </c>
      <c r="Q74">
        <v>0</v>
      </c>
      <c r="R74">
        <v>0</v>
      </c>
      <c r="S74">
        <v>0</v>
      </c>
      <c r="T74">
        <v>0</v>
      </c>
    </row>
    <row r="75" spans="2:21">
      <c r="B75" t="s">
        <v>433</v>
      </c>
      <c r="C75">
        <v>0</v>
      </c>
      <c r="D75">
        <v>0</v>
      </c>
      <c r="E75">
        <v>100000</v>
      </c>
      <c r="F75">
        <v>-82</v>
      </c>
      <c r="G75">
        <v>0</v>
      </c>
      <c r="H75">
        <v>0</v>
      </c>
      <c r="I75">
        <v>-2463</v>
      </c>
      <c r="J75">
        <v>0</v>
      </c>
      <c r="K75">
        <v>0</v>
      </c>
      <c r="L75">
        <v>0</v>
      </c>
      <c r="M75">
        <v>555742</v>
      </c>
      <c r="N75">
        <v>-297020</v>
      </c>
      <c r="O75">
        <v>-260037</v>
      </c>
      <c r="P75">
        <v>0</v>
      </c>
      <c r="Q75">
        <v>1135</v>
      </c>
      <c r="R75">
        <v>100000</v>
      </c>
      <c r="S75">
        <v>1500000</v>
      </c>
      <c r="T75">
        <v>0</v>
      </c>
    </row>
    <row r="76" spans="2:21">
      <c r="B76" t="s">
        <v>1167</v>
      </c>
      <c r="C76">
        <v>0</v>
      </c>
      <c r="D76">
        <v>0</v>
      </c>
      <c r="E76">
        <v>0</v>
      </c>
      <c r="F76">
        <v>0</v>
      </c>
      <c r="G76">
        <v>0</v>
      </c>
      <c r="H76">
        <v>0</v>
      </c>
      <c r="I76">
        <v>0</v>
      </c>
      <c r="J76">
        <v>0</v>
      </c>
      <c r="K76">
        <v>0</v>
      </c>
      <c r="L76">
        <v>0</v>
      </c>
      <c r="M76">
        <v>0</v>
      </c>
      <c r="N76">
        <v>0</v>
      </c>
      <c r="O76">
        <v>0</v>
      </c>
      <c r="P76">
        <v>0</v>
      </c>
      <c r="Q76">
        <v>0</v>
      </c>
      <c r="R76">
        <v>0</v>
      </c>
      <c r="S76">
        <v>0</v>
      </c>
      <c r="T76">
        <v>0</v>
      </c>
      <c r="U76">
        <f t="shared" ref="U76:U78" si="0">SUM(T76:T76)</f>
        <v>0</v>
      </c>
    </row>
    <row r="77" spans="2:21">
      <c r="B77" t="s">
        <v>851</v>
      </c>
      <c r="C77">
        <v>0</v>
      </c>
      <c r="D77">
        <v>0</v>
      </c>
      <c r="E77">
        <v>1602192</v>
      </c>
      <c r="F77">
        <v>24445</v>
      </c>
      <c r="G77">
        <v>-102964</v>
      </c>
      <c r="H77">
        <v>-27653</v>
      </c>
      <c r="I77">
        <v>673615</v>
      </c>
      <c r="J77">
        <v>14672</v>
      </c>
      <c r="K77">
        <v>0</v>
      </c>
      <c r="L77">
        <v>0</v>
      </c>
      <c r="M77">
        <v>618334</v>
      </c>
      <c r="N77">
        <v>50071</v>
      </c>
      <c r="O77">
        <v>-171758</v>
      </c>
      <c r="P77">
        <v>29971</v>
      </c>
      <c r="Q77">
        <v>224216</v>
      </c>
      <c r="R77">
        <v>-228338</v>
      </c>
      <c r="S77">
        <v>-805475</v>
      </c>
      <c r="T77">
        <v>0</v>
      </c>
      <c r="U77">
        <f t="shared" si="0"/>
        <v>0</v>
      </c>
    </row>
    <row r="78" spans="2:21">
      <c r="B78" t="s">
        <v>1167</v>
      </c>
      <c r="C78">
        <v>0</v>
      </c>
      <c r="D78">
        <v>0</v>
      </c>
      <c r="E78">
        <v>0</v>
      </c>
      <c r="F78">
        <v>0</v>
      </c>
      <c r="G78">
        <v>0</v>
      </c>
      <c r="H78">
        <v>0</v>
      </c>
      <c r="I78">
        <v>0</v>
      </c>
      <c r="J78">
        <v>0</v>
      </c>
      <c r="K78">
        <v>0</v>
      </c>
      <c r="L78">
        <v>0</v>
      </c>
      <c r="M78">
        <v>0</v>
      </c>
      <c r="N78">
        <v>0</v>
      </c>
      <c r="O78">
        <v>0</v>
      </c>
      <c r="P78">
        <v>0</v>
      </c>
      <c r="Q78">
        <v>0</v>
      </c>
      <c r="R78">
        <v>0</v>
      </c>
      <c r="S78">
        <v>0</v>
      </c>
      <c r="T78">
        <v>0</v>
      </c>
      <c r="U78">
        <f t="shared" si="0"/>
        <v>0</v>
      </c>
    </row>
    <row r="79" spans="2:21">
      <c r="B79" t="s">
        <v>2892</v>
      </c>
      <c r="C79">
        <v>0</v>
      </c>
      <c r="D79">
        <v>0</v>
      </c>
      <c r="E79">
        <v>7939175</v>
      </c>
      <c r="F79">
        <v>22307</v>
      </c>
      <c r="G79">
        <v>201003</v>
      </c>
      <c r="H79">
        <v>1223418</v>
      </c>
      <c r="I79">
        <v>6814025</v>
      </c>
      <c r="J79">
        <v>103927</v>
      </c>
      <c r="K79">
        <v>0</v>
      </c>
      <c r="L79">
        <v>0</v>
      </c>
      <c r="M79" s="211">
        <f>1742561-200-1</f>
        <v>1742360</v>
      </c>
      <c r="N79">
        <v>962600</v>
      </c>
      <c r="O79" s="211">
        <f>541098-691+4</f>
        <v>540411</v>
      </c>
      <c r="P79">
        <v>64261</v>
      </c>
      <c r="Q79">
        <v>1188198</v>
      </c>
      <c r="R79" s="211">
        <f>1025279+4673</f>
        <v>1029952</v>
      </c>
      <c r="S79">
        <v>902899</v>
      </c>
      <c r="T79">
        <v>0</v>
      </c>
      <c r="U79">
        <f>SUM(M79:T79)</f>
        <v>6430681</v>
      </c>
    </row>
    <row r="80" spans="2:21">
      <c r="D80">
        <f>+D79+D81</f>
        <v>0</v>
      </c>
      <c r="E80">
        <f>+E79+E81</f>
        <v>7939175</v>
      </c>
      <c r="F80">
        <f t="shared" ref="F80:J80" si="1">+F79+F81</f>
        <v>22307</v>
      </c>
      <c r="G80">
        <f t="shared" si="1"/>
        <v>201003</v>
      </c>
      <c r="H80">
        <f t="shared" si="1"/>
        <v>1223418</v>
      </c>
      <c r="I80">
        <f t="shared" si="1"/>
        <v>6814025</v>
      </c>
      <c r="J80">
        <f t="shared" si="1"/>
        <v>103927</v>
      </c>
      <c r="M80">
        <f>+M79+M81</f>
        <v>1742360</v>
      </c>
      <c r="N80">
        <f>+N79+N81</f>
        <v>962600</v>
      </c>
      <c r="O80">
        <f t="shared" ref="O80:T80" si="2">+O79+O81</f>
        <v>540411</v>
      </c>
      <c r="P80">
        <f t="shared" si="2"/>
        <v>64261</v>
      </c>
      <c r="Q80">
        <f t="shared" si="2"/>
        <v>1188198</v>
      </c>
      <c r="R80">
        <f t="shared" si="2"/>
        <v>1029952</v>
      </c>
      <c r="S80">
        <f t="shared" si="2"/>
        <v>902899</v>
      </c>
      <c r="T80">
        <f t="shared" si="2"/>
        <v>0</v>
      </c>
    </row>
    <row r="81" spans="2:20">
      <c r="B81" s="851" t="s">
        <v>2626</v>
      </c>
      <c r="D81" s="146">
        <v>0</v>
      </c>
      <c r="E81" s="146">
        <v>0</v>
      </c>
      <c r="F81" s="146">
        <v>0</v>
      </c>
      <c r="G81" s="146">
        <v>0</v>
      </c>
      <c r="H81" s="146">
        <v>0</v>
      </c>
      <c r="I81" s="146">
        <v>0</v>
      </c>
      <c r="J81" s="146">
        <v>0</v>
      </c>
      <c r="M81" s="146">
        <v>0</v>
      </c>
      <c r="N81" s="146">
        <v>0</v>
      </c>
      <c r="O81" s="146">
        <v>0</v>
      </c>
      <c r="P81" s="146">
        <v>0</v>
      </c>
      <c r="Q81" s="146">
        <v>0</v>
      </c>
      <c r="R81" s="146">
        <v>0</v>
      </c>
      <c r="S81" s="146">
        <v>0</v>
      </c>
      <c r="T81" s="146">
        <v>0</v>
      </c>
    </row>
    <row r="83" spans="2:20">
      <c r="M83" s="211" t="s">
        <v>3319</v>
      </c>
      <c r="O83" s="211" t="s">
        <v>3320</v>
      </c>
      <c r="R83" s="211" t="s">
        <v>3316</v>
      </c>
    </row>
  </sheetData>
  <phoneticPr fontId="0" type="noConversion"/>
  <pageMargins left="0.25" right="0.25" top="0.25" bottom="0.25" header="0.25" footer="0.25"/>
  <pageSetup scale="45" firstPageNumber="100" orientation="landscape" useFirstPageNumber="1" horizontalDpi="4294967292" r:id="rId1"/>
  <headerFooter alignWithMargins="0"/>
  <tableParts count="1">
    <tablePart r:id="rId2"/>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3"/>
  <dimension ref="A1:AL90"/>
  <sheetViews>
    <sheetView topLeftCell="A4" workbookViewId="0">
      <pane xSplit="1" ySplit="6" topLeftCell="B10" activePane="bottomRight" state="frozen"/>
      <selection activeCell="A4" sqref="A4"/>
      <selection pane="topRight" activeCell="B4" sqref="B4"/>
      <selection pane="bottomLeft" activeCell="A10" sqref="A10"/>
      <selection pane="bottomRight" activeCell="B24" sqref="B24"/>
    </sheetView>
  </sheetViews>
  <sheetFormatPr defaultRowHeight="12.75"/>
  <cols>
    <col min="1" max="1" width="9.140625" customWidth="1"/>
    <col min="2" max="2" width="16" customWidth="1"/>
    <col min="3" max="21" width="9.140625" customWidth="1"/>
    <col min="22" max="23" width="9.140625" bestFit="1" customWidth="1"/>
    <col min="24" max="25" width="9.140625" customWidth="1"/>
    <col min="26" max="26" width="11" bestFit="1" customWidth="1"/>
    <col min="27" max="27" width="10.28515625" bestFit="1" customWidth="1"/>
  </cols>
  <sheetData>
    <row r="1" spans="1:38">
      <c r="B1">
        <v>10</v>
      </c>
      <c r="C1">
        <v>12</v>
      </c>
      <c r="D1">
        <v>15</v>
      </c>
      <c r="E1">
        <v>17</v>
      </c>
      <c r="F1">
        <v>18</v>
      </c>
      <c r="G1">
        <v>20</v>
      </c>
      <c r="H1">
        <v>25</v>
      </c>
      <c r="I1">
        <v>30</v>
      </c>
      <c r="J1">
        <v>35</v>
      </c>
      <c r="K1">
        <v>40</v>
      </c>
      <c r="L1">
        <v>45</v>
      </c>
      <c r="M1">
        <v>50</v>
      </c>
      <c r="N1">
        <v>55</v>
      </c>
      <c r="O1">
        <v>60</v>
      </c>
      <c r="P1">
        <v>65</v>
      </c>
      <c r="Q1">
        <v>70</v>
      </c>
      <c r="R1">
        <v>75</v>
      </c>
      <c r="S1">
        <v>80</v>
      </c>
      <c r="T1">
        <v>85</v>
      </c>
      <c r="U1">
        <v>90</v>
      </c>
      <c r="V1">
        <v>100</v>
      </c>
      <c r="W1">
        <v>115</v>
      </c>
      <c r="X1">
        <v>120</v>
      </c>
      <c r="Y1">
        <v>125</v>
      </c>
    </row>
    <row r="4" spans="1:38">
      <c r="B4" s="28"/>
      <c r="C4" s="28" t="s">
        <v>425</v>
      </c>
      <c r="D4" s="28" t="s">
        <v>294</v>
      </c>
      <c r="E4" s="28"/>
      <c r="F4" s="28"/>
      <c r="G4" s="28"/>
      <c r="H4" s="28" t="s">
        <v>1354</v>
      </c>
      <c r="I4" s="28" t="s">
        <v>20</v>
      </c>
      <c r="J4" s="28"/>
      <c r="K4" s="28" t="s">
        <v>478</v>
      </c>
      <c r="L4" s="21"/>
      <c r="M4" s="28" t="s">
        <v>888</v>
      </c>
      <c r="N4" s="28"/>
      <c r="O4" s="28"/>
      <c r="P4" s="28"/>
      <c r="Q4" s="28"/>
      <c r="R4" s="28" t="s">
        <v>889</v>
      </c>
      <c r="S4" s="28"/>
      <c r="T4" s="28"/>
      <c r="U4" s="28" t="s">
        <v>1618</v>
      </c>
      <c r="V4" s="28"/>
      <c r="W4" s="28"/>
    </row>
    <row r="5" spans="1:38">
      <c r="B5" s="28"/>
      <c r="C5" s="28" t="s">
        <v>426</v>
      </c>
      <c r="D5" s="28" t="s">
        <v>295</v>
      </c>
      <c r="E5" s="28" t="s">
        <v>1133</v>
      </c>
      <c r="F5" s="28" t="s">
        <v>476</v>
      </c>
      <c r="G5" s="28" t="s">
        <v>21</v>
      </c>
      <c r="H5" s="28" t="s">
        <v>1188</v>
      </c>
      <c r="I5" s="28" t="s">
        <v>1189</v>
      </c>
      <c r="J5" s="28" t="s">
        <v>2343</v>
      </c>
      <c r="K5" s="28" t="s">
        <v>365</v>
      </c>
      <c r="L5" s="28" t="s">
        <v>20</v>
      </c>
      <c r="M5" s="28" t="s">
        <v>32</v>
      </c>
      <c r="N5" s="28" t="s">
        <v>781</v>
      </c>
      <c r="O5" s="28" t="s">
        <v>782</v>
      </c>
      <c r="P5" s="28" t="s">
        <v>1129</v>
      </c>
      <c r="Q5" s="28" t="s">
        <v>1130</v>
      </c>
      <c r="R5" s="28" t="s">
        <v>1134</v>
      </c>
      <c r="S5" s="28" t="s">
        <v>1132</v>
      </c>
      <c r="T5" s="28" t="s">
        <v>791</v>
      </c>
      <c r="U5" s="28" t="s">
        <v>1627</v>
      </c>
      <c r="V5" s="28" t="s">
        <v>1297</v>
      </c>
      <c r="W5" s="28"/>
      <c r="Y5" s="28"/>
      <c r="Z5" s="28"/>
      <c r="AA5" s="28"/>
      <c r="AB5" s="28"/>
      <c r="AC5" s="28"/>
      <c r="AD5" s="28"/>
      <c r="AE5" s="28"/>
      <c r="AF5" s="28"/>
      <c r="AG5" s="28"/>
      <c r="AH5" s="28"/>
      <c r="AI5" s="28"/>
      <c r="AJ5" s="28"/>
      <c r="AK5" s="28"/>
      <c r="AL5" s="28"/>
    </row>
    <row r="6" spans="1:38">
      <c r="B6" s="28" t="s">
        <v>316</v>
      </c>
      <c r="C6" s="28" t="s">
        <v>586</v>
      </c>
      <c r="D6" s="28" t="s">
        <v>296</v>
      </c>
      <c r="E6" s="28" t="s">
        <v>762</v>
      </c>
      <c r="F6" s="28" t="s">
        <v>222</v>
      </c>
      <c r="G6" s="28" t="s">
        <v>590</v>
      </c>
      <c r="H6" s="28" t="s">
        <v>584</v>
      </c>
      <c r="I6" s="28" t="s">
        <v>519</v>
      </c>
      <c r="J6" s="28" t="s">
        <v>584</v>
      </c>
      <c r="K6" s="28" t="s">
        <v>762</v>
      </c>
      <c r="L6" s="28" t="s">
        <v>587</v>
      </c>
      <c r="M6" s="28" t="s">
        <v>586</v>
      </c>
      <c r="N6" s="28" t="s">
        <v>20</v>
      </c>
      <c r="O6" s="28" t="s">
        <v>588</v>
      </c>
      <c r="P6" s="28" t="s">
        <v>762</v>
      </c>
      <c r="Q6" s="28" t="s">
        <v>589</v>
      </c>
      <c r="R6" s="28" t="s">
        <v>762</v>
      </c>
      <c r="S6" s="28" t="s">
        <v>762</v>
      </c>
      <c r="T6" s="28" t="s">
        <v>1282</v>
      </c>
      <c r="U6" s="28" t="s">
        <v>1628</v>
      </c>
      <c r="V6" s="28" t="s">
        <v>856</v>
      </c>
      <c r="W6" s="28" t="s">
        <v>585</v>
      </c>
      <c r="X6" s="28" t="s">
        <v>592</v>
      </c>
      <c r="Y6" s="28" t="s">
        <v>591</v>
      </c>
      <c r="Z6" s="28"/>
      <c r="AA6" s="28"/>
      <c r="AB6" s="28"/>
      <c r="AC6" s="28"/>
      <c r="AD6" s="28"/>
      <c r="AE6" s="28"/>
      <c r="AF6" s="28"/>
      <c r="AG6" s="28"/>
      <c r="AH6" s="28"/>
      <c r="AI6" s="28"/>
      <c r="AJ6" s="28"/>
      <c r="AK6" s="28"/>
    </row>
    <row r="7" spans="1:38">
      <c r="B7" s="64">
        <v>691</v>
      </c>
      <c r="C7" s="64">
        <v>698</v>
      </c>
      <c r="D7" s="64">
        <v>699</v>
      </c>
      <c r="E7" s="64">
        <v>700</v>
      </c>
      <c r="F7" s="64">
        <v>701</v>
      </c>
      <c r="G7" s="64">
        <v>703</v>
      </c>
      <c r="H7" s="64">
        <v>706</v>
      </c>
      <c r="I7" s="64">
        <v>708</v>
      </c>
      <c r="J7" s="64">
        <v>709</v>
      </c>
      <c r="K7" s="64">
        <v>710</v>
      </c>
      <c r="L7" s="64">
        <v>711</v>
      </c>
      <c r="M7" s="64">
        <v>712</v>
      </c>
      <c r="N7" s="64">
        <v>713</v>
      </c>
      <c r="O7" s="64">
        <v>714</v>
      </c>
      <c r="P7" s="64">
        <v>715</v>
      </c>
      <c r="Q7" s="64">
        <v>716</v>
      </c>
      <c r="R7" s="64">
        <v>717</v>
      </c>
      <c r="S7" s="64">
        <v>718</v>
      </c>
      <c r="T7" s="64">
        <v>790</v>
      </c>
      <c r="U7" s="64">
        <v>793</v>
      </c>
      <c r="V7" s="64" t="s">
        <v>2810</v>
      </c>
      <c r="W7" s="64" t="s">
        <v>2809</v>
      </c>
      <c r="X7" s="64" t="s">
        <v>158</v>
      </c>
      <c r="Y7" s="64" t="s">
        <v>797</v>
      </c>
      <c r="Z7" s="64"/>
      <c r="AA7" s="64"/>
      <c r="AB7" s="64"/>
      <c r="AC7" s="64"/>
      <c r="AD7" s="64"/>
      <c r="AE7" s="64"/>
      <c r="AF7" s="64"/>
      <c r="AG7" s="64"/>
      <c r="AH7" s="64"/>
      <c r="AI7" s="64"/>
      <c r="AJ7" s="64"/>
      <c r="AK7" s="64"/>
    </row>
    <row r="9" spans="1:38">
      <c r="A9" t="s">
        <v>1165</v>
      </c>
      <c r="B9" t="s">
        <v>1166</v>
      </c>
      <c r="C9" t="s">
        <v>599</v>
      </c>
      <c r="D9" t="s">
        <v>600</v>
      </c>
      <c r="E9" t="s">
        <v>601</v>
      </c>
      <c r="F9" t="s">
        <v>602</v>
      </c>
      <c r="G9" t="s">
        <v>603</v>
      </c>
      <c r="H9" t="s">
        <v>172</v>
      </c>
      <c r="I9" t="s">
        <v>173</v>
      </c>
      <c r="J9" t="s">
        <v>174</v>
      </c>
      <c r="K9" t="s">
        <v>175</v>
      </c>
      <c r="L9" t="s">
        <v>176</v>
      </c>
      <c r="M9" t="s">
        <v>177</v>
      </c>
      <c r="N9" t="s">
        <v>944</v>
      </c>
      <c r="O9" t="s">
        <v>945</v>
      </c>
      <c r="P9" t="s">
        <v>946</v>
      </c>
      <c r="Q9" t="s">
        <v>1312</v>
      </c>
      <c r="R9" t="s">
        <v>1313</v>
      </c>
      <c r="S9" t="s">
        <v>1314</v>
      </c>
      <c r="T9" t="s">
        <v>1315</v>
      </c>
      <c r="U9" t="s">
        <v>1316</v>
      </c>
      <c r="V9" t="s">
        <v>1317</v>
      </c>
      <c r="W9" t="s">
        <v>1318</v>
      </c>
      <c r="X9" t="s">
        <v>1319</v>
      </c>
      <c r="Y9" t="s">
        <v>1320</v>
      </c>
    </row>
    <row r="10" spans="1:38">
      <c r="A10" t="s">
        <v>1167</v>
      </c>
      <c r="B10">
        <v>0</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row>
    <row r="11" spans="1:38">
      <c r="A11" t="s">
        <v>1167</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row>
    <row r="12" spans="1:38">
      <c r="A12" t="s">
        <v>1167</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row>
    <row r="13" spans="1:38">
      <c r="A13" t="s">
        <v>477</v>
      </c>
      <c r="B13">
        <v>0</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row>
    <row r="14" spans="1:38">
      <c r="A14" t="s">
        <v>1167</v>
      </c>
      <c r="B14">
        <v>0</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row>
    <row r="15" spans="1:38">
      <c r="A15" t="s">
        <v>1167</v>
      </c>
      <c r="B15">
        <v>0</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row>
    <row r="16" spans="1:38">
      <c r="A16" t="s">
        <v>1167</v>
      </c>
      <c r="B16">
        <v>0</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row>
    <row r="17" spans="1:27">
      <c r="A17" t="s">
        <v>1167</v>
      </c>
      <c r="B17">
        <v>0</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row>
    <row r="18" spans="1:27">
      <c r="A18" t="s">
        <v>1167</v>
      </c>
      <c r="B18">
        <v>0</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AA18" s="1130" t="s">
        <v>3237</v>
      </c>
    </row>
    <row r="19" spans="1:27">
      <c r="A19" t="s">
        <v>937</v>
      </c>
      <c r="B19">
        <v>0</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AA19" s="851" t="s">
        <v>3236</v>
      </c>
    </row>
    <row r="20" spans="1:27">
      <c r="A20" t="s">
        <v>487</v>
      </c>
      <c r="B20">
        <v>0</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row>
    <row r="21" spans="1:27">
      <c r="A21" t="s">
        <v>488</v>
      </c>
      <c r="B21">
        <v>3891655</v>
      </c>
      <c r="C21">
        <v>0</v>
      </c>
      <c r="D21">
        <v>32848</v>
      </c>
      <c r="E21">
        <v>41606</v>
      </c>
      <c r="F21">
        <v>0</v>
      </c>
      <c r="G21">
        <v>44162</v>
      </c>
      <c r="H21">
        <v>8412</v>
      </c>
      <c r="I21">
        <v>0</v>
      </c>
      <c r="J21">
        <v>8608</v>
      </c>
      <c r="K21">
        <v>0</v>
      </c>
      <c r="L21">
        <v>204466</v>
      </c>
      <c r="M21">
        <v>1082</v>
      </c>
      <c r="N21">
        <v>476989</v>
      </c>
      <c r="O21">
        <v>296099</v>
      </c>
      <c r="P21">
        <v>4921</v>
      </c>
      <c r="Q21">
        <v>1325611</v>
      </c>
      <c r="R21">
        <v>0</v>
      </c>
      <c r="S21">
        <v>90503</v>
      </c>
      <c r="T21">
        <v>59182</v>
      </c>
      <c r="U21">
        <v>34351</v>
      </c>
      <c r="V21" s="146">
        <v>6671184</v>
      </c>
      <c r="W21">
        <v>56491698</v>
      </c>
      <c r="X21">
        <v>880292</v>
      </c>
      <c r="Y21">
        <v>1311078</v>
      </c>
      <c r="AA21" s="21"/>
    </row>
    <row r="22" spans="1:27">
      <c r="A22" t="s">
        <v>489</v>
      </c>
      <c r="B22">
        <v>0</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row>
    <row r="23" spans="1:27">
      <c r="A23" t="s">
        <v>490</v>
      </c>
      <c r="B23">
        <v>0</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row>
    <row r="24" spans="1:27">
      <c r="A24" t="s">
        <v>491</v>
      </c>
      <c r="B24">
        <v>90459</v>
      </c>
      <c r="C24">
        <v>0</v>
      </c>
      <c r="D24">
        <v>0</v>
      </c>
      <c r="E24">
        <v>0</v>
      </c>
      <c r="F24">
        <v>0</v>
      </c>
      <c r="G24">
        <v>0</v>
      </c>
      <c r="H24">
        <v>0</v>
      </c>
      <c r="I24">
        <v>0</v>
      </c>
      <c r="J24">
        <v>0</v>
      </c>
      <c r="K24">
        <v>74322</v>
      </c>
      <c r="L24">
        <v>0</v>
      </c>
      <c r="M24">
        <v>0</v>
      </c>
      <c r="N24">
        <v>0</v>
      </c>
      <c r="O24">
        <v>0</v>
      </c>
      <c r="P24">
        <v>0</v>
      </c>
      <c r="Q24">
        <v>0</v>
      </c>
      <c r="R24">
        <v>0</v>
      </c>
      <c r="S24">
        <v>0</v>
      </c>
      <c r="T24">
        <v>0</v>
      </c>
      <c r="U24">
        <v>0</v>
      </c>
      <c r="V24" s="146">
        <v>99738</v>
      </c>
      <c r="W24">
        <v>1296525</v>
      </c>
      <c r="X24">
        <v>909928</v>
      </c>
      <c r="Y24">
        <v>431391</v>
      </c>
    </row>
    <row r="25" spans="1:27">
      <c r="A25" t="s">
        <v>492</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row>
    <row r="26" spans="1:27">
      <c r="A26" t="s">
        <v>493</v>
      </c>
      <c r="B26">
        <v>0</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row>
    <row r="27" spans="1:27">
      <c r="A27" t="s">
        <v>1089</v>
      </c>
      <c r="B27">
        <v>0</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row>
    <row r="28" spans="1:27">
      <c r="A28" t="s">
        <v>1090</v>
      </c>
      <c r="B28">
        <v>0</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row>
    <row r="29" spans="1:27">
      <c r="A29" t="s">
        <v>1299</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row>
    <row r="30" spans="1:27">
      <c r="A30" t="s">
        <v>342</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row>
    <row r="31" spans="1:27">
      <c r="A31" t="s">
        <v>1300</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row>
    <row r="32" spans="1:27">
      <c r="A32" t="s">
        <v>488</v>
      </c>
      <c r="B32">
        <v>0</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row>
    <row r="33" spans="1:25">
      <c r="A33" t="s">
        <v>489</v>
      </c>
      <c r="B33">
        <v>0</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row>
    <row r="34" spans="1:25">
      <c r="A34" t="s">
        <v>1301</v>
      </c>
      <c r="B34">
        <v>0</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row>
    <row r="35" spans="1:25">
      <c r="A35" t="s">
        <v>1302</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row>
    <row r="36" spans="1:25">
      <c r="A36" t="s">
        <v>1303</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row>
    <row r="37" spans="1:25">
      <c r="A37" t="s">
        <v>1219</v>
      </c>
      <c r="B37">
        <v>0</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row>
    <row r="38" spans="1:25">
      <c r="A38" t="s">
        <v>1305</v>
      </c>
      <c r="B38">
        <v>0</v>
      </c>
      <c r="C38">
        <v>0</v>
      </c>
      <c r="D38">
        <v>0</v>
      </c>
      <c r="E38">
        <v>0</v>
      </c>
      <c r="F38">
        <v>0</v>
      </c>
      <c r="G38">
        <v>0</v>
      </c>
      <c r="H38">
        <v>0</v>
      </c>
      <c r="I38">
        <v>15629</v>
      </c>
      <c r="J38">
        <v>0</v>
      </c>
      <c r="K38">
        <v>0</v>
      </c>
      <c r="L38">
        <v>0</v>
      </c>
      <c r="M38">
        <v>0</v>
      </c>
      <c r="N38">
        <v>0</v>
      </c>
      <c r="O38">
        <v>0</v>
      </c>
      <c r="P38">
        <v>0</v>
      </c>
      <c r="Q38">
        <v>0</v>
      </c>
      <c r="R38">
        <v>0</v>
      </c>
      <c r="S38">
        <v>0</v>
      </c>
      <c r="T38">
        <v>0</v>
      </c>
      <c r="U38">
        <v>0</v>
      </c>
      <c r="V38">
        <v>0</v>
      </c>
      <c r="W38">
        <v>0</v>
      </c>
      <c r="X38">
        <v>0</v>
      </c>
      <c r="Y38">
        <v>0</v>
      </c>
    </row>
    <row r="39" spans="1:25">
      <c r="A39" t="s">
        <v>1306</v>
      </c>
      <c r="B39">
        <v>0</v>
      </c>
      <c r="C39">
        <v>0</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row>
    <row r="40" spans="1:25">
      <c r="A40" t="s">
        <v>872</v>
      </c>
      <c r="B40">
        <v>0</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row>
    <row r="41" spans="1:25">
      <c r="A41" t="s">
        <v>1367</v>
      </c>
      <c r="B41">
        <v>0</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row>
    <row r="42" spans="1:25">
      <c r="A42" t="s">
        <v>448</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row>
    <row r="43" spans="1:25">
      <c r="A43" t="s">
        <v>449</v>
      </c>
      <c r="B43">
        <v>0</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row>
    <row r="44" spans="1:25">
      <c r="A44" t="s">
        <v>450</v>
      </c>
      <c r="B44">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row>
    <row r="45" spans="1:25">
      <c r="A45" t="s">
        <v>451</v>
      </c>
      <c r="B45">
        <v>0</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row>
    <row r="46" spans="1:25">
      <c r="A46" t="s">
        <v>254</v>
      </c>
      <c r="B46">
        <v>3982114</v>
      </c>
      <c r="C46">
        <v>0</v>
      </c>
      <c r="D46">
        <v>32848</v>
      </c>
      <c r="E46">
        <v>41606</v>
      </c>
      <c r="F46">
        <v>0</v>
      </c>
      <c r="G46">
        <v>44162</v>
      </c>
      <c r="H46">
        <v>8412</v>
      </c>
      <c r="I46">
        <v>0</v>
      </c>
      <c r="J46">
        <v>8608</v>
      </c>
      <c r="K46">
        <v>74322</v>
      </c>
      <c r="L46">
        <v>204466</v>
      </c>
      <c r="M46">
        <v>1082</v>
      </c>
      <c r="N46">
        <v>476989</v>
      </c>
      <c r="O46">
        <v>296099</v>
      </c>
      <c r="P46">
        <v>4921</v>
      </c>
      <c r="Q46">
        <v>1325611</v>
      </c>
      <c r="R46">
        <v>0</v>
      </c>
      <c r="S46">
        <v>90503</v>
      </c>
      <c r="T46">
        <v>59182</v>
      </c>
      <c r="U46">
        <v>34351</v>
      </c>
      <c r="V46">
        <v>6770922</v>
      </c>
      <c r="W46">
        <v>57788223</v>
      </c>
      <c r="X46">
        <v>1790220</v>
      </c>
      <c r="Y46">
        <v>1742469</v>
      </c>
    </row>
    <row r="47" spans="1:25">
      <c r="A47" t="s">
        <v>1167</v>
      </c>
      <c r="B47">
        <v>0</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row>
    <row r="48" spans="1:25">
      <c r="A48" t="s">
        <v>597</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row>
    <row r="49" spans="1:25">
      <c r="A49" t="s">
        <v>987</v>
      </c>
      <c r="B49">
        <v>0</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row>
    <row r="50" spans="1:25">
      <c r="A50" t="s">
        <v>643</v>
      </c>
      <c r="B50">
        <v>0</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row>
    <row r="51" spans="1:25">
      <c r="A51" t="s">
        <v>452</v>
      </c>
      <c r="B51">
        <v>0</v>
      </c>
      <c r="C51">
        <v>0</v>
      </c>
      <c r="D51">
        <v>0</v>
      </c>
      <c r="E51">
        <v>41606</v>
      </c>
      <c r="F51">
        <v>0</v>
      </c>
      <c r="G51">
        <v>0</v>
      </c>
      <c r="H51">
        <v>0</v>
      </c>
      <c r="I51">
        <v>15629</v>
      </c>
      <c r="J51">
        <v>0</v>
      </c>
      <c r="K51">
        <v>0</v>
      </c>
      <c r="L51">
        <v>0</v>
      </c>
      <c r="M51">
        <v>1082</v>
      </c>
      <c r="N51">
        <v>476989</v>
      </c>
      <c r="O51">
        <v>0</v>
      </c>
      <c r="P51">
        <v>4921</v>
      </c>
      <c r="Q51">
        <v>0</v>
      </c>
      <c r="R51">
        <v>0</v>
      </c>
      <c r="S51">
        <v>0</v>
      </c>
      <c r="T51">
        <v>59182</v>
      </c>
      <c r="U51">
        <v>0</v>
      </c>
      <c r="V51">
        <v>0</v>
      </c>
      <c r="W51">
        <v>2554271</v>
      </c>
      <c r="X51">
        <v>0</v>
      </c>
      <c r="Y51">
        <v>239308</v>
      </c>
    </row>
    <row r="52" spans="1:25">
      <c r="A52" t="s">
        <v>648</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row>
    <row r="53" spans="1:25">
      <c r="A53" t="s">
        <v>649</v>
      </c>
      <c r="B53">
        <v>0</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row>
    <row r="54" spans="1:25">
      <c r="A54" t="s">
        <v>453</v>
      </c>
      <c r="B54">
        <v>0</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row>
    <row r="55" spans="1:25">
      <c r="A55" t="s">
        <v>1085</v>
      </c>
      <c r="B55">
        <v>90459</v>
      </c>
      <c r="C55">
        <v>0</v>
      </c>
      <c r="D55">
        <v>0</v>
      </c>
      <c r="E55">
        <v>0</v>
      </c>
      <c r="F55">
        <v>0</v>
      </c>
      <c r="G55">
        <v>0</v>
      </c>
      <c r="H55">
        <v>0</v>
      </c>
      <c r="I55">
        <v>0</v>
      </c>
      <c r="J55">
        <v>0</v>
      </c>
      <c r="K55">
        <v>74322</v>
      </c>
      <c r="L55">
        <v>0</v>
      </c>
      <c r="M55">
        <v>0</v>
      </c>
      <c r="N55">
        <v>0</v>
      </c>
      <c r="O55">
        <v>0</v>
      </c>
      <c r="P55">
        <v>0</v>
      </c>
      <c r="Q55">
        <v>0</v>
      </c>
      <c r="R55">
        <v>0</v>
      </c>
      <c r="S55">
        <v>0</v>
      </c>
      <c r="T55">
        <v>0</v>
      </c>
      <c r="U55">
        <v>0</v>
      </c>
      <c r="V55" s="146">
        <v>99738</v>
      </c>
      <c r="W55">
        <v>1296525</v>
      </c>
      <c r="X55">
        <v>909928</v>
      </c>
      <c r="Y55">
        <v>431391</v>
      </c>
    </row>
    <row r="56" spans="1:25">
      <c r="A56" t="s">
        <v>650</v>
      </c>
      <c r="B56">
        <v>0</v>
      </c>
      <c r="C56">
        <v>0</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row>
    <row r="57" spans="1:25">
      <c r="A57" t="s">
        <v>651</v>
      </c>
      <c r="B57">
        <v>0</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row>
    <row r="58" spans="1:25">
      <c r="A58" t="s">
        <v>652</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row>
    <row r="59" spans="1:25">
      <c r="A59" t="s">
        <v>653</v>
      </c>
      <c r="B59">
        <v>0</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row>
    <row r="60" spans="1:25">
      <c r="A60" t="s">
        <v>455</v>
      </c>
      <c r="B60">
        <v>0</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row>
    <row r="61" spans="1:25">
      <c r="A61" t="s">
        <v>654</v>
      </c>
      <c r="B61">
        <v>0</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row>
    <row r="62" spans="1:25">
      <c r="A62" t="s">
        <v>655</v>
      </c>
      <c r="B62">
        <v>0</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row>
    <row r="63" spans="1:25">
      <c r="A63" t="s">
        <v>656</v>
      </c>
      <c r="B63">
        <v>0</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row>
    <row r="64" spans="1:25">
      <c r="A64" t="s">
        <v>657</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row>
    <row r="65" spans="1:27">
      <c r="A65" t="s">
        <v>651</v>
      </c>
      <c r="B65">
        <v>0</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row>
    <row r="66" spans="1:27">
      <c r="A66" t="s">
        <v>658</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row>
    <row r="67" spans="1:27">
      <c r="A67" t="s">
        <v>659</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row>
    <row r="68" spans="1:27">
      <c r="A68" t="s">
        <v>805</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row>
    <row r="69" spans="1:27">
      <c r="A69" t="s">
        <v>1167</v>
      </c>
      <c r="B69">
        <v>0</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row>
    <row r="70" spans="1:27">
      <c r="A70" t="s">
        <v>456</v>
      </c>
      <c r="B70">
        <v>90459</v>
      </c>
      <c r="C70">
        <v>0</v>
      </c>
      <c r="D70">
        <v>0</v>
      </c>
      <c r="E70">
        <v>41606</v>
      </c>
      <c r="F70">
        <v>0</v>
      </c>
      <c r="G70">
        <v>0</v>
      </c>
      <c r="H70">
        <v>0</v>
      </c>
      <c r="I70">
        <v>15629</v>
      </c>
      <c r="J70">
        <v>0</v>
      </c>
      <c r="K70">
        <v>74322</v>
      </c>
      <c r="L70">
        <v>0</v>
      </c>
      <c r="M70">
        <v>1082</v>
      </c>
      <c r="N70">
        <v>476989</v>
      </c>
      <c r="O70">
        <v>0</v>
      </c>
      <c r="P70">
        <v>4921</v>
      </c>
      <c r="Q70">
        <v>0</v>
      </c>
      <c r="R70">
        <v>0</v>
      </c>
      <c r="S70">
        <v>0</v>
      </c>
      <c r="T70">
        <v>59182</v>
      </c>
      <c r="U70">
        <v>0</v>
      </c>
      <c r="V70">
        <v>99738</v>
      </c>
      <c r="W70">
        <v>3850796</v>
      </c>
      <c r="X70">
        <v>909928</v>
      </c>
      <c r="Y70">
        <v>670699</v>
      </c>
    </row>
    <row r="71" spans="1:27">
      <c r="A71" t="s">
        <v>1167</v>
      </c>
      <c r="B71">
        <v>0</v>
      </c>
      <c r="C71">
        <v>0</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row>
    <row r="72" spans="1:27">
      <c r="A72" t="s">
        <v>457</v>
      </c>
      <c r="B72">
        <v>0</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row>
    <row r="73" spans="1:27">
      <c r="A73" t="s">
        <v>458</v>
      </c>
      <c r="B73">
        <v>3891655</v>
      </c>
      <c r="C73">
        <v>0</v>
      </c>
      <c r="D73">
        <v>32848</v>
      </c>
      <c r="E73">
        <v>0</v>
      </c>
      <c r="F73">
        <v>0</v>
      </c>
      <c r="G73">
        <v>44162</v>
      </c>
      <c r="H73">
        <v>8412</v>
      </c>
      <c r="I73">
        <v>0</v>
      </c>
      <c r="J73">
        <v>8608</v>
      </c>
      <c r="K73">
        <v>0</v>
      </c>
      <c r="L73">
        <v>204466</v>
      </c>
      <c r="M73">
        <v>0</v>
      </c>
      <c r="N73">
        <v>0</v>
      </c>
      <c r="O73">
        <v>296099</v>
      </c>
      <c r="P73">
        <v>0</v>
      </c>
      <c r="Q73">
        <v>1325611</v>
      </c>
      <c r="R73">
        <v>0</v>
      </c>
      <c r="S73">
        <v>90503</v>
      </c>
      <c r="T73">
        <v>0</v>
      </c>
      <c r="U73">
        <v>34351</v>
      </c>
      <c r="V73" s="146">
        <v>6671184</v>
      </c>
      <c r="W73">
        <v>53937427</v>
      </c>
      <c r="X73">
        <v>880292</v>
      </c>
      <c r="Y73">
        <v>1071770</v>
      </c>
      <c r="AA73">
        <v>-8960448.6899999995</v>
      </c>
    </row>
    <row r="74" spans="1:27">
      <c r="A74" t="s">
        <v>1167</v>
      </c>
      <c r="B74">
        <v>0</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AA74">
        <v>9196973</v>
      </c>
    </row>
    <row r="75" spans="1:27">
      <c r="A75" t="s">
        <v>459</v>
      </c>
      <c r="B75">
        <v>3891655</v>
      </c>
      <c r="C75">
        <v>0</v>
      </c>
      <c r="D75">
        <v>32848</v>
      </c>
      <c r="E75">
        <v>0</v>
      </c>
      <c r="F75">
        <v>0</v>
      </c>
      <c r="G75">
        <v>44162</v>
      </c>
      <c r="H75">
        <v>8412</v>
      </c>
      <c r="I75">
        <v>0</v>
      </c>
      <c r="J75">
        <v>8608</v>
      </c>
      <c r="K75">
        <v>0</v>
      </c>
      <c r="L75">
        <v>204466</v>
      </c>
      <c r="M75">
        <v>0</v>
      </c>
      <c r="N75">
        <v>0</v>
      </c>
      <c r="O75">
        <v>296099</v>
      </c>
      <c r="P75">
        <v>0</v>
      </c>
      <c r="Q75">
        <v>1325611</v>
      </c>
      <c r="R75">
        <v>0</v>
      </c>
      <c r="S75">
        <v>90503</v>
      </c>
      <c r="T75">
        <v>0</v>
      </c>
      <c r="U75">
        <v>34351</v>
      </c>
      <c r="V75">
        <v>6671184</v>
      </c>
      <c r="W75">
        <v>53937427</v>
      </c>
      <c r="X75">
        <v>880292</v>
      </c>
      <c r="Y75">
        <v>1071770</v>
      </c>
      <c r="AA75">
        <v>-356860</v>
      </c>
    </row>
    <row r="76" spans="1:27">
      <c r="A76" t="s">
        <v>1167</v>
      </c>
      <c r="B76">
        <v>0</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row>
    <row r="77" spans="1:27">
      <c r="A77" t="s">
        <v>460</v>
      </c>
      <c r="B77">
        <v>3982114</v>
      </c>
      <c r="C77">
        <v>0</v>
      </c>
      <c r="D77">
        <v>32848</v>
      </c>
      <c r="E77">
        <v>41606</v>
      </c>
      <c r="F77">
        <v>0</v>
      </c>
      <c r="G77">
        <v>44162</v>
      </c>
      <c r="H77">
        <v>8412</v>
      </c>
      <c r="I77">
        <v>15629</v>
      </c>
      <c r="J77">
        <v>8608</v>
      </c>
      <c r="K77">
        <v>74322</v>
      </c>
      <c r="L77">
        <v>204466</v>
      </c>
      <c r="M77">
        <v>1082</v>
      </c>
      <c r="N77">
        <v>476989</v>
      </c>
      <c r="O77">
        <v>296099</v>
      </c>
      <c r="P77">
        <v>4921</v>
      </c>
      <c r="Q77">
        <v>1325611</v>
      </c>
      <c r="R77">
        <v>0</v>
      </c>
      <c r="S77">
        <v>90503</v>
      </c>
      <c r="T77">
        <v>59182</v>
      </c>
      <c r="U77">
        <v>34351</v>
      </c>
      <c r="V77">
        <v>6770922</v>
      </c>
      <c r="W77">
        <v>57788223</v>
      </c>
      <c r="X77">
        <v>1790220</v>
      </c>
      <c r="Y77">
        <v>1742469</v>
      </c>
    </row>
    <row r="81" spans="1:25">
      <c r="A81" s="883" t="s">
        <v>254</v>
      </c>
      <c r="B81">
        <f>SUM(B20:B45)</f>
        <v>3982114</v>
      </c>
      <c r="C81">
        <f t="shared" ref="C81:Y81" si="0">SUM(C20:C45)</f>
        <v>0</v>
      </c>
      <c r="D81">
        <f t="shared" si="0"/>
        <v>32848</v>
      </c>
      <c r="E81">
        <f t="shared" si="0"/>
        <v>41606</v>
      </c>
      <c r="F81">
        <f t="shared" si="0"/>
        <v>0</v>
      </c>
      <c r="G81">
        <f t="shared" si="0"/>
        <v>44162</v>
      </c>
      <c r="H81">
        <f t="shared" si="0"/>
        <v>8412</v>
      </c>
      <c r="I81">
        <f t="shared" si="0"/>
        <v>15629</v>
      </c>
      <c r="J81">
        <f t="shared" si="0"/>
        <v>8608</v>
      </c>
      <c r="K81">
        <f t="shared" si="0"/>
        <v>74322</v>
      </c>
      <c r="L81">
        <f t="shared" si="0"/>
        <v>204466</v>
      </c>
      <c r="M81">
        <f t="shared" si="0"/>
        <v>1082</v>
      </c>
      <c r="N81">
        <f t="shared" si="0"/>
        <v>476989</v>
      </c>
      <c r="O81">
        <f t="shared" si="0"/>
        <v>296099</v>
      </c>
      <c r="P81">
        <f t="shared" si="0"/>
        <v>4921</v>
      </c>
      <c r="Q81">
        <f t="shared" si="0"/>
        <v>1325611</v>
      </c>
      <c r="R81">
        <f t="shared" si="0"/>
        <v>0</v>
      </c>
      <c r="S81">
        <f t="shared" si="0"/>
        <v>90503</v>
      </c>
      <c r="T81">
        <f t="shared" si="0"/>
        <v>59182</v>
      </c>
      <c r="U81">
        <f t="shared" si="0"/>
        <v>34351</v>
      </c>
      <c r="V81">
        <f t="shared" si="0"/>
        <v>6770922</v>
      </c>
      <c r="W81">
        <f t="shared" si="0"/>
        <v>57788223</v>
      </c>
      <c r="X81">
        <f t="shared" si="0"/>
        <v>1790220</v>
      </c>
      <c r="Y81">
        <f t="shared" si="0"/>
        <v>1742469</v>
      </c>
    </row>
    <row r="83" spans="1:25">
      <c r="A83" s="883" t="s">
        <v>456</v>
      </c>
      <c r="B83">
        <f>SUM(B48:B69)</f>
        <v>90459</v>
      </c>
      <c r="C83">
        <f t="shared" ref="C83:Y83" si="1">SUM(C48:C69)</f>
        <v>0</v>
      </c>
      <c r="D83">
        <f t="shared" si="1"/>
        <v>0</v>
      </c>
      <c r="E83">
        <f t="shared" si="1"/>
        <v>41606</v>
      </c>
      <c r="F83">
        <f t="shared" si="1"/>
        <v>0</v>
      </c>
      <c r="G83">
        <f t="shared" si="1"/>
        <v>0</v>
      </c>
      <c r="H83">
        <f t="shared" si="1"/>
        <v>0</v>
      </c>
      <c r="I83">
        <f t="shared" si="1"/>
        <v>15629</v>
      </c>
      <c r="J83">
        <f t="shared" si="1"/>
        <v>0</v>
      </c>
      <c r="K83">
        <f t="shared" si="1"/>
        <v>74322</v>
      </c>
      <c r="L83">
        <f t="shared" si="1"/>
        <v>0</v>
      </c>
      <c r="M83">
        <f t="shared" si="1"/>
        <v>1082</v>
      </c>
      <c r="N83">
        <f t="shared" si="1"/>
        <v>476989</v>
      </c>
      <c r="O83">
        <f t="shared" si="1"/>
        <v>0</v>
      </c>
      <c r="P83">
        <f t="shared" si="1"/>
        <v>4921</v>
      </c>
      <c r="Q83">
        <f t="shared" si="1"/>
        <v>0</v>
      </c>
      <c r="R83">
        <f t="shared" si="1"/>
        <v>0</v>
      </c>
      <c r="S83">
        <f t="shared" si="1"/>
        <v>0</v>
      </c>
      <c r="T83">
        <f t="shared" si="1"/>
        <v>59182</v>
      </c>
      <c r="U83">
        <f t="shared" si="1"/>
        <v>0</v>
      </c>
      <c r="V83">
        <f t="shared" si="1"/>
        <v>99738</v>
      </c>
      <c r="W83">
        <f t="shared" si="1"/>
        <v>3850796</v>
      </c>
      <c r="X83">
        <f t="shared" si="1"/>
        <v>909928</v>
      </c>
      <c r="Y83">
        <f t="shared" si="1"/>
        <v>670699</v>
      </c>
    </row>
    <row r="84" spans="1:25">
      <c r="A84" s="884" t="s">
        <v>1167</v>
      </c>
    </row>
    <row r="85" spans="1:25">
      <c r="A85" s="883" t="s">
        <v>457</v>
      </c>
    </row>
    <row r="86" spans="1:25">
      <c r="A86" s="884" t="s">
        <v>458</v>
      </c>
      <c r="B86">
        <f>+B73</f>
        <v>3891655</v>
      </c>
      <c r="C86">
        <f t="shared" ref="C86:Y86" si="2">+C73</f>
        <v>0</v>
      </c>
      <c r="D86">
        <f t="shared" si="2"/>
        <v>32848</v>
      </c>
      <c r="E86">
        <f t="shared" si="2"/>
        <v>0</v>
      </c>
      <c r="F86">
        <f t="shared" si="2"/>
        <v>0</v>
      </c>
      <c r="G86">
        <f t="shared" si="2"/>
        <v>44162</v>
      </c>
      <c r="H86">
        <f t="shared" si="2"/>
        <v>8412</v>
      </c>
      <c r="I86">
        <f t="shared" si="2"/>
        <v>0</v>
      </c>
      <c r="J86">
        <f t="shared" si="2"/>
        <v>8608</v>
      </c>
      <c r="K86">
        <f t="shared" si="2"/>
        <v>0</v>
      </c>
      <c r="L86">
        <f t="shared" si="2"/>
        <v>204466</v>
      </c>
      <c r="M86">
        <f t="shared" si="2"/>
        <v>0</v>
      </c>
      <c r="N86">
        <f t="shared" si="2"/>
        <v>0</v>
      </c>
      <c r="O86">
        <f t="shared" si="2"/>
        <v>296099</v>
      </c>
      <c r="P86">
        <f t="shared" si="2"/>
        <v>0</v>
      </c>
      <c r="Q86">
        <f t="shared" si="2"/>
        <v>1325611</v>
      </c>
      <c r="R86">
        <f t="shared" si="2"/>
        <v>0</v>
      </c>
      <c r="S86">
        <f t="shared" si="2"/>
        <v>90503</v>
      </c>
      <c r="T86">
        <f t="shared" si="2"/>
        <v>0</v>
      </c>
      <c r="U86">
        <f t="shared" si="2"/>
        <v>34351</v>
      </c>
      <c r="V86">
        <f t="shared" si="2"/>
        <v>6671184</v>
      </c>
      <c r="W86">
        <f t="shared" si="2"/>
        <v>53937427</v>
      </c>
      <c r="X86">
        <f t="shared" si="2"/>
        <v>880292</v>
      </c>
      <c r="Y86">
        <f t="shared" si="2"/>
        <v>1071770</v>
      </c>
    </row>
    <row r="88" spans="1:25" ht="13.5" thickBot="1">
      <c r="A88" s="885" t="s">
        <v>460</v>
      </c>
      <c r="B88" s="887">
        <f>+B86+B83</f>
        <v>3982114</v>
      </c>
      <c r="C88" s="887">
        <f t="shared" ref="C88:Y88" si="3">+C86+C83</f>
        <v>0</v>
      </c>
      <c r="D88" s="887">
        <f t="shared" si="3"/>
        <v>32848</v>
      </c>
      <c r="E88" s="887">
        <f t="shared" si="3"/>
        <v>41606</v>
      </c>
      <c r="F88" s="887">
        <f t="shared" si="3"/>
        <v>0</v>
      </c>
      <c r="G88" s="887">
        <f t="shared" si="3"/>
        <v>44162</v>
      </c>
      <c r="H88" s="887">
        <f t="shared" si="3"/>
        <v>8412</v>
      </c>
      <c r="I88" s="887">
        <f t="shared" si="3"/>
        <v>15629</v>
      </c>
      <c r="J88" s="887">
        <f t="shared" si="3"/>
        <v>8608</v>
      </c>
      <c r="K88" s="887">
        <f t="shared" si="3"/>
        <v>74322</v>
      </c>
      <c r="L88" s="887">
        <f t="shared" si="3"/>
        <v>204466</v>
      </c>
      <c r="M88" s="887">
        <f t="shared" si="3"/>
        <v>1082</v>
      </c>
      <c r="N88" s="887">
        <f t="shared" si="3"/>
        <v>476989</v>
      </c>
      <c r="O88" s="887">
        <f t="shared" si="3"/>
        <v>296099</v>
      </c>
      <c r="P88" s="887">
        <f t="shared" si="3"/>
        <v>4921</v>
      </c>
      <c r="Q88" s="887">
        <f t="shared" si="3"/>
        <v>1325611</v>
      </c>
      <c r="R88" s="887">
        <f t="shared" si="3"/>
        <v>0</v>
      </c>
      <c r="S88" s="887">
        <f t="shared" si="3"/>
        <v>90503</v>
      </c>
      <c r="T88" s="887">
        <f t="shared" si="3"/>
        <v>59182</v>
      </c>
      <c r="U88" s="887">
        <f t="shared" si="3"/>
        <v>34351</v>
      </c>
      <c r="V88" s="887">
        <f t="shared" si="3"/>
        <v>6770922</v>
      </c>
      <c r="W88" s="887">
        <f t="shared" si="3"/>
        <v>57788223</v>
      </c>
      <c r="X88" s="887">
        <f t="shared" si="3"/>
        <v>1790220</v>
      </c>
      <c r="Y88" s="887">
        <f t="shared" si="3"/>
        <v>1742469</v>
      </c>
    </row>
    <row r="89" spans="1:25" ht="13.5" thickTop="1"/>
    <row r="90" spans="1:25">
      <c r="B90">
        <f>+B81-B88</f>
        <v>0</v>
      </c>
      <c r="C90">
        <f t="shared" ref="C90:Y90" si="4">+C81-C88</f>
        <v>0</v>
      </c>
      <c r="D90">
        <f t="shared" si="4"/>
        <v>0</v>
      </c>
      <c r="E90">
        <f t="shared" si="4"/>
        <v>0</v>
      </c>
      <c r="F90">
        <f t="shared" si="4"/>
        <v>0</v>
      </c>
      <c r="G90">
        <f t="shared" si="4"/>
        <v>0</v>
      </c>
      <c r="H90">
        <f t="shared" si="4"/>
        <v>0</v>
      </c>
      <c r="I90">
        <f t="shared" si="4"/>
        <v>0</v>
      </c>
      <c r="J90">
        <f t="shared" si="4"/>
        <v>0</v>
      </c>
      <c r="K90">
        <f t="shared" si="4"/>
        <v>0</v>
      </c>
      <c r="L90">
        <f t="shared" si="4"/>
        <v>0</v>
      </c>
      <c r="M90">
        <f t="shared" si="4"/>
        <v>0</v>
      </c>
      <c r="N90">
        <f t="shared" si="4"/>
        <v>0</v>
      </c>
      <c r="O90">
        <f t="shared" si="4"/>
        <v>0</v>
      </c>
      <c r="P90">
        <f t="shared" si="4"/>
        <v>0</v>
      </c>
      <c r="Q90">
        <f t="shared" si="4"/>
        <v>0</v>
      </c>
      <c r="R90">
        <f t="shared" si="4"/>
        <v>0</v>
      </c>
      <c r="S90">
        <f t="shared" si="4"/>
        <v>0</v>
      </c>
      <c r="T90">
        <f t="shared" si="4"/>
        <v>0</v>
      </c>
      <c r="U90">
        <f t="shared" si="4"/>
        <v>0</v>
      </c>
      <c r="V90">
        <f t="shared" si="4"/>
        <v>0</v>
      </c>
      <c r="W90">
        <f t="shared" si="4"/>
        <v>0</v>
      </c>
      <c r="X90">
        <f t="shared" si="4"/>
        <v>0</v>
      </c>
      <c r="Y90">
        <f t="shared" si="4"/>
        <v>0</v>
      </c>
    </row>
  </sheetData>
  <pageMargins left="0.7" right="0.7" top="0.75" bottom="0.75" header="0.3" footer="0.3"/>
  <tableParts count="1">
    <tablePart r:id="rId1"/>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4"/>
  <dimension ref="A1:AL75"/>
  <sheetViews>
    <sheetView workbookViewId="0">
      <pane xSplit="1" ySplit="7" topLeftCell="G47" activePane="bottomRight" state="frozen"/>
      <selection pane="topRight" activeCell="B1" sqref="B1"/>
      <selection pane="bottomLeft" activeCell="A8" sqref="A8"/>
      <selection pane="bottomRight" activeCell="V54" sqref="V54"/>
    </sheetView>
  </sheetViews>
  <sheetFormatPr defaultRowHeight="12.75"/>
  <cols>
    <col min="1" max="1" width="20" bestFit="1" customWidth="1"/>
    <col min="2" max="22" width="10" bestFit="1" customWidth="1"/>
    <col min="23" max="23" width="11.7109375" bestFit="1" customWidth="1"/>
    <col min="24" max="25" width="10.7109375" bestFit="1" customWidth="1"/>
    <col min="26" max="26" width="11" bestFit="1" customWidth="1"/>
    <col min="27" max="27" width="10.28515625" bestFit="1" customWidth="1"/>
  </cols>
  <sheetData>
    <row r="1" spans="1:38">
      <c r="B1">
        <v>10</v>
      </c>
      <c r="C1">
        <v>12</v>
      </c>
      <c r="D1">
        <v>15</v>
      </c>
      <c r="E1">
        <v>17</v>
      </c>
      <c r="F1">
        <v>18</v>
      </c>
      <c r="G1">
        <v>20</v>
      </c>
      <c r="H1">
        <v>25</v>
      </c>
      <c r="I1">
        <v>30</v>
      </c>
      <c r="J1">
        <v>35</v>
      </c>
      <c r="K1">
        <v>40</v>
      </c>
      <c r="L1">
        <v>45</v>
      </c>
      <c r="M1">
        <v>50</v>
      </c>
      <c r="N1">
        <v>55</v>
      </c>
      <c r="O1">
        <v>60</v>
      </c>
      <c r="P1">
        <v>65</v>
      </c>
      <c r="Q1">
        <v>70</v>
      </c>
      <c r="R1">
        <v>75</v>
      </c>
      <c r="S1">
        <v>80</v>
      </c>
      <c r="T1">
        <v>85</v>
      </c>
      <c r="U1">
        <v>90</v>
      </c>
      <c r="V1">
        <v>100</v>
      </c>
      <c r="W1">
        <v>115</v>
      </c>
      <c r="X1">
        <v>120</v>
      </c>
      <c r="Y1">
        <v>125</v>
      </c>
    </row>
    <row r="2" spans="1:38">
      <c r="B2" s="70"/>
      <c r="C2" s="70"/>
      <c r="D2" s="70"/>
      <c r="E2" s="70"/>
      <c r="F2" s="70"/>
      <c r="G2" s="70"/>
      <c r="H2" s="70"/>
      <c r="I2" s="70"/>
      <c r="J2" s="70"/>
      <c r="K2" s="70"/>
      <c r="L2" s="70"/>
      <c r="M2" s="70"/>
      <c r="N2" s="70"/>
      <c r="O2" s="70"/>
      <c r="P2" s="70"/>
      <c r="Q2" s="70"/>
      <c r="R2" s="70"/>
      <c r="S2" s="70"/>
      <c r="T2" s="70"/>
      <c r="U2" s="70"/>
      <c r="V2" s="70"/>
      <c r="W2" s="70"/>
      <c r="X2" s="70"/>
      <c r="Y2" s="70"/>
    </row>
    <row r="4" spans="1:38">
      <c r="B4" s="28"/>
      <c r="C4" s="28" t="s">
        <v>425</v>
      </c>
      <c r="D4" s="28" t="s">
        <v>294</v>
      </c>
      <c r="E4" s="28"/>
      <c r="F4" s="28"/>
      <c r="G4" s="28"/>
      <c r="H4" s="28" t="s">
        <v>1354</v>
      </c>
      <c r="I4" s="28" t="s">
        <v>20</v>
      </c>
      <c r="J4" s="28"/>
      <c r="K4" s="28" t="s">
        <v>478</v>
      </c>
      <c r="L4" s="21"/>
      <c r="M4" s="28" t="s">
        <v>888</v>
      </c>
      <c r="N4" s="28"/>
      <c r="O4" s="28"/>
      <c r="P4" s="28"/>
      <c r="Q4" s="28"/>
      <c r="R4" s="28" t="s">
        <v>889</v>
      </c>
      <c r="S4" s="28"/>
      <c r="T4" s="28"/>
      <c r="U4" s="28" t="s">
        <v>1618</v>
      </c>
      <c r="V4" s="28"/>
      <c r="W4" s="28"/>
    </row>
    <row r="5" spans="1:38">
      <c r="B5" s="28"/>
      <c r="C5" s="28" t="s">
        <v>426</v>
      </c>
      <c r="D5" s="28" t="s">
        <v>295</v>
      </c>
      <c r="E5" s="28" t="s">
        <v>1133</v>
      </c>
      <c r="F5" s="28" t="s">
        <v>476</v>
      </c>
      <c r="G5" s="28" t="s">
        <v>21</v>
      </c>
      <c r="H5" s="28" t="s">
        <v>1188</v>
      </c>
      <c r="I5" s="28" t="s">
        <v>1189</v>
      </c>
      <c r="J5" s="28" t="s">
        <v>2343</v>
      </c>
      <c r="K5" s="28" t="s">
        <v>365</v>
      </c>
      <c r="L5" s="28" t="s">
        <v>20</v>
      </c>
      <c r="M5" s="28" t="s">
        <v>32</v>
      </c>
      <c r="N5" s="28" t="s">
        <v>781</v>
      </c>
      <c r="O5" s="28" t="s">
        <v>782</v>
      </c>
      <c r="P5" s="28" t="s">
        <v>1129</v>
      </c>
      <c r="Q5" s="28" t="s">
        <v>1130</v>
      </c>
      <c r="R5" s="28" t="s">
        <v>1134</v>
      </c>
      <c r="S5" s="28" t="s">
        <v>1132</v>
      </c>
      <c r="T5" s="28" t="s">
        <v>791</v>
      </c>
      <c r="U5" s="28" t="s">
        <v>1627</v>
      </c>
      <c r="V5" s="28" t="s">
        <v>1297</v>
      </c>
      <c r="W5" s="28"/>
      <c r="Y5" s="28"/>
      <c r="Z5" s="28"/>
      <c r="AA5" s="28"/>
      <c r="AB5" s="28"/>
      <c r="AC5" s="28"/>
      <c r="AD5" s="28"/>
      <c r="AE5" s="28"/>
      <c r="AF5" s="28"/>
      <c r="AG5" s="28"/>
      <c r="AH5" s="28"/>
      <c r="AI5" s="28"/>
      <c r="AJ5" s="28"/>
      <c r="AK5" s="28"/>
      <c r="AL5" s="28"/>
    </row>
    <row r="6" spans="1:38">
      <c r="B6" s="28" t="s">
        <v>316</v>
      </c>
      <c r="C6" s="28" t="s">
        <v>586</v>
      </c>
      <c r="D6" s="28" t="s">
        <v>296</v>
      </c>
      <c r="E6" s="28" t="s">
        <v>762</v>
      </c>
      <c r="F6" s="28" t="s">
        <v>222</v>
      </c>
      <c r="G6" s="28" t="s">
        <v>590</v>
      </c>
      <c r="H6" s="28" t="s">
        <v>584</v>
      </c>
      <c r="I6" s="28" t="s">
        <v>519</v>
      </c>
      <c r="J6" s="28" t="s">
        <v>584</v>
      </c>
      <c r="K6" s="28" t="s">
        <v>762</v>
      </c>
      <c r="L6" s="28" t="s">
        <v>587</v>
      </c>
      <c r="M6" s="28" t="s">
        <v>586</v>
      </c>
      <c r="N6" s="28" t="s">
        <v>20</v>
      </c>
      <c r="O6" s="28" t="s">
        <v>588</v>
      </c>
      <c r="P6" s="28" t="s">
        <v>762</v>
      </c>
      <c r="Q6" s="28" t="s">
        <v>589</v>
      </c>
      <c r="R6" s="28" t="s">
        <v>762</v>
      </c>
      <c r="S6" s="28" t="s">
        <v>762</v>
      </c>
      <c r="T6" s="28" t="s">
        <v>1282</v>
      </c>
      <c r="U6" s="28" t="s">
        <v>1628</v>
      </c>
      <c r="V6" s="28" t="s">
        <v>856</v>
      </c>
      <c r="W6" s="28" t="s">
        <v>585</v>
      </c>
      <c r="X6" s="28" t="s">
        <v>592</v>
      </c>
      <c r="Y6" s="28" t="s">
        <v>591</v>
      </c>
      <c r="Z6" s="28"/>
      <c r="AA6" s="28"/>
      <c r="AB6" s="28"/>
      <c r="AC6" s="28"/>
      <c r="AD6" s="28"/>
      <c r="AE6" s="28"/>
      <c r="AF6" s="28"/>
      <c r="AG6" s="28"/>
      <c r="AH6" s="28"/>
      <c r="AI6" s="28"/>
      <c r="AJ6" s="28"/>
      <c r="AK6" s="28"/>
    </row>
    <row r="7" spans="1:38">
      <c r="B7" s="64">
        <v>691</v>
      </c>
      <c r="C7" s="64">
        <v>698</v>
      </c>
      <c r="D7" s="64">
        <v>699</v>
      </c>
      <c r="E7" s="64">
        <v>700</v>
      </c>
      <c r="F7" s="64">
        <v>701</v>
      </c>
      <c r="G7" s="64">
        <v>703</v>
      </c>
      <c r="H7" s="64">
        <v>706</v>
      </c>
      <c r="I7" s="64">
        <v>708</v>
      </c>
      <c r="J7" s="64">
        <v>709</v>
      </c>
      <c r="K7" s="64">
        <v>710</v>
      </c>
      <c r="L7" s="64">
        <v>711</v>
      </c>
      <c r="M7" s="64">
        <v>712</v>
      </c>
      <c r="N7" s="64">
        <v>713</v>
      </c>
      <c r="O7" s="64">
        <v>714</v>
      </c>
      <c r="P7" s="64">
        <v>715</v>
      </c>
      <c r="Q7" s="64">
        <v>716</v>
      </c>
      <c r="R7" s="64">
        <v>717</v>
      </c>
      <c r="S7" s="64">
        <v>718</v>
      </c>
      <c r="T7" s="64">
        <v>790</v>
      </c>
      <c r="U7" s="64">
        <v>793</v>
      </c>
      <c r="V7" s="64" t="s">
        <v>2810</v>
      </c>
      <c r="W7" s="64" t="s">
        <v>2809</v>
      </c>
      <c r="X7" s="64" t="s">
        <v>158</v>
      </c>
      <c r="Y7" s="64" t="s">
        <v>797</v>
      </c>
      <c r="Z7" s="64"/>
      <c r="AA7" s="64"/>
      <c r="AB7" s="64"/>
      <c r="AC7" s="64"/>
      <c r="AD7" s="64"/>
      <c r="AE7" s="64"/>
      <c r="AF7" s="64"/>
      <c r="AG7" s="64"/>
      <c r="AH7" s="64"/>
      <c r="AI7" s="64"/>
      <c r="AJ7" s="64"/>
      <c r="AK7" s="64"/>
    </row>
    <row r="9" spans="1:38">
      <c r="A9" t="s">
        <v>1165</v>
      </c>
      <c r="B9" t="s">
        <v>1166</v>
      </c>
      <c r="C9" t="s">
        <v>599</v>
      </c>
      <c r="D9" t="s">
        <v>600</v>
      </c>
      <c r="E9" t="s">
        <v>601</v>
      </c>
      <c r="F9" t="s">
        <v>602</v>
      </c>
      <c r="G9" t="s">
        <v>603</v>
      </c>
      <c r="H9" t="s">
        <v>172</v>
      </c>
      <c r="I9" t="s">
        <v>173</v>
      </c>
      <c r="J9" t="s">
        <v>174</v>
      </c>
      <c r="K9" t="s">
        <v>175</v>
      </c>
      <c r="L9" t="s">
        <v>176</v>
      </c>
      <c r="M9" t="s">
        <v>177</v>
      </c>
      <c r="N9" t="s">
        <v>944</v>
      </c>
      <c r="O9" t="s">
        <v>945</v>
      </c>
      <c r="P9" t="s">
        <v>946</v>
      </c>
      <c r="Q9" t="s">
        <v>1312</v>
      </c>
      <c r="R9" t="s">
        <v>1313</v>
      </c>
      <c r="S9" t="s">
        <v>1314</v>
      </c>
      <c r="T9" t="s">
        <v>1315</v>
      </c>
      <c r="U9" t="s">
        <v>1316</v>
      </c>
      <c r="V9" t="s">
        <v>1317</v>
      </c>
      <c r="W9" t="s">
        <v>1318</v>
      </c>
      <c r="X9" t="s">
        <v>1319</v>
      </c>
      <c r="Y9" t="s">
        <v>1320</v>
      </c>
    </row>
    <row r="10" spans="1:38">
      <c r="A10" t="s">
        <v>2806</v>
      </c>
      <c r="B10">
        <v>0</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row>
    <row r="11" spans="1:38">
      <c r="A11" t="s">
        <v>810</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AA11" s="1130" t="s">
        <v>3237</v>
      </c>
    </row>
    <row r="12" spans="1:38">
      <c r="A12" t="s">
        <v>596</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AA12" s="851" t="s">
        <v>3236</v>
      </c>
    </row>
    <row r="13" spans="1:38">
      <c r="A13" t="s">
        <v>1151</v>
      </c>
      <c r="B13">
        <v>0</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row>
    <row r="14" spans="1:38">
      <c r="A14" t="s">
        <v>1152</v>
      </c>
      <c r="B14">
        <v>3630725</v>
      </c>
      <c r="C14">
        <v>0</v>
      </c>
      <c r="D14">
        <v>0</v>
      </c>
      <c r="E14">
        <v>0</v>
      </c>
      <c r="F14">
        <v>0</v>
      </c>
      <c r="G14">
        <v>0</v>
      </c>
      <c r="H14">
        <v>0</v>
      </c>
      <c r="I14">
        <v>0</v>
      </c>
      <c r="J14">
        <v>0</v>
      </c>
      <c r="K14">
        <v>0</v>
      </c>
      <c r="L14">
        <v>0</v>
      </c>
      <c r="M14">
        <v>0</v>
      </c>
      <c r="N14">
        <v>0</v>
      </c>
      <c r="O14">
        <v>0</v>
      </c>
      <c r="P14">
        <v>0</v>
      </c>
      <c r="Q14">
        <v>0</v>
      </c>
      <c r="R14">
        <v>0</v>
      </c>
      <c r="S14">
        <v>0</v>
      </c>
      <c r="T14">
        <v>0</v>
      </c>
      <c r="U14">
        <v>0</v>
      </c>
      <c r="V14" s="146">
        <v>3523107</v>
      </c>
      <c r="W14">
        <v>51684686</v>
      </c>
      <c r="X14">
        <v>29844548</v>
      </c>
      <c r="Y14">
        <v>17381078</v>
      </c>
    </row>
    <row r="15" spans="1:38">
      <c r="A15" t="s">
        <v>1153</v>
      </c>
      <c r="B15">
        <v>0</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978143</v>
      </c>
      <c r="Y15">
        <v>0</v>
      </c>
    </row>
    <row r="16" spans="1:38">
      <c r="A16" t="s">
        <v>1287</v>
      </c>
      <c r="B16">
        <v>251617</v>
      </c>
      <c r="C16">
        <v>0</v>
      </c>
      <c r="D16">
        <v>0</v>
      </c>
      <c r="E16">
        <v>0</v>
      </c>
      <c r="F16">
        <v>0</v>
      </c>
      <c r="G16">
        <v>0</v>
      </c>
      <c r="H16">
        <v>0</v>
      </c>
      <c r="I16">
        <v>0</v>
      </c>
      <c r="J16">
        <v>0</v>
      </c>
      <c r="K16">
        <v>0</v>
      </c>
      <c r="L16">
        <v>0</v>
      </c>
      <c r="M16">
        <v>0</v>
      </c>
      <c r="N16">
        <v>0</v>
      </c>
      <c r="O16">
        <v>0</v>
      </c>
      <c r="P16">
        <v>0</v>
      </c>
      <c r="Q16">
        <v>0</v>
      </c>
      <c r="R16">
        <v>0</v>
      </c>
      <c r="S16">
        <v>0</v>
      </c>
      <c r="T16">
        <v>0</v>
      </c>
      <c r="U16">
        <v>0</v>
      </c>
      <c r="V16">
        <v>190851</v>
      </c>
      <c r="W16">
        <v>0</v>
      </c>
      <c r="X16">
        <v>0</v>
      </c>
      <c r="Y16">
        <v>0</v>
      </c>
    </row>
    <row r="17" spans="1:25">
      <c r="A17" t="s">
        <v>165</v>
      </c>
      <c r="B17">
        <v>0</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row>
    <row r="18" spans="1:25">
      <c r="A18" t="s">
        <v>166</v>
      </c>
      <c r="B18">
        <v>0</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row>
    <row r="19" spans="1:25">
      <c r="A19" t="s">
        <v>1023</v>
      </c>
      <c r="B19">
        <v>0</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row>
    <row r="20" spans="1:25">
      <c r="A20" t="s">
        <v>1024</v>
      </c>
      <c r="B20">
        <v>0</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row>
    <row r="21" spans="1:25">
      <c r="A21" t="s">
        <v>1208</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row>
    <row r="22" spans="1:25">
      <c r="A22" t="s">
        <v>573</v>
      </c>
      <c r="B22">
        <v>0</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row>
    <row r="23" spans="1:25">
      <c r="A23" t="s">
        <v>574</v>
      </c>
      <c r="B23">
        <v>0</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row>
    <row r="24" spans="1:25">
      <c r="A24" t="s">
        <v>575</v>
      </c>
      <c r="B24">
        <v>0</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row>
    <row r="25" spans="1:25">
      <c r="A25" t="s">
        <v>1113</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row>
    <row r="26" spans="1:25">
      <c r="A26" t="s">
        <v>1114</v>
      </c>
      <c r="B26">
        <v>0</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row>
    <row r="27" spans="1:25">
      <c r="A27" t="s">
        <v>1115</v>
      </c>
      <c r="B27">
        <v>0</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row>
    <row r="28" spans="1:25">
      <c r="A28" t="s">
        <v>1116</v>
      </c>
      <c r="B28">
        <v>0</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row>
    <row r="29" spans="1:25">
      <c r="A29" t="s">
        <v>1117</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row>
    <row r="30" spans="1:25">
      <c r="A30" t="s">
        <v>1118</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row>
    <row r="31" spans="1:25">
      <c r="A31" t="s">
        <v>1119</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row>
    <row r="32" spans="1:25">
      <c r="A32" t="s">
        <v>1009</v>
      </c>
      <c r="B32">
        <v>0</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row>
    <row r="33" spans="1:25">
      <c r="A33" t="s">
        <v>1010</v>
      </c>
      <c r="B33">
        <v>235343</v>
      </c>
      <c r="C33">
        <v>0</v>
      </c>
      <c r="D33">
        <v>0</v>
      </c>
      <c r="E33">
        <v>0</v>
      </c>
      <c r="F33">
        <v>0</v>
      </c>
      <c r="G33">
        <v>0</v>
      </c>
      <c r="H33">
        <v>0</v>
      </c>
      <c r="I33">
        <v>0</v>
      </c>
      <c r="J33">
        <v>0</v>
      </c>
      <c r="K33">
        <v>0</v>
      </c>
      <c r="L33">
        <v>0</v>
      </c>
      <c r="M33">
        <v>0</v>
      </c>
      <c r="N33">
        <v>0</v>
      </c>
      <c r="O33">
        <v>0</v>
      </c>
      <c r="P33">
        <v>0</v>
      </c>
      <c r="Q33">
        <v>0</v>
      </c>
      <c r="R33">
        <v>0</v>
      </c>
      <c r="S33">
        <v>0</v>
      </c>
      <c r="T33">
        <v>0</v>
      </c>
      <c r="U33">
        <v>0</v>
      </c>
      <c r="V33">
        <v>151548</v>
      </c>
      <c r="W33">
        <v>0</v>
      </c>
      <c r="X33">
        <v>0</v>
      </c>
      <c r="Y33">
        <v>0</v>
      </c>
    </row>
    <row r="34" spans="1:25">
      <c r="A34" t="s">
        <v>1143</v>
      </c>
      <c r="B34">
        <v>0</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row>
    <row r="35" spans="1:25">
      <c r="A35" t="s">
        <v>1144</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row>
    <row r="36" spans="1:25">
      <c r="A36" t="s">
        <v>162</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row>
    <row r="37" spans="1:25">
      <c r="A37" t="s">
        <v>1011</v>
      </c>
      <c r="B37">
        <v>0</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row>
    <row r="38" spans="1:25">
      <c r="A38" t="s">
        <v>823</v>
      </c>
      <c r="B38">
        <v>0</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row>
    <row r="39" spans="1:25">
      <c r="A39" t="s">
        <v>824</v>
      </c>
      <c r="B39">
        <v>0</v>
      </c>
      <c r="C39">
        <v>0</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row>
    <row r="40" spans="1:25">
      <c r="A40" t="s">
        <v>825</v>
      </c>
      <c r="B40">
        <v>0</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row>
    <row r="41" spans="1:25">
      <c r="A41" t="s">
        <v>1074</v>
      </c>
      <c r="B41">
        <v>0</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row>
    <row r="42" spans="1:25">
      <c r="A42" t="s">
        <v>331</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row>
    <row r="43" spans="1:25">
      <c r="A43" t="s">
        <v>826</v>
      </c>
      <c r="B43">
        <v>0</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row>
    <row r="44" spans="1:25">
      <c r="A44" t="s">
        <v>263</v>
      </c>
      <c r="B44">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row>
    <row r="45" spans="1:25">
      <c r="A45" t="s">
        <v>827</v>
      </c>
      <c r="B45">
        <v>0</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row>
    <row r="46" spans="1:25">
      <c r="A46" t="s">
        <v>828</v>
      </c>
      <c r="B46">
        <v>0</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row>
    <row r="47" spans="1:25">
      <c r="A47" t="s">
        <v>769</v>
      </c>
      <c r="B47">
        <v>189819</v>
      </c>
      <c r="C47">
        <v>0</v>
      </c>
      <c r="D47">
        <v>11674</v>
      </c>
      <c r="E47">
        <v>0</v>
      </c>
      <c r="F47">
        <v>0</v>
      </c>
      <c r="G47">
        <v>554703</v>
      </c>
      <c r="H47">
        <v>215485</v>
      </c>
      <c r="I47">
        <v>0</v>
      </c>
      <c r="J47">
        <v>2116</v>
      </c>
      <c r="K47">
        <v>0</v>
      </c>
      <c r="L47">
        <v>151548</v>
      </c>
      <c r="M47">
        <v>0</v>
      </c>
      <c r="N47">
        <v>0</v>
      </c>
      <c r="O47">
        <v>0</v>
      </c>
      <c r="P47">
        <v>0</v>
      </c>
      <c r="Q47">
        <v>825294</v>
      </c>
      <c r="R47">
        <v>0</v>
      </c>
      <c r="S47">
        <v>168122</v>
      </c>
      <c r="T47">
        <v>0</v>
      </c>
      <c r="U47">
        <v>23125</v>
      </c>
      <c r="V47" s="146">
        <v>754424</v>
      </c>
      <c r="W47">
        <v>121253401</v>
      </c>
      <c r="X47">
        <v>8612</v>
      </c>
      <c r="Y47">
        <v>9488085</v>
      </c>
    </row>
    <row r="48" spans="1:25">
      <c r="A48" t="s">
        <v>770</v>
      </c>
      <c r="B48">
        <v>103765</v>
      </c>
      <c r="C48">
        <v>0</v>
      </c>
      <c r="D48">
        <v>1380</v>
      </c>
      <c r="E48">
        <v>0</v>
      </c>
      <c r="F48">
        <v>0</v>
      </c>
      <c r="G48">
        <v>0</v>
      </c>
      <c r="H48">
        <v>0</v>
      </c>
      <c r="I48">
        <v>0</v>
      </c>
      <c r="J48">
        <v>0</v>
      </c>
      <c r="K48">
        <v>0</v>
      </c>
      <c r="L48">
        <v>0</v>
      </c>
      <c r="M48">
        <v>0</v>
      </c>
      <c r="N48">
        <v>0</v>
      </c>
      <c r="O48">
        <v>0</v>
      </c>
      <c r="P48">
        <v>0</v>
      </c>
      <c r="Q48">
        <v>0</v>
      </c>
      <c r="R48">
        <v>0</v>
      </c>
      <c r="S48">
        <v>0</v>
      </c>
      <c r="T48">
        <v>0</v>
      </c>
      <c r="U48">
        <v>429</v>
      </c>
      <c r="V48" s="146">
        <v>199584</v>
      </c>
      <c r="W48">
        <v>5405630</v>
      </c>
      <c r="X48">
        <v>144</v>
      </c>
      <c r="Y48">
        <v>21961</v>
      </c>
    </row>
    <row r="49" spans="1:25">
      <c r="A49" t="s">
        <v>1167</v>
      </c>
      <c r="B49">
        <v>0</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row>
    <row r="50" spans="1:25">
      <c r="A50" t="s">
        <v>771</v>
      </c>
      <c r="B50">
        <v>4411269</v>
      </c>
      <c r="C50">
        <v>0</v>
      </c>
      <c r="D50">
        <v>13054</v>
      </c>
      <c r="E50">
        <v>0</v>
      </c>
      <c r="F50">
        <v>0</v>
      </c>
      <c r="G50">
        <v>554703</v>
      </c>
      <c r="H50">
        <v>215485</v>
      </c>
      <c r="I50">
        <v>0</v>
      </c>
      <c r="J50">
        <v>2116</v>
      </c>
      <c r="K50">
        <v>0</v>
      </c>
      <c r="L50">
        <v>151548</v>
      </c>
      <c r="M50">
        <v>0</v>
      </c>
      <c r="N50">
        <v>0</v>
      </c>
      <c r="O50">
        <v>0</v>
      </c>
      <c r="P50">
        <v>0</v>
      </c>
      <c r="Q50">
        <v>825294</v>
      </c>
      <c r="R50">
        <v>0</v>
      </c>
      <c r="S50">
        <v>168122</v>
      </c>
      <c r="T50">
        <v>0</v>
      </c>
      <c r="U50">
        <v>23554</v>
      </c>
      <c r="V50">
        <v>4819514</v>
      </c>
      <c r="W50">
        <v>178343717</v>
      </c>
      <c r="X50">
        <v>30831447</v>
      </c>
      <c r="Y50">
        <v>26891124</v>
      </c>
    </row>
    <row r="51" spans="1:25">
      <c r="A51" t="s">
        <v>1167</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row>
    <row r="52" spans="1:25">
      <c r="A52" t="s">
        <v>202</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row>
    <row r="53" spans="1:25">
      <c r="A53" t="s">
        <v>2807</v>
      </c>
      <c r="B53">
        <v>0</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row>
    <row r="54" spans="1:25">
      <c r="A54" t="s">
        <v>2808</v>
      </c>
      <c r="B54">
        <v>3961847</v>
      </c>
      <c r="C54">
        <v>0</v>
      </c>
      <c r="D54">
        <v>25951</v>
      </c>
      <c r="E54">
        <v>0</v>
      </c>
      <c r="F54">
        <v>0</v>
      </c>
      <c r="G54">
        <v>561603</v>
      </c>
      <c r="H54">
        <v>231220</v>
      </c>
      <c r="I54">
        <v>0</v>
      </c>
      <c r="J54">
        <v>0</v>
      </c>
      <c r="K54">
        <v>0</v>
      </c>
      <c r="L54">
        <v>0</v>
      </c>
      <c r="M54">
        <v>0</v>
      </c>
      <c r="N54">
        <v>0</v>
      </c>
      <c r="O54">
        <v>0</v>
      </c>
      <c r="P54">
        <v>0</v>
      </c>
      <c r="Q54">
        <v>400299</v>
      </c>
      <c r="R54">
        <v>0</v>
      </c>
      <c r="S54">
        <v>192303</v>
      </c>
      <c r="T54">
        <v>0</v>
      </c>
      <c r="U54">
        <v>0</v>
      </c>
      <c r="V54" s="168">
        <v>3994603</v>
      </c>
      <c r="W54">
        <v>172691625</v>
      </c>
      <c r="X54">
        <v>30644291</v>
      </c>
      <c r="Y54">
        <v>26717967</v>
      </c>
    </row>
    <row r="55" spans="1:25">
      <c r="A55" t="s">
        <v>1167</v>
      </c>
      <c r="B55">
        <v>0</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row>
    <row r="56" spans="1:25">
      <c r="A56" t="s">
        <v>849</v>
      </c>
      <c r="B56">
        <v>3961847</v>
      </c>
      <c r="C56">
        <v>0</v>
      </c>
      <c r="D56">
        <v>25951</v>
      </c>
      <c r="E56">
        <v>0</v>
      </c>
      <c r="F56">
        <v>0</v>
      </c>
      <c r="G56">
        <v>561603</v>
      </c>
      <c r="H56">
        <v>231220</v>
      </c>
      <c r="I56">
        <v>0</v>
      </c>
      <c r="J56">
        <v>0</v>
      </c>
      <c r="K56">
        <v>0</v>
      </c>
      <c r="L56">
        <v>0</v>
      </c>
      <c r="M56">
        <v>0</v>
      </c>
      <c r="N56">
        <v>0</v>
      </c>
      <c r="O56">
        <v>0</v>
      </c>
      <c r="P56">
        <v>0</v>
      </c>
      <c r="Q56">
        <v>400299</v>
      </c>
      <c r="R56">
        <v>0</v>
      </c>
      <c r="S56">
        <v>192303</v>
      </c>
      <c r="T56">
        <v>0</v>
      </c>
      <c r="U56">
        <v>0</v>
      </c>
      <c r="V56">
        <v>3994603</v>
      </c>
      <c r="W56">
        <v>172691625</v>
      </c>
      <c r="X56">
        <v>30644291</v>
      </c>
      <c r="Y56">
        <v>26717967</v>
      </c>
    </row>
    <row r="57" spans="1:25">
      <c r="A57" t="s">
        <v>850</v>
      </c>
      <c r="B57">
        <v>0</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row>
    <row r="58" spans="1:25">
      <c r="A58" t="s">
        <v>427</v>
      </c>
      <c r="B58">
        <v>449422</v>
      </c>
      <c r="C58">
        <v>0</v>
      </c>
      <c r="D58">
        <v>-12897</v>
      </c>
      <c r="E58">
        <v>0</v>
      </c>
      <c r="F58">
        <v>0</v>
      </c>
      <c r="G58">
        <v>-6900</v>
      </c>
      <c r="H58">
        <v>-15735</v>
      </c>
      <c r="I58">
        <v>0</v>
      </c>
      <c r="J58">
        <v>2116</v>
      </c>
      <c r="K58">
        <v>0</v>
      </c>
      <c r="L58">
        <v>151548</v>
      </c>
      <c r="M58">
        <v>0</v>
      </c>
      <c r="N58">
        <v>0</v>
      </c>
      <c r="O58">
        <v>0</v>
      </c>
      <c r="P58">
        <v>0</v>
      </c>
      <c r="Q58">
        <v>424995</v>
      </c>
      <c r="R58">
        <v>0</v>
      </c>
      <c r="S58">
        <v>-24181</v>
      </c>
      <c r="T58">
        <v>0</v>
      </c>
      <c r="U58">
        <v>23554</v>
      </c>
      <c r="V58">
        <v>824911</v>
      </c>
      <c r="W58">
        <v>5652092</v>
      </c>
      <c r="X58">
        <v>187156</v>
      </c>
      <c r="Y58">
        <v>173157</v>
      </c>
    </row>
    <row r="59" spans="1:25">
      <c r="A59" t="s">
        <v>1167</v>
      </c>
      <c r="B59">
        <v>0</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row>
    <row r="60" spans="1:25">
      <c r="A60" t="s">
        <v>852</v>
      </c>
      <c r="B60">
        <v>3442233</v>
      </c>
      <c r="C60">
        <v>0</v>
      </c>
      <c r="D60">
        <v>45744</v>
      </c>
      <c r="E60">
        <v>0</v>
      </c>
      <c r="F60">
        <v>0</v>
      </c>
      <c r="G60">
        <v>51062</v>
      </c>
      <c r="H60">
        <v>24147</v>
      </c>
      <c r="I60">
        <v>0</v>
      </c>
      <c r="J60">
        <v>6491</v>
      </c>
      <c r="K60">
        <v>0</v>
      </c>
      <c r="L60">
        <v>52918</v>
      </c>
      <c r="M60">
        <v>0</v>
      </c>
      <c r="N60">
        <v>0</v>
      </c>
      <c r="O60">
        <v>296099</v>
      </c>
      <c r="P60">
        <v>0</v>
      </c>
      <c r="Q60">
        <v>900616</v>
      </c>
      <c r="R60">
        <v>0</v>
      </c>
      <c r="S60">
        <v>114684</v>
      </c>
      <c r="T60">
        <v>0</v>
      </c>
      <c r="U60">
        <v>10797</v>
      </c>
      <c r="V60">
        <v>5846273</v>
      </c>
      <c r="W60">
        <v>48285334</v>
      </c>
      <c r="X60">
        <v>693136</v>
      </c>
      <c r="Y60">
        <v>898613</v>
      </c>
    </row>
    <row r="64" spans="1:25">
      <c r="A64" s="883" t="s">
        <v>771</v>
      </c>
      <c r="B64">
        <f t="shared" ref="B64" si="0">SUM(B10:B49)</f>
        <v>4411269</v>
      </c>
      <c r="C64">
        <f t="shared" ref="C64:Y64" si="1">SUM(C10:C49)</f>
        <v>0</v>
      </c>
      <c r="D64">
        <f t="shared" si="1"/>
        <v>13054</v>
      </c>
      <c r="E64">
        <f t="shared" si="1"/>
        <v>0</v>
      </c>
      <c r="F64">
        <f t="shared" si="1"/>
        <v>0</v>
      </c>
      <c r="G64">
        <f t="shared" si="1"/>
        <v>554703</v>
      </c>
      <c r="H64">
        <f t="shared" si="1"/>
        <v>215485</v>
      </c>
      <c r="I64">
        <f t="shared" si="1"/>
        <v>0</v>
      </c>
      <c r="J64">
        <f t="shared" si="1"/>
        <v>2116</v>
      </c>
      <c r="K64">
        <f t="shared" si="1"/>
        <v>0</v>
      </c>
      <c r="L64">
        <f t="shared" si="1"/>
        <v>151548</v>
      </c>
      <c r="M64">
        <f t="shared" si="1"/>
        <v>0</v>
      </c>
      <c r="N64">
        <f t="shared" si="1"/>
        <v>0</v>
      </c>
      <c r="O64">
        <f t="shared" si="1"/>
        <v>0</v>
      </c>
      <c r="P64">
        <f t="shared" si="1"/>
        <v>0</v>
      </c>
      <c r="Q64">
        <f t="shared" si="1"/>
        <v>825294</v>
      </c>
      <c r="R64">
        <f t="shared" si="1"/>
        <v>0</v>
      </c>
      <c r="S64">
        <f t="shared" si="1"/>
        <v>168122</v>
      </c>
      <c r="T64">
        <f t="shared" si="1"/>
        <v>0</v>
      </c>
      <c r="U64">
        <f t="shared" si="1"/>
        <v>23554</v>
      </c>
      <c r="V64">
        <f t="shared" si="1"/>
        <v>4819514</v>
      </c>
      <c r="W64">
        <f t="shared" si="1"/>
        <v>178343717</v>
      </c>
      <c r="X64">
        <f t="shared" si="1"/>
        <v>30831447</v>
      </c>
      <c r="Y64">
        <f t="shared" si="1"/>
        <v>26891124</v>
      </c>
    </row>
    <row r="66" spans="1:25">
      <c r="A66" s="883" t="s">
        <v>849</v>
      </c>
      <c r="B66">
        <f t="shared" ref="B66" si="2">+B54</f>
        <v>3961847</v>
      </c>
      <c r="C66">
        <f t="shared" ref="C66:Y66" si="3">+C54</f>
        <v>0</v>
      </c>
      <c r="D66">
        <f t="shared" si="3"/>
        <v>25951</v>
      </c>
      <c r="E66">
        <f t="shared" si="3"/>
        <v>0</v>
      </c>
      <c r="F66">
        <f t="shared" si="3"/>
        <v>0</v>
      </c>
      <c r="G66">
        <f t="shared" si="3"/>
        <v>561603</v>
      </c>
      <c r="H66">
        <f t="shared" si="3"/>
        <v>231220</v>
      </c>
      <c r="I66">
        <f t="shared" si="3"/>
        <v>0</v>
      </c>
      <c r="J66">
        <f t="shared" si="3"/>
        <v>0</v>
      </c>
      <c r="K66">
        <f t="shared" si="3"/>
        <v>0</v>
      </c>
      <c r="L66">
        <f t="shared" si="3"/>
        <v>0</v>
      </c>
      <c r="M66">
        <f t="shared" si="3"/>
        <v>0</v>
      </c>
      <c r="N66">
        <f t="shared" si="3"/>
        <v>0</v>
      </c>
      <c r="O66">
        <f t="shared" si="3"/>
        <v>0</v>
      </c>
      <c r="P66">
        <f t="shared" si="3"/>
        <v>0</v>
      </c>
      <c r="Q66">
        <f t="shared" si="3"/>
        <v>400299</v>
      </c>
      <c r="R66">
        <f t="shared" si="3"/>
        <v>0</v>
      </c>
      <c r="S66">
        <f t="shared" si="3"/>
        <v>192303</v>
      </c>
      <c r="T66">
        <f t="shared" si="3"/>
        <v>0</v>
      </c>
      <c r="U66">
        <f t="shared" si="3"/>
        <v>0</v>
      </c>
      <c r="V66">
        <f t="shared" si="3"/>
        <v>3994603</v>
      </c>
      <c r="W66">
        <f t="shared" si="3"/>
        <v>172691625</v>
      </c>
      <c r="X66">
        <f t="shared" si="3"/>
        <v>30644291</v>
      </c>
      <c r="Y66">
        <f t="shared" si="3"/>
        <v>26717967</v>
      </c>
    </row>
    <row r="68" spans="1:25">
      <c r="A68" s="884" t="s">
        <v>850</v>
      </c>
    </row>
    <row r="69" spans="1:25" ht="13.5" thickBot="1">
      <c r="A69" s="883" t="s">
        <v>427</v>
      </c>
      <c r="B69" s="41">
        <f t="shared" ref="B69" si="4">+B64-B66</f>
        <v>449422</v>
      </c>
      <c r="C69" s="41">
        <f t="shared" ref="C69:Y69" si="5">+C64-C66</f>
        <v>0</v>
      </c>
      <c r="D69" s="41">
        <f t="shared" si="5"/>
        <v>-12897</v>
      </c>
      <c r="E69" s="41">
        <f t="shared" si="5"/>
        <v>0</v>
      </c>
      <c r="F69" s="41">
        <f t="shared" si="5"/>
        <v>0</v>
      </c>
      <c r="G69" s="41">
        <f t="shared" si="5"/>
        <v>-6900</v>
      </c>
      <c r="H69" s="41">
        <f t="shared" si="5"/>
        <v>-15735</v>
      </c>
      <c r="I69" s="41">
        <f t="shared" si="5"/>
        <v>0</v>
      </c>
      <c r="J69" s="41">
        <f t="shared" si="5"/>
        <v>2116</v>
      </c>
      <c r="K69" s="41">
        <f t="shared" si="5"/>
        <v>0</v>
      </c>
      <c r="L69" s="41">
        <f t="shared" si="5"/>
        <v>151548</v>
      </c>
      <c r="M69" s="41">
        <f t="shared" si="5"/>
        <v>0</v>
      </c>
      <c r="N69" s="41">
        <f t="shared" si="5"/>
        <v>0</v>
      </c>
      <c r="O69" s="41">
        <f t="shared" si="5"/>
        <v>0</v>
      </c>
      <c r="P69" s="41">
        <f t="shared" si="5"/>
        <v>0</v>
      </c>
      <c r="Q69" s="41">
        <f t="shared" si="5"/>
        <v>424995</v>
      </c>
      <c r="R69" s="41">
        <f t="shared" si="5"/>
        <v>0</v>
      </c>
      <c r="S69" s="41">
        <f t="shared" si="5"/>
        <v>-24181</v>
      </c>
      <c r="T69" s="41">
        <f t="shared" si="5"/>
        <v>0</v>
      </c>
      <c r="U69" s="41">
        <f t="shared" si="5"/>
        <v>23554</v>
      </c>
      <c r="V69" s="41">
        <f t="shared" si="5"/>
        <v>824911</v>
      </c>
      <c r="W69" s="41">
        <f t="shared" si="5"/>
        <v>5652092</v>
      </c>
      <c r="X69" s="41">
        <f t="shared" si="5"/>
        <v>187156</v>
      </c>
      <c r="Y69" s="41">
        <f t="shared" si="5"/>
        <v>173157</v>
      </c>
    </row>
    <row r="70" spans="1:25" ht="13.5" thickTop="1"/>
    <row r="71" spans="1:25">
      <c r="A71" s="886" t="s">
        <v>852</v>
      </c>
      <c r="B71">
        <f>+B60</f>
        <v>3442233</v>
      </c>
      <c r="C71">
        <f t="shared" ref="C71:Y71" si="6">+C60</f>
        <v>0</v>
      </c>
      <c r="D71">
        <f t="shared" si="6"/>
        <v>45744</v>
      </c>
      <c r="E71">
        <f t="shared" si="6"/>
        <v>0</v>
      </c>
      <c r="F71">
        <f t="shared" si="6"/>
        <v>0</v>
      </c>
      <c r="G71">
        <f t="shared" si="6"/>
        <v>51062</v>
      </c>
      <c r="H71">
        <f t="shared" si="6"/>
        <v>24147</v>
      </c>
      <c r="I71">
        <f t="shared" si="6"/>
        <v>0</v>
      </c>
      <c r="J71">
        <f t="shared" si="6"/>
        <v>6491</v>
      </c>
      <c r="K71">
        <f t="shared" si="6"/>
        <v>0</v>
      </c>
      <c r="L71">
        <f t="shared" si="6"/>
        <v>52918</v>
      </c>
      <c r="M71">
        <f t="shared" si="6"/>
        <v>0</v>
      </c>
      <c r="N71">
        <f t="shared" si="6"/>
        <v>0</v>
      </c>
      <c r="O71">
        <f t="shared" si="6"/>
        <v>296099</v>
      </c>
      <c r="P71">
        <f t="shared" si="6"/>
        <v>0</v>
      </c>
      <c r="Q71">
        <f t="shared" si="6"/>
        <v>900616</v>
      </c>
      <c r="R71">
        <f t="shared" si="6"/>
        <v>0</v>
      </c>
      <c r="S71">
        <f t="shared" si="6"/>
        <v>114684</v>
      </c>
      <c r="T71">
        <f t="shared" si="6"/>
        <v>0</v>
      </c>
      <c r="U71">
        <f t="shared" si="6"/>
        <v>10797</v>
      </c>
      <c r="V71">
        <f>+V60</f>
        <v>5846273</v>
      </c>
      <c r="W71">
        <f t="shared" si="6"/>
        <v>48285334</v>
      </c>
      <c r="X71">
        <f t="shared" si="6"/>
        <v>693136</v>
      </c>
      <c r="Y71">
        <f t="shared" si="6"/>
        <v>898613</v>
      </c>
    </row>
    <row r="73" spans="1:25">
      <c r="A73" s="886" t="s">
        <v>2811</v>
      </c>
      <c r="B73">
        <f>+B71+B69</f>
        <v>3891655</v>
      </c>
      <c r="C73">
        <f t="shared" ref="C73:Y73" si="7">+C71+C69</f>
        <v>0</v>
      </c>
      <c r="D73">
        <f t="shared" si="7"/>
        <v>32847</v>
      </c>
      <c r="E73">
        <f t="shared" si="7"/>
        <v>0</v>
      </c>
      <c r="F73">
        <f t="shared" si="7"/>
        <v>0</v>
      </c>
      <c r="G73">
        <f t="shared" si="7"/>
        <v>44162</v>
      </c>
      <c r="H73">
        <f t="shared" si="7"/>
        <v>8412</v>
      </c>
      <c r="I73">
        <f t="shared" si="7"/>
        <v>0</v>
      </c>
      <c r="J73">
        <f t="shared" si="7"/>
        <v>8607</v>
      </c>
      <c r="K73">
        <f t="shared" si="7"/>
        <v>0</v>
      </c>
      <c r="L73">
        <f t="shared" si="7"/>
        <v>204466</v>
      </c>
      <c r="M73">
        <f t="shared" si="7"/>
        <v>0</v>
      </c>
      <c r="N73">
        <f t="shared" si="7"/>
        <v>0</v>
      </c>
      <c r="O73">
        <f t="shared" si="7"/>
        <v>296099</v>
      </c>
      <c r="P73">
        <f t="shared" si="7"/>
        <v>0</v>
      </c>
      <c r="Q73">
        <f t="shared" si="7"/>
        <v>1325611</v>
      </c>
      <c r="R73">
        <f t="shared" si="7"/>
        <v>0</v>
      </c>
      <c r="S73">
        <f t="shared" si="7"/>
        <v>90503</v>
      </c>
      <c r="T73">
        <f t="shared" si="7"/>
        <v>0</v>
      </c>
      <c r="U73">
        <f t="shared" si="7"/>
        <v>34351</v>
      </c>
      <c r="V73">
        <f t="shared" si="7"/>
        <v>6671184</v>
      </c>
      <c r="W73">
        <f t="shared" si="7"/>
        <v>53937426</v>
      </c>
      <c r="X73">
        <f t="shared" si="7"/>
        <v>880292</v>
      </c>
      <c r="Y73">
        <f t="shared" si="7"/>
        <v>1071770</v>
      </c>
    </row>
    <row r="75" spans="1:25">
      <c r="A75" s="21" t="s">
        <v>504</v>
      </c>
      <c r="B75">
        <f>+B73-'TA BS ER'!B86</f>
        <v>0</v>
      </c>
      <c r="C75">
        <f>+C73-'TA BS ER'!C86</f>
        <v>0</v>
      </c>
      <c r="D75">
        <f>+D73-'TA BS ER'!D86</f>
        <v>-1</v>
      </c>
      <c r="E75">
        <f>+E73-'TA BS ER'!E86</f>
        <v>0</v>
      </c>
      <c r="F75">
        <f>+F73-'TA BS ER'!F86</f>
        <v>0</v>
      </c>
      <c r="G75">
        <f>+G73-'TA BS ER'!G86</f>
        <v>0</v>
      </c>
      <c r="H75">
        <f>+H73-'TA BS ER'!H86</f>
        <v>0</v>
      </c>
      <c r="I75">
        <f>+I73-'TA BS ER'!I86</f>
        <v>0</v>
      </c>
      <c r="J75">
        <f>+J73-'TA BS ER'!J86</f>
        <v>-1</v>
      </c>
      <c r="K75">
        <f>+K73-'TA BS ER'!K86</f>
        <v>0</v>
      </c>
      <c r="L75">
        <f>+L73-'TA BS ER'!L86</f>
        <v>0</v>
      </c>
      <c r="M75">
        <f>+M73-'TA BS ER'!M86</f>
        <v>0</v>
      </c>
      <c r="N75">
        <f>+N73-'TA BS ER'!N86</f>
        <v>0</v>
      </c>
      <c r="O75">
        <f>+O73-'TA BS ER'!O86</f>
        <v>0</v>
      </c>
      <c r="P75">
        <f>+P73-'TA BS ER'!P86</f>
        <v>0</v>
      </c>
      <c r="Q75">
        <f>+Q73-'TA BS ER'!Q86</f>
        <v>0</v>
      </c>
      <c r="R75">
        <f>+R73-'TA BS ER'!R86</f>
        <v>0</v>
      </c>
      <c r="S75">
        <f>+S73-'TA BS ER'!S86</f>
        <v>0</v>
      </c>
      <c r="T75">
        <f>+T73-'TA BS ER'!T86</f>
        <v>0</v>
      </c>
      <c r="U75">
        <f>+U73-'TA BS ER'!U86</f>
        <v>0</v>
      </c>
      <c r="V75">
        <f>+V73-'TA BS ER'!V86</f>
        <v>0</v>
      </c>
      <c r="W75">
        <f>+W73-'TA BS ER'!W86</f>
        <v>-1</v>
      </c>
      <c r="X75">
        <f>+X73-'TA BS ER'!X86</f>
        <v>0</v>
      </c>
      <c r="Y75">
        <f>+Y73-'TA BS ER'!Y86</f>
        <v>0</v>
      </c>
    </row>
  </sheetData>
  <pageMargins left="0.7" right="0.7" top="0.75" bottom="0.75" header="0.3" footer="0.3"/>
  <tableParts count="1">
    <tablePart r:id="rId1"/>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ransitionEvaluation="1" codeName="Sheet65"/>
  <dimension ref="A1:N69"/>
  <sheetViews>
    <sheetView topLeftCell="A14" zoomScale="75" workbookViewId="0">
      <selection activeCell="B52" sqref="B52"/>
    </sheetView>
  </sheetViews>
  <sheetFormatPr defaultColWidth="12.5703125" defaultRowHeight="15"/>
  <cols>
    <col min="1" max="1" width="17.85546875" style="890" customWidth="1"/>
    <col min="2" max="2" width="8.5703125" style="890" customWidth="1"/>
    <col min="3" max="3" width="33.7109375" style="890" customWidth="1"/>
    <col min="4" max="4" width="3.7109375" style="890" customWidth="1"/>
    <col min="5" max="5" width="15.7109375" style="890" bestFit="1" customWidth="1"/>
    <col min="6" max="6" width="7.42578125" style="890" customWidth="1"/>
    <col min="7" max="7" width="15.7109375" style="890" bestFit="1" customWidth="1"/>
    <col min="8" max="8" width="7.42578125" style="890" customWidth="1"/>
    <col min="9" max="9" width="12.85546875" style="890" customWidth="1"/>
    <col min="10" max="10" width="9.140625" style="890" customWidth="1"/>
    <col min="11" max="11" width="10.85546875" style="890" customWidth="1"/>
    <col min="12" max="12" width="15.42578125" style="890" customWidth="1"/>
    <col min="13" max="16384" width="12.5703125" style="890"/>
  </cols>
  <sheetData>
    <row r="1" spans="1:14" ht="23.25">
      <c r="A1" s="888" t="s">
        <v>2812</v>
      </c>
      <c r="B1" s="889"/>
      <c r="C1" s="889"/>
      <c r="D1" s="889"/>
      <c r="E1" s="889"/>
      <c r="F1" s="889"/>
      <c r="G1" s="889"/>
      <c r="H1" s="889"/>
      <c r="I1" s="889"/>
      <c r="J1" s="889"/>
      <c r="K1" s="889"/>
    </row>
    <row r="2" spans="1:14" ht="18">
      <c r="A2" s="891" t="s">
        <v>3046</v>
      </c>
      <c r="B2" s="889"/>
      <c r="C2" s="889"/>
      <c r="D2" s="889"/>
      <c r="E2" s="889"/>
      <c r="F2" s="889"/>
      <c r="G2" s="889"/>
      <c r="H2" s="889"/>
      <c r="I2" s="889"/>
      <c r="J2" s="889"/>
      <c r="K2" s="889"/>
    </row>
    <row r="3" spans="1:14" ht="15.75">
      <c r="A3" s="889"/>
      <c r="B3" s="889"/>
      <c r="C3" s="889"/>
      <c r="D3" s="889"/>
      <c r="E3" s="889"/>
      <c r="F3" s="889"/>
      <c r="G3" s="889"/>
      <c r="I3" s="912" t="s">
        <v>2965</v>
      </c>
      <c r="J3" s="913"/>
      <c r="K3" s="914"/>
    </row>
    <row r="4" spans="1:14" ht="15.75">
      <c r="A4" s="892" t="s">
        <v>2966</v>
      </c>
      <c r="B4" s="889"/>
      <c r="C4" s="889"/>
      <c r="D4" s="889"/>
      <c r="E4" s="889"/>
      <c r="F4" s="889"/>
      <c r="G4" s="889"/>
      <c r="H4" s="889"/>
      <c r="I4" s="889"/>
      <c r="J4" s="889"/>
      <c r="K4" s="889"/>
    </row>
    <row r="5" spans="1:14">
      <c r="A5" s="893"/>
      <c r="B5" s="893"/>
    </row>
    <row r="6" spans="1:14" ht="15.75">
      <c r="A6" s="893"/>
      <c r="B6" s="893"/>
      <c r="E6" s="892" t="s">
        <v>2813</v>
      </c>
      <c r="F6" s="892"/>
      <c r="G6" s="892"/>
      <c r="I6" s="892" t="s">
        <v>2814</v>
      </c>
      <c r="J6" s="892"/>
      <c r="K6" s="892"/>
    </row>
    <row r="7" spans="1:14" ht="15.75">
      <c r="A7" s="894"/>
      <c r="B7" s="894" t="s">
        <v>984</v>
      </c>
      <c r="C7" s="894"/>
      <c r="D7" s="894"/>
      <c r="E7" s="894"/>
      <c r="F7" s="894"/>
      <c r="G7" s="894"/>
      <c r="I7" s="894"/>
      <c r="J7" s="894"/>
      <c r="K7" s="894"/>
    </row>
    <row r="8" spans="1:14" ht="15.75">
      <c r="A8" s="895" t="s">
        <v>2528</v>
      </c>
      <c r="B8" s="895" t="s">
        <v>2815</v>
      </c>
      <c r="C8" s="895" t="s">
        <v>2816</v>
      </c>
      <c r="D8" s="895"/>
      <c r="E8" s="895" t="s">
        <v>2817</v>
      </c>
      <c r="F8" s="895"/>
      <c r="G8" s="895" t="s">
        <v>2818</v>
      </c>
      <c r="I8" s="895" t="s">
        <v>2817</v>
      </c>
      <c r="J8" s="895"/>
      <c r="K8" s="895" t="s">
        <v>2818</v>
      </c>
      <c r="M8" s="896"/>
    </row>
    <row r="9" spans="1:14" ht="15.75">
      <c r="A9" s="893">
        <v>698</v>
      </c>
      <c r="B9" s="893"/>
      <c r="C9" s="890" t="s">
        <v>2819</v>
      </c>
      <c r="E9" s="902"/>
      <c r="F9" s="896"/>
      <c r="G9" s="998">
        <f>+'TA BS ER'!C21</f>
        <v>0</v>
      </c>
      <c r="I9" s="897"/>
      <c r="J9" s="898"/>
      <c r="K9" s="898"/>
      <c r="M9" s="899" t="s">
        <v>2967</v>
      </c>
      <c r="N9" s="900"/>
    </row>
    <row r="10" spans="1:14" ht="15.75">
      <c r="A10" s="893" t="s">
        <v>2822</v>
      </c>
      <c r="B10" s="893"/>
      <c r="C10" s="890" t="s">
        <v>2824</v>
      </c>
      <c r="E10" s="998">
        <f>+'TA BS ER'!C51</f>
        <v>0</v>
      </c>
      <c r="F10" s="896"/>
      <c r="G10" s="896"/>
      <c r="I10" s="897"/>
      <c r="J10" s="898"/>
      <c r="K10" s="898"/>
      <c r="M10" s="904" t="s">
        <v>3026</v>
      </c>
      <c r="N10" s="901"/>
    </row>
    <row r="11" spans="1:14" ht="15.75">
      <c r="A11" s="893" t="s">
        <v>2823</v>
      </c>
      <c r="B11" s="893"/>
      <c r="E11" s="911" t="str">
        <f>IF(+E10-G9=0," ", "ERR")</f>
        <v xml:space="preserve"> </v>
      </c>
      <c r="F11" s="896"/>
      <c r="G11" s="896"/>
      <c r="J11" s="898"/>
      <c r="K11" s="898"/>
      <c r="M11" s="903"/>
    </row>
    <row r="12" spans="1:14" ht="15.75">
      <c r="A12" s="893"/>
      <c r="B12" s="893"/>
      <c r="E12" s="902"/>
      <c r="F12" s="896"/>
      <c r="G12" s="896"/>
      <c r="I12" s="898"/>
      <c r="J12" s="898"/>
      <c r="K12" s="898"/>
      <c r="M12" s="903"/>
      <c r="N12" s="904"/>
    </row>
    <row r="13" spans="1:14" ht="15.75">
      <c r="A13" s="893">
        <v>700</v>
      </c>
      <c r="B13" s="893"/>
      <c r="C13" s="890" t="s">
        <v>2819</v>
      </c>
      <c r="E13" s="902"/>
      <c r="F13" s="896"/>
      <c r="G13" s="998">
        <f>+'TA BS ER'!E21</f>
        <v>41606</v>
      </c>
      <c r="I13" s="898"/>
      <c r="J13" s="898"/>
      <c r="K13" s="898"/>
      <c r="M13" s="903"/>
      <c r="N13" s="904"/>
    </row>
    <row r="14" spans="1:14" ht="15.75">
      <c r="A14" s="893" t="s">
        <v>2821</v>
      </c>
      <c r="B14" s="893"/>
      <c r="C14" s="890" t="s">
        <v>2824</v>
      </c>
      <c r="E14" s="998">
        <f>+'TA BS ER'!E51</f>
        <v>41606</v>
      </c>
      <c r="F14" s="896"/>
      <c r="G14" s="896"/>
      <c r="I14" s="898"/>
      <c r="J14" s="898"/>
      <c r="K14" s="898"/>
      <c r="M14" s="903"/>
      <c r="N14" s="904"/>
    </row>
    <row r="15" spans="1:14" ht="15.75">
      <c r="A15" s="893"/>
      <c r="B15" s="893"/>
      <c r="E15" s="911" t="str">
        <f>IF(+E14-G13=0," ", "ERR")</f>
        <v xml:space="preserve"> </v>
      </c>
      <c r="F15" s="896"/>
      <c r="G15" s="896"/>
      <c r="I15" s="898"/>
      <c r="J15" s="898"/>
      <c r="K15" s="898"/>
      <c r="M15" s="903"/>
      <c r="N15" s="904"/>
    </row>
    <row r="16" spans="1:14" ht="15.75">
      <c r="A16" s="893"/>
      <c r="B16" s="893"/>
      <c r="E16" s="902"/>
      <c r="F16" s="896"/>
      <c r="G16" s="896"/>
      <c r="I16" s="898"/>
      <c r="J16" s="898"/>
      <c r="K16" s="898"/>
      <c r="M16" s="903"/>
      <c r="N16" s="904"/>
    </row>
    <row r="17" spans="1:14" ht="15.75">
      <c r="A17" s="893">
        <v>701</v>
      </c>
      <c r="B17" s="893"/>
      <c r="C17" s="890" t="s">
        <v>2819</v>
      </c>
      <c r="E17" s="902"/>
      <c r="F17" s="896"/>
      <c r="G17" s="998">
        <f>+'TA BS ER'!F21</f>
        <v>0</v>
      </c>
      <c r="I17" s="898"/>
      <c r="J17" s="898"/>
      <c r="K17" s="898"/>
      <c r="M17" s="903"/>
      <c r="N17" s="904"/>
    </row>
    <row r="18" spans="1:14" ht="15.75">
      <c r="A18" s="893" t="s">
        <v>2825</v>
      </c>
      <c r="B18" s="893"/>
      <c r="C18" s="890" t="s">
        <v>2824</v>
      </c>
      <c r="E18" s="998">
        <f>+'TA BS ER'!F51</f>
        <v>0</v>
      </c>
      <c r="F18" s="896"/>
      <c r="G18" s="896"/>
      <c r="I18" s="898"/>
      <c r="J18" s="898"/>
      <c r="K18" s="898"/>
      <c r="M18" s="903"/>
      <c r="N18" s="904"/>
    </row>
    <row r="19" spans="1:14" ht="15.75">
      <c r="A19" s="893" t="s">
        <v>2826</v>
      </c>
      <c r="B19" s="893"/>
      <c r="E19" s="911" t="str">
        <f>IF(+E18-G17=0," ", "ERR")</f>
        <v xml:space="preserve"> </v>
      </c>
      <c r="F19" s="896"/>
      <c r="G19" s="896"/>
      <c r="I19" s="898"/>
      <c r="J19" s="898"/>
      <c r="K19" s="898"/>
      <c r="M19" s="903"/>
      <c r="N19" s="904"/>
    </row>
    <row r="20" spans="1:14" ht="15.75">
      <c r="A20" s="893"/>
      <c r="B20" s="893"/>
      <c r="E20" s="902"/>
      <c r="F20" s="896"/>
      <c r="G20" s="896"/>
      <c r="I20" s="898"/>
      <c r="J20" s="898"/>
      <c r="K20" s="898"/>
      <c r="M20" s="903"/>
      <c r="N20" s="904"/>
    </row>
    <row r="21" spans="1:14" ht="15.75">
      <c r="A21" s="893">
        <v>710</v>
      </c>
      <c r="B21" s="893"/>
      <c r="C21" s="890" t="s">
        <v>2819</v>
      </c>
      <c r="E21" s="902"/>
      <c r="F21" s="896"/>
      <c r="G21" s="998">
        <f>+'TA BS ER'!K21</f>
        <v>0</v>
      </c>
      <c r="I21" s="897"/>
      <c r="J21" s="898"/>
      <c r="K21" s="898"/>
      <c r="M21" s="903"/>
      <c r="N21" s="904"/>
    </row>
    <row r="22" spans="1:14" ht="15.75">
      <c r="A22" s="893" t="s">
        <v>2828</v>
      </c>
      <c r="B22" s="893"/>
      <c r="C22" s="890" t="s">
        <v>2836</v>
      </c>
      <c r="E22" s="902"/>
      <c r="F22" s="896"/>
      <c r="G22" s="998">
        <f>+'TA BS ER'!K24</f>
        <v>74322</v>
      </c>
      <c r="I22" s="915"/>
      <c r="J22" s="898"/>
      <c r="K22" s="898"/>
      <c r="M22" s="903"/>
      <c r="N22" s="904"/>
    </row>
    <row r="23" spans="1:14" ht="15.75">
      <c r="A23" s="893" t="s">
        <v>2829</v>
      </c>
      <c r="B23" s="893"/>
      <c r="C23" s="890" t="s">
        <v>2824</v>
      </c>
      <c r="E23" s="998">
        <f>+'TA BS ER'!K51</f>
        <v>0</v>
      </c>
      <c r="F23" s="896"/>
      <c r="G23" s="896"/>
      <c r="I23" s="897"/>
      <c r="J23" s="898"/>
      <c r="K23" s="898"/>
      <c r="M23" s="903"/>
      <c r="N23" s="904"/>
    </row>
    <row r="24" spans="1:14" ht="15.75">
      <c r="B24" s="893"/>
      <c r="C24" s="890" t="s">
        <v>2837</v>
      </c>
      <c r="E24" s="998">
        <f>+'TA BS ER'!K55</f>
        <v>74322</v>
      </c>
      <c r="F24" s="896"/>
      <c r="G24" s="896"/>
      <c r="I24" s="897"/>
      <c r="J24" s="898"/>
      <c r="K24" s="898"/>
      <c r="M24" s="903"/>
      <c r="N24" s="904"/>
    </row>
    <row r="25" spans="1:14" ht="15.75">
      <c r="B25" s="893"/>
      <c r="E25" s="911" t="str">
        <f>IF(+E23+E24-G21-G22=0," ", "ERR")</f>
        <v xml:space="preserve"> </v>
      </c>
      <c r="F25" s="896"/>
      <c r="G25" s="896"/>
      <c r="I25" s="898"/>
      <c r="J25" s="898"/>
      <c r="K25" s="898"/>
      <c r="M25" s="903"/>
      <c r="N25" s="904"/>
    </row>
    <row r="26" spans="1:14" ht="15.75">
      <c r="A26" s="893"/>
      <c r="B26" s="893"/>
      <c r="E26" s="902"/>
      <c r="F26" s="896"/>
      <c r="G26" s="896"/>
      <c r="I26" s="898"/>
      <c r="J26" s="898"/>
      <c r="K26" s="898"/>
      <c r="M26" s="903"/>
      <c r="N26" s="904"/>
    </row>
    <row r="27" spans="1:14" ht="15.75">
      <c r="A27" s="893">
        <v>711</v>
      </c>
      <c r="B27" s="893"/>
      <c r="C27" s="890" t="s">
        <v>2819</v>
      </c>
      <c r="E27" s="902"/>
      <c r="F27" s="896"/>
      <c r="G27" s="998">
        <f>+'TA BS ER'!L21</f>
        <v>204466</v>
      </c>
      <c r="I27" s="897"/>
      <c r="J27" s="898"/>
      <c r="K27" s="898"/>
      <c r="M27" s="903"/>
      <c r="N27" s="904"/>
    </row>
    <row r="28" spans="1:14" ht="15.75">
      <c r="A28" s="893" t="s">
        <v>2827</v>
      </c>
      <c r="B28" s="893"/>
      <c r="C28" s="890" t="s">
        <v>2824</v>
      </c>
      <c r="E28" s="998">
        <f>+INPUT!DG185</f>
        <v>204466</v>
      </c>
      <c r="F28" s="896"/>
      <c r="G28" s="896"/>
      <c r="I28" s="897"/>
      <c r="J28" s="898"/>
      <c r="K28" s="898"/>
      <c r="M28" s="903"/>
      <c r="N28" s="904"/>
    </row>
    <row r="29" spans="1:14" ht="15.75">
      <c r="A29" s="893" t="s">
        <v>2830</v>
      </c>
      <c r="B29" s="893"/>
      <c r="E29" s="911" t="str">
        <f>IF(+E28-G27=0," ", "ERR")</f>
        <v xml:space="preserve"> </v>
      </c>
      <c r="F29" s="896"/>
      <c r="G29" s="896"/>
      <c r="I29" s="898"/>
      <c r="J29" s="898"/>
      <c r="K29" s="898"/>
      <c r="M29" s="903"/>
      <c r="N29" s="904"/>
    </row>
    <row r="30" spans="1:14" ht="15.75">
      <c r="A30" s="893"/>
      <c r="B30" s="893"/>
      <c r="E30" s="902"/>
      <c r="F30" s="896"/>
      <c r="G30" s="896"/>
      <c r="I30" s="898"/>
      <c r="J30" s="898"/>
      <c r="K30" s="898"/>
      <c r="M30" s="903"/>
      <c r="N30" s="904"/>
    </row>
    <row r="31" spans="1:14" ht="15.75">
      <c r="A31" s="893">
        <v>712</v>
      </c>
      <c r="B31" s="893"/>
      <c r="C31" s="890" t="s">
        <v>2819</v>
      </c>
      <c r="E31" s="902"/>
      <c r="F31" s="896"/>
      <c r="G31" s="998">
        <f>+'TA BS ER'!M21</f>
        <v>1082</v>
      </c>
      <c r="I31" s="897"/>
      <c r="J31" s="898"/>
      <c r="K31" s="898"/>
      <c r="M31" s="903"/>
      <c r="N31" s="904"/>
    </row>
    <row r="32" spans="1:14" ht="15.75">
      <c r="A32" s="893" t="s">
        <v>2831</v>
      </c>
      <c r="B32" s="893"/>
      <c r="C32" s="890" t="s">
        <v>2824</v>
      </c>
      <c r="E32" s="998">
        <f>+'TA BS ER'!M51</f>
        <v>1082</v>
      </c>
      <c r="F32" s="896"/>
      <c r="G32" s="896"/>
      <c r="I32" s="897"/>
      <c r="J32" s="898"/>
      <c r="K32" s="898"/>
      <c r="M32" s="903"/>
      <c r="N32" s="904"/>
    </row>
    <row r="33" spans="1:14" ht="15.75">
      <c r="A33" s="893" t="s">
        <v>2832</v>
      </c>
      <c r="B33" s="893"/>
      <c r="E33" s="911" t="str">
        <f>IF(+E32-G31=0," ", "ERR")</f>
        <v xml:space="preserve"> </v>
      </c>
      <c r="F33" s="896"/>
      <c r="G33" s="896"/>
      <c r="I33" s="898"/>
      <c r="J33" s="898"/>
      <c r="K33" s="898"/>
      <c r="M33" s="903"/>
      <c r="N33" s="904"/>
    </row>
    <row r="34" spans="1:14" ht="15.75">
      <c r="A34" s="893"/>
      <c r="B34" s="893"/>
      <c r="E34" s="902"/>
      <c r="F34" s="896"/>
      <c r="G34" s="896"/>
      <c r="I34" s="898"/>
      <c r="J34" s="898"/>
      <c r="K34" s="898"/>
      <c r="M34" s="903"/>
      <c r="N34" s="904"/>
    </row>
    <row r="35" spans="1:14" ht="15.75">
      <c r="A35" s="893">
        <v>713</v>
      </c>
      <c r="B35" s="893"/>
      <c r="C35" s="890" t="s">
        <v>2819</v>
      </c>
      <c r="E35" s="902"/>
      <c r="F35" s="896"/>
      <c r="G35" s="998">
        <f>+'TA BS ER'!N21</f>
        <v>476989</v>
      </c>
      <c r="I35" s="897"/>
      <c r="J35" s="898"/>
      <c r="K35" s="898"/>
      <c r="M35" s="903"/>
      <c r="N35" s="904"/>
    </row>
    <row r="36" spans="1:14" ht="15.75">
      <c r="A36" s="893" t="s">
        <v>2833</v>
      </c>
      <c r="B36" s="893"/>
      <c r="C36" s="890" t="s">
        <v>2824</v>
      </c>
      <c r="E36" s="998">
        <f>+'TA BS ER'!N51</f>
        <v>476989</v>
      </c>
      <c r="F36" s="896"/>
      <c r="G36" s="896"/>
      <c r="I36" s="897"/>
      <c r="J36" s="898"/>
      <c r="K36" s="898"/>
      <c r="M36" s="903"/>
      <c r="N36" s="904"/>
    </row>
    <row r="37" spans="1:14" ht="15.75">
      <c r="A37" s="893" t="s">
        <v>2827</v>
      </c>
      <c r="B37" s="893"/>
      <c r="E37" s="911" t="str">
        <f>IF(+E36-G35=0," ", "ERR")</f>
        <v xml:space="preserve"> </v>
      </c>
      <c r="F37" s="896"/>
      <c r="G37" s="896"/>
      <c r="I37" s="898"/>
      <c r="J37" s="898"/>
      <c r="K37" s="898"/>
      <c r="M37" s="903"/>
      <c r="N37" s="904"/>
    </row>
    <row r="38" spans="1:14" ht="15.75">
      <c r="A38" s="893"/>
      <c r="B38" s="893"/>
      <c r="E38" s="902"/>
      <c r="F38" s="896"/>
      <c r="G38" s="896"/>
      <c r="I38" s="898"/>
      <c r="J38" s="898"/>
      <c r="K38" s="898"/>
      <c r="M38" s="903"/>
      <c r="N38" s="904"/>
    </row>
    <row r="39" spans="1:14" ht="15.75">
      <c r="A39" s="893">
        <v>715</v>
      </c>
      <c r="B39" s="893"/>
      <c r="C39" s="890" t="s">
        <v>2819</v>
      </c>
      <c r="E39" s="902"/>
      <c r="F39" s="896"/>
      <c r="G39" s="998">
        <f>+'TA BS ER'!P21</f>
        <v>4921</v>
      </c>
      <c r="I39" s="897"/>
      <c r="J39" s="898"/>
      <c r="K39" s="898"/>
      <c r="M39" s="903"/>
      <c r="N39" s="904"/>
    </row>
    <row r="40" spans="1:14" ht="15.75">
      <c r="A40" s="893" t="s">
        <v>2834</v>
      </c>
      <c r="B40" s="893"/>
      <c r="C40" s="890" t="s">
        <v>2824</v>
      </c>
      <c r="E40" s="998">
        <f>+'TA BS ER'!P51</f>
        <v>4921</v>
      </c>
      <c r="F40" s="896"/>
      <c r="G40" s="896"/>
      <c r="I40" s="897"/>
      <c r="J40" s="898"/>
      <c r="K40" s="898"/>
      <c r="M40" s="903"/>
      <c r="N40" s="904"/>
    </row>
    <row r="41" spans="1:14" ht="15.75">
      <c r="A41" s="893"/>
      <c r="B41" s="893"/>
      <c r="E41" s="911" t="str">
        <f>IF(+E40-G39=0," ", "ERR")</f>
        <v xml:space="preserve"> </v>
      </c>
      <c r="F41" s="896"/>
      <c r="G41" s="896"/>
      <c r="I41" s="898"/>
      <c r="J41" s="898"/>
      <c r="K41" s="898"/>
      <c r="M41" s="903"/>
      <c r="N41" s="904"/>
    </row>
    <row r="42" spans="1:14" ht="15.75">
      <c r="A42" s="893"/>
      <c r="B42" s="893"/>
      <c r="E42" s="902"/>
      <c r="F42" s="896"/>
      <c r="G42" s="896"/>
      <c r="I42" s="898"/>
      <c r="J42" s="898"/>
      <c r="K42" s="898"/>
      <c r="M42" s="903"/>
      <c r="N42" s="904"/>
    </row>
    <row r="43" spans="1:14" ht="15.75">
      <c r="A43" s="893">
        <v>717</v>
      </c>
      <c r="B43" s="893"/>
      <c r="C43" s="890" t="s">
        <v>2819</v>
      </c>
      <c r="E43" s="902"/>
      <c r="F43" s="896"/>
      <c r="G43" s="998">
        <f>+'TA BS ER'!R21</f>
        <v>0</v>
      </c>
      <c r="I43" s="897"/>
      <c r="J43" s="898"/>
      <c r="K43" s="898"/>
      <c r="M43" s="903"/>
      <c r="N43" s="904"/>
    </row>
    <row r="44" spans="1:14" ht="15.75">
      <c r="A44" s="893" t="s">
        <v>981</v>
      </c>
      <c r="B44" s="893"/>
      <c r="C44" s="890" t="s">
        <v>2824</v>
      </c>
      <c r="E44" s="998">
        <f>+'TA BS ER'!R51</f>
        <v>0</v>
      </c>
      <c r="F44" s="896"/>
      <c r="G44" s="896"/>
      <c r="I44" s="897"/>
      <c r="J44" s="898"/>
      <c r="K44" s="898"/>
      <c r="M44" s="903"/>
      <c r="N44" s="904"/>
    </row>
    <row r="45" spans="1:14" ht="15.75">
      <c r="A45" s="893" t="s">
        <v>2835</v>
      </c>
      <c r="B45" s="893"/>
      <c r="E45" s="911" t="str">
        <f>IF(+E44-G43=0," ", "ERR")</f>
        <v xml:space="preserve"> </v>
      </c>
      <c r="F45" s="896"/>
      <c r="G45" s="896"/>
      <c r="I45" s="898"/>
      <c r="J45" s="898"/>
      <c r="K45" s="898"/>
      <c r="M45" s="903"/>
      <c r="N45" s="904"/>
    </row>
    <row r="46" spans="1:14" ht="15.75">
      <c r="A46" s="893"/>
      <c r="B46" s="893"/>
      <c r="E46" s="902"/>
      <c r="F46" s="896"/>
      <c r="G46" s="896"/>
      <c r="I46" s="898"/>
      <c r="J46" s="898"/>
      <c r="K46" s="898"/>
      <c r="M46" s="903"/>
      <c r="N46" s="904"/>
    </row>
    <row r="47" spans="1:14" ht="15.75">
      <c r="A47" s="893">
        <v>790</v>
      </c>
      <c r="B47" s="893"/>
      <c r="C47" s="890" t="s">
        <v>2819</v>
      </c>
      <c r="E47" s="902"/>
      <c r="F47" s="896"/>
      <c r="G47" s="998">
        <f>+'TA BS ER'!T21</f>
        <v>59182</v>
      </c>
      <c r="I47" s="897"/>
      <c r="J47" s="898"/>
      <c r="K47" s="898"/>
      <c r="M47" s="903"/>
      <c r="N47" s="904"/>
    </row>
    <row r="48" spans="1:14" ht="15.75">
      <c r="A48" s="893" t="s">
        <v>791</v>
      </c>
      <c r="B48" s="893"/>
      <c r="C48" s="890" t="s">
        <v>2824</v>
      </c>
      <c r="E48" s="998">
        <f>+'TA BS ER'!T51</f>
        <v>59182</v>
      </c>
      <c r="F48" s="896"/>
      <c r="G48" s="896"/>
      <c r="I48" s="897"/>
      <c r="J48" s="898"/>
      <c r="K48" s="898"/>
      <c r="M48" s="903"/>
      <c r="N48" s="904"/>
    </row>
    <row r="49" spans="1:14" ht="15.75">
      <c r="A49" s="893" t="s">
        <v>2820</v>
      </c>
      <c r="B49" s="893"/>
      <c r="E49" s="911" t="str">
        <f>IF(+E48-G47=0," ", "ERR")</f>
        <v xml:space="preserve"> </v>
      </c>
      <c r="F49" s="896"/>
      <c r="G49" s="896"/>
      <c r="I49" s="898"/>
      <c r="J49" s="898"/>
      <c r="K49" s="898"/>
      <c r="M49" s="903"/>
      <c r="N49" s="904"/>
    </row>
    <row r="50" spans="1:14" ht="15.75">
      <c r="A50" s="893"/>
      <c r="B50" s="893"/>
      <c r="E50" s="902"/>
      <c r="F50" s="896"/>
      <c r="G50" s="896"/>
      <c r="I50" s="898"/>
      <c r="J50" s="898"/>
      <c r="K50" s="898"/>
      <c r="M50" s="903"/>
      <c r="N50" s="904"/>
    </row>
    <row r="51" spans="1:14" ht="15.75">
      <c r="A51" s="893"/>
      <c r="B51" s="893"/>
      <c r="E51" s="902"/>
      <c r="F51" s="896"/>
      <c r="G51" s="998"/>
      <c r="I51" s="898"/>
      <c r="J51" s="898"/>
      <c r="K51" s="898"/>
      <c r="M51" s="903"/>
      <c r="N51" s="904"/>
    </row>
    <row r="52" spans="1:14" ht="15.75">
      <c r="A52" s="893"/>
      <c r="B52" s="893"/>
      <c r="E52" s="998"/>
      <c r="F52" s="896"/>
      <c r="G52" s="896"/>
      <c r="I52" s="915"/>
      <c r="J52" s="898"/>
      <c r="K52" s="898"/>
      <c r="M52" s="903"/>
      <c r="N52" s="904"/>
    </row>
    <row r="53" spans="1:14" ht="15.75">
      <c r="A53" s="893"/>
      <c r="B53" s="893"/>
      <c r="E53" s="911"/>
      <c r="F53" s="896"/>
      <c r="G53" s="896"/>
      <c r="I53" s="898"/>
      <c r="J53" s="898"/>
      <c r="K53" s="898"/>
      <c r="M53" s="903"/>
      <c r="N53" s="904"/>
    </row>
    <row r="54" spans="1:14" ht="15.75">
      <c r="A54" s="893"/>
      <c r="B54" s="893"/>
      <c r="E54" s="902"/>
      <c r="F54" s="896"/>
      <c r="G54" s="896"/>
      <c r="I54" s="898"/>
      <c r="J54" s="898"/>
      <c r="K54" s="898"/>
      <c r="M54" s="903"/>
      <c r="N54" s="904"/>
    </row>
    <row r="55" spans="1:14" ht="15.75">
      <c r="A55" s="893"/>
      <c r="B55" s="893"/>
      <c r="E55" s="902"/>
      <c r="F55" s="896"/>
      <c r="G55" s="896"/>
      <c r="I55" s="897"/>
      <c r="J55" s="898"/>
      <c r="K55" s="898"/>
      <c r="M55" s="903"/>
      <c r="N55" s="904"/>
    </row>
    <row r="56" spans="1:14" ht="15.75">
      <c r="A56" s="893"/>
      <c r="B56" s="893"/>
      <c r="E56" s="902"/>
      <c r="F56" s="896"/>
      <c r="G56" s="896"/>
      <c r="I56" s="897"/>
      <c r="J56" s="898"/>
      <c r="K56" s="898"/>
      <c r="M56" s="903"/>
      <c r="N56" s="904"/>
    </row>
    <row r="57" spans="1:14" ht="15.75">
      <c r="A57" s="893"/>
      <c r="B57" s="893"/>
      <c r="E57" s="911" t="str">
        <f>IF(+E56-G55=0," ", "ERR")</f>
        <v xml:space="preserve"> </v>
      </c>
      <c r="F57" s="896"/>
      <c r="G57" s="896"/>
      <c r="I57" s="898"/>
      <c r="J57" s="898"/>
      <c r="K57" s="898"/>
    </row>
    <row r="58" spans="1:14" ht="15.75">
      <c r="A58" s="893"/>
      <c r="B58" s="893"/>
      <c r="E58" s="902"/>
      <c r="F58" s="896"/>
      <c r="G58" s="896"/>
      <c r="I58" s="898"/>
      <c r="J58" s="898"/>
      <c r="K58" s="898"/>
    </row>
    <row r="59" spans="1:14" ht="15.75">
      <c r="B59" s="893"/>
      <c r="E59" s="902"/>
      <c r="F59" s="896"/>
      <c r="G59" s="896"/>
      <c r="I59" s="898"/>
      <c r="J59" s="898"/>
      <c r="K59" s="898"/>
    </row>
    <row r="60" spans="1:14" ht="15.75">
      <c r="A60" s="893">
        <v>1</v>
      </c>
      <c r="B60" s="893"/>
      <c r="C60" s="890" t="s">
        <v>2819</v>
      </c>
      <c r="E60" s="992">
        <f>+G9+G13+G17+G21+G27+G31+G35+G39+G43+G47+G51</f>
        <v>788246</v>
      </c>
      <c r="F60" s="992"/>
      <c r="G60" s="992"/>
      <c r="I60" s="897"/>
      <c r="J60" s="898"/>
      <c r="K60" s="898"/>
      <c r="M60" s="899" t="s">
        <v>2969</v>
      </c>
      <c r="N60" s="904"/>
    </row>
    <row r="61" spans="1:14" ht="15.75">
      <c r="A61" s="893" t="s">
        <v>1235</v>
      </c>
      <c r="B61" s="893"/>
      <c r="C61" s="890" t="s">
        <v>2836</v>
      </c>
      <c r="E61" s="992">
        <f>+G22</f>
        <v>74322</v>
      </c>
      <c r="F61" s="992"/>
      <c r="G61" s="992"/>
      <c r="I61" s="897"/>
      <c r="K61" s="898"/>
      <c r="L61" s="898"/>
      <c r="M61" s="899" t="s">
        <v>2970</v>
      </c>
      <c r="N61" s="904"/>
    </row>
    <row r="62" spans="1:14" ht="15.75">
      <c r="A62" s="893" t="s">
        <v>2528</v>
      </c>
      <c r="B62" s="893"/>
      <c r="C62" s="890" t="s">
        <v>2824</v>
      </c>
      <c r="E62" s="992">
        <f>+G11+G25+G29+G33+G37+G41+G45+G49+G53+G57</f>
        <v>0</v>
      </c>
      <c r="F62" s="993" t="s">
        <v>379</v>
      </c>
      <c r="G62" s="992">
        <f>+E10+E14+E18+E23+E28+E32+E36+E40+E44+E48+E52</f>
        <v>788246</v>
      </c>
      <c r="I62" s="898"/>
      <c r="J62" s="898"/>
      <c r="K62" s="898"/>
      <c r="L62" s="898"/>
      <c r="M62" s="904" t="s">
        <v>2968</v>
      </c>
    </row>
    <row r="63" spans="1:14" ht="15.75">
      <c r="A63" s="893"/>
      <c r="B63" s="893"/>
      <c r="C63" s="890" t="s">
        <v>2837</v>
      </c>
      <c r="E63" s="992"/>
      <c r="F63" s="993"/>
      <c r="G63" s="992">
        <f>+E24</f>
        <v>74322</v>
      </c>
      <c r="I63" s="898"/>
      <c r="J63" s="898"/>
      <c r="K63" s="898"/>
      <c r="L63" s="898"/>
    </row>
    <row r="64" spans="1:14">
      <c r="C64" s="905" t="s">
        <v>2838</v>
      </c>
      <c r="I64" s="898"/>
      <c r="J64" s="898"/>
      <c r="K64" s="898"/>
    </row>
    <row r="65" spans="1:11">
      <c r="C65" s="905"/>
      <c r="I65" s="898"/>
      <c r="J65" s="898"/>
      <c r="K65" s="898"/>
    </row>
    <row r="66" spans="1:11">
      <c r="C66" s="905"/>
      <c r="I66" s="898"/>
      <c r="J66" s="898"/>
      <c r="K66" s="898"/>
    </row>
    <row r="67" spans="1:11">
      <c r="B67" s="893"/>
      <c r="F67" s="896"/>
      <c r="G67" s="896"/>
      <c r="I67" s="898"/>
      <c r="J67" s="898"/>
      <c r="K67" s="898"/>
    </row>
    <row r="68" spans="1:11" ht="15.75" thickBot="1">
      <c r="A68" s="906"/>
      <c r="B68" s="906"/>
      <c r="C68" s="907"/>
      <c r="D68" s="906"/>
      <c r="E68" s="908">
        <f>SUM(E9:E67)</f>
        <v>1725136</v>
      </c>
      <c r="F68" s="909"/>
      <c r="G68" s="908">
        <f>SUM(G9:G67)</f>
        <v>1725136</v>
      </c>
      <c r="H68" s="906"/>
      <c r="I68" s="906"/>
      <c r="J68" s="906"/>
      <c r="K68" s="906"/>
    </row>
    <row r="69" spans="1:11">
      <c r="B69" s="893"/>
      <c r="C69" s="905"/>
      <c r="E69" s="898"/>
      <c r="F69" s="898"/>
      <c r="G69" s="898"/>
      <c r="H69" s="910"/>
      <c r="I69" s="898"/>
      <c r="J69" s="898"/>
      <c r="K69" s="898"/>
    </row>
  </sheetData>
  <pageMargins left="0.35" right="0.35" top="0.5" bottom="0.5" header="0.25" footer="0.25"/>
  <pageSetup scale="68" orientation="portrait" r:id="rId1"/>
  <headerFooter alignWithMargins="0">
    <oddFooter>&amp;L&amp;10&amp;D&amp;C&amp;10&amp;P&amp;R&amp;10&amp;F</oddFooter>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7">
    <pageSetUpPr fitToPage="1"/>
  </sheetPr>
  <dimension ref="A3:X928"/>
  <sheetViews>
    <sheetView workbookViewId="0">
      <selection activeCell="I3" sqref="I3"/>
    </sheetView>
  </sheetViews>
  <sheetFormatPr defaultRowHeight="12.75"/>
  <cols>
    <col min="1" max="1" width="9" customWidth="1"/>
    <col min="2" max="2" width="16.28515625" customWidth="1"/>
    <col min="3" max="3" width="10.5703125" customWidth="1"/>
    <col min="4" max="4" width="34" customWidth="1"/>
    <col min="5" max="5" width="12" customWidth="1"/>
    <col min="7" max="7" width="21" customWidth="1"/>
    <col min="8" max="8" width="16.140625" customWidth="1"/>
    <col min="9" max="9" width="11.28515625" bestFit="1" customWidth="1"/>
    <col min="10" max="11" width="9.7109375" bestFit="1" customWidth="1"/>
    <col min="12" max="12" width="10.7109375" bestFit="1" customWidth="1"/>
    <col min="13" max="13" width="10.42578125" customWidth="1"/>
    <col min="14" max="14" width="19.140625" bestFit="1" customWidth="1"/>
    <col min="15" max="15" width="10.28515625" bestFit="1" customWidth="1"/>
    <col min="16" max="16" width="10.7109375" bestFit="1" customWidth="1"/>
    <col min="17" max="17" width="10.85546875" customWidth="1"/>
    <col min="18" max="18" width="10.7109375" bestFit="1" customWidth="1"/>
    <col min="19" max="19" width="11.85546875" customWidth="1"/>
    <col min="22" max="22" width="11.140625" customWidth="1"/>
    <col min="23" max="23" width="10.85546875" customWidth="1"/>
  </cols>
  <sheetData>
    <row r="3" spans="1:5" ht="25.5">
      <c r="A3" s="234" t="s">
        <v>2260</v>
      </c>
      <c r="B3" s="234" t="s">
        <v>2261</v>
      </c>
      <c r="C3" s="234" t="s">
        <v>2262</v>
      </c>
      <c r="D3" s="234" t="s">
        <v>2263</v>
      </c>
      <c r="E3" s="235" t="s">
        <v>2264</v>
      </c>
    </row>
    <row r="4" spans="1:5" ht="15">
      <c r="A4" s="1350" t="s">
        <v>2265</v>
      </c>
      <c r="B4" s="1351"/>
      <c r="C4" s="1351"/>
      <c r="D4" s="236" t="s">
        <v>3525</v>
      </c>
      <c r="E4" s="237"/>
    </row>
    <row r="5" spans="1:5" ht="15">
      <c r="A5" s="1340" t="s">
        <v>2266</v>
      </c>
      <c r="B5" s="1341"/>
      <c r="C5" s="1341"/>
      <c r="D5" s="238" t="s">
        <v>2267</v>
      </c>
      <c r="E5" s="239" t="s">
        <v>2289</v>
      </c>
    </row>
    <row r="6" spans="1:5">
      <c r="A6" s="1342"/>
      <c r="B6" s="1343"/>
      <c r="C6" s="1343"/>
      <c r="D6" s="240"/>
      <c r="E6" s="239" t="s">
        <v>2289</v>
      </c>
    </row>
    <row r="7" spans="1:5" ht="45">
      <c r="A7" s="241" t="s">
        <v>2268</v>
      </c>
      <c r="B7" s="241" t="s">
        <v>2269</v>
      </c>
      <c r="C7" s="242" t="s">
        <v>2270</v>
      </c>
      <c r="D7" s="243" t="s">
        <v>2271</v>
      </c>
      <c r="E7" s="244" t="s">
        <v>2272</v>
      </c>
    </row>
    <row r="8" spans="1:5">
      <c r="A8" s="245"/>
      <c r="B8" s="245"/>
      <c r="C8" s="245"/>
      <c r="D8" s="246"/>
      <c r="E8" s="247"/>
    </row>
    <row r="9" spans="1:5" ht="15.75">
      <c r="A9" s="1344" t="s">
        <v>2273</v>
      </c>
      <c r="B9" s="1345"/>
      <c r="C9" s="1345"/>
      <c r="D9" s="1345"/>
      <c r="E9" s="1346"/>
    </row>
    <row r="10" spans="1:5">
      <c r="A10" s="1347" t="s">
        <v>2274</v>
      </c>
      <c r="B10" s="1348"/>
      <c r="C10" s="1348"/>
      <c r="D10" s="1348"/>
      <c r="E10" s="1349"/>
    </row>
    <row r="11" spans="1:5">
      <c r="A11" s="221" t="s">
        <v>2073</v>
      </c>
      <c r="B11" s="222" t="s">
        <v>2074</v>
      </c>
      <c r="C11" s="223"/>
      <c r="D11" s="224" t="s">
        <v>1873</v>
      </c>
      <c r="E11">
        <f>+INPUT!D85+INPUT!D86</f>
        <v>11684906</v>
      </c>
    </row>
    <row r="12" spans="1:5">
      <c r="A12" s="225" t="s">
        <v>1822</v>
      </c>
      <c r="B12" s="226" t="s">
        <v>2075</v>
      </c>
      <c r="C12" s="220"/>
      <c r="D12" s="220" t="s">
        <v>2076</v>
      </c>
      <c r="E12">
        <f>+INPUT!D88</f>
        <v>217898</v>
      </c>
    </row>
    <row r="13" spans="1:5">
      <c r="A13" s="225" t="s">
        <v>1822</v>
      </c>
      <c r="B13" s="227" t="s">
        <v>2077</v>
      </c>
      <c r="C13" s="220"/>
      <c r="D13" s="220" t="s">
        <v>1823</v>
      </c>
      <c r="E13">
        <f>+INPUT!D89+INPUT!D101</f>
        <v>123805</v>
      </c>
    </row>
    <row r="14" spans="1:5">
      <c r="A14" s="225" t="s">
        <v>1822</v>
      </c>
      <c r="B14" s="227" t="s">
        <v>2078</v>
      </c>
      <c r="C14" s="220"/>
      <c r="D14" s="220" t="s">
        <v>1824</v>
      </c>
      <c r="E14">
        <f>+INPUT!D92+INPUT!D93</f>
        <v>701024</v>
      </c>
    </row>
    <row r="15" spans="1:5">
      <c r="A15" s="225" t="s">
        <v>1822</v>
      </c>
      <c r="B15" s="227" t="s">
        <v>2079</v>
      </c>
      <c r="C15" s="220"/>
      <c r="D15" s="220" t="s">
        <v>1825</v>
      </c>
    </row>
    <row r="16" spans="1:5">
      <c r="A16" s="225" t="s">
        <v>1822</v>
      </c>
      <c r="B16" s="227" t="s">
        <v>2080</v>
      </c>
      <c r="C16" s="220"/>
      <c r="D16" s="220" t="s">
        <v>1826</v>
      </c>
      <c r="E16">
        <f>+INPUT!D94</f>
        <v>112403</v>
      </c>
    </row>
    <row r="17" spans="1:15">
      <c r="A17" s="225" t="s">
        <v>1822</v>
      </c>
      <c r="B17" s="227" t="s">
        <v>2081</v>
      </c>
      <c r="C17" s="220"/>
      <c r="D17" s="220" t="s">
        <v>1827</v>
      </c>
      <c r="E17">
        <f>+INPUT!D98+INPUT!D99</f>
        <v>0</v>
      </c>
    </row>
    <row r="18" spans="1:15">
      <c r="A18" s="225" t="s">
        <v>1822</v>
      </c>
      <c r="B18" s="227" t="s">
        <v>2082</v>
      </c>
      <c r="C18" s="220"/>
      <c r="D18" s="220" t="s">
        <v>1828</v>
      </c>
      <c r="G18">
        <f>SUM(E11:E19)</f>
        <v>12840036</v>
      </c>
      <c r="H18">
        <f>+'Govt BS'!D39+'Govt BS'!D56</f>
        <v>12840036</v>
      </c>
      <c r="I18">
        <f>+H18-G18</f>
        <v>0</v>
      </c>
    </row>
    <row r="19" spans="1:15">
      <c r="A19" s="225" t="s">
        <v>1822</v>
      </c>
      <c r="B19" s="227" t="s">
        <v>2083</v>
      </c>
      <c r="C19" s="220"/>
      <c r="D19" s="220" t="s">
        <v>1829</v>
      </c>
    </row>
    <row r="20" spans="1:15">
      <c r="A20" s="1338" t="s">
        <v>2084</v>
      </c>
      <c r="B20" s="1339"/>
      <c r="C20" s="1339"/>
      <c r="D20" s="1339"/>
    </row>
    <row r="21" spans="1:15">
      <c r="A21" s="225" t="s">
        <v>1822</v>
      </c>
      <c r="B21" s="225" t="s">
        <v>2085</v>
      </c>
      <c r="C21" s="220"/>
      <c r="D21" s="220" t="s">
        <v>2086</v>
      </c>
      <c r="E21">
        <f>+INPUT!D132</f>
        <v>1112456</v>
      </c>
    </row>
    <row r="22" spans="1:15">
      <c r="A22" s="225" t="s">
        <v>1822</v>
      </c>
      <c r="B22" s="225" t="s">
        <v>2087</v>
      </c>
      <c r="C22" s="220"/>
      <c r="D22" s="220" t="s">
        <v>1831</v>
      </c>
      <c r="E22">
        <f>+INPUT!D135+INPUT!D134</f>
        <v>498366</v>
      </c>
    </row>
    <row r="23" spans="1:15">
      <c r="A23" s="225" t="s">
        <v>1822</v>
      </c>
      <c r="B23" s="225" t="s">
        <v>2088</v>
      </c>
      <c r="C23" s="220"/>
      <c r="D23" s="220" t="s">
        <v>1832</v>
      </c>
      <c r="E23">
        <f>+INPUT!D157+INPUT!D159</f>
        <v>1004482</v>
      </c>
    </row>
    <row r="24" spans="1:15">
      <c r="A24" s="225" t="s">
        <v>1822</v>
      </c>
      <c r="B24" s="225" t="s">
        <v>2089</v>
      </c>
      <c r="C24" s="220"/>
      <c r="D24" s="220" t="s">
        <v>1833</v>
      </c>
      <c r="G24">
        <f>SUM(E21:E24)</f>
        <v>2615304</v>
      </c>
      <c r="H24">
        <f>+'Govt BS'!D90+'Govt BS'!D108</f>
        <v>2615304</v>
      </c>
      <c r="I24">
        <f>+H24-G24</f>
        <v>0</v>
      </c>
    </row>
    <row r="25" spans="1:15">
      <c r="A25" s="1332" t="s">
        <v>2090</v>
      </c>
      <c r="B25" s="1333"/>
      <c r="C25" s="1333"/>
      <c r="D25" s="1333"/>
    </row>
    <row r="26" spans="1:15">
      <c r="A26" s="225" t="s">
        <v>1822</v>
      </c>
      <c r="B26" s="225" t="s">
        <v>2091</v>
      </c>
      <c r="C26" s="220"/>
      <c r="D26" s="220" t="s">
        <v>1834</v>
      </c>
      <c r="E26">
        <f>+INPUT!D188+INPUT!D189</f>
        <v>222403</v>
      </c>
    </row>
    <row r="27" spans="1:15">
      <c r="A27" s="225" t="s">
        <v>1822</v>
      </c>
      <c r="B27" s="225" t="s">
        <v>2092</v>
      </c>
      <c r="C27" s="220"/>
      <c r="D27" s="220" t="s">
        <v>2093</v>
      </c>
      <c r="E27">
        <f>+INPUT!D191+INPUT!D192</f>
        <v>2877311</v>
      </c>
    </row>
    <row r="28" spans="1:15">
      <c r="A28" s="225" t="s">
        <v>1822</v>
      </c>
      <c r="B28" s="225" t="s">
        <v>2094</v>
      </c>
      <c r="C28" s="220"/>
      <c r="D28" s="220" t="s">
        <v>1835</v>
      </c>
      <c r="E28">
        <f>+INPUT!D193</f>
        <v>7125018</v>
      </c>
      <c r="G28">
        <f>SUM(E26:E28)</f>
        <v>10224732</v>
      </c>
      <c r="H28">
        <f>+'Govt BS'!D121</f>
        <v>10224732</v>
      </c>
      <c r="I28">
        <f>+H28-G28</f>
        <v>0</v>
      </c>
      <c r="K28" s="143">
        <f>+G18-G24-G28</f>
        <v>0</v>
      </c>
      <c r="L28" s="143" t="s">
        <v>1887</v>
      </c>
    </row>
    <row r="29" spans="1:15">
      <c r="A29" s="225" t="s">
        <v>1822</v>
      </c>
      <c r="B29" s="225" t="s">
        <v>2095</v>
      </c>
      <c r="C29" s="220"/>
      <c r="D29" s="220" t="s">
        <v>2096</v>
      </c>
      <c r="L29" s="156" t="s">
        <v>1896</v>
      </c>
      <c r="N29" s="192" t="s">
        <v>1885</v>
      </c>
      <c r="O29" s="192" t="s">
        <v>1888</v>
      </c>
    </row>
    <row r="30" spans="1:15">
      <c r="A30" s="1338" t="s">
        <v>2097</v>
      </c>
      <c r="B30" s="1339"/>
      <c r="C30" s="1339"/>
      <c r="D30" s="1339"/>
      <c r="L30" s="156"/>
      <c r="N30" s="192"/>
      <c r="O30" s="192"/>
    </row>
    <row r="31" spans="1:15">
      <c r="A31" s="225" t="s">
        <v>1822</v>
      </c>
      <c r="B31" s="225" t="s">
        <v>2098</v>
      </c>
      <c r="C31" s="220"/>
      <c r="D31" s="220" t="s">
        <v>2099</v>
      </c>
      <c r="E31" s="146">
        <f>+'GEN BUDACT ER'!F17-INPUT!D223+INPUT!D283-4</f>
        <v>5961846</v>
      </c>
    </row>
    <row r="32" spans="1:15">
      <c r="A32" s="225" t="s">
        <v>1822</v>
      </c>
      <c r="B32" s="225" t="s">
        <v>2100</v>
      </c>
      <c r="C32" s="220"/>
      <c r="D32" s="220" t="s">
        <v>2101</v>
      </c>
    </row>
    <row r="33" spans="1:15">
      <c r="A33" s="225" t="s">
        <v>1822</v>
      </c>
      <c r="B33" s="225" t="s">
        <v>2102</v>
      </c>
      <c r="C33" s="220"/>
      <c r="D33" s="220" t="s">
        <v>1837</v>
      </c>
    </row>
    <row r="34" spans="1:15">
      <c r="A34" s="225" t="s">
        <v>1822</v>
      </c>
      <c r="B34" s="225" t="s">
        <v>2103</v>
      </c>
      <c r="C34" s="220"/>
      <c r="D34" s="220" t="s">
        <v>2104</v>
      </c>
      <c r="E34">
        <f>+'GEN BUDACT ER'!F18</f>
        <v>1312323</v>
      </c>
    </row>
    <row r="35" spans="1:15">
      <c r="A35" s="225" t="s">
        <v>1822</v>
      </c>
      <c r="B35" s="225" t="s">
        <v>2105</v>
      </c>
      <c r="C35" s="220"/>
      <c r="D35" s="220" t="s">
        <v>1838</v>
      </c>
    </row>
    <row r="36" spans="1:15">
      <c r="A36" s="225" t="s">
        <v>1822</v>
      </c>
      <c r="B36" s="225" t="s">
        <v>2106</v>
      </c>
      <c r="C36" s="220"/>
      <c r="D36" s="220" t="s">
        <v>1839</v>
      </c>
      <c r="E36">
        <f>+'GEN BUDACT ER'!F19</f>
        <v>1071508</v>
      </c>
      <c r="G36">
        <f>SUM(E31:E36)</f>
        <v>8345677</v>
      </c>
      <c r="H36">
        <f>+'Govt IS'!D16</f>
        <v>8345677</v>
      </c>
      <c r="I36">
        <f>+H36-G36</f>
        <v>0</v>
      </c>
    </row>
    <row r="37" spans="1:15">
      <c r="A37" s="225" t="s">
        <v>1822</v>
      </c>
      <c r="B37" s="225" t="s">
        <v>2107</v>
      </c>
      <c r="C37" s="220"/>
      <c r="D37" s="220" t="s">
        <v>2108</v>
      </c>
      <c r="E37">
        <f>+'GEN BUDACT ER'!F26+'GEN BUDACT ER'!F24</f>
        <v>32624</v>
      </c>
    </row>
    <row r="38" spans="1:15">
      <c r="A38" s="225" t="s">
        <v>1822</v>
      </c>
      <c r="B38" s="225" t="s">
        <v>2109</v>
      </c>
      <c r="C38" s="220"/>
      <c r="D38" s="220" t="s">
        <v>1841</v>
      </c>
      <c r="E38">
        <f>+'GEN BUDACT ER'!F25-INPUT!D224+INPUT!D284</f>
        <v>228111</v>
      </c>
    </row>
    <row r="39" spans="1:15">
      <c r="A39" s="225" t="s">
        <v>1822</v>
      </c>
      <c r="B39" s="225" t="s">
        <v>2110</v>
      </c>
      <c r="C39" s="220"/>
      <c r="D39" s="220" t="s">
        <v>2111</v>
      </c>
      <c r="G39">
        <f>SUM(E37:E39)</f>
        <v>260735</v>
      </c>
      <c r="H39">
        <f>+'Govt IS'!D17</f>
        <v>260735</v>
      </c>
      <c r="I39">
        <f>+H39-G39</f>
        <v>0</v>
      </c>
    </row>
    <row r="40" spans="1:15">
      <c r="A40" s="225" t="s">
        <v>1822</v>
      </c>
      <c r="B40" s="225" t="s">
        <v>2112</v>
      </c>
      <c r="C40" s="220"/>
      <c r="D40" s="220" t="s">
        <v>1843</v>
      </c>
      <c r="E40" s="21">
        <f>+'GEN BUDACT ER'!F32+'GEN BUDACT ER'!F33-INPUT!D225+INPUT!D285+0</f>
        <v>59219</v>
      </c>
      <c r="K40" s="143" t="s">
        <v>1875</v>
      </c>
    </row>
    <row r="41" spans="1:15">
      <c r="A41" s="225" t="s">
        <v>1822</v>
      </c>
      <c r="B41" s="225" t="s">
        <v>2113</v>
      </c>
      <c r="C41" s="220"/>
      <c r="D41" s="220" t="s">
        <v>1844</v>
      </c>
      <c r="E41">
        <f>+'GEN BUDACT ER'!F35+'GEN BUDACT ER'!F37</f>
        <v>945</v>
      </c>
    </row>
    <row r="42" spans="1:15">
      <c r="A42" s="225" t="s">
        <v>1822</v>
      </c>
      <c r="B42" s="225" t="s">
        <v>2114</v>
      </c>
      <c r="C42" s="220"/>
      <c r="D42" s="220" t="s">
        <v>2115</v>
      </c>
      <c r="E42">
        <f>+'GEN BUDACT ER'!F36</f>
        <v>2578575</v>
      </c>
    </row>
    <row r="43" spans="1:15">
      <c r="A43" s="225" t="s">
        <v>1822</v>
      </c>
      <c r="B43" s="225" t="s">
        <v>2116</v>
      </c>
      <c r="C43" s="220"/>
      <c r="D43" s="220" t="s">
        <v>1846</v>
      </c>
      <c r="E43" s="146">
        <f>+'GEN BUDACT ER'!F39+'GEN BUDACT ER'!F40+368704</f>
        <v>368704</v>
      </c>
    </row>
    <row r="44" spans="1:15">
      <c r="A44" s="225" t="s">
        <v>1822</v>
      </c>
      <c r="B44" s="225" t="s">
        <v>2117</v>
      </c>
      <c r="C44" s="220"/>
      <c r="D44" s="220" t="s">
        <v>2118</v>
      </c>
      <c r="E44">
        <f>+'GEN BUDACT ER'!F42+'GEN BUDACT ER'!F43+'GEN BUDACT ER'!F44</f>
        <v>1151366</v>
      </c>
    </row>
    <row r="45" spans="1:15">
      <c r="A45" s="225" t="s">
        <v>1822</v>
      </c>
      <c r="B45" s="225" t="s">
        <v>2119</v>
      </c>
      <c r="C45" s="220"/>
      <c r="D45" s="220" t="s">
        <v>1848</v>
      </c>
    </row>
    <row r="46" spans="1:15">
      <c r="A46" s="225" t="s">
        <v>1822</v>
      </c>
      <c r="B46" s="225" t="s">
        <v>2120</v>
      </c>
      <c r="C46" s="220"/>
      <c r="D46" s="220" t="s">
        <v>1849</v>
      </c>
      <c r="E46">
        <f>+'GEN BUDACT ER'!F45</f>
        <v>2000</v>
      </c>
    </row>
    <row r="47" spans="1:15">
      <c r="A47" s="225" t="s">
        <v>1822</v>
      </c>
      <c r="B47" s="225" t="s">
        <v>2121</v>
      </c>
      <c r="C47" s="220"/>
      <c r="D47" s="220" t="s">
        <v>1850</v>
      </c>
      <c r="N47" s="192" t="s">
        <v>1885</v>
      </c>
      <c r="O47" s="192" t="s">
        <v>1888</v>
      </c>
    </row>
    <row r="48" spans="1:15">
      <c r="A48" s="225" t="s">
        <v>1822</v>
      </c>
      <c r="B48" s="225" t="s">
        <v>2122</v>
      </c>
      <c r="C48" s="220"/>
      <c r="D48" s="220" t="s">
        <v>2123</v>
      </c>
      <c r="G48">
        <f>SUM(E40:E48)</f>
        <v>4160809</v>
      </c>
      <c r="H48">
        <f>+'Govt IS'!D18</f>
        <v>4160809</v>
      </c>
      <c r="I48">
        <f>+H48-G48</f>
        <v>0</v>
      </c>
    </row>
    <row r="49" spans="1:15">
      <c r="A49" s="225" t="s">
        <v>1822</v>
      </c>
      <c r="B49" s="225" t="s">
        <v>2124</v>
      </c>
      <c r="C49" s="220"/>
      <c r="D49" s="220" t="s">
        <v>2125</v>
      </c>
      <c r="E49">
        <f>SUM('GEN BUDACT ER'!F51:F57)+'GEN BUDACT ER'!F59+N49-O49</f>
        <v>1262055</v>
      </c>
      <c r="N49" s="146">
        <f>+INPUT!D286</f>
        <v>0</v>
      </c>
      <c r="O49" s="143">
        <f>+INPUT!D226</f>
        <v>0</v>
      </c>
    </row>
    <row r="50" spans="1:15">
      <c r="A50" s="225" t="s">
        <v>1822</v>
      </c>
      <c r="B50" s="225" t="s">
        <v>2126</v>
      </c>
      <c r="C50" s="220"/>
      <c r="D50" s="220" t="s">
        <v>2127</v>
      </c>
      <c r="E50">
        <f>SUM('GEN BUDACT ER'!F61)</f>
        <v>0</v>
      </c>
    </row>
    <row r="51" spans="1:15">
      <c r="A51" s="225" t="s">
        <v>1822</v>
      </c>
      <c r="B51" s="225" t="s">
        <v>2128</v>
      </c>
      <c r="C51" s="220"/>
      <c r="D51" s="220" t="s">
        <v>2129</v>
      </c>
      <c r="E51">
        <f>SUM('GEN BUDACT ER'!F58)</f>
        <v>27210</v>
      </c>
    </row>
    <row r="52" spans="1:15">
      <c r="A52" s="225" t="s">
        <v>1822</v>
      </c>
      <c r="B52" s="225" t="s">
        <v>2130</v>
      </c>
      <c r="C52" s="220"/>
      <c r="D52" s="220" t="s">
        <v>2131</v>
      </c>
    </row>
    <row r="53" spans="1:15">
      <c r="A53" s="225" t="s">
        <v>1822</v>
      </c>
      <c r="B53" s="225" t="s">
        <v>2132</v>
      </c>
      <c r="C53" s="220"/>
      <c r="D53" s="220" t="s">
        <v>1854</v>
      </c>
    </row>
    <row r="54" spans="1:15">
      <c r="A54" s="225" t="s">
        <v>1822</v>
      </c>
      <c r="B54" s="225" t="s">
        <v>2133</v>
      </c>
      <c r="C54" s="220"/>
      <c r="D54" s="220" t="s">
        <v>2134</v>
      </c>
      <c r="G54">
        <f>SUM(E49:E54)</f>
        <v>1289265</v>
      </c>
      <c r="H54">
        <f>+'Govt IS'!D19</f>
        <v>1289265</v>
      </c>
      <c r="I54">
        <f>+H54-G54</f>
        <v>0</v>
      </c>
    </row>
    <row r="55" spans="1:15">
      <c r="A55" s="225" t="s">
        <v>1822</v>
      </c>
      <c r="B55" s="225" t="s">
        <v>2135</v>
      </c>
      <c r="C55" s="220"/>
      <c r="D55" s="220" t="s">
        <v>2136</v>
      </c>
      <c r="E55">
        <f>+INPUT!D14</f>
        <v>36199</v>
      </c>
      <c r="G55">
        <f>+E55</f>
        <v>36199</v>
      </c>
      <c r="H55">
        <f>+'Govt IS'!D20</f>
        <v>36199</v>
      </c>
      <c r="I55">
        <f>+H55-G55</f>
        <v>0</v>
      </c>
    </row>
    <row r="56" spans="1:15">
      <c r="A56" s="225" t="s">
        <v>1822</v>
      </c>
      <c r="B56" s="225" t="s">
        <v>2137</v>
      </c>
      <c r="C56" s="220"/>
      <c r="D56" s="220" t="s">
        <v>1857</v>
      </c>
    </row>
    <row r="57" spans="1:15">
      <c r="A57" s="225" t="s">
        <v>1822</v>
      </c>
      <c r="B57" s="225" t="s">
        <v>2138</v>
      </c>
      <c r="C57" s="220"/>
      <c r="D57" s="220" t="s">
        <v>1858</v>
      </c>
      <c r="E57" s="21">
        <f>+INPUT!D15</f>
        <v>187792</v>
      </c>
      <c r="G57">
        <f>SUM(E56:E57)</f>
        <v>187792</v>
      </c>
      <c r="H57">
        <f>+'Govt IS'!D21</f>
        <v>187792</v>
      </c>
      <c r="I57">
        <f>+H57-G57</f>
        <v>0</v>
      </c>
      <c r="K57" s="143"/>
    </row>
    <row r="58" spans="1:15">
      <c r="A58" s="225" t="s">
        <v>1822</v>
      </c>
      <c r="B58" s="225" t="s">
        <v>2139</v>
      </c>
      <c r="C58" s="220"/>
      <c r="D58" s="220" t="s">
        <v>1859</v>
      </c>
    </row>
    <row r="59" spans="1:15">
      <c r="A59" s="225" t="s">
        <v>1822</v>
      </c>
      <c r="B59" s="225" t="s">
        <v>2140</v>
      </c>
      <c r="C59" s="220"/>
      <c r="D59" s="220" t="s">
        <v>1860</v>
      </c>
    </row>
    <row r="60" spans="1:15">
      <c r="A60" s="225" t="s">
        <v>1822</v>
      </c>
      <c r="B60" s="225" t="s">
        <v>2141</v>
      </c>
      <c r="C60" s="220"/>
      <c r="D60" s="220" t="s">
        <v>2142</v>
      </c>
    </row>
    <row r="61" spans="1:15">
      <c r="A61" s="225" t="s">
        <v>1822</v>
      </c>
      <c r="B61" s="225" t="s">
        <v>2143</v>
      </c>
      <c r="C61" s="220"/>
      <c r="D61" s="220" t="s">
        <v>1862</v>
      </c>
    </row>
    <row r="62" spans="1:15">
      <c r="A62" s="225" t="s">
        <v>1822</v>
      </c>
      <c r="B62" s="225" t="s">
        <v>2144</v>
      </c>
      <c r="C62" s="220"/>
      <c r="D62" s="220" t="s">
        <v>1863</v>
      </c>
    </row>
    <row r="63" spans="1:15">
      <c r="A63" s="225" t="s">
        <v>1822</v>
      </c>
      <c r="B63" s="225" t="s">
        <v>2145</v>
      </c>
      <c r="C63" s="220"/>
      <c r="D63" s="220" t="s">
        <v>1864</v>
      </c>
      <c r="E63">
        <f>+INPUT!D16</f>
        <v>1252244</v>
      </c>
      <c r="G63">
        <f>SUM(E63:F63)</f>
        <v>1252244</v>
      </c>
      <c r="H63">
        <f>+'Govt IS'!D22</f>
        <v>1252244</v>
      </c>
      <c r="I63">
        <f>+H63-G63</f>
        <v>0</v>
      </c>
    </row>
    <row r="64" spans="1:15">
      <c r="A64" s="225" t="s">
        <v>1822</v>
      </c>
      <c r="B64" s="225" t="s">
        <v>2146</v>
      </c>
      <c r="C64" s="220"/>
      <c r="D64" s="220" t="s">
        <v>1865</v>
      </c>
    </row>
    <row r="65" spans="1:16">
      <c r="A65" s="225" t="s">
        <v>1822</v>
      </c>
      <c r="B65" s="225" t="s">
        <v>2147</v>
      </c>
      <c r="C65" s="220"/>
      <c r="D65" s="220" t="s">
        <v>1866</v>
      </c>
      <c r="K65" s="21"/>
    </row>
    <row r="66" spans="1:16">
      <c r="A66" s="225" t="s">
        <v>1822</v>
      </c>
      <c r="B66" s="225" t="s">
        <v>2148</v>
      </c>
      <c r="C66" s="220"/>
      <c r="D66" s="220" t="s">
        <v>2149</v>
      </c>
    </row>
    <row r="67" spans="1:16">
      <c r="A67" s="225" t="s">
        <v>1822</v>
      </c>
      <c r="B67" s="225" t="s">
        <v>2150</v>
      </c>
      <c r="C67" s="220"/>
      <c r="D67" s="220" t="s">
        <v>2151</v>
      </c>
    </row>
    <row r="68" spans="1:16">
      <c r="A68" s="225" t="s">
        <v>1822</v>
      </c>
      <c r="B68" s="225" t="s">
        <v>2152</v>
      </c>
      <c r="C68" s="220"/>
      <c r="D68" s="220" t="s">
        <v>1869</v>
      </c>
      <c r="E68">
        <f>+INPUT!D46</f>
        <v>2070536</v>
      </c>
      <c r="G68">
        <f>+E68</f>
        <v>2070536</v>
      </c>
      <c r="H68">
        <f>+'Govt IS'!D42</f>
        <v>2070536</v>
      </c>
      <c r="I68">
        <f>+H68-G68</f>
        <v>0</v>
      </c>
    </row>
    <row r="69" spans="1:16">
      <c r="A69" s="225" t="s">
        <v>1822</v>
      </c>
      <c r="B69" s="225" t="s">
        <v>2153</v>
      </c>
      <c r="C69" s="220"/>
      <c r="D69" s="220" t="s">
        <v>2154</v>
      </c>
      <c r="E69">
        <f>+INPUT!D49</f>
        <v>542311</v>
      </c>
    </row>
    <row r="70" spans="1:16">
      <c r="A70" s="225" t="s">
        <v>1822</v>
      </c>
      <c r="B70" s="225" t="s">
        <v>2155</v>
      </c>
      <c r="C70" s="220"/>
      <c r="D70" s="220" t="s">
        <v>2156</v>
      </c>
    </row>
    <row r="71" spans="1:16">
      <c r="A71" s="225" t="s">
        <v>1822</v>
      </c>
      <c r="B71" s="225" t="s">
        <v>2157</v>
      </c>
      <c r="C71" s="220"/>
      <c r="D71" s="220" t="s">
        <v>2158</v>
      </c>
    </row>
    <row r="72" spans="1:16">
      <c r="A72" s="225" t="s">
        <v>1822</v>
      </c>
      <c r="B72" s="225" t="s">
        <v>2159</v>
      </c>
      <c r="C72" s="220"/>
      <c r="D72" s="220" t="s">
        <v>2160</v>
      </c>
    </row>
    <row r="73" spans="1:16">
      <c r="A73" s="225" t="s">
        <v>1822</v>
      </c>
      <c r="B73" s="225" t="s">
        <v>2161</v>
      </c>
      <c r="C73" s="220"/>
      <c r="D73" s="220" t="s">
        <v>2162</v>
      </c>
    </row>
    <row r="74" spans="1:16">
      <c r="A74" s="225" t="s">
        <v>1822</v>
      </c>
      <c r="B74" s="225" t="s">
        <v>2163</v>
      </c>
      <c r="C74" s="220"/>
      <c r="D74" s="220" t="s">
        <v>2164</v>
      </c>
    </row>
    <row r="75" spans="1:16">
      <c r="A75" s="225" t="s">
        <v>1822</v>
      </c>
      <c r="B75" s="225" t="s">
        <v>2165</v>
      </c>
      <c r="C75" s="220"/>
      <c r="D75" s="220" t="s">
        <v>2166</v>
      </c>
    </row>
    <row r="76" spans="1:16">
      <c r="A76" s="225" t="s">
        <v>1822</v>
      </c>
      <c r="B76" s="225" t="s">
        <v>2167</v>
      </c>
      <c r="C76" s="220"/>
      <c r="D76" s="220" t="s">
        <v>2168</v>
      </c>
    </row>
    <row r="77" spans="1:16">
      <c r="A77" s="225" t="s">
        <v>1822</v>
      </c>
      <c r="B77" s="225" t="s">
        <v>2169</v>
      </c>
      <c r="C77" s="220"/>
      <c r="D77" s="220" t="s">
        <v>2170</v>
      </c>
      <c r="G77" s="193">
        <f>SUM(E31:E77)</f>
        <v>18145568</v>
      </c>
      <c r="H77" s="40">
        <f>+INPUT!D18+INPUT!D46+INPUT!D54+INPUT!D49</f>
        <v>18145568</v>
      </c>
      <c r="I77" s="40">
        <f>+H77-G77</f>
        <v>0</v>
      </c>
      <c r="J77" s="40"/>
      <c r="K77" s="194" t="s">
        <v>1876</v>
      </c>
      <c r="N77" s="192" t="s">
        <v>1885</v>
      </c>
      <c r="O77" s="192" t="s">
        <v>1888</v>
      </c>
    </row>
    <row r="78" spans="1:16">
      <c r="A78" s="1338" t="s">
        <v>2171</v>
      </c>
      <c r="B78" s="1339"/>
      <c r="C78" s="1339"/>
      <c r="D78" s="1339"/>
      <c r="K78" s="21"/>
      <c r="N78" s="192"/>
      <c r="O78" s="192"/>
    </row>
    <row r="79" spans="1:16">
      <c r="A79" s="225" t="s">
        <v>1822</v>
      </c>
      <c r="B79" s="227" t="s">
        <v>2172</v>
      </c>
      <c r="C79" s="228" t="s">
        <v>516</v>
      </c>
      <c r="D79" s="220" t="s">
        <v>2173</v>
      </c>
      <c r="E79" s="146">
        <f>+'GEN BUDACT ER'!F85+'GEN BUDACT ER'!F88+'GEN BUDACT ER'!F91+'GEN BUDACT ER'!F94+'GEN BUDACT ER'!F97+'GEN BUDACT ER'!F100+'GEN BUDACT ER'!F103+'GEN BUDACT ER'!F106+'GEN BUDACT ER'!F109+'GEN BUDACT ER'!F112+N79-O79+368704</f>
        <v>7294529</v>
      </c>
      <c r="N79" s="146"/>
      <c r="O79" s="143"/>
      <c r="P79" s="21"/>
    </row>
    <row r="80" spans="1:16">
      <c r="A80" s="225" t="s">
        <v>1822</v>
      </c>
      <c r="B80" s="227" t="s">
        <v>2172</v>
      </c>
      <c r="C80" s="228" t="s">
        <v>2174</v>
      </c>
      <c r="D80" s="220" t="s">
        <v>2173</v>
      </c>
      <c r="E80">
        <f>+'GEN BUDACT ER'!F86+'GEN BUDACT ER'!F89+'GEN BUDACT ER'!F92+'GEN BUDACT ER'!F95+'GEN BUDACT ER'!F98+'GEN BUDACT ER'!F101+'GEN BUDACT ER'!F104+'GEN BUDACT ER'!F107+'GEN BUDACT ER'!F110+'GEN BUDACT ER'!F113-'GEN BUDACT ER'!F178+N80-O80</f>
        <v>4495354</v>
      </c>
      <c r="N80" s="146"/>
      <c r="O80" s="143">
        <f>246178</f>
        <v>246178</v>
      </c>
    </row>
    <row r="81" spans="1:15">
      <c r="A81" s="225" t="s">
        <v>1822</v>
      </c>
      <c r="B81" s="227" t="s">
        <v>2172</v>
      </c>
      <c r="C81" s="228" t="s">
        <v>2175</v>
      </c>
      <c r="D81" s="220" t="s">
        <v>1870</v>
      </c>
    </row>
    <row r="82" spans="1:15">
      <c r="A82" s="225" t="s">
        <v>1822</v>
      </c>
      <c r="B82" s="227" t="s">
        <v>2172</v>
      </c>
      <c r="C82" s="228" t="s">
        <v>2176</v>
      </c>
      <c r="D82" s="220" t="s">
        <v>1870</v>
      </c>
    </row>
    <row r="83" spans="1:15">
      <c r="A83" s="225" t="s">
        <v>1822</v>
      </c>
      <c r="B83" s="227" t="s">
        <v>2172</v>
      </c>
      <c r="C83" s="228" t="s">
        <v>2177</v>
      </c>
      <c r="D83" s="220" t="s">
        <v>1870</v>
      </c>
      <c r="G83">
        <f>SUM(E79:E83)</f>
        <v>11789883</v>
      </c>
      <c r="H83">
        <f>+INPUT!D22-INPUT!D47</f>
        <v>11789883</v>
      </c>
      <c r="I83">
        <f>+H83-G83</f>
        <v>0</v>
      </c>
    </row>
    <row r="84" spans="1:15">
      <c r="A84" s="225" t="s">
        <v>1822</v>
      </c>
      <c r="B84" s="227" t="s">
        <v>2178</v>
      </c>
      <c r="C84" s="228" t="s">
        <v>516</v>
      </c>
      <c r="D84" s="220" t="s">
        <v>683</v>
      </c>
      <c r="E84">
        <f>+'GEN BUDACT ER'!F119+'GEN BUDACT ER'!F122+N84-O84</f>
        <v>89446</v>
      </c>
      <c r="N84" s="146">
        <v>0</v>
      </c>
      <c r="O84" s="143">
        <v>4871</v>
      </c>
    </row>
    <row r="85" spans="1:15">
      <c r="A85" s="225" t="s">
        <v>1822</v>
      </c>
      <c r="B85" s="227" t="s">
        <v>2178</v>
      </c>
      <c r="C85" s="228" t="s">
        <v>2174</v>
      </c>
      <c r="D85" s="220" t="s">
        <v>683</v>
      </c>
      <c r="E85">
        <f>+'GEN BUDACT ER'!F120+'GEN BUDACT ER'!F123+N85-O85</f>
        <v>32511</v>
      </c>
      <c r="O85" s="143">
        <v>0</v>
      </c>
    </row>
    <row r="86" spans="1:15">
      <c r="A86" s="225" t="s">
        <v>1822</v>
      </c>
      <c r="B86" s="227" t="s">
        <v>2178</v>
      </c>
      <c r="C86" s="228" t="s">
        <v>2175</v>
      </c>
      <c r="D86" s="220" t="s">
        <v>683</v>
      </c>
    </row>
    <row r="87" spans="1:15">
      <c r="A87" s="225" t="s">
        <v>1822</v>
      </c>
      <c r="B87" s="227" t="s">
        <v>2178</v>
      </c>
      <c r="C87" s="228" t="s">
        <v>2176</v>
      </c>
      <c r="D87" s="220" t="s">
        <v>683</v>
      </c>
    </row>
    <row r="88" spans="1:15">
      <c r="A88" s="225" t="s">
        <v>1822</v>
      </c>
      <c r="B88" s="227" t="s">
        <v>2178</v>
      </c>
      <c r="C88" s="228" t="s">
        <v>2177</v>
      </c>
      <c r="D88" s="220" t="s">
        <v>683</v>
      </c>
      <c r="G88">
        <f>SUM(E84:E88)</f>
        <v>121957</v>
      </c>
      <c r="H88">
        <f>+INPUT!D23</f>
        <v>121957</v>
      </c>
      <c r="I88">
        <f>+H88-G88</f>
        <v>0</v>
      </c>
    </row>
    <row r="89" spans="1:15">
      <c r="A89" s="225" t="s">
        <v>1822</v>
      </c>
      <c r="B89" s="227" t="s">
        <v>2179</v>
      </c>
      <c r="C89" s="228" t="s">
        <v>516</v>
      </c>
      <c r="D89" s="220" t="s">
        <v>777</v>
      </c>
      <c r="E89">
        <f>+'GEN BUDACT ER'!F129+'GEN BUDACT ER'!F132+'GEN BUDACT ER'!F135+'GEN BUDACT ER'!F138+N89-O89</f>
        <v>1422202</v>
      </c>
      <c r="N89" s="146">
        <v>64441</v>
      </c>
      <c r="O89" s="143">
        <v>52799</v>
      </c>
    </row>
    <row r="90" spans="1:15">
      <c r="A90" s="225" t="s">
        <v>1822</v>
      </c>
      <c r="B90" s="227" t="s">
        <v>2179</v>
      </c>
      <c r="C90" s="228" t="s">
        <v>2174</v>
      </c>
      <c r="D90" s="220" t="s">
        <v>777</v>
      </c>
      <c r="E90">
        <f>+'GEN BUDACT ER'!F130+'GEN BUDACT ER'!F133+'GEN BUDACT ER'!F136+'GEN BUDACT ER'!F139+INPUT!D256-INPUT!D316+N90-O90</f>
        <v>563222</v>
      </c>
      <c r="N90" s="146"/>
      <c r="O90">
        <v>0</v>
      </c>
    </row>
    <row r="91" spans="1:15">
      <c r="A91" s="225" t="s">
        <v>1822</v>
      </c>
      <c r="B91" s="227" t="s">
        <v>2179</v>
      </c>
      <c r="C91" s="228" t="s">
        <v>2175</v>
      </c>
      <c r="D91" s="220" t="s">
        <v>777</v>
      </c>
    </row>
    <row r="92" spans="1:15">
      <c r="A92" s="225" t="s">
        <v>1822</v>
      </c>
      <c r="B92" s="227" t="s">
        <v>2179</v>
      </c>
      <c r="C92" s="228" t="s">
        <v>2176</v>
      </c>
      <c r="D92" s="220" t="s">
        <v>777</v>
      </c>
    </row>
    <row r="93" spans="1:15">
      <c r="A93" s="225" t="s">
        <v>1822</v>
      </c>
      <c r="B93" s="227" t="s">
        <v>2179</v>
      </c>
      <c r="C93" s="228" t="s">
        <v>2177</v>
      </c>
      <c r="D93" s="220" t="s">
        <v>777</v>
      </c>
      <c r="G93">
        <f>SUM(E89:E93)</f>
        <v>1985424</v>
      </c>
      <c r="H93">
        <f>+INPUT!D24</f>
        <v>1985424</v>
      </c>
      <c r="I93">
        <f>+H93-G93</f>
        <v>0</v>
      </c>
    </row>
    <row r="94" spans="1:15">
      <c r="A94" s="225" t="s">
        <v>1822</v>
      </c>
      <c r="B94" s="227" t="s">
        <v>2180</v>
      </c>
      <c r="C94" s="228" t="s">
        <v>516</v>
      </c>
      <c r="D94" s="220" t="s">
        <v>1853</v>
      </c>
      <c r="E94">
        <f>+'GEN BUDACT ER'!F145</f>
        <v>0</v>
      </c>
    </row>
    <row r="95" spans="1:15">
      <c r="A95" s="225" t="s">
        <v>1822</v>
      </c>
      <c r="B95" s="227" t="s">
        <v>2180</v>
      </c>
      <c r="C95" s="228" t="s">
        <v>2174</v>
      </c>
      <c r="D95" s="220" t="s">
        <v>1853</v>
      </c>
      <c r="E95">
        <f>+'GEN BUDACT ER'!F146</f>
        <v>73516</v>
      </c>
    </row>
    <row r="96" spans="1:15">
      <c r="A96" s="225" t="s">
        <v>1822</v>
      </c>
      <c r="B96" s="227" t="s">
        <v>2180</v>
      </c>
      <c r="C96" s="228" t="s">
        <v>2175</v>
      </c>
      <c r="D96" s="220" t="s">
        <v>1853</v>
      </c>
    </row>
    <row r="97" spans="1:9">
      <c r="A97" s="225" t="s">
        <v>1822</v>
      </c>
      <c r="B97" s="227" t="s">
        <v>2180</v>
      </c>
      <c r="C97" s="228" t="s">
        <v>2176</v>
      </c>
      <c r="D97" s="220" t="s">
        <v>1853</v>
      </c>
    </row>
    <row r="98" spans="1:9">
      <c r="A98" s="225" t="s">
        <v>1822</v>
      </c>
      <c r="B98" s="227" t="s">
        <v>2180</v>
      </c>
      <c r="C98" s="228" t="s">
        <v>2177</v>
      </c>
      <c r="D98" s="220" t="s">
        <v>1853</v>
      </c>
      <c r="G98">
        <f>SUM(E94:E98)</f>
        <v>73516</v>
      </c>
      <c r="H98">
        <f>+INPUT!D25</f>
        <v>73516</v>
      </c>
      <c r="I98">
        <f>+H98-G98</f>
        <v>0</v>
      </c>
    </row>
    <row r="99" spans="1:9">
      <c r="A99" s="225" t="s">
        <v>1822</v>
      </c>
      <c r="B99" s="227" t="s">
        <v>2181</v>
      </c>
      <c r="C99" s="228" t="s">
        <v>516</v>
      </c>
      <c r="D99" s="220" t="s">
        <v>1854</v>
      </c>
      <c r="E99">
        <f>+'GEN BUDACT ER'!F152+'GEN BUDACT ER'!F155</f>
        <v>0</v>
      </c>
    </row>
    <row r="100" spans="1:9">
      <c r="A100" s="225" t="s">
        <v>1822</v>
      </c>
      <c r="B100" s="227" t="s">
        <v>2181</v>
      </c>
      <c r="C100" s="228" t="s">
        <v>2174</v>
      </c>
      <c r="D100" s="220" t="s">
        <v>1854</v>
      </c>
      <c r="E100">
        <f>+'GEN BUDACT ER'!F153+'GEN BUDACT ER'!F156</f>
        <v>599703</v>
      </c>
    </row>
    <row r="101" spans="1:9">
      <c r="A101" s="225" t="s">
        <v>1822</v>
      </c>
      <c r="B101" s="227" t="s">
        <v>2181</v>
      </c>
      <c r="C101" s="228" t="s">
        <v>2175</v>
      </c>
      <c r="D101" s="220" t="s">
        <v>1854</v>
      </c>
    </row>
    <row r="102" spans="1:9">
      <c r="A102" s="225" t="s">
        <v>1822</v>
      </c>
      <c r="B102" s="227" t="s">
        <v>2181</v>
      </c>
      <c r="C102" s="228" t="s">
        <v>2176</v>
      </c>
      <c r="D102" s="220" t="s">
        <v>1854</v>
      </c>
    </row>
    <row r="103" spans="1:9">
      <c r="A103" s="225" t="s">
        <v>1822</v>
      </c>
      <c r="B103" s="227" t="s">
        <v>2181</v>
      </c>
      <c r="C103" s="228" t="s">
        <v>2177</v>
      </c>
      <c r="D103" s="220" t="s">
        <v>1854</v>
      </c>
      <c r="G103">
        <f>SUM(E99:E103)</f>
        <v>599703</v>
      </c>
      <c r="H103">
        <f>+INPUT!D26</f>
        <v>599703</v>
      </c>
      <c r="I103">
        <f>+H103-G103</f>
        <v>0</v>
      </c>
    </row>
    <row r="104" spans="1:9">
      <c r="A104" s="225" t="s">
        <v>1822</v>
      </c>
      <c r="B104" s="227" t="s">
        <v>2182</v>
      </c>
      <c r="C104" s="228" t="s">
        <v>516</v>
      </c>
      <c r="D104" s="220" t="s">
        <v>1855</v>
      </c>
    </row>
    <row r="105" spans="1:9">
      <c r="A105" s="225" t="s">
        <v>1822</v>
      </c>
      <c r="B105" s="227" t="s">
        <v>2182</v>
      </c>
      <c r="C105" s="228" t="s">
        <v>2174</v>
      </c>
      <c r="D105" s="220" t="s">
        <v>1855</v>
      </c>
    </row>
    <row r="106" spans="1:9">
      <c r="A106" s="225" t="s">
        <v>1822</v>
      </c>
      <c r="B106" s="227" t="s">
        <v>2182</v>
      </c>
      <c r="C106" s="228" t="s">
        <v>2175</v>
      </c>
      <c r="D106" s="220" t="s">
        <v>1855</v>
      </c>
    </row>
    <row r="107" spans="1:9">
      <c r="A107" s="225" t="s">
        <v>1822</v>
      </c>
      <c r="B107" s="227" t="s">
        <v>2182</v>
      </c>
      <c r="C107" s="228" t="s">
        <v>2176</v>
      </c>
      <c r="D107" s="220" t="s">
        <v>1855</v>
      </c>
    </row>
    <row r="108" spans="1:9">
      <c r="A108" s="225" t="s">
        <v>1822</v>
      </c>
      <c r="B108" s="227" t="s">
        <v>2182</v>
      </c>
      <c r="C108" s="228" t="s">
        <v>2177</v>
      </c>
      <c r="D108" s="220" t="s">
        <v>1855</v>
      </c>
    </row>
    <row r="109" spans="1:9">
      <c r="A109" s="225" t="s">
        <v>1822</v>
      </c>
      <c r="B109" s="227" t="s">
        <v>2183</v>
      </c>
      <c r="C109" s="228" t="s">
        <v>516</v>
      </c>
      <c r="D109" s="220" t="s">
        <v>2184</v>
      </c>
    </row>
    <row r="110" spans="1:9">
      <c r="A110" s="225" t="s">
        <v>1822</v>
      </c>
      <c r="B110" s="227" t="s">
        <v>2183</v>
      </c>
      <c r="C110" s="228" t="s">
        <v>2174</v>
      </c>
      <c r="D110" s="220" t="s">
        <v>2184</v>
      </c>
    </row>
    <row r="111" spans="1:9">
      <c r="A111" s="225" t="s">
        <v>1822</v>
      </c>
      <c r="B111" s="227" t="s">
        <v>2183</v>
      </c>
      <c r="C111" s="228" t="s">
        <v>2175</v>
      </c>
      <c r="D111" s="220" t="s">
        <v>2184</v>
      </c>
    </row>
    <row r="112" spans="1:9">
      <c r="A112" s="225" t="s">
        <v>1822</v>
      </c>
      <c r="B112" s="225" t="s">
        <v>2183</v>
      </c>
      <c r="C112" s="228" t="s">
        <v>2176</v>
      </c>
      <c r="D112" s="220" t="s">
        <v>2184</v>
      </c>
    </row>
    <row r="113" spans="1:9">
      <c r="A113" s="225" t="s">
        <v>1822</v>
      </c>
      <c r="B113" s="225" t="s">
        <v>2183</v>
      </c>
      <c r="C113" s="228" t="s">
        <v>2177</v>
      </c>
      <c r="D113" s="220" t="s">
        <v>2184</v>
      </c>
    </row>
    <row r="114" spans="1:9">
      <c r="A114" s="225" t="s">
        <v>1822</v>
      </c>
      <c r="B114" s="225" t="s">
        <v>2185</v>
      </c>
      <c r="C114" s="228" t="s">
        <v>516</v>
      </c>
      <c r="D114" s="220" t="s">
        <v>2186</v>
      </c>
    </row>
    <row r="115" spans="1:9">
      <c r="A115" s="225" t="s">
        <v>1822</v>
      </c>
      <c r="B115" s="225" t="s">
        <v>2185</v>
      </c>
      <c r="C115" s="228" t="s">
        <v>2174</v>
      </c>
      <c r="D115" s="220" t="s">
        <v>2186</v>
      </c>
    </row>
    <row r="116" spans="1:9">
      <c r="A116" s="225" t="s">
        <v>1822</v>
      </c>
      <c r="B116" s="225" t="s">
        <v>2185</v>
      </c>
      <c r="C116" s="228" t="s">
        <v>2175</v>
      </c>
      <c r="D116" s="220" t="s">
        <v>2186</v>
      </c>
    </row>
    <row r="117" spans="1:9">
      <c r="A117" s="225" t="s">
        <v>1822</v>
      </c>
      <c r="B117" s="225" t="s">
        <v>2185</v>
      </c>
      <c r="C117" s="228" t="s">
        <v>2176</v>
      </c>
      <c r="D117" s="220" t="s">
        <v>2186</v>
      </c>
    </row>
    <row r="118" spans="1:9">
      <c r="A118" s="225" t="s">
        <v>1822</v>
      </c>
      <c r="B118" s="225" t="s">
        <v>2185</v>
      </c>
      <c r="C118" s="228" t="s">
        <v>2177</v>
      </c>
      <c r="D118" s="220" t="s">
        <v>2186</v>
      </c>
    </row>
    <row r="119" spans="1:9">
      <c r="A119" s="225" t="s">
        <v>1822</v>
      </c>
      <c r="B119" s="225" t="s">
        <v>2187</v>
      </c>
      <c r="C119" s="228" t="s">
        <v>516</v>
      </c>
      <c r="D119" s="220" t="s">
        <v>691</v>
      </c>
    </row>
    <row r="120" spans="1:9">
      <c r="A120" s="225" t="s">
        <v>1822</v>
      </c>
      <c r="B120" s="225" t="s">
        <v>2187</v>
      </c>
      <c r="C120" s="228" t="s">
        <v>2174</v>
      </c>
      <c r="D120" s="220" t="s">
        <v>691</v>
      </c>
      <c r="E120">
        <f>+INPUT!D28</f>
        <v>227388</v>
      </c>
      <c r="G120">
        <f>SUM(E119:E123)</f>
        <v>227388</v>
      </c>
      <c r="H120">
        <f>+INPUT!D28</f>
        <v>227388</v>
      </c>
      <c r="I120">
        <f>+H120-G120</f>
        <v>0</v>
      </c>
    </row>
    <row r="121" spans="1:9">
      <c r="A121" s="225" t="s">
        <v>1822</v>
      </c>
      <c r="B121" s="225" t="s">
        <v>2187</v>
      </c>
      <c r="C121" s="228" t="s">
        <v>2175</v>
      </c>
      <c r="D121" s="220" t="s">
        <v>691</v>
      </c>
    </row>
    <row r="122" spans="1:9">
      <c r="A122" s="225" t="s">
        <v>1822</v>
      </c>
      <c r="B122" s="225" t="s">
        <v>2187</v>
      </c>
      <c r="C122" s="228" t="s">
        <v>2176</v>
      </c>
      <c r="D122" s="220" t="s">
        <v>691</v>
      </c>
    </row>
    <row r="123" spans="1:9">
      <c r="A123" s="225" t="s">
        <v>1822</v>
      </c>
      <c r="B123" s="225" t="s">
        <v>2187</v>
      </c>
      <c r="C123" s="228" t="s">
        <v>2177</v>
      </c>
      <c r="D123" s="220" t="s">
        <v>691</v>
      </c>
    </row>
    <row r="124" spans="1:9">
      <c r="A124" s="225" t="s">
        <v>1822</v>
      </c>
      <c r="B124" s="225" t="s">
        <v>2188</v>
      </c>
      <c r="C124" s="228" t="s">
        <v>516</v>
      </c>
      <c r="D124" s="220" t="s">
        <v>713</v>
      </c>
    </row>
    <row r="125" spans="1:9">
      <c r="A125" s="225" t="s">
        <v>1822</v>
      </c>
      <c r="B125" s="225" t="s">
        <v>2188</v>
      </c>
      <c r="C125" s="228" t="s">
        <v>2174</v>
      </c>
      <c r="D125" s="220" t="s">
        <v>713</v>
      </c>
    </row>
    <row r="126" spans="1:9">
      <c r="A126" s="225" t="s">
        <v>1822</v>
      </c>
      <c r="B126" s="225" t="s">
        <v>2188</v>
      </c>
      <c r="C126" s="228" t="s">
        <v>2175</v>
      </c>
      <c r="D126" s="220" t="s">
        <v>713</v>
      </c>
    </row>
    <row r="127" spans="1:9">
      <c r="A127" s="225" t="s">
        <v>1822</v>
      </c>
      <c r="B127" s="225" t="s">
        <v>2188</v>
      </c>
      <c r="C127" s="228" t="s">
        <v>2176</v>
      </c>
      <c r="D127" s="220" t="s">
        <v>713</v>
      </c>
    </row>
    <row r="128" spans="1:9">
      <c r="A128" s="225" t="s">
        <v>1822</v>
      </c>
      <c r="B128" s="225" t="s">
        <v>2188</v>
      </c>
      <c r="C128" s="228" t="s">
        <v>2177</v>
      </c>
      <c r="D128" s="220" t="s">
        <v>713</v>
      </c>
    </row>
    <row r="129" spans="1:16">
      <c r="A129" s="225" t="s">
        <v>1822</v>
      </c>
      <c r="B129" s="225" t="s">
        <v>2189</v>
      </c>
      <c r="C129" s="228" t="s">
        <v>516</v>
      </c>
      <c r="D129" s="220" t="s">
        <v>109</v>
      </c>
    </row>
    <row r="130" spans="1:16">
      <c r="A130" s="225" t="s">
        <v>1822</v>
      </c>
      <c r="B130" s="225" t="s">
        <v>2189</v>
      </c>
      <c r="C130" s="228" t="s">
        <v>2174</v>
      </c>
      <c r="D130" s="220" t="s">
        <v>109</v>
      </c>
      <c r="E130">
        <f>+INPUT!D29</f>
        <v>574981</v>
      </c>
      <c r="G130">
        <f>SUM(E129:E133)</f>
        <v>574981</v>
      </c>
      <c r="H130">
        <f>+INPUT!D29</f>
        <v>574981</v>
      </c>
      <c r="I130">
        <f>+H130-G130</f>
        <v>0</v>
      </c>
    </row>
    <row r="131" spans="1:16">
      <c r="A131" s="225" t="s">
        <v>1822</v>
      </c>
      <c r="B131" s="225" t="s">
        <v>2189</v>
      </c>
      <c r="C131" s="228" t="s">
        <v>2175</v>
      </c>
      <c r="D131" s="220" t="s">
        <v>109</v>
      </c>
    </row>
    <row r="132" spans="1:16">
      <c r="A132" s="225" t="s">
        <v>1822</v>
      </c>
      <c r="B132" s="225" t="s">
        <v>2189</v>
      </c>
      <c r="C132" s="228" t="s">
        <v>2176</v>
      </c>
      <c r="D132" s="220" t="s">
        <v>109</v>
      </c>
    </row>
    <row r="133" spans="1:16">
      <c r="A133" s="225" t="s">
        <v>1822</v>
      </c>
      <c r="B133" s="225" t="s">
        <v>2189</v>
      </c>
      <c r="C133" s="228" t="s">
        <v>2177</v>
      </c>
      <c r="D133" s="220" t="s">
        <v>109</v>
      </c>
    </row>
    <row r="134" spans="1:16">
      <c r="A134" s="225" t="s">
        <v>1822</v>
      </c>
      <c r="B134" s="225" t="s">
        <v>2190</v>
      </c>
      <c r="C134" s="228" t="s">
        <v>516</v>
      </c>
      <c r="D134" s="220" t="s">
        <v>1872</v>
      </c>
    </row>
    <row r="135" spans="1:16">
      <c r="A135" s="225" t="s">
        <v>1822</v>
      </c>
      <c r="B135" s="225" t="s">
        <v>2190</v>
      </c>
      <c r="C135" s="228" t="s">
        <v>2174</v>
      </c>
      <c r="D135" s="220" t="s">
        <v>1872</v>
      </c>
    </row>
    <row r="136" spans="1:16">
      <c r="A136" s="225" t="s">
        <v>1822</v>
      </c>
      <c r="B136" s="225" t="s">
        <v>2190</v>
      </c>
      <c r="C136" s="228" t="s">
        <v>2175</v>
      </c>
      <c r="D136" s="220" t="s">
        <v>1872</v>
      </c>
    </row>
    <row r="137" spans="1:16">
      <c r="A137" s="225" t="s">
        <v>1822</v>
      </c>
      <c r="B137" s="225" t="s">
        <v>2190</v>
      </c>
      <c r="C137" s="228" t="s">
        <v>2176</v>
      </c>
      <c r="D137" s="220" t="s">
        <v>1872</v>
      </c>
    </row>
    <row r="138" spans="1:16" ht="13.5" thickBot="1">
      <c r="A138" s="225" t="s">
        <v>1822</v>
      </c>
      <c r="B138" s="225" t="s">
        <v>2190</v>
      </c>
      <c r="C138" s="228" t="s">
        <v>2177</v>
      </c>
      <c r="D138" s="220" t="s">
        <v>1872</v>
      </c>
      <c r="E138" s="190"/>
      <c r="F138" s="75"/>
      <c r="G138" s="198">
        <f>SUM(E79:E138)</f>
        <v>15372852</v>
      </c>
      <c r="H138" s="199">
        <f>+'Govt IS'!D37-'Govt IS'!D43</f>
        <v>15372852</v>
      </c>
      <c r="I138" s="199">
        <f>+H138-G138</f>
        <v>0</v>
      </c>
      <c r="J138" s="199"/>
      <c r="K138" s="200" t="s">
        <v>1889</v>
      </c>
      <c r="M138" s="143">
        <f>+G77-G138</f>
        <v>2772716</v>
      </c>
      <c r="N138" s="143">
        <f>+INPUT!D61</f>
        <v>2772716</v>
      </c>
      <c r="O138" s="143">
        <f>+N138-M138</f>
        <v>0</v>
      </c>
      <c r="P138" s="143" t="s">
        <v>1894</v>
      </c>
    </row>
    <row r="139" spans="1:16">
      <c r="A139" s="229"/>
      <c r="B139" s="230"/>
      <c r="C139" s="233"/>
      <c r="D139" s="231"/>
      <c r="K139" s="21"/>
      <c r="M139" s="143"/>
      <c r="N139" s="143"/>
      <c r="O139" s="143"/>
      <c r="P139" s="143"/>
    </row>
    <row r="140" spans="1:16" ht="15.75">
      <c r="A140" s="1336" t="s">
        <v>2191</v>
      </c>
      <c r="B140" s="1337"/>
      <c r="C140" s="1337"/>
      <c r="D140" s="1337"/>
      <c r="K140" s="21"/>
      <c r="M140" s="143"/>
      <c r="N140" s="143"/>
      <c r="O140" s="143"/>
      <c r="P140" s="143"/>
    </row>
    <row r="141" spans="1:16">
      <c r="A141" s="1338" t="s">
        <v>2192</v>
      </c>
      <c r="B141" s="1339"/>
      <c r="C141" s="1339"/>
      <c r="D141" s="1339"/>
      <c r="K141" s="21"/>
      <c r="M141" s="143"/>
      <c r="N141" s="143"/>
      <c r="O141" s="143"/>
      <c r="P141" s="143"/>
    </row>
    <row r="142" spans="1:16">
      <c r="A142" s="225" t="s">
        <v>1877</v>
      </c>
      <c r="B142" s="222" t="s">
        <v>2074</v>
      </c>
      <c r="C142" s="220"/>
      <c r="D142" s="224" t="s">
        <v>1873</v>
      </c>
      <c r="E142">
        <f>+INPUT!BF85+INPUT!BF86-INPUT!P84-INPUT!P86</f>
        <v>33009821</v>
      </c>
      <c r="P142" s="156" t="s">
        <v>1896</v>
      </c>
    </row>
    <row r="143" spans="1:16">
      <c r="A143" s="225" t="s">
        <v>1877</v>
      </c>
      <c r="B143" s="226" t="s">
        <v>2075</v>
      </c>
      <c r="C143" s="220"/>
      <c r="D143" s="220" t="s">
        <v>2076</v>
      </c>
      <c r="E143">
        <f>+INPUT!BF88-INPUT!P88</f>
        <v>671358</v>
      </c>
    </row>
    <row r="144" spans="1:16">
      <c r="A144" s="225" t="s">
        <v>1877</v>
      </c>
      <c r="B144" s="227" t="s">
        <v>2077</v>
      </c>
      <c r="C144" s="220"/>
      <c r="D144" s="220" t="s">
        <v>1823</v>
      </c>
      <c r="E144">
        <f>+INPUT!BF89-INPUT!P89</f>
        <v>84018</v>
      </c>
    </row>
    <row r="145" spans="1:15">
      <c r="A145" s="225" t="s">
        <v>1877</v>
      </c>
      <c r="B145" s="227" t="s">
        <v>2078</v>
      </c>
      <c r="C145" s="220"/>
      <c r="D145" s="220" t="s">
        <v>1824</v>
      </c>
      <c r="E145">
        <f>+INPUT!BF93-INPUT!P93+INPUT!BF92+INPUT!BF103</f>
        <v>694886</v>
      </c>
    </row>
    <row r="146" spans="1:15">
      <c r="A146" s="225" t="s">
        <v>1877</v>
      </c>
      <c r="B146" s="227" t="s">
        <v>2079</v>
      </c>
      <c r="C146" s="220"/>
      <c r="D146" s="220" t="s">
        <v>1825</v>
      </c>
    </row>
    <row r="147" spans="1:15">
      <c r="A147" s="225" t="s">
        <v>1877</v>
      </c>
      <c r="B147" s="227" t="s">
        <v>2080</v>
      </c>
      <c r="C147" s="220"/>
      <c r="D147" s="220" t="s">
        <v>1826</v>
      </c>
      <c r="E147">
        <f>+INPUT!BF94-INPUT!O94</f>
        <v>474123</v>
      </c>
    </row>
    <row r="148" spans="1:15">
      <c r="A148" s="225" t="s">
        <v>1877</v>
      </c>
      <c r="B148" s="227" t="s">
        <v>2081</v>
      </c>
      <c r="C148" s="220"/>
      <c r="D148" s="220" t="s">
        <v>1827</v>
      </c>
      <c r="E148">
        <f>+INPUT!BF98+INPUT!BF99-INPUT!P98-INPUT!P99</f>
        <v>371646</v>
      </c>
    </row>
    <row r="149" spans="1:15">
      <c r="A149" s="225" t="s">
        <v>1877</v>
      </c>
      <c r="B149" s="227" t="s">
        <v>2082</v>
      </c>
      <c r="C149" s="220"/>
      <c r="D149" s="220" t="s">
        <v>1828</v>
      </c>
      <c r="G149">
        <f>SUM(E138:E150)</f>
        <v>35310487</v>
      </c>
      <c r="H149">
        <f>+'Govt BS'!F39+'Govt BS'!H39+'Govt BS'!G39+'COMBING BS'!D42+'COMBING BS'!L46</f>
        <v>35310487</v>
      </c>
      <c r="I149">
        <f>+H149-G149</f>
        <v>0</v>
      </c>
    </row>
    <row r="150" spans="1:15">
      <c r="A150" s="225" t="s">
        <v>1877</v>
      </c>
      <c r="B150" s="227" t="s">
        <v>2083</v>
      </c>
      <c r="C150" s="220"/>
      <c r="D150" s="220" t="s">
        <v>1829</v>
      </c>
      <c r="E150">
        <f>+INPUT!BF117</f>
        <v>4635</v>
      </c>
    </row>
    <row r="151" spans="1:15">
      <c r="A151" s="1332" t="s">
        <v>2193</v>
      </c>
      <c r="B151" s="1333"/>
      <c r="C151" s="1333"/>
      <c r="D151" s="1333"/>
    </row>
    <row r="152" spans="1:15">
      <c r="A152" s="225" t="s">
        <v>1877</v>
      </c>
      <c r="B152" s="225" t="s">
        <v>2085</v>
      </c>
      <c r="C152" s="220"/>
      <c r="D152" s="220" t="s">
        <v>2086</v>
      </c>
      <c r="E152">
        <f>+INPUT!BF132-INPUT!P132</f>
        <v>1499134</v>
      </c>
    </row>
    <row r="153" spans="1:15">
      <c r="A153" s="225" t="s">
        <v>1877</v>
      </c>
      <c r="B153" s="225" t="s">
        <v>2087</v>
      </c>
      <c r="C153" s="220"/>
      <c r="D153" s="220" t="s">
        <v>1831</v>
      </c>
      <c r="E153">
        <f>+INPUT!BF135-INPUT!P135+INPUT!BF141-INPUT!P141</f>
        <v>683243</v>
      </c>
    </row>
    <row r="154" spans="1:15">
      <c r="A154" s="225" t="s">
        <v>1877</v>
      </c>
      <c r="B154" s="225" t="s">
        <v>2088</v>
      </c>
      <c r="C154" s="220"/>
      <c r="D154" s="220" t="s">
        <v>1832</v>
      </c>
      <c r="E154" s="146">
        <f>+INPUT!BF157-INPUT!P157+INPUT!BF159</f>
        <v>9876611</v>
      </c>
    </row>
    <row r="155" spans="1:15">
      <c r="A155" s="225" t="s">
        <v>1877</v>
      </c>
      <c r="B155" s="225" t="s">
        <v>2089</v>
      </c>
      <c r="C155" s="220"/>
      <c r="D155" s="220" t="s">
        <v>1833</v>
      </c>
      <c r="G155">
        <f>SUM(E152:E155)</f>
        <v>12058988</v>
      </c>
      <c r="H155">
        <f>+'Govt BS'!F90+'Govt BS'!H90+'Govt BS'!F93+'Govt BS'!H93+'COMBING BS'!D68+'COMBING BS'!D71+'Govt BS'!G90+'Govt BS'!G95</f>
        <v>12058988</v>
      </c>
      <c r="I155">
        <f>+H155-G155</f>
        <v>0</v>
      </c>
      <c r="K155" t="s">
        <v>3300</v>
      </c>
    </row>
    <row r="156" spans="1:15">
      <c r="A156" s="1332" t="s">
        <v>2194</v>
      </c>
      <c r="B156" s="1333"/>
      <c r="C156" s="1333"/>
      <c r="D156" s="1333"/>
    </row>
    <row r="157" spans="1:15">
      <c r="A157" s="225" t="s">
        <v>1877</v>
      </c>
      <c r="B157" s="225" t="s">
        <v>2091</v>
      </c>
      <c r="C157" s="220"/>
      <c r="D157" s="220" t="s">
        <v>1834</v>
      </c>
      <c r="E157">
        <f>+INPUT!BF188+INPUT!BF189</f>
        <v>4703333</v>
      </c>
    </row>
    <row r="158" spans="1:15">
      <c r="A158" s="225" t="s">
        <v>1877</v>
      </c>
      <c r="B158" s="225" t="s">
        <v>2092</v>
      </c>
      <c r="C158" s="220"/>
      <c r="D158" s="220" t="s">
        <v>2093</v>
      </c>
      <c r="E158">
        <f>+INPUT!BF191+INPUT!BF192</f>
        <v>18981966</v>
      </c>
    </row>
    <row r="159" spans="1:15">
      <c r="A159" s="225" t="s">
        <v>1877</v>
      </c>
      <c r="B159" s="225" t="s">
        <v>2094</v>
      </c>
      <c r="C159" s="220"/>
      <c r="D159" s="220" t="s">
        <v>1835</v>
      </c>
      <c r="E159" s="196">
        <f>+INPUT!BF193</f>
        <v>-433800</v>
      </c>
      <c r="F159" s="38"/>
      <c r="G159" s="38">
        <f>SUM(E157:E159)</f>
        <v>23251499</v>
      </c>
      <c r="H159" s="38">
        <f>+'Govt BS'!F121+'Govt BS'!H121+'COMBING BS'!D85+'Govt BS'!G121</f>
        <v>23251499</v>
      </c>
      <c r="I159" s="38">
        <f>+H159-G159</f>
        <v>0</v>
      </c>
      <c r="J159" s="38"/>
      <c r="K159" s="197">
        <f>+G149-G155-G159</f>
        <v>0</v>
      </c>
      <c r="L159" s="143" t="s">
        <v>1887</v>
      </c>
    </row>
    <row r="160" spans="1:15">
      <c r="A160" s="225" t="s">
        <v>1877</v>
      </c>
      <c r="B160" s="225" t="s">
        <v>2095</v>
      </c>
      <c r="C160" s="220"/>
      <c r="D160" s="220" t="s">
        <v>2096</v>
      </c>
      <c r="L160" s="156" t="s">
        <v>1896</v>
      </c>
      <c r="N160" s="191" t="s">
        <v>1885</v>
      </c>
      <c r="O160" s="192" t="s">
        <v>1886</v>
      </c>
    </row>
    <row r="161" spans="1:15">
      <c r="A161" s="1332" t="s">
        <v>2195</v>
      </c>
      <c r="B161" s="1333"/>
      <c r="C161" s="1333"/>
      <c r="D161" s="1333"/>
      <c r="L161" s="156"/>
      <c r="N161" s="191"/>
      <c r="O161" s="192"/>
    </row>
    <row r="162" spans="1:15">
      <c r="A162" s="225" t="s">
        <v>1877</v>
      </c>
      <c r="B162" s="225" t="s">
        <v>2098</v>
      </c>
      <c r="C162" s="220"/>
      <c r="D162" s="220" t="s">
        <v>2099</v>
      </c>
      <c r="E162" s="146">
        <f>+'SR BUDACT ER'!FD18+INPUT!BF283-INPUT!BF223+5</f>
        <v>25052757</v>
      </c>
    </row>
    <row r="163" spans="1:15">
      <c r="A163" s="225" t="s">
        <v>1877</v>
      </c>
      <c r="B163" s="225" t="s">
        <v>2100</v>
      </c>
      <c r="C163" s="220"/>
      <c r="D163" s="220" t="s">
        <v>2101</v>
      </c>
    </row>
    <row r="164" spans="1:15">
      <c r="A164" s="225" t="s">
        <v>1877</v>
      </c>
      <c r="B164" s="225" t="s">
        <v>2102</v>
      </c>
      <c r="C164" s="220"/>
      <c r="D164" s="220" t="s">
        <v>1837</v>
      </c>
    </row>
    <row r="165" spans="1:15">
      <c r="A165" s="225" t="s">
        <v>1877</v>
      </c>
      <c r="B165" s="225" t="s">
        <v>2103</v>
      </c>
      <c r="C165" s="220"/>
      <c r="D165" s="220" t="s">
        <v>2104</v>
      </c>
      <c r="E165">
        <f>+'SR BUDACT ER'!FD19</f>
        <v>2949292</v>
      </c>
    </row>
    <row r="166" spans="1:15">
      <c r="A166" s="225" t="s">
        <v>1877</v>
      </c>
      <c r="B166" s="225" t="s">
        <v>2105</v>
      </c>
      <c r="C166" s="220"/>
      <c r="D166" s="220" t="s">
        <v>1838</v>
      </c>
    </row>
    <row r="167" spans="1:15">
      <c r="A167" s="225" t="s">
        <v>1877</v>
      </c>
      <c r="B167" s="225" t="s">
        <v>2106</v>
      </c>
      <c r="C167" s="220"/>
      <c r="D167" s="220" t="s">
        <v>1839</v>
      </c>
      <c r="E167">
        <f>+'SR BUDACT ER'!FD20</f>
        <v>1473170</v>
      </c>
      <c r="G167">
        <f>SUM(E162:E167)</f>
        <v>29475219</v>
      </c>
      <c r="H167">
        <f>+INPUT!BF10-INPUT!P10</f>
        <v>29475219</v>
      </c>
      <c r="I167">
        <f>+H167-G167</f>
        <v>0</v>
      </c>
    </row>
    <row r="168" spans="1:15">
      <c r="A168" s="225" t="s">
        <v>1877</v>
      </c>
      <c r="B168" s="225" t="s">
        <v>2107</v>
      </c>
      <c r="C168" s="220"/>
      <c r="D168" s="220" t="s">
        <v>2108</v>
      </c>
      <c r="E168" s="146">
        <f>+'SR BUDACT ER'!FD22</f>
        <v>2170</v>
      </c>
    </row>
    <row r="169" spans="1:15">
      <c r="A169" s="225" t="s">
        <v>1877</v>
      </c>
      <c r="B169" s="225" t="s">
        <v>2109</v>
      </c>
      <c r="C169" s="220"/>
      <c r="D169" s="220" t="s">
        <v>1841</v>
      </c>
      <c r="E169">
        <f>+'SR BUDACT ER'!FD23</f>
        <v>2400</v>
      </c>
    </row>
    <row r="170" spans="1:15">
      <c r="A170" s="225" t="s">
        <v>1877</v>
      </c>
      <c r="B170" s="225" t="s">
        <v>2110</v>
      </c>
      <c r="C170" s="220"/>
      <c r="D170" s="220" t="s">
        <v>2111</v>
      </c>
      <c r="G170">
        <f>SUM(E168:E170)</f>
        <v>4570</v>
      </c>
      <c r="H170">
        <f>+INPUT!BF11-INPUT!P11</f>
        <v>4570</v>
      </c>
      <c r="I170">
        <f>+H170-G170</f>
        <v>0</v>
      </c>
    </row>
    <row r="171" spans="1:15">
      <c r="A171" s="225" t="s">
        <v>1877</v>
      </c>
      <c r="B171" s="225" t="s">
        <v>2112</v>
      </c>
      <c r="C171" s="220"/>
      <c r="D171" s="220" t="s">
        <v>1843</v>
      </c>
      <c r="E171" s="146">
        <f>+'SR BUDACT ER'!FD28+'SR BUDACT ER'!FD27+N171-O171-3</f>
        <v>4872599</v>
      </c>
      <c r="N171" s="146">
        <f>104150+25329+87014+61190</f>
        <v>277683</v>
      </c>
      <c r="O171" s="143">
        <v>253613</v>
      </c>
    </row>
    <row r="172" spans="1:15">
      <c r="A172" s="225" t="s">
        <v>1877</v>
      </c>
      <c r="B172" s="225" t="s">
        <v>2113</v>
      </c>
      <c r="C172" s="220"/>
      <c r="D172" s="220" t="s">
        <v>1844</v>
      </c>
      <c r="E172">
        <f>+'SR BUDACT ER'!FD32+N172-O172</f>
        <v>392453</v>
      </c>
      <c r="N172" s="146"/>
      <c r="O172">
        <v>0</v>
      </c>
    </row>
    <row r="173" spans="1:15">
      <c r="A173" s="225" t="s">
        <v>1877</v>
      </c>
      <c r="B173" s="225" t="s">
        <v>2114</v>
      </c>
      <c r="C173" s="220"/>
      <c r="D173" s="220" t="s">
        <v>2115</v>
      </c>
      <c r="E173">
        <f>+'SR BUDACT ER'!FD31</f>
        <v>437500</v>
      </c>
    </row>
    <row r="174" spans="1:15">
      <c r="A174" s="225" t="s">
        <v>1877</v>
      </c>
      <c r="B174" s="225" t="s">
        <v>2116</v>
      </c>
      <c r="C174" s="220"/>
      <c r="D174" s="220" t="s">
        <v>1846</v>
      </c>
      <c r="E174">
        <f>+'SR BUDACT ER'!FD35+N174-O174</f>
        <v>833960</v>
      </c>
      <c r="N174" s="146">
        <f>42874+124313+28910</f>
        <v>196097</v>
      </c>
      <c r="O174" s="143">
        <v>236670</v>
      </c>
    </row>
    <row r="175" spans="1:15">
      <c r="A175" s="225" t="s">
        <v>1877</v>
      </c>
      <c r="B175" s="225" t="s">
        <v>2117</v>
      </c>
      <c r="C175" s="220"/>
      <c r="D175" s="220" t="s">
        <v>2118</v>
      </c>
      <c r="E175">
        <f>+'SR BUDACT ER'!FD37+'SR BUDACT ER'!FD38+'SR BUDACT ER'!FD39+N175-O175</f>
        <v>2278570</v>
      </c>
      <c r="N175" s="146">
        <v>104504</v>
      </c>
      <c r="O175" s="143">
        <v>129194</v>
      </c>
    </row>
    <row r="176" spans="1:15">
      <c r="A176" s="225" t="s">
        <v>1877</v>
      </c>
      <c r="B176" s="225" t="s">
        <v>2119</v>
      </c>
      <c r="C176" s="220"/>
      <c r="D176" s="220" t="s">
        <v>1848</v>
      </c>
    </row>
    <row r="177" spans="1:20">
      <c r="A177" s="225" t="s">
        <v>1877</v>
      </c>
      <c r="B177" s="225" t="s">
        <v>2120</v>
      </c>
      <c r="C177" s="220"/>
      <c r="D177" s="220" t="s">
        <v>1849</v>
      </c>
      <c r="E177">
        <f>+'SR BUDACT ER'!FD40+N177-O177</f>
        <v>174687</v>
      </c>
      <c r="N177" s="146"/>
      <c r="O177" s="143">
        <v>0</v>
      </c>
    </row>
    <row r="178" spans="1:20">
      <c r="A178" s="225" t="s">
        <v>1877</v>
      </c>
      <c r="B178" s="225" t="s">
        <v>2121</v>
      </c>
      <c r="C178" s="220"/>
      <c r="D178" s="220" t="s">
        <v>1850</v>
      </c>
      <c r="Q178" s="217">
        <f>SUM(N171:N179)</f>
        <v>578284</v>
      </c>
      <c r="R178" s="217">
        <f>SUM(O171:O179)</f>
        <v>619477</v>
      </c>
    </row>
    <row r="179" spans="1:20">
      <c r="A179" s="225" t="s">
        <v>1877</v>
      </c>
      <c r="B179" s="225" t="s">
        <v>2122</v>
      </c>
      <c r="C179" s="220"/>
      <c r="D179" s="220" t="s">
        <v>2123</v>
      </c>
      <c r="G179">
        <f>SUM(E171:E179)</f>
        <v>8989769</v>
      </c>
      <c r="H179">
        <f>+INPUT!BF12-INPUT!P12</f>
        <v>8989769</v>
      </c>
      <c r="I179">
        <f>+H179-G179</f>
        <v>0</v>
      </c>
      <c r="K179" s="191"/>
      <c r="N179" s="191"/>
      <c r="O179" s="191"/>
      <c r="P179" s="191"/>
      <c r="R179">
        <f>+G179+Q178-R178</f>
        <v>8948576</v>
      </c>
      <c r="S179" s="191"/>
      <c r="T179" s="192"/>
    </row>
    <row r="180" spans="1:20">
      <c r="A180" s="225" t="s">
        <v>1877</v>
      </c>
      <c r="B180" s="225" t="s">
        <v>2124</v>
      </c>
      <c r="C180" s="220"/>
      <c r="D180" s="220" t="s">
        <v>2125</v>
      </c>
      <c r="E180">
        <f>+'SR BUDACT ER'!FD42+N180-O180</f>
        <v>414176</v>
      </c>
      <c r="N180" s="146"/>
      <c r="Q180" s="21" t="s">
        <v>1897</v>
      </c>
    </row>
    <row r="181" spans="1:20">
      <c r="A181" s="225" t="s">
        <v>1877</v>
      </c>
      <c r="B181" s="225" t="s">
        <v>2126</v>
      </c>
      <c r="C181" s="220"/>
      <c r="D181" s="220" t="s">
        <v>2127</v>
      </c>
      <c r="E181">
        <f>+'SR BUDACT ER'!FD43+N181-O181</f>
        <v>800146</v>
      </c>
      <c r="N181" s="168">
        <v>79518</v>
      </c>
      <c r="O181">
        <v>105837</v>
      </c>
    </row>
    <row r="182" spans="1:20">
      <c r="A182" s="225" t="s">
        <v>1877</v>
      </c>
      <c r="B182" s="225" t="s">
        <v>2128</v>
      </c>
      <c r="C182" s="220"/>
      <c r="D182" s="220" t="s">
        <v>2129</v>
      </c>
      <c r="E182">
        <f>+'SR BUDACT ER'!FD44+N182-O182</f>
        <v>378392</v>
      </c>
      <c r="N182" s="146">
        <v>121925</v>
      </c>
      <c r="O182">
        <v>94684</v>
      </c>
    </row>
    <row r="183" spans="1:20">
      <c r="A183" s="225" t="s">
        <v>1877</v>
      </c>
      <c r="B183" s="225" t="s">
        <v>2130</v>
      </c>
      <c r="C183" s="220"/>
      <c r="D183" s="220" t="s">
        <v>2131</v>
      </c>
      <c r="E183">
        <f>+'SR BUDACT ER'!FD45</f>
        <v>503629</v>
      </c>
    </row>
    <row r="184" spans="1:20">
      <c r="A184" s="225" t="s">
        <v>1877</v>
      </c>
      <c r="B184" s="225" t="s">
        <v>2132</v>
      </c>
      <c r="C184" s="220"/>
      <c r="D184" s="220" t="s">
        <v>1854</v>
      </c>
      <c r="E184">
        <f>+'SR BUDACT ER'!FD46</f>
        <v>0</v>
      </c>
    </row>
    <row r="185" spans="1:20">
      <c r="A185" s="225" t="s">
        <v>1877</v>
      </c>
      <c r="B185" s="225" t="s">
        <v>2133</v>
      </c>
      <c r="C185" s="220"/>
      <c r="D185" s="220" t="s">
        <v>2134</v>
      </c>
      <c r="E185">
        <f>+'SR BUDACT ER'!FD47</f>
        <v>0</v>
      </c>
      <c r="G185">
        <f>SUM(E180:E185)</f>
        <v>2096343</v>
      </c>
      <c r="H185">
        <f>+INPUT!BF13-INPUT!P13</f>
        <v>2096343</v>
      </c>
      <c r="I185">
        <f>+H185-G185</f>
        <v>0</v>
      </c>
    </row>
    <row r="186" spans="1:20">
      <c r="A186" s="225" t="s">
        <v>1877</v>
      </c>
      <c r="B186" s="225" t="s">
        <v>2135</v>
      </c>
      <c r="C186" s="220"/>
      <c r="D186" s="220" t="s">
        <v>2136</v>
      </c>
      <c r="E186" s="146">
        <f>+'SR BUDACT ER'!FD49+'SR BUDACT ER'!FD50</f>
        <v>425741</v>
      </c>
      <c r="G186">
        <f>SUM(E186)</f>
        <v>425741</v>
      </c>
      <c r="H186">
        <f>+INPUT!BF14-INPUT!P14</f>
        <v>425741</v>
      </c>
      <c r="I186">
        <f>+H186-G186</f>
        <v>0</v>
      </c>
      <c r="Q186" s="217">
        <f>SUM(N180:N185)</f>
        <v>201443</v>
      </c>
      <c r="R186" s="217">
        <f>SUM(O180:O185)</f>
        <v>200521</v>
      </c>
    </row>
    <row r="187" spans="1:20">
      <c r="A187" s="225" t="s">
        <v>1877</v>
      </c>
      <c r="B187" s="225" t="s">
        <v>2137</v>
      </c>
      <c r="C187" s="220"/>
      <c r="D187" s="220" t="s">
        <v>1857</v>
      </c>
    </row>
    <row r="188" spans="1:20">
      <c r="A188" s="225" t="s">
        <v>1877</v>
      </c>
      <c r="B188" s="225" t="s">
        <v>2138</v>
      </c>
      <c r="C188" s="220"/>
      <c r="D188" s="220" t="s">
        <v>1858</v>
      </c>
      <c r="E188" s="146">
        <f>+'SR BUDACT ER'!FD51+N188-O188</f>
        <v>714113</v>
      </c>
      <c r="J188" s="191"/>
      <c r="K188" s="191"/>
      <c r="L188" s="191"/>
      <c r="M188" s="191"/>
      <c r="N188" s="146"/>
    </row>
    <row r="189" spans="1:20">
      <c r="A189" s="225" t="s">
        <v>1877</v>
      </c>
      <c r="B189" s="225" t="s">
        <v>2139</v>
      </c>
      <c r="C189" s="220"/>
      <c r="D189" s="220" t="s">
        <v>1859</v>
      </c>
      <c r="I189" s="143"/>
    </row>
    <row r="190" spans="1:20">
      <c r="A190" s="225" t="s">
        <v>1877</v>
      </c>
      <c r="B190" s="225" t="s">
        <v>2140</v>
      </c>
      <c r="C190" s="220"/>
      <c r="D190" s="220" t="s">
        <v>1860</v>
      </c>
      <c r="I190" s="143"/>
    </row>
    <row r="191" spans="1:20">
      <c r="A191" s="225" t="s">
        <v>1877</v>
      </c>
      <c r="B191" s="225" t="s">
        <v>2141</v>
      </c>
      <c r="C191" s="220"/>
      <c r="D191" s="220" t="s">
        <v>2142</v>
      </c>
    </row>
    <row r="192" spans="1:20">
      <c r="A192" s="225" t="s">
        <v>1877</v>
      </c>
      <c r="B192" s="225" t="s">
        <v>2143</v>
      </c>
      <c r="C192" s="220"/>
      <c r="D192" s="220" t="s">
        <v>1862</v>
      </c>
      <c r="E192">
        <f>+'SR BUDACT ER'!FD89</f>
        <v>52600</v>
      </c>
      <c r="G192">
        <f>SUM(E188:E192)</f>
        <v>766713</v>
      </c>
      <c r="H192">
        <f>+INPUT!BF15-INPUT!P15</f>
        <v>766713</v>
      </c>
      <c r="I192">
        <f>+H192-G192</f>
        <v>0</v>
      </c>
    </row>
    <row r="193" spans="1:23">
      <c r="A193" s="225" t="s">
        <v>1877</v>
      </c>
      <c r="B193" s="225" t="s">
        <v>2144</v>
      </c>
      <c r="C193" s="220"/>
      <c r="D193" s="220" t="s">
        <v>1863</v>
      </c>
    </row>
    <row r="194" spans="1:23">
      <c r="A194" s="225" t="s">
        <v>1877</v>
      </c>
      <c r="B194" s="225" t="s">
        <v>2145</v>
      </c>
      <c r="C194" s="220"/>
      <c r="D194" s="220" t="s">
        <v>1864</v>
      </c>
      <c r="E194" s="146">
        <f>+'SR BUDACT ER'!FD52-'SR BUDACT ER'!DF52+'Sys INPUT'!BD16</f>
        <v>410712</v>
      </c>
      <c r="G194">
        <f>+E194</f>
        <v>410712</v>
      </c>
      <c r="H194">
        <f>+INPUT!BF16-INPUT!P16</f>
        <v>410712</v>
      </c>
      <c r="I194">
        <f>+H194-G194</f>
        <v>0</v>
      </c>
    </row>
    <row r="195" spans="1:23">
      <c r="A195" s="225" t="s">
        <v>1877</v>
      </c>
      <c r="B195" s="225" t="s">
        <v>2146</v>
      </c>
      <c r="C195" s="220"/>
      <c r="D195" s="220" t="s">
        <v>1865</v>
      </c>
    </row>
    <row r="196" spans="1:23">
      <c r="A196" s="225" t="s">
        <v>1877</v>
      </c>
      <c r="B196" s="225" t="s">
        <v>2147</v>
      </c>
      <c r="C196" s="220"/>
      <c r="D196" s="220" t="s">
        <v>1866</v>
      </c>
    </row>
    <row r="197" spans="1:23">
      <c r="A197" s="225" t="s">
        <v>1877</v>
      </c>
      <c r="B197" s="225" t="s">
        <v>2148</v>
      </c>
      <c r="C197" s="220"/>
      <c r="D197" s="220" t="s">
        <v>2149</v>
      </c>
    </row>
    <row r="198" spans="1:23">
      <c r="A198" s="225" t="s">
        <v>1877</v>
      </c>
      <c r="B198" s="225" t="s">
        <v>2150</v>
      </c>
      <c r="C198" s="220"/>
      <c r="D198" s="220" t="s">
        <v>2151</v>
      </c>
    </row>
    <row r="199" spans="1:23">
      <c r="A199" s="225" t="s">
        <v>1877</v>
      </c>
      <c r="B199" s="225" t="s">
        <v>2152</v>
      </c>
      <c r="C199" s="220"/>
      <c r="D199" s="220" t="s">
        <v>1869</v>
      </c>
      <c r="E199">
        <f>+'SR BUDACT ER'!FD86</f>
        <v>2809569</v>
      </c>
      <c r="G199">
        <f>+E199</f>
        <v>2809569</v>
      </c>
      <c r="H199">
        <f>+INPUT!BF46-INPUT!P46</f>
        <v>2809569</v>
      </c>
      <c r="I199">
        <f>+H199-G199</f>
        <v>0</v>
      </c>
    </row>
    <row r="200" spans="1:23">
      <c r="A200" s="225" t="s">
        <v>1877</v>
      </c>
      <c r="B200" s="225" t="s">
        <v>2153</v>
      </c>
      <c r="C200" s="220"/>
      <c r="D200" s="220" t="s">
        <v>2154</v>
      </c>
      <c r="E200">
        <f>+INPUT!BF50</f>
        <v>3214883</v>
      </c>
    </row>
    <row r="201" spans="1:23">
      <c r="A201" s="225" t="s">
        <v>1877</v>
      </c>
      <c r="B201" s="225" t="s">
        <v>2155</v>
      </c>
      <c r="C201" s="220"/>
      <c r="D201" s="220" t="s">
        <v>2156</v>
      </c>
    </row>
    <row r="202" spans="1:23">
      <c r="A202" s="225" t="s">
        <v>1877</v>
      </c>
      <c r="B202" s="225" t="s">
        <v>2157</v>
      </c>
      <c r="C202" s="220"/>
      <c r="D202" s="220" t="s">
        <v>2158</v>
      </c>
    </row>
    <row r="203" spans="1:23">
      <c r="A203" s="225" t="s">
        <v>1877</v>
      </c>
      <c r="B203" s="225" t="s">
        <v>2159</v>
      </c>
      <c r="C203" s="220"/>
      <c r="D203" s="220" t="s">
        <v>2160</v>
      </c>
    </row>
    <row r="204" spans="1:23">
      <c r="A204" s="225" t="s">
        <v>1877</v>
      </c>
      <c r="B204" s="225" t="s">
        <v>2161</v>
      </c>
      <c r="C204" s="220"/>
      <c r="D204" s="220" t="s">
        <v>2162</v>
      </c>
    </row>
    <row r="205" spans="1:23">
      <c r="A205" s="225" t="s">
        <v>1877</v>
      </c>
      <c r="B205" s="225" t="s">
        <v>2163</v>
      </c>
      <c r="C205" s="220"/>
      <c r="D205" s="220" t="s">
        <v>2164</v>
      </c>
      <c r="Q205">
        <v>47261</v>
      </c>
      <c r="R205">
        <v>267552</v>
      </c>
      <c r="S205">
        <v>54222</v>
      </c>
      <c r="T205">
        <v>126290</v>
      </c>
      <c r="U205">
        <v>4056</v>
      </c>
      <c r="V205">
        <v>0</v>
      </c>
    </row>
    <row r="206" spans="1:23">
      <c r="A206" s="225" t="s">
        <v>1877</v>
      </c>
      <c r="B206" s="225" t="s">
        <v>2165</v>
      </c>
      <c r="C206" s="220"/>
      <c r="D206" s="220" t="s">
        <v>2166</v>
      </c>
    </row>
    <row r="207" spans="1:23">
      <c r="A207" s="225" t="s">
        <v>1877</v>
      </c>
      <c r="B207" s="225" t="s">
        <v>2167</v>
      </c>
      <c r="C207" s="220"/>
      <c r="D207" s="220" t="s">
        <v>2168</v>
      </c>
    </row>
    <row r="208" spans="1:23">
      <c r="A208" s="225" t="s">
        <v>1877</v>
      </c>
      <c r="B208" s="225" t="s">
        <v>2169</v>
      </c>
      <c r="C208" s="220"/>
      <c r="D208" s="220" t="s">
        <v>2170</v>
      </c>
      <c r="G208" s="193">
        <f>SUM(E162:E208)</f>
        <v>48193519</v>
      </c>
      <c r="H208" s="40">
        <f>+'Govt IS'!F24+'Govt IS'!H24+'Govt IS'!F42+'Govt IS'!H42+'COMBING IS'!D23+'COMBING IS'!D41+'Govt IS'!G24+'COMBING IS'!D45</f>
        <v>48193520</v>
      </c>
      <c r="I208" s="201">
        <f>H208-G208</f>
        <v>1</v>
      </c>
      <c r="J208" s="194" t="s">
        <v>1899</v>
      </c>
      <c r="K208" s="195"/>
      <c r="N208" s="192" t="s">
        <v>1885</v>
      </c>
      <c r="O208" s="192" t="s">
        <v>1888</v>
      </c>
      <c r="W208" s="21"/>
    </row>
    <row r="209" spans="1:24">
      <c r="A209" s="1332" t="s">
        <v>2196</v>
      </c>
      <c r="B209" s="1333"/>
      <c r="C209" s="1333"/>
      <c r="D209" s="1333"/>
      <c r="I209" s="143"/>
      <c r="J209" s="21"/>
      <c r="N209" s="192"/>
      <c r="O209" s="192"/>
      <c r="W209" s="21"/>
    </row>
    <row r="210" spans="1:24">
      <c r="A210" s="225" t="s">
        <v>1877</v>
      </c>
      <c r="B210" s="227" t="s">
        <v>2172</v>
      </c>
      <c r="C210" s="228" t="s">
        <v>516</v>
      </c>
      <c r="D210" s="220" t="s">
        <v>2173</v>
      </c>
      <c r="E210" s="146">
        <f>+'SR BUDACT ER'!FD59+N210-O210</f>
        <v>1979356</v>
      </c>
      <c r="J210" s="156" t="s">
        <v>1896</v>
      </c>
      <c r="L210" s="218"/>
      <c r="N210">
        <f>+Q212</f>
        <v>128229</v>
      </c>
      <c r="O210">
        <v>62561</v>
      </c>
      <c r="P210" s="36" t="s">
        <v>2064</v>
      </c>
      <c r="W210" s="186" t="s">
        <v>2063</v>
      </c>
    </row>
    <row r="211" spans="1:24">
      <c r="A211" s="225" t="s">
        <v>1877</v>
      </c>
      <c r="B211" s="227" t="s">
        <v>2172</v>
      </c>
      <c r="C211" s="228" t="s">
        <v>2174</v>
      </c>
      <c r="D211" s="220" t="s">
        <v>2173</v>
      </c>
      <c r="E211">
        <f>+'SR BUDACT ER'!FD60-INPUT!AU28+N211-O211-P235</f>
        <v>10525387</v>
      </c>
      <c r="L211" s="218"/>
      <c r="N211">
        <f>+Q213-Q212</f>
        <v>0</v>
      </c>
      <c r="O211">
        <v>0</v>
      </c>
      <c r="Q211" s="37" t="s">
        <v>1538</v>
      </c>
      <c r="R211" s="37" t="s">
        <v>1535</v>
      </c>
      <c r="S211" s="37" t="s">
        <v>1536</v>
      </c>
      <c r="T211" s="37" t="s">
        <v>1537</v>
      </c>
      <c r="U211" s="37" t="s">
        <v>1890</v>
      </c>
      <c r="V211" s="37" t="s">
        <v>1891</v>
      </c>
      <c r="W211" s="186">
        <v>1498507</v>
      </c>
      <c r="X211">
        <f>+W211-W212</f>
        <v>0</v>
      </c>
    </row>
    <row r="212" spans="1:24">
      <c r="A212" s="225" t="s">
        <v>1877</v>
      </c>
      <c r="B212" s="227" t="s">
        <v>2172</v>
      </c>
      <c r="C212" s="228" t="s">
        <v>2175</v>
      </c>
      <c r="D212" s="220" t="s">
        <v>1870</v>
      </c>
      <c r="L212" s="218"/>
      <c r="Q212" s="186">
        <f>37471+35212+55546</f>
        <v>128229</v>
      </c>
      <c r="R212" s="186">
        <f>5813+363608+70220+36384+35040+191496</f>
        <v>702561</v>
      </c>
      <c r="S212" s="186">
        <f>57632+36601+409124</f>
        <v>503357</v>
      </c>
      <c r="T212" s="186">
        <f>101475+62885</f>
        <v>164360</v>
      </c>
      <c r="U212" s="186">
        <v>0</v>
      </c>
      <c r="V212" s="186">
        <v>0</v>
      </c>
      <c r="W212">
        <f>SUM(Q212:V212)</f>
        <v>1498507</v>
      </c>
    </row>
    <row r="213" spans="1:24">
      <c r="A213" s="225" t="s">
        <v>1877</v>
      </c>
      <c r="B213" s="227" t="s">
        <v>2172</v>
      </c>
      <c r="C213" s="228" t="s">
        <v>2176</v>
      </c>
      <c r="D213" s="220" t="s">
        <v>1870</v>
      </c>
      <c r="L213" s="218"/>
      <c r="P213" s="125"/>
      <c r="Q213" s="125">
        <f>+INPUT!BF296</f>
        <v>128229</v>
      </c>
      <c r="R213" s="125">
        <f>+INPUT!BF297</f>
        <v>702561</v>
      </c>
      <c r="S213" s="125">
        <f>+INPUT!BF298+INPUT!BF304</f>
        <v>503357</v>
      </c>
      <c r="T213" s="125">
        <f>+INPUT!BF299</f>
        <v>164360</v>
      </c>
      <c r="U213" s="125">
        <f>+INPUT!BF300</f>
        <v>0</v>
      </c>
      <c r="V213" s="125">
        <f>+INPUT!BF301</f>
        <v>0</v>
      </c>
      <c r="W213">
        <f>SUM(Q213:V213)</f>
        <v>1498507</v>
      </c>
    </row>
    <row r="214" spans="1:24">
      <c r="A214" s="225" t="s">
        <v>1877</v>
      </c>
      <c r="B214" s="227" t="s">
        <v>2172</v>
      </c>
      <c r="C214" s="228" t="s">
        <v>2177</v>
      </c>
      <c r="D214" s="220" t="s">
        <v>1870</v>
      </c>
      <c r="G214">
        <f>SUM(E210:E214)</f>
        <v>12504743</v>
      </c>
      <c r="H214">
        <f>+INPUT!BF22-P235</f>
        <v>12504743</v>
      </c>
      <c r="I214">
        <f>+H214-G214</f>
        <v>0</v>
      </c>
      <c r="L214" s="218"/>
      <c r="P214" s="125"/>
      <c r="Q214" s="125"/>
      <c r="R214" s="125"/>
      <c r="S214" s="125"/>
      <c r="T214" s="125"/>
      <c r="U214" s="125"/>
      <c r="V214" s="125"/>
      <c r="W214">
        <f>+INPUT!BF314</f>
        <v>1498507</v>
      </c>
    </row>
    <row r="215" spans="1:24">
      <c r="A215" s="225" t="s">
        <v>1877</v>
      </c>
      <c r="B215" s="227" t="s">
        <v>2178</v>
      </c>
      <c r="C215" s="228" t="s">
        <v>516</v>
      </c>
      <c r="D215" s="220" t="s">
        <v>683</v>
      </c>
      <c r="E215">
        <f>+'SR BUDACT ER'!FD62+N215-O215</f>
        <v>12916909</v>
      </c>
      <c r="L215" s="218"/>
      <c r="N215">
        <f>+R212</f>
        <v>702561</v>
      </c>
      <c r="O215">
        <v>485648</v>
      </c>
      <c r="Q215" s="186"/>
      <c r="R215" s="186"/>
      <c r="S215" s="186"/>
      <c r="T215" s="186"/>
      <c r="U215" s="186"/>
      <c r="V215" s="186"/>
    </row>
    <row r="216" spans="1:24">
      <c r="A216" s="225" t="s">
        <v>1877</v>
      </c>
      <c r="B216" s="227" t="s">
        <v>2178</v>
      </c>
      <c r="C216" s="228" t="s">
        <v>2174</v>
      </c>
      <c r="D216" s="220" t="s">
        <v>683</v>
      </c>
      <c r="E216">
        <f>+'SR BUDACT ER'!FD63+N216-O216-Q235</f>
        <v>8477279</v>
      </c>
      <c r="L216" s="218"/>
      <c r="N216">
        <f>+R213-R212</f>
        <v>0</v>
      </c>
      <c r="O216">
        <v>0</v>
      </c>
    </row>
    <row r="217" spans="1:24">
      <c r="A217" s="225" t="s">
        <v>1877</v>
      </c>
      <c r="B217" s="227" t="s">
        <v>2178</v>
      </c>
      <c r="C217" s="228" t="s">
        <v>2175</v>
      </c>
      <c r="D217" s="220" t="s">
        <v>683</v>
      </c>
      <c r="L217" s="218"/>
    </row>
    <row r="218" spans="1:24">
      <c r="A218" s="225" t="s">
        <v>1877</v>
      </c>
      <c r="B218" s="227" t="s">
        <v>2178</v>
      </c>
      <c r="C218" s="228" t="s">
        <v>2176</v>
      </c>
      <c r="D218" s="220" t="s">
        <v>683</v>
      </c>
      <c r="L218" s="218"/>
    </row>
    <row r="219" spans="1:24">
      <c r="A219" s="225" t="s">
        <v>1877</v>
      </c>
      <c r="B219" s="227" t="s">
        <v>2178</v>
      </c>
      <c r="C219" s="228" t="s">
        <v>2177</v>
      </c>
      <c r="D219" s="220" t="s">
        <v>683</v>
      </c>
      <c r="E219">
        <f>'SR BUDACT ER'!FD79</f>
        <v>612477</v>
      </c>
      <c r="G219">
        <f>SUM(E215:E219)</f>
        <v>22006665</v>
      </c>
      <c r="H219">
        <f>+INPUT!BF23+INPUT!BF29-Q235-INPUT!BC29-INPUT!BF54-INPUT!BF48-INPUT!AT304</f>
        <v>22006665</v>
      </c>
      <c r="I219">
        <f>+H219-G219</f>
        <v>0</v>
      </c>
      <c r="L219" s="218"/>
    </row>
    <row r="220" spans="1:24">
      <c r="A220" s="225" t="s">
        <v>1877</v>
      </c>
      <c r="B220" s="227" t="s">
        <v>2179</v>
      </c>
      <c r="C220" s="228" t="s">
        <v>516</v>
      </c>
      <c r="D220" s="220" t="s">
        <v>777</v>
      </c>
      <c r="E220" s="146">
        <f>+'SR BUDACT ER'!FD65+N220-O220-14730</f>
        <v>2083253</v>
      </c>
      <c r="L220" s="218"/>
      <c r="N220">
        <f>+S212</f>
        <v>503357</v>
      </c>
      <c r="O220">
        <v>85141</v>
      </c>
    </row>
    <row r="221" spans="1:24">
      <c r="A221" s="225" t="s">
        <v>1877</v>
      </c>
      <c r="B221" s="227" t="s">
        <v>2179</v>
      </c>
      <c r="C221" s="228" t="s">
        <v>2174</v>
      </c>
      <c r="D221" s="220" t="s">
        <v>777</v>
      </c>
      <c r="E221">
        <f>+'SR BUDACT ER'!FD66+N221-O221-R235</f>
        <v>5407621</v>
      </c>
      <c r="L221" s="218"/>
      <c r="O221">
        <v>0</v>
      </c>
    </row>
    <row r="222" spans="1:24">
      <c r="A222" s="225" t="s">
        <v>1877</v>
      </c>
      <c r="B222" s="227" t="s">
        <v>2179</v>
      </c>
      <c r="C222" s="228" t="s">
        <v>2175</v>
      </c>
      <c r="D222" s="220" t="s">
        <v>777</v>
      </c>
      <c r="E222">
        <v>0</v>
      </c>
    </row>
    <row r="223" spans="1:24">
      <c r="A223" s="225" t="s">
        <v>1877</v>
      </c>
      <c r="B223" s="227" t="s">
        <v>2179</v>
      </c>
      <c r="C223" s="228" t="s">
        <v>2176</v>
      </c>
      <c r="D223" s="220" t="s">
        <v>777</v>
      </c>
      <c r="E223">
        <v>0</v>
      </c>
    </row>
    <row r="224" spans="1:24">
      <c r="A224" s="225" t="s">
        <v>1877</v>
      </c>
      <c r="B224" s="227" t="s">
        <v>2179</v>
      </c>
      <c r="C224" s="228" t="s">
        <v>2177</v>
      </c>
      <c r="D224" s="220" t="s">
        <v>777</v>
      </c>
      <c r="G224">
        <f>SUM(E220:E224)</f>
        <v>7490874</v>
      </c>
      <c r="H224">
        <f>+INPUT!BF24+INPUT!BF28-INPUT!BC29+INPUT!AT304-R235</f>
        <v>7490874</v>
      </c>
      <c r="I224">
        <f>+H224-G224</f>
        <v>0</v>
      </c>
    </row>
    <row r="225" spans="1:22">
      <c r="A225" s="225" t="s">
        <v>1877</v>
      </c>
      <c r="B225" s="227" t="s">
        <v>2180</v>
      </c>
      <c r="C225" s="228" t="s">
        <v>516</v>
      </c>
      <c r="D225" s="220" t="s">
        <v>1853</v>
      </c>
      <c r="E225">
        <f>+'SR BUDACT ER'!FD68+N225-O225</f>
        <v>3808878</v>
      </c>
      <c r="L225" s="218"/>
      <c r="N225">
        <f>+T212</f>
        <v>164360</v>
      </c>
      <c r="O225">
        <v>246281</v>
      </c>
    </row>
    <row r="226" spans="1:22">
      <c r="A226" s="225" t="s">
        <v>1877</v>
      </c>
      <c r="B226" s="227" t="s">
        <v>2180</v>
      </c>
      <c r="C226" s="228" t="s">
        <v>2174</v>
      </c>
      <c r="D226" s="220" t="s">
        <v>1853</v>
      </c>
      <c r="E226">
        <f>+'SR BUDACT ER'!FD69+INPUT!BD25+N226-O226+INPUT!BF257-INPUT!BF317-INPUT!I28-S235</f>
        <v>2853402</v>
      </c>
      <c r="L226" s="218"/>
      <c r="N226">
        <f>+T213-T212</f>
        <v>0</v>
      </c>
      <c r="O226">
        <v>0</v>
      </c>
    </row>
    <row r="227" spans="1:22">
      <c r="A227" s="225" t="s">
        <v>1877</v>
      </c>
      <c r="B227" s="227" t="s">
        <v>2180</v>
      </c>
      <c r="C227" s="228" t="s">
        <v>2175</v>
      </c>
      <c r="D227" s="220" t="s">
        <v>1853</v>
      </c>
    </row>
    <row r="228" spans="1:22">
      <c r="A228" s="225" t="s">
        <v>1877</v>
      </c>
      <c r="B228" s="227" t="s">
        <v>2180</v>
      </c>
      <c r="C228" s="228" t="s">
        <v>2176</v>
      </c>
      <c r="D228" s="220" t="s">
        <v>1853</v>
      </c>
    </row>
    <row r="229" spans="1:22">
      <c r="A229" s="225" t="s">
        <v>1877</v>
      </c>
      <c r="B229" s="227" t="s">
        <v>2180</v>
      </c>
      <c r="C229" s="228" t="s">
        <v>2177</v>
      </c>
      <c r="D229" s="220" t="s">
        <v>1853</v>
      </c>
      <c r="G229">
        <f>SUM(E225:E229)</f>
        <v>6662280</v>
      </c>
      <c r="H229">
        <f>+INPUT!BF25-S235</f>
        <v>6662280</v>
      </c>
      <c r="I229">
        <f>+H229-G229</f>
        <v>0</v>
      </c>
    </row>
    <row r="230" spans="1:22">
      <c r="A230" s="225" t="s">
        <v>1877</v>
      </c>
      <c r="B230" s="227" t="s">
        <v>2181</v>
      </c>
      <c r="C230" s="228" t="s">
        <v>516</v>
      </c>
      <c r="D230" s="220" t="s">
        <v>1854</v>
      </c>
      <c r="E230">
        <f>+'SR BUDACT ER'!FD71+N230-O230</f>
        <v>61020</v>
      </c>
      <c r="N230">
        <f>+U212</f>
        <v>0</v>
      </c>
      <c r="O230">
        <v>0</v>
      </c>
    </row>
    <row r="231" spans="1:22">
      <c r="A231" s="225" t="s">
        <v>1877</v>
      </c>
      <c r="B231" s="227" t="s">
        <v>2181</v>
      </c>
      <c r="C231" s="228" t="s">
        <v>2174</v>
      </c>
      <c r="D231" s="220" t="s">
        <v>1854</v>
      </c>
      <c r="E231">
        <f>+'SR BUDACT ER'!FD72+N231-O231-T235</f>
        <v>382469</v>
      </c>
      <c r="N231">
        <f>+U213-U212</f>
        <v>0</v>
      </c>
      <c r="O231">
        <v>0</v>
      </c>
      <c r="Q231" s="21" t="s">
        <v>1892</v>
      </c>
    </row>
    <row r="232" spans="1:22">
      <c r="A232" s="225" t="s">
        <v>1877</v>
      </c>
      <c r="B232" s="227" t="s">
        <v>2181</v>
      </c>
      <c r="C232" s="228" t="s">
        <v>2175</v>
      </c>
      <c r="D232" s="220" t="s">
        <v>1854</v>
      </c>
      <c r="Q232" s="21" t="s">
        <v>1893</v>
      </c>
    </row>
    <row r="233" spans="1:22">
      <c r="A233" s="225" t="s">
        <v>1877</v>
      </c>
      <c r="B233" s="227" t="s">
        <v>2181</v>
      </c>
      <c r="C233" s="228" t="s">
        <v>2176</v>
      </c>
      <c r="D233" s="220" t="s">
        <v>1854</v>
      </c>
      <c r="P233" s="37" t="s">
        <v>1538</v>
      </c>
      <c r="Q233" s="37" t="s">
        <v>1535</v>
      </c>
      <c r="R233" s="37" t="s">
        <v>1536</v>
      </c>
      <c r="S233" s="37" t="s">
        <v>1537</v>
      </c>
      <c r="T233" s="37" t="s">
        <v>1890</v>
      </c>
      <c r="U233" s="37" t="s">
        <v>1891</v>
      </c>
      <c r="V233">
        <f>+INPUT!BF46</f>
        <v>2809569</v>
      </c>
    </row>
    <row r="234" spans="1:22">
      <c r="A234" s="225" t="s">
        <v>1877</v>
      </c>
      <c r="B234" s="227" t="s">
        <v>2181</v>
      </c>
      <c r="C234" s="228" t="s">
        <v>2177</v>
      </c>
      <c r="D234" s="220" t="s">
        <v>1854</v>
      </c>
      <c r="G234">
        <f>SUM(E230:E234)</f>
        <v>443489</v>
      </c>
      <c r="H234">
        <f>+INPUT!BF26-T235</f>
        <v>443489</v>
      </c>
      <c r="I234">
        <f>+H234-G234</f>
        <v>0</v>
      </c>
      <c r="V234">
        <f>SUM(P234:U234)</f>
        <v>0</v>
      </c>
    </row>
    <row r="235" spans="1:22">
      <c r="A235" s="225" t="s">
        <v>1877</v>
      </c>
      <c r="B235" s="227" t="s">
        <v>2182</v>
      </c>
      <c r="C235" s="228" t="s">
        <v>516</v>
      </c>
      <c r="D235" s="220" t="s">
        <v>1855</v>
      </c>
      <c r="E235">
        <f>+'SR BUDACT ER'!FD74+N235-O235</f>
        <v>4691</v>
      </c>
      <c r="N235">
        <f>V212</f>
        <v>0</v>
      </c>
      <c r="O235">
        <v>0</v>
      </c>
      <c r="P235">
        <f>+'SR BUDACT ER'!AF87+'SR BUDACT ER'!AR87+'SR BUDACT ER'!AX87+'SR BUDACT ER'!BS87+'SR BUDACT ER'!CH87+'SR BUDACT ER'!CK87+'SR BUDACT ER'!CN87+'SR BUDACT ER'!DL87+'SR BUDACT ER'!DX87+'SR BUDACT ER'!EW87</f>
        <v>-5853102</v>
      </c>
      <c r="Q235">
        <f>+'SR BUDACT ER'!E87+'SR BUDACT ER'!T87++'SR BUDACT ER'!AI87+'SR BUDACT ER'!BM87+'SR BUDACT ER'!BP87+'SR BUDACT ER'!EA87+'SR BUDACT ER'!EG87+'SR BUDACT ER'!ES87+'SR BUDACT ER'!BV87</f>
        <v>-1163669</v>
      </c>
      <c r="R235">
        <f>+'SR BUDACT ER'!W87+'SR BUDACT ER'!AU87+'SR BUDACT ER'!CW87+'SR BUDACT ER'!CZ87+'SR BUDACT ER'!DC87+'SR BUDACT ER'!DO87+'SR BUDACT ER'!DU87+'SR BUDACT ER'!EP87+'SR BUDACT ER'!FA87+'SR BUDACT ER'!DX87</f>
        <v>-2437862</v>
      </c>
      <c r="S235">
        <f>+'SR BUDACT ER'!H87+'SR BUDACT ER'!K87+'SR BUDACT ER'!N87+'SR BUDACT ER'!Q87+'SR BUDACT ER'!Z87+'SR BUDACT ER'!AC87+'SR BUDACT ER'!BD87+'SR BUDACT ER'!CE87+'SR BUDACT ER'!DF87+'SR BUDACT ER'!DI87+'SR BUDACT ER'!DR87</f>
        <v>-421241</v>
      </c>
      <c r="T235">
        <f>+'SR BUDACT ER'!BG87+'SR BUDACT ER'!BJ87</f>
        <v>-15000</v>
      </c>
      <c r="U235">
        <f>+'SR BUDACT ER'!AL87+'SR BUDACT ER'!AO87+'SR BUDACT ER'!BY87+'SR BUDACT ER'!CB87</f>
        <v>-3000</v>
      </c>
      <c r="V235">
        <f>SUM(P235:U235)</f>
        <v>-9893874</v>
      </c>
    </row>
    <row r="236" spans="1:22">
      <c r="A236" s="225" t="s">
        <v>1877</v>
      </c>
      <c r="B236" s="227" t="s">
        <v>2182</v>
      </c>
      <c r="C236" s="228" t="s">
        <v>2174</v>
      </c>
      <c r="D236" s="220" t="s">
        <v>1855</v>
      </c>
      <c r="E236">
        <f>+'SR BUDACT ER'!FD75+N236-O236-U235</f>
        <v>67811</v>
      </c>
      <c r="N236">
        <f>+V213-V212</f>
        <v>0</v>
      </c>
      <c r="O236">
        <v>0</v>
      </c>
      <c r="V236">
        <f>+INPUT!BF47</f>
        <v>-9893874</v>
      </c>
    </row>
    <row r="237" spans="1:22">
      <c r="A237" s="225" t="s">
        <v>1877</v>
      </c>
      <c r="B237" s="227" t="s">
        <v>2182</v>
      </c>
      <c r="C237" s="228" t="s">
        <v>2175</v>
      </c>
      <c r="D237" s="220" t="s">
        <v>1855</v>
      </c>
      <c r="V237" s="146">
        <f>+V235-V236</f>
        <v>0</v>
      </c>
    </row>
    <row r="238" spans="1:22">
      <c r="A238" s="225" t="s">
        <v>1877</v>
      </c>
      <c r="B238" s="227" t="s">
        <v>2182</v>
      </c>
      <c r="C238" s="228" t="s">
        <v>2176</v>
      </c>
      <c r="D238" s="220" t="s">
        <v>1855</v>
      </c>
    </row>
    <row r="239" spans="1:22">
      <c r="A239" s="225" t="s">
        <v>1877</v>
      </c>
      <c r="B239" s="227" t="s">
        <v>2182</v>
      </c>
      <c r="C239" s="228" t="s">
        <v>2177</v>
      </c>
      <c r="D239" s="220" t="s">
        <v>1855</v>
      </c>
      <c r="G239">
        <f>SUM(E235:E239)</f>
        <v>72502</v>
      </c>
      <c r="H239">
        <f>+INPUT!BF27-INPUT!P27-U235</f>
        <v>72502</v>
      </c>
      <c r="I239">
        <f>+H239-G239</f>
        <v>0</v>
      </c>
    </row>
    <row r="240" spans="1:22">
      <c r="A240" s="225" t="s">
        <v>1877</v>
      </c>
      <c r="B240" s="227" t="s">
        <v>2183</v>
      </c>
      <c r="C240" s="228" t="s">
        <v>516</v>
      </c>
      <c r="D240" s="220" t="s">
        <v>2184</v>
      </c>
    </row>
    <row r="241" spans="1:6">
      <c r="A241" s="225" t="s">
        <v>1877</v>
      </c>
      <c r="B241" s="227" t="s">
        <v>2183</v>
      </c>
      <c r="C241" s="228" t="s">
        <v>2174</v>
      </c>
      <c r="D241" s="220" t="s">
        <v>2184</v>
      </c>
      <c r="F241" s="202" t="s">
        <v>2065</v>
      </c>
    </row>
    <row r="242" spans="1:6">
      <c r="A242" s="225" t="s">
        <v>1877</v>
      </c>
      <c r="B242" s="227" t="s">
        <v>2183</v>
      </c>
      <c r="C242" s="228" t="s">
        <v>2175</v>
      </c>
      <c r="D242" s="220" t="s">
        <v>2184</v>
      </c>
    </row>
    <row r="243" spans="1:6">
      <c r="A243" s="225" t="s">
        <v>1877</v>
      </c>
      <c r="B243" s="225" t="s">
        <v>2183</v>
      </c>
      <c r="C243" s="228" t="s">
        <v>2176</v>
      </c>
      <c r="D243" s="220" t="s">
        <v>2184</v>
      </c>
    </row>
    <row r="244" spans="1:6">
      <c r="A244" s="225" t="s">
        <v>1877</v>
      </c>
      <c r="B244" s="225" t="s">
        <v>2183</v>
      </c>
      <c r="C244" s="228" t="s">
        <v>2177</v>
      </c>
      <c r="D244" s="220" t="s">
        <v>2184</v>
      </c>
    </row>
    <row r="245" spans="1:6">
      <c r="A245" s="225" t="s">
        <v>1877</v>
      </c>
      <c r="B245" s="225" t="s">
        <v>2185</v>
      </c>
      <c r="C245" s="228" t="s">
        <v>516</v>
      </c>
      <c r="D245" s="220" t="s">
        <v>2186</v>
      </c>
    </row>
    <row r="246" spans="1:6">
      <c r="A246" s="225" t="s">
        <v>1877</v>
      </c>
      <c r="B246" s="225" t="s">
        <v>2185</v>
      </c>
      <c r="C246" s="228" t="s">
        <v>2174</v>
      </c>
      <c r="D246" s="220" t="s">
        <v>2186</v>
      </c>
    </row>
    <row r="247" spans="1:6">
      <c r="A247" s="225" t="s">
        <v>1877</v>
      </c>
      <c r="B247" s="225" t="s">
        <v>2185</v>
      </c>
      <c r="C247" s="228" t="s">
        <v>2175</v>
      </c>
      <c r="D247" s="220" t="s">
        <v>2186</v>
      </c>
    </row>
    <row r="248" spans="1:6">
      <c r="A248" s="225" t="s">
        <v>1877</v>
      </c>
      <c r="B248" s="225" t="s">
        <v>2185</v>
      </c>
      <c r="C248" s="228" t="s">
        <v>2176</v>
      </c>
      <c r="D248" s="220" t="s">
        <v>2186</v>
      </c>
    </row>
    <row r="249" spans="1:6">
      <c r="A249" s="225" t="s">
        <v>1877</v>
      </c>
      <c r="B249" s="225" t="s">
        <v>2185</v>
      </c>
      <c r="C249" s="228" t="s">
        <v>2177</v>
      </c>
      <c r="D249" s="220" t="s">
        <v>2186</v>
      </c>
    </row>
    <row r="250" spans="1:6">
      <c r="A250" s="225" t="s">
        <v>1877</v>
      </c>
      <c r="B250" s="225" t="s">
        <v>2187</v>
      </c>
      <c r="C250" s="228" t="s">
        <v>516</v>
      </c>
      <c r="D250" s="220" t="s">
        <v>691</v>
      </c>
    </row>
    <row r="251" spans="1:6">
      <c r="A251" s="225" t="s">
        <v>1877</v>
      </c>
      <c r="B251" s="225" t="s">
        <v>2187</v>
      </c>
      <c r="C251" s="228" t="s">
        <v>2174</v>
      </c>
      <c r="D251" s="220" t="s">
        <v>691</v>
      </c>
    </row>
    <row r="252" spans="1:6">
      <c r="A252" s="225" t="s">
        <v>1877</v>
      </c>
      <c r="B252" s="225" t="s">
        <v>2187</v>
      </c>
      <c r="C252" s="228" t="s">
        <v>2175</v>
      </c>
      <c r="D252" s="220" t="s">
        <v>691</v>
      </c>
    </row>
    <row r="253" spans="1:6">
      <c r="A253" s="225" t="s">
        <v>1877</v>
      </c>
      <c r="B253" s="225" t="s">
        <v>2187</v>
      </c>
      <c r="C253" s="228" t="s">
        <v>2176</v>
      </c>
      <c r="D253" s="220" t="s">
        <v>691</v>
      </c>
    </row>
    <row r="254" spans="1:6">
      <c r="A254" s="225" t="s">
        <v>1877</v>
      </c>
      <c r="B254" s="225" t="s">
        <v>2187</v>
      </c>
      <c r="C254" s="228" t="s">
        <v>2177</v>
      </c>
      <c r="D254" s="220" t="s">
        <v>691</v>
      </c>
    </row>
    <row r="255" spans="1:6">
      <c r="A255" s="225" t="s">
        <v>1877</v>
      </c>
      <c r="B255" s="225" t="s">
        <v>2188</v>
      </c>
      <c r="C255" s="228" t="s">
        <v>516</v>
      </c>
      <c r="D255" s="220" t="s">
        <v>713</v>
      </c>
    </row>
    <row r="256" spans="1:6">
      <c r="A256" s="225" t="s">
        <v>1877</v>
      </c>
      <c r="B256" s="225" t="s">
        <v>2188</v>
      </c>
      <c r="C256" s="228" t="s">
        <v>2174</v>
      </c>
      <c r="D256" s="220" t="s">
        <v>713</v>
      </c>
    </row>
    <row r="257" spans="1:16">
      <c r="A257" s="225" t="s">
        <v>1877</v>
      </c>
      <c r="B257" s="225" t="s">
        <v>2188</v>
      </c>
      <c r="C257" s="228" t="s">
        <v>2175</v>
      </c>
      <c r="D257" s="220" t="s">
        <v>713</v>
      </c>
    </row>
    <row r="258" spans="1:16">
      <c r="A258" s="225" t="s">
        <v>1877</v>
      </c>
      <c r="B258" s="225" t="s">
        <v>2188</v>
      </c>
      <c r="C258" s="228" t="s">
        <v>2176</v>
      </c>
      <c r="D258" s="220" t="s">
        <v>713</v>
      </c>
    </row>
    <row r="259" spans="1:16">
      <c r="A259" s="225" t="s">
        <v>1877</v>
      </c>
      <c r="B259" s="225" t="s">
        <v>2188</v>
      </c>
      <c r="C259" s="228" t="s">
        <v>2177</v>
      </c>
      <c r="D259" s="220" t="s">
        <v>713</v>
      </c>
    </row>
    <row r="260" spans="1:16">
      <c r="A260" s="225" t="s">
        <v>1877</v>
      </c>
      <c r="B260" s="225" t="s">
        <v>2189</v>
      </c>
      <c r="C260" s="228" t="s">
        <v>516</v>
      </c>
      <c r="D260" s="220" t="s">
        <v>109</v>
      </c>
    </row>
    <row r="261" spans="1:16">
      <c r="A261" s="225" t="s">
        <v>1877</v>
      </c>
      <c r="B261" s="225" t="s">
        <v>2189</v>
      </c>
      <c r="C261" s="228" t="s">
        <v>2174</v>
      </c>
      <c r="D261" s="220" t="s">
        <v>109</v>
      </c>
    </row>
    <row r="262" spans="1:16">
      <c r="A262" s="225" t="s">
        <v>1877</v>
      </c>
      <c r="B262" s="225" t="s">
        <v>2189</v>
      </c>
      <c r="C262" s="228" t="s">
        <v>2175</v>
      </c>
      <c r="D262" s="220" t="s">
        <v>109</v>
      </c>
    </row>
    <row r="263" spans="1:16">
      <c r="A263" s="225" t="s">
        <v>1877</v>
      </c>
      <c r="B263" s="225" t="s">
        <v>2189</v>
      </c>
      <c r="C263" s="228" t="s">
        <v>2176</v>
      </c>
      <c r="D263" s="220" t="s">
        <v>109</v>
      </c>
    </row>
    <row r="264" spans="1:16">
      <c r="A264" s="225" t="s">
        <v>1877</v>
      </c>
      <c r="B264" s="225" t="s">
        <v>2189</v>
      </c>
      <c r="C264" s="228" t="s">
        <v>2177</v>
      </c>
      <c r="D264" s="220" t="s">
        <v>109</v>
      </c>
    </row>
    <row r="265" spans="1:16">
      <c r="A265" s="225" t="s">
        <v>1877</v>
      </c>
      <c r="B265" s="225" t="s">
        <v>2190</v>
      </c>
      <c r="C265" s="228" t="s">
        <v>516</v>
      </c>
      <c r="D265" s="220" t="s">
        <v>1872</v>
      </c>
    </row>
    <row r="266" spans="1:16">
      <c r="A266" s="225" t="s">
        <v>1877</v>
      </c>
      <c r="B266" s="225" t="s">
        <v>2190</v>
      </c>
      <c r="C266" s="228" t="s">
        <v>2174</v>
      </c>
      <c r="D266" s="220" t="s">
        <v>1872</v>
      </c>
    </row>
    <row r="267" spans="1:16">
      <c r="A267" s="225" t="s">
        <v>1877</v>
      </c>
      <c r="B267" s="225" t="s">
        <v>2190</v>
      </c>
      <c r="C267" s="228" t="s">
        <v>2175</v>
      </c>
      <c r="D267" s="220" t="s">
        <v>1872</v>
      </c>
    </row>
    <row r="268" spans="1:16">
      <c r="A268" s="225" t="s">
        <v>1877</v>
      </c>
      <c r="B268" s="225" t="s">
        <v>2190</v>
      </c>
      <c r="C268" s="228" t="s">
        <v>2176</v>
      </c>
      <c r="D268" s="220" t="s">
        <v>1872</v>
      </c>
      <c r="M268" s="219" t="s">
        <v>2066</v>
      </c>
    </row>
    <row r="269" spans="1:16" ht="13.5" thickBot="1">
      <c r="A269" s="225" t="s">
        <v>1877</v>
      </c>
      <c r="B269" s="225" t="s">
        <v>2190</v>
      </c>
      <c r="C269" s="228" t="s">
        <v>2177</v>
      </c>
      <c r="D269" s="220" t="s">
        <v>1872</v>
      </c>
      <c r="E269" s="190"/>
      <c r="F269" s="75"/>
      <c r="G269" s="193">
        <f>SUM(E210:E269)</f>
        <v>49180553</v>
      </c>
      <c r="H269" s="40">
        <f>+INPUT!BF41-INPUT!P41-INPUT!BF47+INPUT!P47-INPUT!BF56-INPUT!BF48</f>
        <v>49180553</v>
      </c>
      <c r="I269" s="201">
        <f>+H269-G269</f>
        <v>0</v>
      </c>
      <c r="J269" s="40"/>
      <c r="K269" s="194" t="s">
        <v>1889</v>
      </c>
      <c r="M269">
        <f>+G208-G269</f>
        <v>-987034</v>
      </c>
      <c r="N269">
        <f>+INPUT!BF61-INPUT!P61</f>
        <v>-987034</v>
      </c>
      <c r="O269">
        <f>+N269-M269</f>
        <v>0</v>
      </c>
      <c r="P269" s="143" t="s">
        <v>1894</v>
      </c>
    </row>
    <row r="270" spans="1:16">
      <c r="A270" s="1334"/>
      <c r="B270" s="1335"/>
      <c r="C270" s="1335"/>
      <c r="D270" s="1335"/>
      <c r="I270" s="143"/>
      <c r="K270" s="21"/>
      <c r="P270" s="143"/>
    </row>
    <row r="271" spans="1:16" ht="15.75">
      <c r="A271" s="1336" t="s">
        <v>2197</v>
      </c>
      <c r="B271" s="1337"/>
      <c r="C271" s="1337"/>
      <c r="D271" s="1337"/>
      <c r="I271" s="143"/>
      <c r="K271" s="21"/>
      <c r="P271" s="143"/>
    </row>
    <row r="272" spans="1:16">
      <c r="A272" s="1338" t="s">
        <v>2198</v>
      </c>
      <c r="B272" s="1339"/>
      <c r="C272" s="1339"/>
      <c r="D272" s="1339"/>
      <c r="I272" s="143"/>
      <c r="K272" s="21"/>
      <c r="P272" s="143"/>
    </row>
    <row r="273" spans="1:16">
      <c r="A273" s="225" t="s">
        <v>1878</v>
      </c>
      <c r="B273" s="222" t="s">
        <v>2074</v>
      </c>
      <c r="C273" s="220"/>
      <c r="D273" s="224" t="s">
        <v>1873</v>
      </c>
      <c r="E273">
        <f>+INPUT!BP85+INPUT!BP86+INPUT!BP92</f>
        <v>624579</v>
      </c>
      <c r="P273" s="156" t="s">
        <v>1896</v>
      </c>
    </row>
    <row r="274" spans="1:16">
      <c r="A274" s="225" t="s">
        <v>1878</v>
      </c>
      <c r="B274" s="226" t="s">
        <v>2075</v>
      </c>
      <c r="C274" s="220"/>
      <c r="D274" s="220" t="s">
        <v>2076</v>
      </c>
      <c r="E274">
        <f>+INPUT!BP88</f>
        <v>540579</v>
      </c>
    </row>
    <row r="275" spans="1:16">
      <c r="A275" s="225" t="s">
        <v>1878</v>
      </c>
      <c r="B275" s="227" t="s">
        <v>2077</v>
      </c>
      <c r="C275" s="220"/>
      <c r="D275" s="220" t="s">
        <v>1823</v>
      </c>
    </row>
    <row r="276" spans="1:16">
      <c r="A276" s="225" t="s">
        <v>1878</v>
      </c>
      <c r="B276" s="227" t="s">
        <v>2078</v>
      </c>
      <c r="C276" s="220"/>
      <c r="D276" s="220" t="s">
        <v>1824</v>
      </c>
      <c r="E276">
        <f>+INPUT!BP103</f>
        <v>0</v>
      </c>
    </row>
    <row r="277" spans="1:16">
      <c r="A277" s="225" t="s">
        <v>1878</v>
      </c>
      <c r="B277" s="227" t="s">
        <v>2079</v>
      </c>
      <c r="C277" s="220"/>
      <c r="D277" s="220" t="s">
        <v>1825</v>
      </c>
    </row>
    <row r="278" spans="1:16">
      <c r="A278" s="225" t="s">
        <v>1878</v>
      </c>
      <c r="B278" s="227" t="s">
        <v>2080</v>
      </c>
      <c r="C278" s="220"/>
      <c r="D278" s="220" t="s">
        <v>1826</v>
      </c>
    </row>
    <row r="279" spans="1:16">
      <c r="A279" s="225" t="s">
        <v>1878</v>
      </c>
      <c r="B279" s="227" t="s">
        <v>2081</v>
      </c>
      <c r="C279" s="220"/>
      <c r="D279" s="220" t="s">
        <v>1827</v>
      </c>
    </row>
    <row r="280" spans="1:16">
      <c r="A280" s="225" t="s">
        <v>1878</v>
      </c>
      <c r="B280" s="227" t="s">
        <v>2082</v>
      </c>
      <c r="C280" s="220"/>
      <c r="D280" s="220" t="s">
        <v>1828</v>
      </c>
      <c r="G280">
        <f>SUM(E273:E280)</f>
        <v>1165158</v>
      </c>
      <c r="H280">
        <f>+'Govt BS'!J39+'COMBING BS'!F42</f>
        <v>1165158</v>
      </c>
      <c r="I280">
        <f>+H280-G280</f>
        <v>0</v>
      </c>
    </row>
    <row r="281" spans="1:16">
      <c r="A281" s="225" t="s">
        <v>1878</v>
      </c>
      <c r="B281" s="227" t="s">
        <v>2083</v>
      </c>
      <c r="C281" s="220"/>
      <c r="D281" s="220" t="s">
        <v>1829</v>
      </c>
    </row>
    <row r="282" spans="1:16">
      <c r="A282" s="1338" t="s">
        <v>2199</v>
      </c>
      <c r="B282" s="1339"/>
      <c r="C282" s="1339"/>
      <c r="D282" s="1339"/>
    </row>
    <row r="283" spans="1:16">
      <c r="A283" s="225" t="s">
        <v>1878</v>
      </c>
      <c r="B283" s="225" t="s">
        <v>2085</v>
      </c>
      <c r="C283" s="220"/>
      <c r="D283" s="220" t="s">
        <v>2086</v>
      </c>
      <c r="E283">
        <f>+INPUT!BP132</f>
        <v>0</v>
      </c>
    </row>
    <row r="284" spans="1:16">
      <c r="A284" s="225" t="s">
        <v>1878</v>
      </c>
      <c r="B284" s="225" t="s">
        <v>2087</v>
      </c>
      <c r="C284" s="220"/>
      <c r="D284" s="220" t="s">
        <v>1831</v>
      </c>
      <c r="E284">
        <f>+INPUT!BP134+INPUT!BP135+INPUT!BP141</f>
        <v>0</v>
      </c>
    </row>
    <row r="285" spans="1:16">
      <c r="A285" s="225" t="s">
        <v>1878</v>
      </c>
      <c r="B285" s="225" t="s">
        <v>2088</v>
      </c>
      <c r="C285" s="220"/>
      <c r="D285" s="220" t="s">
        <v>1832</v>
      </c>
      <c r="E285">
        <f>+INPUT!BP157</f>
        <v>540579</v>
      </c>
    </row>
    <row r="286" spans="1:16">
      <c r="A286" s="225" t="s">
        <v>1878</v>
      </c>
      <c r="B286" s="225" t="s">
        <v>2089</v>
      </c>
      <c r="C286" s="220"/>
      <c r="D286" s="220" t="s">
        <v>1833</v>
      </c>
      <c r="G286">
        <f>SUM(E283:E286)</f>
        <v>540579</v>
      </c>
      <c r="H286">
        <f>+'Govt BS'!J90+'Govt BS'!J93+'COMBING BS'!F68+'COMBING BS'!F71</f>
        <v>540579</v>
      </c>
      <c r="I286">
        <f>+H286-G286</f>
        <v>0</v>
      </c>
    </row>
    <row r="287" spans="1:16">
      <c r="A287" s="1338" t="s">
        <v>2200</v>
      </c>
      <c r="B287" s="1339"/>
      <c r="C287" s="1339"/>
      <c r="D287" s="1339"/>
    </row>
    <row r="288" spans="1:16">
      <c r="A288" s="225" t="s">
        <v>1878</v>
      </c>
      <c r="B288" s="225" t="s">
        <v>2091</v>
      </c>
      <c r="C288" s="220"/>
      <c r="D288" s="220" t="s">
        <v>1834</v>
      </c>
      <c r="E288">
        <f>+INPUT!BP189</f>
        <v>624579</v>
      </c>
    </row>
    <row r="289" spans="1:15">
      <c r="A289" s="225" t="s">
        <v>1878</v>
      </c>
      <c r="B289" s="225" t="s">
        <v>2092</v>
      </c>
      <c r="C289" s="220"/>
      <c r="D289" s="220" t="s">
        <v>2093</v>
      </c>
      <c r="E289">
        <f>+INPUT!BP191</f>
        <v>0</v>
      </c>
    </row>
    <row r="290" spans="1:15">
      <c r="A290" s="225" t="s">
        <v>1878</v>
      </c>
      <c r="B290" s="225" t="s">
        <v>2094</v>
      </c>
      <c r="C290" s="220"/>
      <c r="D290" s="220" t="s">
        <v>1835</v>
      </c>
      <c r="E290" s="196">
        <f>+INPUT!BP193</f>
        <v>0</v>
      </c>
      <c r="F290" s="38"/>
      <c r="G290" s="38">
        <f>SUM(E288:E290)</f>
        <v>624579</v>
      </c>
      <c r="H290" s="38">
        <f>+'Govt BS'!J121+'COMBING BS'!F85</f>
        <v>624579</v>
      </c>
      <c r="I290" s="38">
        <f>+H290-G290</f>
        <v>0</v>
      </c>
      <c r="J290" s="38"/>
      <c r="K290" s="197">
        <f>+G280-G286-G290</f>
        <v>0</v>
      </c>
      <c r="L290" s="143" t="s">
        <v>1887</v>
      </c>
    </row>
    <row r="291" spans="1:15">
      <c r="A291" s="225" t="s">
        <v>1878</v>
      </c>
      <c r="B291" s="225" t="s">
        <v>2095</v>
      </c>
      <c r="C291" s="220"/>
      <c r="D291" s="220" t="s">
        <v>2096</v>
      </c>
      <c r="L291" s="156" t="s">
        <v>1896</v>
      </c>
      <c r="N291" s="191" t="s">
        <v>1885</v>
      </c>
      <c r="O291" s="191" t="s">
        <v>1886</v>
      </c>
    </row>
    <row r="292" spans="1:15">
      <c r="A292" s="1338" t="s">
        <v>2201</v>
      </c>
      <c r="B292" s="1339"/>
      <c r="C292" s="1339"/>
      <c r="D292" s="1339"/>
      <c r="L292" s="156"/>
      <c r="N292" s="191"/>
      <c r="O292" s="191"/>
    </row>
    <row r="293" spans="1:15">
      <c r="A293" s="225" t="s">
        <v>1878</v>
      </c>
      <c r="B293" s="225" t="s">
        <v>2098</v>
      </c>
      <c r="C293" s="220"/>
      <c r="D293" s="220" t="s">
        <v>2099</v>
      </c>
      <c r="E293" s="146">
        <f>'DS BUDACT ER'!AB18-INPUT!BP223+INPUT!BP283-1</f>
        <v>1811198</v>
      </c>
      <c r="N293">
        <f>+INPUT!BP283</f>
        <v>0</v>
      </c>
      <c r="O293">
        <v>0</v>
      </c>
    </row>
    <row r="294" spans="1:15">
      <c r="A294" s="225" t="s">
        <v>1878</v>
      </c>
      <c r="B294" s="225" t="s">
        <v>2100</v>
      </c>
      <c r="C294" s="220"/>
      <c r="D294" s="220" t="s">
        <v>2101</v>
      </c>
    </row>
    <row r="295" spans="1:15">
      <c r="A295" s="225" t="s">
        <v>1878</v>
      </c>
      <c r="B295" s="225" t="s">
        <v>2102</v>
      </c>
      <c r="C295" s="220"/>
      <c r="D295" s="220" t="s">
        <v>1837</v>
      </c>
    </row>
    <row r="296" spans="1:15">
      <c r="A296" s="225" t="s">
        <v>1878</v>
      </c>
      <c r="B296" s="225" t="s">
        <v>2103</v>
      </c>
      <c r="C296" s="220"/>
      <c r="D296" s="220" t="s">
        <v>2104</v>
      </c>
    </row>
    <row r="297" spans="1:15">
      <c r="A297" s="225" t="s">
        <v>1878</v>
      </c>
      <c r="B297" s="225" t="s">
        <v>2105</v>
      </c>
      <c r="C297" s="220"/>
      <c r="D297" s="220" t="s">
        <v>1838</v>
      </c>
    </row>
    <row r="298" spans="1:15">
      <c r="A298" s="225" t="s">
        <v>1878</v>
      </c>
      <c r="B298" s="225" t="s">
        <v>2106</v>
      </c>
      <c r="C298" s="220"/>
      <c r="D298" s="220" t="s">
        <v>1839</v>
      </c>
      <c r="G298">
        <f>SUM(E293:E298)</f>
        <v>1811198</v>
      </c>
      <c r="H298">
        <f>+'Govt IS'!J16+'COMBING IS'!F15</f>
        <v>1811198</v>
      </c>
      <c r="I298">
        <f>+H298-G298</f>
        <v>0</v>
      </c>
    </row>
    <row r="299" spans="1:15">
      <c r="A299" s="225" t="s">
        <v>1878</v>
      </c>
      <c r="B299" s="225" t="s">
        <v>2107</v>
      </c>
      <c r="C299" s="220"/>
      <c r="D299" s="220" t="s">
        <v>2108</v>
      </c>
    </row>
    <row r="300" spans="1:15">
      <c r="A300" s="225" t="s">
        <v>1878</v>
      </c>
      <c r="B300" s="225" t="s">
        <v>2109</v>
      </c>
      <c r="C300" s="220"/>
      <c r="D300" s="220" t="s">
        <v>1841</v>
      </c>
    </row>
    <row r="301" spans="1:15">
      <c r="A301" s="225" t="s">
        <v>1878</v>
      </c>
      <c r="B301" s="225" t="s">
        <v>2110</v>
      </c>
      <c r="C301" s="220"/>
      <c r="D301" s="220" t="s">
        <v>2111</v>
      </c>
      <c r="G301">
        <f>SUM(E299:E301)</f>
        <v>0</v>
      </c>
      <c r="H301">
        <f>+'Govt IS'!J17+'COMBING IS'!F16</f>
        <v>0</v>
      </c>
      <c r="I301">
        <f>+H301-G301</f>
        <v>0</v>
      </c>
    </row>
    <row r="302" spans="1:15">
      <c r="A302" s="225" t="s">
        <v>1878</v>
      </c>
      <c r="B302" s="225" t="s">
        <v>2112</v>
      </c>
      <c r="C302" s="220"/>
      <c r="D302" s="220" t="s">
        <v>1843</v>
      </c>
    </row>
    <row r="303" spans="1:15">
      <c r="A303" s="225" t="s">
        <v>1878</v>
      </c>
      <c r="B303" s="225" t="s">
        <v>2113</v>
      </c>
      <c r="C303" s="220"/>
      <c r="D303" s="220" t="s">
        <v>1844</v>
      </c>
    </row>
    <row r="304" spans="1:15">
      <c r="A304" s="225" t="s">
        <v>1878</v>
      </c>
      <c r="B304" s="225" t="s">
        <v>2114</v>
      </c>
      <c r="C304" s="220"/>
      <c r="D304" s="220" t="s">
        <v>2115</v>
      </c>
    </row>
    <row r="305" spans="1:13">
      <c r="A305" s="225" t="s">
        <v>1878</v>
      </c>
      <c r="B305" s="225" t="s">
        <v>2116</v>
      </c>
      <c r="C305" s="220"/>
      <c r="D305" s="220" t="s">
        <v>1846</v>
      </c>
      <c r="L305" s="21"/>
    </row>
    <row r="306" spans="1:13">
      <c r="A306" s="225" t="s">
        <v>1878</v>
      </c>
      <c r="B306" s="225" t="s">
        <v>2117</v>
      </c>
      <c r="C306" s="220"/>
      <c r="D306" s="220" t="s">
        <v>2118</v>
      </c>
      <c r="E306">
        <f>+'DS BUDACT ER'!AC37</f>
        <v>0</v>
      </c>
      <c r="L306" s="21" t="s">
        <v>1897</v>
      </c>
    </row>
    <row r="307" spans="1:13">
      <c r="A307" s="225" t="s">
        <v>1878</v>
      </c>
      <c r="B307" s="225" t="s">
        <v>2119</v>
      </c>
      <c r="C307" s="220"/>
      <c r="D307" s="220" t="s">
        <v>1848</v>
      </c>
    </row>
    <row r="308" spans="1:13">
      <c r="A308" s="225" t="s">
        <v>1878</v>
      </c>
      <c r="B308" s="225" t="s">
        <v>2120</v>
      </c>
      <c r="C308" s="220"/>
      <c r="D308" s="220" t="s">
        <v>1849</v>
      </c>
      <c r="E308">
        <f>+'SR BUDACT ER'!FD164</f>
        <v>0</v>
      </c>
    </row>
    <row r="309" spans="1:13">
      <c r="A309" s="225" t="s">
        <v>1878</v>
      </c>
      <c r="B309" s="225" t="s">
        <v>2121</v>
      </c>
      <c r="C309" s="220"/>
      <c r="D309" s="220" t="s">
        <v>1850</v>
      </c>
    </row>
    <row r="310" spans="1:13">
      <c r="A310" s="225" t="s">
        <v>1878</v>
      </c>
      <c r="B310" s="225" t="s">
        <v>2122</v>
      </c>
      <c r="C310" s="220"/>
      <c r="D310" s="220" t="s">
        <v>2123</v>
      </c>
      <c r="G310">
        <f>SUM(E302:E310)</f>
        <v>0</v>
      </c>
      <c r="H310">
        <f>+'Govt IS'!J18+'COMBING IS'!F17</f>
        <v>0</v>
      </c>
      <c r="I310">
        <f>+H310-G310</f>
        <v>0</v>
      </c>
      <c r="K310" s="191"/>
      <c r="M310" s="191"/>
    </row>
    <row r="311" spans="1:13">
      <c r="A311" s="225" t="s">
        <v>1878</v>
      </c>
      <c r="B311" s="225" t="s">
        <v>2124</v>
      </c>
      <c r="C311" s="220"/>
      <c r="D311" s="220" t="s">
        <v>2125</v>
      </c>
    </row>
    <row r="312" spans="1:13">
      <c r="A312" s="225" t="s">
        <v>1878</v>
      </c>
      <c r="B312" s="225" t="s">
        <v>2126</v>
      </c>
      <c r="C312" s="220"/>
      <c r="D312" s="220" t="s">
        <v>2127</v>
      </c>
    </row>
    <row r="313" spans="1:13">
      <c r="A313" s="225" t="s">
        <v>1878</v>
      </c>
      <c r="B313" s="225" t="s">
        <v>2128</v>
      </c>
      <c r="C313" s="220"/>
      <c r="D313" s="220" t="s">
        <v>2129</v>
      </c>
    </row>
    <row r="314" spans="1:13">
      <c r="A314" s="225" t="s">
        <v>1878</v>
      </c>
      <c r="B314" s="225" t="s">
        <v>2130</v>
      </c>
      <c r="C314" s="220"/>
      <c r="D314" s="220" t="s">
        <v>2131</v>
      </c>
    </row>
    <row r="315" spans="1:13">
      <c r="A315" s="225" t="s">
        <v>1878</v>
      </c>
      <c r="B315" s="225" t="s">
        <v>2132</v>
      </c>
      <c r="C315" s="220"/>
      <c r="D315" s="220" t="s">
        <v>1854</v>
      </c>
    </row>
    <row r="316" spans="1:13">
      <c r="A316" s="225" t="s">
        <v>1878</v>
      </c>
      <c r="B316" s="225" t="s">
        <v>2133</v>
      </c>
      <c r="C316" s="220"/>
      <c r="D316" s="220" t="s">
        <v>2134</v>
      </c>
    </row>
    <row r="317" spans="1:13">
      <c r="A317" s="225" t="s">
        <v>1878</v>
      </c>
      <c r="B317" s="225" t="s">
        <v>2135</v>
      </c>
      <c r="C317" s="220"/>
      <c r="D317" s="220" t="s">
        <v>2136</v>
      </c>
    </row>
    <row r="318" spans="1:13">
      <c r="A318" s="225" t="s">
        <v>1878</v>
      </c>
      <c r="B318" s="225" t="s">
        <v>2137</v>
      </c>
      <c r="C318" s="220"/>
      <c r="D318" s="220" t="s">
        <v>1857</v>
      </c>
    </row>
    <row r="319" spans="1:13">
      <c r="A319" s="225" t="s">
        <v>1878</v>
      </c>
      <c r="B319" s="225" t="s">
        <v>2138</v>
      </c>
      <c r="C319" s="220"/>
      <c r="D319" s="220" t="s">
        <v>1858</v>
      </c>
      <c r="E319">
        <f>+INPUT!BP15</f>
        <v>112309</v>
      </c>
      <c r="J319" s="191"/>
      <c r="K319" s="191"/>
      <c r="L319" s="191"/>
      <c r="M319" s="191"/>
    </row>
    <row r="320" spans="1:13">
      <c r="A320" s="225" t="s">
        <v>1878</v>
      </c>
      <c r="B320" s="225" t="s">
        <v>2139</v>
      </c>
      <c r="C320" s="220"/>
      <c r="D320" s="220" t="s">
        <v>1859</v>
      </c>
      <c r="I320" s="143"/>
    </row>
    <row r="321" spans="1:9">
      <c r="A321" s="225" t="s">
        <v>1878</v>
      </c>
      <c r="B321" s="225" t="s">
        <v>2140</v>
      </c>
      <c r="C321" s="220"/>
      <c r="D321" s="220" t="s">
        <v>1860</v>
      </c>
      <c r="I321" s="143"/>
    </row>
    <row r="322" spans="1:9">
      <c r="A322" s="225" t="s">
        <v>1878</v>
      </c>
      <c r="B322" s="225" t="s">
        <v>2141</v>
      </c>
      <c r="C322" s="220"/>
      <c r="D322" s="220" t="s">
        <v>2142</v>
      </c>
    </row>
    <row r="323" spans="1:9">
      <c r="A323" s="225" t="s">
        <v>1878</v>
      </c>
      <c r="B323" s="225" t="s">
        <v>2143</v>
      </c>
      <c r="C323" s="220"/>
      <c r="D323" s="220" t="s">
        <v>1862</v>
      </c>
    </row>
    <row r="324" spans="1:9">
      <c r="A324" s="225" t="s">
        <v>1878</v>
      </c>
      <c r="B324" s="225" t="s">
        <v>2144</v>
      </c>
      <c r="C324" s="220"/>
      <c r="D324" s="220" t="s">
        <v>1863</v>
      </c>
      <c r="G324">
        <f>SUM(E318:E324)</f>
        <v>112309</v>
      </c>
      <c r="H324">
        <f>+'Govt IS'!J21+'COMBING IS'!F20</f>
        <v>112309</v>
      </c>
      <c r="I324">
        <f>+H324-G324</f>
        <v>0</v>
      </c>
    </row>
    <row r="325" spans="1:9">
      <c r="A325" s="225" t="s">
        <v>1878</v>
      </c>
      <c r="B325" s="225" t="s">
        <v>2145</v>
      </c>
      <c r="C325" s="220"/>
      <c r="D325" s="220" t="s">
        <v>1864</v>
      </c>
      <c r="E325">
        <f>+INPUT!BP16</f>
        <v>38148</v>
      </c>
      <c r="G325">
        <f>SUM(E325)</f>
        <v>38148</v>
      </c>
      <c r="H325">
        <f>+'Govt IS'!J22+'COMBING IS'!F21</f>
        <v>38148</v>
      </c>
      <c r="I325">
        <f>+H325-G325</f>
        <v>0</v>
      </c>
    </row>
    <row r="326" spans="1:9">
      <c r="A326" s="225" t="s">
        <v>1878</v>
      </c>
      <c r="B326" s="225" t="s">
        <v>2146</v>
      </c>
      <c r="C326" s="220"/>
      <c r="D326" s="220" t="s">
        <v>1865</v>
      </c>
    </row>
    <row r="327" spans="1:9">
      <c r="A327" s="225" t="s">
        <v>1878</v>
      </c>
      <c r="B327" s="225" t="s">
        <v>2147</v>
      </c>
      <c r="C327" s="220"/>
      <c r="D327" s="220" t="s">
        <v>1866</v>
      </c>
    </row>
    <row r="328" spans="1:9">
      <c r="A328" s="225" t="s">
        <v>1878</v>
      </c>
      <c r="B328" s="225" t="s">
        <v>2148</v>
      </c>
      <c r="C328" s="220"/>
      <c r="D328" s="220" t="s">
        <v>2149</v>
      </c>
      <c r="E328">
        <f>+INPUT!BP50</f>
        <v>7975</v>
      </c>
    </row>
    <row r="329" spans="1:9">
      <c r="A329" s="225" t="s">
        <v>1878</v>
      </c>
      <c r="B329" s="225" t="s">
        <v>2150</v>
      </c>
      <c r="C329" s="220"/>
      <c r="D329" s="220" t="s">
        <v>2151</v>
      </c>
    </row>
    <row r="330" spans="1:9">
      <c r="A330" s="225" t="s">
        <v>1878</v>
      </c>
      <c r="B330" s="225" t="s">
        <v>2152</v>
      </c>
      <c r="C330" s="220"/>
      <c r="D330" s="220" t="s">
        <v>1869</v>
      </c>
      <c r="E330">
        <f>+INPUT!BP46</f>
        <v>0</v>
      </c>
      <c r="G330">
        <f>+E330</f>
        <v>0</v>
      </c>
      <c r="H330">
        <f>+'Govt IS'!J42+'COMBING IS'!F41</f>
        <v>0</v>
      </c>
      <c r="I330">
        <f>+H330-G330</f>
        <v>0</v>
      </c>
    </row>
    <row r="331" spans="1:9">
      <c r="A331" s="225" t="s">
        <v>1878</v>
      </c>
      <c r="B331" s="225" t="s">
        <v>2153</v>
      </c>
      <c r="C331" s="220"/>
      <c r="D331" s="220" t="s">
        <v>2154</v>
      </c>
    </row>
    <row r="332" spans="1:9">
      <c r="A332" s="225" t="s">
        <v>1878</v>
      </c>
      <c r="B332" s="225" t="s">
        <v>2155</v>
      </c>
      <c r="C332" s="220"/>
      <c r="D332" s="220" t="s">
        <v>2156</v>
      </c>
    </row>
    <row r="333" spans="1:9">
      <c r="A333" s="225" t="s">
        <v>1878</v>
      </c>
      <c r="B333" s="225" t="s">
        <v>2157</v>
      </c>
      <c r="C333" s="220"/>
      <c r="D333" s="220" t="s">
        <v>2158</v>
      </c>
    </row>
    <row r="334" spans="1:9">
      <c r="A334" s="225" t="s">
        <v>1878</v>
      </c>
      <c r="B334" s="225" t="s">
        <v>2159</v>
      </c>
      <c r="C334" s="220"/>
      <c r="D334" s="220" t="s">
        <v>2160</v>
      </c>
    </row>
    <row r="335" spans="1:9">
      <c r="A335" s="225" t="s">
        <v>1878</v>
      </c>
      <c r="B335" s="225" t="s">
        <v>2161</v>
      </c>
      <c r="C335" s="220"/>
      <c r="D335" s="220" t="s">
        <v>2162</v>
      </c>
    </row>
    <row r="336" spans="1:9">
      <c r="A336" s="225" t="s">
        <v>1878</v>
      </c>
      <c r="B336" s="225" t="s">
        <v>2163</v>
      </c>
      <c r="C336" s="220"/>
      <c r="D336" s="220" t="s">
        <v>2164</v>
      </c>
    </row>
    <row r="337" spans="1:11">
      <c r="A337" s="225" t="s">
        <v>1878</v>
      </c>
      <c r="B337" s="225" t="s">
        <v>2165</v>
      </c>
      <c r="C337" s="220"/>
      <c r="D337" s="220" t="s">
        <v>2166</v>
      </c>
    </row>
    <row r="338" spans="1:11">
      <c r="A338" s="225" t="s">
        <v>1878</v>
      </c>
      <c r="B338" s="225" t="s">
        <v>2167</v>
      </c>
      <c r="C338" s="220"/>
      <c r="D338" s="220" t="s">
        <v>2168</v>
      </c>
    </row>
    <row r="339" spans="1:11">
      <c r="A339" s="225" t="s">
        <v>1878</v>
      </c>
      <c r="B339" s="225" t="s">
        <v>2169</v>
      </c>
      <c r="C339" s="220"/>
      <c r="D339" s="220" t="s">
        <v>2170</v>
      </c>
      <c r="G339" s="193">
        <f>SUM(E293:E339)</f>
        <v>1969630</v>
      </c>
      <c r="H339" s="40">
        <f>+INPUT!BP18+INPUT!BP46+INPUT!BP50</f>
        <v>1969630</v>
      </c>
      <c r="I339" s="201">
        <f>+H339-G339</f>
        <v>0</v>
      </c>
      <c r="J339" s="194" t="s">
        <v>1898</v>
      </c>
      <c r="K339" s="195"/>
    </row>
    <row r="340" spans="1:11">
      <c r="A340" s="1338" t="s">
        <v>2202</v>
      </c>
      <c r="B340" s="1339"/>
      <c r="C340" s="1339"/>
      <c r="D340" s="1339"/>
      <c r="I340" s="143"/>
      <c r="J340" s="21"/>
    </row>
    <row r="341" spans="1:11">
      <c r="A341" s="225" t="s">
        <v>1878</v>
      </c>
      <c r="B341" s="227" t="s">
        <v>2172</v>
      </c>
      <c r="C341" s="228" t="s">
        <v>516</v>
      </c>
      <c r="D341" s="220" t="s">
        <v>2173</v>
      </c>
      <c r="J341" s="156" t="s">
        <v>1896</v>
      </c>
    </row>
    <row r="342" spans="1:11">
      <c r="A342" s="225" t="s">
        <v>1878</v>
      </c>
      <c r="B342" s="227" t="s">
        <v>2172</v>
      </c>
      <c r="C342" s="228" t="s">
        <v>2174</v>
      </c>
      <c r="D342" s="220" t="s">
        <v>2173</v>
      </c>
    </row>
    <row r="343" spans="1:11">
      <c r="A343" s="225" t="s">
        <v>1878</v>
      </c>
      <c r="B343" s="227" t="s">
        <v>2172</v>
      </c>
      <c r="C343" s="228" t="s">
        <v>2175</v>
      </c>
      <c r="D343" s="220" t="s">
        <v>1870</v>
      </c>
    </row>
    <row r="344" spans="1:11">
      <c r="A344" s="225" t="s">
        <v>1878</v>
      </c>
      <c r="B344" s="227" t="s">
        <v>2172</v>
      </c>
      <c r="C344" s="228" t="s">
        <v>2176</v>
      </c>
      <c r="D344" s="220" t="s">
        <v>1870</v>
      </c>
    </row>
    <row r="345" spans="1:11">
      <c r="A345" s="225" t="s">
        <v>1878</v>
      </c>
      <c r="B345" s="227" t="s">
        <v>2172</v>
      </c>
      <c r="C345" s="228" t="s">
        <v>2177</v>
      </c>
      <c r="D345" s="220" t="s">
        <v>1870</v>
      </c>
    </row>
    <row r="346" spans="1:11">
      <c r="A346" s="225" t="s">
        <v>1878</v>
      </c>
      <c r="B346" s="227" t="s">
        <v>2178</v>
      </c>
      <c r="C346" s="228" t="s">
        <v>516</v>
      </c>
      <c r="D346" s="220" t="s">
        <v>683</v>
      </c>
    </row>
    <row r="347" spans="1:11">
      <c r="A347" s="225" t="s">
        <v>1878</v>
      </c>
      <c r="B347" s="227" t="s">
        <v>2178</v>
      </c>
      <c r="C347" s="228" t="s">
        <v>2174</v>
      </c>
      <c r="D347" s="220" t="s">
        <v>683</v>
      </c>
      <c r="E347">
        <f>-'DS BUDACT ER'!P87</f>
        <v>0</v>
      </c>
    </row>
    <row r="348" spans="1:11">
      <c r="A348" s="225" t="s">
        <v>1878</v>
      </c>
      <c r="B348" s="227" t="s">
        <v>2178</v>
      </c>
      <c r="C348" s="228" t="s">
        <v>2175</v>
      </c>
      <c r="D348" s="220" t="s">
        <v>683</v>
      </c>
    </row>
    <row r="349" spans="1:11">
      <c r="A349" s="225" t="s">
        <v>1878</v>
      </c>
      <c r="B349" s="227" t="s">
        <v>2178</v>
      </c>
      <c r="C349" s="228" t="s">
        <v>2176</v>
      </c>
      <c r="D349" s="220" t="s">
        <v>683</v>
      </c>
    </row>
    <row r="350" spans="1:11">
      <c r="A350" s="225" t="s">
        <v>1878</v>
      </c>
      <c r="B350" s="227" t="s">
        <v>2178</v>
      </c>
      <c r="C350" s="228" t="s">
        <v>2177</v>
      </c>
      <c r="D350" s="220" t="s">
        <v>683</v>
      </c>
    </row>
    <row r="351" spans="1:11">
      <c r="A351" s="225" t="s">
        <v>1878</v>
      </c>
      <c r="B351" s="227" t="s">
        <v>2179</v>
      </c>
      <c r="C351" s="228" t="s">
        <v>516</v>
      </c>
      <c r="D351" s="220" t="s">
        <v>777</v>
      </c>
    </row>
    <row r="352" spans="1:11">
      <c r="A352" s="225" t="s">
        <v>1878</v>
      </c>
      <c r="B352" s="227" t="s">
        <v>2179</v>
      </c>
      <c r="C352" s="228" t="s">
        <v>2174</v>
      </c>
      <c r="D352" s="220" t="s">
        <v>777</v>
      </c>
      <c r="E352">
        <f>-'DS BUDACT ER'!M87-'DS BUDACT ER'!V87+'DS BUDACT ER'!V66</f>
        <v>8109</v>
      </c>
    </row>
    <row r="353" spans="1:5">
      <c r="A353" s="225" t="s">
        <v>1878</v>
      </c>
      <c r="B353" s="227" t="s">
        <v>2179</v>
      </c>
      <c r="C353" s="228" t="s">
        <v>2175</v>
      </c>
      <c r="D353" s="220" t="s">
        <v>777</v>
      </c>
    </row>
    <row r="354" spans="1:5">
      <c r="A354" s="225" t="s">
        <v>1878</v>
      </c>
      <c r="B354" s="227" t="s">
        <v>2179</v>
      </c>
      <c r="C354" s="228" t="s">
        <v>2176</v>
      </c>
      <c r="D354" s="220" t="s">
        <v>777</v>
      </c>
    </row>
    <row r="355" spans="1:5">
      <c r="A355" s="225" t="s">
        <v>1878</v>
      </c>
      <c r="B355" s="227" t="s">
        <v>2179</v>
      </c>
      <c r="C355" s="228" t="s">
        <v>2177</v>
      </c>
      <c r="D355" s="220" t="s">
        <v>777</v>
      </c>
    </row>
    <row r="356" spans="1:5">
      <c r="A356" s="225" t="s">
        <v>1878</v>
      </c>
      <c r="B356" s="227" t="s">
        <v>2180</v>
      </c>
      <c r="C356" s="228" t="s">
        <v>516</v>
      </c>
      <c r="D356" s="220" t="s">
        <v>1853</v>
      </c>
    </row>
    <row r="357" spans="1:5">
      <c r="A357" s="225" t="s">
        <v>1878</v>
      </c>
      <c r="B357" s="227" t="s">
        <v>2180</v>
      </c>
      <c r="C357" s="228" t="s">
        <v>2174</v>
      </c>
      <c r="D357" s="220" t="s">
        <v>1853</v>
      </c>
      <c r="E357">
        <f>-'DS BUDACT ER'!J87</f>
        <v>0</v>
      </c>
    </row>
    <row r="358" spans="1:5">
      <c r="A358" s="225" t="s">
        <v>1878</v>
      </c>
      <c r="B358" s="227" t="s">
        <v>2180</v>
      </c>
      <c r="C358" s="228" t="s">
        <v>2175</v>
      </c>
      <c r="D358" s="220" t="s">
        <v>1853</v>
      </c>
    </row>
    <row r="359" spans="1:5">
      <c r="A359" s="225" t="s">
        <v>1878</v>
      </c>
      <c r="B359" s="227" t="s">
        <v>2180</v>
      </c>
      <c r="C359" s="228" t="s">
        <v>2176</v>
      </c>
      <c r="D359" s="220" t="s">
        <v>1853</v>
      </c>
    </row>
    <row r="360" spans="1:5">
      <c r="A360" s="225" t="s">
        <v>1878</v>
      </c>
      <c r="B360" s="227" t="s">
        <v>2180</v>
      </c>
      <c r="C360" s="228" t="s">
        <v>2177</v>
      </c>
      <c r="D360" s="220" t="s">
        <v>1853</v>
      </c>
    </row>
    <row r="361" spans="1:5">
      <c r="A361" s="225" t="s">
        <v>1878</v>
      </c>
      <c r="B361" s="227" t="s">
        <v>2181</v>
      </c>
      <c r="C361" s="228" t="s">
        <v>516</v>
      </c>
      <c r="D361" s="220" t="s">
        <v>1854</v>
      </c>
    </row>
    <row r="362" spans="1:5">
      <c r="A362" s="225" t="s">
        <v>1878</v>
      </c>
      <c r="B362" s="227" t="s">
        <v>2181</v>
      </c>
      <c r="C362" s="228" t="s">
        <v>2174</v>
      </c>
      <c r="D362" s="220" t="s">
        <v>1854</v>
      </c>
    </row>
    <row r="363" spans="1:5">
      <c r="A363" s="225" t="s">
        <v>1878</v>
      </c>
      <c r="B363" s="227" t="s">
        <v>2181</v>
      </c>
      <c r="C363" s="228" t="s">
        <v>2175</v>
      </c>
      <c r="D363" s="220" t="s">
        <v>1854</v>
      </c>
    </row>
    <row r="364" spans="1:5">
      <c r="A364" s="225" t="s">
        <v>1878</v>
      </c>
      <c r="B364" s="227" t="s">
        <v>2181</v>
      </c>
      <c r="C364" s="228" t="s">
        <v>2176</v>
      </c>
      <c r="D364" s="220" t="s">
        <v>1854</v>
      </c>
    </row>
    <row r="365" spans="1:5">
      <c r="A365" s="225" t="s">
        <v>1878</v>
      </c>
      <c r="B365" s="227" t="s">
        <v>2181</v>
      </c>
      <c r="C365" s="228" t="s">
        <v>2177</v>
      </c>
      <c r="D365" s="220" t="s">
        <v>1854</v>
      </c>
    </row>
    <row r="366" spans="1:5">
      <c r="A366" s="225" t="s">
        <v>1878</v>
      </c>
      <c r="B366" s="227" t="s">
        <v>2182</v>
      </c>
      <c r="C366" s="228" t="s">
        <v>516</v>
      </c>
      <c r="D366" s="220" t="s">
        <v>1855</v>
      </c>
    </row>
    <row r="367" spans="1:5">
      <c r="A367" s="225" t="s">
        <v>1878</v>
      </c>
      <c r="B367" s="227" t="s">
        <v>2182</v>
      </c>
      <c r="C367" s="228" t="s">
        <v>2174</v>
      </c>
      <c r="D367" s="220" t="s">
        <v>1855</v>
      </c>
    </row>
    <row r="368" spans="1:5">
      <c r="A368" s="225" t="s">
        <v>1878</v>
      </c>
      <c r="B368" s="227" t="s">
        <v>2182</v>
      </c>
      <c r="C368" s="228" t="s">
        <v>2175</v>
      </c>
      <c r="D368" s="220" t="s">
        <v>1855</v>
      </c>
    </row>
    <row r="369" spans="1:5">
      <c r="A369" s="225" t="s">
        <v>1878</v>
      </c>
      <c r="B369" s="227" t="s">
        <v>2182</v>
      </c>
      <c r="C369" s="228" t="s">
        <v>2176</v>
      </c>
      <c r="D369" s="220" t="s">
        <v>1855</v>
      </c>
    </row>
    <row r="370" spans="1:5">
      <c r="A370" s="225" t="s">
        <v>1878</v>
      </c>
      <c r="B370" s="227" t="s">
        <v>2182</v>
      </c>
      <c r="C370" s="228" t="s">
        <v>2177</v>
      </c>
      <c r="D370" s="220" t="s">
        <v>1855</v>
      </c>
    </row>
    <row r="371" spans="1:5">
      <c r="A371" s="225" t="s">
        <v>1878</v>
      </c>
      <c r="B371" s="227" t="s">
        <v>2183</v>
      </c>
      <c r="C371" s="228" t="s">
        <v>516</v>
      </c>
      <c r="D371" s="220" t="s">
        <v>2184</v>
      </c>
    </row>
    <row r="372" spans="1:5">
      <c r="A372" s="225" t="s">
        <v>1878</v>
      </c>
      <c r="B372" s="227" t="s">
        <v>2183</v>
      </c>
      <c r="C372" s="228" t="s">
        <v>2174</v>
      </c>
      <c r="D372" s="220" t="s">
        <v>2184</v>
      </c>
    </row>
    <row r="373" spans="1:5">
      <c r="A373" s="225" t="s">
        <v>1878</v>
      </c>
      <c r="B373" s="227" t="s">
        <v>2183</v>
      </c>
      <c r="C373" s="228" t="s">
        <v>2175</v>
      </c>
      <c r="D373" s="220" t="s">
        <v>2184</v>
      </c>
    </row>
    <row r="374" spans="1:5">
      <c r="A374" s="225" t="s">
        <v>1878</v>
      </c>
      <c r="B374" s="225" t="s">
        <v>2183</v>
      </c>
      <c r="C374" s="228" t="s">
        <v>2176</v>
      </c>
      <c r="D374" s="220" t="s">
        <v>2184</v>
      </c>
    </row>
    <row r="375" spans="1:5">
      <c r="A375" s="225" t="s">
        <v>1878</v>
      </c>
      <c r="B375" s="225" t="s">
        <v>2183</v>
      </c>
      <c r="C375" s="228" t="s">
        <v>2177</v>
      </c>
      <c r="D375" s="220" t="s">
        <v>2184</v>
      </c>
    </row>
    <row r="376" spans="1:5">
      <c r="A376" s="225" t="s">
        <v>1878</v>
      </c>
      <c r="B376" s="225" t="s">
        <v>2185</v>
      </c>
      <c r="C376" s="228" t="s">
        <v>516</v>
      </c>
      <c r="D376" s="220" t="s">
        <v>2186</v>
      </c>
    </row>
    <row r="377" spans="1:5">
      <c r="A377" s="225" t="s">
        <v>1878</v>
      </c>
      <c r="B377" s="225" t="s">
        <v>2185</v>
      </c>
      <c r="C377" s="228" t="s">
        <v>2174</v>
      </c>
      <c r="D377" s="220" t="s">
        <v>2186</v>
      </c>
    </row>
    <row r="378" spans="1:5">
      <c r="A378" s="225" t="s">
        <v>1878</v>
      </c>
      <c r="B378" s="225" t="s">
        <v>2185</v>
      </c>
      <c r="C378" s="228" t="s">
        <v>2175</v>
      </c>
      <c r="D378" s="220" t="s">
        <v>2186</v>
      </c>
    </row>
    <row r="379" spans="1:5">
      <c r="A379" s="225" t="s">
        <v>1878</v>
      </c>
      <c r="B379" s="225" t="s">
        <v>2185</v>
      </c>
      <c r="C379" s="228" t="s">
        <v>2176</v>
      </c>
      <c r="D379" s="220" t="s">
        <v>2186</v>
      </c>
    </row>
    <row r="380" spans="1:5">
      <c r="A380" s="225" t="s">
        <v>1878</v>
      </c>
      <c r="B380" s="225" t="s">
        <v>2185</v>
      </c>
      <c r="C380" s="228" t="s">
        <v>2177</v>
      </c>
      <c r="D380" s="220" t="s">
        <v>2186</v>
      </c>
    </row>
    <row r="381" spans="1:5">
      <c r="A381" s="225" t="s">
        <v>1878</v>
      </c>
      <c r="B381" s="225" t="s">
        <v>2187</v>
      </c>
      <c r="C381" s="228" t="s">
        <v>516</v>
      </c>
      <c r="D381" s="220" t="s">
        <v>691</v>
      </c>
    </row>
    <row r="382" spans="1:5">
      <c r="A382" s="225" t="s">
        <v>1878</v>
      </c>
      <c r="B382" s="225" t="s">
        <v>2187</v>
      </c>
      <c r="C382" s="228" t="s">
        <v>2174</v>
      </c>
      <c r="D382" s="220" t="s">
        <v>691</v>
      </c>
      <c r="E382">
        <f>'DS BUDACT ER'!AB69</f>
        <v>0</v>
      </c>
    </row>
    <row r="383" spans="1:5">
      <c r="A383" s="225" t="s">
        <v>1878</v>
      </c>
      <c r="B383" s="225" t="s">
        <v>2187</v>
      </c>
      <c r="C383" s="228" t="s">
        <v>2175</v>
      </c>
      <c r="D383" s="220" t="s">
        <v>691</v>
      </c>
      <c r="E383">
        <f>+'DS BUDACT ER'!AB77+'DS BUDACT ER'!AB66</f>
        <v>1424719</v>
      </c>
    </row>
    <row r="384" spans="1:5">
      <c r="A384" s="225" t="s">
        <v>1878</v>
      </c>
      <c r="B384" s="225" t="s">
        <v>2187</v>
      </c>
      <c r="C384" s="228" t="s">
        <v>2176</v>
      </c>
      <c r="D384" s="220" t="s">
        <v>691</v>
      </c>
      <c r="E384">
        <f>+'DS BUDACT ER'!AB78</f>
        <v>484491</v>
      </c>
    </row>
    <row r="385" spans="1:16">
      <c r="A385" s="225" t="s">
        <v>1878</v>
      </c>
      <c r="B385" s="225" t="s">
        <v>2187</v>
      </c>
      <c r="C385" s="228" t="s">
        <v>2177</v>
      </c>
      <c r="D385" s="220" t="s">
        <v>691</v>
      </c>
    </row>
    <row r="386" spans="1:16">
      <c r="A386" s="225" t="s">
        <v>1878</v>
      </c>
      <c r="B386" s="225" t="s">
        <v>2188</v>
      </c>
      <c r="C386" s="228" t="s">
        <v>516</v>
      </c>
      <c r="D386" s="220" t="s">
        <v>713</v>
      </c>
    </row>
    <row r="387" spans="1:16">
      <c r="A387" s="225" t="s">
        <v>1878</v>
      </c>
      <c r="B387" s="225" t="s">
        <v>2188</v>
      </c>
      <c r="C387" s="228" t="s">
        <v>2174</v>
      </c>
      <c r="D387" s="220" t="s">
        <v>713</v>
      </c>
    </row>
    <row r="388" spans="1:16">
      <c r="A388" s="225" t="s">
        <v>1878</v>
      </c>
      <c r="B388" s="225" t="s">
        <v>2188</v>
      </c>
      <c r="C388" s="228" t="s">
        <v>2175</v>
      </c>
      <c r="D388" s="220" t="s">
        <v>713</v>
      </c>
    </row>
    <row r="389" spans="1:16">
      <c r="A389" s="225" t="s">
        <v>1878</v>
      </c>
      <c r="B389" s="225" t="s">
        <v>2188</v>
      </c>
      <c r="C389" s="228" t="s">
        <v>2176</v>
      </c>
      <c r="D389" s="220" t="s">
        <v>713</v>
      </c>
    </row>
    <row r="390" spans="1:16">
      <c r="A390" s="225" t="s">
        <v>1878</v>
      </c>
      <c r="B390" s="225" t="s">
        <v>2188</v>
      </c>
      <c r="C390" s="228" t="s">
        <v>2177</v>
      </c>
      <c r="D390" s="220" t="s">
        <v>713</v>
      </c>
    </row>
    <row r="391" spans="1:16">
      <c r="A391" s="225" t="s">
        <v>1878</v>
      </c>
      <c r="B391" s="225" t="s">
        <v>2189</v>
      </c>
      <c r="C391" s="228" t="s">
        <v>516</v>
      </c>
      <c r="D391" s="220" t="s">
        <v>109</v>
      </c>
    </row>
    <row r="392" spans="1:16">
      <c r="A392" s="225" t="s">
        <v>1878</v>
      </c>
      <c r="B392" s="225" t="s">
        <v>2189</v>
      </c>
      <c r="C392" s="228" t="s">
        <v>2174</v>
      </c>
      <c r="D392" s="220" t="s">
        <v>109</v>
      </c>
    </row>
    <row r="393" spans="1:16">
      <c r="A393" s="225" t="s">
        <v>1878</v>
      </c>
      <c r="B393" s="225" t="s">
        <v>2189</v>
      </c>
      <c r="C393" s="228" t="s">
        <v>2175</v>
      </c>
      <c r="D393" s="220" t="s">
        <v>109</v>
      </c>
    </row>
    <row r="394" spans="1:16">
      <c r="A394" s="225" t="s">
        <v>1878</v>
      </c>
      <c r="B394" s="225" t="s">
        <v>2189</v>
      </c>
      <c r="C394" s="228" t="s">
        <v>2176</v>
      </c>
      <c r="D394" s="220" t="s">
        <v>109</v>
      </c>
    </row>
    <row r="395" spans="1:16">
      <c r="A395" s="225" t="s">
        <v>1878</v>
      </c>
      <c r="B395" s="225" t="s">
        <v>2189</v>
      </c>
      <c r="C395" s="228" t="s">
        <v>2177</v>
      </c>
      <c r="D395" s="220" t="s">
        <v>109</v>
      </c>
    </row>
    <row r="396" spans="1:16">
      <c r="A396" s="225" t="s">
        <v>1878</v>
      </c>
      <c r="B396" s="225" t="s">
        <v>2190</v>
      </c>
      <c r="C396" s="228" t="s">
        <v>516</v>
      </c>
      <c r="D396" s="220" t="s">
        <v>1872</v>
      </c>
    </row>
    <row r="397" spans="1:16">
      <c r="A397" s="225" t="s">
        <v>1878</v>
      </c>
      <c r="B397" s="225" t="s">
        <v>2190</v>
      </c>
      <c r="C397" s="228" t="s">
        <v>2174</v>
      </c>
      <c r="D397" s="220" t="s">
        <v>1872</v>
      </c>
    </row>
    <row r="398" spans="1:16">
      <c r="A398" s="225" t="s">
        <v>1878</v>
      </c>
      <c r="B398" s="225" t="s">
        <v>2190</v>
      </c>
      <c r="C398" s="228" t="s">
        <v>2175</v>
      </c>
      <c r="D398" s="220" t="s">
        <v>1872</v>
      </c>
    </row>
    <row r="399" spans="1:16">
      <c r="A399" s="225" t="s">
        <v>1878</v>
      </c>
      <c r="B399" s="225" t="s">
        <v>2190</v>
      </c>
      <c r="C399" s="228" t="s">
        <v>2176</v>
      </c>
      <c r="D399" s="220" t="s">
        <v>1872</v>
      </c>
    </row>
    <row r="400" spans="1:16" ht="13.5" thickBot="1">
      <c r="A400" s="225" t="s">
        <v>1878</v>
      </c>
      <c r="B400" s="225" t="s">
        <v>2190</v>
      </c>
      <c r="C400" s="228" t="s">
        <v>2177</v>
      </c>
      <c r="D400" s="220" t="s">
        <v>1872</v>
      </c>
      <c r="E400" s="190"/>
      <c r="F400" s="75"/>
      <c r="G400" s="193">
        <f>SUM(E341:E400)</f>
        <v>1917319</v>
      </c>
      <c r="H400" s="40">
        <f>+'Govt IS'!J37-'Govt IS'!J43+'COMBING IS'!F36-'COMBING IS'!F42</f>
        <v>1917319</v>
      </c>
      <c r="I400" s="201">
        <f>+H400-G400</f>
        <v>0</v>
      </c>
      <c r="J400" s="40"/>
      <c r="K400" s="194" t="s">
        <v>1889</v>
      </c>
      <c r="M400">
        <f>+G339-G400</f>
        <v>52311</v>
      </c>
      <c r="N400">
        <f>+INPUT!BP61</f>
        <v>52311</v>
      </c>
      <c r="O400" s="143">
        <f>+N400-M400</f>
        <v>0</v>
      </c>
      <c r="P400" s="143" t="s">
        <v>1894</v>
      </c>
    </row>
    <row r="401" spans="1:16">
      <c r="A401" s="1334"/>
      <c r="B401" s="1335"/>
      <c r="C401" s="1335"/>
      <c r="D401" s="1335"/>
      <c r="I401" s="143"/>
      <c r="K401" s="21"/>
      <c r="O401" s="143"/>
      <c r="P401" s="143"/>
    </row>
    <row r="402" spans="1:16" ht="15.75">
      <c r="A402" s="1336" t="s">
        <v>2203</v>
      </c>
      <c r="B402" s="1337"/>
      <c r="C402" s="1337"/>
      <c r="D402" s="1337"/>
      <c r="I402" s="143"/>
      <c r="K402" s="21"/>
      <c r="O402" s="143"/>
      <c r="P402" s="143"/>
    </row>
    <row r="403" spans="1:16">
      <c r="A403" s="1338" t="s">
        <v>2204</v>
      </c>
      <c r="B403" s="1339"/>
      <c r="C403" s="1339"/>
      <c r="D403" s="1339"/>
      <c r="I403" s="143"/>
      <c r="K403" s="21"/>
      <c r="O403" s="143"/>
      <c r="P403" s="143"/>
    </row>
    <row r="404" spans="1:16">
      <c r="A404" s="225" t="s">
        <v>1879</v>
      </c>
      <c r="B404" s="222" t="s">
        <v>2074</v>
      </c>
      <c r="C404" s="220"/>
      <c r="D404" s="224" t="s">
        <v>1873</v>
      </c>
      <c r="E404">
        <f>+INPUT!BY85+INPUT!BY86</f>
        <v>19287993</v>
      </c>
      <c r="P404" s="156" t="s">
        <v>1896</v>
      </c>
    </row>
    <row r="405" spans="1:16">
      <c r="A405" s="225" t="s">
        <v>1879</v>
      </c>
      <c r="B405" s="226" t="s">
        <v>2075</v>
      </c>
      <c r="C405" s="220"/>
      <c r="D405" s="220" t="s">
        <v>2076</v>
      </c>
    </row>
    <row r="406" spans="1:16">
      <c r="A406" s="225" t="s">
        <v>1879</v>
      </c>
      <c r="B406" s="227" t="s">
        <v>2077</v>
      </c>
      <c r="C406" s="220"/>
      <c r="D406" s="220" t="s">
        <v>1823</v>
      </c>
      <c r="E406">
        <f>+INPUT!BY89</f>
        <v>0</v>
      </c>
    </row>
    <row r="407" spans="1:16">
      <c r="A407" s="225" t="s">
        <v>1879</v>
      </c>
      <c r="B407" s="227" t="s">
        <v>2078</v>
      </c>
      <c r="C407" s="220"/>
      <c r="D407" s="220" t="s">
        <v>1824</v>
      </c>
      <c r="E407">
        <f>+INPUT!BY93+INPUT!BY103</f>
        <v>1123725</v>
      </c>
    </row>
    <row r="408" spans="1:16">
      <c r="A408" s="225" t="s">
        <v>1879</v>
      </c>
      <c r="B408" s="227" t="s">
        <v>2079</v>
      </c>
      <c r="C408" s="220"/>
      <c r="D408" s="220" t="s">
        <v>1825</v>
      </c>
    </row>
    <row r="409" spans="1:16">
      <c r="A409" s="225" t="s">
        <v>1879</v>
      </c>
      <c r="B409" s="227" t="s">
        <v>2080</v>
      </c>
      <c r="C409" s="220"/>
      <c r="D409" s="220" t="s">
        <v>1826</v>
      </c>
    </row>
    <row r="410" spans="1:16">
      <c r="A410" s="225" t="s">
        <v>1879</v>
      </c>
      <c r="B410" s="227" t="s">
        <v>2081</v>
      </c>
      <c r="C410" s="220"/>
      <c r="D410" s="220" t="s">
        <v>1827</v>
      </c>
    </row>
    <row r="411" spans="1:16">
      <c r="A411" s="225" t="s">
        <v>1879</v>
      </c>
      <c r="B411" s="227" t="s">
        <v>2082</v>
      </c>
      <c r="C411" s="220"/>
      <c r="D411" s="220" t="s">
        <v>1828</v>
      </c>
      <c r="G411">
        <f>SUM(E404:E411)</f>
        <v>20411718</v>
      </c>
      <c r="H411">
        <f>+'Govt BS'!N39+'CP BS'!L37+'CP BS'!J37</f>
        <v>20411718</v>
      </c>
      <c r="I411">
        <f>+H411-G411</f>
        <v>0</v>
      </c>
    </row>
    <row r="412" spans="1:16">
      <c r="A412" s="225" t="s">
        <v>1879</v>
      </c>
      <c r="B412" s="227" t="s">
        <v>2083</v>
      </c>
      <c r="C412" s="220"/>
      <c r="D412" s="220" t="s">
        <v>1829</v>
      </c>
    </row>
    <row r="413" spans="1:16">
      <c r="A413" s="1338" t="s">
        <v>2205</v>
      </c>
      <c r="B413" s="1339"/>
      <c r="C413" s="1339"/>
      <c r="D413" s="1339"/>
    </row>
    <row r="414" spans="1:16">
      <c r="A414" s="225" t="s">
        <v>1879</v>
      </c>
      <c r="B414" s="225" t="s">
        <v>2085</v>
      </c>
      <c r="C414" s="220"/>
      <c r="D414" s="220" t="s">
        <v>2086</v>
      </c>
      <c r="E414">
        <f>+INPUT!BY132</f>
        <v>163146</v>
      </c>
    </row>
    <row r="415" spans="1:16">
      <c r="A415" s="225" t="s">
        <v>1879</v>
      </c>
      <c r="B415" s="225" t="s">
        <v>2087</v>
      </c>
      <c r="C415" s="220"/>
      <c r="D415" s="220" t="s">
        <v>1831</v>
      </c>
      <c r="E415">
        <f>+INPUT!BY135</f>
        <v>24383</v>
      </c>
    </row>
    <row r="416" spans="1:16">
      <c r="A416" s="225" t="s">
        <v>1879</v>
      </c>
      <c r="B416" s="225" t="s">
        <v>2088</v>
      </c>
      <c r="C416" s="220"/>
      <c r="D416" s="220" t="s">
        <v>1832</v>
      </c>
    </row>
    <row r="417" spans="1:15">
      <c r="A417" s="225" t="s">
        <v>1879</v>
      </c>
      <c r="B417" s="225" t="s">
        <v>2089</v>
      </c>
      <c r="C417" s="220"/>
      <c r="D417" s="220" t="s">
        <v>1833</v>
      </c>
      <c r="G417">
        <f>SUM(E414:E417)</f>
        <v>187529</v>
      </c>
      <c r="H417">
        <f>+'Govt BS'!N90+'Govt BS'!N93+'CP BS'!L63+'CP BS'!L66+'CP BS'!J63+'CP BS'!N44</f>
        <v>187529</v>
      </c>
      <c r="I417">
        <f>+H417-G417</f>
        <v>0</v>
      </c>
    </row>
    <row r="418" spans="1:15">
      <c r="A418" s="1338" t="s">
        <v>2206</v>
      </c>
      <c r="B418" s="1339"/>
      <c r="C418" s="1339"/>
      <c r="D418" s="1339"/>
    </row>
    <row r="419" spans="1:15">
      <c r="A419" s="225" t="s">
        <v>1879</v>
      </c>
      <c r="B419" s="225" t="s">
        <v>2091</v>
      </c>
      <c r="C419" s="220"/>
      <c r="D419" s="220" t="s">
        <v>1834</v>
      </c>
      <c r="E419">
        <f>+INPUT!BY189</f>
        <v>-111170</v>
      </c>
    </row>
    <row r="420" spans="1:15">
      <c r="A420" s="225" t="s">
        <v>1879</v>
      </c>
      <c r="B420" s="225" t="s">
        <v>2092</v>
      </c>
      <c r="C420" s="220"/>
      <c r="D420" s="220" t="s">
        <v>2093</v>
      </c>
      <c r="E420">
        <f>+INPUT!BY191</f>
        <v>20359742</v>
      </c>
    </row>
    <row r="421" spans="1:15">
      <c r="A421" s="225" t="s">
        <v>1879</v>
      </c>
      <c r="B421" s="225" t="s">
        <v>2094</v>
      </c>
      <c r="C421" s="220"/>
      <c r="D421" s="220" t="s">
        <v>1835</v>
      </c>
      <c r="E421" s="196">
        <f>+INPUT!BY193</f>
        <v>-24383</v>
      </c>
      <c r="F421" s="38"/>
      <c r="G421" s="38">
        <f>SUM(E419:E421)</f>
        <v>20224189</v>
      </c>
      <c r="H421" s="38">
        <f>+'Govt BS'!N121+'CP BS'!N80</f>
        <v>20224189</v>
      </c>
      <c r="I421" s="38">
        <f>+H421-G421</f>
        <v>0</v>
      </c>
      <c r="J421" s="38"/>
      <c r="K421" s="197">
        <f>+G411-G417-G421</f>
        <v>0</v>
      </c>
      <c r="L421" s="143" t="s">
        <v>1887</v>
      </c>
    </row>
    <row r="422" spans="1:15">
      <c r="A422" s="225" t="s">
        <v>1879</v>
      </c>
      <c r="B422" s="225" t="s">
        <v>2095</v>
      </c>
      <c r="C422" s="220"/>
      <c r="D422" s="220" t="s">
        <v>2096</v>
      </c>
      <c r="L422" s="156" t="s">
        <v>1896</v>
      </c>
      <c r="N422" s="191" t="s">
        <v>1885</v>
      </c>
      <c r="O422" s="191" t="s">
        <v>1886</v>
      </c>
    </row>
    <row r="423" spans="1:15">
      <c r="A423" s="1338" t="s">
        <v>2207</v>
      </c>
      <c r="B423" s="1339"/>
      <c r="C423" s="1339"/>
      <c r="D423" s="1339"/>
      <c r="L423" s="156"/>
      <c r="N423" s="191"/>
      <c r="O423" s="191"/>
    </row>
    <row r="424" spans="1:15">
      <c r="A424" s="225" t="s">
        <v>1879</v>
      </c>
      <c r="B424" s="225" t="s">
        <v>2098</v>
      </c>
      <c r="C424" s="220"/>
      <c r="D424" s="220" t="s">
        <v>2099</v>
      </c>
    </row>
    <row r="425" spans="1:15">
      <c r="A425" s="225" t="s">
        <v>1879</v>
      </c>
      <c r="B425" s="225" t="s">
        <v>2100</v>
      </c>
      <c r="C425" s="220"/>
      <c r="D425" s="220" t="s">
        <v>2101</v>
      </c>
    </row>
    <row r="426" spans="1:15">
      <c r="A426" s="225" t="s">
        <v>1879</v>
      </c>
      <c r="B426" s="225" t="s">
        <v>2102</v>
      </c>
      <c r="C426" s="220"/>
      <c r="D426" s="220" t="s">
        <v>1837</v>
      </c>
    </row>
    <row r="427" spans="1:15">
      <c r="A427" s="225" t="s">
        <v>1879</v>
      </c>
      <c r="B427" s="225" t="s">
        <v>2103</v>
      </c>
      <c r="C427" s="220"/>
      <c r="D427" s="220" t="s">
        <v>2104</v>
      </c>
    </row>
    <row r="428" spans="1:15">
      <c r="A428" s="225" t="s">
        <v>1879</v>
      </c>
      <c r="B428" s="225" t="s">
        <v>2105</v>
      </c>
      <c r="C428" s="220"/>
      <c r="D428" s="220" t="s">
        <v>1838</v>
      </c>
    </row>
    <row r="429" spans="1:15">
      <c r="A429" s="225" t="s">
        <v>1879</v>
      </c>
      <c r="B429" s="225" t="s">
        <v>2106</v>
      </c>
      <c r="C429" s="220"/>
      <c r="D429" s="220" t="s">
        <v>1839</v>
      </c>
      <c r="G429">
        <f>SUM(E424:E429)</f>
        <v>0</v>
      </c>
      <c r="H429">
        <f>+INPUT!BY10</f>
        <v>0</v>
      </c>
      <c r="I429">
        <f>+H429-G429</f>
        <v>0</v>
      </c>
    </row>
    <row r="430" spans="1:15">
      <c r="A430" s="225" t="s">
        <v>1879</v>
      </c>
      <c r="B430" s="225" t="s">
        <v>2107</v>
      </c>
      <c r="C430" s="220"/>
      <c r="D430" s="220" t="s">
        <v>2108</v>
      </c>
    </row>
    <row r="431" spans="1:15">
      <c r="A431" s="225" t="s">
        <v>1879</v>
      </c>
      <c r="B431" s="225" t="s">
        <v>2109</v>
      </c>
      <c r="C431" s="220"/>
      <c r="D431" s="220" t="s">
        <v>1841</v>
      </c>
    </row>
    <row r="432" spans="1:15">
      <c r="A432" s="225" t="s">
        <v>1879</v>
      </c>
      <c r="B432" s="225" t="s">
        <v>2110</v>
      </c>
      <c r="C432" s="220"/>
      <c r="D432" s="220" t="s">
        <v>2111</v>
      </c>
      <c r="G432">
        <f>SUM(E430:E432)</f>
        <v>0</v>
      </c>
      <c r="H432">
        <f>+INPUT!BY11</f>
        <v>0</v>
      </c>
      <c r="I432">
        <f>+H432-G432</f>
        <v>0</v>
      </c>
    </row>
    <row r="433" spans="1:12">
      <c r="A433" s="225" t="s">
        <v>1879</v>
      </c>
      <c r="B433" s="225" t="s">
        <v>2112</v>
      </c>
      <c r="C433" s="220"/>
      <c r="D433" s="220" t="s">
        <v>1843</v>
      </c>
      <c r="E433">
        <f>+'CP BUDACT ER'!W28-INPUT!BY225+INPUT!BY285</f>
        <v>0</v>
      </c>
    </row>
    <row r="434" spans="1:12">
      <c r="A434" s="225" t="s">
        <v>1879</v>
      </c>
      <c r="B434" s="225" t="s">
        <v>2113</v>
      </c>
      <c r="C434" s="220"/>
      <c r="D434" s="220" t="s">
        <v>1844</v>
      </c>
    </row>
    <row r="435" spans="1:12">
      <c r="A435" s="225" t="s">
        <v>1879</v>
      </c>
      <c r="B435" s="225" t="s">
        <v>2114</v>
      </c>
      <c r="C435" s="220"/>
      <c r="D435" s="220" t="s">
        <v>2115</v>
      </c>
    </row>
    <row r="436" spans="1:12">
      <c r="A436" s="225" t="s">
        <v>1879</v>
      </c>
      <c r="B436" s="225" t="s">
        <v>2116</v>
      </c>
      <c r="C436" s="220"/>
      <c r="D436" s="220" t="s">
        <v>1846</v>
      </c>
      <c r="E436">
        <f>+'CP BUDACT ER'!W35</f>
        <v>13259</v>
      </c>
      <c r="L436" s="21"/>
    </row>
    <row r="437" spans="1:12">
      <c r="A437" s="225" t="s">
        <v>1879</v>
      </c>
      <c r="B437" s="225" t="s">
        <v>2117</v>
      </c>
      <c r="C437" s="220"/>
      <c r="D437" s="220" t="s">
        <v>2118</v>
      </c>
      <c r="L437" s="21" t="s">
        <v>1897</v>
      </c>
    </row>
    <row r="438" spans="1:12">
      <c r="A438" s="225" t="s">
        <v>1879</v>
      </c>
      <c r="B438" s="225" t="s">
        <v>2119</v>
      </c>
      <c r="C438" s="220"/>
      <c r="D438" s="220" t="s">
        <v>1848</v>
      </c>
      <c r="E438">
        <f>+'CP BUDACT ER'!W39</f>
        <v>0</v>
      </c>
    </row>
    <row r="439" spans="1:12">
      <c r="A439" s="225" t="s">
        <v>1879</v>
      </c>
      <c r="B439" s="225" t="s">
        <v>2120</v>
      </c>
      <c r="C439" s="220"/>
      <c r="D439" s="220" t="s">
        <v>1849</v>
      </c>
      <c r="E439">
        <f>+'CP BUDACT ER'!W40</f>
        <v>0</v>
      </c>
    </row>
    <row r="440" spans="1:12">
      <c r="A440" s="225" t="s">
        <v>1879</v>
      </c>
      <c r="B440" s="225" t="s">
        <v>2121</v>
      </c>
      <c r="C440" s="220"/>
      <c r="D440" s="220" t="s">
        <v>1850</v>
      </c>
    </row>
    <row r="441" spans="1:12">
      <c r="A441" s="225" t="s">
        <v>1879</v>
      </c>
      <c r="B441" s="225" t="s">
        <v>2122</v>
      </c>
      <c r="C441" s="220"/>
      <c r="D441" s="220" t="s">
        <v>2123</v>
      </c>
      <c r="G441">
        <f>SUM(E433:E441)</f>
        <v>13259</v>
      </c>
      <c r="H441">
        <f>+'Govt IS'!N18+'CP IS'!L17</f>
        <v>13259</v>
      </c>
      <c r="I441">
        <f>+H441-G441</f>
        <v>0</v>
      </c>
      <c r="K441" s="191"/>
      <c r="L441" s="191"/>
    </row>
    <row r="442" spans="1:12">
      <c r="A442" s="225" t="s">
        <v>1879</v>
      </c>
      <c r="B442" s="225" t="s">
        <v>2124</v>
      </c>
      <c r="C442" s="220"/>
      <c r="D442" s="220" t="s">
        <v>2125</v>
      </c>
    </row>
    <row r="443" spans="1:12">
      <c r="A443" s="225" t="s">
        <v>1879</v>
      </c>
      <c r="B443" s="225" t="s">
        <v>2126</v>
      </c>
      <c r="C443" s="220"/>
      <c r="D443" s="220" t="s">
        <v>2127</v>
      </c>
    </row>
    <row r="444" spans="1:12">
      <c r="A444" s="225" t="s">
        <v>1879</v>
      </c>
      <c r="B444" s="225" t="s">
        <v>2128</v>
      </c>
      <c r="C444" s="220"/>
      <c r="D444" s="220" t="s">
        <v>2129</v>
      </c>
    </row>
    <row r="445" spans="1:12">
      <c r="A445" s="225" t="s">
        <v>1879</v>
      </c>
      <c r="B445" s="225" t="s">
        <v>2130</v>
      </c>
      <c r="C445" s="220"/>
      <c r="D445" s="220" t="s">
        <v>2131</v>
      </c>
    </row>
    <row r="446" spans="1:12">
      <c r="A446" s="225" t="s">
        <v>1879</v>
      </c>
      <c r="B446" s="225" t="s">
        <v>2132</v>
      </c>
      <c r="C446" s="220"/>
      <c r="D446" s="220" t="s">
        <v>1854</v>
      </c>
    </row>
    <row r="447" spans="1:12">
      <c r="A447" s="225" t="s">
        <v>1879</v>
      </c>
      <c r="B447" s="225" t="s">
        <v>2133</v>
      </c>
      <c r="C447" s="220"/>
      <c r="D447" s="220" t="s">
        <v>2134</v>
      </c>
    </row>
    <row r="448" spans="1:12">
      <c r="A448" s="225" t="s">
        <v>1879</v>
      </c>
      <c r="B448" s="225" t="s">
        <v>2135</v>
      </c>
      <c r="C448" s="220"/>
      <c r="D448" s="220" t="s">
        <v>2136</v>
      </c>
    </row>
    <row r="449" spans="1:12">
      <c r="A449" s="225" t="s">
        <v>1879</v>
      </c>
      <c r="B449" s="225" t="s">
        <v>2137</v>
      </c>
      <c r="C449" s="220"/>
      <c r="D449" s="220" t="s">
        <v>1857</v>
      </c>
    </row>
    <row r="450" spans="1:12">
      <c r="A450" s="225" t="s">
        <v>1879</v>
      </c>
      <c r="B450" s="225" t="s">
        <v>2138</v>
      </c>
      <c r="C450" s="220"/>
      <c r="D450" s="220" t="s">
        <v>1858</v>
      </c>
      <c r="E450">
        <f>+INPUT!BY15</f>
        <v>86450</v>
      </c>
      <c r="J450" s="191"/>
      <c r="K450" s="191"/>
      <c r="L450" s="191"/>
    </row>
    <row r="451" spans="1:12">
      <c r="A451" s="225" t="s">
        <v>1879</v>
      </c>
      <c r="B451" s="225" t="s">
        <v>2139</v>
      </c>
      <c r="C451" s="220"/>
      <c r="D451" s="220" t="s">
        <v>1859</v>
      </c>
      <c r="I451" s="143"/>
    </row>
    <row r="452" spans="1:12">
      <c r="A452" s="225" t="s">
        <v>1879</v>
      </c>
      <c r="B452" s="225" t="s">
        <v>2140</v>
      </c>
      <c r="C452" s="220"/>
      <c r="D452" s="220" t="s">
        <v>1860</v>
      </c>
      <c r="I452" s="143"/>
    </row>
    <row r="453" spans="1:12">
      <c r="A453" s="225" t="s">
        <v>1879</v>
      </c>
      <c r="B453" s="225" t="s">
        <v>2141</v>
      </c>
      <c r="C453" s="220"/>
      <c r="D453" s="220" t="s">
        <v>2142</v>
      </c>
    </row>
    <row r="454" spans="1:12">
      <c r="A454" s="225" t="s">
        <v>1879</v>
      </c>
      <c r="B454" s="225" t="s">
        <v>2143</v>
      </c>
      <c r="C454" s="220"/>
      <c r="D454" s="220" t="s">
        <v>1862</v>
      </c>
    </row>
    <row r="455" spans="1:12">
      <c r="A455" s="225" t="s">
        <v>1879</v>
      </c>
      <c r="B455" s="225" t="s">
        <v>2144</v>
      </c>
      <c r="C455" s="220"/>
      <c r="D455" s="220" t="s">
        <v>1863</v>
      </c>
    </row>
    <row r="456" spans="1:12">
      <c r="A456" s="225" t="s">
        <v>1879</v>
      </c>
      <c r="B456" s="225" t="s">
        <v>2145</v>
      </c>
      <c r="C456" s="220"/>
      <c r="D456" s="220" t="s">
        <v>1864</v>
      </c>
      <c r="E456">
        <f>+INPUT!BY16</f>
        <v>556379</v>
      </c>
    </row>
    <row r="457" spans="1:12">
      <c r="A457" s="225" t="s">
        <v>1879</v>
      </c>
      <c r="B457" s="225" t="s">
        <v>2146</v>
      </c>
      <c r="C457" s="220"/>
      <c r="D457" s="220" t="s">
        <v>1865</v>
      </c>
    </row>
    <row r="458" spans="1:12">
      <c r="A458" s="225" t="s">
        <v>1879</v>
      </c>
      <c r="B458" s="225" t="s">
        <v>2147</v>
      </c>
      <c r="C458" s="220"/>
      <c r="D458" s="220" t="s">
        <v>1866</v>
      </c>
    </row>
    <row r="459" spans="1:12">
      <c r="A459" s="225" t="s">
        <v>1879</v>
      </c>
      <c r="B459" s="225" t="s">
        <v>2148</v>
      </c>
      <c r="C459" s="220"/>
      <c r="D459" s="220" t="s">
        <v>2149</v>
      </c>
      <c r="E459">
        <f>+INPUT!BY50</f>
        <v>151522</v>
      </c>
    </row>
    <row r="460" spans="1:12">
      <c r="A460" s="225" t="s">
        <v>1879</v>
      </c>
      <c r="B460" s="225" t="s">
        <v>2150</v>
      </c>
      <c r="C460" s="220"/>
      <c r="D460" s="220" t="s">
        <v>2151</v>
      </c>
      <c r="E460">
        <f>+INPUT!BY54</f>
        <v>0</v>
      </c>
    </row>
    <row r="461" spans="1:12">
      <c r="A461" s="225" t="s">
        <v>1879</v>
      </c>
      <c r="B461" s="225" t="s">
        <v>2152</v>
      </c>
      <c r="C461" s="220"/>
      <c r="D461" s="220" t="s">
        <v>1869</v>
      </c>
      <c r="E461">
        <f>+INPUT!BY46</f>
        <v>5649607</v>
      </c>
    </row>
    <row r="462" spans="1:12">
      <c r="A462" s="225" t="s">
        <v>1879</v>
      </c>
      <c r="B462" s="225" t="s">
        <v>2153</v>
      </c>
      <c r="C462" s="220"/>
      <c r="D462" s="220" t="s">
        <v>2154</v>
      </c>
    </row>
    <row r="463" spans="1:12">
      <c r="A463" s="225" t="s">
        <v>1879</v>
      </c>
      <c r="B463" s="225" t="s">
        <v>2155</v>
      </c>
      <c r="C463" s="220"/>
      <c r="D463" s="220" t="s">
        <v>2156</v>
      </c>
    </row>
    <row r="464" spans="1:12">
      <c r="A464" s="225" t="s">
        <v>1879</v>
      </c>
      <c r="B464" s="225" t="s">
        <v>2157</v>
      </c>
      <c r="C464" s="220"/>
      <c r="D464" s="220" t="s">
        <v>2158</v>
      </c>
    </row>
    <row r="465" spans="1:13">
      <c r="A465" s="225" t="s">
        <v>1879</v>
      </c>
      <c r="B465" s="225" t="s">
        <v>2159</v>
      </c>
      <c r="C465" s="220"/>
      <c r="D465" s="220" t="s">
        <v>2160</v>
      </c>
    </row>
    <row r="466" spans="1:13">
      <c r="A466" s="225" t="s">
        <v>1879</v>
      </c>
      <c r="B466" s="225" t="s">
        <v>2161</v>
      </c>
      <c r="C466" s="220"/>
      <c r="D466" s="220" t="s">
        <v>2162</v>
      </c>
    </row>
    <row r="467" spans="1:13">
      <c r="A467" s="225" t="s">
        <v>1879</v>
      </c>
      <c r="B467" s="225" t="s">
        <v>2163</v>
      </c>
      <c r="C467" s="220"/>
      <c r="D467" s="220" t="s">
        <v>2164</v>
      </c>
    </row>
    <row r="468" spans="1:13">
      <c r="A468" s="225" t="s">
        <v>1879</v>
      </c>
      <c r="B468" s="225" t="s">
        <v>2165</v>
      </c>
      <c r="C468" s="220"/>
      <c r="D468" s="220" t="s">
        <v>2166</v>
      </c>
    </row>
    <row r="469" spans="1:13">
      <c r="A469" s="225" t="s">
        <v>1879</v>
      </c>
      <c r="B469" s="225" t="s">
        <v>2167</v>
      </c>
      <c r="C469" s="220"/>
      <c r="D469" s="220" t="s">
        <v>2168</v>
      </c>
    </row>
    <row r="470" spans="1:13">
      <c r="A470" s="225" t="s">
        <v>1879</v>
      </c>
      <c r="B470" s="225" t="s">
        <v>2169</v>
      </c>
      <c r="C470" s="220"/>
      <c r="D470" s="220" t="s">
        <v>2170</v>
      </c>
      <c r="G470" s="193">
        <f>SUM(E424:E470)</f>
        <v>6457217</v>
      </c>
      <c r="H470" s="40">
        <f>+'Govt IS'!N24+'COMBING IS'!H23+'Govt IS'!N42+'COMBING IS'!H41+'COMBING IS'!H45</f>
        <v>6457217</v>
      </c>
      <c r="I470" s="201">
        <f>+H470-G470</f>
        <v>0</v>
      </c>
      <c r="J470" s="194" t="s">
        <v>1898</v>
      </c>
      <c r="K470" s="195"/>
    </row>
    <row r="471" spans="1:13">
      <c r="A471" s="1338" t="s">
        <v>2208</v>
      </c>
      <c r="B471" s="1339"/>
      <c r="C471" s="1339"/>
      <c r="D471" s="1339"/>
      <c r="I471" s="143"/>
      <c r="J471" s="21"/>
    </row>
    <row r="472" spans="1:13">
      <c r="A472" s="225" t="s">
        <v>1879</v>
      </c>
      <c r="B472" s="227" t="s">
        <v>2172</v>
      </c>
      <c r="C472" s="228" t="s">
        <v>516</v>
      </c>
      <c r="D472" s="220" t="s">
        <v>2173</v>
      </c>
      <c r="J472" s="156" t="s">
        <v>1896</v>
      </c>
    </row>
    <row r="473" spans="1:13">
      <c r="A473" s="225" t="s">
        <v>1879</v>
      </c>
      <c r="B473" s="227" t="s">
        <v>2172</v>
      </c>
      <c r="C473" s="228" t="s">
        <v>2174</v>
      </c>
      <c r="D473" s="220" t="s">
        <v>2173</v>
      </c>
      <c r="E473">
        <f>+INPUT!BY22+L482+I482</f>
        <v>328652</v>
      </c>
    </row>
    <row r="474" spans="1:13">
      <c r="A474" s="225" t="s">
        <v>1879</v>
      </c>
      <c r="B474" s="227" t="s">
        <v>2172</v>
      </c>
      <c r="C474" s="228" t="s">
        <v>2175</v>
      </c>
      <c r="D474" s="220" t="s">
        <v>1870</v>
      </c>
    </row>
    <row r="475" spans="1:13">
      <c r="A475" s="225" t="s">
        <v>1879</v>
      </c>
      <c r="B475" s="227" t="s">
        <v>2172</v>
      </c>
      <c r="C475" s="228" t="s">
        <v>2176</v>
      </c>
      <c r="D475" s="220" t="s">
        <v>1870</v>
      </c>
      <c r="G475" s="203"/>
    </row>
    <row r="476" spans="1:13">
      <c r="A476" s="225" t="s">
        <v>1879</v>
      </c>
      <c r="B476" s="227" t="s">
        <v>2172</v>
      </c>
      <c r="C476" s="228" t="s">
        <v>2177</v>
      </c>
      <c r="D476" s="220" t="s">
        <v>1870</v>
      </c>
      <c r="E476">
        <f>71356+609327-54808</f>
        <v>625875</v>
      </c>
      <c r="G476" s="202" t="s">
        <v>2353</v>
      </c>
    </row>
    <row r="477" spans="1:13">
      <c r="A477" s="225" t="s">
        <v>1879</v>
      </c>
      <c r="B477" s="227" t="s">
        <v>2178</v>
      </c>
      <c r="C477" s="228" t="s">
        <v>516</v>
      </c>
      <c r="D477" s="220" t="s">
        <v>683</v>
      </c>
      <c r="G477">
        <f>+E476+E481+E486+E491</f>
        <v>2216404</v>
      </c>
    </row>
    <row r="478" spans="1:13">
      <c r="A478" s="225" t="s">
        <v>1879</v>
      </c>
      <c r="B478" s="227" t="s">
        <v>2178</v>
      </c>
      <c r="C478" s="228" t="s">
        <v>2174</v>
      </c>
      <c r="D478" s="220" t="s">
        <v>683</v>
      </c>
      <c r="E478">
        <f>+INPUT!BY23+J482</f>
        <v>251025</v>
      </c>
      <c r="L478" s="70" t="s">
        <v>1538</v>
      </c>
    </row>
    <row r="479" spans="1:13">
      <c r="A479" s="225" t="s">
        <v>1879</v>
      </c>
      <c r="B479" s="227" t="s">
        <v>2178</v>
      </c>
      <c r="C479" s="228" t="s">
        <v>2175</v>
      </c>
      <c r="D479" s="220" t="s">
        <v>683</v>
      </c>
      <c r="H479" s="21" t="s">
        <v>1900</v>
      </c>
      <c r="I479" s="37" t="s">
        <v>1538</v>
      </c>
      <c r="J479" s="37" t="s">
        <v>1535</v>
      </c>
      <c r="K479" s="37" t="s">
        <v>1536</v>
      </c>
      <c r="L479" s="37" t="s">
        <v>1901</v>
      </c>
    </row>
    <row r="480" spans="1:13">
      <c r="A480" s="225" t="s">
        <v>1879</v>
      </c>
      <c r="B480" s="227" t="s">
        <v>2178</v>
      </c>
      <c r="C480" s="228" t="s">
        <v>2176</v>
      </c>
      <c r="D480" s="220" t="s">
        <v>683</v>
      </c>
      <c r="H480" s="21" t="s">
        <v>1902</v>
      </c>
      <c r="I480" s="218">
        <v>0</v>
      </c>
      <c r="J480" s="218"/>
      <c r="K480" s="218"/>
      <c r="L480" s="218"/>
      <c r="M480" s="218">
        <f>SUM(I480:L480)</f>
        <v>0</v>
      </c>
    </row>
    <row r="481" spans="1:13">
      <c r="A481" s="225" t="s">
        <v>1879</v>
      </c>
      <c r="B481" s="227" t="s">
        <v>2178</v>
      </c>
      <c r="C481" s="228" t="s">
        <v>2177</v>
      </c>
      <c r="D481" s="220" t="s">
        <v>683</v>
      </c>
      <c r="E481">
        <v>98168</v>
      </c>
      <c r="H481" s="21" t="s">
        <v>2067</v>
      </c>
      <c r="I481" s="218">
        <v>0</v>
      </c>
      <c r="J481" s="218"/>
      <c r="K481" s="218"/>
      <c r="L481" s="218"/>
      <c r="M481" s="218">
        <f>SUM(I481:L481)</f>
        <v>0</v>
      </c>
    </row>
    <row r="482" spans="1:13">
      <c r="A482" s="225" t="s">
        <v>1879</v>
      </c>
      <c r="B482" s="227" t="s">
        <v>2179</v>
      </c>
      <c r="C482" s="228" t="s">
        <v>516</v>
      </c>
      <c r="D482" s="220" t="s">
        <v>777</v>
      </c>
      <c r="I482" s="126">
        <f>SUM(I480:I481)</f>
        <v>0</v>
      </c>
      <c r="J482" s="126">
        <f>SUM(J480:J481)</f>
        <v>0</v>
      </c>
      <c r="K482" s="126">
        <f>SUM(K480:K481)</f>
        <v>0</v>
      </c>
      <c r="L482" s="126">
        <f>SUM(L480:L481)</f>
        <v>0</v>
      </c>
      <c r="M482" s="126">
        <f>SUM(M480:M481)</f>
        <v>0</v>
      </c>
    </row>
    <row r="483" spans="1:13">
      <c r="A483" s="225" t="s">
        <v>1879</v>
      </c>
      <c r="B483" s="227" t="s">
        <v>2179</v>
      </c>
      <c r="C483" s="228" t="s">
        <v>2174</v>
      </c>
      <c r="D483" s="220" t="s">
        <v>777</v>
      </c>
      <c r="E483">
        <f>+INPUT!BY24+K482</f>
        <v>513232</v>
      </c>
    </row>
    <row r="484" spans="1:13">
      <c r="A484" s="225" t="s">
        <v>1879</v>
      </c>
      <c r="B484" s="227" t="s">
        <v>2179</v>
      </c>
      <c r="C484" s="228" t="s">
        <v>2175</v>
      </c>
      <c r="D484" s="220" t="s">
        <v>777</v>
      </c>
    </row>
    <row r="485" spans="1:13">
      <c r="A485" s="225" t="s">
        <v>1879</v>
      </c>
      <c r="B485" s="227" t="s">
        <v>2179</v>
      </c>
      <c r="C485" s="228" t="s">
        <v>2176</v>
      </c>
      <c r="D485" s="220" t="s">
        <v>777</v>
      </c>
    </row>
    <row r="486" spans="1:13">
      <c r="A486" s="225" t="s">
        <v>1879</v>
      </c>
      <c r="B486" s="227" t="s">
        <v>2179</v>
      </c>
      <c r="C486" s="228" t="s">
        <v>2177</v>
      </c>
      <c r="D486" s="220" t="s">
        <v>777</v>
      </c>
      <c r="E486" s="218">
        <f>32670+125500+216387+1281303+663994+25534+277951-72-1130906</f>
        <v>1492361</v>
      </c>
      <c r="H486">
        <f>+E486+E481+E476</f>
        <v>2216404</v>
      </c>
      <c r="J486" s="218"/>
    </row>
    <row r="487" spans="1:13">
      <c r="A487" s="225" t="s">
        <v>1879</v>
      </c>
      <c r="B487" s="227" t="s">
        <v>2180</v>
      </c>
      <c r="C487" s="228" t="s">
        <v>516</v>
      </c>
      <c r="D487" s="220" t="s">
        <v>1853</v>
      </c>
    </row>
    <row r="488" spans="1:13">
      <c r="A488" s="225" t="s">
        <v>1879</v>
      </c>
      <c r="B488" s="227" t="s">
        <v>2180</v>
      </c>
      <c r="C488" s="228" t="s">
        <v>2174</v>
      </c>
      <c r="D488" s="220" t="s">
        <v>1853</v>
      </c>
      <c r="E488">
        <f>INPUT!BY25</f>
        <v>41899</v>
      </c>
    </row>
    <row r="489" spans="1:13">
      <c r="A489" s="225" t="s">
        <v>1879</v>
      </c>
      <c r="B489" s="227" t="s">
        <v>2180</v>
      </c>
      <c r="C489" s="228" t="s">
        <v>2175</v>
      </c>
      <c r="D489" s="220" t="s">
        <v>1853</v>
      </c>
    </row>
    <row r="490" spans="1:13">
      <c r="A490" s="225" t="s">
        <v>1879</v>
      </c>
      <c r="B490" s="227" t="s">
        <v>2180</v>
      </c>
      <c r="C490" s="228" t="s">
        <v>2176</v>
      </c>
      <c r="D490" s="220" t="s">
        <v>1853</v>
      </c>
    </row>
    <row r="491" spans="1:13">
      <c r="A491" s="225" t="s">
        <v>1879</v>
      </c>
      <c r="B491" s="227" t="s">
        <v>2180</v>
      </c>
      <c r="C491" s="228" t="s">
        <v>2177</v>
      </c>
      <c r="D491" s="220" t="s">
        <v>1853</v>
      </c>
      <c r="E491">
        <v>0</v>
      </c>
    </row>
    <row r="492" spans="1:13">
      <c r="A492" s="225" t="s">
        <v>1879</v>
      </c>
      <c r="B492" s="227" t="s">
        <v>2181</v>
      </c>
      <c r="C492" s="228" t="s">
        <v>516</v>
      </c>
      <c r="D492" s="220" t="s">
        <v>1854</v>
      </c>
    </row>
    <row r="493" spans="1:13">
      <c r="A493" s="225" t="s">
        <v>1879</v>
      </c>
      <c r="B493" s="227" t="s">
        <v>2181</v>
      </c>
      <c r="C493" s="228" t="s">
        <v>2174</v>
      </c>
      <c r="D493" s="220" t="s">
        <v>1854</v>
      </c>
    </row>
    <row r="494" spans="1:13">
      <c r="A494" s="225" t="s">
        <v>1879</v>
      </c>
      <c r="B494" s="227" t="s">
        <v>2181</v>
      </c>
      <c r="C494" s="228" t="s">
        <v>2175</v>
      </c>
      <c r="D494" s="220" t="s">
        <v>1854</v>
      </c>
    </row>
    <row r="495" spans="1:13">
      <c r="A495" s="225" t="s">
        <v>1879</v>
      </c>
      <c r="B495" s="227" t="s">
        <v>2181</v>
      </c>
      <c r="C495" s="228" t="s">
        <v>2176</v>
      </c>
      <c r="D495" s="220" t="s">
        <v>1854</v>
      </c>
    </row>
    <row r="496" spans="1:13">
      <c r="A496" s="225" t="s">
        <v>1879</v>
      </c>
      <c r="B496" s="227" t="s">
        <v>2181</v>
      </c>
      <c r="C496" s="228" t="s">
        <v>2177</v>
      </c>
      <c r="D496" s="220" t="s">
        <v>1854</v>
      </c>
    </row>
    <row r="497" spans="1:4">
      <c r="A497" s="225" t="s">
        <v>1879</v>
      </c>
      <c r="B497" s="227" t="s">
        <v>2182</v>
      </c>
      <c r="C497" s="228" t="s">
        <v>516</v>
      </c>
      <c r="D497" s="220" t="s">
        <v>1855</v>
      </c>
    </row>
    <row r="498" spans="1:4">
      <c r="A498" s="225" t="s">
        <v>1879</v>
      </c>
      <c r="B498" s="227" t="s">
        <v>2182</v>
      </c>
      <c r="C498" s="228" t="s">
        <v>2174</v>
      </c>
      <c r="D498" s="220" t="s">
        <v>1855</v>
      </c>
    </row>
    <row r="499" spans="1:4">
      <c r="A499" s="225" t="s">
        <v>1879</v>
      </c>
      <c r="B499" s="227" t="s">
        <v>2182</v>
      </c>
      <c r="C499" s="228" t="s">
        <v>2175</v>
      </c>
      <c r="D499" s="220" t="s">
        <v>1855</v>
      </c>
    </row>
    <row r="500" spans="1:4">
      <c r="A500" s="225" t="s">
        <v>1879</v>
      </c>
      <c r="B500" s="227" t="s">
        <v>2182</v>
      </c>
      <c r="C500" s="228" t="s">
        <v>2176</v>
      </c>
      <c r="D500" s="220" t="s">
        <v>1855</v>
      </c>
    </row>
    <row r="501" spans="1:4">
      <c r="A501" s="225" t="s">
        <v>1879</v>
      </c>
      <c r="B501" s="227" t="s">
        <v>2182</v>
      </c>
      <c r="C501" s="228" t="s">
        <v>2177</v>
      </c>
      <c r="D501" s="220" t="s">
        <v>1855</v>
      </c>
    </row>
    <row r="502" spans="1:4">
      <c r="A502" s="225" t="s">
        <v>1879</v>
      </c>
      <c r="B502" s="227" t="s">
        <v>2183</v>
      </c>
      <c r="C502" s="228" t="s">
        <v>516</v>
      </c>
      <c r="D502" s="220" t="s">
        <v>2184</v>
      </c>
    </row>
    <row r="503" spans="1:4">
      <c r="A503" s="225" t="s">
        <v>1879</v>
      </c>
      <c r="B503" s="227" t="s">
        <v>2183</v>
      </c>
      <c r="C503" s="228" t="s">
        <v>2174</v>
      </c>
      <c r="D503" s="220" t="s">
        <v>2184</v>
      </c>
    </row>
    <row r="504" spans="1:4">
      <c r="A504" s="225" t="s">
        <v>1879</v>
      </c>
      <c r="B504" s="227" t="s">
        <v>2183</v>
      </c>
      <c r="C504" s="228" t="s">
        <v>2175</v>
      </c>
      <c r="D504" s="220" t="s">
        <v>2184</v>
      </c>
    </row>
    <row r="505" spans="1:4">
      <c r="A505" s="225" t="s">
        <v>1879</v>
      </c>
      <c r="B505" s="225" t="s">
        <v>2183</v>
      </c>
      <c r="C505" s="228" t="s">
        <v>2176</v>
      </c>
      <c r="D505" s="220" t="s">
        <v>2184</v>
      </c>
    </row>
    <row r="506" spans="1:4">
      <c r="A506" s="225" t="s">
        <v>1879</v>
      </c>
      <c r="B506" s="225" t="s">
        <v>2183</v>
      </c>
      <c r="C506" s="228" t="s">
        <v>2177</v>
      </c>
      <c r="D506" s="220" t="s">
        <v>2184</v>
      </c>
    </row>
    <row r="507" spans="1:4">
      <c r="A507" s="225" t="s">
        <v>1879</v>
      </c>
      <c r="B507" s="225" t="s">
        <v>2185</v>
      </c>
      <c r="C507" s="228" t="s">
        <v>516</v>
      </c>
      <c r="D507" s="220" t="s">
        <v>2186</v>
      </c>
    </row>
    <row r="508" spans="1:4">
      <c r="A508" s="225" t="s">
        <v>1879</v>
      </c>
      <c r="B508" s="225" t="s">
        <v>2185</v>
      </c>
      <c r="C508" s="228" t="s">
        <v>2174</v>
      </c>
      <c r="D508" s="220" t="s">
        <v>2186</v>
      </c>
    </row>
    <row r="509" spans="1:4">
      <c r="A509" s="225" t="s">
        <v>1879</v>
      </c>
      <c r="B509" s="225" t="s">
        <v>2185</v>
      </c>
      <c r="C509" s="228" t="s">
        <v>2175</v>
      </c>
      <c r="D509" s="220" t="s">
        <v>2186</v>
      </c>
    </row>
    <row r="510" spans="1:4">
      <c r="A510" s="225" t="s">
        <v>1879</v>
      </c>
      <c r="B510" s="225" t="s">
        <v>2185</v>
      </c>
      <c r="C510" s="228" t="s">
        <v>2176</v>
      </c>
      <c r="D510" s="220" t="s">
        <v>2186</v>
      </c>
    </row>
    <row r="511" spans="1:4">
      <c r="A511" s="225" t="s">
        <v>1879</v>
      </c>
      <c r="B511" s="225" t="s">
        <v>2185</v>
      </c>
      <c r="C511" s="228" t="s">
        <v>2177</v>
      </c>
      <c r="D511" s="220" t="s">
        <v>2186</v>
      </c>
    </row>
    <row r="512" spans="1:4">
      <c r="A512" s="225" t="s">
        <v>1879</v>
      </c>
      <c r="B512" s="225" t="s">
        <v>2187</v>
      </c>
      <c r="C512" s="228" t="s">
        <v>516</v>
      </c>
      <c r="D512" s="220" t="s">
        <v>691</v>
      </c>
    </row>
    <row r="513" spans="1:4">
      <c r="A513" s="225" t="s">
        <v>1879</v>
      </c>
      <c r="B513" s="225" t="s">
        <v>2187</v>
      </c>
      <c r="C513" s="228" t="s">
        <v>2174</v>
      </c>
      <c r="D513" s="220" t="s">
        <v>691</v>
      </c>
    </row>
    <row r="514" spans="1:4">
      <c r="A514" s="225" t="s">
        <v>1879</v>
      </c>
      <c r="B514" s="225" t="s">
        <v>2187</v>
      </c>
      <c r="C514" s="228" t="s">
        <v>2175</v>
      </c>
      <c r="D514" s="220" t="s">
        <v>691</v>
      </c>
    </row>
    <row r="515" spans="1:4">
      <c r="A515" s="225" t="s">
        <v>1879</v>
      </c>
      <c r="B515" s="225" t="s">
        <v>2187</v>
      </c>
      <c r="C515" s="228" t="s">
        <v>2176</v>
      </c>
      <c r="D515" s="220" t="s">
        <v>691</v>
      </c>
    </row>
    <row r="516" spans="1:4">
      <c r="A516" s="225" t="s">
        <v>1879</v>
      </c>
      <c r="B516" s="225" t="s">
        <v>2187</v>
      </c>
      <c r="C516" s="228" t="s">
        <v>2177</v>
      </c>
      <c r="D516" s="220" t="s">
        <v>691</v>
      </c>
    </row>
    <row r="517" spans="1:4">
      <c r="A517" s="225" t="s">
        <v>1879</v>
      </c>
      <c r="B517" s="225" t="s">
        <v>2188</v>
      </c>
      <c r="C517" s="228" t="s">
        <v>516</v>
      </c>
      <c r="D517" s="220" t="s">
        <v>713</v>
      </c>
    </row>
    <row r="518" spans="1:4">
      <c r="A518" s="225" t="s">
        <v>1879</v>
      </c>
      <c r="B518" s="225" t="s">
        <v>2188</v>
      </c>
      <c r="C518" s="228" t="s">
        <v>2174</v>
      </c>
      <c r="D518" s="220" t="s">
        <v>713</v>
      </c>
    </row>
    <row r="519" spans="1:4">
      <c r="A519" s="225" t="s">
        <v>1879</v>
      </c>
      <c r="B519" s="225" t="s">
        <v>2188</v>
      </c>
      <c r="C519" s="228" t="s">
        <v>2175</v>
      </c>
      <c r="D519" s="220" t="s">
        <v>713</v>
      </c>
    </row>
    <row r="520" spans="1:4">
      <c r="A520" s="225" t="s">
        <v>1879</v>
      </c>
      <c r="B520" s="225" t="s">
        <v>2188</v>
      </c>
      <c r="C520" s="228" t="s">
        <v>2176</v>
      </c>
      <c r="D520" s="220" t="s">
        <v>713</v>
      </c>
    </row>
    <row r="521" spans="1:4">
      <c r="A521" s="225" t="s">
        <v>1879</v>
      </c>
      <c r="B521" s="225" t="s">
        <v>2188</v>
      </c>
      <c r="C521" s="228" t="s">
        <v>2177</v>
      </c>
      <c r="D521" s="220" t="s">
        <v>713</v>
      </c>
    </row>
    <row r="522" spans="1:4">
      <c r="A522" s="225" t="s">
        <v>1879</v>
      </c>
      <c r="B522" s="225" t="s">
        <v>2189</v>
      </c>
      <c r="C522" s="228" t="s">
        <v>516</v>
      </c>
      <c r="D522" s="220" t="s">
        <v>109</v>
      </c>
    </row>
    <row r="523" spans="1:4">
      <c r="A523" s="225" t="s">
        <v>1879</v>
      </c>
      <c r="B523" s="225" t="s">
        <v>2189</v>
      </c>
      <c r="C523" s="228" t="s">
        <v>2174</v>
      </c>
      <c r="D523" s="220" t="s">
        <v>109</v>
      </c>
    </row>
    <row r="524" spans="1:4">
      <c r="A524" s="225" t="s">
        <v>1879</v>
      </c>
      <c r="B524" s="225" t="s">
        <v>2189</v>
      </c>
      <c r="C524" s="228" t="s">
        <v>2175</v>
      </c>
      <c r="D524" s="220" t="s">
        <v>109</v>
      </c>
    </row>
    <row r="525" spans="1:4">
      <c r="A525" s="225" t="s">
        <v>1879</v>
      </c>
      <c r="B525" s="225" t="s">
        <v>2189</v>
      </c>
      <c r="C525" s="228" t="s">
        <v>2176</v>
      </c>
      <c r="D525" s="220" t="s">
        <v>109</v>
      </c>
    </row>
    <row r="526" spans="1:4">
      <c r="A526" s="225" t="s">
        <v>1879</v>
      </c>
      <c r="B526" s="225" t="s">
        <v>2189</v>
      </c>
      <c r="C526" s="228" t="s">
        <v>2177</v>
      </c>
      <c r="D526" s="220" t="s">
        <v>109</v>
      </c>
    </row>
    <row r="527" spans="1:4">
      <c r="A527" s="225" t="s">
        <v>1879</v>
      </c>
      <c r="B527" s="225" t="s">
        <v>2190</v>
      </c>
      <c r="C527" s="228" t="s">
        <v>516</v>
      </c>
      <c r="D527" s="220" t="s">
        <v>1872</v>
      </c>
    </row>
    <row r="528" spans="1:4">
      <c r="A528" s="225" t="s">
        <v>1879</v>
      </c>
      <c r="B528" s="225" t="s">
        <v>2190</v>
      </c>
      <c r="C528" s="228" t="s">
        <v>2174</v>
      </c>
      <c r="D528" s="220" t="s">
        <v>1872</v>
      </c>
    </row>
    <row r="529" spans="1:16">
      <c r="A529" s="225" t="s">
        <v>1879</v>
      </c>
      <c r="B529" s="225" t="s">
        <v>2190</v>
      </c>
      <c r="C529" s="228" t="s">
        <v>2175</v>
      </c>
      <c r="D529" s="220" t="s">
        <v>1872</v>
      </c>
    </row>
    <row r="530" spans="1:16">
      <c r="A530" s="225" t="s">
        <v>1879</v>
      </c>
      <c r="B530" s="225" t="s">
        <v>2190</v>
      </c>
      <c r="C530" s="228" t="s">
        <v>2176</v>
      </c>
      <c r="D530" s="220" t="s">
        <v>1872</v>
      </c>
    </row>
    <row r="531" spans="1:16" ht="13.5" thickBot="1">
      <c r="A531" s="225" t="s">
        <v>1879</v>
      </c>
      <c r="B531" s="225" t="s">
        <v>2190</v>
      </c>
      <c r="C531" s="228" t="s">
        <v>2177</v>
      </c>
      <c r="D531" s="220" t="s">
        <v>1872</v>
      </c>
      <c r="E531" s="190"/>
      <c r="F531" s="75"/>
      <c r="G531" s="193">
        <f>SUM(E472:E531)</f>
        <v>3351212</v>
      </c>
      <c r="H531" s="40">
        <f>+'Govt IS'!N37-'Govt IS'!N43+'COMBING IS'!H36-'COMBING IS'!H42</f>
        <v>3351212</v>
      </c>
      <c r="I531" s="201">
        <f>+H531-G531</f>
        <v>0</v>
      </c>
      <c r="J531" s="40"/>
      <c r="K531" s="194" t="s">
        <v>1889</v>
      </c>
      <c r="M531">
        <f>+G470-G531</f>
        <v>3106005</v>
      </c>
      <c r="N531">
        <f>+INPUT!BY61</f>
        <v>3106005</v>
      </c>
      <c r="O531" s="143">
        <f>+N531-M531</f>
        <v>0</v>
      </c>
      <c r="P531" s="143" t="s">
        <v>1894</v>
      </c>
    </row>
    <row r="532" spans="1:16">
      <c r="A532" s="1334"/>
      <c r="B532" s="1335"/>
      <c r="C532" s="1335"/>
      <c r="D532" s="1335"/>
      <c r="I532" s="143"/>
      <c r="K532" s="21"/>
      <c r="O532" s="143"/>
      <c r="P532" s="143"/>
    </row>
    <row r="533" spans="1:16" ht="15.75">
      <c r="A533" s="1336" t="s">
        <v>2209</v>
      </c>
      <c r="B533" s="1337"/>
      <c r="C533" s="1337"/>
      <c r="D533" s="1337"/>
      <c r="I533" s="143"/>
      <c r="K533" s="21"/>
      <c r="O533" s="143"/>
      <c r="P533" s="143"/>
    </row>
    <row r="534" spans="1:16">
      <c r="A534" s="1338" t="s">
        <v>2210</v>
      </c>
      <c r="B534" s="1339"/>
      <c r="C534" s="1339"/>
      <c r="D534" s="1339"/>
      <c r="I534" s="143"/>
      <c r="K534" s="21"/>
      <c r="O534" s="143"/>
      <c r="P534" s="143"/>
    </row>
    <row r="535" spans="1:16">
      <c r="A535" s="225" t="s">
        <v>1880</v>
      </c>
      <c r="B535" s="222" t="s">
        <v>2074</v>
      </c>
      <c r="C535" s="220"/>
      <c r="D535" s="224" t="s">
        <v>1873</v>
      </c>
      <c r="E535">
        <f>+INPUT!CJ85+INPUT!CJ86</f>
        <v>6304627</v>
      </c>
      <c r="P535" s="156" t="s">
        <v>1896</v>
      </c>
    </row>
    <row r="536" spans="1:16">
      <c r="A536" s="225" t="s">
        <v>1880</v>
      </c>
      <c r="B536" s="226" t="s">
        <v>2075</v>
      </c>
      <c r="C536" s="220"/>
      <c r="D536" s="220" t="s">
        <v>2076</v>
      </c>
      <c r="E536">
        <f>+INPUT!CJ88</f>
        <v>14685</v>
      </c>
    </row>
    <row r="537" spans="1:16">
      <c r="A537" s="225" t="s">
        <v>1880</v>
      </c>
      <c r="B537" s="227" t="s">
        <v>2077</v>
      </c>
      <c r="C537" s="220"/>
      <c r="D537" s="220" t="s">
        <v>1823</v>
      </c>
      <c r="E537">
        <f>+INPUT!CJ89+INPUT!CJ90+INPUT!CJ102</f>
        <v>307869</v>
      </c>
    </row>
    <row r="538" spans="1:16">
      <c r="A538" s="225" t="s">
        <v>1880</v>
      </c>
      <c r="B538" s="227" t="s">
        <v>2078</v>
      </c>
      <c r="C538" s="220"/>
      <c r="D538" s="220" t="s">
        <v>1824</v>
      </c>
      <c r="E538">
        <f>+INPUT!CJ93+INPUT!CJ103</f>
        <v>0</v>
      </c>
    </row>
    <row r="539" spans="1:16">
      <c r="A539" s="225" t="s">
        <v>1880</v>
      </c>
      <c r="B539" s="227" t="s">
        <v>2079</v>
      </c>
      <c r="C539" s="220"/>
      <c r="D539" s="220" t="s">
        <v>1825</v>
      </c>
    </row>
    <row r="540" spans="1:16">
      <c r="A540" s="225" t="s">
        <v>1880</v>
      </c>
      <c r="B540" s="227" t="s">
        <v>2080</v>
      </c>
      <c r="C540" s="220"/>
      <c r="D540" s="220" t="s">
        <v>1826</v>
      </c>
      <c r="E540">
        <f>INPUT!CJ94</f>
        <v>12261</v>
      </c>
    </row>
    <row r="541" spans="1:16">
      <c r="A541" s="225" t="s">
        <v>1880</v>
      </c>
      <c r="B541" s="227" t="s">
        <v>2081</v>
      </c>
      <c r="C541" s="220"/>
      <c r="D541" s="220" t="s">
        <v>1827</v>
      </c>
      <c r="E541">
        <f>+INPUT!CJ98+INPUT!CJ99</f>
        <v>0</v>
      </c>
    </row>
    <row r="542" spans="1:16">
      <c r="A542" s="225" t="s">
        <v>1880</v>
      </c>
      <c r="B542" s="227" t="s">
        <v>2082</v>
      </c>
      <c r="C542" s="220"/>
      <c r="D542" s="220" t="s">
        <v>1828</v>
      </c>
      <c r="E542">
        <f>+INPUT!CJ107+INPUT!CJ108</f>
        <v>12440246</v>
      </c>
    </row>
    <row r="543" spans="1:16">
      <c r="A543" s="225" t="s">
        <v>1880</v>
      </c>
      <c r="B543" s="227" t="s">
        <v>2083</v>
      </c>
      <c r="C543" s="220"/>
      <c r="D543" s="220" t="s">
        <v>1829</v>
      </c>
      <c r="E543">
        <f>+INPUT!CJ120+INPUT!CJ127+INPUT!CG122+INPUT!CC122+INPUT!CC124+INPUT!CG124+INPUT!CJ123</f>
        <v>0</v>
      </c>
      <c r="G543">
        <f>SUM(E535:E543)</f>
        <v>19079688</v>
      </c>
      <c r="H543">
        <f>+PROPNA!L43+PROPNA!L56</f>
        <v>19079688</v>
      </c>
      <c r="I543">
        <f>+H543-G543</f>
        <v>0</v>
      </c>
    </row>
    <row r="544" spans="1:16">
      <c r="A544" s="1332" t="s">
        <v>2211</v>
      </c>
      <c r="B544" s="1333"/>
      <c r="C544" s="1333"/>
      <c r="D544" s="1333"/>
    </row>
    <row r="545" spans="1:17">
      <c r="A545" s="225" t="s">
        <v>1880</v>
      </c>
      <c r="B545" s="225" t="s">
        <v>2085</v>
      </c>
      <c r="C545" s="220"/>
      <c r="D545" s="220" t="s">
        <v>1830</v>
      </c>
      <c r="E545">
        <f>+INPUT!CJ132</f>
        <v>153476</v>
      </c>
      <c r="Q545" s="220" t="s">
        <v>1830</v>
      </c>
    </row>
    <row r="546" spans="1:17">
      <c r="A546" s="225" t="s">
        <v>1880</v>
      </c>
      <c r="B546" s="225" t="s">
        <v>2087</v>
      </c>
      <c r="C546" s="220"/>
      <c r="D546" s="220" t="s">
        <v>1831</v>
      </c>
      <c r="E546">
        <f>+INPUT!CJ135+INPUT!CJ138+INPUT!CJ139+INPUT!CJ141</f>
        <v>1139025</v>
      </c>
      <c r="Q546" s="220" t="s">
        <v>1831</v>
      </c>
    </row>
    <row r="547" spans="1:17">
      <c r="A547" s="225" t="s">
        <v>1880</v>
      </c>
      <c r="B547" s="225" t="s">
        <v>2088</v>
      </c>
      <c r="C547" s="220"/>
      <c r="D547" s="220" t="s">
        <v>1832</v>
      </c>
      <c r="E547">
        <f>+INPUT!CJ160+INPUT!CJ164+INPUT!CJ166+INPUT!CJ163</f>
        <v>0</v>
      </c>
      <c r="Q547" s="220" t="s">
        <v>1832</v>
      </c>
    </row>
    <row r="548" spans="1:17">
      <c r="A548" s="225" t="s">
        <v>1880</v>
      </c>
      <c r="B548" s="225" t="s">
        <v>2089</v>
      </c>
      <c r="C548" s="220"/>
      <c r="D548" s="220" t="s">
        <v>1833</v>
      </c>
      <c r="E548">
        <f>+INPUT!CJ146+INPUT!CJ148+INPUT!CJ149</f>
        <v>1186403</v>
      </c>
      <c r="G548">
        <f>SUM(E545:E550)</f>
        <v>2478904</v>
      </c>
      <c r="H548">
        <f>+PROPNA!L87+PROPNA!L105</f>
        <v>2478904</v>
      </c>
      <c r="I548">
        <f>+H548-G548</f>
        <v>0</v>
      </c>
      <c r="Q548" s="220" t="s">
        <v>1833</v>
      </c>
    </row>
    <row r="549" spans="1:17">
      <c r="A549" s="225" t="s">
        <v>1880</v>
      </c>
      <c r="B549" s="232">
        <v>237000</v>
      </c>
      <c r="C549" s="220"/>
      <c r="D549" s="220" t="s">
        <v>2068</v>
      </c>
      <c r="E549">
        <f>+INPUT!CJ150</f>
        <v>0</v>
      </c>
      <c r="Q549" s="220"/>
    </row>
    <row r="550" spans="1:17">
      <c r="A550" s="225" t="s">
        <v>1880</v>
      </c>
      <c r="B550" s="232">
        <v>238000</v>
      </c>
      <c r="C550" s="220"/>
      <c r="D550" s="220" t="s">
        <v>562</v>
      </c>
      <c r="E550">
        <f>+INPUT!CJ151</f>
        <v>0</v>
      </c>
      <c r="Q550" s="220"/>
    </row>
    <row r="551" spans="1:17">
      <c r="A551" s="1332" t="s">
        <v>3296</v>
      </c>
      <c r="B551" s="1333"/>
      <c r="C551" s="1333"/>
      <c r="D551" s="1333"/>
      <c r="Q551" s="220"/>
    </row>
    <row r="552" spans="1:17">
      <c r="A552" s="225" t="s">
        <v>1880</v>
      </c>
      <c r="B552" s="225" t="s">
        <v>2091</v>
      </c>
      <c r="C552" s="220"/>
      <c r="D552" s="220" t="s">
        <v>2212</v>
      </c>
      <c r="E552">
        <f>+INPUT!CJ181+INPUT!CJ182</f>
        <v>0</v>
      </c>
      <c r="Q552" s="220" t="s">
        <v>2068</v>
      </c>
    </row>
    <row r="553" spans="1:17">
      <c r="A553" s="225" t="s">
        <v>1880</v>
      </c>
      <c r="B553" s="225" t="s">
        <v>2092</v>
      </c>
      <c r="C553" s="220"/>
      <c r="D553" s="220" t="s">
        <v>2213</v>
      </c>
      <c r="Q553" s="220" t="s">
        <v>562</v>
      </c>
    </row>
    <row r="554" spans="1:17">
      <c r="A554" s="225" t="s">
        <v>1880</v>
      </c>
      <c r="B554" s="225" t="s">
        <v>2094</v>
      </c>
      <c r="C554" s="220"/>
      <c r="D554" s="220" t="s">
        <v>2214</v>
      </c>
      <c r="E554">
        <f>+INPUT!CJ185</f>
        <v>4160538</v>
      </c>
    </row>
    <row r="555" spans="1:17">
      <c r="A555" s="225" t="s">
        <v>1880</v>
      </c>
      <c r="B555" s="225" t="s">
        <v>2095</v>
      </c>
      <c r="C555" s="220"/>
      <c r="D555" s="220" t="s">
        <v>2215</v>
      </c>
      <c r="E555" s="38">
        <f>+INPUT!CJ176</f>
        <v>12440246</v>
      </c>
      <c r="F555" s="38"/>
      <c r="G555" s="38">
        <f>SUM(E552:E555)</f>
        <v>16600784</v>
      </c>
      <c r="H555" s="38">
        <f>+PROPNA!L116</f>
        <v>16600784</v>
      </c>
      <c r="I555" s="38">
        <f>+H555-G555</f>
        <v>0</v>
      </c>
      <c r="J555" s="38"/>
      <c r="K555" s="197">
        <f>+G543-G548-G555</f>
        <v>0</v>
      </c>
      <c r="L555" s="143" t="s">
        <v>1887</v>
      </c>
    </row>
    <row r="556" spans="1:17">
      <c r="A556" s="1332" t="s">
        <v>2216</v>
      </c>
      <c r="B556" s="1333"/>
      <c r="C556" s="1333"/>
      <c r="D556" s="1333"/>
      <c r="K556" s="143"/>
      <c r="L556" s="143"/>
    </row>
    <row r="557" spans="1:17">
      <c r="A557" s="225" t="s">
        <v>1880</v>
      </c>
      <c r="B557" s="225" t="s">
        <v>2098</v>
      </c>
      <c r="C557" s="220"/>
      <c r="D557" s="220" t="s">
        <v>1836</v>
      </c>
      <c r="E557">
        <f>+INPUT!CJ10</f>
        <v>552792</v>
      </c>
      <c r="L557" s="156" t="s">
        <v>1896</v>
      </c>
    </row>
    <row r="558" spans="1:17">
      <c r="A558" s="225" t="s">
        <v>1880</v>
      </c>
      <c r="B558" s="225" t="s">
        <v>2100</v>
      </c>
      <c r="C558" s="220"/>
      <c r="D558" s="220" t="s">
        <v>2217</v>
      </c>
    </row>
    <row r="559" spans="1:17">
      <c r="A559" s="225" t="s">
        <v>1880</v>
      </c>
      <c r="B559" s="225" t="s">
        <v>2102</v>
      </c>
      <c r="C559" s="220"/>
      <c r="D559" s="220" t="s">
        <v>1837</v>
      </c>
    </row>
    <row r="560" spans="1:17">
      <c r="A560" s="225" t="s">
        <v>1880</v>
      </c>
      <c r="B560" s="225" t="s">
        <v>2103</v>
      </c>
      <c r="C560" s="220"/>
      <c r="D560" s="220" t="s">
        <v>2218</v>
      </c>
    </row>
    <row r="561" spans="1:12">
      <c r="A561" s="225" t="s">
        <v>1880</v>
      </c>
      <c r="B561" s="225" t="s">
        <v>2105</v>
      </c>
      <c r="C561" s="220"/>
      <c r="D561" s="220" t="s">
        <v>1838</v>
      </c>
    </row>
    <row r="562" spans="1:12">
      <c r="A562" s="225" t="s">
        <v>1880</v>
      </c>
      <c r="B562" s="225" t="s">
        <v>2106</v>
      </c>
      <c r="C562" s="220"/>
      <c r="D562" s="220" t="s">
        <v>1839</v>
      </c>
    </row>
    <row r="563" spans="1:12">
      <c r="A563" s="225" t="s">
        <v>1880</v>
      </c>
      <c r="B563" s="225" t="s">
        <v>2107</v>
      </c>
      <c r="C563" s="220"/>
      <c r="D563" s="220" t="s">
        <v>1840</v>
      </c>
    </row>
    <row r="564" spans="1:12">
      <c r="A564" s="225" t="s">
        <v>1880</v>
      </c>
      <c r="B564" s="225" t="s">
        <v>2109</v>
      </c>
      <c r="C564" s="220"/>
      <c r="D564" s="220" t="s">
        <v>1841</v>
      </c>
    </row>
    <row r="565" spans="1:12">
      <c r="A565" s="225" t="s">
        <v>1880</v>
      </c>
      <c r="B565" s="225" t="s">
        <v>2110</v>
      </c>
      <c r="C565" s="220"/>
      <c r="D565" s="220" t="s">
        <v>1842</v>
      </c>
    </row>
    <row r="566" spans="1:12">
      <c r="A566" s="225" t="s">
        <v>1880</v>
      </c>
      <c r="B566" s="225" t="s">
        <v>2112</v>
      </c>
      <c r="C566" s="220"/>
      <c r="D566" s="220" t="s">
        <v>1843</v>
      </c>
    </row>
    <row r="567" spans="1:12">
      <c r="A567" s="225" t="s">
        <v>1880</v>
      </c>
      <c r="B567" s="225" t="s">
        <v>2113</v>
      </c>
      <c r="C567" s="220"/>
      <c r="D567" s="220" t="s">
        <v>1844</v>
      </c>
    </row>
    <row r="568" spans="1:12">
      <c r="A568" s="225" t="s">
        <v>1880</v>
      </c>
      <c r="B568" s="225" t="s">
        <v>2114</v>
      </c>
      <c r="C568" s="220"/>
      <c r="D568" s="220" t="s">
        <v>1845</v>
      </c>
    </row>
    <row r="569" spans="1:12">
      <c r="A569" s="225" t="s">
        <v>1880</v>
      </c>
      <c r="B569" s="225" t="s">
        <v>2116</v>
      </c>
      <c r="C569" s="220"/>
      <c r="D569" s="220" t="s">
        <v>1846</v>
      </c>
      <c r="L569" s="21"/>
    </row>
    <row r="570" spans="1:12">
      <c r="A570" s="225" t="s">
        <v>1880</v>
      </c>
      <c r="B570" s="225" t="s">
        <v>2117</v>
      </c>
      <c r="C570" s="220"/>
      <c r="D570" s="220" t="s">
        <v>1847</v>
      </c>
      <c r="L570" s="21"/>
    </row>
    <row r="571" spans="1:12">
      <c r="A571" s="225" t="s">
        <v>1880</v>
      </c>
      <c r="B571" s="225" t="s">
        <v>2119</v>
      </c>
      <c r="C571" s="220"/>
      <c r="D571" s="220" t="s">
        <v>1848</v>
      </c>
    </row>
    <row r="572" spans="1:12">
      <c r="A572" s="225" t="s">
        <v>1880</v>
      </c>
      <c r="B572" s="225" t="s">
        <v>2120</v>
      </c>
      <c r="C572" s="220"/>
      <c r="D572" s="220" t="s">
        <v>1849</v>
      </c>
    </row>
    <row r="573" spans="1:12">
      <c r="A573" s="225" t="s">
        <v>1880</v>
      </c>
      <c r="B573" s="225" t="s">
        <v>2121</v>
      </c>
      <c r="C573" s="220"/>
      <c r="D573" s="220" t="s">
        <v>1850</v>
      </c>
      <c r="E573">
        <f>+INPUT!CJ12</f>
        <v>19350</v>
      </c>
    </row>
    <row r="574" spans="1:12">
      <c r="A574" s="225" t="s">
        <v>1880</v>
      </c>
      <c r="B574" s="225" t="s">
        <v>2122</v>
      </c>
      <c r="C574" s="220"/>
      <c r="D574" s="220" t="s">
        <v>1851</v>
      </c>
      <c r="J574" s="191"/>
      <c r="K574" s="191"/>
      <c r="L574" s="191"/>
    </row>
    <row r="575" spans="1:12">
      <c r="A575" s="225" t="s">
        <v>1880</v>
      </c>
      <c r="B575" s="225" t="s">
        <v>2124</v>
      </c>
      <c r="C575" s="220"/>
      <c r="D575" s="220" t="s">
        <v>1852</v>
      </c>
    </row>
    <row r="576" spans="1:12">
      <c r="A576" s="225" t="s">
        <v>1880</v>
      </c>
      <c r="B576" s="225" t="s">
        <v>2126</v>
      </c>
      <c r="C576" s="220"/>
      <c r="D576" s="220" t="s">
        <v>683</v>
      </c>
    </row>
    <row r="577" spans="1:12">
      <c r="A577" s="225" t="s">
        <v>1880</v>
      </c>
      <c r="B577" s="225" t="s">
        <v>2128</v>
      </c>
      <c r="C577" s="220"/>
      <c r="D577" s="220" t="s">
        <v>777</v>
      </c>
      <c r="E577">
        <f>+INPUT!CJ13-'DOA DATA Load'!E580</f>
        <v>3099442</v>
      </c>
    </row>
    <row r="578" spans="1:12">
      <c r="A578" s="225" t="s">
        <v>1880</v>
      </c>
      <c r="B578" s="225" t="s">
        <v>2130</v>
      </c>
      <c r="C578" s="220"/>
      <c r="D578" s="220" t="s">
        <v>1853</v>
      </c>
    </row>
    <row r="579" spans="1:12">
      <c r="A579" s="225" t="s">
        <v>1880</v>
      </c>
      <c r="B579" s="225" t="s">
        <v>2132</v>
      </c>
      <c r="C579" s="220"/>
      <c r="D579" s="220" t="s">
        <v>1854</v>
      </c>
    </row>
    <row r="580" spans="1:12">
      <c r="A580" s="225" t="s">
        <v>1880</v>
      </c>
      <c r="B580" s="225" t="s">
        <v>2133</v>
      </c>
      <c r="C580" s="220"/>
      <c r="D580" s="220" t="s">
        <v>1855</v>
      </c>
      <c r="E580">
        <f>+INPUT!CC13</f>
        <v>1257477</v>
      </c>
    </row>
    <row r="581" spans="1:12">
      <c r="A581" s="225" t="s">
        <v>1880</v>
      </c>
      <c r="B581" s="225" t="s">
        <v>2135</v>
      </c>
      <c r="C581" s="220"/>
      <c r="D581" s="220" t="s">
        <v>1856</v>
      </c>
    </row>
    <row r="582" spans="1:12">
      <c r="A582" s="225" t="s">
        <v>1880</v>
      </c>
      <c r="B582" s="225" t="s">
        <v>2137</v>
      </c>
      <c r="C582" s="220"/>
      <c r="D582" s="220" t="s">
        <v>1857</v>
      </c>
    </row>
    <row r="583" spans="1:12">
      <c r="A583" s="225" t="s">
        <v>1880</v>
      </c>
      <c r="B583" s="225" t="s">
        <v>2138</v>
      </c>
      <c r="C583" s="220"/>
      <c r="D583" s="220" t="s">
        <v>1858</v>
      </c>
      <c r="E583">
        <f>+INPUT!CJ15</f>
        <v>0</v>
      </c>
      <c r="J583" s="191"/>
      <c r="K583" s="191"/>
      <c r="L583" s="191"/>
    </row>
    <row r="584" spans="1:12">
      <c r="A584" s="225" t="s">
        <v>1880</v>
      </c>
      <c r="B584" s="225" t="s">
        <v>2139</v>
      </c>
      <c r="C584" s="220"/>
      <c r="D584" s="220" t="s">
        <v>1859</v>
      </c>
      <c r="I584" s="143"/>
    </row>
    <row r="585" spans="1:12">
      <c r="A585" s="225" t="s">
        <v>1880</v>
      </c>
      <c r="B585" s="225" t="s">
        <v>2140</v>
      </c>
      <c r="C585" s="220"/>
      <c r="D585" s="220" t="s">
        <v>1860</v>
      </c>
      <c r="I585" s="143"/>
    </row>
    <row r="586" spans="1:12">
      <c r="A586" s="225" t="s">
        <v>1880</v>
      </c>
      <c r="B586" s="225" t="s">
        <v>2141</v>
      </c>
      <c r="C586" s="220"/>
      <c r="D586" s="220" t="s">
        <v>1861</v>
      </c>
    </row>
    <row r="587" spans="1:12">
      <c r="A587" s="225" t="s">
        <v>1880</v>
      </c>
      <c r="B587" s="225" t="s">
        <v>2143</v>
      </c>
      <c r="C587" s="220"/>
      <c r="D587" s="220" t="s">
        <v>1862</v>
      </c>
    </row>
    <row r="588" spans="1:12">
      <c r="A588" s="225" t="s">
        <v>1880</v>
      </c>
      <c r="B588" s="225" t="s">
        <v>2144</v>
      </c>
      <c r="C588" s="220"/>
      <c r="D588" s="220" t="s">
        <v>1863</v>
      </c>
      <c r="E588">
        <f>+INPUT!CJ56</f>
        <v>0</v>
      </c>
    </row>
    <row r="589" spans="1:12">
      <c r="A589" s="225" t="s">
        <v>1880</v>
      </c>
      <c r="B589" s="225" t="s">
        <v>2145</v>
      </c>
      <c r="C589" s="220"/>
      <c r="D589" s="220" t="s">
        <v>1864</v>
      </c>
      <c r="E589">
        <f>+INPUT!CJ16</f>
        <v>181464</v>
      </c>
    </row>
    <row r="590" spans="1:12">
      <c r="A590" s="225" t="s">
        <v>1880</v>
      </c>
      <c r="B590" s="225" t="s">
        <v>2146</v>
      </c>
      <c r="C590" s="220"/>
      <c r="D590" s="220" t="s">
        <v>1865</v>
      </c>
    </row>
    <row r="591" spans="1:12">
      <c r="A591" s="225" t="s">
        <v>1880</v>
      </c>
      <c r="B591" s="225" t="s">
        <v>2147</v>
      </c>
      <c r="C591" s="220"/>
      <c r="D591" s="220" t="s">
        <v>1866</v>
      </c>
    </row>
    <row r="592" spans="1:12">
      <c r="A592" s="225" t="s">
        <v>1880</v>
      </c>
      <c r="B592" s="225" t="s">
        <v>2148</v>
      </c>
      <c r="C592" s="220"/>
      <c r="D592" s="220" t="s">
        <v>1867</v>
      </c>
    </row>
    <row r="593" spans="1:11">
      <c r="A593" s="225" t="s">
        <v>1880</v>
      </c>
      <c r="B593" s="225" t="s">
        <v>2150</v>
      </c>
      <c r="C593" s="220"/>
      <c r="D593" s="220" t="s">
        <v>1868</v>
      </c>
    </row>
    <row r="594" spans="1:11">
      <c r="A594" s="225" t="s">
        <v>1880</v>
      </c>
      <c r="B594" s="225" t="s">
        <v>2152</v>
      </c>
      <c r="C594" s="220"/>
      <c r="D594" s="220" t="s">
        <v>1869</v>
      </c>
      <c r="E594">
        <f>+INPUT!CJ46</f>
        <v>50082</v>
      </c>
    </row>
    <row r="595" spans="1:11">
      <c r="A595" s="225" t="s">
        <v>1880</v>
      </c>
      <c r="B595" s="225" t="s">
        <v>2153</v>
      </c>
      <c r="C595" s="220"/>
      <c r="D595" s="220" t="s">
        <v>2154</v>
      </c>
    </row>
    <row r="596" spans="1:11">
      <c r="A596" s="225" t="s">
        <v>1880</v>
      </c>
      <c r="B596" s="225" t="s">
        <v>2155</v>
      </c>
      <c r="C596" s="220"/>
      <c r="D596" s="220" t="s">
        <v>2156</v>
      </c>
    </row>
    <row r="597" spans="1:11">
      <c r="A597" s="225" t="s">
        <v>1880</v>
      </c>
      <c r="B597" s="225" t="s">
        <v>2157</v>
      </c>
      <c r="C597" s="220"/>
      <c r="D597" s="220" t="s">
        <v>2158</v>
      </c>
    </row>
    <row r="598" spans="1:11">
      <c r="A598" s="225" t="s">
        <v>1880</v>
      </c>
      <c r="B598" s="225" t="s">
        <v>2159</v>
      </c>
      <c r="C598" s="220"/>
      <c r="D598" s="220" t="s">
        <v>2160</v>
      </c>
    </row>
    <row r="599" spans="1:11">
      <c r="A599" s="225" t="s">
        <v>1880</v>
      </c>
      <c r="B599" s="225" t="s">
        <v>2161</v>
      </c>
      <c r="C599" s="220"/>
      <c r="D599" s="220" t="s">
        <v>2162</v>
      </c>
    </row>
    <row r="600" spans="1:11">
      <c r="A600" s="225" t="s">
        <v>1880</v>
      </c>
      <c r="B600" s="225" t="s">
        <v>2163</v>
      </c>
      <c r="C600" s="220"/>
      <c r="D600" s="220" t="s">
        <v>2164</v>
      </c>
    </row>
    <row r="601" spans="1:11">
      <c r="A601" s="225" t="s">
        <v>1880</v>
      </c>
      <c r="B601" s="225" t="s">
        <v>2165</v>
      </c>
      <c r="C601" s="220"/>
      <c r="D601" s="220" t="s">
        <v>2166</v>
      </c>
    </row>
    <row r="602" spans="1:11">
      <c r="A602" s="225" t="s">
        <v>1880</v>
      </c>
      <c r="B602" s="225" t="s">
        <v>2167</v>
      </c>
      <c r="C602" s="220"/>
      <c r="D602" s="220" t="s">
        <v>2168</v>
      </c>
    </row>
    <row r="603" spans="1:11">
      <c r="A603" s="225" t="s">
        <v>1880</v>
      </c>
      <c r="B603" s="225" t="s">
        <v>2169</v>
      </c>
      <c r="C603" s="220"/>
      <c r="D603" s="220" t="s">
        <v>2170</v>
      </c>
      <c r="G603" s="193">
        <f>SUM(E557:E603)</f>
        <v>5160607</v>
      </c>
      <c r="H603" s="40">
        <f>+PROPREV!L19+PROPREV!L33+PROPREV!L34+PROPREV!L35+PROPREV!L50+PROPREV!L49</f>
        <v>5160607</v>
      </c>
      <c r="I603" s="201">
        <f>+H603-G603</f>
        <v>0</v>
      </c>
      <c r="J603" s="194" t="s">
        <v>1898</v>
      </c>
      <c r="K603" s="195"/>
    </row>
    <row r="604" spans="1:11">
      <c r="A604" s="1332" t="s">
        <v>2219</v>
      </c>
      <c r="B604" s="1333"/>
      <c r="C604" s="1333"/>
      <c r="D604" s="1333"/>
      <c r="I604" s="143"/>
      <c r="J604" s="21"/>
    </row>
    <row r="605" spans="1:11">
      <c r="A605" s="225" t="s">
        <v>1880</v>
      </c>
      <c r="B605" s="225" t="s">
        <v>2220</v>
      </c>
      <c r="C605" s="228" t="s">
        <v>516</v>
      </c>
      <c r="D605" s="220" t="s">
        <v>2221</v>
      </c>
      <c r="E605">
        <f>+INPUT!CJ31</f>
        <v>863394</v>
      </c>
      <c r="J605" s="156" t="s">
        <v>1896</v>
      </c>
    </row>
    <row r="606" spans="1:11">
      <c r="A606" s="225" t="s">
        <v>1880</v>
      </c>
      <c r="B606" s="225" t="s">
        <v>2222</v>
      </c>
      <c r="C606" s="228" t="s">
        <v>2223</v>
      </c>
      <c r="D606" s="220" t="s">
        <v>694</v>
      </c>
      <c r="E606">
        <f>+INPUT!CJ32</f>
        <v>617725</v>
      </c>
    </row>
    <row r="607" spans="1:11">
      <c r="A607" s="225" t="s">
        <v>1880</v>
      </c>
      <c r="B607" s="225" t="s">
        <v>2222</v>
      </c>
      <c r="C607" s="228" t="s">
        <v>2224</v>
      </c>
      <c r="D607" s="220" t="s">
        <v>2225</v>
      </c>
      <c r="E607">
        <f>+INPUT!CJ33</f>
        <v>2791742</v>
      </c>
    </row>
    <row r="608" spans="1:11">
      <c r="A608" s="225" t="s">
        <v>1880</v>
      </c>
      <c r="B608" s="225" t="s">
        <v>2222</v>
      </c>
      <c r="C608" s="228" t="s">
        <v>2226</v>
      </c>
      <c r="D608" s="220" t="s">
        <v>2227</v>
      </c>
    </row>
    <row r="609" spans="1:16">
      <c r="A609" s="225" t="s">
        <v>1880</v>
      </c>
      <c r="B609" s="225" t="s">
        <v>2222</v>
      </c>
      <c r="C609" s="228" t="s">
        <v>2228</v>
      </c>
      <c r="D609" s="220" t="s">
        <v>2229</v>
      </c>
    </row>
    <row r="610" spans="1:16">
      <c r="A610" s="225" t="s">
        <v>1880</v>
      </c>
      <c r="B610" s="225" t="s">
        <v>2222</v>
      </c>
      <c r="C610" s="228" t="s">
        <v>2175</v>
      </c>
      <c r="D610" s="220" t="s">
        <v>2230</v>
      </c>
    </row>
    <row r="611" spans="1:16">
      <c r="A611" s="225" t="s">
        <v>1880</v>
      </c>
      <c r="B611" s="225" t="s">
        <v>2222</v>
      </c>
      <c r="C611" s="228" t="s">
        <v>2176</v>
      </c>
      <c r="D611" s="220" t="s">
        <v>2231</v>
      </c>
      <c r="E611">
        <f>+INPUT!CJ37</f>
        <v>23768</v>
      </c>
    </row>
    <row r="612" spans="1:16">
      <c r="A612" s="225" t="s">
        <v>1880</v>
      </c>
      <c r="B612" s="225" t="s">
        <v>2222</v>
      </c>
      <c r="C612" s="228" t="s">
        <v>2232</v>
      </c>
      <c r="D612" s="220" t="s">
        <v>2233</v>
      </c>
    </row>
    <row r="613" spans="1:16">
      <c r="A613" s="225" t="s">
        <v>1880</v>
      </c>
      <c r="B613" s="225" t="s">
        <v>2222</v>
      </c>
      <c r="C613" s="228" t="s">
        <v>2234</v>
      </c>
      <c r="D613" s="220" t="s">
        <v>2235</v>
      </c>
      <c r="E613">
        <f>-INPUT!CJ47+INPUT!CJ38</f>
        <v>721164</v>
      </c>
    </row>
    <row r="614" spans="1:16" ht="13.5" thickBot="1">
      <c r="A614" s="225" t="s">
        <v>1880</v>
      </c>
      <c r="B614" s="225" t="s">
        <v>2222</v>
      </c>
      <c r="C614" s="228" t="s">
        <v>2177</v>
      </c>
      <c r="D614" s="220" t="s">
        <v>692</v>
      </c>
      <c r="E614" s="190"/>
      <c r="F614" s="75"/>
      <c r="G614" s="193">
        <f>SUM(E605:E614)</f>
        <v>5017793</v>
      </c>
      <c r="H614" s="40">
        <f>+PROPREV!L28-PROPREV!L36-PROPREV!L51</f>
        <v>5017793</v>
      </c>
      <c r="I614" s="201">
        <f>+H614-G614</f>
        <v>0</v>
      </c>
      <c r="J614" s="40"/>
      <c r="K614" s="194" t="s">
        <v>1889</v>
      </c>
      <c r="M614">
        <f>+G603-G614</f>
        <v>142814</v>
      </c>
      <c r="N614">
        <f>+INPUT!CJ61</f>
        <v>142814</v>
      </c>
      <c r="O614" s="143">
        <f>+N614-M614</f>
        <v>0</v>
      </c>
      <c r="P614" s="143" t="s">
        <v>1894</v>
      </c>
    </row>
    <row r="615" spans="1:16">
      <c r="A615" s="1334"/>
      <c r="B615" s="1335"/>
      <c r="C615" s="1335"/>
      <c r="D615" s="1335"/>
      <c r="I615" s="143"/>
      <c r="K615" s="21"/>
      <c r="O615" s="143"/>
      <c r="P615" s="143"/>
    </row>
    <row r="616" spans="1:16" ht="15.75">
      <c r="A616" s="1336" t="s">
        <v>2236</v>
      </c>
      <c r="B616" s="1337"/>
      <c r="C616" s="1337"/>
      <c r="D616" s="1337"/>
      <c r="I616" s="143"/>
      <c r="K616" s="21"/>
      <c r="O616" s="143"/>
      <c r="P616" s="143"/>
    </row>
    <row r="617" spans="1:16">
      <c r="A617" s="1338" t="s">
        <v>2237</v>
      </c>
      <c r="B617" s="1339"/>
      <c r="C617" s="1339"/>
      <c r="D617" s="1339"/>
      <c r="I617" s="143"/>
      <c r="K617" s="21"/>
      <c r="O617" s="143"/>
      <c r="P617" s="143"/>
    </row>
    <row r="618" spans="1:16">
      <c r="A618" s="225" t="s">
        <v>1881</v>
      </c>
      <c r="B618" s="222" t="s">
        <v>2074</v>
      </c>
      <c r="C618" s="220"/>
      <c r="D618" s="224" t="s">
        <v>1873</v>
      </c>
      <c r="E618">
        <f>+INPUT!CU85+INPUT!CU86</f>
        <v>5442115</v>
      </c>
      <c r="P618" s="156" t="s">
        <v>1896</v>
      </c>
    </row>
    <row r="619" spans="1:16">
      <c r="A619" s="225" t="s">
        <v>1881</v>
      </c>
      <c r="B619" s="226" t="s">
        <v>2075</v>
      </c>
      <c r="C619" s="220"/>
      <c r="D619" s="220" t="s">
        <v>2076</v>
      </c>
      <c r="E619">
        <f>+INPUT!CU88</f>
        <v>0</v>
      </c>
    </row>
    <row r="620" spans="1:16">
      <c r="A620" s="225" t="s">
        <v>1881</v>
      </c>
      <c r="B620" s="227" t="s">
        <v>2077</v>
      </c>
      <c r="C620" s="220"/>
      <c r="D620" s="220" t="s">
        <v>1823</v>
      </c>
      <c r="E620">
        <f>+INPUT!CU89+INPUT!CU90+INPUT!CU102+INPUT!CU91+'IS BS'!R41</f>
        <v>1204517</v>
      </c>
    </row>
    <row r="621" spans="1:16">
      <c r="A621" s="225" t="s">
        <v>1881</v>
      </c>
      <c r="B621" s="227" t="s">
        <v>2078</v>
      </c>
      <c r="C621" s="220"/>
      <c r="D621" s="220" t="s">
        <v>1824</v>
      </c>
      <c r="E621">
        <f>+INPUT!CU92+INPUT!CU93+INPUT!CU103</f>
        <v>0</v>
      </c>
    </row>
    <row r="622" spans="1:16">
      <c r="A622" s="225" t="s">
        <v>1881</v>
      </c>
      <c r="B622" s="227" t="s">
        <v>2079</v>
      </c>
      <c r="C622" s="220"/>
      <c r="D622" s="220" t="s">
        <v>1825</v>
      </c>
    </row>
    <row r="623" spans="1:16">
      <c r="A623" s="225" t="s">
        <v>1881</v>
      </c>
      <c r="B623" s="227" t="s">
        <v>2080</v>
      </c>
      <c r="C623" s="220"/>
      <c r="D623" s="220" t="s">
        <v>1826</v>
      </c>
      <c r="E623">
        <f>+INPUT!CU94</f>
        <v>35792</v>
      </c>
    </row>
    <row r="624" spans="1:16">
      <c r="A624" s="225" t="s">
        <v>1881</v>
      </c>
      <c r="B624" s="227" t="s">
        <v>2081</v>
      </c>
      <c r="C624" s="220"/>
      <c r="D624" s="220" t="s">
        <v>1827</v>
      </c>
      <c r="E624">
        <f>+INPUT!CU98+INPUT!CU99</f>
        <v>0</v>
      </c>
    </row>
    <row r="625" spans="1:12">
      <c r="A625" s="225" t="s">
        <v>1881</v>
      </c>
      <c r="B625" s="227" t="s">
        <v>2082</v>
      </c>
      <c r="C625" s="220"/>
      <c r="D625" s="220" t="s">
        <v>1828</v>
      </c>
      <c r="E625">
        <f>+INPUT!CU107+INPUT!CU108</f>
        <v>637686</v>
      </c>
      <c r="G625">
        <f>SUM(E618:E625)</f>
        <v>7320110</v>
      </c>
      <c r="H625">
        <f>+PROPNA!N43+PROPNA!N56</f>
        <v>7320110</v>
      </c>
      <c r="I625">
        <f>+H625-G625</f>
        <v>0</v>
      </c>
    </row>
    <row r="626" spans="1:12">
      <c r="A626" s="225" t="s">
        <v>1881</v>
      </c>
      <c r="B626" s="227" t="s">
        <v>2083</v>
      </c>
      <c r="C626" s="220"/>
      <c r="D626" s="220" t="s">
        <v>1829</v>
      </c>
    </row>
    <row r="627" spans="1:12">
      <c r="A627" s="1338" t="s">
        <v>2238</v>
      </c>
      <c r="B627" s="1339"/>
      <c r="C627" s="1339"/>
      <c r="D627" s="1339"/>
    </row>
    <row r="628" spans="1:12">
      <c r="A628" s="225" t="s">
        <v>1881</v>
      </c>
      <c r="B628" s="225" t="s">
        <v>2085</v>
      </c>
      <c r="C628" s="220"/>
      <c r="D628" s="220" t="s">
        <v>1830</v>
      </c>
      <c r="E628">
        <f>+INPUT!CU132+INPUT!CU140+'IS BS'!R54</f>
        <v>765359</v>
      </c>
    </row>
    <row r="629" spans="1:12">
      <c r="A629" s="225" t="s">
        <v>1881</v>
      </c>
      <c r="B629" s="225" t="s">
        <v>2087</v>
      </c>
      <c r="C629" s="220"/>
      <c r="D629" s="220" t="s">
        <v>1831</v>
      </c>
      <c r="E629">
        <f>+INPUT!CU135+INPUT!CU138+INPUT!CU139+INPUT!CU141</f>
        <v>0</v>
      </c>
    </row>
    <row r="630" spans="1:12">
      <c r="A630" s="225" t="s">
        <v>1881</v>
      </c>
      <c r="B630" s="225" t="s">
        <v>2088</v>
      </c>
      <c r="C630" s="220"/>
      <c r="D630" s="220" t="s">
        <v>1832</v>
      </c>
    </row>
    <row r="631" spans="1:12">
      <c r="A631" s="225" t="s">
        <v>1881</v>
      </c>
      <c r="B631" s="225" t="s">
        <v>2089</v>
      </c>
      <c r="C631" s="220"/>
      <c r="D631" s="220" t="s">
        <v>1833</v>
      </c>
      <c r="E631">
        <f>+INPUT!CU146+INPUT!CU148+INPUT!CU149+INPUT!CU151+INPUT!CU158+INPUT!CU153</f>
        <v>754891</v>
      </c>
      <c r="G631">
        <f>SUM(E628:E631)</f>
        <v>1520250</v>
      </c>
      <c r="H631">
        <f>+PROPNA!N87+PROPNA!N105</f>
        <v>1520250</v>
      </c>
      <c r="I631">
        <f>+H631-G631</f>
        <v>0</v>
      </c>
    </row>
    <row r="632" spans="1:12">
      <c r="A632" s="232">
        <v>6000</v>
      </c>
      <c r="B632" s="232">
        <v>237000</v>
      </c>
      <c r="C632" s="220"/>
      <c r="D632" s="220" t="s">
        <v>2068</v>
      </c>
    </row>
    <row r="633" spans="1:12">
      <c r="A633" s="232">
        <v>6000</v>
      </c>
      <c r="B633" s="232">
        <v>238000</v>
      </c>
      <c r="C633" s="220"/>
      <c r="D633" s="220" t="s">
        <v>562</v>
      </c>
    </row>
    <row r="634" spans="1:12">
      <c r="A634" s="1338" t="s">
        <v>2239</v>
      </c>
      <c r="B634" s="1339"/>
      <c r="C634" s="1339"/>
      <c r="D634" s="1339"/>
    </row>
    <row r="635" spans="1:12">
      <c r="A635" s="225" t="s">
        <v>1881</v>
      </c>
      <c r="B635" s="225" t="s">
        <v>2091</v>
      </c>
      <c r="C635" s="220"/>
      <c r="D635" s="220" t="s">
        <v>2212</v>
      </c>
      <c r="E635">
        <f>+INPUT!CU181+INPUT!CU182</f>
        <v>0</v>
      </c>
    </row>
    <row r="636" spans="1:12">
      <c r="A636" s="225" t="s">
        <v>1881</v>
      </c>
      <c r="B636" s="225" t="s">
        <v>2092</v>
      </c>
      <c r="C636" s="220"/>
      <c r="D636" s="220" t="s">
        <v>2213</v>
      </c>
    </row>
    <row r="637" spans="1:12">
      <c r="A637" s="225" t="s">
        <v>1881</v>
      </c>
      <c r="B637" s="225" t="s">
        <v>2094</v>
      </c>
      <c r="C637" s="220"/>
      <c r="D637" s="220" t="s">
        <v>2214</v>
      </c>
      <c r="E637">
        <f>+INPUT!CU185</f>
        <v>4716531</v>
      </c>
    </row>
    <row r="638" spans="1:12">
      <c r="A638" s="225" t="s">
        <v>1881</v>
      </c>
      <c r="B638" s="225" t="s">
        <v>2095</v>
      </c>
      <c r="C638" s="220"/>
      <c r="D638" s="220" t="s">
        <v>2215</v>
      </c>
      <c r="E638" s="38">
        <f>+INPUT!CU176</f>
        <v>1083329</v>
      </c>
      <c r="F638" s="38"/>
      <c r="G638" s="38">
        <f>SUM(E635:E638)</f>
        <v>5799860</v>
      </c>
      <c r="H638" s="38">
        <f>+PROPNA!N116</f>
        <v>5799860</v>
      </c>
      <c r="I638" s="38">
        <f>+H638-G638</f>
        <v>0</v>
      </c>
      <c r="J638" s="38"/>
      <c r="K638" s="197">
        <f>+G625-G631-G638</f>
        <v>0</v>
      </c>
      <c r="L638" s="143" t="s">
        <v>1887</v>
      </c>
    </row>
    <row r="639" spans="1:12">
      <c r="A639" s="1338" t="s">
        <v>2240</v>
      </c>
      <c r="B639" s="1339"/>
      <c r="C639" s="1339"/>
      <c r="D639" s="1339"/>
      <c r="K639" s="143"/>
      <c r="L639" s="143"/>
    </row>
    <row r="640" spans="1:12">
      <c r="A640" s="225" t="s">
        <v>1881</v>
      </c>
      <c r="B640" s="225" t="s">
        <v>2098</v>
      </c>
      <c r="C640" s="220"/>
      <c r="D640" s="220" t="s">
        <v>1836</v>
      </c>
      <c r="L640" s="156" t="s">
        <v>1896</v>
      </c>
    </row>
    <row r="641" spans="1:12">
      <c r="A641" s="225" t="s">
        <v>1881</v>
      </c>
      <c r="B641" s="225" t="s">
        <v>2100</v>
      </c>
      <c r="C641" s="220"/>
      <c r="D641" s="220" t="s">
        <v>2217</v>
      </c>
    </row>
    <row r="642" spans="1:12">
      <c r="A642" s="225" t="s">
        <v>1881</v>
      </c>
      <c r="B642" s="225" t="s">
        <v>2102</v>
      </c>
      <c r="C642" s="220"/>
      <c r="D642" s="220" t="s">
        <v>1837</v>
      </c>
    </row>
    <row r="643" spans="1:12">
      <c r="A643" s="225" t="s">
        <v>1881</v>
      </c>
      <c r="B643" s="225" t="s">
        <v>2103</v>
      </c>
      <c r="C643" s="220"/>
      <c r="D643" s="220" t="s">
        <v>2218</v>
      </c>
    </row>
    <row r="644" spans="1:12">
      <c r="A644" s="225" t="s">
        <v>1881</v>
      </c>
      <c r="B644" s="225" t="s">
        <v>2105</v>
      </c>
      <c r="C644" s="220"/>
      <c r="D644" s="220" t="s">
        <v>1838</v>
      </c>
    </row>
    <row r="645" spans="1:12">
      <c r="A645" s="225" t="s">
        <v>1881</v>
      </c>
      <c r="B645" s="225" t="s">
        <v>2106</v>
      </c>
      <c r="C645" s="220"/>
      <c r="D645" s="220" t="s">
        <v>1839</v>
      </c>
    </row>
    <row r="646" spans="1:12">
      <c r="A646" s="225" t="s">
        <v>1881</v>
      </c>
      <c r="B646" s="225" t="s">
        <v>2107</v>
      </c>
      <c r="C646" s="220"/>
      <c r="D646" s="220" t="s">
        <v>1840</v>
      </c>
    </row>
    <row r="647" spans="1:12">
      <c r="A647" s="225" t="s">
        <v>1881</v>
      </c>
      <c r="B647" s="225" t="s">
        <v>2109</v>
      </c>
      <c r="C647" s="220"/>
      <c r="D647" s="220" t="s">
        <v>1841</v>
      </c>
    </row>
    <row r="648" spans="1:12">
      <c r="A648" s="225" t="s">
        <v>1881</v>
      </c>
      <c r="B648" s="225" t="s">
        <v>2110</v>
      </c>
      <c r="C648" s="220"/>
      <c r="D648" s="220" t="s">
        <v>1842</v>
      </c>
    </row>
    <row r="649" spans="1:12">
      <c r="A649" s="225" t="s">
        <v>1881</v>
      </c>
      <c r="B649" s="225" t="s">
        <v>2112</v>
      </c>
      <c r="C649" s="220"/>
      <c r="D649" s="220" t="s">
        <v>1843</v>
      </c>
      <c r="E649" s="218"/>
      <c r="I649" s="218"/>
    </row>
    <row r="650" spans="1:12">
      <c r="A650" s="225" t="s">
        <v>1881</v>
      </c>
      <c r="B650" s="225" t="s">
        <v>2113</v>
      </c>
      <c r="C650" s="220"/>
      <c r="D650" s="220" t="s">
        <v>1844</v>
      </c>
      <c r="I650" s="218"/>
    </row>
    <row r="651" spans="1:12">
      <c r="A651" s="225" t="s">
        <v>1881</v>
      </c>
      <c r="B651" s="225" t="s">
        <v>2114</v>
      </c>
      <c r="C651" s="220"/>
      <c r="D651" s="220" t="s">
        <v>1845</v>
      </c>
    </row>
    <row r="652" spans="1:12">
      <c r="A652" s="225" t="s">
        <v>1881</v>
      </c>
      <c r="B652" s="225" t="s">
        <v>2116</v>
      </c>
      <c r="C652" s="220"/>
      <c r="D652" s="220" t="s">
        <v>1846</v>
      </c>
      <c r="E652" s="218"/>
      <c r="L652" s="21"/>
    </row>
    <row r="653" spans="1:12">
      <c r="A653" s="225" t="s">
        <v>1881</v>
      </c>
      <c r="B653" s="225" t="s">
        <v>2117</v>
      </c>
      <c r="C653" s="220"/>
      <c r="D653" s="220" t="s">
        <v>1847</v>
      </c>
      <c r="L653" s="21"/>
    </row>
    <row r="654" spans="1:12">
      <c r="A654" s="225" t="s">
        <v>1881</v>
      </c>
      <c r="B654" s="225" t="s">
        <v>2119</v>
      </c>
      <c r="C654" s="220"/>
      <c r="D654" s="220" t="s">
        <v>1848</v>
      </c>
    </row>
    <row r="655" spans="1:12">
      <c r="A655" s="225" t="s">
        <v>1881</v>
      </c>
      <c r="B655" s="225" t="s">
        <v>2120</v>
      </c>
      <c r="C655" s="220"/>
      <c r="D655" s="220" t="s">
        <v>1849</v>
      </c>
    </row>
    <row r="656" spans="1:12">
      <c r="A656" s="225" t="s">
        <v>1881</v>
      </c>
      <c r="B656" s="225" t="s">
        <v>2121</v>
      </c>
      <c r="C656" s="220"/>
      <c r="D656" s="220" t="s">
        <v>1850</v>
      </c>
    </row>
    <row r="657" spans="1:12">
      <c r="A657" s="225" t="s">
        <v>1881</v>
      </c>
      <c r="B657" s="225" t="s">
        <v>2122</v>
      </c>
      <c r="C657" s="220"/>
      <c r="D657" s="220" t="s">
        <v>1851</v>
      </c>
      <c r="J657" s="191"/>
      <c r="K657" s="191"/>
      <c r="L657" s="191"/>
    </row>
    <row r="658" spans="1:12">
      <c r="A658" s="225" t="s">
        <v>1881</v>
      </c>
      <c r="B658" s="225" t="s">
        <v>2124</v>
      </c>
      <c r="C658" s="220"/>
      <c r="D658" s="220" t="s">
        <v>1852</v>
      </c>
      <c r="E658">
        <f>+INPUT!CM13+INPUT!CP13+INPUT!CQ13+INPUT!CR13</f>
        <v>10890356</v>
      </c>
    </row>
    <row r="659" spans="1:12">
      <c r="A659" s="225" t="s">
        <v>1881</v>
      </c>
      <c r="B659" s="225" t="s">
        <v>2126</v>
      </c>
      <c r="C659" s="220"/>
      <c r="D659" s="220" t="s">
        <v>683</v>
      </c>
    </row>
    <row r="660" spans="1:12">
      <c r="A660" s="225" t="s">
        <v>1881</v>
      </c>
      <c r="B660" s="225" t="s">
        <v>2128</v>
      </c>
      <c r="C660" s="220"/>
      <c r="D660" s="220" t="s">
        <v>777</v>
      </c>
      <c r="E660">
        <f>+INPUT!CL13+INPUT!CN13+INPUT!CO13</f>
        <v>1374322</v>
      </c>
    </row>
    <row r="661" spans="1:12">
      <c r="A661" s="225" t="s">
        <v>1881</v>
      </c>
      <c r="B661" s="225" t="s">
        <v>2130</v>
      </c>
      <c r="C661" s="220"/>
      <c r="D661" s="220" t="s">
        <v>1853</v>
      </c>
    </row>
    <row r="662" spans="1:12">
      <c r="A662" s="225" t="s">
        <v>1881</v>
      </c>
      <c r="B662" s="225" t="s">
        <v>2132</v>
      </c>
      <c r="C662" s="220"/>
      <c r="D662" s="220" t="s">
        <v>1854</v>
      </c>
    </row>
    <row r="663" spans="1:12">
      <c r="A663" s="225" t="s">
        <v>1881</v>
      </c>
      <c r="B663" s="225" t="s">
        <v>2133</v>
      </c>
      <c r="C663" s="220"/>
      <c r="D663" s="220" t="s">
        <v>1855</v>
      </c>
    </row>
    <row r="664" spans="1:12">
      <c r="A664" s="225" t="s">
        <v>1881</v>
      </c>
      <c r="B664" s="225" t="s">
        <v>2135</v>
      </c>
      <c r="C664" s="220"/>
      <c r="D664" s="220" t="s">
        <v>1856</v>
      </c>
    </row>
    <row r="665" spans="1:12">
      <c r="A665" s="225" t="s">
        <v>1881</v>
      </c>
      <c r="B665" s="225" t="s">
        <v>2137</v>
      </c>
      <c r="C665" s="220"/>
      <c r="D665" s="220" t="s">
        <v>1857</v>
      </c>
    </row>
    <row r="666" spans="1:12">
      <c r="A666" s="225" t="s">
        <v>1881</v>
      </c>
      <c r="B666" s="225" t="s">
        <v>2138</v>
      </c>
      <c r="C666" s="220"/>
      <c r="D666" s="220" t="s">
        <v>1858</v>
      </c>
      <c r="E666">
        <f>+INPUT!CU15</f>
        <v>1851365</v>
      </c>
      <c r="J666" s="191"/>
      <c r="K666" s="191"/>
      <c r="L666" s="191"/>
    </row>
    <row r="667" spans="1:12">
      <c r="A667" s="225" t="s">
        <v>1881</v>
      </c>
      <c r="B667" s="225" t="s">
        <v>2139</v>
      </c>
      <c r="C667" s="220"/>
      <c r="D667" s="220" t="s">
        <v>1859</v>
      </c>
      <c r="I667" s="143"/>
    </row>
    <row r="668" spans="1:12">
      <c r="A668" s="225" t="s">
        <v>1881</v>
      </c>
      <c r="B668" s="225" t="s">
        <v>2140</v>
      </c>
      <c r="C668" s="220"/>
      <c r="D668" s="220" t="s">
        <v>1860</v>
      </c>
      <c r="E668">
        <f>+INPUT!CU56</f>
        <v>0</v>
      </c>
      <c r="I668" s="143"/>
    </row>
    <row r="669" spans="1:12">
      <c r="A669" s="225" t="s">
        <v>1881</v>
      </c>
      <c r="B669" s="225" t="s">
        <v>2141</v>
      </c>
      <c r="C669" s="220"/>
      <c r="D669" s="220" t="s">
        <v>1861</v>
      </c>
    </row>
    <row r="670" spans="1:12">
      <c r="A670" s="225" t="s">
        <v>1881</v>
      </c>
      <c r="B670" s="225" t="s">
        <v>2143</v>
      </c>
      <c r="C670" s="220"/>
      <c r="D670" s="220" t="s">
        <v>1862</v>
      </c>
    </row>
    <row r="671" spans="1:12">
      <c r="A671" s="225" t="s">
        <v>1881</v>
      </c>
      <c r="B671" s="225" t="s">
        <v>2144</v>
      </c>
      <c r="C671" s="220"/>
      <c r="D671" s="220" t="s">
        <v>1863</v>
      </c>
    </row>
    <row r="672" spans="1:12">
      <c r="A672" s="225" t="s">
        <v>1881</v>
      </c>
      <c r="B672" s="225" t="s">
        <v>2145</v>
      </c>
      <c r="C672" s="220"/>
      <c r="D672" s="220" t="s">
        <v>1864</v>
      </c>
      <c r="E672">
        <f>+INPUT!CU16</f>
        <v>186783</v>
      </c>
    </row>
    <row r="673" spans="1:11">
      <c r="A673" s="225" t="s">
        <v>1881</v>
      </c>
      <c r="B673" s="225" t="s">
        <v>2146</v>
      </c>
      <c r="C673" s="220"/>
      <c r="D673" s="220" t="s">
        <v>1865</v>
      </c>
    </row>
    <row r="674" spans="1:11">
      <c r="A674" s="225" t="s">
        <v>1881</v>
      </c>
      <c r="B674" s="225" t="s">
        <v>2147</v>
      </c>
      <c r="C674" s="220"/>
      <c r="D674" s="220" t="s">
        <v>1866</v>
      </c>
    </row>
    <row r="675" spans="1:11">
      <c r="A675" s="225" t="s">
        <v>1881</v>
      </c>
      <c r="B675" s="225" t="s">
        <v>2148</v>
      </c>
      <c r="C675" s="220"/>
      <c r="D675" s="220" t="s">
        <v>1867</v>
      </c>
    </row>
    <row r="676" spans="1:11">
      <c r="A676" s="225" t="s">
        <v>1881</v>
      </c>
      <c r="B676" s="225" t="s">
        <v>2150</v>
      </c>
      <c r="C676" s="220"/>
      <c r="D676" s="220" t="s">
        <v>1868</v>
      </c>
    </row>
    <row r="677" spans="1:11">
      <c r="A677" s="225" t="s">
        <v>1881</v>
      </c>
      <c r="B677" s="225" t="s">
        <v>2152</v>
      </c>
      <c r="C677" s="220"/>
      <c r="D677" s="220" t="s">
        <v>1869</v>
      </c>
      <c r="E677">
        <f>+INPUT!CU46</f>
        <v>2156877</v>
      </c>
    </row>
    <row r="678" spans="1:11">
      <c r="A678" s="225" t="s">
        <v>1881</v>
      </c>
      <c r="B678" s="225" t="s">
        <v>2153</v>
      </c>
      <c r="C678" s="220"/>
      <c r="D678" s="220" t="s">
        <v>2154</v>
      </c>
    </row>
    <row r="679" spans="1:11">
      <c r="A679" s="225" t="s">
        <v>1881</v>
      </c>
      <c r="B679" s="225" t="s">
        <v>2155</v>
      </c>
      <c r="C679" s="220"/>
      <c r="D679" s="220" t="s">
        <v>2156</v>
      </c>
    </row>
    <row r="680" spans="1:11">
      <c r="A680" s="225" t="s">
        <v>1881</v>
      </c>
      <c r="B680" s="225" t="s">
        <v>2157</v>
      </c>
      <c r="C680" s="220"/>
      <c r="D680" s="220" t="s">
        <v>2158</v>
      </c>
    </row>
    <row r="681" spans="1:11">
      <c r="A681" s="225" t="s">
        <v>1881</v>
      </c>
      <c r="B681" s="225" t="s">
        <v>2159</v>
      </c>
      <c r="C681" s="220"/>
      <c r="D681" s="220" t="s">
        <v>2160</v>
      </c>
    </row>
    <row r="682" spans="1:11">
      <c r="A682" s="225" t="s">
        <v>1881</v>
      </c>
      <c r="B682" s="225" t="s">
        <v>2161</v>
      </c>
      <c r="C682" s="220"/>
      <c r="D682" s="220" t="s">
        <v>2162</v>
      </c>
    </row>
    <row r="683" spans="1:11">
      <c r="A683" s="225" t="s">
        <v>1881</v>
      </c>
      <c r="B683" s="225" t="s">
        <v>2163</v>
      </c>
      <c r="C683" s="220"/>
      <c r="D683" s="220" t="s">
        <v>2164</v>
      </c>
    </row>
    <row r="684" spans="1:11">
      <c r="A684" s="225" t="s">
        <v>1881</v>
      </c>
      <c r="B684" s="225" t="s">
        <v>2165</v>
      </c>
      <c r="C684" s="220"/>
      <c r="D684" s="220" t="s">
        <v>2166</v>
      </c>
    </row>
    <row r="685" spans="1:11">
      <c r="A685" s="225" t="s">
        <v>1881</v>
      </c>
      <c r="B685" s="225" t="s">
        <v>2167</v>
      </c>
      <c r="C685" s="220"/>
      <c r="D685" s="220" t="s">
        <v>2168</v>
      </c>
    </row>
    <row r="686" spans="1:11">
      <c r="A686" s="225" t="s">
        <v>1881</v>
      </c>
      <c r="B686" s="225" t="s">
        <v>2169</v>
      </c>
      <c r="C686" s="220"/>
      <c r="D686" s="220" t="s">
        <v>2170</v>
      </c>
      <c r="G686" s="193">
        <f>SUM(E640:E686)</f>
        <v>16459703</v>
      </c>
      <c r="H686" s="40">
        <f>+PROPREV!N19+PROPREV!N33+PROPREV!N35+PROPREV!N50</f>
        <v>16459703</v>
      </c>
      <c r="I686" s="201">
        <f>+H686-G686</f>
        <v>0</v>
      </c>
      <c r="J686" s="194" t="s">
        <v>1898</v>
      </c>
      <c r="K686" s="195"/>
    </row>
    <row r="687" spans="1:11">
      <c r="A687" s="1338" t="s">
        <v>2241</v>
      </c>
      <c r="B687" s="1339"/>
      <c r="C687" s="1339"/>
      <c r="D687" s="1339"/>
      <c r="I687" s="143"/>
      <c r="J687" s="21"/>
    </row>
    <row r="688" spans="1:11">
      <c r="A688" s="225" t="s">
        <v>1881</v>
      </c>
      <c r="B688" s="225" t="s">
        <v>2222</v>
      </c>
      <c r="C688" s="228" t="s">
        <v>516</v>
      </c>
      <c r="D688" s="220" t="s">
        <v>2221</v>
      </c>
      <c r="E688">
        <f>+INPUT!CU31</f>
        <v>2599425</v>
      </c>
      <c r="J688" s="156" t="s">
        <v>1896</v>
      </c>
    </row>
    <row r="689" spans="1:16">
      <c r="A689" s="225" t="s">
        <v>1881</v>
      </c>
      <c r="B689" s="225" t="s">
        <v>2222</v>
      </c>
      <c r="C689" s="228" t="s">
        <v>2223</v>
      </c>
      <c r="D689" s="220" t="s">
        <v>694</v>
      </c>
      <c r="E689">
        <f>+INPUT!CU32</f>
        <v>2384337</v>
      </c>
    </row>
    <row r="690" spans="1:16">
      <c r="A690" s="225" t="s">
        <v>1881</v>
      </c>
      <c r="B690" s="225" t="s">
        <v>2222</v>
      </c>
      <c r="C690" s="228" t="s">
        <v>2224</v>
      </c>
      <c r="D690" s="220" t="s">
        <v>2225</v>
      </c>
      <c r="E690">
        <f>+INPUT!CU33</f>
        <v>10544034</v>
      </c>
    </row>
    <row r="691" spans="1:16">
      <c r="A691" s="225" t="s">
        <v>1881</v>
      </c>
      <c r="B691" s="225" t="s">
        <v>2222</v>
      </c>
      <c r="C691" s="228" t="s">
        <v>2226</v>
      </c>
      <c r="D691" s="220" t="s">
        <v>2227</v>
      </c>
    </row>
    <row r="692" spans="1:16">
      <c r="A692" s="225" t="s">
        <v>1881</v>
      </c>
      <c r="B692" s="225" t="s">
        <v>2222</v>
      </c>
      <c r="C692" s="228" t="s">
        <v>2228</v>
      </c>
      <c r="D692" s="220" t="s">
        <v>2229</v>
      </c>
    </row>
    <row r="693" spans="1:16">
      <c r="A693" s="225" t="s">
        <v>1881</v>
      </c>
      <c r="B693" s="225" t="s">
        <v>2222</v>
      </c>
      <c r="C693" s="228" t="s">
        <v>2175</v>
      </c>
      <c r="D693" s="220" t="s">
        <v>2230</v>
      </c>
    </row>
    <row r="694" spans="1:16">
      <c r="A694" s="225" t="s">
        <v>1881</v>
      </c>
      <c r="B694" s="225" t="s">
        <v>2222</v>
      </c>
      <c r="C694" s="228" t="s">
        <v>2176</v>
      </c>
      <c r="D694" s="220" t="s">
        <v>2231</v>
      </c>
      <c r="E694">
        <f>+INPUT!CU37</f>
        <v>4540</v>
      </c>
    </row>
    <row r="695" spans="1:16">
      <c r="A695" s="225" t="s">
        <v>1881</v>
      </c>
      <c r="B695" s="225" t="s">
        <v>2222</v>
      </c>
      <c r="C695" s="228" t="s">
        <v>2232</v>
      </c>
      <c r="D695" s="220" t="s">
        <v>2233</v>
      </c>
      <c r="E695">
        <f>-INPUT!CU54</f>
        <v>0</v>
      </c>
    </row>
    <row r="696" spans="1:16">
      <c r="A696" s="225" t="s">
        <v>1881</v>
      </c>
      <c r="B696" s="225" t="s">
        <v>2222</v>
      </c>
      <c r="C696" s="228" t="s">
        <v>2234</v>
      </c>
      <c r="D696" s="220" t="s">
        <v>2235</v>
      </c>
      <c r="E696">
        <f>-INPUT!CU47+INPUT!CU38</f>
        <v>928397</v>
      </c>
    </row>
    <row r="697" spans="1:16" ht="13.5" thickBot="1">
      <c r="A697" s="225" t="s">
        <v>1881</v>
      </c>
      <c r="B697" s="225" t="s">
        <v>2222</v>
      </c>
      <c r="C697" s="228" t="s">
        <v>2177</v>
      </c>
      <c r="D697" s="220" t="s">
        <v>692</v>
      </c>
      <c r="E697" s="190"/>
      <c r="F697" s="75"/>
      <c r="G697" s="193">
        <f>SUM(E688:E697)</f>
        <v>16460733</v>
      </c>
      <c r="H697" s="40">
        <f>+PROPREV!N28-PROPREV!N34-PROPREV!N36-PROPREV!N51</f>
        <v>16460733</v>
      </c>
      <c r="I697" s="201">
        <f>+H697-G697</f>
        <v>0</v>
      </c>
      <c r="J697" s="40"/>
      <c r="K697" s="194" t="s">
        <v>1889</v>
      </c>
      <c r="M697">
        <f>+G686-G697</f>
        <v>-1030</v>
      </c>
      <c r="N697">
        <f>+INPUT!CU61</f>
        <v>-1030</v>
      </c>
      <c r="O697" s="143">
        <f>+N697-M697</f>
        <v>0</v>
      </c>
      <c r="P697" s="143" t="s">
        <v>1894</v>
      </c>
    </row>
    <row r="698" spans="1:16">
      <c r="A698" s="1334"/>
      <c r="B698" s="1335"/>
      <c r="C698" s="1335"/>
      <c r="D698" s="1335"/>
      <c r="I698" s="143"/>
      <c r="K698" s="21"/>
      <c r="O698" s="143"/>
      <c r="P698" s="143"/>
    </row>
    <row r="699" spans="1:16" ht="15.75">
      <c r="A699" s="1336" t="s">
        <v>2242</v>
      </c>
      <c r="B699" s="1337"/>
      <c r="C699" s="1337"/>
      <c r="D699" s="1337"/>
      <c r="I699" s="143"/>
      <c r="K699" s="21"/>
      <c r="O699" s="143"/>
      <c r="P699" s="143"/>
    </row>
    <row r="700" spans="1:16">
      <c r="A700" s="1338" t="s">
        <v>2243</v>
      </c>
      <c r="B700" s="1339"/>
      <c r="C700" s="1339"/>
      <c r="D700" s="1339"/>
      <c r="I700" s="143"/>
      <c r="K700" s="21"/>
      <c r="O700" s="143"/>
      <c r="P700" s="143"/>
    </row>
    <row r="701" spans="1:16">
      <c r="A701" s="225" t="s">
        <v>1882</v>
      </c>
      <c r="B701" s="222" t="s">
        <v>2074</v>
      </c>
      <c r="C701" s="220"/>
      <c r="D701" s="224" t="s">
        <v>1873</v>
      </c>
      <c r="E701">
        <f>+'FID NA'!F16+'FID NA'!F17+'FID NA'!F20+'FID NA'!D16+'FID NA'!D18+'FID NA'!D19</f>
        <v>63162882</v>
      </c>
      <c r="L701" s="156" t="s">
        <v>1896</v>
      </c>
    </row>
    <row r="702" spans="1:16">
      <c r="A702" s="225" t="s">
        <v>1882</v>
      </c>
      <c r="B702" s="226" t="s">
        <v>2075</v>
      </c>
      <c r="C702" s="220"/>
      <c r="D702" s="220" t="s">
        <v>2076</v>
      </c>
    </row>
    <row r="703" spans="1:16">
      <c r="A703" s="225" t="s">
        <v>1882</v>
      </c>
      <c r="B703" s="227" t="s">
        <v>2077</v>
      </c>
      <c r="C703" s="220"/>
      <c r="D703" s="220" t="s">
        <v>1823</v>
      </c>
    </row>
    <row r="704" spans="1:16">
      <c r="A704" s="225" t="s">
        <v>1882</v>
      </c>
      <c r="B704" s="227" t="s">
        <v>2078</v>
      </c>
      <c r="C704" s="220"/>
      <c r="D704" s="220" t="s">
        <v>1824</v>
      </c>
    </row>
    <row r="705" spans="1:5">
      <c r="A705" s="225" t="s">
        <v>1882</v>
      </c>
      <c r="B705" s="227" t="s">
        <v>2079</v>
      </c>
      <c r="C705" s="220"/>
      <c r="D705" s="220" t="s">
        <v>1825</v>
      </c>
    </row>
    <row r="706" spans="1:5">
      <c r="A706" s="225" t="s">
        <v>1882</v>
      </c>
      <c r="B706" s="227" t="s">
        <v>2080</v>
      </c>
      <c r="C706" s="220"/>
      <c r="D706" s="220" t="s">
        <v>1826</v>
      </c>
    </row>
    <row r="707" spans="1:5">
      <c r="A707" s="225" t="s">
        <v>1882</v>
      </c>
      <c r="B707" s="227" t="s">
        <v>2081</v>
      </c>
      <c r="C707" s="220"/>
      <c r="D707" s="220" t="s">
        <v>1827</v>
      </c>
    </row>
    <row r="708" spans="1:5">
      <c r="A708" s="225" t="s">
        <v>1882</v>
      </c>
      <c r="B708" s="227" t="s">
        <v>2082</v>
      </c>
      <c r="C708" s="220"/>
      <c r="D708" s="220" t="s">
        <v>1828</v>
      </c>
    </row>
    <row r="709" spans="1:5">
      <c r="A709" s="225" t="s">
        <v>1882</v>
      </c>
      <c r="B709" s="227" t="s">
        <v>2083</v>
      </c>
      <c r="C709" s="220"/>
      <c r="D709" s="220" t="s">
        <v>1829</v>
      </c>
    </row>
    <row r="710" spans="1:5">
      <c r="A710" s="1338" t="s">
        <v>2244</v>
      </c>
      <c r="B710" s="1339"/>
      <c r="C710" s="1339"/>
      <c r="D710" s="1339"/>
    </row>
    <row r="711" spans="1:5">
      <c r="A711" s="225" t="s">
        <v>1882</v>
      </c>
      <c r="B711" s="225" t="s">
        <v>2085</v>
      </c>
      <c r="C711" s="220"/>
      <c r="D711" s="220" t="s">
        <v>1830</v>
      </c>
    </row>
    <row r="712" spans="1:5">
      <c r="A712" s="225" t="s">
        <v>1882</v>
      </c>
      <c r="B712" s="225" t="s">
        <v>2087</v>
      </c>
      <c r="C712" s="220"/>
      <c r="D712" s="220" t="s">
        <v>1831</v>
      </c>
    </row>
    <row r="713" spans="1:5">
      <c r="A713" s="225" t="s">
        <v>1882</v>
      </c>
      <c r="B713" s="225" t="s">
        <v>2088</v>
      </c>
      <c r="C713" s="220"/>
      <c r="D713" s="220" t="s">
        <v>1832</v>
      </c>
    </row>
    <row r="714" spans="1:5">
      <c r="A714" s="225" t="s">
        <v>1882</v>
      </c>
      <c r="B714" s="225" t="s">
        <v>2089</v>
      </c>
      <c r="C714" s="220"/>
      <c r="D714" s="220" t="s">
        <v>1833</v>
      </c>
    </row>
    <row r="715" spans="1:5">
      <c r="A715" s="1338" t="s">
        <v>2245</v>
      </c>
      <c r="B715" s="1339"/>
      <c r="C715" s="1339"/>
      <c r="D715" s="1339"/>
    </row>
    <row r="716" spans="1:5">
      <c r="A716" s="225" t="s">
        <v>1882</v>
      </c>
      <c r="B716" s="225" t="s">
        <v>2091</v>
      </c>
      <c r="C716" s="220"/>
      <c r="D716" s="220" t="s">
        <v>2212</v>
      </c>
      <c r="E716">
        <f>+'FID NA'!D38+'FID NA'!F39</f>
        <v>63162882</v>
      </c>
    </row>
    <row r="717" spans="1:5">
      <c r="A717" s="225" t="s">
        <v>1882</v>
      </c>
      <c r="B717" s="225" t="s">
        <v>2092</v>
      </c>
      <c r="C717" s="220"/>
      <c r="D717" s="220" t="s">
        <v>2213</v>
      </c>
    </row>
    <row r="718" spans="1:5">
      <c r="A718" s="225" t="s">
        <v>1882</v>
      </c>
      <c r="B718" s="225" t="s">
        <v>2094</v>
      </c>
      <c r="C718" s="220"/>
      <c r="D718" s="220" t="s">
        <v>2246</v>
      </c>
    </row>
    <row r="719" spans="1:5">
      <c r="A719" s="225" t="s">
        <v>1882</v>
      </c>
      <c r="B719" s="225" t="s">
        <v>2095</v>
      </c>
      <c r="C719" s="220"/>
      <c r="D719" s="220" t="s">
        <v>2215</v>
      </c>
    </row>
    <row r="720" spans="1:5">
      <c r="A720" s="1338" t="s">
        <v>2247</v>
      </c>
      <c r="B720" s="1339"/>
      <c r="C720" s="1339"/>
      <c r="D720" s="1339"/>
    </row>
    <row r="721" spans="1:4">
      <c r="A721" s="225" t="s">
        <v>1882</v>
      </c>
      <c r="B721" s="225" t="s">
        <v>2098</v>
      </c>
      <c r="C721" s="220"/>
      <c r="D721" s="220" t="s">
        <v>1836</v>
      </c>
    </row>
    <row r="722" spans="1:4">
      <c r="A722" s="225" t="s">
        <v>1882</v>
      </c>
      <c r="B722" s="225" t="s">
        <v>2100</v>
      </c>
      <c r="C722" s="220"/>
      <c r="D722" s="220" t="s">
        <v>2217</v>
      </c>
    </row>
    <row r="723" spans="1:4">
      <c r="A723" s="225" t="s">
        <v>1882</v>
      </c>
      <c r="B723" s="225" t="s">
        <v>2102</v>
      </c>
      <c r="C723" s="220"/>
      <c r="D723" s="220" t="s">
        <v>1837</v>
      </c>
    </row>
    <row r="724" spans="1:4">
      <c r="A724" s="225" t="s">
        <v>1882</v>
      </c>
      <c r="B724" s="225" t="s">
        <v>2103</v>
      </c>
      <c r="C724" s="220"/>
      <c r="D724" s="220" t="s">
        <v>2218</v>
      </c>
    </row>
    <row r="725" spans="1:4">
      <c r="A725" s="225" t="s">
        <v>1882</v>
      </c>
      <c r="B725" s="225" t="s">
        <v>2105</v>
      </c>
      <c r="C725" s="220"/>
      <c r="D725" s="220" t="s">
        <v>1838</v>
      </c>
    </row>
    <row r="726" spans="1:4">
      <c r="A726" s="225" t="s">
        <v>1882</v>
      </c>
      <c r="B726" s="225" t="s">
        <v>2106</v>
      </c>
      <c r="C726" s="220"/>
      <c r="D726" s="220" t="s">
        <v>1839</v>
      </c>
    </row>
    <row r="727" spans="1:4">
      <c r="A727" s="225" t="s">
        <v>1882</v>
      </c>
      <c r="B727" s="225" t="s">
        <v>2107</v>
      </c>
      <c r="C727" s="220"/>
      <c r="D727" s="220" t="s">
        <v>2248</v>
      </c>
    </row>
    <row r="728" spans="1:4">
      <c r="A728" s="225" t="s">
        <v>1882</v>
      </c>
      <c r="B728" s="225" t="s">
        <v>2109</v>
      </c>
      <c r="C728" s="220"/>
      <c r="D728" s="220" t="s">
        <v>1841</v>
      </c>
    </row>
    <row r="729" spans="1:4">
      <c r="A729" s="225" t="s">
        <v>1882</v>
      </c>
      <c r="B729" s="225" t="s">
        <v>2110</v>
      </c>
      <c r="C729" s="220"/>
      <c r="D729" s="220" t="s">
        <v>1842</v>
      </c>
    </row>
    <row r="730" spans="1:4">
      <c r="A730" s="225" t="s">
        <v>1882</v>
      </c>
      <c r="B730" s="225" t="s">
        <v>2112</v>
      </c>
      <c r="C730" s="220"/>
      <c r="D730" s="220" t="s">
        <v>1843</v>
      </c>
    </row>
    <row r="731" spans="1:4">
      <c r="A731" s="225" t="s">
        <v>1882</v>
      </c>
      <c r="B731" s="225" t="s">
        <v>2113</v>
      </c>
      <c r="C731" s="220"/>
      <c r="D731" s="220" t="s">
        <v>1844</v>
      </c>
    </row>
    <row r="732" spans="1:4">
      <c r="A732" s="225" t="s">
        <v>1882</v>
      </c>
      <c r="B732" s="225" t="s">
        <v>2114</v>
      </c>
      <c r="C732" s="220"/>
      <c r="D732" s="220" t="s">
        <v>2115</v>
      </c>
    </row>
    <row r="733" spans="1:4">
      <c r="A733" s="225" t="s">
        <v>1882</v>
      </c>
      <c r="B733" s="225" t="s">
        <v>2116</v>
      </c>
      <c r="C733" s="220"/>
      <c r="D733" s="220" t="s">
        <v>1846</v>
      </c>
    </row>
    <row r="734" spans="1:4">
      <c r="A734" s="225" t="s">
        <v>1882</v>
      </c>
      <c r="B734" s="225" t="s">
        <v>2117</v>
      </c>
      <c r="C734" s="220"/>
      <c r="D734" s="220" t="s">
        <v>1847</v>
      </c>
    </row>
    <row r="735" spans="1:4">
      <c r="A735" s="225" t="s">
        <v>1882</v>
      </c>
      <c r="B735" s="225" t="s">
        <v>2119</v>
      </c>
      <c r="C735" s="220"/>
      <c r="D735" s="220" t="s">
        <v>1848</v>
      </c>
    </row>
    <row r="736" spans="1:4">
      <c r="A736" s="225" t="s">
        <v>1882</v>
      </c>
      <c r="B736" s="225" t="s">
        <v>2120</v>
      </c>
      <c r="C736" s="220"/>
      <c r="D736" s="220" t="s">
        <v>1849</v>
      </c>
    </row>
    <row r="737" spans="1:5">
      <c r="A737" s="225" t="s">
        <v>1882</v>
      </c>
      <c r="B737" s="225" t="s">
        <v>2121</v>
      </c>
      <c r="C737" s="220"/>
      <c r="D737" s="220" t="s">
        <v>1850</v>
      </c>
    </row>
    <row r="738" spans="1:5">
      <c r="A738" s="225" t="s">
        <v>1882</v>
      </c>
      <c r="B738" s="225" t="s">
        <v>2122</v>
      </c>
      <c r="C738" s="220"/>
      <c r="D738" s="220" t="s">
        <v>2123</v>
      </c>
    </row>
    <row r="739" spans="1:5">
      <c r="A739" s="225" t="s">
        <v>1882</v>
      </c>
      <c r="B739" s="225" t="s">
        <v>2124</v>
      </c>
      <c r="C739" s="220"/>
      <c r="D739" s="220" t="s">
        <v>1852</v>
      </c>
    </row>
    <row r="740" spans="1:5">
      <c r="A740" s="225" t="s">
        <v>1882</v>
      </c>
      <c r="B740" s="225" t="s">
        <v>2126</v>
      </c>
      <c r="C740" s="220"/>
      <c r="D740" s="220" t="s">
        <v>683</v>
      </c>
    </row>
    <row r="741" spans="1:5">
      <c r="A741" s="225" t="s">
        <v>1882</v>
      </c>
      <c r="B741" s="225" t="s">
        <v>2128</v>
      </c>
      <c r="C741" s="220"/>
      <c r="D741" s="220" t="s">
        <v>777</v>
      </c>
    </row>
    <row r="742" spans="1:5">
      <c r="A742" s="225" t="s">
        <v>1882</v>
      </c>
      <c r="B742" s="225" t="s">
        <v>2130</v>
      </c>
      <c r="C742" s="220"/>
      <c r="D742" s="220" t="s">
        <v>1853</v>
      </c>
    </row>
    <row r="743" spans="1:5">
      <c r="A743" s="225" t="s">
        <v>1882</v>
      </c>
      <c r="B743" s="225" t="s">
        <v>2132</v>
      </c>
      <c r="C743" s="220"/>
      <c r="D743" s="220" t="s">
        <v>1854</v>
      </c>
    </row>
    <row r="744" spans="1:5">
      <c r="A744" s="225" t="s">
        <v>1882</v>
      </c>
      <c r="B744" s="225" t="s">
        <v>2133</v>
      </c>
      <c r="C744" s="220"/>
      <c r="D744" s="220" t="s">
        <v>1855</v>
      </c>
    </row>
    <row r="745" spans="1:5">
      <c r="A745" s="225" t="s">
        <v>1882</v>
      </c>
      <c r="B745" s="225" t="s">
        <v>2135</v>
      </c>
      <c r="C745" s="220"/>
      <c r="D745" s="220" t="s">
        <v>1856</v>
      </c>
    </row>
    <row r="746" spans="1:5">
      <c r="A746" s="225" t="s">
        <v>1882</v>
      </c>
      <c r="B746" s="225" t="s">
        <v>2137</v>
      </c>
      <c r="C746" s="220"/>
      <c r="D746" s="220" t="s">
        <v>1857</v>
      </c>
    </row>
    <row r="747" spans="1:5">
      <c r="A747" s="225" t="s">
        <v>1882</v>
      </c>
      <c r="B747" s="225" t="s">
        <v>2138</v>
      </c>
      <c r="C747" s="220"/>
      <c r="D747" s="220" t="s">
        <v>1858</v>
      </c>
    </row>
    <row r="748" spans="1:5">
      <c r="A748" s="225" t="s">
        <v>1882</v>
      </c>
      <c r="B748" s="225" t="s">
        <v>2139</v>
      </c>
      <c r="C748" s="220"/>
      <c r="D748" s="220" t="s">
        <v>1859</v>
      </c>
    </row>
    <row r="749" spans="1:5">
      <c r="A749" s="225" t="s">
        <v>1882</v>
      </c>
      <c r="B749" s="225" t="s">
        <v>2140</v>
      </c>
      <c r="C749" s="220"/>
      <c r="D749" s="220" t="s">
        <v>1860</v>
      </c>
    </row>
    <row r="750" spans="1:5">
      <c r="A750" s="225" t="s">
        <v>1882</v>
      </c>
      <c r="B750" s="225" t="s">
        <v>2141</v>
      </c>
      <c r="C750" s="220"/>
      <c r="D750" s="220" t="s">
        <v>2142</v>
      </c>
      <c r="E750">
        <f>+'FIDCH NA'!F16</f>
        <v>5274294</v>
      </c>
    </row>
    <row r="751" spans="1:5">
      <c r="A751" s="225" t="s">
        <v>1882</v>
      </c>
      <c r="B751" s="225" t="s">
        <v>2143</v>
      </c>
      <c r="C751" s="220"/>
      <c r="D751" s="220" t="s">
        <v>1862</v>
      </c>
    </row>
    <row r="752" spans="1:5">
      <c r="A752" s="225" t="s">
        <v>1882</v>
      </c>
      <c r="B752" s="225" t="s">
        <v>2144</v>
      </c>
      <c r="C752" s="220"/>
      <c r="D752" s="220" t="s">
        <v>1863</v>
      </c>
    </row>
    <row r="753" spans="1:5">
      <c r="A753" s="225" t="s">
        <v>1882</v>
      </c>
      <c r="B753" s="225" t="s">
        <v>2145</v>
      </c>
      <c r="C753" s="220"/>
      <c r="D753" s="220" t="s">
        <v>1864</v>
      </c>
      <c r="E753">
        <f>+'FIDCH NA'!F23</f>
        <v>20075</v>
      </c>
    </row>
    <row r="754" spans="1:5">
      <c r="A754" s="225" t="s">
        <v>1882</v>
      </c>
      <c r="B754" s="225" t="s">
        <v>2146</v>
      </c>
      <c r="C754" s="220"/>
      <c r="D754" s="220" t="s">
        <v>1865</v>
      </c>
    </row>
    <row r="755" spans="1:5">
      <c r="A755" s="225" t="s">
        <v>1882</v>
      </c>
      <c r="B755" s="225" t="s">
        <v>2147</v>
      </c>
      <c r="C755" s="220"/>
      <c r="D755" s="220" t="s">
        <v>1866</v>
      </c>
    </row>
    <row r="756" spans="1:5">
      <c r="A756" s="225" t="s">
        <v>1882</v>
      </c>
      <c r="B756" s="225" t="s">
        <v>2148</v>
      </c>
      <c r="C756" s="220"/>
      <c r="D756" s="220" t="s">
        <v>2149</v>
      </c>
    </row>
    <row r="757" spans="1:5">
      <c r="A757" s="225" t="s">
        <v>1882</v>
      </c>
      <c r="B757" s="225" t="s">
        <v>2150</v>
      </c>
      <c r="C757" s="220"/>
      <c r="D757" s="220" t="s">
        <v>2151</v>
      </c>
    </row>
    <row r="758" spans="1:5">
      <c r="A758" s="225" t="s">
        <v>1882</v>
      </c>
      <c r="B758" s="225" t="s">
        <v>2152</v>
      </c>
      <c r="C758" s="220"/>
      <c r="D758" s="220" t="s">
        <v>1869</v>
      </c>
    </row>
    <row r="759" spans="1:5">
      <c r="A759" s="225" t="s">
        <v>1882</v>
      </c>
      <c r="B759" s="225" t="s">
        <v>2153</v>
      </c>
      <c r="C759" s="220"/>
      <c r="D759" s="220" t="s">
        <v>2154</v>
      </c>
    </row>
    <row r="760" spans="1:5">
      <c r="A760" s="225" t="s">
        <v>1882</v>
      </c>
      <c r="B760" s="225" t="s">
        <v>2155</v>
      </c>
      <c r="C760" s="220"/>
      <c r="D760" s="220" t="s">
        <v>2156</v>
      </c>
    </row>
    <row r="761" spans="1:5">
      <c r="A761" s="225" t="s">
        <v>1882</v>
      </c>
      <c r="B761" s="225" t="s">
        <v>2157</v>
      </c>
      <c r="C761" s="220"/>
      <c r="D761" s="220" t="s">
        <v>2158</v>
      </c>
    </row>
    <row r="762" spans="1:5">
      <c r="A762" s="225" t="s">
        <v>1882</v>
      </c>
      <c r="B762" s="225" t="s">
        <v>2159</v>
      </c>
      <c r="C762" s="220"/>
      <c r="D762" s="220" t="s">
        <v>2160</v>
      </c>
    </row>
    <row r="763" spans="1:5">
      <c r="A763" s="225" t="s">
        <v>1882</v>
      </c>
      <c r="B763" s="225" t="s">
        <v>2161</v>
      </c>
      <c r="C763" s="220"/>
      <c r="D763" s="220" t="s">
        <v>2162</v>
      </c>
    </row>
    <row r="764" spans="1:5">
      <c r="A764" s="225" t="s">
        <v>1882</v>
      </c>
      <c r="B764" s="225" t="s">
        <v>2163</v>
      </c>
      <c r="C764" s="220"/>
      <c r="D764" s="220" t="s">
        <v>2164</v>
      </c>
    </row>
    <row r="765" spans="1:5">
      <c r="A765" s="225" t="s">
        <v>1882</v>
      </c>
      <c r="B765" s="225" t="s">
        <v>2165</v>
      </c>
      <c r="C765" s="220"/>
      <c r="D765" s="220" t="s">
        <v>2166</v>
      </c>
    </row>
    <row r="766" spans="1:5">
      <c r="A766" s="225" t="s">
        <v>1882</v>
      </c>
      <c r="B766" s="225" t="s">
        <v>2167</v>
      </c>
      <c r="C766" s="220"/>
      <c r="D766" s="220" t="s">
        <v>2168</v>
      </c>
    </row>
    <row r="767" spans="1:5">
      <c r="A767" s="225" t="s">
        <v>1882</v>
      </c>
      <c r="B767" s="225" t="s">
        <v>2169</v>
      </c>
      <c r="C767" s="220"/>
      <c r="D767" s="220" t="s">
        <v>2170</v>
      </c>
    </row>
    <row r="768" spans="1:5">
      <c r="A768" s="1338" t="s">
        <v>2249</v>
      </c>
      <c r="B768" s="1339"/>
      <c r="C768" s="1339"/>
      <c r="D768" s="1339"/>
    </row>
    <row r="769" spans="1:14">
      <c r="A769" s="225" t="s">
        <v>1882</v>
      </c>
      <c r="B769" s="225" t="s">
        <v>2222</v>
      </c>
      <c r="C769" s="228" t="s">
        <v>516</v>
      </c>
      <c r="D769" s="220"/>
    </row>
    <row r="770" spans="1:14">
      <c r="A770" s="225" t="s">
        <v>1882</v>
      </c>
      <c r="B770" s="225" t="s">
        <v>2222</v>
      </c>
      <c r="C770" s="228" t="s">
        <v>2223</v>
      </c>
      <c r="D770" s="220"/>
      <c r="E770">
        <f>+'FIDCH NA'!F28+'FIDCH NA'!F30</f>
        <v>4441691</v>
      </c>
    </row>
    <row r="771" spans="1:14">
      <c r="A771" s="225" t="s">
        <v>1882</v>
      </c>
      <c r="B771" s="225" t="s">
        <v>2222</v>
      </c>
      <c r="C771" s="228" t="s">
        <v>2175</v>
      </c>
      <c r="D771" s="220"/>
    </row>
    <row r="772" spans="1:14">
      <c r="A772" s="225" t="s">
        <v>1882</v>
      </c>
      <c r="B772" s="225" t="s">
        <v>2222</v>
      </c>
      <c r="C772" s="228" t="s">
        <v>2176</v>
      </c>
      <c r="D772" s="220"/>
    </row>
    <row r="773" spans="1:14">
      <c r="A773" s="225" t="s">
        <v>1882</v>
      </c>
      <c r="B773" s="225" t="s">
        <v>2222</v>
      </c>
      <c r="C773" s="228" t="s">
        <v>2177</v>
      </c>
      <c r="D773" s="220"/>
    </row>
    <row r="774" spans="1:14">
      <c r="A774" s="225" t="s">
        <v>1882</v>
      </c>
      <c r="B774" s="225" t="s">
        <v>2222</v>
      </c>
      <c r="C774" s="228" t="s">
        <v>1871</v>
      </c>
      <c r="D774" s="220"/>
      <c r="E774" s="196"/>
      <c r="F774" s="38"/>
      <c r="G774" s="38"/>
      <c r="H774" s="38"/>
      <c r="I774" s="38"/>
      <c r="J774" s="38"/>
      <c r="K774" s="38"/>
      <c r="L774" s="38"/>
      <c r="M774" s="38"/>
      <c r="N774" s="38"/>
    </row>
    <row r="775" spans="1:14">
      <c r="A775" s="1334"/>
      <c r="B775" s="1335"/>
      <c r="C775" s="1335"/>
      <c r="D775" s="1335"/>
    </row>
    <row r="776" spans="1:14" ht="15.75">
      <c r="A776" s="1336" t="s">
        <v>2250</v>
      </c>
      <c r="B776" s="1337"/>
      <c r="C776" s="1337"/>
      <c r="D776" s="1337"/>
    </row>
    <row r="777" spans="1:14">
      <c r="A777" s="1338" t="s">
        <v>2251</v>
      </c>
      <c r="B777" s="1339"/>
      <c r="C777" s="1339"/>
      <c r="D777" s="1339"/>
    </row>
    <row r="778" spans="1:14">
      <c r="A778" s="225" t="s">
        <v>1883</v>
      </c>
      <c r="B778" s="222" t="s">
        <v>2074</v>
      </c>
      <c r="C778" s="220"/>
      <c r="D778" s="224" t="s">
        <v>1873</v>
      </c>
      <c r="E778">
        <f>+'FID NA'!H16+'FID NA'!H17+'FID NA'!H18+'FID NA'!H19</f>
        <v>8078646</v>
      </c>
    </row>
    <row r="779" spans="1:14">
      <c r="A779" s="225" t="s">
        <v>1883</v>
      </c>
      <c r="B779" s="226" t="s">
        <v>2075</v>
      </c>
      <c r="C779" s="220"/>
      <c r="D779" s="220" t="s">
        <v>2076</v>
      </c>
      <c r="E779">
        <f>+'FID NA'!H23</f>
        <v>2771480</v>
      </c>
    </row>
    <row r="780" spans="1:14">
      <c r="A780" s="225" t="s">
        <v>1883</v>
      </c>
      <c r="B780" s="227" t="s">
        <v>2077</v>
      </c>
      <c r="C780" s="220"/>
      <c r="D780" s="220" t="s">
        <v>1823</v>
      </c>
    </row>
    <row r="781" spans="1:14">
      <c r="A781" s="225" t="s">
        <v>1883</v>
      </c>
      <c r="B781" s="227" t="s">
        <v>2078</v>
      </c>
      <c r="C781" s="220"/>
      <c r="D781" s="220" t="s">
        <v>1824</v>
      </c>
      <c r="E781">
        <f>+INPUT!DW92</f>
        <v>0</v>
      </c>
    </row>
    <row r="782" spans="1:14">
      <c r="A782" s="225" t="s">
        <v>1883</v>
      </c>
      <c r="B782" s="227" t="s">
        <v>2079</v>
      </c>
      <c r="C782" s="220"/>
      <c r="D782" s="220" t="s">
        <v>1825</v>
      </c>
    </row>
    <row r="783" spans="1:14">
      <c r="A783" s="225" t="s">
        <v>1883</v>
      </c>
      <c r="B783" s="227" t="s">
        <v>2080</v>
      </c>
      <c r="C783" s="220"/>
      <c r="D783" s="220" t="s">
        <v>1826</v>
      </c>
    </row>
    <row r="784" spans="1:14">
      <c r="A784" s="225" t="s">
        <v>1883</v>
      </c>
      <c r="B784" s="227" t="s">
        <v>2081</v>
      </c>
      <c r="C784" s="220"/>
      <c r="D784" s="220" t="s">
        <v>1827</v>
      </c>
    </row>
    <row r="785" spans="1:16">
      <c r="A785" s="225" t="s">
        <v>1883</v>
      </c>
      <c r="B785" s="227" t="s">
        <v>2082</v>
      </c>
      <c r="C785" s="220"/>
      <c r="D785" s="220" t="s">
        <v>1828</v>
      </c>
      <c r="E785">
        <f>+'FID NA'!H25</f>
        <v>15629</v>
      </c>
      <c r="G785">
        <f>SUM(E778:E785)</f>
        <v>10865755</v>
      </c>
      <c r="H785">
        <f>+'Cust Funds NP'!AO23</f>
        <v>10865755</v>
      </c>
      <c r="I785">
        <f>+H785-G785</f>
        <v>0</v>
      </c>
    </row>
    <row r="786" spans="1:16">
      <c r="A786" s="225" t="s">
        <v>1883</v>
      </c>
      <c r="B786" s="227" t="s">
        <v>2083</v>
      </c>
      <c r="C786" s="220"/>
      <c r="D786" s="220" t="s">
        <v>1829</v>
      </c>
    </row>
    <row r="787" spans="1:16">
      <c r="A787" s="1338" t="s">
        <v>2252</v>
      </c>
      <c r="B787" s="1339"/>
      <c r="C787" s="1339"/>
      <c r="D787" s="1339"/>
    </row>
    <row r="788" spans="1:16">
      <c r="A788" s="225" t="s">
        <v>1883</v>
      </c>
      <c r="B788" s="225" t="s">
        <v>2085</v>
      </c>
      <c r="C788" s="220"/>
      <c r="D788" s="220" t="s">
        <v>1830</v>
      </c>
      <c r="E788">
        <f>+'FID NA'!H34</f>
        <v>2809208</v>
      </c>
      <c r="G788">
        <f>+E788</f>
        <v>2809208</v>
      </c>
      <c r="H788">
        <f>+'Cust Funds NP'!AO30</f>
        <v>2809208</v>
      </c>
      <c r="I788">
        <f>+H788-G788</f>
        <v>0</v>
      </c>
    </row>
    <row r="789" spans="1:16">
      <c r="A789" s="225" t="s">
        <v>1883</v>
      </c>
      <c r="B789" s="225" t="s">
        <v>2087</v>
      </c>
      <c r="C789" s="220"/>
      <c r="D789" s="220" t="s">
        <v>1831</v>
      </c>
    </row>
    <row r="790" spans="1:16">
      <c r="A790" s="225" t="s">
        <v>1883</v>
      </c>
      <c r="B790" s="225" t="s">
        <v>2088</v>
      </c>
      <c r="C790" s="220"/>
      <c r="D790" s="220" t="s">
        <v>1832</v>
      </c>
    </row>
    <row r="791" spans="1:16">
      <c r="A791" s="225" t="s">
        <v>1883</v>
      </c>
      <c r="B791" s="225" t="s">
        <v>2089</v>
      </c>
      <c r="C791" s="220"/>
      <c r="D791" s="220" t="s">
        <v>1833</v>
      </c>
    </row>
    <row r="792" spans="1:16">
      <c r="A792" s="1338" t="s">
        <v>2253</v>
      </c>
      <c r="B792" s="1339"/>
      <c r="C792" s="1339"/>
      <c r="D792" s="1339"/>
    </row>
    <row r="793" spans="1:16">
      <c r="A793" s="225" t="s">
        <v>1883</v>
      </c>
      <c r="B793" s="225" t="s">
        <v>2091</v>
      </c>
      <c r="C793" s="220"/>
      <c r="D793" s="220" t="s">
        <v>2212</v>
      </c>
      <c r="E793">
        <f>+'FID NA'!H43</f>
        <v>8056547</v>
      </c>
    </row>
    <row r="794" spans="1:16">
      <c r="A794" s="225" t="s">
        <v>1883</v>
      </c>
      <c r="B794" s="225" t="s">
        <v>2092</v>
      </c>
      <c r="C794" s="220"/>
      <c r="D794" s="220" t="s">
        <v>2213</v>
      </c>
    </row>
    <row r="795" spans="1:16">
      <c r="A795" s="225" t="s">
        <v>1883</v>
      </c>
      <c r="B795" s="225" t="s">
        <v>2094</v>
      </c>
      <c r="C795" s="220"/>
      <c r="D795" s="220" t="s">
        <v>2246</v>
      </c>
    </row>
    <row r="796" spans="1:16">
      <c r="A796" s="225" t="s">
        <v>1883</v>
      </c>
      <c r="B796" s="225" t="s">
        <v>2095</v>
      </c>
      <c r="C796" s="220"/>
      <c r="D796" s="220" t="s">
        <v>2215</v>
      </c>
      <c r="E796" s="196"/>
      <c r="F796" s="38"/>
      <c r="G796" s="38"/>
      <c r="H796" s="38"/>
      <c r="I796" s="38"/>
      <c r="J796" s="38"/>
      <c r="K796" s="38"/>
      <c r="L796" s="38"/>
      <c r="M796" s="38"/>
      <c r="N796" s="38"/>
    </row>
    <row r="797" spans="1:16">
      <c r="A797" s="1334"/>
      <c r="B797" s="1335"/>
      <c r="C797" s="1335"/>
      <c r="D797" s="1335"/>
    </row>
    <row r="798" spans="1:16" ht="15.75">
      <c r="A798" s="1336" t="s">
        <v>2254</v>
      </c>
      <c r="B798" s="1337"/>
      <c r="C798" s="1337"/>
      <c r="D798" s="1337"/>
    </row>
    <row r="799" spans="1:16">
      <c r="A799" s="1338" t="s">
        <v>2255</v>
      </c>
      <c r="B799" s="1339"/>
      <c r="C799" s="1339"/>
      <c r="D799" s="1339"/>
    </row>
    <row r="800" spans="1:16">
      <c r="A800" s="225" t="s">
        <v>1884</v>
      </c>
      <c r="B800" s="222" t="s">
        <v>2074</v>
      </c>
      <c r="C800" s="220"/>
      <c r="D800" s="224" t="s">
        <v>1873</v>
      </c>
      <c r="P800" s="156"/>
    </row>
    <row r="801" spans="1:9">
      <c r="A801" s="225" t="s">
        <v>1884</v>
      </c>
      <c r="B801" s="226" t="s">
        <v>2075</v>
      </c>
      <c r="C801" s="220"/>
      <c r="D801" s="220" t="s">
        <v>2076</v>
      </c>
    </row>
    <row r="802" spans="1:9">
      <c r="A802" s="225" t="s">
        <v>1884</v>
      </c>
      <c r="B802" s="227" t="s">
        <v>2077</v>
      </c>
      <c r="C802" s="220"/>
      <c r="D802" s="220" t="s">
        <v>1823</v>
      </c>
    </row>
    <row r="803" spans="1:9">
      <c r="A803" s="225" t="s">
        <v>1884</v>
      </c>
      <c r="B803" s="227" t="s">
        <v>2078</v>
      </c>
      <c r="C803" s="220"/>
      <c r="D803" s="220" t="s">
        <v>1824</v>
      </c>
    </row>
    <row r="804" spans="1:9">
      <c r="A804" s="225" t="s">
        <v>1884</v>
      </c>
      <c r="B804" s="227" t="s">
        <v>2079</v>
      </c>
      <c r="C804" s="220"/>
      <c r="D804" s="220" t="s">
        <v>1825</v>
      </c>
    </row>
    <row r="805" spans="1:9">
      <c r="A805" s="225" t="s">
        <v>1884</v>
      </c>
      <c r="B805" s="227" t="s">
        <v>2080</v>
      </c>
      <c r="C805" s="220"/>
      <c r="D805" s="220" t="s">
        <v>1826</v>
      </c>
    </row>
    <row r="806" spans="1:9">
      <c r="A806" s="225" t="s">
        <v>1884</v>
      </c>
      <c r="B806" s="227" t="s">
        <v>2081</v>
      </c>
      <c r="C806" s="220"/>
      <c r="D806" s="220" t="s">
        <v>1827</v>
      </c>
      <c r="E806">
        <f>+INPUT!EF98+INPUT!EF99</f>
        <v>365897</v>
      </c>
    </row>
    <row r="807" spans="1:9">
      <c r="A807" s="225" t="s">
        <v>1884</v>
      </c>
      <c r="B807" s="227" t="s">
        <v>2082</v>
      </c>
      <c r="C807" s="220"/>
      <c r="D807" s="220" t="s">
        <v>1828</v>
      </c>
      <c r="G807">
        <f>SUM(E800:E807)</f>
        <v>365897</v>
      </c>
      <c r="H807">
        <f>+'COMBING BS'!J42</f>
        <v>365897</v>
      </c>
      <c r="I807">
        <f>+H807-G807</f>
        <v>0</v>
      </c>
    </row>
    <row r="808" spans="1:9">
      <c r="A808" s="225" t="s">
        <v>1884</v>
      </c>
      <c r="B808" s="227" t="s">
        <v>2083</v>
      </c>
      <c r="C808" s="220"/>
      <c r="D808" s="220" t="s">
        <v>1829</v>
      </c>
    </row>
    <row r="809" spans="1:9">
      <c r="A809" s="1338" t="s">
        <v>2256</v>
      </c>
      <c r="B809" s="1339"/>
      <c r="C809" s="1339"/>
      <c r="D809" s="1339"/>
    </row>
    <row r="810" spans="1:9">
      <c r="A810" s="225" t="s">
        <v>1884</v>
      </c>
      <c r="B810" s="225" t="s">
        <v>2085</v>
      </c>
      <c r="C810" s="220"/>
      <c r="D810" s="220" t="s">
        <v>2086</v>
      </c>
    </row>
    <row r="811" spans="1:9">
      <c r="A811" s="225" t="s">
        <v>1884</v>
      </c>
      <c r="B811" s="225" t="s">
        <v>2087</v>
      </c>
      <c r="C811" s="220"/>
      <c r="D811" s="220" t="s">
        <v>1831</v>
      </c>
    </row>
    <row r="812" spans="1:9">
      <c r="A812" s="225" t="s">
        <v>1884</v>
      </c>
      <c r="B812" s="225" t="s">
        <v>2088</v>
      </c>
      <c r="C812" s="220"/>
      <c r="D812" s="220" t="s">
        <v>1832</v>
      </c>
    </row>
    <row r="813" spans="1:9">
      <c r="A813" s="225" t="s">
        <v>1884</v>
      </c>
      <c r="B813" s="225" t="s">
        <v>2089</v>
      </c>
      <c r="C813" s="220"/>
      <c r="D813" s="220" t="s">
        <v>1833</v>
      </c>
      <c r="G813">
        <f>SUM(E810:E813)</f>
        <v>0</v>
      </c>
      <c r="I813">
        <f>+H813-G813</f>
        <v>0</v>
      </c>
    </row>
    <row r="814" spans="1:9">
      <c r="A814" s="1338" t="s">
        <v>2257</v>
      </c>
      <c r="B814" s="1339"/>
      <c r="C814" s="1339"/>
      <c r="D814" s="1339"/>
    </row>
    <row r="815" spans="1:9">
      <c r="A815" s="225" t="s">
        <v>1884</v>
      </c>
      <c r="B815" s="225" t="s">
        <v>2091</v>
      </c>
      <c r="C815" s="220"/>
      <c r="D815" s="220" t="s">
        <v>1834</v>
      </c>
      <c r="E815">
        <f>+INPUT!EF188</f>
        <v>365897</v>
      </c>
    </row>
    <row r="816" spans="1:9">
      <c r="A816" s="225" t="s">
        <v>1884</v>
      </c>
      <c r="B816" s="225" t="s">
        <v>2092</v>
      </c>
      <c r="C816" s="220"/>
      <c r="D816" s="220" t="s">
        <v>2093</v>
      </c>
    </row>
    <row r="817" spans="1:12">
      <c r="A817" s="225" t="s">
        <v>1884</v>
      </c>
      <c r="B817" s="225" t="s">
        <v>2094</v>
      </c>
      <c r="C817" s="220"/>
      <c r="D817" s="220" t="s">
        <v>1835</v>
      </c>
      <c r="E817" s="196"/>
      <c r="F817" s="38"/>
      <c r="G817" s="38">
        <f>SUM(E815:E817)</f>
        <v>365897</v>
      </c>
      <c r="H817" s="38">
        <f>+'COMBING BS'!J85</f>
        <v>365897</v>
      </c>
      <c r="I817" s="38">
        <f>+H817-G817</f>
        <v>0</v>
      </c>
      <c r="J817" s="38"/>
      <c r="K817" s="197">
        <f>+G807-G813-G817</f>
        <v>0</v>
      </c>
      <c r="L817" s="143" t="s">
        <v>1887</v>
      </c>
    </row>
    <row r="818" spans="1:12">
      <c r="A818" s="225" t="s">
        <v>1884</v>
      </c>
      <c r="B818" s="225" t="s">
        <v>2095</v>
      </c>
      <c r="C818" s="220"/>
      <c r="D818" s="220" t="s">
        <v>2096</v>
      </c>
      <c r="L818" s="156" t="s">
        <v>1896</v>
      </c>
    </row>
    <row r="819" spans="1:12">
      <c r="A819" s="1338" t="s">
        <v>2258</v>
      </c>
      <c r="B819" s="1339"/>
      <c r="C819" s="1339"/>
      <c r="D819" s="1339"/>
      <c r="L819" s="156"/>
    </row>
    <row r="820" spans="1:12">
      <c r="A820" s="225" t="s">
        <v>1884</v>
      </c>
      <c r="B820" s="225" t="s">
        <v>2098</v>
      </c>
      <c r="C820" s="220"/>
      <c r="D820" s="220" t="s">
        <v>2099</v>
      </c>
    </row>
    <row r="821" spans="1:12">
      <c r="A821" s="225" t="s">
        <v>1884</v>
      </c>
      <c r="B821" s="225" t="s">
        <v>2100</v>
      </c>
      <c r="C821" s="220"/>
      <c r="D821" s="220" t="s">
        <v>2101</v>
      </c>
    </row>
    <row r="822" spans="1:12">
      <c r="A822" s="225" t="s">
        <v>1884</v>
      </c>
      <c r="B822" s="225" t="s">
        <v>2102</v>
      </c>
      <c r="C822" s="220"/>
      <c r="D822" s="220" t="s">
        <v>1837</v>
      </c>
    </row>
    <row r="823" spans="1:12">
      <c r="A823" s="225" t="s">
        <v>1884</v>
      </c>
      <c r="B823" s="225" t="s">
        <v>2103</v>
      </c>
      <c r="C823" s="220"/>
      <c r="D823" s="220" t="s">
        <v>2104</v>
      </c>
    </row>
    <row r="824" spans="1:12">
      <c r="A824" s="225" t="s">
        <v>1884</v>
      </c>
      <c r="B824" s="225" t="s">
        <v>2105</v>
      </c>
      <c r="C824" s="220"/>
      <c r="D824" s="220" t="s">
        <v>1838</v>
      </c>
    </row>
    <row r="825" spans="1:12">
      <c r="A825" s="225" t="s">
        <v>1884</v>
      </c>
      <c r="B825" s="225" t="s">
        <v>2106</v>
      </c>
      <c r="C825" s="220"/>
      <c r="D825" s="220" t="s">
        <v>1839</v>
      </c>
    </row>
    <row r="826" spans="1:12">
      <c r="A826" s="225" t="s">
        <v>1884</v>
      </c>
      <c r="B826" s="225" t="s">
        <v>2107</v>
      </c>
      <c r="C826" s="220"/>
      <c r="D826" s="220" t="s">
        <v>2108</v>
      </c>
    </row>
    <row r="827" spans="1:12">
      <c r="A827" s="225" t="s">
        <v>1884</v>
      </c>
      <c r="B827" s="225" t="s">
        <v>2109</v>
      </c>
      <c r="C827" s="220"/>
      <c r="D827" s="220" t="s">
        <v>1841</v>
      </c>
    </row>
    <row r="828" spans="1:12">
      <c r="A828" s="225" t="s">
        <v>1884</v>
      </c>
      <c r="B828" s="225" t="s">
        <v>2110</v>
      </c>
      <c r="C828" s="220"/>
      <c r="D828" s="220" t="s">
        <v>2111</v>
      </c>
    </row>
    <row r="829" spans="1:12">
      <c r="A829" s="225" t="s">
        <v>1884</v>
      </c>
      <c r="B829" s="225" t="s">
        <v>2112</v>
      </c>
      <c r="C829" s="220"/>
      <c r="D829" s="220" t="s">
        <v>1843</v>
      </c>
    </row>
    <row r="830" spans="1:12">
      <c r="A830" s="225" t="s">
        <v>1884</v>
      </c>
      <c r="B830" s="225" t="s">
        <v>2113</v>
      </c>
      <c r="C830" s="220"/>
      <c r="D830" s="220" t="s">
        <v>1844</v>
      </c>
    </row>
    <row r="831" spans="1:12">
      <c r="A831" s="225" t="s">
        <v>1884</v>
      </c>
      <c r="B831" s="225" t="s">
        <v>2114</v>
      </c>
      <c r="C831" s="220"/>
      <c r="D831" s="220" t="s">
        <v>2115</v>
      </c>
    </row>
    <row r="832" spans="1:12">
      <c r="A832" s="225" t="s">
        <v>1884</v>
      </c>
      <c r="B832" s="225" t="s">
        <v>2116</v>
      </c>
      <c r="C832" s="220"/>
      <c r="D832" s="220" t="s">
        <v>1846</v>
      </c>
    </row>
    <row r="833" spans="1:13">
      <c r="A833" s="225" t="s">
        <v>1884</v>
      </c>
      <c r="B833" s="225" t="s">
        <v>2117</v>
      </c>
      <c r="C833" s="220"/>
      <c r="D833" s="220" t="s">
        <v>2118</v>
      </c>
    </row>
    <row r="834" spans="1:13">
      <c r="A834" s="225" t="s">
        <v>1884</v>
      </c>
      <c r="B834" s="225" t="s">
        <v>2119</v>
      </c>
      <c r="C834" s="220"/>
      <c r="D834" s="220" t="s">
        <v>1848</v>
      </c>
    </row>
    <row r="835" spans="1:13">
      <c r="A835" s="225" t="s">
        <v>1884</v>
      </c>
      <c r="B835" s="225" t="s">
        <v>2120</v>
      </c>
      <c r="C835" s="220"/>
      <c r="D835" s="220" t="s">
        <v>1849</v>
      </c>
    </row>
    <row r="836" spans="1:13">
      <c r="A836" s="225" t="s">
        <v>1884</v>
      </c>
      <c r="B836" s="225" t="s">
        <v>2121</v>
      </c>
      <c r="C836" s="220"/>
      <c r="D836" s="220" t="s">
        <v>1850</v>
      </c>
    </row>
    <row r="837" spans="1:13">
      <c r="A837" s="225" t="s">
        <v>1884</v>
      </c>
      <c r="B837" s="225" t="s">
        <v>2122</v>
      </c>
      <c r="C837" s="220"/>
      <c r="D837" s="220" t="s">
        <v>2123</v>
      </c>
    </row>
    <row r="838" spans="1:13">
      <c r="A838" s="225" t="s">
        <v>1884</v>
      </c>
      <c r="B838" s="225" t="s">
        <v>2124</v>
      </c>
      <c r="C838" s="220"/>
      <c r="D838" s="220" t="s">
        <v>2125</v>
      </c>
    </row>
    <row r="839" spans="1:13">
      <c r="A839" s="225" t="s">
        <v>1884</v>
      </c>
      <c r="B839" s="225" t="s">
        <v>2126</v>
      </c>
      <c r="C839" s="220"/>
      <c r="D839" s="220" t="s">
        <v>2127</v>
      </c>
    </row>
    <row r="840" spans="1:13">
      <c r="A840" s="225" t="s">
        <v>1884</v>
      </c>
      <c r="B840" s="225" t="s">
        <v>2128</v>
      </c>
      <c r="C840" s="220"/>
      <c r="D840" s="220" t="s">
        <v>2129</v>
      </c>
      <c r="E840">
        <f>+INPUT!EF13</f>
        <v>1052</v>
      </c>
    </row>
    <row r="841" spans="1:13">
      <c r="A841" s="225" t="s">
        <v>1884</v>
      </c>
      <c r="B841" s="225" t="s">
        <v>2130</v>
      </c>
      <c r="C841" s="220"/>
      <c r="D841" s="220" t="s">
        <v>2131</v>
      </c>
    </row>
    <row r="842" spans="1:13">
      <c r="A842" s="225" t="s">
        <v>1884</v>
      </c>
      <c r="B842" s="225" t="s">
        <v>2132</v>
      </c>
      <c r="C842" s="220"/>
      <c r="D842" s="220" t="s">
        <v>1854</v>
      </c>
    </row>
    <row r="843" spans="1:13">
      <c r="A843" s="225" t="s">
        <v>1884</v>
      </c>
      <c r="B843" s="225" t="s">
        <v>2133</v>
      </c>
      <c r="C843" s="220"/>
      <c r="D843" s="220" t="s">
        <v>2134</v>
      </c>
    </row>
    <row r="844" spans="1:13">
      <c r="A844" s="225" t="s">
        <v>1884</v>
      </c>
      <c r="B844" s="225" t="s">
        <v>2135</v>
      </c>
      <c r="C844" s="220"/>
      <c r="D844" s="220" t="s">
        <v>2136</v>
      </c>
    </row>
    <row r="845" spans="1:13">
      <c r="A845" s="225" t="s">
        <v>1884</v>
      </c>
      <c r="B845" s="225" t="s">
        <v>2137</v>
      </c>
      <c r="C845" s="220"/>
      <c r="D845" s="220" t="s">
        <v>1857</v>
      </c>
    </row>
    <row r="846" spans="1:13">
      <c r="A846" s="225" t="s">
        <v>1884</v>
      </c>
      <c r="B846" s="225" t="s">
        <v>2138</v>
      </c>
      <c r="C846" s="220"/>
      <c r="D846" s="220" t="s">
        <v>1858</v>
      </c>
      <c r="J846" s="191"/>
      <c r="K846" s="191"/>
      <c r="L846" s="191"/>
      <c r="M846" s="191"/>
    </row>
    <row r="847" spans="1:13">
      <c r="A847" s="225" t="s">
        <v>1884</v>
      </c>
      <c r="B847" s="225" t="s">
        <v>2139</v>
      </c>
      <c r="C847" s="220"/>
      <c r="D847" s="220" t="s">
        <v>1859</v>
      </c>
      <c r="I847" s="143"/>
    </row>
    <row r="848" spans="1:13">
      <c r="A848" s="225" t="s">
        <v>1884</v>
      </c>
      <c r="B848" s="225" t="s">
        <v>2140</v>
      </c>
      <c r="C848" s="220"/>
      <c r="D848" s="220" t="s">
        <v>1860</v>
      </c>
      <c r="I848" s="143"/>
    </row>
    <row r="849" spans="1:5">
      <c r="A849" s="225" t="s">
        <v>1884</v>
      </c>
      <c r="B849" s="225" t="s">
        <v>2141</v>
      </c>
      <c r="C849" s="220"/>
      <c r="D849" s="220" t="s">
        <v>2142</v>
      </c>
    </row>
    <row r="850" spans="1:5">
      <c r="A850" s="225" t="s">
        <v>1884</v>
      </c>
      <c r="B850" s="225" t="s">
        <v>2143</v>
      </c>
      <c r="C850" s="220"/>
      <c r="D850" s="220" t="s">
        <v>1862</v>
      </c>
    </row>
    <row r="851" spans="1:5">
      <c r="A851" s="225" t="s">
        <v>1884</v>
      </c>
      <c r="B851" s="225" t="s">
        <v>2144</v>
      </c>
      <c r="C851" s="220"/>
      <c r="D851" s="220" t="s">
        <v>1863</v>
      </c>
    </row>
    <row r="852" spans="1:5">
      <c r="A852" s="225" t="s">
        <v>1884</v>
      </c>
      <c r="B852" s="225" t="s">
        <v>2145</v>
      </c>
      <c r="C852" s="220"/>
      <c r="D852" s="220" t="s">
        <v>1864</v>
      </c>
      <c r="E852">
        <f>+INPUT!EF16</f>
        <v>16958</v>
      </c>
    </row>
    <row r="853" spans="1:5">
      <c r="A853" s="225" t="s">
        <v>1884</v>
      </c>
      <c r="B853" s="225" t="s">
        <v>2146</v>
      </c>
      <c r="C853" s="220"/>
      <c r="D853" s="220" t="s">
        <v>1865</v>
      </c>
    </row>
    <row r="854" spans="1:5">
      <c r="A854" s="225" t="s">
        <v>1884</v>
      </c>
      <c r="B854" s="225" t="s">
        <v>2147</v>
      </c>
      <c r="C854" s="220"/>
      <c r="D854" s="220" t="s">
        <v>1866</v>
      </c>
    </row>
    <row r="855" spans="1:5">
      <c r="A855" s="225" t="s">
        <v>1884</v>
      </c>
      <c r="B855" s="225" t="s">
        <v>2148</v>
      </c>
      <c r="C855" s="220"/>
      <c r="D855" s="220" t="s">
        <v>2149</v>
      </c>
    </row>
    <row r="856" spans="1:5">
      <c r="A856" s="225" t="s">
        <v>1884</v>
      </c>
      <c r="B856" s="225" t="s">
        <v>2150</v>
      </c>
      <c r="C856" s="220"/>
      <c r="D856" s="220" t="s">
        <v>2151</v>
      </c>
    </row>
    <row r="857" spans="1:5">
      <c r="A857" s="225" t="s">
        <v>1884</v>
      </c>
      <c r="B857" s="225" t="s">
        <v>2152</v>
      </c>
      <c r="C857" s="220"/>
      <c r="D857" s="220" t="s">
        <v>1869</v>
      </c>
    </row>
    <row r="858" spans="1:5">
      <c r="A858" s="225" t="s">
        <v>1884</v>
      </c>
      <c r="B858" s="225" t="s">
        <v>2153</v>
      </c>
      <c r="C858" s="220"/>
      <c r="D858" s="220" t="s">
        <v>2154</v>
      </c>
    </row>
    <row r="859" spans="1:5">
      <c r="A859" s="225" t="s">
        <v>1884</v>
      </c>
      <c r="B859" s="225" t="s">
        <v>2155</v>
      </c>
      <c r="C859" s="220"/>
      <c r="D859" s="220" t="s">
        <v>2156</v>
      </c>
    </row>
    <row r="860" spans="1:5">
      <c r="A860" s="225" t="s">
        <v>1884</v>
      </c>
      <c r="B860" s="225" t="s">
        <v>2157</v>
      </c>
      <c r="C860" s="220"/>
      <c r="D860" s="220" t="s">
        <v>2158</v>
      </c>
    </row>
    <row r="861" spans="1:5">
      <c r="A861" s="225" t="s">
        <v>1884</v>
      </c>
      <c r="B861" s="225" t="s">
        <v>2159</v>
      </c>
      <c r="C861" s="220"/>
      <c r="D861" s="220" t="s">
        <v>2160</v>
      </c>
    </row>
    <row r="862" spans="1:5">
      <c r="A862" s="225" t="s">
        <v>1884</v>
      </c>
      <c r="B862" s="225" t="s">
        <v>2161</v>
      </c>
      <c r="C862" s="220"/>
      <c r="D862" s="220" t="s">
        <v>2162</v>
      </c>
    </row>
    <row r="863" spans="1:5">
      <c r="A863" s="225" t="s">
        <v>1884</v>
      </c>
      <c r="B863" s="225" t="s">
        <v>2163</v>
      </c>
      <c r="C863" s="220"/>
      <c r="D863" s="220" t="s">
        <v>2164</v>
      </c>
    </row>
    <row r="864" spans="1:5">
      <c r="A864" s="225" t="s">
        <v>1884</v>
      </c>
      <c r="B864" s="225" t="s">
        <v>2165</v>
      </c>
      <c r="C864" s="220"/>
      <c r="D864" s="220" t="s">
        <v>2166</v>
      </c>
    </row>
    <row r="865" spans="1:11">
      <c r="A865" s="225" t="s">
        <v>1884</v>
      </c>
      <c r="B865" s="225" t="s">
        <v>2167</v>
      </c>
      <c r="C865" s="220"/>
      <c r="D865" s="220" t="s">
        <v>2168</v>
      </c>
    </row>
    <row r="866" spans="1:11">
      <c r="A866" s="225" t="s">
        <v>1884</v>
      </c>
      <c r="B866" s="225" t="s">
        <v>2169</v>
      </c>
      <c r="C866" s="220"/>
      <c r="D866" s="220" t="s">
        <v>2170</v>
      </c>
      <c r="G866" s="193">
        <f>SUM(E820:E866)</f>
        <v>18010</v>
      </c>
      <c r="H866" s="40">
        <f>+'COMBING IS'!J23</f>
        <v>18010</v>
      </c>
      <c r="I866" s="201">
        <f>+H866-G866</f>
        <v>0</v>
      </c>
      <c r="J866" s="194" t="s">
        <v>1898</v>
      </c>
      <c r="K866" s="195"/>
    </row>
    <row r="867" spans="1:11">
      <c r="A867" s="1338" t="s">
        <v>2259</v>
      </c>
      <c r="B867" s="1339"/>
      <c r="C867" s="1339"/>
      <c r="D867" s="1339"/>
      <c r="I867" s="143"/>
      <c r="J867" s="21"/>
    </row>
    <row r="868" spans="1:11">
      <c r="A868" s="225" t="s">
        <v>1884</v>
      </c>
      <c r="B868" s="227" t="s">
        <v>2172</v>
      </c>
      <c r="C868" s="228" t="s">
        <v>516</v>
      </c>
      <c r="D868" s="220" t="s">
        <v>2173</v>
      </c>
      <c r="J868" s="156" t="s">
        <v>1896</v>
      </c>
    </row>
    <row r="869" spans="1:11">
      <c r="A869" s="225" t="s">
        <v>1884</v>
      </c>
      <c r="B869" s="227" t="s">
        <v>2172</v>
      </c>
      <c r="C869" s="228" t="s">
        <v>2174</v>
      </c>
      <c r="D869" s="220" t="s">
        <v>2173</v>
      </c>
    </row>
    <row r="870" spans="1:11">
      <c r="A870" s="225" t="s">
        <v>1884</v>
      </c>
      <c r="B870" s="227" t="s">
        <v>2172</v>
      </c>
      <c r="C870" s="228" t="s">
        <v>2175</v>
      </c>
      <c r="D870" s="220" t="s">
        <v>1870</v>
      </c>
    </row>
    <row r="871" spans="1:11">
      <c r="A871" s="225" t="s">
        <v>1884</v>
      </c>
      <c r="B871" s="227" t="s">
        <v>2172</v>
      </c>
      <c r="C871" s="228" t="s">
        <v>2176</v>
      </c>
      <c r="D871" s="220" t="s">
        <v>1870</v>
      </c>
    </row>
    <row r="872" spans="1:11">
      <c r="A872" s="225" t="s">
        <v>1884</v>
      </c>
      <c r="B872" s="227" t="s">
        <v>2172</v>
      </c>
      <c r="C872" s="228" t="s">
        <v>2177</v>
      </c>
      <c r="D872" s="220" t="s">
        <v>1870</v>
      </c>
    </row>
    <row r="873" spans="1:11">
      <c r="A873" s="225" t="s">
        <v>1884</v>
      </c>
      <c r="B873" s="227" t="s">
        <v>2178</v>
      </c>
      <c r="C873" s="228" t="s">
        <v>516</v>
      </c>
      <c r="D873" s="220" t="s">
        <v>683</v>
      </c>
    </row>
    <row r="874" spans="1:11">
      <c r="A874" s="225" t="s">
        <v>1884</v>
      </c>
      <c r="B874" s="227" t="s">
        <v>2178</v>
      </c>
      <c r="C874" s="228" t="s">
        <v>2174</v>
      </c>
      <c r="D874" s="220" t="s">
        <v>683</v>
      </c>
    </row>
    <row r="875" spans="1:11">
      <c r="A875" s="225" t="s">
        <v>1884</v>
      </c>
      <c r="B875" s="227" t="s">
        <v>2178</v>
      </c>
      <c r="C875" s="228" t="s">
        <v>2175</v>
      </c>
      <c r="D875" s="220" t="s">
        <v>683</v>
      </c>
    </row>
    <row r="876" spans="1:11">
      <c r="A876" s="225" t="s">
        <v>1884</v>
      </c>
      <c r="B876" s="227" t="s">
        <v>2178</v>
      </c>
      <c r="C876" s="228" t="s">
        <v>2176</v>
      </c>
      <c r="D876" s="220" t="s">
        <v>683</v>
      </c>
    </row>
    <row r="877" spans="1:11">
      <c r="A877" s="225" t="s">
        <v>1884</v>
      </c>
      <c r="B877" s="227" t="s">
        <v>2178</v>
      </c>
      <c r="C877" s="228" t="s">
        <v>2177</v>
      </c>
      <c r="D877" s="220" t="s">
        <v>683</v>
      </c>
    </row>
    <row r="878" spans="1:11">
      <c r="A878" s="225" t="s">
        <v>1884</v>
      </c>
      <c r="B878" s="227" t="s">
        <v>2179</v>
      </c>
      <c r="C878" s="228" t="s">
        <v>516</v>
      </c>
      <c r="D878" s="220" t="s">
        <v>777</v>
      </c>
    </row>
    <row r="879" spans="1:11">
      <c r="A879" s="225" t="s">
        <v>1884</v>
      </c>
      <c r="B879" s="227" t="s">
        <v>2179</v>
      </c>
      <c r="C879" s="228" t="s">
        <v>2174</v>
      </c>
      <c r="D879" s="220" t="s">
        <v>777</v>
      </c>
      <c r="E879">
        <f>+INPUT!EF25</f>
        <v>9604</v>
      </c>
    </row>
    <row r="880" spans="1:11">
      <c r="A880" s="225" t="s">
        <v>1884</v>
      </c>
      <c r="B880" s="227" t="s">
        <v>2179</v>
      </c>
      <c r="C880" s="228" t="s">
        <v>2175</v>
      </c>
      <c r="D880" s="220" t="s">
        <v>777</v>
      </c>
    </row>
    <row r="881" spans="1:4">
      <c r="A881" s="225" t="s">
        <v>1884</v>
      </c>
      <c r="B881" s="227" t="s">
        <v>2179</v>
      </c>
      <c r="C881" s="228" t="s">
        <v>2176</v>
      </c>
      <c r="D881" s="220" t="s">
        <v>777</v>
      </c>
    </row>
    <row r="882" spans="1:4">
      <c r="A882" s="225" t="s">
        <v>1884</v>
      </c>
      <c r="B882" s="227" t="s">
        <v>2179</v>
      </c>
      <c r="C882" s="228" t="s">
        <v>2177</v>
      </c>
      <c r="D882" s="220" t="s">
        <v>777</v>
      </c>
    </row>
    <row r="883" spans="1:4">
      <c r="A883" s="225" t="s">
        <v>1884</v>
      </c>
      <c r="B883" s="227" t="s">
        <v>2180</v>
      </c>
      <c r="C883" s="228" t="s">
        <v>516</v>
      </c>
      <c r="D883" s="220" t="s">
        <v>1853</v>
      </c>
    </row>
    <row r="884" spans="1:4">
      <c r="A884" s="225" t="s">
        <v>1884</v>
      </c>
      <c r="B884" s="227" t="s">
        <v>2180</v>
      </c>
      <c r="C884" s="228" t="s">
        <v>2174</v>
      </c>
      <c r="D884" s="220" t="s">
        <v>1853</v>
      </c>
    </row>
    <row r="885" spans="1:4">
      <c r="A885" s="225" t="s">
        <v>1884</v>
      </c>
      <c r="B885" s="227" t="s">
        <v>2180</v>
      </c>
      <c r="C885" s="228" t="s">
        <v>2175</v>
      </c>
      <c r="D885" s="220" t="s">
        <v>1853</v>
      </c>
    </row>
    <row r="886" spans="1:4">
      <c r="A886" s="225" t="s">
        <v>1884</v>
      </c>
      <c r="B886" s="227" t="s">
        <v>2180</v>
      </c>
      <c r="C886" s="228" t="s">
        <v>2176</v>
      </c>
      <c r="D886" s="220" t="s">
        <v>1853</v>
      </c>
    </row>
    <row r="887" spans="1:4">
      <c r="A887" s="225" t="s">
        <v>1884</v>
      </c>
      <c r="B887" s="227" t="s">
        <v>2180</v>
      </c>
      <c r="C887" s="228" t="s">
        <v>2177</v>
      </c>
      <c r="D887" s="220" t="s">
        <v>1853</v>
      </c>
    </row>
    <row r="888" spans="1:4">
      <c r="A888" s="225" t="s">
        <v>1884</v>
      </c>
      <c r="B888" s="227" t="s">
        <v>2181</v>
      </c>
      <c r="C888" s="228" t="s">
        <v>516</v>
      </c>
      <c r="D888" s="220" t="s">
        <v>1854</v>
      </c>
    </row>
    <row r="889" spans="1:4">
      <c r="A889" s="225" t="s">
        <v>1884</v>
      </c>
      <c r="B889" s="227" t="s">
        <v>2181</v>
      </c>
      <c r="C889" s="228" t="s">
        <v>2174</v>
      </c>
      <c r="D889" s="220" t="s">
        <v>1854</v>
      </c>
    </row>
    <row r="890" spans="1:4">
      <c r="A890" s="225" t="s">
        <v>1884</v>
      </c>
      <c r="B890" s="227" t="s">
        <v>2181</v>
      </c>
      <c r="C890" s="228" t="s">
        <v>2175</v>
      </c>
      <c r="D890" s="220" t="s">
        <v>1854</v>
      </c>
    </row>
    <row r="891" spans="1:4">
      <c r="A891" s="225" t="s">
        <v>1884</v>
      </c>
      <c r="B891" s="227" t="s">
        <v>2181</v>
      </c>
      <c r="C891" s="228" t="s">
        <v>2176</v>
      </c>
      <c r="D891" s="220" t="s">
        <v>1854</v>
      </c>
    </row>
    <row r="892" spans="1:4">
      <c r="A892" s="225" t="s">
        <v>1884</v>
      </c>
      <c r="B892" s="227" t="s">
        <v>2181</v>
      </c>
      <c r="C892" s="228" t="s">
        <v>2177</v>
      </c>
      <c r="D892" s="220" t="s">
        <v>1854</v>
      </c>
    </row>
    <row r="893" spans="1:4">
      <c r="A893" s="225" t="s">
        <v>1884</v>
      </c>
      <c r="B893" s="227" t="s">
        <v>2182</v>
      </c>
      <c r="C893" s="228" t="s">
        <v>516</v>
      </c>
      <c r="D893" s="220" t="s">
        <v>1855</v>
      </c>
    </row>
    <row r="894" spans="1:4">
      <c r="A894" s="225" t="s">
        <v>1884</v>
      </c>
      <c r="B894" s="227" t="s">
        <v>2182</v>
      </c>
      <c r="C894" s="228" t="s">
        <v>2174</v>
      </c>
      <c r="D894" s="220" t="s">
        <v>1855</v>
      </c>
    </row>
    <row r="895" spans="1:4">
      <c r="A895" s="225" t="s">
        <v>1884</v>
      </c>
      <c r="B895" s="227" t="s">
        <v>2182</v>
      </c>
      <c r="C895" s="228" t="s">
        <v>2175</v>
      </c>
      <c r="D895" s="220" t="s">
        <v>1855</v>
      </c>
    </row>
    <row r="896" spans="1:4">
      <c r="A896" s="225" t="s">
        <v>1884</v>
      </c>
      <c r="B896" s="227" t="s">
        <v>2182</v>
      </c>
      <c r="C896" s="228" t="s">
        <v>2176</v>
      </c>
      <c r="D896" s="220" t="s">
        <v>1855</v>
      </c>
    </row>
    <row r="897" spans="1:4">
      <c r="A897" s="225" t="s">
        <v>1884</v>
      </c>
      <c r="B897" s="227" t="s">
        <v>2182</v>
      </c>
      <c r="C897" s="228" t="s">
        <v>2177</v>
      </c>
      <c r="D897" s="220" t="s">
        <v>1855</v>
      </c>
    </row>
    <row r="898" spans="1:4">
      <c r="A898" s="225" t="s">
        <v>1884</v>
      </c>
      <c r="B898" s="227" t="s">
        <v>2183</v>
      </c>
      <c r="C898" s="228" t="s">
        <v>516</v>
      </c>
      <c r="D898" s="220" t="s">
        <v>2184</v>
      </c>
    </row>
    <row r="899" spans="1:4">
      <c r="A899" s="225" t="s">
        <v>1884</v>
      </c>
      <c r="B899" s="227" t="s">
        <v>2183</v>
      </c>
      <c r="C899" s="228" t="s">
        <v>2174</v>
      </c>
      <c r="D899" s="220" t="s">
        <v>2184</v>
      </c>
    </row>
    <row r="900" spans="1:4">
      <c r="A900" s="225" t="s">
        <v>1884</v>
      </c>
      <c r="B900" s="227" t="s">
        <v>2183</v>
      </c>
      <c r="C900" s="228" t="s">
        <v>2175</v>
      </c>
      <c r="D900" s="220" t="s">
        <v>2184</v>
      </c>
    </row>
    <row r="901" spans="1:4">
      <c r="A901" s="225" t="s">
        <v>1884</v>
      </c>
      <c r="B901" s="225" t="s">
        <v>2183</v>
      </c>
      <c r="C901" s="228" t="s">
        <v>2176</v>
      </c>
      <c r="D901" s="220" t="s">
        <v>2184</v>
      </c>
    </row>
    <row r="902" spans="1:4">
      <c r="A902" s="225" t="s">
        <v>1884</v>
      </c>
      <c r="B902" s="225" t="s">
        <v>2183</v>
      </c>
      <c r="C902" s="228" t="s">
        <v>2177</v>
      </c>
      <c r="D902" s="220" t="s">
        <v>2184</v>
      </c>
    </row>
    <row r="903" spans="1:4">
      <c r="A903" s="225" t="s">
        <v>1884</v>
      </c>
      <c r="B903" s="225" t="s">
        <v>2185</v>
      </c>
      <c r="C903" s="228" t="s">
        <v>516</v>
      </c>
      <c r="D903" s="220" t="s">
        <v>2186</v>
      </c>
    </row>
    <row r="904" spans="1:4">
      <c r="A904" s="225" t="s">
        <v>1884</v>
      </c>
      <c r="B904" s="225" t="s">
        <v>2185</v>
      </c>
      <c r="C904" s="228" t="s">
        <v>2174</v>
      </c>
      <c r="D904" s="220" t="s">
        <v>2186</v>
      </c>
    </row>
    <row r="905" spans="1:4">
      <c r="A905" s="225" t="s">
        <v>1884</v>
      </c>
      <c r="B905" s="225" t="s">
        <v>2185</v>
      </c>
      <c r="C905" s="228" t="s">
        <v>2175</v>
      </c>
      <c r="D905" s="220" t="s">
        <v>2186</v>
      </c>
    </row>
    <row r="906" spans="1:4">
      <c r="A906" s="225" t="s">
        <v>1884</v>
      </c>
      <c r="B906" s="225" t="s">
        <v>2185</v>
      </c>
      <c r="C906" s="228" t="s">
        <v>2176</v>
      </c>
      <c r="D906" s="220" t="s">
        <v>2186</v>
      </c>
    </row>
    <row r="907" spans="1:4">
      <c r="A907" s="225" t="s">
        <v>1884</v>
      </c>
      <c r="B907" s="225" t="s">
        <v>2185</v>
      </c>
      <c r="C907" s="228" t="s">
        <v>2177</v>
      </c>
      <c r="D907" s="220" t="s">
        <v>2186</v>
      </c>
    </row>
    <row r="908" spans="1:4">
      <c r="A908" s="225" t="s">
        <v>1884</v>
      </c>
      <c r="B908" s="225" t="s">
        <v>2187</v>
      </c>
      <c r="C908" s="228" t="s">
        <v>516</v>
      </c>
      <c r="D908" s="220" t="s">
        <v>691</v>
      </c>
    </row>
    <row r="909" spans="1:4">
      <c r="A909" s="225" t="s">
        <v>1884</v>
      </c>
      <c r="B909" s="225" t="s">
        <v>2187</v>
      </c>
      <c r="C909" s="228" t="s">
        <v>2174</v>
      </c>
      <c r="D909" s="220" t="s">
        <v>691</v>
      </c>
    </row>
    <row r="910" spans="1:4">
      <c r="A910" s="225" t="s">
        <v>1884</v>
      </c>
      <c r="B910" s="225" t="s">
        <v>2187</v>
      </c>
      <c r="C910" s="228" t="s">
        <v>2175</v>
      </c>
      <c r="D910" s="220" t="s">
        <v>691</v>
      </c>
    </row>
    <row r="911" spans="1:4">
      <c r="A911" s="225" t="s">
        <v>1884</v>
      </c>
      <c r="B911" s="225" t="s">
        <v>2187</v>
      </c>
      <c r="C911" s="228" t="s">
        <v>2176</v>
      </c>
      <c r="D911" s="220" t="s">
        <v>691</v>
      </c>
    </row>
    <row r="912" spans="1:4">
      <c r="A912" s="225" t="s">
        <v>1884</v>
      </c>
      <c r="B912" s="225" t="s">
        <v>2187</v>
      </c>
      <c r="C912" s="228" t="s">
        <v>2177</v>
      </c>
      <c r="D912" s="220" t="s">
        <v>691</v>
      </c>
    </row>
    <row r="913" spans="1:16">
      <c r="A913" s="225" t="s">
        <v>1884</v>
      </c>
      <c r="B913" s="225" t="s">
        <v>2188</v>
      </c>
      <c r="C913" s="228" t="s">
        <v>516</v>
      </c>
      <c r="D913" s="220" t="s">
        <v>713</v>
      </c>
    </row>
    <row r="914" spans="1:16">
      <c r="A914" s="225" t="s">
        <v>1884</v>
      </c>
      <c r="B914" s="225" t="s">
        <v>2188</v>
      </c>
      <c r="C914" s="228" t="s">
        <v>2174</v>
      </c>
      <c r="D914" s="220" t="s">
        <v>713</v>
      </c>
    </row>
    <row r="915" spans="1:16">
      <c r="A915" s="225" t="s">
        <v>1884</v>
      </c>
      <c r="B915" s="225" t="s">
        <v>2188</v>
      </c>
      <c r="C915" s="228" t="s">
        <v>2175</v>
      </c>
      <c r="D915" s="220" t="s">
        <v>713</v>
      </c>
    </row>
    <row r="916" spans="1:16">
      <c r="A916" s="225" t="s">
        <v>1884</v>
      </c>
      <c r="B916" s="225" t="s">
        <v>2188</v>
      </c>
      <c r="C916" s="228" t="s">
        <v>2176</v>
      </c>
      <c r="D916" s="220" t="s">
        <v>713</v>
      </c>
    </row>
    <row r="917" spans="1:16">
      <c r="A917" s="225" t="s">
        <v>1884</v>
      </c>
      <c r="B917" s="225" t="s">
        <v>2188</v>
      </c>
      <c r="C917" s="228" t="s">
        <v>2177</v>
      </c>
      <c r="D917" s="220" t="s">
        <v>713</v>
      </c>
    </row>
    <row r="918" spans="1:16">
      <c r="A918" s="225" t="s">
        <v>1884</v>
      </c>
      <c r="B918" s="225" t="s">
        <v>2189</v>
      </c>
      <c r="C918" s="228" t="s">
        <v>516</v>
      </c>
      <c r="D918" s="220" t="s">
        <v>109</v>
      </c>
    </row>
    <row r="919" spans="1:16">
      <c r="A919" s="225" t="s">
        <v>1884</v>
      </c>
      <c r="B919" s="225" t="s">
        <v>2189</v>
      </c>
      <c r="C919" s="228" t="s">
        <v>2174</v>
      </c>
      <c r="D919" s="220" t="s">
        <v>109</v>
      </c>
    </row>
    <row r="920" spans="1:16">
      <c r="A920" s="225" t="s">
        <v>1884</v>
      </c>
      <c r="B920" s="225" t="s">
        <v>2189</v>
      </c>
      <c r="C920" s="228" t="s">
        <v>2175</v>
      </c>
      <c r="D920" s="220" t="s">
        <v>109</v>
      </c>
    </row>
    <row r="921" spans="1:16">
      <c r="A921" s="225" t="s">
        <v>1884</v>
      </c>
      <c r="B921" s="225" t="s">
        <v>2189</v>
      </c>
      <c r="C921" s="228" t="s">
        <v>2176</v>
      </c>
      <c r="D921" s="220" t="s">
        <v>109</v>
      </c>
    </row>
    <row r="922" spans="1:16">
      <c r="A922" s="225" t="s">
        <v>1884</v>
      </c>
      <c r="B922" s="225" t="s">
        <v>2189</v>
      </c>
      <c r="C922" s="228" t="s">
        <v>2177</v>
      </c>
      <c r="D922" s="220" t="s">
        <v>109</v>
      </c>
    </row>
    <row r="923" spans="1:16">
      <c r="A923" s="225" t="s">
        <v>1884</v>
      </c>
      <c r="B923" s="225" t="s">
        <v>2190</v>
      </c>
      <c r="C923" s="228" t="s">
        <v>516</v>
      </c>
      <c r="D923" s="220" t="s">
        <v>1872</v>
      </c>
    </row>
    <row r="924" spans="1:16">
      <c r="A924" s="225" t="s">
        <v>1884</v>
      </c>
      <c r="B924" s="225" t="s">
        <v>2190</v>
      </c>
      <c r="C924" s="228" t="s">
        <v>2174</v>
      </c>
      <c r="D924" s="220" t="s">
        <v>1872</v>
      </c>
    </row>
    <row r="925" spans="1:16">
      <c r="A925" s="225" t="s">
        <v>1884</v>
      </c>
      <c r="B925" s="225" t="s">
        <v>2190</v>
      </c>
      <c r="C925" s="228" t="s">
        <v>2175</v>
      </c>
      <c r="D925" s="220" t="s">
        <v>1872</v>
      </c>
    </row>
    <row r="926" spans="1:16">
      <c r="A926" s="225" t="s">
        <v>1884</v>
      </c>
      <c r="B926" s="225" t="s">
        <v>2190</v>
      </c>
      <c r="C926" s="228" t="s">
        <v>2176</v>
      </c>
      <c r="D926" s="220" t="s">
        <v>1872</v>
      </c>
    </row>
    <row r="927" spans="1:16" ht="13.5" thickBot="1">
      <c r="A927" s="225" t="s">
        <v>1884</v>
      </c>
      <c r="B927" s="225" t="s">
        <v>2190</v>
      </c>
      <c r="C927" s="228" t="s">
        <v>2177</v>
      </c>
      <c r="D927" s="220" t="s">
        <v>1872</v>
      </c>
      <c r="E927" s="190"/>
      <c r="F927" s="75"/>
      <c r="G927" s="193">
        <f>SUM(E868:E927)</f>
        <v>9604</v>
      </c>
      <c r="H927" s="40">
        <f>+'COMBING IS'!J36</f>
        <v>9604</v>
      </c>
      <c r="I927" s="201">
        <f>+H927-G927</f>
        <v>0</v>
      </c>
      <c r="J927" s="40"/>
      <c r="K927" s="194" t="s">
        <v>1889</v>
      </c>
      <c r="M927">
        <f>+G866-G927</f>
        <v>8406</v>
      </c>
      <c r="N927">
        <f>+INPUT!EF61</f>
        <v>8406</v>
      </c>
      <c r="O927" s="143">
        <f>+N927-M927</f>
        <v>0</v>
      </c>
      <c r="P927" s="143" t="s">
        <v>1894</v>
      </c>
    </row>
    <row r="928" spans="1:16">
      <c r="P928" s="156" t="s">
        <v>1896</v>
      </c>
    </row>
  </sheetData>
  <mergeCells count="62">
    <mergeCell ref="A5:C5"/>
    <mergeCell ref="A6:C6"/>
    <mergeCell ref="A9:E9"/>
    <mergeCell ref="A10:E10"/>
    <mergeCell ref="A4:C4"/>
    <mergeCell ref="A814:D814"/>
    <mergeCell ref="A819:D819"/>
    <mergeCell ref="A867:D867"/>
    <mergeCell ref="A20:D20"/>
    <mergeCell ref="A25:D25"/>
    <mergeCell ref="A30:D30"/>
    <mergeCell ref="A78:D78"/>
    <mergeCell ref="A140:D140"/>
    <mergeCell ref="A141:D141"/>
    <mergeCell ref="A151:D151"/>
    <mergeCell ref="A787:D787"/>
    <mergeCell ref="A792:D792"/>
    <mergeCell ref="A797:D797"/>
    <mergeCell ref="A798:D798"/>
    <mergeCell ref="A799:D799"/>
    <mergeCell ref="A809:D809"/>
    <mergeCell ref="A777:D777"/>
    <mergeCell ref="A639:D639"/>
    <mergeCell ref="A687:D687"/>
    <mergeCell ref="A698:D698"/>
    <mergeCell ref="A699:D699"/>
    <mergeCell ref="A700:D700"/>
    <mergeCell ref="A710:D710"/>
    <mergeCell ref="A715:D715"/>
    <mergeCell ref="A720:D720"/>
    <mergeCell ref="A768:D768"/>
    <mergeCell ref="A775:D775"/>
    <mergeCell ref="A776:D776"/>
    <mergeCell ref="A634:D634"/>
    <mergeCell ref="A532:D532"/>
    <mergeCell ref="A533:D533"/>
    <mergeCell ref="A534:D534"/>
    <mergeCell ref="A544:D544"/>
    <mergeCell ref="A551:D551"/>
    <mergeCell ref="A556:D556"/>
    <mergeCell ref="A604:D604"/>
    <mergeCell ref="A615:D615"/>
    <mergeCell ref="A616:D616"/>
    <mergeCell ref="A617:D617"/>
    <mergeCell ref="A627:D627"/>
    <mergeCell ref="A471:D471"/>
    <mergeCell ref="A272:D272"/>
    <mergeCell ref="A282:D282"/>
    <mergeCell ref="A287:D287"/>
    <mergeCell ref="A292:D292"/>
    <mergeCell ref="A340:D340"/>
    <mergeCell ref="A401:D401"/>
    <mergeCell ref="A402:D402"/>
    <mergeCell ref="A403:D403"/>
    <mergeCell ref="A413:D413"/>
    <mergeCell ref="A418:D418"/>
    <mergeCell ref="A423:D423"/>
    <mergeCell ref="A156:D156"/>
    <mergeCell ref="A161:D161"/>
    <mergeCell ref="A209:D209"/>
    <mergeCell ref="A270:D270"/>
    <mergeCell ref="A271:D271"/>
  </mergeCells>
  <pageMargins left="0.7" right="0.7" top="0.75" bottom="0.75" header="0.3" footer="0.3"/>
  <pageSetup scale="32" fitToHeight="0" orientation="portrait" r:id="rId1"/>
  <drawing r:id="rId2"/>
  <legacy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
  <sheetViews>
    <sheetView workbookViewId="0"/>
  </sheetViews>
  <sheetFormatPr defaultRowHeight="12.7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8"/>
  <dimension ref="A2:M110"/>
  <sheetViews>
    <sheetView workbookViewId="0">
      <selection activeCell="P12" sqref="P12"/>
    </sheetView>
  </sheetViews>
  <sheetFormatPr defaultRowHeight="12.75"/>
  <cols>
    <col min="3" max="3" width="10.42578125" bestFit="1" customWidth="1"/>
    <col min="13" max="13" width="16" bestFit="1" customWidth="1"/>
  </cols>
  <sheetData>
    <row r="2" spans="1:13" ht="15.75">
      <c r="A2" s="119" t="s">
        <v>1429</v>
      </c>
      <c r="B2" s="1"/>
      <c r="C2" s="1"/>
      <c r="D2" s="1"/>
      <c r="M2" s="37" t="s">
        <v>131</v>
      </c>
    </row>
    <row r="3" spans="1:13" ht="15.75">
      <c r="A3" s="30"/>
      <c r="B3" s="7" t="s">
        <v>1407</v>
      </c>
      <c r="C3" s="1"/>
      <c r="D3" s="1"/>
    </row>
    <row r="4" spans="1:13" ht="18">
      <c r="A4" s="106" t="s">
        <v>379</v>
      </c>
      <c r="B4" s="117" t="s">
        <v>1432</v>
      </c>
      <c r="C4" s="117"/>
      <c r="M4" s="121" t="s">
        <v>1422</v>
      </c>
    </row>
    <row r="5" spans="1:13" ht="15.75">
      <c r="A5" s="30"/>
      <c r="B5" s="113"/>
      <c r="C5" s="21" t="s">
        <v>1438</v>
      </c>
    </row>
    <row r="6" spans="1:13" ht="18">
      <c r="A6" s="106" t="s">
        <v>1415</v>
      </c>
      <c r="B6" s="117" t="s">
        <v>1433</v>
      </c>
      <c r="C6" s="1"/>
      <c r="D6" s="1"/>
      <c r="M6" s="121" t="s">
        <v>1422</v>
      </c>
    </row>
    <row r="7" spans="1:13" ht="18">
      <c r="A7" s="106"/>
      <c r="C7" s="21" t="s">
        <v>1439</v>
      </c>
      <c r="D7" s="1"/>
    </row>
    <row r="8" spans="1:13" ht="18">
      <c r="A8" s="106" t="s">
        <v>1421</v>
      </c>
      <c r="B8" s="117" t="s">
        <v>1434</v>
      </c>
      <c r="C8" s="1"/>
      <c r="D8" s="1"/>
      <c r="M8" s="121" t="s">
        <v>1422</v>
      </c>
    </row>
    <row r="9" spans="1:13" ht="18">
      <c r="A9" s="106"/>
      <c r="B9" s="117" t="s">
        <v>1435</v>
      </c>
      <c r="C9" s="1"/>
      <c r="D9" s="1"/>
      <c r="M9" s="121" t="s">
        <v>1422</v>
      </c>
    </row>
    <row r="10" spans="1:13" ht="18">
      <c r="A10" s="106"/>
      <c r="B10" s="117"/>
      <c r="C10" s="21" t="s">
        <v>1440</v>
      </c>
      <c r="D10" s="1"/>
    </row>
    <row r="11" spans="1:13" ht="18.75">
      <c r="A11" s="106"/>
      <c r="B11" s="7" t="s">
        <v>1406</v>
      </c>
      <c r="C11" s="1"/>
      <c r="D11" s="1"/>
    </row>
    <row r="12" spans="1:13" ht="18.75">
      <c r="A12" s="106"/>
      <c r="B12" s="7"/>
      <c r="C12" s="21" t="s">
        <v>1441</v>
      </c>
      <c r="D12" s="1"/>
    </row>
    <row r="13" spans="1:13" ht="18.75">
      <c r="A13" s="106"/>
      <c r="B13" s="7"/>
      <c r="C13" s="21" t="s">
        <v>1443</v>
      </c>
      <c r="D13" s="1"/>
    </row>
    <row r="14" spans="1:13" ht="18.75">
      <c r="A14" s="106"/>
      <c r="B14" s="7"/>
      <c r="C14" s="21" t="s">
        <v>1442</v>
      </c>
      <c r="D14" s="1"/>
    </row>
    <row r="15" spans="1:13" ht="18.75">
      <c r="A15" s="106"/>
      <c r="B15" s="7"/>
      <c r="C15" s="21"/>
      <c r="D15" s="1"/>
    </row>
    <row r="16" spans="1:13" ht="18">
      <c r="A16" s="106" t="s">
        <v>1448</v>
      </c>
      <c r="B16" s="120" t="s">
        <v>1446</v>
      </c>
      <c r="C16" s="1"/>
      <c r="D16" s="1"/>
      <c r="M16" s="121"/>
    </row>
    <row r="17" spans="1:13">
      <c r="A17" s="23"/>
      <c r="C17" s="109"/>
    </row>
    <row r="18" spans="1:13">
      <c r="A18" s="23"/>
    </row>
    <row r="19" spans="1:13" ht="18">
      <c r="A19" s="106" t="s">
        <v>1449</v>
      </c>
      <c r="B19" s="120" t="s">
        <v>691</v>
      </c>
      <c r="C19" s="109"/>
    </row>
    <row r="20" spans="1:13">
      <c r="A20" s="23"/>
      <c r="C20" s="109"/>
    </row>
    <row r="21" spans="1:13">
      <c r="A21" s="23"/>
    </row>
    <row r="22" spans="1:13" ht="15.75">
      <c r="A22" s="23"/>
      <c r="B22" s="7" t="s">
        <v>1426</v>
      </c>
    </row>
    <row r="23" spans="1:13" ht="15.75">
      <c r="A23" s="23"/>
      <c r="B23" s="7"/>
      <c r="C23" s="21" t="s">
        <v>1444</v>
      </c>
    </row>
    <row r="24" spans="1:13" ht="15.75">
      <c r="A24" s="23"/>
      <c r="B24" s="7"/>
      <c r="C24" s="21" t="s">
        <v>1436</v>
      </c>
    </row>
    <row r="25" spans="1:13" ht="15.75">
      <c r="A25" s="23"/>
      <c r="B25" s="7"/>
      <c r="C25" s="21" t="s">
        <v>1437</v>
      </c>
    </row>
    <row r="26" spans="1:13" ht="15">
      <c r="A26" s="70" t="s">
        <v>1423</v>
      </c>
      <c r="B26" s="117" t="s">
        <v>1445</v>
      </c>
      <c r="M26" s="121"/>
    </row>
    <row r="27" spans="1:13" ht="15.75">
      <c r="A27" s="23"/>
      <c r="B27" s="7"/>
    </row>
    <row r="28" spans="1:13" ht="18">
      <c r="A28" s="106" t="s">
        <v>1424</v>
      </c>
      <c r="B28" s="1" t="s">
        <v>1411</v>
      </c>
    </row>
    <row r="29" spans="1:13" ht="15">
      <c r="A29" s="23"/>
      <c r="C29" s="117" t="s">
        <v>1430</v>
      </c>
      <c r="M29" s="121"/>
    </row>
    <row r="30" spans="1:13">
      <c r="A30" s="23"/>
      <c r="C30" s="21" t="s">
        <v>1431</v>
      </c>
    </row>
    <row r="31" spans="1:13">
      <c r="A31" s="23"/>
    </row>
    <row r="32" spans="1:13">
      <c r="A32" s="23"/>
    </row>
    <row r="33" spans="1:3">
      <c r="A33" s="23"/>
    </row>
    <row r="34" spans="1:3">
      <c r="A34" s="23"/>
    </row>
    <row r="35" spans="1:3">
      <c r="A35" s="23"/>
    </row>
    <row r="36" spans="1:3">
      <c r="A36" s="23"/>
    </row>
    <row r="37" spans="1:3">
      <c r="A37" s="23"/>
    </row>
    <row r="38" spans="1:3">
      <c r="A38" s="23"/>
    </row>
    <row r="39" spans="1:3" ht="18">
      <c r="A39" s="106"/>
      <c r="B39" s="1" t="s">
        <v>1408</v>
      </c>
      <c r="C39" s="112"/>
    </row>
    <row r="40" spans="1:3" ht="18">
      <c r="A40" s="106"/>
      <c r="B40" s="1"/>
      <c r="C40" s="112"/>
    </row>
    <row r="41" spans="1:3" ht="18">
      <c r="A41" s="106"/>
      <c r="B41" s="1" t="s">
        <v>1405</v>
      </c>
    </row>
    <row r="42" spans="1:3">
      <c r="A42" s="23"/>
    </row>
    <row r="43" spans="1:3">
      <c r="A43" s="23"/>
    </row>
    <row r="44" spans="1:3" ht="15.75">
      <c r="A44" s="23"/>
      <c r="B44" s="7" t="s">
        <v>1447</v>
      </c>
    </row>
    <row r="45" spans="1:3">
      <c r="A45" s="23"/>
      <c r="C45" s="21" t="s">
        <v>1450</v>
      </c>
    </row>
    <row r="46" spans="1:3">
      <c r="A46" s="23"/>
      <c r="C46" s="21" t="s">
        <v>1451</v>
      </c>
    </row>
    <row r="47" spans="1:3">
      <c r="A47" s="23"/>
      <c r="C47" s="21" t="s">
        <v>1452</v>
      </c>
    </row>
    <row r="48" spans="1:3">
      <c r="A48" s="23"/>
      <c r="C48" s="21" t="s">
        <v>1453</v>
      </c>
    </row>
    <row r="49" spans="1:3">
      <c r="A49" s="23"/>
      <c r="C49" s="21" t="s">
        <v>1454</v>
      </c>
    </row>
    <row r="50" spans="1:3">
      <c r="A50" s="23"/>
      <c r="C50" s="21"/>
    </row>
    <row r="51" spans="1:3" ht="15">
      <c r="A51" s="70" t="s">
        <v>1428</v>
      </c>
      <c r="C51" s="117" t="s">
        <v>1464</v>
      </c>
    </row>
    <row r="52" spans="1:3">
      <c r="A52" s="23"/>
    </row>
    <row r="53" spans="1:3" ht="18">
      <c r="A53" s="106" t="s">
        <v>1427</v>
      </c>
    </row>
    <row r="54" spans="1:3">
      <c r="A54" s="23"/>
    </row>
    <row r="55" spans="1:3" ht="15.75">
      <c r="A55" s="23"/>
      <c r="B55" s="7" t="s">
        <v>1397</v>
      </c>
    </row>
    <row r="56" spans="1:3">
      <c r="A56" s="23"/>
      <c r="C56" s="21" t="s">
        <v>1456</v>
      </c>
    </row>
    <row r="57" spans="1:3">
      <c r="A57" s="23"/>
      <c r="C57" s="21" t="s">
        <v>1455</v>
      </c>
    </row>
    <row r="58" spans="1:3">
      <c r="A58" s="23"/>
      <c r="C58" s="21" t="s">
        <v>1457</v>
      </c>
    </row>
    <row r="59" spans="1:3">
      <c r="A59" s="23"/>
      <c r="C59" s="21" t="s">
        <v>1488</v>
      </c>
    </row>
    <row r="60" spans="1:3">
      <c r="A60" s="23"/>
      <c r="C60" s="21" t="s">
        <v>1487</v>
      </c>
    </row>
    <row r="61" spans="1:3">
      <c r="A61" s="23"/>
      <c r="C61" s="21"/>
    </row>
    <row r="62" spans="1:3">
      <c r="A62" s="23"/>
      <c r="C62" s="21"/>
    </row>
    <row r="63" spans="1:3">
      <c r="A63" s="23"/>
      <c r="C63" s="21"/>
    </row>
    <row r="64" spans="1:3" ht="15.75">
      <c r="A64" s="14" t="s">
        <v>1458</v>
      </c>
    </row>
    <row r="65" spans="1:3">
      <c r="A65" s="23"/>
    </row>
    <row r="66" spans="1:3" ht="15.75">
      <c r="A66" s="7" t="s">
        <v>1474</v>
      </c>
    </row>
    <row r="67" spans="1:3" ht="15.75">
      <c r="A67" s="23"/>
      <c r="B67" s="7" t="s">
        <v>1475</v>
      </c>
    </row>
    <row r="68" spans="1:3">
      <c r="A68" s="23"/>
      <c r="B68" s="21"/>
      <c r="C68" s="21" t="s">
        <v>1473</v>
      </c>
    </row>
    <row r="69" spans="1:3">
      <c r="A69" s="23"/>
      <c r="B69" s="21"/>
      <c r="C69" s="21" t="s">
        <v>1480</v>
      </c>
    </row>
    <row r="70" spans="1:3">
      <c r="A70" s="23"/>
      <c r="B70" s="21"/>
      <c r="C70" s="125" t="s">
        <v>1481</v>
      </c>
    </row>
    <row r="71" spans="1:3">
      <c r="A71" s="23"/>
      <c r="B71" s="21"/>
      <c r="C71" s="21"/>
    </row>
    <row r="72" spans="1:3" ht="15.75">
      <c r="A72" s="23"/>
      <c r="B72" s="7" t="s">
        <v>1476</v>
      </c>
    </row>
    <row r="73" spans="1:3">
      <c r="A73" s="23"/>
      <c r="B73" s="21"/>
      <c r="C73" s="21" t="s">
        <v>1477</v>
      </c>
    </row>
    <row r="74" spans="1:3">
      <c r="A74" s="23"/>
      <c r="B74" s="21"/>
      <c r="C74" s="21" t="s">
        <v>1478</v>
      </c>
    </row>
    <row r="75" spans="1:3">
      <c r="A75" s="23"/>
      <c r="B75" s="21"/>
      <c r="C75" s="125" t="s">
        <v>1479</v>
      </c>
    </row>
    <row r="76" spans="1:3">
      <c r="A76" s="23"/>
    </row>
    <row r="77" spans="1:3" ht="15.75">
      <c r="A77" s="70"/>
      <c r="B77" s="7" t="s">
        <v>1471</v>
      </c>
    </row>
    <row r="78" spans="1:3">
      <c r="A78" s="23"/>
      <c r="C78" s="21" t="s">
        <v>1460</v>
      </c>
    </row>
    <row r="79" spans="1:3">
      <c r="A79" s="23"/>
      <c r="C79" s="21" t="s">
        <v>1472</v>
      </c>
    </row>
    <row r="80" spans="1:3">
      <c r="A80" s="23"/>
      <c r="C80" s="125" t="s">
        <v>1482</v>
      </c>
    </row>
    <row r="81" spans="1:4">
      <c r="A81" s="23"/>
      <c r="C81" s="125">
        <v>1</v>
      </c>
      <c r="D81" s="125" t="s">
        <v>1486</v>
      </c>
    </row>
    <row r="82" spans="1:4">
      <c r="A82" s="23"/>
      <c r="C82" s="125">
        <v>2</v>
      </c>
      <c r="D82" s="125" t="s">
        <v>1485</v>
      </c>
    </row>
    <row r="83" spans="1:4">
      <c r="A83" s="23"/>
      <c r="C83" s="125">
        <v>3</v>
      </c>
      <c r="D83" s="125" t="s">
        <v>1483</v>
      </c>
    </row>
    <row r="84" spans="1:4">
      <c r="A84" s="23"/>
      <c r="C84" s="125">
        <v>4</v>
      </c>
      <c r="D84" s="125" t="s">
        <v>1484</v>
      </c>
    </row>
    <row r="85" spans="1:4">
      <c r="A85" s="23"/>
      <c r="C85" s="21"/>
    </row>
    <row r="86" spans="1:4">
      <c r="A86" s="23"/>
    </row>
    <row r="87" spans="1:4" ht="15.75">
      <c r="A87" s="23"/>
      <c r="B87" s="7" t="s">
        <v>1459</v>
      </c>
    </row>
    <row r="88" spans="1:4">
      <c r="A88" s="23"/>
      <c r="C88" s="21" t="s">
        <v>1461</v>
      </c>
    </row>
    <row r="89" spans="1:4">
      <c r="A89" s="23"/>
      <c r="C89" s="21"/>
    </row>
    <row r="90" spans="1:4">
      <c r="A90" s="23"/>
    </row>
    <row r="91" spans="1:4">
      <c r="A91" s="23"/>
    </row>
    <row r="92" spans="1:4">
      <c r="A92" s="70" t="s">
        <v>1498</v>
      </c>
    </row>
    <row r="93" spans="1:4">
      <c r="A93" s="23"/>
      <c r="B93" s="21" t="s">
        <v>1499</v>
      </c>
    </row>
    <row r="94" spans="1:4">
      <c r="A94" s="23"/>
    </row>
    <row r="95" spans="1:4">
      <c r="A95" s="23"/>
      <c r="B95" s="21"/>
    </row>
    <row r="96" spans="1:4">
      <c r="A96" s="23"/>
    </row>
    <row r="97" spans="1:3">
      <c r="A97" s="23"/>
      <c r="B97" s="21" t="s">
        <v>1502</v>
      </c>
    </row>
    <row r="98" spans="1:3">
      <c r="A98" s="23"/>
      <c r="B98" s="21" t="s">
        <v>1501</v>
      </c>
    </row>
    <row r="99" spans="1:3">
      <c r="A99" s="23"/>
    </row>
    <row r="100" spans="1:3">
      <c r="A100" s="23"/>
      <c r="B100" s="21" t="s">
        <v>1503</v>
      </c>
    </row>
    <row r="101" spans="1:3">
      <c r="A101" s="23"/>
      <c r="C101" s="21"/>
    </row>
    <row r="102" spans="1:3">
      <c r="A102" s="23"/>
      <c r="C102" s="21" t="s">
        <v>1505</v>
      </c>
    </row>
    <row r="103" spans="1:3">
      <c r="A103" s="23"/>
      <c r="C103" s="21" t="s">
        <v>1505</v>
      </c>
    </row>
    <row r="104" spans="1:3">
      <c r="A104" s="23"/>
      <c r="C104" s="21" t="s">
        <v>1507</v>
      </c>
    </row>
    <row r="105" spans="1:3">
      <c r="A105" s="23"/>
      <c r="C105" s="21" t="s">
        <v>1508</v>
      </c>
    </row>
    <row r="106" spans="1:3">
      <c r="A106" s="23"/>
      <c r="C106" s="21" t="s">
        <v>1509</v>
      </c>
    </row>
    <row r="107" spans="1:3">
      <c r="A107" s="23"/>
      <c r="C107" s="21" t="s">
        <v>1510</v>
      </c>
    </row>
    <row r="108" spans="1:3">
      <c r="A108" s="23"/>
      <c r="C108" s="21" t="s">
        <v>1506</v>
      </c>
    </row>
    <row r="109" spans="1:3">
      <c r="C109" s="21" t="s">
        <v>1506</v>
      </c>
    </row>
    <row r="110" spans="1:3">
      <c r="C110" s="21" t="s">
        <v>1506</v>
      </c>
    </row>
  </sheetData>
  <pageMargins left="0.25" right="0.25" top="1" bottom="1" header="0.5" footer="0.5"/>
  <pageSetup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ransitionEvaluation="1" codeName="Sheet48">
    <tabColor rgb="FFFF0000"/>
  </sheetPr>
  <dimension ref="A3:K135"/>
  <sheetViews>
    <sheetView showGridLines="0" topLeftCell="A96" zoomScale="70" workbookViewId="0">
      <selection activeCell="H136" sqref="H136"/>
    </sheetView>
  </sheetViews>
  <sheetFormatPr defaultColWidth="9.7109375" defaultRowHeight="12.75"/>
  <cols>
    <col min="1" max="1" width="2.7109375" style="288" customWidth="1"/>
    <col min="2" max="2" width="101.140625" style="288" customWidth="1"/>
    <col min="3" max="3" width="23.85546875" style="288" customWidth="1"/>
    <col min="4" max="4" width="14.7109375" style="288" customWidth="1"/>
    <col min="5" max="5" width="4.28515625" style="288" customWidth="1"/>
    <col min="6" max="6" width="18.85546875" style="288" customWidth="1"/>
    <col min="7" max="7" width="7" style="288" customWidth="1"/>
    <col min="8" max="8" width="21.140625" style="288" customWidth="1"/>
    <col min="9" max="9" width="14.7109375" style="288" customWidth="1"/>
    <col min="10" max="10" width="3.7109375" style="288" customWidth="1"/>
  </cols>
  <sheetData>
    <row r="3" spans="1:11" ht="15.75">
      <c r="B3" s="305" t="s">
        <v>1049</v>
      </c>
      <c r="C3" s="289"/>
    </row>
    <row r="4" spans="1:11" ht="15.75">
      <c r="B4" s="305" t="s">
        <v>1696</v>
      </c>
      <c r="C4" s="289"/>
    </row>
    <row r="5" spans="1:11" ht="15.75">
      <c r="B5" s="305" t="s">
        <v>418</v>
      </c>
      <c r="C5" s="289"/>
    </row>
    <row r="6" spans="1:11" ht="15.75">
      <c r="A6" s="306"/>
      <c r="B6" s="307">
        <f>'Stmt of Net Pos'!C4</f>
        <v>45107</v>
      </c>
      <c r="C6" s="289"/>
    </row>
    <row r="7" spans="1:11" ht="15.75">
      <c r="B7" s="277"/>
      <c r="C7" s="289"/>
    </row>
    <row r="8" spans="1:11" ht="15.75" hidden="1">
      <c r="B8" s="277"/>
      <c r="C8" s="289"/>
    </row>
    <row r="9" spans="1:11" ht="15.75">
      <c r="B9" s="276"/>
    </row>
    <row r="10" spans="1:11" ht="15.75">
      <c r="B10" s="276"/>
      <c r="C10" s="287" t="s">
        <v>2279</v>
      </c>
    </row>
    <row r="11" spans="1:11" ht="15.75">
      <c r="B11" s="276"/>
      <c r="C11" s="287" t="s">
        <v>1298</v>
      </c>
      <c r="D11" s="287"/>
      <c r="E11" s="308"/>
      <c r="F11" s="287"/>
      <c r="G11" s="287"/>
      <c r="H11" s="287"/>
      <c r="I11" s="287"/>
      <c r="J11" s="287"/>
      <c r="K11" s="2"/>
    </row>
    <row r="12" spans="1:11" ht="15.75">
      <c r="B12" s="276"/>
      <c r="C12" s="290" t="s">
        <v>577</v>
      </c>
      <c r="D12" s="290" t="s">
        <v>495</v>
      </c>
      <c r="E12" s="291"/>
      <c r="F12" s="290"/>
      <c r="G12" s="287"/>
      <c r="H12" s="287"/>
      <c r="I12" s="287"/>
      <c r="J12" s="287"/>
    </row>
    <row r="13" spans="1:11" ht="15.75">
      <c r="B13" s="308"/>
      <c r="C13" s="276"/>
      <c r="D13" s="276"/>
      <c r="E13" s="276"/>
      <c r="F13" s="276"/>
      <c r="G13" s="276"/>
      <c r="H13" s="276"/>
      <c r="I13" s="276"/>
      <c r="J13" s="276"/>
    </row>
    <row r="14" spans="1:11" ht="15.75">
      <c r="B14" s="308" t="str">
        <f>INPUT!B83</f>
        <v>ASSETS</v>
      </c>
      <c r="D14" s="276"/>
      <c r="E14" s="276"/>
      <c r="F14" s="288">
        <f>SUM(F15:F16)</f>
        <v>0</v>
      </c>
      <c r="G14" s="276"/>
      <c r="H14" s="276">
        <f>+F15+F16+F19+F23+F31</f>
        <v>0</v>
      </c>
      <c r="I14" s="276"/>
      <c r="J14" s="309"/>
    </row>
    <row r="15" spans="1:11" ht="15.75">
      <c r="A15" s="276"/>
      <c r="B15" s="276" t="str">
        <f>INPUT!B85</f>
        <v xml:space="preserve">     Cash and cash equivalents</v>
      </c>
      <c r="C15" s="292">
        <f>+INPUT!EB85</f>
        <v>0</v>
      </c>
      <c r="D15" s="292"/>
      <c r="E15" s="293"/>
      <c r="F15" s="292">
        <f t="shared" ref="F15:F23" si="0">+C15+D15</f>
        <v>0</v>
      </c>
      <c r="G15" s="292"/>
      <c r="H15" s="292"/>
      <c r="I15" s="292"/>
      <c r="J15" s="309"/>
    </row>
    <row r="16" spans="1:11" ht="15.75">
      <c r="A16" s="276"/>
      <c r="B16" s="276" t="str">
        <f>INPUT!B86</f>
        <v xml:space="preserve">     Investments </v>
      </c>
      <c r="C16" s="294">
        <f>+INPUT!EB86+INPUT!EB100</f>
        <v>0</v>
      </c>
      <c r="D16" s="294"/>
      <c r="E16" s="295"/>
      <c r="F16" s="294">
        <f t="shared" si="0"/>
        <v>0</v>
      </c>
      <c r="G16" s="294"/>
      <c r="H16" s="294"/>
      <c r="I16" s="294"/>
      <c r="J16" s="309"/>
    </row>
    <row r="17" spans="1:10" ht="15.75">
      <c r="A17" s="276"/>
      <c r="B17" s="276" t="str">
        <f>INPUT!B87</f>
        <v xml:space="preserve">     Receivables (net of allowance):</v>
      </c>
      <c r="C17" s="294"/>
      <c r="D17" s="294"/>
      <c r="E17" s="296"/>
      <c r="F17" s="294"/>
      <c r="G17" s="294"/>
      <c r="H17" s="294"/>
      <c r="I17" s="294"/>
      <c r="J17" s="296"/>
    </row>
    <row r="18" spans="1:10" ht="15.75" hidden="1">
      <c r="A18" s="276"/>
      <c r="B18" s="276" t="str">
        <f>INPUT!B88</f>
        <v xml:space="preserve">          Taxes/assessments</v>
      </c>
      <c r="C18" s="294">
        <f>+INPUT!EB88</f>
        <v>0</v>
      </c>
      <c r="D18" s="294"/>
      <c r="E18" s="296"/>
      <c r="F18" s="294">
        <f t="shared" si="0"/>
        <v>0</v>
      </c>
      <c r="G18" s="294"/>
      <c r="H18" s="294"/>
      <c r="I18" s="294"/>
      <c r="J18" s="296"/>
    </row>
    <row r="19" spans="1:10" ht="15.75">
      <c r="A19" s="276"/>
      <c r="B19" s="276" t="str">
        <f>INPUT!B89</f>
        <v xml:space="preserve">          Accounts/contracts</v>
      </c>
      <c r="C19" s="294">
        <f>+INPUT!EB89</f>
        <v>0</v>
      </c>
      <c r="D19" s="294"/>
      <c r="E19" s="295"/>
      <c r="F19" s="294">
        <f t="shared" si="0"/>
        <v>0</v>
      </c>
      <c r="G19" s="294"/>
      <c r="H19" s="276"/>
      <c r="I19" s="294"/>
      <c r="J19" s="296"/>
    </row>
    <row r="20" spans="1:10" ht="15.75" hidden="1">
      <c r="A20" s="276"/>
      <c r="B20" s="276" t="str">
        <f>INPUT!B90</f>
        <v xml:space="preserve">          Notes receivable</v>
      </c>
      <c r="C20" s="294">
        <f>+INPUT!EB90</f>
        <v>0</v>
      </c>
      <c r="D20" s="294"/>
      <c r="E20" s="296"/>
      <c r="F20" s="294">
        <f t="shared" si="0"/>
        <v>0</v>
      </c>
      <c r="G20" s="294"/>
      <c r="H20" s="276"/>
      <c r="I20" s="294"/>
      <c r="J20" s="296"/>
    </row>
    <row r="21" spans="1:10" ht="15.75" hidden="1">
      <c r="A21" s="288" t="s">
        <v>299</v>
      </c>
      <c r="B21" s="276" t="str">
        <f>INPUT!B92</f>
        <v xml:space="preserve">     Due from other funds</v>
      </c>
      <c r="C21" s="294">
        <f>+INPUT!EB92</f>
        <v>0</v>
      </c>
      <c r="E21" s="296"/>
      <c r="F21" s="294">
        <f t="shared" si="0"/>
        <v>0</v>
      </c>
      <c r="G21" s="294"/>
      <c r="H21" s="276"/>
      <c r="I21" s="294"/>
      <c r="J21" s="296"/>
    </row>
    <row r="22" spans="1:10" ht="15.75">
      <c r="A22" s="276"/>
      <c r="B22" s="276" t="str">
        <f>INPUT!B93</f>
        <v xml:space="preserve">     Due from other governments</v>
      </c>
      <c r="C22" s="294">
        <f>+INPUT!EB93</f>
        <v>0</v>
      </c>
      <c r="D22" s="294"/>
      <c r="E22" s="295"/>
      <c r="F22" s="294">
        <f t="shared" si="0"/>
        <v>0</v>
      </c>
      <c r="G22" s="294"/>
      <c r="H22" s="276"/>
      <c r="I22" s="294"/>
      <c r="J22" s="296"/>
    </row>
    <row r="23" spans="1:10" ht="15.75">
      <c r="A23" s="276"/>
      <c r="B23" s="276" t="str">
        <f>INPUT!B94</f>
        <v xml:space="preserve">     Inventories</v>
      </c>
      <c r="C23" s="294">
        <f>+INPUT!EB94</f>
        <v>0</v>
      </c>
      <c r="D23" s="294"/>
      <c r="E23" s="295"/>
      <c r="F23" s="294">
        <f t="shared" si="0"/>
        <v>0</v>
      </c>
      <c r="G23" s="294"/>
      <c r="H23" s="276"/>
      <c r="I23" s="294"/>
      <c r="J23" s="296"/>
    </row>
    <row r="24" spans="1:10" ht="15.75" hidden="1">
      <c r="A24" s="288" t="s">
        <v>299</v>
      </c>
      <c r="B24" s="276" t="s">
        <v>973</v>
      </c>
      <c r="C24" s="294"/>
      <c r="D24" s="313"/>
      <c r="E24" s="296"/>
      <c r="F24" s="294">
        <f>+C24+D24</f>
        <v>0</v>
      </c>
      <c r="G24" s="294"/>
      <c r="H24" s="294"/>
      <c r="I24" s="294"/>
      <c r="J24" s="296"/>
    </row>
    <row r="25" spans="1:10" ht="15.75" hidden="1">
      <c r="A25" s="288" t="s">
        <v>299</v>
      </c>
      <c r="B25" s="276" t="str">
        <f>INPUT!B97</f>
        <v xml:space="preserve">     Restricted assets:</v>
      </c>
      <c r="C25" s="294"/>
      <c r="D25" s="294"/>
      <c r="E25" s="296"/>
      <c r="F25" s="294">
        <f t="shared" ref="F25:F32" si="1">+C25+D25</f>
        <v>0</v>
      </c>
      <c r="G25" s="294"/>
      <c r="H25" s="294"/>
      <c r="I25" s="294"/>
      <c r="J25" s="296"/>
    </row>
    <row r="26" spans="1:10" ht="15.75" hidden="1">
      <c r="A26" s="288" t="s">
        <v>299</v>
      </c>
      <c r="B26" s="276" t="str">
        <f>INPUT!B98</f>
        <v xml:space="preserve">          Cash and cash equivalents</v>
      </c>
      <c r="C26" s="294"/>
      <c r="D26" s="294"/>
      <c r="E26" s="296"/>
      <c r="F26" s="294">
        <f t="shared" si="1"/>
        <v>0</v>
      </c>
      <c r="G26" s="294"/>
      <c r="H26" s="294"/>
      <c r="I26" s="294"/>
      <c r="J26" s="296"/>
    </row>
    <row r="27" spans="1:10" ht="15.75" hidden="1">
      <c r="A27" s="288" t="s">
        <v>299</v>
      </c>
      <c r="B27" s="276" t="str">
        <f>INPUT!B99</f>
        <v xml:space="preserve">          Investments</v>
      </c>
      <c r="C27" s="294"/>
      <c r="D27" s="294"/>
      <c r="E27" s="296"/>
      <c r="F27" s="294">
        <f t="shared" si="1"/>
        <v>0</v>
      </c>
      <c r="G27" s="294"/>
      <c r="H27" s="294"/>
      <c r="I27" s="294"/>
      <c r="J27" s="296"/>
    </row>
    <row r="28" spans="1:10" ht="15.75" hidden="1">
      <c r="A28" s="276" t="s">
        <v>299</v>
      </c>
      <c r="B28" s="276" t="str">
        <f>INPUT!B100</f>
        <v xml:space="preserve">     Valuation of investments to fair value</v>
      </c>
      <c r="C28" s="294"/>
      <c r="D28" s="294"/>
      <c r="E28" s="296"/>
      <c r="F28" s="294">
        <f t="shared" si="1"/>
        <v>0</v>
      </c>
      <c r="G28" s="294"/>
      <c r="H28" s="294"/>
      <c r="I28" s="294"/>
      <c r="J28" s="296"/>
    </row>
    <row r="29" spans="1:10" ht="15.75" hidden="1">
      <c r="A29" s="288" t="s">
        <v>299</v>
      </c>
      <c r="B29" s="276" t="str">
        <f>INPUT!B103</f>
        <v xml:space="preserve">     Advances to other funds</v>
      </c>
      <c r="C29" s="294"/>
      <c r="D29" s="294"/>
      <c r="E29" s="296"/>
      <c r="F29" s="294">
        <f t="shared" si="1"/>
        <v>0</v>
      </c>
      <c r="G29" s="294"/>
      <c r="H29" s="294"/>
      <c r="I29" s="294"/>
      <c r="J29" s="296"/>
    </row>
    <row r="30" spans="1:10" ht="15.75" hidden="1">
      <c r="A30" s="276"/>
      <c r="B30" s="276"/>
      <c r="C30" s="294"/>
      <c r="D30" s="294"/>
      <c r="E30" s="296"/>
      <c r="F30" s="294">
        <f t="shared" si="1"/>
        <v>0</v>
      </c>
      <c r="G30" s="294"/>
      <c r="H30" s="294"/>
      <c r="I30" s="294"/>
      <c r="J30" s="296"/>
    </row>
    <row r="31" spans="1:10" ht="15.75" hidden="1">
      <c r="A31" s="276"/>
      <c r="B31" s="276" t="str">
        <f>INPUT!B107</f>
        <v xml:space="preserve">     Land and construction in progress</v>
      </c>
      <c r="C31" s="294"/>
      <c r="D31" s="294">
        <f>+C108</f>
        <v>0</v>
      </c>
      <c r="E31" s="296"/>
      <c r="F31" s="294">
        <f t="shared" si="1"/>
        <v>0</v>
      </c>
      <c r="G31" s="294"/>
      <c r="H31" s="294"/>
      <c r="I31" s="294"/>
      <c r="J31" s="296"/>
    </row>
    <row r="32" spans="1:10" ht="15.75" hidden="1">
      <c r="A32" s="276"/>
      <c r="B32" s="276" t="str">
        <f>INPUT!B108</f>
        <v xml:space="preserve">     Buildings, improvements, vehicles and equipment (net)</v>
      </c>
      <c r="C32" s="294"/>
      <c r="D32" s="294">
        <f>+C109</f>
        <v>0</v>
      </c>
      <c r="E32" s="296"/>
      <c r="F32" s="294">
        <f t="shared" si="1"/>
        <v>0</v>
      </c>
      <c r="G32" s="294"/>
      <c r="H32" s="294"/>
      <c r="I32" s="294"/>
      <c r="J32" s="296"/>
    </row>
    <row r="33" spans="1:10" ht="15.75">
      <c r="A33" s="276"/>
      <c r="B33" s="276"/>
      <c r="C33" s="298"/>
      <c r="D33" s="298"/>
      <c r="E33" s="296"/>
      <c r="F33" s="298"/>
      <c r="G33" s="294"/>
      <c r="H33" s="294"/>
      <c r="I33" s="294"/>
      <c r="J33" s="296"/>
    </row>
    <row r="34" spans="1:10" ht="16.5" thickBot="1">
      <c r="A34" s="276"/>
      <c r="B34" s="308" t="str">
        <f>+INPUT!B114</f>
        <v xml:space="preserve">          Total assets</v>
      </c>
      <c r="C34" s="302">
        <f>SUM(C15:C33)</f>
        <v>0</v>
      </c>
      <c r="D34" s="299">
        <f>SUM(D15:D33)</f>
        <v>0</v>
      </c>
      <c r="E34" s="296"/>
      <c r="F34" s="299">
        <f>SUM(F15:F33)</f>
        <v>0</v>
      </c>
      <c r="G34" s="300"/>
      <c r="H34" s="300"/>
      <c r="I34" s="300"/>
      <c r="J34" s="314"/>
    </row>
    <row r="35" spans="1:10" ht="16.5" thickTop="1">
      <c r="A35" s="276"/>
      <c r="B35" s="308"/>
      <c r="C35" s="300"/>
      <c r="D35" s="300"/>
      <c r="E35" s="296"/>
      <c r="F35" s="300"/>
      <c r="G35" s="300"/>
      <c r="H35" s="300"/>
      <c r="I35" s="300"/>
      <c r="J35" s="314"/>
    </row>
    <row r="36" spans="1:10" ht="15.75">
      <c r="A36" s="276"/>
      <c r="B36" s="308" t="str">
        <f>+INPUT!B116</f>
        <v>DEFERRED OUTFLOWS OF RESOURCES</v>
      </c>
      <c r="C36" s="300"/>
      <c r="D36" s="300"/>
      <c r="E36" s="296"/>
      <c r="F36" s="300"/>
      <c r="G36" s="300"/>
      <c r="H36" s="300"/>
      <c r="I36" s="300"/>
      <c r="J36" s="314"/>
    </row>
    <row r="37" spans="1:10" ht="15.75">
      <c r="A37" s="276"/>
      <c r="B37" s="276" t="str">
        <f>INPUT!B117</f>
        <v xml:space="preserve">     Prepayments of costs</v>
      </c>
      <c r="C37" s="292">
        <f>+INPUT!EB117</f>
        <v>0</v>
      </c>
      <c r="D37" s="313">
        <f>-D24</f>
        <v>0</v>
      </c>
      <c r="E37" s="296"/>
      <c r="F37" s="294">
        <f>+C37+D37</f>
        <v>0</v>
      </c>
      <c r="G37" s="300"/>
      <c r="H37" s="300"/>
      <c r="I37" s="300"/>
      <c r="J37" s="314"/>
    </row>
    <row r="38" spans="1:10" ht="15.75" hidden="1">
      <c r="A38" s="276"/>
      <c r="B38" s="276" t="str">
        <f>INPUT!B118</f>
        <v xml:space="preserve">     Deferred charges - Revenue bond issuance costs</v>
      </c>
      <c r="C38" s="294"/>
      <c r="D38" s="313"/>
      <c r="E38" s="296"/>
      <c r="F38" s="294">
        <f>+C38+D38</f>
        <v>0</v>
      </c>
      <c r="G38" s="300"/>
      <c r="H38" s="300"/>
      <c r="I38" s="300"/>
      <c r="J38" s="314"/>
    </row>
    <row r="39" spans="1:10" ht="15.75" hidden="1">
      <c r="A39" s="276"/>
      <c r="B39" s="276">
        <f>INPUT!B119</f>
        <v>0</v>
      </c>
      <c r="C39" s="294"/>
      <c r="D39" s="313"/>
      <c r="E39" s="296"/>
      <c r="F39" s="294"/>
      <c r="G39" s="300"/>
      <c r="H39" s="300"/>
      <c r="I39" s="300"/>
      <c r="J39" s="314"/>
    </row>
    <row r="40" spans="1:10" ht="15.75" hidden="1">
      <c r="A40" s="276"/>
      <c r="B40" s="276" t="str">
        <f>INPUT!B120</f>
        <v xml:space="preserve">     Deferred outflows related to pensions</v>
      </c>
      <c r="C40" s="294"/>
      <c r="D40" s="319">
        <f>+'COMP UNIT IS Don''t Use FY21'!N85</f>
        <v>0</v>
      </c>
      <c r="E40" s="295"/>
      <c r="F40" s="294">
        <f>+C40+D40</f>
        <v>0</v>
      </c>
      <c r="G40" s="300"/>
      <c r="H40" s="300"/>
      <c r="I40" s="300"/>
      <c r="J40" s="314"/>
    </row>
    <row r="41" spans="1:10" ht="15.75" hidden="1">
      <c r="A41" s="276"/>
      <c r="B41" s="276">
        <f>INPUT!B121</f>
        <v>0</v>
      </c>
      <c r="C41" s="294"/>
      <c r="D41" s="300"/>
      <c r="E41" s="295"/>
      <c r="F41" s="294">
        <f t="shared" ref="F41:F47" si="2">+C41+D41</f>
        <v>0</v>
      </c>
      <c r="G41" s="300"/>
      <c r="H41" s="300"/>
      <c r="I41" s="300"/>
      <c r="J41" s="314"/>
    </row>
    <row r="42" spans="1:10" ht="15.75" hidden="1">
      <c r="A42" s="276"/>
      <c r="B42" s="276" t="str">
        <f>INPUT!B122</f>
        <v xml:space="preserve">     Deferred outflows related to other </v>
      </c>
      <c r="C42" s="294"/>
      <c r="E42" s="295"/>
      <c r="F42" s="294"/>
      <c r="G42" s="300"/>
      <c r="H42" s="300"/>
      <c r="I42" s="300"/>
      <c r="J42" s="314"/>
    </row>
    <row r="43" spans="1:10" ht="15.75" hidden="1">
      <c r="A43" s="276"/>
      <c r="B43" s="276" t="str">
        <f>INPUT!B123</f>
        <v xml:space="preserve">        postemployment benefits</v>
      </c>
      <c r="C43" s="294"/>
      <c r="D43" s="319">
        <f>+'COMP UNIT IS Don''t Use FY21'!N97</f>
        <v>0</v>
      </c>
      <c r="E43" s="296"/>
      <c r="F43" s="294">
        <f t="shared" si="2"/>
        <v>0</v>
      </c>
      <c r="G43" s="294"/>
      <c r="H43" s="294"/>
      <c r="I43" s="294"/>
      <c r="J43" s="296"/>
    </row>
    <row r="44" spans="1:10" ht="15.75" hidden="1">
      <c r="A44" s="276"/>
      <c r="B44" s="276">
        <f>INPUT!B124</f>
        <v>0</v>
      </c>
      <c r="C44" s="294"/>
      <c r="D44" s="386"/>
      <c r="E44" s="296"/>
      <c r="F44" s="294">
        <f t="shared" si="2"/>
        <v>0</v>
      </c>
      <c r="G44" s="315" t="s">
        <v>2607</v>
      </c>
      <c r="H44" s="294"/>
      <c r="I44" s="294"/>
      <c r="J44" s="296"/>
    </row>
    <row r="45" spans="1:10" ht="15.75" hidden="1">
      <c r="A45" s="276"/>
      <c r="B45" s="276">
        <f>INPUT!B125</f>
        <v>0</v>
      </c>
      <c r="C45" s="294"/>
      <c r="D45" s="386"/>
      <c r="E45" s="296"/>
      <c r="F45" s="294">
        <f t="shared" si="2"/>
        <v>0</v>
      </c>
      <c r="G45" s="315"/>
      <c r="H45" s="294"/>
      <c r="I45" s="294"/>
      <c r="J45" s="296"/>
    </row>
    <row r="46" spans="1:10" ht="15.75" hidden="1">
      <c r="A46" s="276"/>
      <c r="B46" s="276">
        <f>INPUT!B126</f>
        <v>0</v>
      </c>
      <c r="C46" s="294"/>
      <c r="D46" s="386"/>
      <c r="E46" s="296"/>
      <c r="F46" s="294">
        <f t="shared" si="2"/>
        <v>0</v>
      </c>
      <c r="G46" s="315"/>
      <c r="H46" s="294"/>
      <c r="I46" s="294"/>
      <c r="J46" s="296"/>
    </row>
    <row r="47" spans="1:10" ht="15.75" hidden="1">
      <c r="A47" s="276"/>
      <c r="B47" s="276">
        <f>INPUT!B127</f>
        <v>0</v>
      </c>
      <c r="C47" s="294"/>
      <c r="D47" s="386"/>
      <c r="E47" s="296"/>
      <c r="F47" s="294">
        <f t="shared" si="2"/>
        <v>0</v>
      </c>
      <c r="G47" s="315" t="s">
        <v>2607</v>
      </c>
      <c r="H47" s="294"/>
      <c r="I47" s="294"/>
      <c r="J47" s="296"/>
    </row>
    <row r="48" spans="1:10" ht="9" customHeight="1">
      <c r="A48" s="276"/>
      <c r="B48" s="276"/>
      <c r="C48" s="298"/>
      <c r="D48" s="298"/>
      <c r="E48" s="296"/>
      <c r="F48" s="298"/>
      <c r="G48" s="294"/>
      <c r="H48" s="294"/>
      <c r="I48" s="294"/>
      <c r="J48" s="296"/>
    </row>
    <row r="49" spans="1:10" ht="17.25" customHeight="1" thickBot="1">
      <c r="A49" s="276"/>
      <c r="B49" s="308" t="s">
        <v>2027</v>
      </c>
      <c r="C49" s="299">
        <f>SUM(C37:C48)</f>
        <v>0</v>
      </c>
      <c r="D49" s="299">
        <f>SUM(D37:D48)</f>
        <v>0</v>
      </c>
      <c r="E49" s="296"/>
      <c r="F49" s="299">
        <f>SUM(F37:F48)</f>
        <v>0</v>
      </c>
      <c r="G49" s="294"/>
      <c r="H49" s="294"/>
      <c r="I49" s="294"/>
      <c r="J49" s="296"/>
    </row>
    <row r="50" spans="1:10" ht="16.5" thickTop="1">
      <c r="A50" s="276"/>
      <c r="B50" s="276"/>
      <c r="C50" s="294"/>
      <c r="D50" s="294"/>
      <c r="E50" s="296"/>
      <c r="F50" s="294"/>
      <c r="G50" s="294"/>
      <c r="H50" s="294"/>
      <c r="I50" s="294"/>
      <c r="J50" s="296"/>
    </row>
    <row r="51" spans="1:10" ht="15.75">
      <c r="A51" s="276"/>
      <c r="B51" s="308" t="str">
        <f>INPUT!B129</f>
        <v>LIABILITIES</v>
      </c>
      <c r="C51" s="294"/>
      <c r="D51" s="294"/>
      <c r="E51" s="296"/>
      <c r="F51" s="294"/>
      <c r="G51" s="294"/>
      <c r="H51" s="294"/>
      <c r="I51" s="294"/>
      <c r="J51" s="316"/>
    </row>
    <row r="52" spans="1:10" ht="15.75">
      <c r="A52" s="276"/>
      <c r="B52" s="276" t="s">
        <v>556</v>
      </c>
      <c r="C52" s="294">
        <f>+INPUT!EB132</f>
        <v>0</v>
      </c>
      <c r="E52" s="295"/>
      <c r="F52" s="294">
        <f>+C52+D52</f>
        <v>0</v>
      </c>
      <c r="G52" s="294"/>
      <c r="I52" s="294"/>
      <c r="J52" s="296"/>
    </row>
    <row r="53" spans="1:10" ht="15.75">
      <c r="A53" s="276"/>
      <c r="B53" s="276" t="s">
        <v>556</v>
      </c>
      <c r="C53" s="294"/>
      <c r="E53" s="295"/>
      <c r="F53" s="294">
        <f>+C53+D53</f>
        <v>0</v>
      </c>
      <c r="G53" s="294"/>
      <c r="I53" s="294"/>
      <c r="J53" s="296"/>
    </row>
    <row r="54" spans="1:10" ht="15.75">
      <c r="A54" s="276"/>
      <c r="B54" s="276" t="s">
        <v>578</v>
      </c>
      <c r="C54" s="294"/>
      <c r="D54" s="294"/>
      <c r="E54" s="295"/>
      <c r="F54" s="294">
        <f t="shared" ref="F54:F62" si="3">+C54+D54</f>
        <v>0</v>
      </c>
      <c r="G54" s="294"/>
      <c r="H54" s="294"/>
      <c r="I54" s="294"/>
      <c r="J54" s="296"/>
    </row>
    <row r="55" spans="1:10" ht="15.75">
      <c r="A55" s="288" t="s">
        <v>299</v>
      </c>
      <c r="B55" s="276" t="s">
        <v>555</v>
      </c>
      <c r="C55" s="294"/>
      <c r="D55" s="294"/>
      <c r="E55" s="295"/>
      <c r="F55" s="294">
        <f t="shared" si="3"/>
        <v>0</v>
      </c>
      <c r="G55" s="294"/>
      <c r="H55" s="294"/>
      <c r="I55" s="294"/>
      <c r="J55" s="296"/>
    </row>
    <row r="56" spans="1:10" ht="15.75">
      <c r="A56" s="276"/>
    </row>
    <row r="57" spans="1:10" ht="15.75">
      <c r="A57" s="276"/>
      <c r="B57" s="276" t="s">
        <v>1308</v>
      </c>
      <c r="C57" s="294"/>
      <c r="D57" s="294"/>
      <c r="E57" s="295"/>
      <c r="F57" s="294">
        <f t="shared" si="3"/>
        <v>0</v>
      </c>
      <c r="G57" s="294"/>
      <c r="H57" s="294"/>
      <c r="I57" s="294"/>
      <c r="J57" s="296"/>
    </row>
    <row r="58" spans="1:10" ht="15.75">
      <c r="A58" s="276"/>
      <c r="B58" s="276" t="s">
        <v>1353</v>
      </c>
      <c r="C58" s="294"/>
      <c r="D58" s="294"/>
      <c r="E58" s="295"/>
      <c r="F58" s="294">
        <f t="shared" si="3"/>
        <v>0</v>
      </c>
      <c r="G58" s="294"/>
      <c r="H58" s="294"/>
      <c r="I58" s="294"/>
      <c r="J58" s="296"/>
    </row>
    <row r="59" spans="1:10" ht="15.75">
      <c r="A59" s="276"/>
      <c r="B59" s="276" t="s">
        <v>219</v>
      </c>
      <c r="C59" s="294"/>
      <c r="D59" s="300">
        <f>ROUND(-'CU BS Don''t Use FY21'!C121*0.1,0)</f>
        <v>0</v>
      </c>
      <c r="E59" s="295"/>
      <c r="F59" s="294">
        <f t="shared" si="3"/>
        <v>0</v>
      </c>
      <c r="G59" s="294"/>
      <c r="I59" s="294"/>
      <c r="J59" s="296"/>
    </row>
    <row r="60" spans="1:10" ht="15.75">
      <c r="A60" s="276"/>
      <c r="B60" s="276" t="s">
        <v>84</v>
      </c>
      <c r="C60" s="294"/>
      <c r="D60" s="300">
        <f>-'COMP UNIT IS Don''t Use FY21'!N78-D59</f>
        <v>0</v>
      </c>
      <c r="E60" s="295"/>
      <c r="F60" s="294">
        <f t="shared" si="3"/>
        <v>0</v>
      </c>
      <c r="G60" s="294"/>
      <c r="I60" s="294"/>
      <c r="J60" s="296"/>
    </row>
    <row r="61" spans="1:10" ht="15.75">
      <c r="A61" s="276"/>
      <c r="B61" s="276" t="str">
        <f>INPUT!B150</f>
        <v xml:space="preserve">     Net pension liability</v>
      </c>
      <c r="C61" s="294"/>
      <c r="D61" s="319">
        <f>-'COMP UNIT IS Don''t Use FY21'!N84</f>
        <v>0</v>
      </c>
      <c r="E61" s="295"/>
      <c r="F61" s="294">
        <f t="shared" si="3"/>
        <v>0</v>
      </c>
      <c r="G61" s="315"/>
      <c r="I61" s="294"/>
      <c r="J61" s="296"/>
    </row>
    <row r="62" spans="1:10" ht="15.75">
      <c r="A62" s="276"/>
      <c r="B62" s="276" t="str">
        <f>INPUT!B151</f>
        <v xml:space="preserve">     OPEB implicit rate subsidy</v>
      </c>
      <c r="C62" s="294"/>
      <c r="D62" s="300">
        <f>-'COMP UNIT IS Don''t Use FY21'!N96</f>
        <v>0</v>
      </c>
      <c r="E62" s="295"/>
      <c r="F62" s="294">
        <f t="shared" si="3"/>
        <v>0</v>
      </c>
      <c r="G62" s="294"/>
      <c r="I62" s="294"/>
      <c r="J62" s="294"/>
    </row>
    <row r="63" spans="1:10" ht="11.25" customHeight="1">
      <c r="A63" s="276"/>
      <c r="B63" s="276"/>
      <c r="C63" s="298"/>
      <c r="D63" s="298"/>
      <c r="E63" s="296"/>
      <c r="F63" s="298"/>
      <c r="G63" s="294"/>
      <c r="H63" s="294"/>
      <c r="I63" s="294"/>
      <c r="J63" s="294"/>
    </row>
    <row r="64" spans="1:10" ht="16.5" thickBot="1">
      <c r="A64" s="276"/>
      <c r="B64" s="308" t="str">
        <f>+INPUT!B154</f>
        <v xml:space="preserve">          Total liabilities</v>
      </c>
      <c r="C64" s="302">
        <f>SUM(C52:C62)</f>
        <v>0</v>
      </c>
      <c r="D64" s="301">
        <f>SUM(D52:D62)</f>
        <v>0</v>
      </c>
      <c r="E64" s="296"/>
      <c r="F64" s="301">
        <f>SUM(F52:F62)</f>
        <v>0</v>
      </c>
      <c r="G64" s="300"/>
      <c r="H64" s="301"/>
      <c r="I64" s="301"/>
      <c r="J64" s="301">
        <f>SUM(J52:J62)</f>
        <v>0</v>
      </c>
    </row>
    <row r="65" spans="1:10" ht="16.5" thickTop="1">
      <c r="A65" s="276"/>
      <c r="B65" s="308"/>
      <c r="C65" s="300"/>
      <c r="D65" s="300"/>
      <c r="E65" s="296"/>
      <c r="F65" s="300"/>
      <c r="G65" s="300"/>
      <c r="H65" s="300"/>
      <c r="I65" s="300"/>
      <c r="J65" s="300"/>
    </row>
    <row r="66" spans="1:10" ht="15.75">
      <c r="A66" s="276"/>
      <c r="B66" s="308" t="s">
        <v>1815</v>
      </c>
      <c r="C66" s="300"/>
      <c r="D66" s="300"/>
      <c r="E66" s="296"/>
      <c r="F66" s="300"/>
      <c r="G66" s="300"/>
      <c r="H66" s="300"/>
      <c r="I66" s="300"/>
      <c r="J66" s="300"/>
    </row>
    <row r="67" spans="1:10" ht="15.75">
      <c r="A67" s="276"/>
      <c r="B67" s="276" t="str">
        <f>INPUT!B158</f>
        <v xml:space="preserve">     Deferred inflows related to leases</v>
      </c>
      <c r="C67" s="294">
        <f>+INPUT!EF158</f>
        <v>0</v>
      </c>
      <c r="D67" s="809">
        <v>0</v>
      </c>
      <c r="E67" s="295"/>
      <c r="F67" s="294">
        <f t="shared" ref="F67:F79" si="4">+C67+D67</f>
        <v>0</v>
      </c>
      <c r="G67" s="294"/>
      <c r="H67" s="294"/>
      <c r="I67" s="294"/>
      <c r="J67" s="296"/>
    </row>
    <row r="68" spans="1:10" ht="15.75">
      <c r="A68" s="276"/>
      <c r="B68" s="308" t="str">
        <f>INPUT!B159</f>
        <v xml:space="preserve">     Deferred inflows related to grant revenue</v>
      </c>
      <c r="C68" s="294"/>
      <c r="D68" s="809"/>
      <c r="E68" s="295"/>
      <c r="F68" s="294"/>
      <c r="G68" s="294"/>
      <c r="H68" s="294"/>
      <c r="I68" s="294"/>
      <c r="J68" s="296"/>
    </row>
    <row r="69" spans="1:10" ht="15.75">
      <c r="A69" s="276"/>
      <c r="B69" s="276" t="str">
        <f>INPUT!B160</f>
        <v xml:space="preserve">     Deferred inflows related to pensions</v>
      </c>
      <c r="C69" s="294"/>
      <c r="D69" s="319">
        <f>-'COMP UNIT IS Don''t Use FY21'!N86</f>
        <v>0</v>
      </c>
      <c r="E69" s="295"/>
      <c r="F69" s="294">
        <f t="shared" si="4"/>
        <v>0</v>
      </c>
      <c r="G69" s="315"/>
      <c r="H69" s="294"/>
      <c r="I69" s="294"/>
      <c r="J69" s="296"/>
    </row>
    <row r="70" spans="1:10" ht="15.75">
      <c r="A70" s="276"/>
      <c r="B70" s="276">
        <f>INPUT!B161</f>
        <v>0</v>
      </c>
      <c r="C70" s="294"/>
      <c r="D70" s="294"/>
      <c r="E70" s="295"/>
      <c r="F70" s="294">
        <f t="shared" si="4"/>
        <v>0</v>
      </c>
      <c r="G70" s="294"/>
      <c r="H70" s="294"/>
      <c r="I70" s="294"/>
      <c r="J70" s="296"/>
    </row>
    <row r="71" spans="1:10" ht="15.75">
      <c r="A71" s="276"/>
      <c r="B71" s="276" t="e">
        <f>INPUT!#REF!</f>
        <v>#REF!</v>
      </c>
      <c r="C71" s="294"/>
      <c r="D71" s="300"/>
      <c r="E71" s="295"/>
      <c r="F71" s="294">
        <f t="shared" si="4"/>
        <v>0</v>
      </c>
      <c r="G71" s="315"/>
      <c r="H71" s="315" t="s">
        <v>2607</v>
      </c>
      <c r="I71" s="294"/>
      <c r="J71" s="296"/>
    </row>
    <row r="72" spans="1:10" ht="15.75">
      <c r="A72" s="276"/>
      <c r="B72" s="276" t="e">
        <f>INPUT!#REF!</f>
        <v>#REF!</v>
      </c>
      <c r="C72" s="294"/>
      <c r="D72" s="294"/>
      <c r="E72" s="295"/>
      <c r="F72" s="294">
        <f t="shared" si="4"/>
        <v>0</v>
      </c>
      <c r="G72" s="294"/>
      <c r="H72" s="294"/>
      <c r="I72" s="294"/>
      <c r="J72" s="296"/>
    </row>
    <row r="73" spans="1:10" ht="15.75">
      <c r="A73" s="276"/>
      <c r="B73" s="276">
        <f>INPUT!B164</f>
        <v>0</v>
      </c>
      <c r="C73" s="294"/>
      <c r="D73" s="300"/>
      <c r="E73" s="296"/>
      <c r="F73" s="294">
        <f t="shared" si="4"/>
        <v>0</v>
      </c>
      <c r="G73" s="315"/>
      <c r="H73" s="294"/>
      <c r="I73" s="294"/>
      <c r="J73" s="296"/>
    </row>
    <row r="74" spans="1:10" ht="15.75" customHeight="1">
      <c r="A74" s="276"/>
      <c r="B74" s="276">
        <f>INPUT!B165</f>
        <v>0</v>
      </c>
      <c r="F74" s="294">
        <f t="shared" si="4"/>
        <v>0</v>
      </c>
      <c r="G74" s="294"/>
      <c r="H74" s="294"/>
      <c r="I74" s="294"/>
      <c r="J74" s="316"/>
    </row>
    <row r="75" spans="1:10" ht="15" customHeight="1">
      <c r="A75" s="276"/>
      <c r="B75" s="276">
        <f>INPUT!B166</f>
        <v>0</v>
      </c>
      <c r="D75" s="300"/>
      <c r="F75" s="294">
        <f t="shared" si="4"/>
        <v>0</v>
      </c>
      <c r="G75" s="315"/>
      <c r="H75" s="294"/>
      <c r="I75" s="294"/>
      <c r="J75" s="296"/>
    </row>
    <row r="76" spans="1:10" ht="15" customHeight="1">
      <c r="A76" s="276"/>
      <c r="B76" s="308">
        <f>INPUT!B167</f>
        <v>0</v>
      </c>
      <c r="D76" s="300"/>
      <c r="F76" s="294"/>
      <c r="G76" s="315"/>
      <c r="H76" s="294"/>
      <c r="I76" s="294"/>
      <c r="J76" s="296"/>
    </row>
    <row r="77" spans="1:10" ht="15" customHeight="1">
      <c r="A77" s="276"/>
      <c r="B77" s="276">
        <f>INPUT!B168</f>
        <v>0</v>
      </c>
      <c r="D77" s="300"/>
      <c r="F77" s="294"/>
      <c r="G77" s="315"/>
      <c r="H77" s="294"/>
      <c r="I77" s="294"/>
      <c r="J77" s="296"/>
    </row>
    <row r="78" spans="1:10" ht="15" customHeight="1">
      <c r="A78" s="276"/>
      <c r="B78" s="276" t="str">
        <f>INPUT!B162</f>
        <v xml:space="preserve">     Deferred inflows related to other </v>
      </c>
      <c r="D78" s="300"/>
      <c r="F78" s="294"/>
      <c r="G78" s="315"/>
      <c r="H78" s="294"/>
      <c r="I78" s="294"/>
      <c r="J78" s="296"/>
    </row>
    <row r="79" spans="1:10" ht="15" customHeight="1">
      <c r="A79" s="276"/>
      <c r="B79" s="276" t="str">
        <f>INPUT!B163</f>
        <v xml:space="preserve">          postemployment benefits</v>
      </c>
      <c r="D79" s="319">
        <f>-'COMP UNIT IS Don''t Use FY21'!N98</f>
        <v>0</v>
      </c>
      <c r="F79" s="294">
        <f t="shared" si="4"/>
        <v>0</v>
      </c>
      <c r="G79" s="315"/>
      <c r="H79" s="294"/>
      <c r="I79" s="294"/>
      <c r="J79" s="296"/>
    </row>
    <row r="80" spans="1:10" ht="7.5" customHeight="1">
      <c r="A80" s="276"/>
      <c r="B80" s="276"/>
      <c r="D80" s="386"/>
      <c r="F80" s="294"/>
      <c r="G80" s="315"/>
      <c r="H80" s="294"/>
      <c r="I80" s="294"/>
      <c r="J80" s="296"/>
    </row>
    <row r="81" spans="1:10" ht="7.5" customHeight="1">
      <c r="A81" s="276"/>
      <c r="B81" s="276"/>
      <c r="C81" s="298"/>
      <c r="D81" s="298"/>
      <c r="E81" s="296"/>
      <c r="F81" s="298"/>
      <c r="G81" s="294"/>
      <c r="H81" s="294"/>
      <c r="I81" s="294"/>
      <c r="J81" s="296"/>
    </row>
    <row r="82" spans="1:10" ht="15" customHeight="1">
      <c r="A82" s="276"/>
      <c r="B82" s="308" t="str">
        <f>INPUT!B172</f>
        <v xml:space="preserve">          Total deferred inflows</v>
      </c>
      <c r="C82" s="301">
        <f>SUM(C67:C81)</f>
        <v>0</v>
      </c>
      <c r="D82" s="301">
        <f>SUM(D67:D81)</f>
        <v>0</v>
      </c>
      <c r="E82" s="296"/>
      <c r="F82" s="301">
        <f>SUM(F67:F81)</f>
        <v>0</v>
      </c>
      <c r="G82" s="301"/>
      <c r="H82" s="301"/>
      <c r="I82" s="294"/>
      <c r="J82" s="296"/>
    </row>
    <row r="83" spans="1:10" ht="15" customHeight="1">
      <c r="A83" s="276"/>
      <c r="B83" s="276"/>
      <c r="C83" s="300"/>
      <c r="G83" s="294"/>
      <c r="H83" s="294"/>
      <c r="I83" s="294"/>
      <c r="J83" s="296"/>
    </row>
    <row r="84" spans="1:10" ht="15" customHeight="1">
      <c r="A84" s="276"/>
      <c r="B84" s="276" t="s">
        <v>706</v>
      </c>
      <c r="C84" s="294"/>
      <c r="D84" s="294"/>
      <c r="E84" s="296"/>
      <c r="F84" s="294"/>
      <c r="G84" s="294"/>
      <c r="H84" s="294"/>
      <c r="I84" s="294"/>
      <c r="J84" s="296"/>
    </row>
    <row r="85" spans="1:10" ht="15" customHeight="1">
      <c r="A85" s="276"/>
      <c r="B85" s="276" t="s">
        <v>1041</v>
      </c>
      <c r="C85" s="294"/>
      <c r="D85" s="294">
        <f>+D31+D32</f>
        <v>0</v>
      </c>
      <c r="E85" s="296"/>
      <c r="F85" s="294">
        <f>+C85+D85</f>
        <v>0</v>
      </c>
      <c r="G85" s="294"/>
      <c r="H85" s="294"/>
      <c r="I85" s="294"/>
      <c r="J85" s="296"/>
    </row>
    <row r="86" spans="1:10" ht="15.75">
      <c r="A86" s="276"/>
      <c r="B86" s="308" t="str">
        <f>INPUT!B186</f>
        <v>FUND BALANCE</v>
      </c>
      <c r="C86" s="294"/>
      <c r="D86" s="294"/>
      <c r="E86" s="296"/>
      <c r="F86" s="294"/>
      <c r="G86" s="294"/>
      <c r="H86" s="294"/>
      <c r="I86" s="294"/>
      <c r="J86" s="296"/>
    </row>
    <row r="87" spans="1:10" ht="15.75">
      <c r="A87" s="276"/>
      <c r="B87" s="276"/>
      <c r="C87" s="294"/>
      <c r="D87" s="294"/>
      <c r="E87" s="296"/>
      <c r="F87" s="294"/>
      <c r="G87" s="294"/>
      <c r="H87" s="294"/>
      <c r="I87" s="294"/>
      <c r="J87" s="296"/>
    </row>
    <row r="88" spans="1:10" ht="15.75">
      <c r="A88" s="276"/>
      <c r="B88" s="276" t="str">
        <f>INPUT!B188</f>
        <v xml:space="preserve">          Nonspendable</v>
      </c>
      <c r="C88" s="294"/>
      <c r="D88" s="294"/>
      <c r="E88" s="296"/>
      <c r="F88" s="294"/>
      <c r="G88" s="294"/>
      <c r="H88" s="294"/>
      <c r="I88" s="294"/>
      <c r="J88" s="296"/>
    </row>
    <row r="89" spans="1:10" ht="15.75">
      <c r="A89" s="276"/>
      <c r="B89" s="276" t="s">
        <v>1819</v>
      </c>
      <c r="C89" s="292">
        <f>+C23</f>
        <v>0</v>
      </c>
      <c r="D89" s="294"/>
      <c r="E89" s="296"/>
      <c r="F89" s="294">
        <f>+C89+D89</f>
        <v>0</v>
      </c>
      <c r="G89" s="294"/>
      <c r="H89" s="294"/>
      <c r="I89" s="294"/>
      <c r="J89" s="296"/>
    </row>
    <row r="90" spans="1:10" ht="15.75">
      <c r="A90" s="276"/>
      <c r="B90" s="276" t="s">
        <v>1820</v>
      </c>
      <c r="C90" s="294">
        <f>+C37</f>
        <v>0</v>
      </c>
      <c r="D90" s="294"/>
      <c r="E90" s="296"/>
      <c r="F90" s="294">
        <f>+C90+D90</f>
        <v>0</v>
      </c>
      <c r="G90" s="294"/>
      <c r="H90" s="294"/>
      <c r="I90" s="294"/>
      <c r="J90" s="296"/>
    </row>
    <row r="91" spans="1:10" ht="15.75">
      <c r="A91" s="276"/>
      <c r="B91" s="276" t="str">
        <f>INPUT!B189</f>
        <v xml:space="preserve">          Restricted</v>
      </c>
      <c r="C91" s="294">
        <f>+INPUT!EB189</f>
        <v>0</v>
      </c>
      <c r="D91" s="294"/>
      <c r="E91" s="296"/>
      <c r="F91" s="294">
        <f>+C91+D91</f>
        <v>0</v>
      </c>
      <c r="G91" s="294"/>
      <c r="H91" s="294"/>
      <c r="I91" s="294"/>
      <c r="J91" s="296"/>
    </row>
    <row r="92" spans="1:10" ht="15.75">
      <c r="A92" s="276"/>
      <c r="B92" s="276"/>
      <c r="C92" s="294"/>
      <c r="D92" s="294"/>
      <c r="E92" s="296"/>
      <c r="F92" s="294">
        <f>+C92+D92</f>
        <v>0</v>
      </c>
      <c r="G92" s="294"/>
      <c r="H92" s="276"/>
      <c r="I92" s="294"/>
      <c r="J92" s="296"/>
    </row>
    <row r="93" spans="1:10" ht="15.75">
      <c r="A93" s="276"/>
      <c r="B93" s="276" t="s">
        <v>785</v>
      </c>
      <c r="C93" s="294"/>
      <c r="D93" s="294">
        <f>+D34+D49-D64-D82-D88-D85</f>
        <v>0</v>
      </c>
      <c r="E93" s="296"/>
      <c r="F93" s="294">
        <f>+C93+D93</f>
        <v>0</v>
      </c>
      <c r="G93" s="294"/>
      <c r="H93" s="294">
        <v>540458</v>
      </c>
      <c r="I93" s="294"/>
      <c r="J93" s="296"/>
    </row>
    <row r="94" spans="1:10" ht="15.75">
      <c r="A94" s="276"/>
      <c r="B94" s="276"/>
      <c r="C94" s="298"/>
      <c r="D94" s="298"/>
      <c r="E94" s="296"/>
      <c r="F94" s="298"/>
      <c r="G94" s="294"/>
      <c r="H94" s="294"/>
      <c r="I94" s="294"/>
      <c r="J94" s="296"/>
    </row>
    <row r="95" spans="1:10" ht="15.75">
      <c r="A95" s="276"/>
      <c r="B95" s="308" t="str">
        <f>INPUT!B207</f>
        <v xml:space="preserve">          Total fund balance</v>
      </c>
      <c r="C95" s="301">
        <f>SUM(C88:C94)</f>
        <v>0</v>
      </c>
      <c r="D95" s="301">
        <f>SUM(D85:D94)</f>
        <v>0</v>
      </c>
      <c r="E95" s="296"/>
      <c r="F95" s="301">
        <f>ROUND(SUM(F85:F94),0)</f>
        <v>0</v>
      </c>
      <c r="G95" s="300"/>
      <c r="H95" s="300"/>
      <c r="I95" s="300"/>
      <c r="J95" s="314"/>
    </row>
    <row r="96" spans="1:10" ht="15.75">
      <c r="A96" s="276"/>
      <c r="B96" s="276"/>
      <c r="C96" s="294"/>
      <c r="D96" s="294"/>
      <c r="E96" s="296"/>
      <c r="F96" s="294"/>
      <c r="G96" s="294"/>
      <c r="H96" s="294"/>
      <c r="I96" s="294"/>
      <c r="J96" s="296"/>
    </row>
    <row r="97" spans="1:11" ht="16.5" thickBot="1">
      <c r="A97" s="276"/>
      <c r="B97" s="308" t="str">
        <f>+INPUT!B209</f>
        <v>Total liabilities, deferred inflows of resources, and fund balance</v>
      </c>
      <c r="C97" s="302">
        <f>SUM(C64+C82+C95)</f>
        <v>0</v>
      </c>
      <c r="D97" s="302">
        <f>SUM(D64+D82+D95)</f>
        <v>0</v>
      </c>
      <c r="E97" s="296"/>
      <c r="F97" s="302">
        <f>SUM(F64+F82+F95)</f>
        <v>0</v>
      </c>
      <c r="G97" s="300"/>
      <c r="H97" s="300"/>
      <c r="I97" s="300"/>
      <c r="J97" s="300" t="s">
        <v>298</v>
      </c>
    </row>
    <row r="98" spans="1:11" ht="16.5" thickTop="1">
      <c r="A98" s="276"/>
      <c r="B98" s="276"/>
      <c r="C98" s="303"/>
      <c r="D98" s="303"/>
      <c r="E98" s="296"/>
      <c r="F98" s="303"/>
      <c r="G98" s="303"/>
      <c r="H98" s="303"/>
      <c r="I98" s="303"/>
      <c r="J98" s="303"/>
      <c r="K98" s="46"/>
    </row>
    <row r="100" spans="1:11" ht="15.75">
      <c r="B100" s="320" t="s">
        <v>377</v>
      </c>
    </row>
    <row r="101" spans="1:11" ht="15.75">
      <c r="B101" s="320" t="s">
        <v>1722</v>
      </c>
    </row>
    <row r="102" spans="1:11" ht="15.75">
      <c r="B102" s="321" t="s">
        <v>2361</v>
      </c>
      <c r="C102" s="322">
        <f>+C95</f>
        <v>0</v>
      </c>
    </row>
    <row r="103" spans="1:11" ht="15.75">
      <c r="B103" s="321"/>
    </row>
    <row r="104" spans="1:11" ht="15.75">
      <c r="B104" s="321" t="s">
        <v>1723</v>
      </c>
      <c r="C104" s="294"/>
      <c r="K104" s="44"/>
    </row>
    <row r="105" spans="1:11" ht="15.75">
      <c r="B105" s="321"/>
      <c r="C105" s="294"/>
      <c r="K105" s="44"/>
    </row>
    <row r="106" spans="1:11" ht="15.75">
      <c r="B106" s="321" t="s">
        <v>1096</v>
      </c>
      <c r="C106" s="294"/>
      <c r="K106" s="44"/>
    </row>
    <row r="107" spans="1:11" ht="15.75">
      <c r="B107" s="321" t="s">
        <v>1097</v>
      </c>
      <c r="C107" s="294"/>
      <c r="K107" s="44"/>
    </row>
    <row r="108" spans="1:11" ht="15.75">
      <c r="B108" s="321" t="s">
        <v>1304</v>
      </c>
      <c r="C108" s="294">
        <f>+'COMP UNIT IS Don''t Use FY21'!L59</f>
        <v>0</v>
      </c>
      <c r="K108" s="44"/>
    </row>
    <row r="109" spans="1:11" ht="15.75">
      <c r="B109" s="321" t="s">
        <v>1111</v>
      </c>
      <c r="C109" s="294">
        <f>+'COMP UNIT IS Don''t Use FY21'!M59</f>
        <v>0</v>
      </c>
      <c r="H109" s="288">
        <f>356939+59458-39440+3312</f>
        <v>380269</v>
      </c>
      <c r="K109" s="44"/>
    </row>
    <row r="110" spans="1:11" ht="15.75">
      <c r="B110" s="321" t="s">
        <v>1112</v>
      </c>
      <c r="C110" s="294"/>
      <c r="K110" s="44"/>
    </row>
    <row r="111" spans="1:11" ht="15.75">
      <c r="B111" s="321"/>
      <c r="C111" s="294"/>
      <c r="H111" s="288">
        <f>+H109-C109</f>
        <v>380269</v>
      </c>
      <c r="K111" s="44"/>
    </row>
    <row r="112" spans="1:11" ht="15.75">
      <c r="B112" s="321" t="s">
        <v>1094</v>
      </c>
      <c r="C112" s="294"/>
      <c r="K112" s="44"/>
    </row>
    <row r="113" spans="2:11" ht="15.75">
      <c r="B113" s="321" t="s">
        <v>1095</v>
      </c>
      <c r="C113" s="294">
        <v>0</v>
      </c>
      <c r="K113" s="44"/>
    </row>
    <row r="114" spans="2:11" ht="15.75">
      <c r="B114" s="323"/>
      <c r="C114" s="294"/>
      <c r="H114" s="321"/>
      <c r="K114" s="44"/>
    </row>
    <row r="115" spans="2:11" ht="15.75">
      <c r="B115" s="321" t="s">
        <v>2053</v>
      </c>
      <c r="C115" s="294">
        <f>+D49</f>
        <v>0</v>
      </c>
      <c r="H115" s="321"/>
      <c r="K115" s="44"/>
    </row>
    <row r="116" spans="2:11" ht="15.75">
      <c r="B116" s="321"/>
      <c r="C116" s="294"/>
      <c r="H116" s="321"/>
      <c r="K116" s="44"/>
    </row>
    <row r="117" spans="2:11" ht="15.75">
      <c r="B117" s="321" t="s">
        <v>2054</v>
      </c>
      <c r="C117" s="294">
        <f>-D82</f>
        <v>0</v>
      </c>
      <c r="K117" s="44"/>
    </row>
    <row r="118" spans="2:11" ht="15.75">
      <c r="B118" s="321"/>
      <c r="C118" s="294"/>
      <c r="K118" s="44"/>
    </row>
    <row r="119" spans="2:11" ht="15.75">
      <c r="B119" s="321" t="s">
        <v>81</v>
      </c>
      <c r="C119" s="294"/>
      <c r="K119" s="44"/>
    </row>
    <row r="120" spans="2:11" ht="15.75">
      <c r="B120" s="321" t="s">
        <v>82</v>
      </c>
      <c r="C120" s="294"/>
      <c r="K120" s="44"/>
    </row>
    <row r="121" spans="2:11" ht="15.75">
      <c r="B121" s="276" t="s">
        <v>80</v>
      </c>
      <c r="C121" s="294">
        <f>'COMP UNIT IS Don''t Use FY21'!N78</f>
        <v>0</v>
      </c>
      <c r="K121" s="44"/>
    </row>
    <row r="122" spans="2:11" ht="15.75">
      <c r="B122" s="276" t="s">
        <v>2055</v>
      </c>
      <c r="C122" s="294">
        <f>'COMP UNIT IS Don''t Use FY21'!N84</f>
        <v>0</v>
      </c>
      <c r="K122" s="44"/>
    </row>
    <row r="123" spans="2:11" ht="15.75">
      <c r="B123" s="276" t="s">
        <v>2495</v>
      </c>
      <c r="C123" s="318">
        <f>'COMP UNIT IS Don''t Use FY21'!N96</f>
        <v>0</v>
      </c>
      <c r="K123" s="44"/>
    </row>
    <row r="124" spans="2:11" ht="15.75">
      <c r="B124" s="276"/>
    </row>
    <row r="125" spans="2:11" ht="16.5" thickBot="1">
      <c r="B125" s="321" t="s">
        <v>2315</v>
      </c>
      <c r="C125" s="302">
        <f>SUM(C102:C124)</f>
        <v>0</v>
      </c>
    </row>
    <row r="126" spans="2:11" ht="16.5" thickTop="1">
      <c r="B126" s="277"/>
    </row>
    <row r="130" spans="3:6">
      <c r="C130" s="288">
        <f>+C34+C49-C97</f>
        <v>0</v>
      </c>
      <c r="F130" s="288">
        <f>+F34+F49-F97</f>
        <v>0</v>
      </c>
    </row>
    <row r="131" spans="3:6">
      <c r="C131" s="288">
        <f>+'COMP UNIT IS Don''t Use FY21'!D54</f>
        <v>0</v>
      </c>
      <c r="F131" s="288">
        <f>+'COMP UNIT IS Don''t Use FY21'!H54</f>
        <v>0</v>
      </c>
    </row>
    <row r="132" spans="3:6">
      <c r="C132" s="288">
        <f>+C131-C95</f>
        <v>0</v>
      </c>
      <c r="F132" s="288">
        <f>+F131-F95</f>
        <v>0</v>
      </c>
    </row>
    <row r="134" spans="3:6">
      <c r="F134" s="288">
        <f>+'Stmet of Actvty'!M56</f>
        <v>0</v>
      </c>
    </row>
    <row r="135" spans="3:6">
      <c r="F135" s="288">
        <f>+F134-F95</f>
        <v>0</v>
      </c>
    </row>
  </sheetData>
  <phoneticPr fontId="0" type="noConversion"/>
  <pageMargins left="0.75" right="0.75" top="0.5" bottom="0.75" header="0" footer="0.25"/>
  <pageSetup scale="65" orientation="portrait" horizontalDpi="4294967292"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ransitionEvaluation="1" codeName="Sheet49">
    <tabColor rgb="FFFF0000"/>
  </sheetPr>
  <dimension ref="A3:AH102"/>
  <sheetViews>
    <sheetView showGridLines="0" topLeftCell="A61" zoomScale="75" zoomScaleNormal="77" workbookViewId="0">
      <selection activeCell="J91" sqref="J91"/>
    </sheetView>
  </sheetViews>
  <sheetFormatPr defaultColWidth="9.7109375" defaultRowHeight="12.75"/>
  <cols>
    <col min="1" max="1" width="3.7109375" style="288" customWidth="1"/>
    <col min="2" max="2" width="112.140625" style="288" customWidth="1"/>
    <col min="3" max="3" width="4" style="288" customWidth="1"/>
    <col min="4" max="4" width="21.5703125" style="288" customWidth="1"/>
    <col min="5" max="5" width="8.42578125" style="288" customWidth="1"/>
    <col min="6" max="6" width="15.5703125" style="288" bestFit="1" customWidth="1"/>
    <col min="7" max="7" width="8.85546875" style="288" customWidth="1"/>
    <col min="8" max="8" width="17" style="288" customWidth="1"/>
    <col min="9" max="9" width="3.7109375" style="288" customWidth="1"/>
    <col min="10" max="10" width="20.140625" style="288" customWidth="1"/>
    <col min="11" max="11" width="5.7109375" style="288" customWidth="1"/>
    <col min="12" max="12" width="13.7109375" style="288" customWidth="1"/>
    <col min="13" max="13" width="15.42578125" style="288" customWidth="1"/>
    <col min="14" max="14" width="15.7109375" style="288" customWidth="1"/>
    <col min="15" max="15" width="11.85546875" style="288" customWidth="1"/>
    <col min="16" max="16" width="12.140625" style="288" customWidth="1"/>
    <col min="17" max="22" width="9.7109375" style="288"/>
    <col min="23" max="23" width="13.140625" style="288" bestFit="1" customWidth="1"/>
    <col min="24" max="24" width="15.42578125" style="288" bestFit="1" customWidth="1"/>
    <col min="25" max="25" width="13.140625" style="288" bestFit="1" customWidth="1"/>
    <col min="26" max="26" width="12.140625" style="288" bestFit="1" customWidth="1"/>
    <col min="27" max="29" width="9.85546875" style="288" bestFit="1" customWidth="1"/>
    <col min="30" max="30" width="13.140625" style="288" bestFit="1" customWidth="1"/>
    <col min="31" max="33" width="9.7109375" style="288"/>
    <col min="34" max="34" width="13.140625" style="288" bestFit="1" customWidth="1"/>
    <col min="35" max="16384" width="9.7109375" style="288"/>
  </cols>
  <sheetData>
    <row r="3" spans="2:34" ht="15.75">
      <c r="B3" s="305" t="s">
        <v>1049</v>
      </c>
      <c r="C3" s="305"/>
      <c r="D3" s="277"/>
      <c r="E3" s="277"/>
    </row>
    <row r="4" spans="2:34" ht="15.75">
      <c r="B4" s="305" t="s">
        <v>1696</v>
      </c>
      <c r="C4" s="305"/>
      <c r="D4" s="277"/>
      <c r="E4" s="277"/>
    </row>
    <row r="5" spans="2:34" ht="15.75">
      <c r="B5" s="305" t="s">
        <v>1697</v>
      </c>
      <c r="C5" s="305"/>
      <c r="D5" s="277"/>
      <c r="E5" s="277"/>
    </row>
    <row r="6" spans="2:34" ht="15.75">
      <c r="B6" s="305" t="s">
        <v>40</v>
      </c>
      <c r="C6" s="305"/>
      <c r="D6" s="277"/>
      <c r="E6" s="277"/>
    </row>
    <row r="7" spans="2:34" ht="15.75">
      <c r="B7" s="305" t="str">
        <f>+'Stmet of Actvty'!B3</f>
        <v>For the  Fiscal Year Ended June 30, 2023</v>
      </c>
      <c r="C7" s="305"/>
      <c r="D7" s="277"/>
      <c r="E7" s="277"/>
    </row>
    <row r="8" spans="2:34" ht="15.75">
      <c r="B8" s="276"/>
      <c r="C8" s="276"/>
      <c r="D8" s="276"/>
      <c r="E8" s="276"/>
    </row>
    <row r="9" spans="2:34" ht="15.75">
      <c r="B9" s="276"/>
      <c r="C9" s="276"/>
      <c r="D9" s="287" t="s">
        <v>2279</v>
      </c>
      <c r="E9" s="287"/>
      <c r="W9" s="287"/>
      <c r="X9" s="287" t="s">
        <v>524</v>
      </c>
      <c r="Y9" s="287" t="s">
        <v>525</v>
      </c>
      <c r="Z9" s="287"/>
      <c r="AA9" s="287" t="s">
        <v>522</v>
      </c>
      <c r="AB9" s="287" t="s">
        <v>522</v>
      </c>
      <c r="AC9" s="287"/>
      <c r="AD9" s="287"/>
    </row>
    <row r="10" spans="2:34" ht="15.75">
      <c r="B10" s="276"/>
      <c r="C10" s="276"/>
      <c r="D10" s="287" t="s">
        <v>1298</v>
      </c>
      <c r="E10" s="287"/>
      <c r="F10" s="287"/>
      <c r="G10" s="287"/>
      <c r="H10" s="287"/>
      <c r="I10" s="287"/>
      <c r="J10" s="287"/>
      <c r="K10" s="276"/>
      <c r="L10" s="276"/>
      <c r="M10" s="276"/>
      <c r="W10" s="287"/>
      <c r="X10" s="287" t="s">
        <v>523</v>
      </c>
      <c r="Y10" s="287" t="s">
        <v>526</v>
      </c>
      <c r="Z10" s="287" t="s">
        <v>521</v>
      </c>
      <c r="AA10" s="287" t="s">
        <v>528</v>
      </c>
      <c r="AB10" s="287" t="s">
        <v>523</v>
      </c>
      <c r="AC10" s="287"/>
      <c r="AD10" s="287"/>
    </row>
    <row r="11" spans="2:34" ht="15.75">
      <c r="B11" s="276"/>
      <c r="C11" s="276"/>
      <c r="D11" s="290" t="s">
        <v>577</v>
      </c>
      <c r="E11" s="287"/>
      <c r="F11" s="290" t="s">
        <v>495</v>
      </c>
      <c r="G11" s="287"/>
      <c r="H11" s="290" t="s">
        <v>792</v>
      </c>
      <c r="K11" s="276"/>
      <c r="L11" s="276"/>
      <c r="M11" s="276"/>
      <c r="W11" s="290" t="s">
        <v>316</v>
      </c>
      <c r="X11" s="290" t="s">
        <v>495</v>
      </c>
      <c r="Y11" s="290" t="s">
        <v>495</v>
      </c>
      <c r="Z11" s="290" t="s">
        <v>495</v>
      </c>
      <c r="AA11" s="290" t="s">
        <v>495</v>
      </c>
      <c r="AB11" s="290" t="s">
        <v>495</v>
      </c>
      <c r="AC11" s="290"/>
      <c r="AD11" s="290" t="s">
        <v>316</v>
      </c>
      <c r="AG11" s="287"/>
      <c r="AH11" s="290" t="s">
        <v>315</v>
      </c>
    </row>
    <row r="12" spans="2:34" ht="15.75">
      <c r="B12" s="308" t="s">
        <v>596</v>
      </c>
      <c r="C12" s="309"/>
      <c r="D12" s="276"/>
      <c r="E12" s="276"/>
      <c r="F12" s="276"/>
      <c r="G12" s="287"/>
      <c r="H12" s="276"/>
      <c r="K12" s="276"/>
      <c r="L12" s="276"/>
      <c r="M12" s="276"/>
      <c r="W12" s="276"/>
      <c r="X12" s="276"/>
      <c r="Y12" s="276"/>
      <c r="Z12" s="276"/>
      <c r="AA12" s="276"/>
      <c r="AB12" s="276"/>
      <c r="AC12" s="284"/>
      <c r="AD12" s="276"/>
      <c r="AG12" s="287"/>
      <c r="AH12" s="276"/>
    </row>
    <row r="13" spans="2:34" ht="15.75">
      <c r="B13" s="276" t="str">
        <f>INPUT!B10</f>
        <v xml:space="preserve">     Taxes/assessments</v>
      </c>
      <c r="C13" s="309"/>
      <c r="D13" s="292">
        <f>+INPUT!EB10</f>
        <v>0</v>
      </c>
      <c r="E13" s="292"/>
      <c r="F13" s="292"/>
      <c r="G13" s="287"/>
      <c r="H13" s="292">
        <f t="shared" ref="H13:H19" si="0">+D13+F13</f>
        <v>0</v>
      </c>
      <c r="K13" s="276"/>
      <c r="W13" s="292">
        <f>+INPUT!CW10</f>
        <v>3888070</v>
      </c>
      <c r="X13" s="292">
        <v>-88292</v>
      </c>
      <c r="Y13" s="292">
        <f t="shared" ref="Y13:Y19" si="1">SUM(W13:X13)</f>
        <v>3799778</v>
      </c>
      <c r="Z13" s="311">
        <f>-Z15+27983</f>
        <v>-792218</v>
      </c>
      <c r="AA13" s="311">
        <v>5597</v>
      </c>
      <c r="AB13" s="292"/>
      <c r="AC13" s="531" t="s">
        <v>1242</v>
      </c>
      <c r="AD13" s="292">
        <v>1599423</v>
      </c>
      <c r="AG13" s="292" t="s">
        <v>298</v>
      </c>
      <c r="AH13" s="292">
        <f t="shared" ref="AH13:AH19" si="2">+H13+AD13</f>
        <v>1599423</v>
      </c>
    </row>
    <row r="14" spans="2:34" ht="15.75">
      <c r="B14" s="276" t="str">
        <f>INPUT!B11</f>
        <v xml:space="preserve">     Licenses and permits</v>
      </c>
      <c r="C14" s="309"/>
      <c r="D14" s="294">
        <f>+INPUT!EB11</f>
        <v>0</v>
      </c>
      <c r="E14" s="294"/>
      <c r="F14" s="294"/>
      <c r="G14" s="287"/>
      <c r="H14" s="294">
        <f t="shared" si="0"/>
        <v>0</v>
      </c>
      <c r="K14" s="276"/>
      <c r="W14" s="294">
        <f>+INPUT!CW11</f>
        <v>0</v>
      </c>
      <c r="X14" s="294"/>
      <c r="Y14" s="294">
        <f t="shared" si="1"/>
        <v>0</v>
      </c>
      <c r="Z14" s="294"/>
      <c r="AA14" s="294"/>
      <c r="AB14" s="294"/>
      <c r="AC14" s="444"/>
      <c r="AD14" s="294">
        <v>0</v>
      </c>
      <c r="AG14" s="300"/>
      <c r="AH14" s="294">
        <f t="shared" si="2"/>
        <v>0</v>
      </c>
    </row>
    <row r="15" spans="2:34" ht="15.75">
      <c r="B15" s="276" t="str">
        <f>INPUT!B12</f>
        <v xml:space="preserve">     Intergovernmental</v>
      </c>
      <c r="C15" s="276"/>
      <c r="D15" s="292">
        <f>+INPUT!EB12+L17</f>
        <v>0</v>
      </c>
      <c r="E15" s="292"/>
      <c r="F15" s="292"/>
      <c r="G15" s="287"/>
      <c r="H15" s="292">
        <f>+D15+F15</f>
        <v>0</v>
      </c>
      <c r="K15" s="276"/>
      <c r="L15" s="534" t="s">
        <v>2777</v>
      </c>
      <c r="M15" s="821"/>
      <c r="W15" s="294">
        <f>+INPUT!CW12</f>
        <v>235343</v>
      </c>
      <c r="X15" s="294">
        <v>-53158</v>
      </c>
      <c r="Y15" s="294">
        <f t="shared" si="1"/>
        <v>182185</v>
      </c>
      <c r="Z15" s="297">
        <f>822673-2472</f>
        <v>820201</v>
      </c>
      <c r="AA15" s="294"/>
      <c r="AB15" s="294"/>
      <c r="AC15" s="444"/>
      <c r="AD15" s="294">
        <v>1094487</v>
      </c>
      <c r="AG15" s="300"/>
      <c r="AH15" s="294">
        <f t="shared" si="2"/>
        <v>1094487</v>
      </c>
    </row>
    <row r="16" spans="2:34" ht="15.75">
      <c r="B16" s="276" t="str">
        <f>INPUT!B13</f>
        <v xml:space="preserve">     Charges for services</v>
      </c>
      <c r="C16" s="276"/>
      <c r="D16" s="294">
        <f>+INPUT!EB13</f>
        <v>0</v>
      </c>
      <c r="E16" s="294"/>
      <c r="F16" s="294">
        <f>-N82</f>
        <v>0</v>
      </c>
      <c r="G16" s="287" t="s">
        <v>2306</v>
      </c>
      <c r="H16" s="294">
        <f t="shared" si="0"/>
        <v>0</v>
      </c>
      <c r="K16" s="276"/>
      <c r="L16" s="540" t="s">
        <v>2689</v>
      </c>
      <c r="M16" s="513"/>
      <c r="W16" s="294">
        <f>+INPUT!CW13</f>
        <v>0</v>
      </c>
      <c r="X16" s="294"/>
      <c r="Y16" s="294">
        <f t="shared" si="1"/>
        <v>0</v>
      </c>
      <c r="Z16" s="297">
        <v>42182</v>
      </c>
      <c r="AA16" s="294"/>
      <c r="AB16" s="294"/>
      <c r="AC16" s="444"/>
      <c r="AD16" s="294">
        <v>78306</v>
      </c>
      <c r="AG16" s="300"/>
      <c r="AH16" s="294">
        <f t="shared" si="2"/>
        <v>78306</v>
      </c>
    </row>
    <row r="17" spans="2:34" ht="15.75" customHeight="1">
      <c r="B17" s="276" t="str">
        <f>INPUT!B14</f>
        <v xml:space="preserve">     Fines and forfeitures</v>
      </c>
      <c r="C17" s="276"/>
      <c r="D17" s="294">
        <f>+INPUT!EB14</f>
        <v>0</v>
      </c>
      <c r="E17" s="294"/>
      <c r="F17" s="294"/>
      <c r="G17" s="287"/>
      <c r="H17" s="294">
        <f t="shared" si="0"/>
        <v>0</v>
      </c>
      <c r="K17" s="276"/>
      <c r="L17" s="746">
        <v>0</v>
      </c>
      <c r="M17" s="513"/>
      <c r="W17" s="294">
        <f>+INPUT!CW14</f>
        <v>0</v>
      </c>
      <c r="X17" s="294"/>
      <c r="Y17" s="294">
        <f t="shared" si="1"/>
        <v>0</v>
      </c>
      <c r="Z17" s="297">
        <v>33298</v>
      </c>
      <c r="AA17" s="294"/>
      <c r="AB17" s="294"/>
      <c r="AC17" s="444"/>
      <c r="AD17" s="294">
        <v>41403</v>
      </c>
      <c r="AG17" s="300"/>
      <c r="AH17" s="294">
        <f t="shared" si="2"/>
        <v>41403</v>
      </c>
    </row>
    <row r="18" spans="2:34" ht="15.75">
      <c r="B18" s="276" t="str">
        <f>INPUT!B15</f>
        <v xml:space="preserve">     Miscellaneous</v>
      </c>
      <c r="C18" s="276"/>
      <c r="D18" s="294">
        <f>+INPUT!EB15</f>
        <v>0</v>
      </c>
      <c r="E18" s="294"/>
      <c r="F18" s="294"/>
      <c r="G18" s="287"/>
      <c r="H18" s="294">
        <f t="shared" si="0"/>
        <v>0</v>
      </c>
      <c r="K18" s="276"/>
      <c r="L18" s="822" t="s">
        <v>2690</v>
      </c>
      <c r="M18" s="823"/>
      <c r="W18" s="294">
        <f>+INPUT!CW15</f>
        <v>189819</v>
      </c>
      <c r="X18" s="294">
        <v>1188</v>
      </c>
      <c r="Y18" s="294">
        <f t="shared" si="1"/>
        <v>191007</v>
      </c>
      <c r="Z18" s="297">
        <f>-Z16-Z17-Z19+22386</f>
        <v>-52654</v>
      </c>
      <c r="AA18" s="297">
        <f>-109924+83777</f>
        <v>-26147</v>
      </c>
      <c r="AC18" s="444" t="s">
        <v>1241</v>
      </c>
      <c r="AD18" s="294">
        <v>43199</v>
      </c>
      <c r="AG18" s="300"/>
      <c r="AH18" s="294">
        <f t="shared" si="2"/>
        <v>43199</v>
      </c>
    </row>
    <row r="19" spans="2:34" ht="15.75" customHeight="1">
      <c r="B19" s="276" t="str">
        <f>INPUT!B16</f>
        <v xml:space="preserve">     Interest earnings</v>
      </c>
      <c r="C19" s="276"/>
      <c r="D19" s="294">
        <f>+INPUT!EB16</f>
        <v>0</v>
      </c>
      <c r="E19" s="294"/>
      <c r="F19" s="294"/>
      <c r="G19" s="287"/>
      <c r="H19" s="294">
        <f t="shared" si="0"/>
        <v>0</v>
      </c>
      <c r="K19" s="276"/>
      <c r="W19" s="317">
        <f>+INPUT!CW16</f>
        <v>103765</v>
      </c>
      <c r="X19" s="317"/>
      <c r="Y19" s="317">
        <f t="shared" si="1"/>
        <v>103765</v>
      </c>
      <c r="Z19" s="532">
        <v>-440</v>
      </c>
      <c r="AA19" s="317"/>
      <c r="AB19" s="317"/>
      <c r="AC19" s="531"/>
      <c r="AD19" s="317">
        <v>8450</v>
      </c>
      <c r="AG19" s="300"/>
      <c r="AH19" s="294">
        <f t="shared" si="2"/>
        <v>8450</v>
      </c>
    </row>
    <row r="20" spans="2:34" ht="15.75">
      <c r="B20" s="276"/>
      <c r="C20" s="276"/>
      <c r="D20" s="298"/>
      <c r="E20" s="294"/>
      <c r="F20" s="298"/>
      <c r="G20" s="287"/>
      <c r="H20" s="298"/>
      <c r="K20" s="276"/>
      <c r="L20" s="276"/>
      <c r="M20" s="276"/>
      <c r="W20" s="294"/>
      <c r="X20" s="294"/>
      <c r="Y20" s="294"/>
      <c r="Z20" s="294"/>
      <c r="AA20" s="294"/>
      <c r="AB20" s="294"/>
      <c r="AC20" s="444"/>
      <c r="AD20" s="294"/>
      <c r="AG20" s="533"/>
      <c r="AH20" s="298"/>
    </row>
    <row r="21" spans="2:34" ht="15.75">
      <c r="B21" s="308" t="s">
        <v>768</v>
      </c>
      <c r="C21" s="308"/>
      <c r="D21" s="301">
        <f>SUM(D13:D20)</f>
        <v>0</v>
      </c>
      <c r="E21" s="300"/>
      <c r="F21" s="301">
        <f>+SUM(F13:F20)</f>
        <v>0</v>
      </c>
      <c r="G21" s="287"/>
      <c r="H21" s="301">
        <f>+SUM(H13:H20)</f>
        <v>0</v>
      </c>
      <c r="K21" s="276"/>
      <c r="L21" s="276"/>
      <c r="M21" s="276"/>
      <c r="W21" s="301">
        <f>+SUM(W13:W20)</f>
        <v>4416997</v>
      </c>
      <c r="X21" s="301">
        <f>+SUM(X13:X20)</f>
        <v>-140262</v>
      </c>
      <c r="Y21" s="301">
        <f>+SUM(Y13:Y20)</f>
        <v>4276735</v>
      </c>
      <c r="Z21" s="301">
        <f>+SUM(Z13:Z20)</f>
        <v>50369</v>
      </c>
      <c r="AA21" s="301"/>
      <c r="AB21" s="301">
        <f>+SUM(AB13:AB20)</f>
        <v>0</v>
      </c>
      <c r="AC21" s="444"/>
      <c r="AD21" s="301">
        <f>+SUM(AD13:AD20)</f>
        <v>2865268</v>
      </c>
      <c r="AG21" s="300"/>
      <c r="AH21" s="301">
        <f>IF(SUM(AH13:AH20)&lt;&gt;0,SUM(AH13:AH20),"-")</f>
        <v>2865268</v>
      </c>
    </row>
    <row r="22" spans="2:34" ht="15.75">
      <c r="B22" s="276"/>
      <c r="C22" s="276"/>
      <c r="D22" s="294"/>
      <c r="E22" s="294"/>
      <c r="F22" s="294"/>
      <c r="G22" s="287"/>
      <c r="H22" s="294"/>
      <c r="K22" s="276"/>
      <c r="L22" s="276"/>
      <c r="M22" s="276"/>
      <c r="W22" s="294"/>
      <c r="X22" s="294"/>
      <c r="Y22" s="294"/>
      <c r="Z22" s="294"/>
      <c r="AA22" s="294"/>
      <c r="AB22" s="294"/>
      <c r="AC22" s="444"/>
      <c r="AD22" s="294"/>
      <c r="AG22" s="300"/>
      <c r="AH22" s="294"/>
    </row>
    <row r="23" spans="2:34" ht="15.75">
      <c r="B23" s="308" t="s">
        <v>202</v>
      </c>
      <c r="C23" s="309"/>
      <c r="D23" s="294"/>
      <c r="E23" s="294"/>
      <c r="F23" s="294"/>
      <c r="G23" s="294"/>
      <c r="H23" s="294"/>
      <c r="K23" s="276"/>
      <c r="L23" s="276"/>
      <c r="M23" s="276"/>
      <c r="W23" s="294"/>
      <c r="X23" s="294"/>
      <c r="Y23" s="294"/>
      <c r="Z23" s="294"/>
      <c r="AA23" s="294"/>
      <c r="AB23" s="294"/>
      <c r="AC23" s="444"/>
      <c r="AD23" s="294"/>
      <c r="AG23" s="300"/>
      <c r="AH23" s="294"/>
    </row>
    <row r="24" spans="2:34" ht="15.75">
      <c r="B24" s="276" t="str">
        <f>INPUT!B21</f>
        <v xml:space="preserve">     Current:</v>
      </c>
      <c r="C24" s="276"/>
      <c r="D24" s="294"/>
      <c r="E24" s="294"/>
      <c r="F24" s="294"/>
      <c r="G24" s="294"/>
      <c r="H24" s="294"/>
      <c r="K24" s="276"/>
      <c r="L24" s="276"/>
      <c r="M24" s="276"/>
      <c r="W24" s="294"/>
      <c r="X24" s="294"/>
      <c r="Y24" s="294"/>
      <c r="Z24" s="294"/>
      <c r="AA24" s="294"/>
      <c r="AB24" s="294"/>
      <c r="AC24" s="444"/>
      <c r="AD24" s="294"/>
      <c r="AG24" s="300"/>
      <c r="AH24" s="294"/>
    </row>
    <row r="25" spans="2:34" ht="15.75">
      <c r="B25" s="276" t="str">
        <f>INPUT!B25</f>
        <v xml:space="preserve">          Public health</v>
      </c>
      <c r="C25" s="276"/>
      <c r="D25" s="294">
        <f>+INPUT!EB25</f>
        <v>0</v>
      </c>
      <c r="E25" s="294"/>
      <c r="F25" s="294">
        <f>-D70-D91-D94+H72-D93</f>
        <v>0</v>
      </c>
      <c r="G25" s="295" t="s">
        <v>619</v>
      </c>
      <c r="H25" s="294">
        <f>+D25+F25</f>
        <v>0</v>
      </c>
      <c r="K25" s="276"/>
      <c r="L25" s="276"/>
      <c r="M25" s="276"/>
      <c r="W25" s="294">
        <f>+INPUT!CW25</f>
        <v>0</v>
      </c>
      <c r="X25" s="294"/>
      <c r="Y25" s="294">
        <f>SUM(W25:X25)</f>
        <v>0</v>
      </c>
      <c r="Z25" s="294"/>
      <c r="AA25" s="294"/>
      <c r="AB25" s="294"/>
      <c r="AC25" s="444"/>
      <c r="AD25" s="294">
        <v>0</v>
      </c>
      <c r="AG25" s="300"/>
      <c r="AH25" s="294">
        <f>+H25+AD25</f>
        <v>0</v>
      </c>
    </row>
    <row r="26" spans="2:34" ht="15.75">
      <c r="B26" s="276" t="str">
        <f>INPUT!B27</f>
        <v xml:space="preserve">          Culture and recreation</v>
      </c>
      <c r="C26" s="276"/>
      <c r="D26" s="294">
        <f>+INPUT!EB26</f>
        <v>0</v>
      </c>
      <c r="E26" s="294"/>
      <c r="F26" s="294"/>
      <c r="G26" s="294"/>
      <c r="H26" s="294">
        <f>+D26+F26</f>
        <v>0</v>
      </c>
      <c r="K26" s="276"/>
      <c r="L26" s="276"/>
      <c r="M26" s="276"/>
      <c r="W26" s="294">
        <f>+INPUT!CW27</f>
        <v>0</v>
      </c>
      <c r="X26" s="294">
        <f>-53906-17128-53158-2690</f>
        <v>-126882</v>
      </c>
      <c r="Y26" s="294">
        <f>SUM(W26:X26)</f>
        <v>-126882</v>
      </c>
      <c r="Z26" s="294"/>
      <c r="AA26" s="297">
        <v>5597</v>
      </c>
      <c r="AC26" s="531" t="s">
        <v>527</v>
      </c>
      <c r="AD26" s="294">
        <f>1444131+1016982</f>
        <v>2461113</v>
      </c>
      <c r="AG26" s="300"/>
      <c r="AH26" s="294">
        <f>+H26+AD26</f>
        <v>2461113</v>
      </c>
    </row>
    <row r="27" spans="2:34" ht="15.75" customHeight="1">
      <c r="B27" s="276" t="str">
        <f>INPUT!B28</f>
        <v xml:space="preserve">     Debt service</v>
      </c>
      <c r="C27" s="276"/>
      <c r="D27" s="294">
        <f>+INPUT!EB27</f>
        <v>0</v>
      </c>
      <c r="E27" s="294"/>
      <c r="F27" s="294"/>
      <c r="G27" s="294"/>
      <c r="H27" s="294">
        <f>+D27+F27</f>
        <v>0</v>
      </c>
      <c r="K27" s="276"/>
      <c r="L27" s="276"/>
      <c r="M27" s="276"/>
      <c r="W27" s="294">
        <f>+INPUT!CW28</f>
        <v>0</v>
      </c>
      <c r="X27" s="294"/>
      <c r="Y27" s="294">
        <f>SUM(W27:X27)</f>
        <v>0</v>
      </c>
      <c r="Z27" s="294"/>
      <c r="AA27" s="297">
        <f>-1726368+1785554</f>
        <v>59186</v>
      </c>
      <c r="AB27" s="294"/>
      <c r="AC27" s="444"/>
      <c r="AD27" s="294">
        <v>0</v>
      </c>
      <c r="AG27" s="300"/>
      <c r="AH27" s="294">
        <f>+H27+AD27</f>
        <v>0</v>
      </c>
    </row>
    <row r="28" spans="2:34" ht="15.75">
      <c r="B28" s="276" t="str">
        <f>INPUT!B29</f>
        <v xml:space="preserve">     Capital outlay</v>
      </c>
      <c r="C28" s="276"/>
      <c r="D28" s="317">
        <f>+INPUT!EB34</f>
        <v>0</v>
      </c>
      <c r="E28" s="294"/>
      <c r="F28" s="317">
        <f>-H73</f>
        <v>0</v>
      </c>
      <c r="G28" s="295"/>
      <c r="H28" s="317">
        <f>+D28+F28</f>
        <v>0</v>
      </c>
      <c r="K28" s="276"/>
      <c r="L28" s="276"/>
      <c r="M28" s="276"/>
      <c r="W28" s="317">
        <f>+INPUT!CW29</f>
        <v>0</v>
      </c>
      <c r="X28" s="317"/>
      <c r="Y28" s="317">
        <f>SUM(W28:X28)</f>
        <v>0</v>
      </c>
      <c r="Z28" s="317"/>
      <c r="AA28" s="317"/>
      <c r="AB28" s="317"/>
      <c r="AC28" s="444"/>
      <c r="AD28" s="317">
        <v>118793</v>
      </c>
      <c r="AG28" s="300"/>
      <c r="AH28" s="294">
        <f>+H28+AD28</f>
        <v>118793</v>
      </c>
    </row>
    <row r="29" spans="2:34" ht="15.75">
      <c r="B29" s="276"/>
      <c r="C29" s="276"/>
      <c r="D29" s="298"/>
      <c r="E29" s="294"/>
      <c r="F29" s="298"/>
      <c r="G29" s="298"/>
      <c r="H29" s="298"/>
      <c r="K29" s="276"/>
      <c r="L29" s="276"/>
      <c r="M29" s="276"/>
      <c r="W29" s="294"/>
      <c r="X29" s="294"/>
      <c r="Y29" s="294"/>
      <c r="Z29" s="294"/>
      <c r="AA29" s="294"/>
      <c r="AB29" s="294"/>
      <c r="AC29" s="444"/>
      <c r="AD29" s="294"/>
      <c r="AG29" s="300"/>
      <c r="AH29" s="294"/>
    </row>
    <row r="30" spans="2:34" ht="15.75">
      <c r="B30" s="308" t="s">
        <v>288</v>
      </c>
      <c r="C30" s="308"/>
      <c r="D30" s="301">
        <f>SUM(D25:D29)</f>
        <v>0</v>
      </c>
      <c r="E30" s="300"/>
      <c r="F30" s="301">
        <f>+SUM(F25:F29)</f>
        <v>0</v>
      </c>
      <c r="G30" s="300"/>
      <c r="H30" s="301">
        <f>+SUM(H25:H29)</f>
        <v>0</v>
      </c>
      <c r="K30" s="276"/>
      <c r="L30" s="276"/>
      <c r="M30" s="276"/>
      <c r="W30" s="301">
        <f>+SUM(W25:W29)</f>
        <v>0</v>
      </c>
      <c r="X30" s="301">
        <f>+SUM(X25:X29)</f>
        <v>-126882</v>
      </c>
      <c r="Y30" s="301">
        <f>+SUM(Y25:Y29)</f>
        <v>-126882</v>
      </c>
      <c r="Z30" s="301">
        <f>+SUM(Z25:Z29)</f>
        <v>0</v>
      </c>
      <c r="AA30" s="301"/>
      <c r="AB30" s="301">
        <f>+SUM(AB25:AB29)</f>
        <v>0</v>
      </c>
      <c r="AC30" s="460"/>
      <c r="AD30" s="301">
        <f>+SUM(AD25:AD29)</f>
        <v>2579906</v>
      </c>
      <c r="AG30" s="300"/>
      <c r="AH30" s="301">
        <f>IF(SUM(AH25:AH29)&lt;&gt;0,SUM(AH25:AH29),"-")</f>
        <v>2579906</v>
      </c>
    </row>
    <row r="31" spans="2:34" ht="15.75">
      <c r="B31" s="276"/>
      <c r="C31" s="276"/>
      <c r="D31" s="294"/>
      <c r="E31" s="294"/>
      <c r="F31" s="294"/>
      <c r="G31" s="294"/>
      <c r="H31" s="294"/>
      <c r="K31" s="276"/>
      <c r="L31" s="276"/>
      <c r="M31" s="276"/>
      <c r="W31" s="294"/>
      <c r="X31" s="294"/>
      <c r="Y31" s="294"/>
      <c r="Z31" s="294"/>
      <c r="AA31" s="294"/>
      <c r="AB31" s="294"/>
      <c r="AC31" s="444"/>
      <c r="AD31" s="294"/>
      <c r="AG31" s="300"/>
      <c r="AH31" s="294"/>
    </row>
    <row r="32" spans="2:34" ht="15.75">
      <c r="B32" s="308" t="str">
        <f>INPUT!B42</f>
        <v xml:space="preserve">             Excess (deficiency) of revenue</v>
      </c>
      <c r="C32" s="276"/>
      <c r="D32" s="294"/>
      <c r="E32" s="294"/>
      <c r="F32" s="294"/>
      <c r="G32" s="294"/>
      <c r="H32" s="294"/>
      <c r="K32" s="276"/>
      <c r="W32" s="294"/>
      <c r="X32" s="294"/>
      <c r="Y32" s="294"/>
      <c r="Z32" s="294"/>
      <c r="AA32" s="294"/>
      <c r="AB32" s="294"/>
      <c r="AC32" s="444"/>
      <c r="AD32" s="294"/>
      <c r="AG32" s="300"/>
      <c r="AH32" s="294"/>
    </row>
    <row r="33" spans="2:34" ht="15.75">
      <c r="B33" s="308" t="str">
        <f>INPUT!B43</f>
        <v xml:space="preserve">                 over (under) expenditures</v>
      </c>
      <c r="C33" s="276"/>
      <c r="D33" s="300">
        <f>SUM(D21-D30)</f>
        <v>0</v>
      </c>
      <c r="E33" s="300"/>
      <c r="F33" s="300">
        <f>SUM(F21-F30)</f>
        <v>0</v>
      </c>
      <c r="G33" s="300"/>
      <c r="H33" s="300">
        <f>+SUM(H21-H30)</f>
        <v>0</v>
      </c>
      <c r="K33" s="276"/>
      <c r="W33" s="300">
        <f>+SUM(W21-W30)</f>
        <v>4416997</v>
      </c>
      <c r="X33" s="300">
        <f>+SUM(X21-X30)</f>
        <v>-13380</v>
      </c>
      <c r="Y33" s="300">
        <f>+SUM(Y21-Y30)</f>
        <v>4403617</v>
      </c>
      <c r="Z33" s="300">
        <f>+SUM(Z21-Z30)</f>
        <v>50369</v>
      </c>
      <c r="AA33" s="300"/>
      <c r="AB33" s="300">
        <f>+SUM(AB21-AB30)</f>
        <v>0</v>
      </c>
      <c r="AC33" s="460"/>
      <c r="AD33" s="300">
        <f>+SUM(AD21-AD30)</f>
        <v>285362</v>
      </c>
      <c r="AG33" s="300"/>
      <c r="AH33" s="300">
        <f>IF(SUM(AH21-AH30)&lt;&gt;0,SUM(AH21-AH30),"-")</f>
        <v>285362</v>
      </c>
    </row>
    <row r="34" spans="2:34" ht="15.75">
      <c r="B34" s="276"/>
      <c r="C34" s="276"/>
      <c r="D34" s="294"/>
      <c r="E34" s="294"/>
      <c r="F34" s="294"/>
      <c r="G34" s="294"/>
      <c r="H34" s="294"/>
      <c r="K34" s="276"/>
      <c r="W34" s="294"/>
      <c r="X34" s="294"/>
      <c r="Y34" s="294"/>
      <c r="Z34" s="294"/>
      <c r="AA34" s="294"/>
      <c r="AB34" s="294"/>
      <c r="AC34" s="444"/>
      <c r="AD34" s="294"/>
      <c r="AG34" s="300"/>
      <c r="AH34" s="294"/>
    </row>
    <row r="35" spans="2:34" ht="15.75">
      <c r="B35" s="308" t="s">
        <v>833</v>
      </c>
      <c r="C35" s="308"/>
      <c r="D35" s="294"/>
      <c r="E35" s="294"/>
      <c r="F35" s="294"/>
      <c r="G35" s="294"/>
      <c r="H35" s="294"/>
      <c r="K35" s="276"/>
      <c r="W35" s="294"/>
      <c r="X35" s="294"/>
      <c r="Y35" s="294"/>
      <c r="Z35" s="294"/>
      <c r="AA35" s="294"/>
      <c r="AB35" s="294"/>
      <c r="AC35" s="444"/>
      <c r="AD35" s="294"/>
      <c r="AG35" s="300"/>
      <c r="AH35" s="294"/>
    </row>
    <row r="36" spans="2:34" ht="15.75">
      <c r="B36" s="276" t="str">
        <f>INPUT!B46</f>
        <v xml:space="preserve">     Transfers in</v>
      </c>
      <c r="C36" s="308"/>
      <c r="D36" s="294">
        <f>+INPUT!EB46</f>
        <v>0</v>
      </c>
      <c r="E36" s="294"/>
      <c r="F36" s="294"/>
      <c r="G36" s="294"/>
      <c r="H36" s="294">
        <f t="shared" ref="H36:H42" si="3">+F36+D36</f>
        <v>0</v>
      </c>
      <c r="K36" s="276"/>
      <c r="W36" s="294"/>
      <c r="X36" s="294"/>
      <c r="Y36" s="294"/>
      <c r="Z36" s="294"/>
      <c r="AA36" s="294"/>
      <c r="AB36" s="294"/>
      <c r="AC36" s="444"/>
      <c r="AD36" s="294"/>
      <c r="AG36" s="300"/>
      <c r="AH36" s="294">
        <f>+H36+AD36</f>
        <v>0</v>
      </c>
    </row>
    <row r="37" spans="2:34" ht="15.75">
      <c r="B37" s="276" t="str">
        <f>INPUT!B47</f>
        <v xml:space="preserve">     Transfers out</v>
      </c>
      <c r="C37" s="308"/>
      <c r="D37" s="294">
        <f>+INPUT!EB47</f>
        <v>0</v>
      </c>
      <c r="E37" s="294"/>
      <c r="F37" s="294"/>
      <c r="G37" s="294"/>
      <c r="H37" s="294">
        <f t="shared" si="3"/>
        <v>0</v>
      </c>
      <c r="K37" s="276"/>
      <c r="W37" s="294">
        <f>+INPUT!CW47</f>
        <v>0</v>
      </c>
      <c r="X37" s="294"/>
      <c r="Y37" s="294">
        <f>SUM(W37:X37)</f>
        <v>0</v>
      </c>
      <c r="Z37" s="294"/>
      <c r="AA37" s="294"/>
      <c r="AB37" s="294"/>
      <c r="AC37" s="444"/>
      <c r="AD37" s="294">
        <f>SUM(W37:AB37)</f>
        <v>0</v>
      </c>
      <c r="AG37" s="300"/>
      <c r="AH37" s="294">
        <f>+H37+AD37</f>
        <v>0</v>
      </c>
    </row>
    <row r="38" spans="2:34" ht="15.75">
      <c r="B38" s="276" t="str">
        <f>INPUT!B50</f>
        <v xml:space="preserve">     Issuance of long-term debt</v>
      </c>
      <c r="C38" s="308"/>
      <c r="D38" s="294">
        <f>+INPUT!EB50</f>
        <v>0</v>
      </c>
      <c r="E38" s="294"/>
      <c r="F38" s="294"/>
      <c r="G38" s="294"/>
      <c r="H38" s="294">
        <f t="shared" si="3"/>
        <v>0</v>
      </c>
      <c r="K38" s="276"/>
      <c r="W38" s="294"/>
      <c r="X38" s="294"/>
      <c r="Y38" s="294"/>
      <c r="Z38" s="294"/>
      <c r="AA38" s="294"/>
      <c r="AB38" s="294"/>
      <c r="AC38" s="444"/>
      <c r="AD38" s="294"/>
      <c r="AG38" s="300"/>
      <c r="AH38" s="294"/>
    </row>
    <row r="39" spans="2:34" ht="15.75">
      <c r="B39" s="276" t="str">
        <f>INPUT!B54</f>
        <v xml:space="preserve">     Proceeds from disposal of capital assets(MOVE to mis rev/exp)GFOA finding</v>
      </c>
      <c r="C39" s="308"/>
      <c r="D39" s="294">
        <f>+INPUT!EB54</f>
        <v>0</v>
      </c>
      <c r="E39" s="294"/>
      <c r="F39" s="294">
        <f>+D69</f>
        <v>0</v>
      </c>
      <c r="G39" s="294"/>
      <c r="H39" s="294">
        <f t="shared" si="3"/>
        <v>0</v>
      </c>
      <c r="K39" s="276"/>
      <c r="W39" s="294"/>
      <c r="X39" s="294"/>
      <c r="Y39" s="294"/>
      <c r="Z39" s="294"/>
      <c r="AA39" s="294"/>
      <c r="AB39" s="294"/>
      <c r="AC39" s="444"/>
      <c r="AD39" s="294"/>
      <c r="AG39" s="300"/>
      <c r="AH39" s="294"/>
    </row>
    <row r="40" spans="2:34" ht="15.75">
      <c r="B40" s="276" t="str">
        <f>INPUT!B55</f>
        <v xml:space="preserve">     Amortization of revenue bond premium</v>
      </c>
      <c r="C40" s="308"/>
      <c r="D40" s="294">
        <f>+INPUT!EB55</f>
        <v>0</v>
      </c>
      <c r="E40" s="294"/>
      <c r="F40" s="294"/>
      <c r="G40" s="294"/>
      <c r="H40" s="294">
        <f t="shared" si="3"/>
        <v>0</v>
      </c>
      <c r="K40" s="276"/>
      <c r="W40" s="294"/>
      <c r="X40" s="294"/>
      <c r="Y40" s="294"/>
      <c r="Z40" s="294"/>
      <c r="AA40" s="294"/>
      <c r="AB40" s="294"/>
      <c r="AC40" s="444"/>
      <c r="AD40" s="294"/>
      <c r="AG40" s="300"/>
      <c r="AH40" s="294"/>
    </row>
    <row r="41" spans="2:34" ht="15.75">
      <c r="B41" s="276" t="str">
        <f>INPUT!B56</f>
        <v xml:space="preserve">     Capital contributions</v>
      </c>
      <c r="C41" s="308"/>
      <c r="D41" s="294">
        <f>+INPUT!EB56</f>
        <v>0</v>
      </c>
      <c r="E41" s="294"/>
      <c r="F41" s="294"/>
      <c r="G41" s="294"/>
      <c r="H41" s="294">
        <f t="shared" si="3"/>
        <v>0</v>
      </c>
      <c r="K41" s="276"/>
      <c r="W41" s="294"/>
      <c r="X41" s="294"/>
      <c r="Y41" s="294"/>
      <c r="Z41" s="294"/>
      <c r="AA41" s="294"/>
      <c r="AB41" s="294"/>
      <c r="AC41" s="444"/>
      <c r="AD41" s="294"/>
      <c r="AG41" s="300"/>
      <c r="AH41" s="294"/>
    </row>
    <row r="42" spans="2:34" ht="15.75">
      <c r="B42" s="276" t="str">
        <f>INPUT!B57</f>
        <v xml:space="preserve">     Gain (Loss) on sale of investments</v>
      </c>
      <c r="C42" s="308"/>
      <c r="D42" s="294">
        <f>+INPUT!EB57</f>
        <v>0</v>
      </c>
      <c r="E42" s="294"/>
      <c r="F42" s="294"/>
      <c r="G42" s="294"/>
      <c r="H42" s="294">
        <f t="shared" si="3"/>
        <v>0</v>
      </c>
      <c r="K42" s="276"/>
      <c r="W42" s="294"/>
      <c r="X42" s="294"/>
      <c r="Y42" s="294"/>
      <c r="Z42" s="294"/>
      <c r="AA42" s="294"/>
      <c r="AB42" s="294"/>
      <c r="AC42" s="444"/>
      <c r="AD42" s="294"/>
      <c r="AG42" s="300"/>
      <c r="AH42" s="294"/>
    </row>
    <row r="43" spans="2:34" ht="15.75">
      <c r="B43" s="276"/>
      <c r="C43" s="276"/>
      <c r="D43" s="324"/>
      <c r="E43" s="294"/>
      <c r="F43" s="324"/>
      <c r="G43" s="324"/>
      <c r="H43" s="324"/>
      <c r="K43" s="276"/>
      <c r="L43" s="534" t="s">
        <v>2981</v>
      </c>
      <c r="M43" s="535"/>
      <c r="N43" s="485"/>
      <c r="O43" s="536"/>
      <c r="W43" s="294"/>
      <c r="X43" s="294"/>
      <c r="Y43" s="294"/>
      <c r="Z43" s="294"/>
      <c r="AA43" s="294"/>
      <c r="AB43" s="294"/>
      <c r="AC43" s="444"/>
      <c r="AD43" s="294"/>
      <c r="AG43" s="300"/>
      <c r="AH43" s="294"/>
    </row>
    <row r="44" spans="2:34" ht="15.75" customHeight="1">
      <c r="B44" s="308" t="s">
        <v>156</v>
      </c>
      <c r="C44" s="308"/>
      <c r="D44" s="301">
        <f>+SUM(D36:D43)</f>
        <v>0</v>
      </c>
      <c r="E44" s="300"/>
      <c r="F44" s="301">
        <f>+SUM(F36:F43)</f>
        <v>0</v>
      </c>
      <c r="G44" s="300"/>
      <c r="H44" s="301">
        <f>+SUM(H36:H43)</f>
        <v>0</v>
      </c>
      <c r="K44" s="276"/>
      <c r="L44" s="537"/>
      <c r="M44" s="543" t="s">
        <v>1760</v>
      </c>
      <c r="N44" s="538"/>
      <c r="O44" s="539"/>
      <c r="W44" s="301">
        <f t="shared" ref="W44:AB44" si="4">+SUM(W36:W43)</f>
        <v>0</v>
      </c>
      <c r="X44" s="301">
        <f t="shared" si="4"/>
        <v>0</v>
      </c>
      <c r="Y44" s="301">
        <f t="shared" si="4"/>
        <v>0</v>
      </c>
      <c r="Z44" s="301">
        <f t="shared" si="4"/>
        <v>0</v>
      </c>
      <c r="AA44" s="301">
        <f t="shared" si="4"/>
        <v>0</v>
      </c>
      <c r="AB44" s="301">
        <f t="shared" si="4"/>
        <v>0</v>
      </c>
      <c r="AC44" s="460"/>
      <c r="AD44" s="301">
        <f>+SUM(AD36:AD43)</f>
        <v>0</v>
      </c>
      <c r="AG44" s="300"/>
      <c r="AH44" s="301">
        <f>+SUM(AH36:AH43)</f>
        <v>0</v>
      </c>
    </row>
    <row r="45" spans="2:34" ht="15.75">
      <c r="B45" s="308"/>
      <c r="C45" s="308"/>
      <c r="D45" s="294"/>
      <c r="E45" s="294"/>
      <c r="F45" s="300"/>
      <c r="G45" s="300"/>
      <c r="H45" s="300"/>
      <c r="K45" s="276"/>
      <c r="L45" s="746">
        <v>0</v>
      </c>
      <c r="M45" s="530"/>
      <c r="N45" s="748" t="s">
        <v>2979</v>
      </c>
      <c r="O45" s="539"/>
      <c r="W45" s="300"/>
      <c r="X45" s="300"/>
      <c r="Y45" s="300"/>
      <c r="Z45" s="300"/>
      <c r="AA45" s="300"/>
      <c r="AB45" s="300"/>
      <c r="AC45" s="460"/>
      <c r="AD45" s="298"/>
      <c r="AG45" s="300"/>
      <c r="AH45" s="300"/>
    </row>
    <row r="46" spans="2:34" ht="15.75">
      <c r="B46" s="308" t="str">
        <f>INPUT!B61</f>
        <v xml:space="preserve">             Net change in fund balances</v>
      </c>
      <c r="C46" s="308"/>
      <c r="D46" s="300">
        <f>SUM(D33+D44)</f>
        <v>0</v>
      </c>
      <c r="E46" s="300"/>
      <c r="F46" s="300">
        <f>SUM(F33+F44)</f>
        <v>0</v>
      </c>
      <c r="G46" s="300"/>
      <c r="H46" s="300">
        <f>+SUM(H33+H44)</f>
        <v>0</v>
      </c>
      <c r="K46" s="276"/>
      <c r="L46" s="746">
        <v>0</v>
      </c>
      <c r="M46" s="530"/>
      <c r="N46" s="748" t="s">
        <v>2980</v>
      </c>
      <c r="O46" s="539"/>
      <c r="W46" s="300">
        <f>+SUM(W33+W44)</f>
        <v>4416997</v>
      </c>
      <c r="X46" s="300">
        <f>+SUM(X33+X44)</f>
        <v>-13380</v>
      </c>
      <c r="Y46" s="300">
        <f>+SUM(Y33+Y44)</f>
        <v>4403617</v>
      </c>
      <c r="Z46" s="300">
        <f>+SUM(Z33+Z44)</f>
        <v>50369</v>
      </c>
      <c r="AA46" s="300"/>
      <c r="AB46" s="300">
        <f>+SUM(AB33+AB44)</f>
        <v>0</v>
      </c>
      <c r="AC46" s="460"/>
      <c r="AD46" s="300">
        <f>+SUM(AD33+AD44)</f>
        <v>285362</v>
      </c>
      <c r="AG46" s="300"/>
      <c r="AH46" s="300">
        <f>IF(SUM(AH33+AH44)&lt;&gt;0,SUM(AH33+AH44),"-")</f>
        <v>285362</v>
      </c>
    </row>
    <row r="47" spans="2:34" ht="15.75">
      <c r="B47" s="276"/>
      <c r="C47" s="276"/>
      <c r="D47" s="294"/>
      <c r="E47" s="294"/>
      <c r="F47" s="294"/>
      <c r="G47" s="294"/>
      <c r="H47" s="294"/>
      <c r="J47" s="549" t="s">
        <v>2983</v>
      </c>
      <c r="K47" s="276"/>
      <c r="L47" s="541">
        <f>+L46-H48</f>
        <v>0</v>
      </c>
      <c r="M47" s="278"/>
      <c r="N47" s="467"/>
      <c r="O47" s="542"/>
      <c r="W47" s="294"/>
      <c r="X47" s="294"/>
      <c r="Y47" s="294"/>
      <c r="Z47" s="294"/>
      <c r="AA47" s="294"/>
      <c r="AB47" s="294"/>
      <c r="AC47" s="444"/>
      <c r="AD47" s="294"/>
      <c r="AG47" s="300"/>
      <c r="AH47" s="294"/>
    </row>
    <row r="48" spans="2:34" ht="15.75">
      <c r="B48" s="276" t="str">
        <f>INPUT!B63</f>
        <v xml:space="preserve">     Fund balance, July 1</v>
      </c>
      <c r="C48" s="276"/>
      <c r="D48" s="317">
        <f>+L45</f>
        <v>0</v>
      </c>
      <c r="E48" s="294"/>
      <c r="F48" s="317">
        <f>SUM(H58:H69)</f>
        <v>0</v>
      </c>
      <c r="G48" s="295"/>
      <c r="H48" s="317">
        <f>+F48+D48</f>
        <v>0</v>
      </c>
      <c r="J48" s="816">
        <v>0</v>
      </c>
      <c r="L48" s="543"/>
      <c r="M48" s="276"/>
      <c r="W48" s="317">
        <f>+INPUT!CW63</f>
        <v>3525155</v>
      </c>
      <c r="X48" s="317">
        <f>+X33</f>
        <v>-13380</v>
      </c>
      <c r="Y48" s="317">
        <f>SUM(W48:X48)</f>
        <v>3511775</v>
      </c>
      <c r="Z48" s="317"/>
      <c r="AA48" s="317"/>
      <c r="AB48" s="317"/>
      <c r="AC48" s="531">
        <v>-4</v>
      </c>
      <c r="AD48" s="317">
        <v>3146788</v>
      </c>
      <c r="AG48" s="300"/>
      <c r="AH48" s="294">
        <f>+H48+AD48</f>
        <v>3146788</v>
      </c>
    </row>
    <row r="49" spans="1:34" ht="15.75" customHeight="1">
      <c r="B49" s="276"/>
      <c r="C49" s="276"/>
      <c r="D49" s="294"/>
      <c r="E49" s="294"/>
      <c r="F49" s="294"/>
      <c r="G49" s="294"/>
      <c r="H49" s="294"/>
      <c r="J49" s="391">
        <f>+J48-H48</f>
        <v>0</v>
      </c>
      <c r="K49" s="399" t="s">
        <v>2776</v>
      </c>
      <c r="L49" s="276"/>
      <c r="M49" s="276"/>
      <c r="W49" s="294"/>
      <c r="X49" s="294"/>
      <c r="Y49" s="294"/>
      <c r="Z49" s="294"/>
      <c r="AA49" s="294"/>
      <c r="AB49" s="294"/>
      <c r="AC49" s="444"/>
      <c r="AD49" s="294"/>
      <c r="AG49" s="300"/>
      <c r="AH49" s="294"/>
    </row>
    <row r="50" spans="1:34" ht="15.75" customHeight="1">
      <c r="A50" s="288" t="s">
        <v>299</v>
      </c>
      <c r="B50" s="276" t="str">
        <f>INPUT!B66</f>
        <v xml:space="preserve">     Prior period adjustments</v>
      </c>
      <c r="C50" s="276"/>
      <c r="D50" s="317">
        <f>+L50</f>
        <v>0</v>
      </c>
      <c r="E50" s="294"/>
      <c r="F50" s="876">
        <v>0</v>
      </c>
      <c r="G50" s="294"/>
      <c r="H50" s="317">
        <f>+F50+D50</f>
        <v>0</v>
      </c>
      <c r="K50" s="276"/>
      <c r="L50" s="654">
        <v>0</v>
      </c>
      <c r="M50" s="276" t="s">
        <v>2471</v>
      </c>
      <c r="W50" s="317" t="str">
        <f>IF(+INPUT!CW66&lt;&gt;0,+INPUT!CW66,"-")</f>
        <v>-</v>
      </c>
      <c r="X50" s="317"/>
      <c r="Y50" s="317"/>
      <c r="Z50" s="317"/>
      <c r="AA50" s="317"/>
      <c r="AB50" s="317"/>
      <c r="AC50" s="444"/>
      <c r="AD50" s="300"/>
      <c r="AG50" s="300"/>
      <c r="AH50" s="317" t="str">
        <f>IF(SUM(W50+D50)&lt;&gt;0,SUM(W50+D50),"-")</f>
        <v>-</v>
      </c>
    </row>
    <row r="51" spans="1:34" ht="10.5" customHeight="1">
      <c r="A51" s="288" t="s">
        <v>299</v>
      </c>
      <c r="B51" s="276"/>
      <c r="C51" s="276"/>
      <c r="D51" s="294"/>
      <c r="E51" s="294"/>
      <c r="F51" s="294"/>
      <c r="G51" s="294"/>
      <c r="H51" s="294"/>
      <c r="K51" s="276"/>
      <c r="L51" s="276"/>
      <c r="M51" s="399" t="s">
        <v>2608</v>
      </c>
      <c r="W51" s="294"/>
      <c r="X51" s="294"/>
      <c r="Y51" s="294"/>
      <c r="Z51" s="294"/>
      <c r="AA51" s="294"/>
      <c r="AB51" s="294"/>
      <c r="AC51" s="444"/>
      <c r="AD51" s="294"/>
      <c r="AG51" s="300"/>
      <c r="AH51" s="294"/>
    </row>
    <row r="52" spans="1:34" ht="15.75" customHeight="1">
      <c r="A52" s="288" t="s">
        <v>299</v>
      </c>
      <c r="B52" s="308" t="str">
        <f>INPUT!B69</f>
        <v xml:space="preserve">     Total net position, beginning, as restated</v>
      </c>
      <c r="C52" s="308"/>
      <c r="D52" s="300">
        <f>SUM(D48:D51)</f>
        <v>0</v>
      </c>
      <c r="E52" s="300"/>
      <c r="F52" s="300">
        <f>SUM(F48:F51)</f>
        <v>0</v>
      </c>
      <c r="G52" s="300"/>
      <c r="H52" s="300">
        <f>SUM(H48:H51)</f>
        <v>0</v>
      </c>
      <c r="K52" s="276"/>
      <c r="L52" s="276"/>
      <c r="M52" s="276"/>
      <c r="W52" s="300">
        <f>SUM(W48:W51)</f>
        <v>3525155</v>
      </c>
      <c r="X52" s="300">
        <f>SUM(X48:X51)</f>
        <v>-13380</v>
      </c>
      <c r="Y52" s="300">
        <f>SUM(Y48:Y51)</f>
        <v>3511775</v>
      </c>
      <c r="Z52" s="300">
        <f>SUM(Z48:Z51)</f>
        <v>0</v>
      </c>
      <c r="AA52" s="300"/>
      <c r="AB52" s="300">
        <f>SUM(AB48:AB51)</f>
        <v>0</v>
      </c>
      <c r="AC52" s="460"/>
      <c r="AD52" s="300">
        <f>SUM(AD48:AD51)</f>
        <v>3146788</v>
      </c>
      <c r="AG52" s="300"/>
      <c r="AH52" s="300">
        <f>IF(SUM(AH48:AH51)&lt;&gt;0,SUM(AH48:AH51),"-")</f>
        <v>3146788</v>
      </c>
    </row>
    <row r="53" spans="1:34" ht="9.75" customHeight="1">
      <c r="B53" s="276"/>
      <c r="C53" s="276"/>
      <c r="D53" s="294"/>
      <c r="E53" s="294"/>
      <c r="F53" s="294"/>
      <c r="G53" s="294"/>
      <c r="H53" s="294"/>
      <c r="K53" s="276"/>
      <c r="L53" s="276"/>
      <c r="M53" s="276"/>
      <c r="W53" s="294"/>
      <c r="X53" s="294"/>
      <c r="Y53" s="294"/>
      <c r="Z53" s="294"/>
      <c r="AA53" s="294"/>
      <c r="AB53" s="294"/>
      <c r="AC53" s="444"/>
      <c r="AD53" s="294"/>
      <c r="AG53" s="300"/>
      <c r="AH53" s="294"/>
    </row>
    <row r="54" spans="1:34" ht="16.5" thickBot="1">
      <c r="B54" s="276" t="str">
        <f>INPUT!B73</f>
        <v xml:space="preserve">     Fund balance, June 30</v>
      </c>
      <c r="C54" s="319"/>
      <c r="D54" s="302">
        <f>+D48+D46</f>
        <v>0</v>
      </c>
      <c r="E54" s="326"/>
      <c r="F54" s="837" t="str">
        <f>IF(SUM(F46+F52)&lt;&gt;0,SUM(F46+F52),"-")</f>
        <v>-</v>
      </c>
      <c r="G54" s="326"/>
      <c r="H54" s="302">
        <f>ROUND(+SUM(H46+H52),0)</f>
        <v>0</v>
      </c>
      <c r="J54" s="544">
        <f>+H54-'CU BS Don''t Use FY21'!C125</f>
        <v>0</v>
      </c>
      <c r="K54" s="276"/>
      <c r="L54" s="276"/>
      <c r="M54" s="276"/>
      <c r="W54" s="302" t="e">
        <f>+SUM(W46+W52+#REF!)</f>
        <v>#REF!</v>
      </c>
      <c r="X54" s="302"/>
      <c r="Y54" s="302" t="e">
        <f>+SUM(Y46+Y52+#REF!)</f>
        <v>#REF!</v>
      </c>
      <c r="Z54" s="302"/>
      <c r="AA54" s="302"/>
      <c r="AB54" s="302" t="e">
        <f>+SUM(AB46+AB52+#REF!)</f>
        <v>#REF!</v>
      </c>
      <c r="AC54" s="545"/>
      <c r="AD54" s="302" t="e">
        <f>+SUM(AD46+AD52+#REF!)</f>
        <v>#REF!</v>
      </c>
      <c r="AG54" s="300" t="s">
        <v>298</v>
      </c>
      <c r="AH54" s="299" t="e">
        <f>IF(SUM(AH46+AH52+#REF!)&lt;&gt;0,SUM(AH46+AH52+#REF!),"-")</f>
        <v>#REF!</v>
      </c>
    </row>
    <row r="55" spans="1:34" ht="16.5" thickTop="1">
      <c r="B55" s="276"/>
      <c r="C55" s="276"/>
      <c r="D55" s="325" t="str">
        <f>IF(+D54-'CU BS Don''t Use FY21'!C95=0," "," ERR")</f>
        <v xml:space="preserve"> </v>
      </c>
      <c r="E55" s="325"/>
      <c r="F55" s="294"/>
      <c r="G55" s="294"/>
      <c r="H55" s="325" t="str">
        <f>IF(+H54-'CU BS Don''t Use FY21'!F95=0," "," ERR")</f>
        <v xml:space="preserve"> </v>
      </c>
      <c r="I55" s="300"/>
      <c r="J55" s="544">
        <f>+H54-'CU BS Don''t Use FY21'!F95</f>
        <v>0</v>
      </c>
      <c r="K55" s="276"/>
      <c r="L55" s="276"/>
      <c r="M55" s="276"/>
      <c r="W55" s="294"/>
      <c r="X55" s="294"/>
      <c r="Y55" s="294"/>
      <c r="Z55" s="294"/>
      <c r="AA55" s="294"/>
      <c r="AB55" s="294"/>
      <c r="AC55" s="444"/>
      <c r="AD55" s="294"/>
    </row>
    <row r="56" spans="1:34" ht="15.75">
      <c r="B56" s="276"/>
      <c r="C56" s="276"/>
      <c r="D56" s="294"/>
      <c r="E56" s="294"/>
      <c r="F56" s="294"/>
      <c r="G56" s="294"/>
      <c r="H56" s="294"/>
      <c r="I56" s="300"/>
      <c r="J56" s="294"/>
      <c r="K56" s="534"/>
      <c r="L56" s="535"/>
      <c r="M56" s="535"/>
      <c r="N56" s="485"/>
      <c r="O56" s="536"/>
      <c r="W56" s="294"/>
      <c r="X56" s="294"/>
      <c r="Y56" s="294"/>
      <c r="Z56" s="294"/>
      <c r="AA56" s="294"/>
      <c r="AB56" s="294"/>
      <c r="AC56" s="444"/>
      <c r="AD56" s="294"/>
    </row>
    <row r="57" spans="1:34" ht="20.25">
      <c r="B57" s="320" t="s">
        <v>641</v>
      </c>
      <c r="C57" s="276"/>
      <c r="D57" s="294"/>
      <c r="E57" s="294"/>
      <c r="F57" s="294"/>
      <c r="G57" s="294"/>
      <c r="H57" s="745" t="s">
        <v>2981</v>
      </c>
      <c r="I57" s="829" t="s">
        <v>121</v>
      </c>
      <c r="J57" s="404"/>
      <c r="K57" s="276"/>
      <c r="L57" s="546" t="s">
        <v>1759</v>
      </c>
      <c r="M57" s="546" t="s">
        <v>1758</v>
      </c>
      <c r="N57" s="546" t="s">
        <v>792</v>
      </c>
      <c r="O57" s="547" t="s">
        <v>504</v>
      </c>
      <c r="W57" s="294"/>
      <c r="X57" s="294"/>
      <c r="Y57" s="294"/>
      <c r="Z57" s="294"/>
      <c r="AA57" s="294"/>
      <c r="AB57" s="294"/>
      <c r="AC57" s="444"/>
      <c r="AD57" s="294"/>
    </row>
    <row r="58" spans="1:34" ht="15.75">
      <c r="B58" s="320" t="s">
        <v>642</v>
      </c>
      <c r="C58" s="276"/>
      <c r="D58" s="294"/>
      <c r="E58" s="294"/>
      <c r="F58" s="294"/>
      <c r="G58" s="294"/>
      <c r="H58" s="813">
        <v>0</v>
      </c>
      <c r="I58" s="414" t="s">
        <v>142</v>
      </c>
      <c r="J58" s="406"/>
      <c r="K58" s="827" t="s">
        <v>524</v>
      </c>
      <c r="L58" s="334">
        <v>0</v>
      </c>
      <c r="M58" s="334">
        <v>0</v>
      </c>
      <c r="N58" s="334">
        <f>+M58+L58</f>
        <v>0</v>
      </c>
      <c r="O58" s="548">
        <f>+N58-H58</f>
        <v>0</v>
      </c>
      <c r="P58" s="549" t="s">
        <v>2983</v>
      </c>
      <c r="W58" s="294"/>
      <c r="X58" s="294"/>
      <c r="Y58" s="294"/>
      <c r="Z58" s="294"/>
      <c r="AA58" s="294"/>
      <c r="AB58" s="294"/>
      <c r="AC58" s="444"/>
      <c r="AD58" s="294"/>
    </row>
    <row r="59" spans="1:34" ht="15.75">
      <c r="B59" s="276" t="s">
        <v>1142</v>
      </c>
      <c r="C59" s="276"/>
      <c r="D59" s="292">
        <f>+D46</f>
        <v>0</v>
      </c>
      <c r="E59" s="292"/>
      <c r="F59" s="294"/>
      <c r="G59" s="294"/>
      <c r="H59" s="814">
        <v>0</v>
      </c>
      <c r="I59" s="414" t="s">
        <v>143</v>
      </c>
      <c r="J59" s="407"/>
      <c r="K59" s="828" t="s">
        <v>1762</v>
      </c>
      <c r="L59" s="550">
        <v>0</v>
      </c>
      <c r="M59" s="551"/>
      <c r="N59" s="278"/>
      <c r="O59" s="552">
        <f>+N59-'CU BS Don''t Use FY21'!C108-'CU BS Don''t Use FY21'!C109-'CU BS Don''t Use FY21'!C110</f>
        <v>0</v>
      </c>
      <c r="P59" s="334"/>
      <c r="W59" s="294"/>
      <c r="X59" s="294"/>
      <c r="Y59" s="294"/>
      <c r="Z59" s="294"/>
      <c r="AA59" s="294"/>
      <c r="AB59" s="294"/>
      <c r="AC59" s="444"/>
      <c r="AD59" s="292">
        <f>+AD46</f>
        <v>285362</v>
      </c>
    </row>
    <row r="60" spans="1:34" ht="15.75">
      <c r="B60" s="276"/>
      <c r="C60" s="276"/>
      <c r="D60" s="294"/>
      <c r="E60" s="294"/>
      <c r="F60" s="294"/>
      <c r="G60" s="294"/>
      <c r="H60" s="814">
        <v>0</v>
      </c>
      <c r="I60" s="414" t="s">
        <v>92</v>
      </c>
      <c r="J60" s="409"/>
      <c r="K60" s="276"/>
      <c r="L60" s="276"/>
      <c r="M60" s="399" t="s">
        <v>2775</v>
      </c>
      <c r="W60" s="294"/>
      <c r="X60" s="294"/>
      <c r="Y60" s="294"/>
      <c r="Z60" s="294"/>
      <c r="AA60" s="294"/>
      <c r="AB60" s="294"/>
      <c r="AC60" s="444"/>
      <c r="AD60" s="294"/>
    </row>
    <row r="61" spans="1:34" ht="15.75">
      <c r="B61" s="276" t="s">
        <v>2317</v>
      </c>
      <c r="C61" s="276"/>
      <c r="D61" s="294"/>
      <c r="E61" s="294"/>
      <c r="F61" s="294"/>
      <c r="G61" s="294"/>
      <c r="H61" s="814">
        <v>0</v>
      </c>
      <c r="I61" s="414" t="s">
        <v>28</v>
      </c>
      <c r="J61" s="407"/>
      <c r="K61" s="276"/>
      <c r="L61" s="276"/>
      <c r="M61" s="491" t="s">
        <v>2449</v>
      </c>
      <c r="W61" s="294"/>
      <c r="X61" s="294"/>
      <c r="Y61" s="294"/>
      <c r="Z61" s="294"/>
      <c r="AA61" s="294"/>
      <c r="AB61" s="294"/>
      <c r="AC61" s="444"/>
      <c r="AD61" s="294"/>
    </row>
    <row r="62" spans="1:34" ht="15.75">
      <c r="B62" s="276" t="s">
        <v>108</v>
      </c>
      <c r="C62" s="276"/>
      <c r="D62" s="294"/>
      <c r="E62" s="294"/>
      <c r="F62" s="294"/>
      <c r="G62" s="294"/>
      <c r="H62" s="814"/>
      <c r="I62" s="414" t="s">
        <v>29</v>
      </c>
      <c r="J62" s="407"/>
      <c r="K62" s="276"/>
      <c r="L62" s="276"/>
      <c r="M62" s="276"/>
      <c r="W62" s="294"/>
      <c r="X62" s="294"/>
      <c r="Y62" s="294"/>
      <c r="Z62" s="294"/>
      <c r="AA62" s="294"/>
      <c r="AB62" s="294"/>
      <c r="AC62" s="444"/>
      <c r="AD62" s="294"/>
    </row>
    <row r="63" spans="1:34" ht="15.75">
      <c r="B63" s="289"/>
      <c r="C63" s="276"/>
      <c r="D63" s="294"/>
      <c r="E63" s="294"/>
      <c r="F63" s="294"/>
      <c r="H63" s="815">
        <f>+O85</f>
        <v>0</v>
      </c>
      <c r="I63" s="414" t="s">
        <v>2683</v>
      </c>
      <c r="J63" s="539"/>
      <c r="W63" s="294"/>
      <c r="X63" s="294"/>
      <c r="Y63" s="294"/>
      <c r="Z63" s="294"/>
      <c r="AA63" s="294"/>
      <c r="AB63" s="294"/>
      <c r="AC63" s="444"/>
      <c r="AD63" s="294"/>
    </row>
    <row r="64" spans="1:34" ht="15.75">
      <c r="B64" s="276" t="s">
        <v>1098</v>
      </c>
      <c r="C64" s="276"/>
      <c r="D64" s="294"/>
      <c r="E64" s="294"/>
      <c r="F64" s="294"/>
      <c r="G64" s="294"/>
      <c r="H64" s="815">
        <v>0</v>
      </c>
      <c r="I64" s="414" t="s">
        <v>2684</v>
      </c>
      <c r="J64" s="539"/>
      <c r="W64" s="294"/>
      <c r="X64" s="294"/>
      <c r="Y64" s="294"/>
      <c r="Z64" s="294"/>
      <c r="AA64" s="294"/>
      <c r="AB64" s="294"/>
      <c r="AC64" s="444"/>
      <c r="AD64" s="294"/>
    </row>
    <row r="65" spans="2:30" ht="15.75">
      <c r="B65" s="276" t="s">
        <v>2316</v>
      </c>
      <c r="C65" s="276"/>
      <c r="D65" s="294"/>
      <c r="E65" s="294"/>
      <c r="F65" s="294"/>
      <c r="G65" s="294"/>
      <c r="H65" s="815">
        <f>O86</f>
        <v>0</v>
      </c>
      <c r="I65" s="414" t="s">
        <v>2685</v>
      </c>
      <c r="J65" s="539"/>
      <c r="W65" s="294"/>
      <c r="X65" s="294"/>
      <c r="Y65" s="294"/>
      <c r="Z65" s="294"/>
      <c r="AA65" s="294"/>
      <c r="AB65" s="294"/>
      <c r="AC65" s="444"/>
      <c r="AD65" s="294"/>
    </row>
    <row r="66" spans="2:30" ht="15.75">
      <c r="B66" s="276" t="s">
        <v>1099</v>
      </c>
      <c r="C66" s="276"/>
      <c r="D66" s="294"/>
      <c r="E66" s="294"/>
      <c r="F66" s="294"/>
      <c r="G66" s="294"/>
      <c r="H66" s="815">
        <v>0</v>
      </c>
      <c r="I66" s="414" t="s">
        <v>2686</v>
      </c>
      <c r="J66" s="539"/>
      <c r="M66" s="276"/>
      <c r="W66" s="294"/>
      <c r="X66" s="294"/>
      <c r="Y66" s="294"/>
      <c r="Z66" s="294"/>
      <c r="AA66" s="294"/>
      <c r="AB66" s="294"/>
      <c r="AC66" s="444"/>
      <c r="AD66" s="294"/>
    </row>
    <row r="67" spans="2:30" ht="15.75">
      <c r="B67" s="276" t="s">
        <v>855</v>
      </c>
      <c r="C67" s="276"/>
      <c r="D67" s="294">
        <f>+H73</f>
        <v>0</v>
      </c>
      <c r="E67" s="294"/>
      <c r="F67" s="294"/>
      <c r="G67" s="294"/>
      <c r="H67" s="815">
        <v>0</v>
      </c>
      <c r="I67" s="414" t="s">
        <v>145</v>
      </c>
      <c r="J67" s="407"/>
      <c r="M67" s="276"/>
      <c r="W67" s="294"/>
      <c r="X67" s="411"/>
      <c r="Y67" s="294"/>
      <c r="Z67" s="294"/>
      <c r="AA67" s="294"/>
      <c r="AB67" s="294"/>
      <c r="AC67" s="444"/>
      <c r="AD67" s="294">
        <v>0</v>
      </c>
    </row>
    <row r="68" spans="2:30" ht="15.75">
      <c r="B68" s="276" t="s">
        <v>752</v>
      </c>
      <c r="C68" s="276"/>
      <c r="D68" s="294">
        <f>+H74</f>
        <v>0</v>
      </c>
      <c r="E68" s="294"/>
      <c r="F68" s="294"/>
      <c r="G68" s="294"/>
      <c r="H68" s="815">
        <f>O84</f>
        <v>0</v>
      </c>
      <c r="I68" s="414" t="s">
        <v>2043</v>
      </c>
      <c r="J68" s="407"/>
      <c r="K68" s="276"/>
      <c r="L68" s="276"/>
      <c r="M68" s="276"/>
      <c r="W68" s="294"/>
      <c r="X68" s="398"/>
      <c r="Y68" s="294"/>
      <c r="Z68" s="294"/>
      <c r="AA68" s="294"/>
      <c r="AB68" s="294"/>
      <c r="AC68" s="444"/>
      <c r="AD68" s="294">
        <v>118793</v>
      </c>
    </row>
    <row r="69" spans="2:30" ht="15.75">
      <c r="B69" s="276" t="s">
        <v>1349</v>
      </c>
      <c r="C69" s="276"/>
      <c r="D69" s="294">
        <f>+H80</f>
        <v>0</v>
      </c>
      <c r="E69" s="294"/>
      <c r="F69" s="294"/>
      <c r="G69" s="294"/>
      <c r="H69" s="815">
        <v>0</v>
      </c>
      <c r="I69" s="414" t="s">
        <v>562</v>
      </c>
      <c r="J69" s="407"/>
      <c r="K69" s="276"/>
      <c r="L69" s="276"/>
      <c r="M69" s="276"/>
      <c r="W69" s="294"/>
      <c r="X69" s="398"/>
      <c r="Y69" s="294"/>
      <c r="Z69" s="294"/>
      <c r="AA69" s="294"/>
      <c r="AB69" s="294"/>
      <c r="AC69" s="444"/>
      <c r="AD69" s="294">
        <v>0</v>
      </c>
    </row>
    <row r="70" spans="2:30" ht="15.75">
      <c r="B70" s="276" t="s">
        <v>515</v>
      </c>
      <c r="C70" s="276"/>
      <c r="D70" s="294">
        <f>-H77</f>
        <v>0</v>
      </c>
      <c r="E70" s="294"/>
      <c r="F70" s="294"/>
      <c r="G70" s="294"/>
      <c r="H70" s="554">
        <f>SUM(H58:H69)</f>
        <v>0</v>
      </c>
      <c r="I70" s="420"/>
      <c r="J70" s="415"/>
      <c r="K70" s="276"/>
      <c r="L70" s="276"/>
      <c r="M70" s="276"/>
      <c r="W70" s="294"/>
      <c r="X70" s="294"/>
      <c r="Y70" s="294"/>
      <c r="Z70" s="294"/>
      <c r="AA70" s="294"/>
      <c r="AB70" s="294"/>
      <c r="AC70" s="444"/>
      <c r="AD70" s="294">
        <v>-90058</v>
      </c>
    </row>
    <row r="71" spans="2:30" ht="15.75">
      <c r="B71" s="276"/>
      <c r="C71" s="276"/>
      <c r="D71" s="294"/>
      <c r="E71" s="294"/>
      <c r="F71" s="294"/>
      <c r="G71" s="294"/>
      <c r="H71" s="312" t="s">
        <v>617</v>
      </c>
      <c r="I71" s="300"/>
      <c r="J71" s="294"/>
      <c r="K71" s="276"/>
      <c r="L71" s="276"/>
      <c r="M71" s="276"/>
      <c r="W71" s="294"/>
      <c r="X71" s="294"/>
      <c r="Y71" s="294"/>
      <c r="Z71" s="294"/>
      <c r="AA71" s="294"/>
      <c r="AB71" s="294"/>
      <c r="AC71" s="444"/>
      <c r="AD71" s="294"/>
    </row>
    <row r="72" spans="2:30" ht="15.75">
      <c r="B72" s="276" t="s">
        <v>1100</v>
      </c>
      <c r="C72" s="276"/>
      <c r="D72" s="294"/>
      <c r="E72" s="294"/>
      <c r="F72" s="294" t="s">
        <v>2760</v>
      </c>
      <c r="G72" s="294"/>
      <c r="H72" s="555">
        <v>0</v>
      </c>
      <c r="I72" s="556"/>
      <c r="J72" s="557" t="s">
        <v>1695</v>
      </c>
      <c r="K72" s="399" t="s">
        <v>2734</v>
      </c>
      <c r="L72" s="276"/>
      <c r="M72" s="276"/>
      <c r="W72" s="294"/>
      <c r="X72" s="294"/>
      <c r="Y72" s="294"/>
      <c r="Z72" s="294"/>
      <c r="AA72" s="294"/>
      <c r="AB72" s="294"/>
      <c r="AC72" s="444"/>
      <c r="AD72" s="294"/>
    </row>
    <row r="73" spans="2:30" ht="15.75">
      <c r="B73" s="276" t="s">
        <v>1101</v>
      </c>
      <c r="C73" s="276"/>
      <c r="D73" s="294"/>
      <c r="E73" s="294"/>
      <c r="F73" s="294"/>
      <c r="G73" s="294"/>
      <c r="H73" s="558"/>
      <c r="I73" s="300"/>
      <c r="J73" s="312" t="s">
        <v>1580</v>
      </c>
      <c r="K73" s="399" t="s">
        <v>2733</v>
      </c>
      <c r="L73" s="397"/>
      <c r="M73" s="276"/>
      <c r="W73" s="294"/>
      <c r="X73" s="294"/>
      <c r="Y73" s="294"/>
      <c r="Z73" s="294"/>
      <c r="AA73" s="294"/>
      <c r="AB73" s="294"/>
      <c r="AC73" s="444"/>
      <c r="AD73" s="294"/>
    </row>
    <row r="74" spans="2:30" ht="15.75">
      <c r="B74" s="276" t="s">
        <v>1026</v>
      </c>
      <c r="C74" s="276"/>
      <c r="D74" s="294">
        <v>0</v>
      </c>
      <c r="E74" s="294"/>
      <c r="F74" s="294"/>
      <c r="G74" s="294"/>
      <c r="H74" s="558">
        <v>0</v>
      </c>
      <c r="I74" s="300"/>
      <c r="J74" s="312" t="s">
        <v>1581</v>
      </c>
      <c r="K74" s="399" t="s">
        <v>2697</v>
      </c>
      <c r="L74" s="276"/>
      <c r="M74" s="276"/>
      <c r="W74" s="294"/>
      <c r="X74" s="294"/>
      <c r="Y74" s="294"/>
      <c r="Z74" s="294"/>
      <c r="AA74" s="294"/>
      <c r="AB74" s="294"/>
      <c r="AC74" s="444"/>
      <c r="AD74" s="294">
        <v>73907</v>
      </c>
    </row>
    <row r="75" spans="2:30" ht="15.75">
      <c r="B75" s="276" t="s">
        <v>2328</v>
      </c>
      <c r="C75" s="276"/>
      <c r="D75" s="294">
        <f>+F16</f>
        <v>0</v>
      </c>
      <c r="E75" s="294"/>
      <c r="F75" s="294"/>
      <c r="G75" s="294"/>
      <c r="H75" s="312" t="s">
        <v>618</v>
      </c>
      <c r="I75" s="300"/>
      <c r="J75" s="294"/>
      <c r="K75" s="418"/>
      <c r="L75" s="276"/>
      <c r="M75" s="276"/>
      <c r="W75" s="294"/>
      <c r="X75" s="294"/>
      <c r="Y75" s="294"/>
      <c r="Z75" s="294"/>
      <c r="AA75" s="294"/>
      <c r="AB75" s="294"/>
      <c r="AC75" s="444"/>
      <c r="AD75" s="294"/>
    </row>
    <row r="76" spans="2:30" ht="15.75">
      <c r="B76" s="276"/>
      <c r="C76" s="276"/>
      <c r="D76" s="294"/>
      <c r="E76" s="294"/>
      <c r="F76" s="294"/>
      <c r="G76" s="294"/>
      <c r="H76" s="424">
        <v>0</v>
      </c>
      <c r="I76" s="559"/>
      <c r="J76" s="749" t="s">
        <v>1670</v>
      </c>
      <c r="K76" s="549" t="s">
        <v>2983</v>
      </c>
      <c r="M76" s="276"/>
      <c r="W76" s="294"/>
      <c r="X76" s="294"/>
      <c r="Y76" s="294"/>
      <c r="Z76" s="294"/>
      <c r="AA76" s="294"/>
      <c r="AB76" s="294"/>
      <c r="AC76" s="444"/>
      <c r="AD76" s="294"/>
    </row>
    <row r="77" spans="2:30" ht="15.75">
      <c r="B77" s="276" t="s">
        <v>621</v>
      </c>
      <c r="C77" s="276"/>
      <c r="D77" s="294"/>
      <c r="E77" s="294"/>
      <c r="F77" s="294"/>
      <c r="G77" s="294"/>
      <c r="H77" s="558">
        <v>0</v>
      </c>
      <c r="I77" s="559"/>
      <c r="J77" s="560" t="s">
        <v>1671</v>
      </c>
      <c r="K77" s="276"/>
      <c r="M77" s="561" t="s">
        <v>2692</v>
      </c>
      <c r="N77" s="562"/>
      <c r="O77" s="750" t="s">
        <v>2282</v>
      </c>
      <c r="P77" s="549" t="s">
        <v>2983</v>
      </c>
      <c r="W77" s="294"/>
      <c r="X77" s="294"/>
      <c r="Y77" s="294"/>
      <c r="Z77" s="294"/>
      <c r="AA77" s="294"/>
      <c r="AB77" s="294"/>
      <c r="AC77" s="444"/>
      <c r="AD77" s="294"/>
    </row>
    <row r="78" spans="2:30" ht="15.75">
      <c r="B78" s="276" t="s">
        <v>256</v>
      </c>
      <c r="C78" s="276"/>
      <c r="D78" s="294"/>
      <c r="E78" s="294"/>
      <c r="F78" s="294" t="s">
        <v>2759</v>
      </c>
      <c r="G78" s="294"/>
      <c r="H78" s="399" t="s">
        <v>2994</v>
      </c>
      <c r="I78" s="300"/>
      <c r="J78" s="820" t="s">
        <v>2764</v>
      </c>
      <c r="K78" s="276"/>
      <c r="L78" s="553"/>
      <c r="M78" s="565" t="s">
        <v>2688</v>
      </c>
      <c r="N78" s="558">
        <v>0</v>
      </c>
      <c r="O78" s="566">
        <v>0</v>
      </c>
      <c r="P78" s="288">
        <f>+N78-O78</f>
        <v>0</v>
      </c>
      <c r="W78" s="294"/>
      <c r="X78" s="294"/>
      <c r="Y78" s="294"/>
      <c r="Z78" s="294"/>
      <c r="AA78" s="294"/>
      <c r="AB78" s="294"/>
      <c r="AC78" s="444"/>
      <c r="AD78" s="294"/>
    </row>
    <row r="79" spans="2:30" ht="15.75">
      <c r="B79" s="276" t="s">
        <v>1724</v>
      </c>
      <c r="C79" s="276"/>
      <c r="D79" s="294" t="s">
        <v>2765</v>
      </c>
      <c r="E79" s="294"/>
      <c r="F79" s="294"/>
      <c r="G79" s="294"/>
      <c r="H79" s="312" t="s">
        <v>1582</v>
      </c>
      <c r="I79" s="300"/>
      <c r="J79" s="294" t="s">
        <v>2763</v>
      </c>
      <c r="K79" s="276"/>
      <c r="L79" s="276"/>
      <c r="M79" s="276"/>
      <c r="N79" s="553" t="s">
        <v>2982</v>
      </c>
      <c r="W79" s="294"/>
      <c r="X79" s="294"/>
      <c r="Y79" s="294"/>
      <c r="Z79" s="294"/>
      <c r="AA79" s="294"/>
      <c r="AB79" s="294"/>
      <c r="AC79" s="444"/>
      <c r="AD79" s="294"/>
    </row>
    <row r="80" spans="2:30" ht="15.75">
      <c r="B80" s="276" t="s">
        <v>321</v>
      </c>
      <c r="C80" s="276"/>
      <c r="D80" s="294"/>
      <c r="E80" s="294"/>
      <c r="F80" s="294" t="s">
        <v>2761</v>
      </c>
      <c r="G80" s="294"/>
      <c r="H80" s="558">
        <v>0</v>
      </c>
      <c r="I80" s="553"/>
      <c r="J80" s="399" t="s">
        <v>2995</v>
      </c>
      <c r="K80" s="276"/>
      <c r="W80" s="294"/>
      <c r="X80" s="294"/>
      <c r="Y80" s="294"/>
      <c r="Z80" s="294"/>
      <c r="AA80" s="294"/>
      <c r="AB80" s="294"/>
      <c r="AC80" s="444"/>
      <c r="AD80" s="294"/>
    </row>
    <row r="81" spans="2:30" ht="15.75">
      <c r="B81" s="276" t="s">
        <v>322</v>
      </c>
      <c r="C81" s="276"/>
      <c r="D81" s="294"/>
      <c r="E81" s="294"/>
      <c r="F81" s="294"/>
      <c r="G81" s="294"/>
      <c r="H81" s="399" t="s">
        <v>2999</v>
      </c>
      <c r="I81" s="300"/>
      <c r="J81" s="399" t="s">
        <v>2996</v>
      </c>
      <c r="K81" s="276"/>
      <c r="L81" s="276"/>
      <c r="M81" s="561" t="s">
        <v>2043</v>
      </c>
      <c r="N81" s="562"/>
      <c r="O81" s="750" t="s">
        <v>2282</v>
      </c>
      <c r="P81" s="549" t="s">
        <v>2983</v>
      </c>
      <c r="W81" s="294"/>
      <c r="X81" s="294"/>
      <c r="Y81" s="294"/>
      <c r="Z81" s="294"/>
      <c r="AA81" s="294"/>
      <c r="AB81" s="294"/>
      <c r="AC81" s="444"/>
      <c r="AD81" s="294"/>
    </row>
    <row r="82" spans="2:30" ht="15.75">
      <c r="B82" s="276" t="s">
        <v>323</v>
      </c>
      <c r="C82" s="276"/>
      <c r="D82" s="294"/>
      <c r="E82" s="294"/>
      <c r="F82" s="294"/>
      <c r="G82" s="294"/>
      <c r="H82" s="294"/>
      <c r="I82" s="300"/>
      <c r="J82" s="399" t="s">
        <v>2998</v>
      </c>
      <c r="K82" s="276"/>
      <c r="L82" s="276"/>
      <c r="M82" s="565" t="s">
        <v>2057</v>
      </c>
      <c r="N82" s="810"/>
      <c r="O82" s="566">
        <v>0</v>
      </c>
      <c r="W82" s="294"/>
      <c r="X82" s="294"/>
      <c r="Y82" s="294"/>
      <c r="Z82" s="294"/>
      <c r="AA82" s="294"/>
      <c r="AB82" s="294"/>
      <c r="AC82" s="444"/>
      <c r="AD82" s="294"/>
    </row>
    <row r="83" spans="2:30" ht="15.75">
      <c r="B83" s="276" t="s">
        <v>1596</v>
      </c>
      <c r="C83" s="276"/>
      <c r="D83" s="294"/>
      <c r="E83" s="294"/>
      <c r="F83" s="294"/>
      <c r="G83" s="294"/>
      <c r="H83" s="294"/>
      <c r="I83" s="300"/>
      <c r="J83" s="399" t="s">
        <v>2997</v>
      </c>
      <c r="K83" s="553"/>
      <c r="L83" s="276"/>
      <c r="M83" s="565" t="s">
        <v>2056</v>
      </c>
      <c r="N83" s="811"/>
      <c r="O83" s="566">
        <v>0</v>
      </c>
      <c r="W83" s="294"/>
      <c r="X83" s="294"/>
      <c r="Y83" s="294"/>
      <c r="Z83" s="294"/>
      <c r="AA83" s="294"/>
      <c r="AB83" s="294"/>
      <c r="AC83" s="444"/>
      <c r="AD83" s="294"/>
    </row>
    <row r="84" spans="2:30" ht="15.75">
      <c r="B84" s="276" t="s">
        <v>1232</v>
      </c>
      <c r="C84" s="276"/>
      <c r="D84" s="294"/>
      <c r="E84" s="294"/>
      <c r="F84" s="294"/>
      <c r="G84" s="294"/>
      <c r="H84" s="294"/>
      <c r="I84" s="300"/>
      <c r="J84" s="399" t="s">
        <v>3000</v>
      </c>
      <c r="K84" s="276"/>
      <c r="L84" s="287"/>
      <c r="M84" s="565" t="s">
        <v>2446</v>
      </c>
      <c r="N84" s="811"/>
      <c r="O84" s="566">
        <v>0</v>
      </c>
      <c r="W84" s="294"/>
      <c r="X84" s="294"/>
      <c r="Y84" s="294"/>
      <c r="Z84" s="294"/>
      <c r="AA84" s="294"/>
      <c r="AB84" s="294"/>
      <c r="AC84" s="444"/>
      <c r="AD84" s="294"/>
    </row>
    <row r="85" spans="2:30" ht="15.75">
      <c r="B85" s="276" t="s">
        <v>977</v>
      </c>
      <c r="C85" s="276"/>
      <c r="D85" s="294"/>
      <c r="E85" s="294"/>
      <c r="F85" s="294"/>
      <c r="G85" s="294"/>
      <c r="H85" s="294"/>
      <c r="I85" s="300"/>
      <c r="J85" s="294"/>
      <c r="K85" s="276"/>
      <c r="L85" s="276"/>
      <c r="M85" s="565" t="s">
        <v>2307</v>
      </c>
      <c r="N85" s="811"/>
      <c r="O85" s="566">
        <v>0</v>
      </c>
      <c r="W85" s="294"/>
      <c r="X85" s="294"/>
      <c r="Y85" s="294"/>
      <c r="Z85" s="294"/>
      <c r="AA85" s="294"/>
      <c r="AB85" s="294"/>
      <c r="AC85" s="444"/>
      <c r="AD85" s="294"/>
    </row>
    <row r="86" spans="2:30" ht="15.75">
      <c r="B86" s="276"/>
      <c r="C86" s="276"/>
      <c r="D86" s="294"/>
      <c r="E86" s="294"/>
      <c r="F86" s="294"/>
      <c r="G86" s="294"/>
      <c r="H86" s="294"/>
      <c r="I86" s="300"/>
      <c r="J86" s="294"/>
      <c r="K86" s="276"/>
      <c r="L86" s="276"/>
      <c r="M86" s="565" t="s">
        <v>2308</v>
      </c>
      <c r="N86" s="811"/>
      <c r="O86" s="566">
        <v>0</v>
      </c>
      <c r="W86" s="294"/>
      <c r="X86" s="294"/>
      <c r="Y86" s="294"/>
      <c r="Z86" s="294"/>
      <c r="AA86" s="294"/>
      <c r="AB86" s="294"/>
      <c r="AC86" s="444"/>
      <c r="AD86" s="294"/>
    </row>
    <row r="87" spans="2:30" ht="15.75">
      <c r="B87" s="276" t="s">
        <v>1102</v>
      </c>
      <c r="C87" s="276"/>
      <c r="D87" s="294"/>
      <c r="E87" s="294"/>
      <c r="F87" s="294"/>
      <c r="G87" s="294"/>
      <c r="H87" s="294"/>
      <c r="I87" s="300" t="s">
        <v>2762</v>
      </c>
      <c r="J87" s="294"/>
      <c r="K87" s="276"/>
      <c r="L87" s="276"/>
      <c r="M87" s="276"/>
      <c r="N87" s="836">
        <f>SUM(N82:N86)</f>
        <v>0</v>
      </c>
      <c r="O87" s="836">
        <f>SUM(O82:O86)</f>
        <v>0</v>
      </c>
      <c r="P87" s="288">
        <f>+N87-O87</f>
        <v>0</v>
      </c>
      <c r="W87" s="294"/>
      <c r="X87" s="294"/>
      <c r="Y87" s="294"/>
      <c r="Z87" s="294"/>
      <c r="AA87" s="294"/>
      <c r="AB87" s="294"/>
      <c r="AC87" s="444"/>
      <c r="AD87" s="294"/>
    </row>
    <row r="88" spans="2:30" ht="15.75">
      <c r="B88" s="276" t="s">
        <v>1103</v>
      </c>
      <c r="C88" s="276"/>
      <c r="D88" s="294"/>
      <c r="E88" s="294"/>
      <c r="F88" s="294"/>
      <c r="G88" s="294"/>
      <c r="H88" s="294"/>
      <c r="I88" s="300"/>
      <c r="J88" s="294"/>
      <c r="K88" s="276"/>
      <c r="L88" s="276"/>
      <c r="N88" s="553" t="s">
        <v>2733</v>
      </c>
      <c r="W88" s="294"/>
      <c r="X88" s="294"/>
      <c r="Y88" s="294"/>
      <c r="Z88" s="294"/>
      <c r="AA88" s="294"/>
      <c r="AB88" s="294"/>
      <c r="AC88" s="444"/>
      <c r="AD88" s="294"/>
    </row>
    <row r="89" spans="2:30" ht="15.75">
      <c r="B89" s="276" t="s">
        <v>1104</v>
      </c>
      <c r="C89" s="276"/>
      <c r="D89" s="294"/>
      <c r="E89" s="294"/>
      <c r="F89" s="294"/>
      <c r="G89" s="294"/>
      <c r="H89" s="294"/>
      <c r="I89" s="300"/>
      <c r="J89" s="294"/>
      <c r="K89" s="276"/>
      <c r="L89" s="276"/>
      <c r="W89" s="294"/>
      <c r="X89" s="294"/>
      <c r="Y89" s="294"/>
      <c r="Z89" s="294"/>
      <c r="AA89" s="294"/>
      <c r="AB89" s="294"/>
      <c r="AC89" s="444"/>
      <c r="AD89" s="294"/>
    </row>
    <row r="90" spans="2:30" ht="15.75">
      <c r="B90" s="276" t="s">
        <v>563</v>
      </c>
      <c r="C90" s="276"/>
      <c r="D90" s="294"/>
      <c r="E90" s="294"/>
      <c r="F90" s="294"/>
      <c r="G90" s="294"/>
      <c r="I90" s="300"/>
      <c r="J90" s="294"/>
      <c r="K90" s="276"/>
      <c r="L90" s="276"/>
      <c r="W90" s="294"/>
      <c r="X90" s="294"/>
      <c r="Y90" s="294"/>
      <c r="Z90" s="294"/>
      <c r="AA90" s="294"/>
      <c r="AB90" s="294"/>
      <c r="AC90" s="444"/>
      <c r="AD90" s="294"/>
    </row>
    <row r="91" spans="2:30" ht="18">
      <c r="B91" s="276" t="s">
        <v>1027</v>
      </c>
      <c r="C91" s="276"/>
      <c r="D91" s="1047">
        <f>+P78</f>
        <v>0</v>
      </c>
      <c r="E91" s="294"/>
      <c r="F91" s="294"/>
      <c r="G91" s="294"/>
      <c r="I91" s="300"/>
      <c r="J91" s="294"/>
      <c r="K91" s="276"/>
      <c r="L91" s="276"/>
      <c r="M91" s="276"/>
      <c r="W91" s="294"/>
      <c r="X91" s="294"/>
      <c r="Y91" s="294"/>
      <c r="Z91" s="294"/>
      <c r="AA91" s="294"/>
      <c r="AB91" s="294"/>
      <c r="AC91" s="444"/>
      <c r="AD91" s="294">
        <v>1694</v>
      </c>
    </row>
    <row r="92" spans="2:30" ht="15.75">
      <c r="B92" s="276" t="s">
        <v>1233</v>
      </c>
      <c r="C92" s="276"/>
      <c r="D92" s="294">
        <v>0</v>
      </c>
      <c r="E92" s="294"/>
      <c r="F92" s="294"/>
      <c r="G92" s="294"/>
      <c r="H92" s="294"/>
      <c r="I92" s="300"/>
      <c r="J92" s="294"/>
      <c r="K92" s="276"/>
      <c r="L92" s="276"/>
      <c r="M92" s="276"/>
      <c r="R92" s="549"/>
      <c r="S92" s="549"/>
      <c r="T92" s="549"/>
      <c r="U92" s="549"/>
      <c r="W92" s="294"/>
      <c r="X92" s="294"/>
      <c r="Y92" s="294"/>
      <c r="Z92" s="294"/>
      <c r="AA92" s="294"/>
      <c r="AB92" s="294"/>
      <c r="AC92" s="444"/>
      <c r="AD92" s="318">
        <v>0</v>
      </c>
    </row>
    <row r="93" spans="2:30" ht="15.75">
      <c r="B93" s="276" t="s">
        <v>2055</v>
      </c>
      <c r="C93" s="276"/>
      <c r="D93" s="294">
        <f>-N83</f>
        <v>0</v>
      </c>
      <c r="E93" s="294"/>
      <c r="F93" s="294"/>
      <c r="G93" s="294"/>
      <c r="I93" s="300"/>
      <c r="J93" s="294"/>
      <c r="K93" s="276"/>
      <c r="L93" s="276"/>
      <c r="M93" s="276"/>
      <c r="W93" s="294"/>
      <c r="X93" s="294"/>
      <c r="Y93" s="294"/>
      <c r="Z93" s="294"/>
      <c r="AA93" s="294"/>
      <c r="AB93" s="294"/>
      <c r="AC93" s="444"/>
      <c r="AD93" s="318"/>
    </row>
    <row r="94" spans="2:30" ht="15.75">
      <c r="B94" s="276" t="s">
        <v>566</v>
      </c>
      <c r="C94" s="276"/>
      <c r="D94" s="318">
        <f>+P99-OPEB!O40</f>
        <v>0</v>
      </c>
      <c r="E94" s="294"/>
      <c r="F94" s="294"/>
      <c r="G94" s="294"/>
      <c r="L94" s="553"/>
      <c r="M94" s="561" t="s">
        <v>562</v>
      </c>
      <c r="N94" s="562"/>
      <c r="O94" s="750" t="s">
        <v>2282</v>
      </c>
      <c r="P94" s="549" t="s">
        <v>2732</v>
      </c>
      <c r="W94" s="294"/>
      <c r="X94" s="294"/>
      <c r="Y94" s="294"/>
      <c r="Z94" s="294"/>
      <c r="AA94" s="294"/>
      <c r="AB94" s="294"/>
      <c r="AC94" s="444"/>
      <c r="AD94" s="318">
        <f>+F95-F96</f>
        <v>0</v>
      </c>
    </row>
    <row r="95" spans="2:30" ht="15.75">
      <c r="B95" s="276"/>
      <c r="C95" s="276"/>
      <c r="D95" s="294"/>
      <c r="E95" s="294"/>
      <c r="F95" s="294"/>
      <c r="G95" s="294"/>
      <c r="M95" s="563"/>
      <c r="N95" s="747"/>
      <c r="O95" s="564"/>
      <c r="W95" s="294"/>
      <c r="X95" s="294"/>
      <c r="Y95" s="294"/>
      <c r="Z95" s="294"/>
      <c r="AA95" s="294"/>
      <c r="AB95" s="294"/>
      <c r="AC95" s="444"/>
      <c r="AD95" s="294"/>
    </row>
    <row r="96" spans="2:30" ht="16.5" thickBot="1">
      <c r="B96" s="276" t="s">
        <v>2318</v>
      </c>
      <c r="C96" s="276"/>
      <c r="D96" s="302">
        <f>SUM(D59:D95)</f>
        <v>0</v>
      </c>
      <c r="E96" s="326"/>
      <c r="F96" s="294"/>
      <c r="G96" s="294"/>
      <c r="M96" s="565" t="s">
        <v>2687</v>
      </c>
      <c r="N96" s="811">
        <f>-OPEB!O9</f>
        <v>0</v>
      </c>
      <c r="O96" s="566">
        <v>0</v>
      </c>
      <c r="W96" s="294"/>
      <c r="X96" s="294"/>
      <c r="Y96" s="294"/>
      <c r="Z96" s="294"/>
      <c r="AA96" s="294"/>
      <c r="AB96" s="294"/>
      <c r="AC96" s="444"/>
      <c r="AD96" s="302">
        <f>SUM(AD59:AD95)</f>
        <v>389698</v>
      </c>
    </row>
    <row r="97" spans="2:30" ht="16.5" thickTop="1">
      <c r="B97" s="276"/>
      <c r="C97" s="276"/>
      <c r="D97" s="326"/>
      <c r="E97" s="326"/>
      <c r="F97" s="294"/>
      <c r="G97" s="294"/>
      <c r="M97" s="565" t="s">
        <v>2307</v>
      </c>
      <c r="N97" s="811">
        <f>+OPEB!N17</f>
        <v>0</v>
      </c>
      <c r="O97" s="566">
        <v>0</v>
      </c>
      <c r="W97" s="294"/>
      <c r="X97" s="294"/>
      <c r="Y97" s="294"/>
      <c r="Z97" s="294"/>
      <c r="AA97" s="294"/>
      <c r="AB97" s="294"/>
      <c r="AC97" s="444"/>
      <c r="AD97" s="326"/>
    </row>
    <row r="98" spans="2:30" ht="15.75">
      <c r="B98" s="276"/>
      <c r="C98" s="276"/>
      <c r="D98" s="294"/>
      <c r="E98" s="294"/>
      <c r="F98" s="294"/>
      <c r="G98" s="294"/>
      <c r="H98" s="294"/>
      <c r="I98" s="300"/>
      <c r="J98" s="294"/>
      <c r="K98" s="276"/>
      <c r="L98" s="276"/>
      <c r="M98" s="565" t="s">
        <v>2308</v>
      </c>
      <c r="N98" s="812">
        <f>-+OPEB!O24</f>
        <v>0</v>
      </c>
      <c r="O98" s="566">
        <v>0</v>
      </c>
      <c r="W98" s="294"/>
      <c r="X98" s="294"/>
      <c r="Y98" s="294"/>
      <c r="Z98" s="294"/>
      <c r="AA98" s="294"/>
      <c r="AB98" s="294"/>
      <c r="AC98" s="444"/>
      <c r="AD98" s="294"/>
    </row>
    <row r="99" spans="2:30" ht="15.75">
      <c r="C99" s="276"/>
      <c r="D99" s="294"/>
      <c r="E99" s="294"/>
      <c r="F99" s="294"/>
      <c r="G99" s="294"/>
      <c r="H99" s="294"/>
      <c r="I99" s="300"/>
      <c r="N99" s="836">
        <f>SUM(N96:N98)</f>
        <v>0</v>
      </c>
      <c r="O99" s="836">
        <f>SUM(O96:O98)</f>
        <v>0</v>
      </c>
      <c r="P99" s="288">
        <f>+N99-O99</f>
        <v>0</v>
      </c>
    </row>
    <row r="100" spans="2:30" ht="15.75">
      <c r="C100" s="276"/>
      <c r="D100" s="294"/>
      <c r="E100" s="294"/>
      <c r="F100" s="294"/>
      <c r="G100" s="294"/>
      <c r="H100" s="294"/>
      <c r="I100" s="300"/>
      <c r="M100" s="276"/>
      <c r="N100" s="553" t="s">
        <v>2733</v>
      </c>
      <c r="O100" s="276"/>
    </row>
    <row r="101" spans="2:30" ht="15.75">
      <c r="C101" s="276"/>
      <c r="D101" s="294"/>
      <c r="E101" s="294"/>
      <c r="F101" s="294"/>
      <c r="G101" s="294"/>
      <c r="H101" s="294"/>
      <c r="I101" s="300"/>
      <c r="M101" s="276"/>
      <c r="N101" s="276"/>
      <c r="O101" s="276"/>
    </row>
    <row r="102" spans="2:30" ht="15.75">
      <c r="C102" s="276"/>
      <c r="D102" s="294"/>
      <c r="E102" s="294"/>
      <c r="F102" s="294"/>
      <c r="G102" s="294"/>
      <c r="H102" s="294"/>
      <c r="I102" s="300"/>
      <c r="M102" s="276"/>
      <c r="N102" s="276"/>
      <c r="O102" s="276"/>
    </row>
  </sheetData>
  <phoneticPr fontId="0" type="noConversion"/>
  <pageMargins left="0.75" right="0.75" top="0.5" bottom="0.75" header="0.25" footer="0.25"/>
  <pageSetup scale="6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9">
    <tabColor rgb="FF3333FF"/>
  </sheetPr>
  <dimension ref="A1:BQ72"/>
  <sheetViews>
    <sheetView showGridLines="0" topLeftCell="B1" zoomScale="73" zoomScaleNormal="73" workbookViewId="0">
      <pane xSplit="3" ySplit="5" topLeftCell="E26" activePane="bottomRight" state="frozen"/>
      <selection activeCell="B1" sqref="B1"/>
      <selection pane="topRight" activeCell="E1" sqref="E1"/>
      <selection pane="bottomLeft" activeCell="B6" sqref="B6"/>
      <selection pane="bottomRight" activeCell="E56" sqref="E56"/>
    </sheetView>
  </sheetViews>
  <sheetFormatPr defaultColWidth="9.140625" defaultRowHeight="15"/>
  <cols>
    <col min="1" max="1" width="11.140625" style="627" customWidth="1"/>
    <col min="2" max="2" width="4.140625" style="627" customWidth="1"/>
    <col min="3" max="3" width="5.28515625" style="627" customWidth="1"/>
    <col min="4" max="4" width="73.42578125" style="627" customWidth="1"/>
    <col min="5" max="6" width="14.140625" style="652" bestFit="1" customWidth="1"/>
    <col min="7" max="7" width="3.28515625" style="627" customWidth="1"/>
    <col min="8" max="8" width="11.5703125" style="627" bestFit="1" customWidth="1"/>
    <col min="9" max="9" width="10.5703125" style="627" bestFit="1" customWidth="1"/>
    <col min="10" max="10" width="2.7109375" style="627" customWidth="1"/>
    <col min="11" max="11" width="10.28515625" style="627" customWidth="1"/>
    <col min="12" max="12" width="12.85546875" style="627" bestFit="1" customWidth="1"/>
    <col min="13" max="13" width="2.7109375" style="627" customWidth="1"/>
    <col min="14" max="14" width="12.7109375" style="627" bestFit="1" customWidth="1"/>
    <col min="15" max="15" width="14.140625" style="627" customWidth="1"/>
    <col min="16" max="16" width="2.7109375" style="627" customWidth="1"/>
    <col min="17" max="17" width="12.28515625" style="627" customWidth="1"/>
    <col min="18" max="18" width="13" style="627" bestFit="1" customWidth="1"/>
    <col min="19" max="19" width="10.5703125" style="627" bestFit="1" customWidth="1"/>
    <col min="20" max="20" width="33.7109375" style="627" customWidth="1"/>
    <col min="21" max="22" width="10.7109375" style="627" customWidth="1"/>
    <col min="23" max="23" width="11.7109375" style="627" bestFit="1" customWidth="1"/>
    <col min="24" max="24" width="12.5703125" style="627" customWidth="1"/>
    <col min="25" max="28" width="9.140625" style="627"/>
    <col min="29" max="29" width="35.85546875" style="627" customWidth="1"/>
    <col min="30" max="30" width="2.42578125" style="627" customWidth="1"/>
    <col min="31" max="31" width="15.5703125" style="627" customWidth="1"/>
    <col min="32" max="32" width="2.42578125" style="627" customWidth="1"/>
    <col min="33" max="33" width="15.42578125" style="627" customWidth="1"/>
    <col min="34" max="34" width="2.42578125" style="627" customWidth="1"/>
    <col min="35" max="35" width="14" style="627" customWidth="1"/>
    <col min="36" max="36" width="2.42578125" style="627" customWidth="1"/>
    <col min="37" max="37" width="16.7109375" style="627" customWidth="1"/>
    <col min="38" max="39" width="9.140625" style="627"/>
    <col min="40" max="40" width="16" style="627" bestFit="1" customWidth="1"/>
    <col min="41" max="41" width="2.42578125" style="627" customWidth="1"/>
    <col min="42" max="42" width="15.140625" style="627" bestFit="1" customWidth="1"/>
    <col min="43" max="43" width="2.42578125" style="627" customWidth="1"/>
    <col min="44" max="44" width="13.85546875" style="627" bestFit="1" customWidth="1"/>
    <col min="45" max="45" width="2.42578125" style="627" customWidth="1"/>
    <col min="46" max="46" width="22.28515625" style="627" bestFit="1" customWidth="1"/>
    <col min="47" max="48" width="9.140625" style="627"/>
    <col min="49" max="49" width="40.7109375" style="627" customWidth="1"/>
    <col min="50" max="50" width="5.42578125" style="627" customWidth="1"/>
    <col min="51" max="51" width="13.28515625" style="627" customWidth="1"/>
    <col min="52" max="52" width="2.140625" style="627" customWidth="1"/>
    <col min="53" max="53" width="13.42578125" style="627" customWidth="1"/>
    <col min="54" max="54" width="2.140625" style="627" hidden="1" customWidth="1"/>
    <col min="55" max="55" width="11" style="627" hidden="1" customWidth="1"/>
    <col min="56" max="56" width="2.140625" style="627" hidden="1" customWidth="1"/>
    <col min="57" max="57" width="11" style="627" hidden="1" customWidth="1"/>
    <col min="58" max="58" width="2.140625" style="627" hidden="1" customWidth="1"/>
    <col min="59" max="59" width="11" style="627" hidden="1" customWidth="1"/>
    <col min="60" max="60" width="2.140625" style="627" hidden="1" customWidth="1"/>
    <col min="61" max="61" width="2" style="627" hidden="1" customWidth="1"/>
    <col min="62" max="62" width="2.140625" style="627" hidden="1" customWidth="1"/>
    <col min="63" max="63" width="11" style="627" hidden="1" customWidth="1"/>
    <col min="64" max="64" width="2.140625" style="627" hidden="1" customWidth="1"/>
    <col min="65" max="65" width="11" style="627" hidden="1" customWidth="1"/>
    <col min="66" max="66" width="2.140625" style="627" hidden="1" customWidth="1"/>
    <col min="67" max="67" width="13.140625" style="627" hidden="1" customWidth="1"/>
    <col min="68" max="68" width="2.140625" style="627" hidden="1" customWidth="1"/>
    <col min="69" max="69" width="14" style="627" hidden="1" customWidth="1"/>
    <col min="70" max="70" width="2.140625" style="627" customWidth="1"/>
    <col min="71" max="16384" width="9.140625" style="627"/>
  </cols>
  <sheetData>
    <row r="1" spans="1:24">
      <c r="A1" s="632"/>
      <c r="B1" s="779" t="s">
        <v>2429</v>
      </c>
      <c r="C1" s="779"/>
      <c r="D1" s="779"/>
      <c r="E1" s="780"/>
      <c r="F1" s="780"/>
      <c r="G1" s="781"/>
      <c r="H1" s="781"/>
      <c r="I1" s="781"/>
      <c r="J1" s="781"/>
      <c r="K1" s="781"/>
      <c r="L1" s="781"/>
      <c r="M1" s="781"/>
      <c r="N1" s="781"/>
      <c r="O1" s="781"/>
      <c r="P1" s="781"/>
      <c r="Q1" s="781"/>
      <c r="R1" s="781"/>
      <c r="X1" s="637"/>
    </row>
    <row r="2" spans="1:24">
      <c r="A2" s="632"/>
      <c r="B2" s="779" t="s">
        <v>3354</v>
      </c>
      <c r="C2" s="779"/>
      <c r="D2" s="779"/>
      <c r="E2" s="780"/>
      <c r="F2" s="780"/>
      <c r="G2" s="781"/>
      <c r="H2" s="781"/>
      <c r="I2" s="781"/>
      <c r="J2" s="781"/>
      <c r="K2" s="781"/>
      <c r="L2" s="781"/>
      <c r="M2" s="781"/>
      <c r="N2" s="781"/>
      <c r="O2" s="781"/>
      <c r="P2" s="781"/>
      <c r="Q2" s="781"/>
      <c r="R2" s="781"/>
      <c r="X2" s="637"/>
    </row>
    <row r="3" spans="1:24">
      <c r="A3" s="632"/>
      <c r="B3" s="779" t="s">
        <v>2430</v>
      </c>
      <c r="C3" s="779"/>
      <c r="D3" s="779"/>
      <c r="E3" s="780"/>
      <c r="F3" s="780"/>
      <c r="G3" s="781"/>
      <c r="H3" s="781"/>
      <c r="I3" s="781"/>
      <c r="J3" s="781"/>
      <c r="K3" s="781"/>
      <c r="L3" s="781"/>
      <c r="M3" s="781"/>
      <c r="N3" s="781"/>
      <c r="O3" s="781"/>
      <c r="P3" s="781"/>
      <c r="Q3" s="781"/>
      <c r="R3" s="781"/>
      <c r="X3" s="637"/>
    </row>
    <row r="4" spans="1:24">
      <c r="A4" s="632"/>
      <c r="B4" s="632"/>
      <c r="C4" s="782"/>
      <c r="D4" s="782"/>
      <c r="E4" s="783" t="s">
        <v>2431</v>
      </c>
      <c r="F4" s="783"/>
      <c r="G4" s="632"/>
      <c r="H4" s="784" t="s">
        <v>669</v>
      </c>
      <c r="I4" s="784"/>
      <c r="J4" s="632"/>
      <c r="K4" s="783" t="s">
        <v>2432</v>
      </c>
      <c r="L4" s="783"/>
      <c r="M4" s="632"/>
      <c r="N4" s="785" t="s">
        <v>2433</v>
      </c>
      <c r="O4" s="785"/>
      <c r="P4" s="632"/>
      <c r="Q4" s="783" t="s">
        <v>792</v>
      </c>
      <c r="R4" s="783"/>
      <c r="T4" s="627" t="s">
        <v>2657</v>
      </c>
      <c r="X4" s="637"/>
    </row>
    <row r="5" spans="1:24" ht="16.5">
      <c r="A5" s="632"/>
      <c r="B5" s="632"/>
      <c r="C5" s="632"/>
      <c r="D5" s="632"/>
      <c r="E5" s="786" t="s">
        <v>2434</v>
      </c>
      <c r="F5" s="786" t="s">
        <v>2435</v>
      </c>
      <c r="G5" s="632"/>
      <c r="H5" s="787" t="s">
        <v>2434</v>
      </c>
      <c r="I5" s="787" t="s">
        <v>2435</v>
      </c>
      <c r="J5" s="632"/>
      <c r="K5" s="786" t="s">
        <v>2434</v>
      </c>
      <c r="L5" s="786" t="s">
        <v>2435</v>
      </c>
      <c r="M5" s="632"/>
      <c r="N5" s="788" t="s">
        <v>2434</v>
      </c>
      <c r="O5" s="788" t="s">
        <v>2435</v>
      </c>
      <c r="P5" s="632"/>
      <c r="Q5" s="786" t="s">
        <v>2434</v>
      </c>
      <c r="R5" s="786" t="s">
        <v>2435</v>
      </c>
      <c r="T5" s="627" t="s">
        <v>2546</v>
      </c>
      <c r="U5" s="627" t="s">
        <v>2547</v>
      </c>
      <c r="V5" s="627" t="s">
        <v>2548</v>
      </c>
      <c r="W5" s="627" t="s">
        <v>792</v>
      </c>
      <c r="X5" s="637" t="s">
        <v>504</v>
      </c>
    </row>
    <row r="6" spans="1:24">
      <c r="C6" s="631"/>
      <c r="D6" s="632"/>
      <c r="E6" s="273"/>
      <c r="F6" s="273"/>
      <c r="H6" s="633"/>
      <c r="I6" s="633"/>
      <c r="N6" s="634"/>
      <c r="O6" s="634"/>
      <c r="Q6" s="273"/>
      <c r="R6" s="273"/>
      <c r="X6" s="637"/>
    </row>
    <row r="7" spans="1:24">
      <c r="B7" s="795" t="s">
        <v>596</v>
      </c>
      <c r="C7" s="631"/>
      <c r="D7" s="632"/>
      <c r="E7" s="273"/>
      <c r="F7" s="273"/>
      <c r="H7" s="633"/>
      <c r="I7" s="633"/>
      <c r="N7" s="634"/>
      <c r="O7" s="634"/>
      <c r="Q7" s="273"/>
      <c r="R7" s="273"/>
      <c r="X7" s="637"/>
    </row>
    <row r="8" spans="1:24">
      <c r="B8" s="632"/>
      <c r="C8" s="796" t="s">
        <v>2436</v>
      </c>
      <c r="D8" s="632"/>
      <c r="E8" s="273"/>
      <c r="F8" s="273"/>
      <c r="H8" s="633"/>
      <c r="I8" s="633"/>
      <c r="N8" s="634"/>
      <c r="O8" s="634"/>
      <c r="Q8" s="273"/>
      <c r="R8" s="273"/>
      <c r="X8" s="637"/>
    </row>
    <row r="9" spans="1:24">
      <c r="B9" s="797"/>
      <c r="C9" s="631" t="s">
        <v>2022</v>
      </c>
      <c r="D9" s="632"/>
      <c r="E9" s="773"/>
      <c r="F9" s="1096">
        <v>609242</v>
      </c>
      <c r="G9" s="789"/>
      <c r="H9" s="789"/>
      <c r="I9" s="789"/>
      <c r="J9" s="789"/>
      <c r="K9" s="789"/>
      <c r="L9" s="789"/>
      <c r="M9" s="789"/>
      <c r="N9" s="789"/>
      <c r="O9" s="789"/>
      <c r="P9" s="789"/>
      <c r="Q9" s="789"/>
      <c r="R9" s="789">
        <f>+O9+L9+I9+F9</f>
        <v>609242</v>
      </c>
      <c r="X9" s="637"/>
    </row>
    <row r="10" spans="1:24">
      <c r="B10" s="795" t="s">
        <v>202</v>
      </c>
      <c r="C10" s="631"/>
      <c r="D10" s="632"/>
      <c r="E10" s="790"/>
      <c r="F10" s="790"/>
      <c r="G10" s="791"/>
      <c r="H10" s="791"/>
      <c r="I10" s="791"/>
      <c r="J10" s="791"/>
      <c r="K10" s="791"/>
      <c r="L10" s="791"/>
      <c r="M10" s="791"/>
      <c r="N10" s="791"/>
      <c r="O10" s="791"/>
      <c r="P10" s="791"/>
      <c r="Q10" s="773"/>
      <c r="R10" s="773"/>
      <c r="X10" s="637"/>
    </row>
    <row r="11" spans="1:24">
      <c r="B11" s="795"/>
      <c r="C11" s="796" t="s">
        <v>693</v>
      </c>
      <c r="D11" s="632"/>
      <c r="E11" s="790"/>
      <c r="F11" s="790"/>
      <c r="G11" s="791"/>
      <c r="H11" s="791"/>
      <c r="I11" s="791"/>
      <c r="J11" s="791"/>
      <c r="K11" s="791"/>
      <c r="L11" s="791"/>
      <c r="M11" s="791"/>
      <c r="N11" s="791"/>
      <c r="O11" s="791"/>
      <c r="P11" s="791"/>
      <c r="Q11" s="773"/>
      <c r="R11" s="773"/>
      <c r="X11" s="637"/>
    </row>
    <row r="12" spans="1:24">
      <c r="B12" s="797"/>
      <c r="C12" s="631" t="s">
        <v>2021</v>
      </c>
      <c r="D12" s="632"/>
      <c r="E12" s="1096">
        <v>3916152</v>
      </c>
      <c r="F12" s="789"/>
      <c r="G12" s="789"/>
      <c r="H12" s="789"/>
      <c r="I12" s="789"/>
      <c r="J12" s="789"/>
      <c r="K12" s="789"/>
      <c r="L12" s="789"/>
      <c r="M12" s="789"/>
      <c r="N12" s="789"/>
      <c r="O12" s="789"/>
      <c r="P12" s="789"/>
      <c r="Q12" s="789">
        <f>+N12+K12+H12+E12</f>
        <v>3916152</v>
      </c>
      <c r="R12" s="773"/>
      <c r="X12" s="637"/>
    </row>
    <row r="13" spans="1:24">
      <c r="B13" s="797"/>
      <c r="C13" s="631" t="s">
        <v>2437</v>
      </c>
      <c r="D13" s="632"/>
      <c r="E13" s="1097">
        <v>0</v>
      </c>
      <c r="F13" s="1097">
        <v>22885</v>
      </c>
      <c r="G13" s="773"/>
      <c r="H13" s="773">
        <v>0</v>
      </c>
      <c r="I13" s="773"/>
      <c r="J13" s="773"/>
      <c r="K13" s="773"/>
      <c r="L13" s="773"/>
      <c r="M13" s="773"/>
      <c r="N13" s="773"/>
      <c r="O13" s="773"/>
      <c r="P13" s="773"/>
      <c r="Q13" s="773">
        <f>+N13+K13+H13+E13</f>
        <v>0</v>
      </c>
      <c r="R13" s="773">
        <f>+O13+L13+I13+F13</f>
        <v>22885</v>
      </c>
      <c r="X13" s="637"/>
    </row>
    <row r="14" spans="1:24">
      <c r="B14" s="797"/>
      <c r="C14" s="1132" t="s">
        <v>3238</v>
      </c>
      <c r="D14" s="632"/>
      <c r="E14" s="773"/>
      <c r="F14" s="1097">
        <v>2281409</v>
      </c>
      <c r="G14" s="773"/>
      <c r="H14" s="773"/>
      <c r="I14" s="773"/>
      <c r="J14" s="773"/>
      <c r="K14" s="773"/>
      <c r="L14" s="773"/>
      <c r="M14" s="773"/>
      <c r="N14" s="773"/>
      <c r="O14" s="773"/>
      <c r="P14" s="773"/>
      <c r="Q14" s="773"/>
      <c r="R14" s="773">
        <f>+O14+L14+I14+F14</f>
        <v>2281409</v>
      </c>
      <c r="X14" s="637"/>
    </row>
    <row r="15" spans="1:24">
      <c r="B15" s="795"/>
      <c r="C15" s="796"/>
      <c r="D15" s="798" t="s">
        <v>2653</v>
      </c>
      <c r="E15" s="774"/>
      <c r="F15" s="771">
        <f>+E12+E13-F13-F14</f>
        <v>1611858</v>
      </c>
      <c r="G15" s="773"/>
      <c r="H15" s="773"/>
      <c r="I15" s="771">
        <f>+H12+H13-I13-I14</f>
        <v>0</v>
      </c>
      <c r="J15" s="773"/>
      <c r="K15" s="773"/>
      <c r="L15" s="771">
        <f>+K12+K13-L13-L14</f>
        <v>0</v>
      </c>
      <c r="M15" s="773"/>
      <c r="N15" s="773"/>
      <c r="O15" s="771">
        <f>+N12+N13-O13-O14</f>
        <v>0</v>
      </c>
      <c r="P15" s="773"/>
      <c r="Q15" s="774"/>
      <c r="R15" s="771">
        <f>+Q12+Q13-R13-R14</f>
        <v>1611858</v>
      </c>
      <c r="X15" s="637"/>
    </row>
    <row r="16" spans="1:24" ht="15.75" thickBot="1">
      <c r="B16" s="795"/>
      <c r="C16" s="796"/>
      <c r="D16" s="798" t="s">
        <v>2654</v>
      </c>
      <c r="E16" s="774"/>
      <c r="F16" s="792">
        <f>+F9-F15</f>
        <v>-1002616</v>
      </c>
      <c r="G16" s="773"/>
      <c r="H16" s="773"/>
      <c r="I16" s="792">
        <f>+I9-I15</f>
        <v>0</v>
      </c>
      <c r="J16" s="773"/>
      <c r="K16" s="773"/>
      <c r="L16" s="792">
        <f>+L9-L15</f>
        <v>0</v>
      </c>
      <c r="M16" s="773"/>
      <c r="N16" s="773"/>
      <c r="O16" s="792">
        <f>+O9-O15</f>
        <v>0</v>
      </c>
      <c r="P16" s="773"/>
      <c r="Q16" s="774"/>
      <c r="R16" s="792">
        <f>+R9-R15</f>
        <v>-1002616</v>
      </c>
      <c r="X16" s="637"/>
    </row>
    <row r="17" spans="1:46" ht="15.75" thickTop="1">
      <c r="B17" s="795"/>
      <c r="C17" s="796"/>
      <c r="D17" s="632"/>
      <c r="E17" s="774"/>
      <c r="F17" s="793"/>
      <c r="G17" s="773"/>
      <c r="H17" s="773"/>
      <c r="I17" s="793"/>
      <c r="J17" s="773"/>
      <c r="K17" s="773"/>
      <c r="L17" s="793"/>
      <c r="M17" s="773"/>
      <c r="N17" s="773"/>
      <c r="O17" s="793"/>
      <c r="P17" s="773"/>
      <c r="Q17" s="774"/>
      <c r="R17" s="793"/>
      <c r="X17" s="637"/>
    </row>
    <row r="18" spans="1:46">
      <c r="B18" s="632"/>
      <c r="C18" s="632"/>
      <c r="E18" s="773"/>
      <c r="F18" s="773"/>
      <c r="G18" s="773"/>
      <c r="H18" s="773"/>
      <c r="I18" s="773"/>
      <c r="J18" s="773"/>
      <c r="K18" s="773"/>
      <c r="L18" s="773"/>
      <c r="M18" s="773"/>
      <c r="N18" s="773"/>
      <c r="O18" s="773"/>
      <c r="P18" s="773"/>
      <c r="Q18" s="773"/>
      <c r="R18" s="773"/>
      <c r="X18" s="637"/>
    </row>
    <row r="19" spans="1:46">
      <c r="B19" s="795" t="s">
        <v>941</v>
      </c>
      <c r="C19" s="631"/>
      <c r="E19" s="773"/>
      <c r="F19" s="773"/>
      <c r="G19" s="773"/>
      <c r="H19" s="773"/>
      <c r="I19" s="773"/>
      <c r="J19" s="773"/>
      <c r="K19" s="773"/>
      <c r="L19" s="773"/>
      <c r="M19" s="773"/>
      <c r="N19" s="773"/>
      <c r="O19" s="773"/>
      <c r="P19" s="773"/>
      <c r="Q19" s="773"/>
      <c r="R19" s="773"/>
      <c r="X19" s="637"/>
    </row>
    <row r="20" spans="1:46" ht="15.75">
      <c r="B20" s="797"/>
      <c r="C20" s="631" t="s">
        <v>2023</v>
      </c>
      <c r="D20" s="632"/>
      <c r="E20" s="773"/>
      <c r="F20" s="1095">
        <v>29286469</v>
      </c>
      <c r="G20" s="272"/>
      <c r="H20" s="871"/>
      <c r="I20" s="870"/>
      <c r="J20" s="272"/>
      <c r="K20" s="871"/>
      <c r="L20" s="870"/>
      <c r="M20" s="272"/>
      <c r="N20" s="871"/>
      <c r="O20" s="870"/>
      <c r="P20" s="789"/>
      <c r="Q20" s="789"/>
      <c r="R20" s="789">
        <f>+O20+L20+I20+F20</f>
        <v>29286469</v>
      </c>
      <c r="S20" s="632"/>
      <c r="T20" s="673">
        <v>19523377</v>
      </c>
      <c r="U20" s="673">
        <v>9648587</v>
      </c>
      <c r="V20" s="673">
        <v>114505</v>
      </c>
      <c r="W20" s="673">
        <f>SUM(T20:V20)</f>
        <v>29286469</v>
      </c>
      <c r="X20" s="673">
        <f>+W20-R20</f>
        <v>0</v>
      </c>
      <c r="AC20" s="1312" t="s">
        <v>2551</v>
      </c>
      <c r="AD20" s="1312"/>
      <c r="AE20" s="1312"/>
      <c r="AF20" s="1312"/>
      <c r="AG20" s="1312"/>
      <c r="AH20" s="1312"/>
      <c r="AI20" s="1312"/>
      <c r="AJ20" s="1312"/>
      <c r="AK20" s="1312"/>
    </row>
    <row r="21" spans="1:46" ht="15.75">
      <c r="B21" s="797"/>
      <c r="C21" s="631"/>
      <c r="D21" s="632"/>
      <c r="E21" s="773"/>
      <c r="F21" s="773"/>
      <c r="G21" s="773"/>
      <c r="H21" s="773"/>
      <c r="I21" s="773"/>
      <c r="J21" s="773"/>
      <c r="K21" s="773"/>
      <c r="L21" s="773"/>
      <c r="M21" s="773"/>
      <c r="N21" s="773"/>
      <c r="O21" s="773"/>
      <c r="P21" s="773"/>
      <c r="Q21" s="773"/>
      <c r="R21" s="773"/>
      <c r="S21" s="632"/>
      <c r="AC21" s="1196"/>
      <c r="AD21" s="1196"/>
      <c r="AE21" s="1196"/>
      <c r="AF21" s="1196"/>
      <c r="AG21" s="1196"/>
      <c r="AH21" s="1196"/>
      <c r="AI21" s="1196"/>
      <c r="AJ21" s="1196"/>
      <c r="AK21" s="1196"/>
      <c r="AO21" s="632"/>
      <c r="AQ21" s="632"/>
      <c r="AS21" s="632"/>
    </row>
    <row r="22" spans="1:46" ht="15.75">
      <c r="B22" s="795" t="s">
        <v>1817</v>
      </c>
      <c r="C22" s="796"/>
      <c r="D22" s="632"/>
      <c r="E22" s="774"/>
      <c r="F22" s="774"/>
      <c r="G22" s="773"/>
      <c r="H22" s="773"/>
      <c r="I22" s="773"/>
      <c r="J22" s="773"/>
      <c r="K22" s="773"/>
      <c r="L22" s="773"/>
      <c r="M22" s="773"/>
      <c r="N22" s="773"/>
      <c r="O22" s="773"/>
      <c r="P22" s="773"/>
      <c r="Q22" s="773"/>
      <c r="R22" s="773"/>
      <c r="S22" s="632"/>
      <c r="AC22" s="1196"/>
      <c r="AD22" s="1197"/>
      <c r="AE22" s="1198" t="s">
        <v>2546</v>
      </c>
      <c r="AF22" s="1197"/>
      <c r="AG22" s="1198" t="s">
        <v>2547</v>
      </c>
      <c r="AH22" s="1197"/>
      <c r="AI22" s="1198" t="s">
        <v>2548</v>
      </c>
      <c r="AJ22" s="1197"/>
      <c r="AK22" s="1198" t="s">
        <v>2550</v>
      </c>
      <c r="AN22" s="661"/>
      <c r="AO22" s="730"/>
      <c r="AP22" s="661"/>
      <c r="AQ22" s="730"/>
      <c r="AR22" s="731"/>
      <c r="AS22" s="730"/>
      <c r="AT22" s="731" t="s">
        <v>2555</v>
      </c>
    </row>
    <row r="23" spans="1:46" ht="15.75">
      <c r="B23" s="797"/>
      <c r="C23" s="1133" t="s">
        <v>3239</v>
      </c>
      <c r="D23" s="632"/>
      <c r="E23" s="1096">
        <v>2281409</v>
      </c>
      <c r="F23" s="789"/>
      <c r="G23" s="789"/>
      <c r="H23" s="789"/>
      <c r="I23" s="789"/>
      <c r="J23" s="789"/>
      <c r="K23" s="789"/>
      <c r="L23" s="789"/>
      <c r="M23" s="789"/>
      <c r="N23" s="789"/>
      <c r="O23" s="789"/>
      <c r="P23" s="789"/>
      <c r="Q23" s="789">
        <f>+N23+K23+H23+E23</f>
        <v>2281409</v>
      </c>
      <c r="R23" s="773"/>
      <c r="S23" s="632"/>
      <c r="AC23" s="1196"/>
      <c r="AD23" s="1197"/>
      <c r="AE23" s="1197"/>
      <c r="AF23" s="1197"/>
      <c r="AG23" s="1197"/>
      <c r="AH23" s="1197"/>
      <c r="AI23" s="1197"/>
      <c r="AJ23" s="1197"/>
      <c r="AK23" s="1197"/>
      <c r="AN23" s="661"/>
      <c r="AO23" s="730"/>
      <c r="AP23" s="661"/>
      <c r="AQ23" s="730"/>
      <c r="AR23" s="731"/>
      <c r="AS23" s="730"/>
      <c r="AT23" s="731" t="s">
        <v>2556</v>
      </c>
    </row>
    <row r="24" spans="1:46" ht="15.75">
      <c r="B24" s="797"/>
      <c r="C24" s="631" t="s">
        <v>2664</v>
      </c>
      <c r="E24" s="1097">
        <v>1587708</v>
      </c>
      <c r="F24" s="773"/>
      <c r="G24" s="773"/>
      <c r="H24" s="773"/>
      <c r="I24" s="773"/>
      <c r="J24" s="773"/>
      <c r="K24" s="773"/>
      <c r="L24" s="773"/>
      <c r="M24" s="773"/>
      <c r="N24" s="773"/>
      <c r="O24" s="773"/>
      <c r="P24" s="773"/>
      <c r="Q24" s="773">
        <f>+N24+K24+H24+E24</f>
        <v>1587708</v>
      </c>
      <c r="R24" s="773"/>
      <c r="S24" s="632"/>
      <c r="AC24" s="1196" t="s">
        <v>2545</v>
      </c>
      <c r="AD24" s="1197"/>
      <c r="AE24" s="1199">
        <v>74113464</v>
      </c>
      <c r="AF24" s="1197"/>
      <c r="AG24" s="1199">
        <v>42077107</v>
      </c>
      <c r="AH24" s="1197"/>
      <c r="AI24" s="1199">
        <v>389554</v>
      </c>
      <c r="AJ24" s="1197"/>
      <c r="AK24" s="1199">
        <f>SUM(AE24:AI24)</f>
        <v>116580125</v>
      </c>
      <c r="AN24" s="661"/>
      <c r="AO24" s="730"/>
      <c r="AP24" s="731" t="s">
        <v>2554</v>
      </c>
      <c r="AQ24" s="730"/>
      <c r="AR24" s="731" t="s">
        <v>2472</v>
      </c>
      <c r="AS24" s="730"/>
      <c r="AT24" s="731" t="s">
        <v>2557</v>
      </c>
    </row>
    <row r="25" spans="1:46" ht="15.75">
      <c r="B25" s="797"/>
      <c r="C25" s="631" t="s">
        <v>2661</v>
      </c>
      <c r="D25" s="632"/>
      <c r="E25" s="1097">
        <v>986010</v>
      </c>
      <c r="F25" s="773"/>
      <c r="G25" s="773"/>
      <c r="H25" s="773"/>
      <c r="I25" s="773"/>
      <c r="J25" s="773"/>
      <c r="K25" s="773"/>
      <c r="L25" s="773"/>
      <c r="M25" s="773"/>
      <c r="N25" s="773"/>
      <c r="O25" s="773"/>
      <c r="P25" s="773"/>
      <c r="Q25" s="773">
        <f>+N25+K25+H25+E25</f>
        <v>986010</v>
      </c>
      <c r="R25" s="773"/>
      <c r="S25" s="632"/>
      <c r="AC25" s="1196" t="s">
        <v>3299</v>
      </c>
      <c r="AD25" s="1197"/>
      <c r="AE25" s="1200">
        <v>54590087</v>
      </c>
      <c r="AF25" s="1197"/>
      <c r="AG25" s="1200">
        <v>32428520</v>
      </c>
      <c r="AH25" s="1197"/>
      <c r="AI25" s="1200">
        <v>275049</v>
      </c>
      <c r="AJ25" s="1197"/>
      <c r="AK25" s="1200">
        <f>SUM(AE25:AI25)</f>
        <v>87293656</v>
      </c>
      <c r="AN25" s="735" t="s">
        <v>2553</v>
      </c>
      <c r="AO25" s="730"/>
      <c r="AP25" s="735" t="s">
        <v>2725</v>
      </c>
      <c r="AQ25" s="730"/>
      <c r="AR25" s="735" t="s">
        <v>2725</v>
      </c>
      <c r="AS25" s="730"/>
      <c r="AT25" s="735" t="s">
        <v>2558</v>
      </c>
    </row>
    <row r="26" spans="1:46" ht="16.5" thickBot="1">
      <c r="A26" s="641" t="s">
        <v>2637</v>
      </c>
      <c r="B26" s="797"/>
      <c r="C26" s="631" t="s">
        <v>2666</v>
      </c>
      <c r="D26" s="632"/>
      <c r="E26" s="1097">
        <v>836444</v>
      </c>
      <c r="F26" s="773"/>
      <c r="G26" s="773"/>
      <c r="H26" s="773"/>
      <c r="I26" s="773"/>
      <c r="J26" s="773"/>
      <c r="K26" s="773"/>
      <c r="L26" s="773"/>
      <c r="M26" s="773"/>
      <c r="N26" s="773"/>
      <c r="O26" s="773"/>
      <c r="P26" s="773"/>
      <c r="Q26" s="773">
        <f>+N26+K26+H26+E26</f>
        <v>836444</v>
      </c>
      <c r="R26" s="773"/>
      <c r="S26" s="632"/>
      <c r="AC26" s="1196" t="s">
        <v>2068</v>
      </c>
      <c r="AD26" s="1197"/>
      <c r="AE26" s="1201">
        <f>AE24-AE25</f>
        <v>19523377</v>
      </c>
      <c r="AF26" s="1197"/>
      <c r="AG26" s="1201">
        <f>AG24-AG25</f>
        <v>9648587</v>
      </c>
      <c r="AH26" s="1197"/>
      <c r="AI26" s="1201">
        <f>AI24-AI25</f>
        <v>114505</v>
      </c>
      <c r="AJ26" s="1197"/>
      <c r="AK26" s="1201">
        <f>AK24-AK25</f>
        <v>29286469</v>
      </c>
      <c r="AN26" s="731">
        <v>2021</v>
      </c>
      <c r="AO26" s="730"/>
      <c r="AP26" s="736">
        <v>758</v>
      </c>
      <c r="AQ26" s="730"/>
      <c r="AR26" s="736">
        <v>4719</v>
      </c>
      <c r="AS26" s="730"/>
      <c r="AT26" s="736">
        <v>-3961</v>
      </c>
    </row>
    <row r="27" spans="1:46" ht="16.5" thickTop="1">
      <c r="B27" s="797"/>
      <c r="C27" s="631" t="s">
        <v>2663</v>
      </c>
      <c r="D27" s="632"/>
      <c r="E27" s="1097">
        <v>2122784</v>
      </c>
      <c r="F27" s="773"/>
      <c r="G27" s="773"/>
      <c r="H27" s="773"/>
      <c r="I27" s="773"/>
      <c r="J27" s="773"/>
      <c r="K27" s="773"/>
      <c r="L27" s="773"/>
      <c r="M27" s="773"/>
      <c r="N27" s="773"/>
      <c r="O27" s="773"/>
      <c r="P27" s="773"/>
      <c r="Q27" s="773">
        <f>+N27+K27+H27+E27</f>
        <v>2122784</v>
      </c>
      <c r="R27" s="773"/>
      <c r="S27" s="632"/>
      <c r="AC27" s="1196"/>
      <c r="AD27" s="1197"/>
      <c r="AE27" s="1197"/>
      <c r="AF27" s="1197"/>
      <c r="AG27" s="1197"/>
      <c r="AH27" s="1197"/>
      <c r="AI27" s="1197"/>
      <c r="AJ27" s="1197"/>
      <c r="AK27" s="1197"/>
      <c r="AN27" s="731">
        <v>2022</v>
      </c>
      <c r="AO27" s="730"/>
      <c r="AP27" s="736">
        <v>2663</v>
      </c>
      <c r="AQ27" s="730"/>
      <c r="AR27" s="736">
        <v>2441</v>
      </c>
      <c r="AS27" s="730"/>
      <c r="AT27" s="736">
        <v>222</v>
      </c>
    </row>
    <row r="28" spans="1:46" ht="15.75">
      <c r="B28" s="632"/>
      <c r="C28" s="632"/>
      <c r="D28" s="798" t="s">
        <v>2652</v>
      </c>
      <c r="E28" s="771">
        <f>SUM(E23:E27)</f>
        <v>7814355</v>
      </c>
      <c r="F28" s="773"/>
      <c r="G28" s="773"/>
      <c r="H28" s="771">
        <f>SUM(H23:H27)</f>
        <v>0</v>
      </c>
      <c r="I28" s="773"/>
      <c r="J28" s="773"/>
      <c r="K28" s="771">
        <f>SUM(K23:K27)</f>
        <v>0</v>
      </c>
      <c r="L28" s="773"/>
      <c r="M28" s="773"/>
      <c r="N28" s="771">
        <f>SUM(N23:N27)</f>
        <v>0</v>
      </c>
      <c r="O28" s="773"/>
      <c r="P28" s="773"/>
      <c r="Q28" s="771">
        <f>SUM(Q23:Q27)</f>
        <v>7814355</v>
      </c>
      <c r="R28" s="773"/>
      <c r="S28" s="632"/>
      <c r="T28" s="673">
        <f>1784906+1312686</f>
        <v>3097592</v>
      </c>
      <c r="U28" s="673">
        <f>3736901+960313</f>
        <v>4697214</v>
      </c>
      <c r="V28" s="673">
        <v>19549</v>
      </c>
      <c r="W28" s="673">
        <f>SUM(T28:V28)</f>
        <v>7814355</v>
      </c>
      <c r="X28" s="673">
        <f>+W28-Q28</f>
        <v>0</v>
      </c>
      <c r="AC28" s="1196" t="s">
        <v>2780</v>
      </c>
      <c r="AD28" s="1197"/>
      <c r="AE28" s="1199">
        <f>+T28</f>
        <v>3097592</v>
      </c>
      <c r="AF28" s="1197"/>
      <c r="AG28" s="1199">
        <f>+U28</f>
        <v>4697214</v>
      </c>
      <c r="AH28" s="1197"/>
      <c r="AI28" s="1199">
        <f>+V28</f>
        <v>19549</v>
      </c>
      <c r="AJ28" s="1197"/>
      <c r="AK28" s="1199">
        <f>SUM(AE28:AI28)</f>
        <v>7814355</v>
      </c>
      <c r="AN28" s="731">
        <v>2023</v>
      </c>
      <c r="AO28" s="730"/>
      <c r="AP28" s="736">
        <v>1220</v>
      </c>
      <c r="AQ28" s="730"/>
      <c r="AR28" s="736">
        <v>0</v>
      </c>
      <c r="AS28" s="730"/>
      <c r="AT28" s="736">
        <v>1220</v>
      </c>
    </row>
    <row r="29" spans="1:46" ht="15.75">
      <c r="B29" s="632"/>
      <c r="C29" s="632"/>
      <c r="E29" s="773"/>
      <c r="F29" s="773"/>
      <c r="G29" s="773"/>
      <c r="H29" s="773"/>
      <c r="I29" s="773"/>
      <c r="J29" s="773"/>
      <c r="K29" s="773"/>
      <c r="L29" s="773"/>
      <c r="M29" s="773"/>
      <c r="N29" s="773"/>
      <c r="O29" s="773"/>
      <c r="P29" s="773"/>
      <c r="Q29" s="773"/>
      <c r="R29" s="773"/>
      <c r="S29" s="632"/>
      <c r="T29" s="627" t="s">
        <v>2779</v>
      </c>
      <c r="AC29" s="1196" t="s">
        <v>2549</v>
      </c>
      <c r="AD29" s="1197"/>
      <c r="AE29" s="1199">
        <f>+T35</f>
        <v>1429291</v>
      </c>
      <c r="AF29" s="1197"/>
      <c r="AG29" s="1199">
        <f>+U35</f>
        <v>232389</v>
      </c>
      <c r="AH29" s="1197"/>
      <c r="AI29" s="1199">
        <f>+V35</f>
        <v>11751</v>
      </c>
      <c r="AJ29" s="1197"/>
      <c r="AK29" s="1199">
        <f>SUM(AE29:AI29)</f>
        <v>1673431</v>
      </c>
      <c r="AN29" s="731">
        <v>2024</v>
      </c>
      <c r="AO29" s="730"/>
      <c r="AP29" s="736">
        <v>0</v>
      </c>
      <c r="AQ29" s="730"/>
      <c r="AR29" s="736">
        <v>1724</v>
      </c>
      <c r="AS29" s="730"/>
      <c r="AT29" s="736">
        <v>-1724</v>
      </c>
    </row>
    <row r="30" spans="1:46" ht="15.75">
      <c r="B30" s="795" t="s">
        <v>1815</v>
      </c>
      <c r="C30" s="631"/>
      <c r="E30" s="773"/>
      <c r="F30" s="773"/>
      <c r="G30" s="773"/>
      <c r="H30" s="773"/>
      <c r="I30" s="773"/>
      <c r="J30" s="773"/>
      <c r="K30" s="773"/>
      <c r="L30" s="773"/>
      <c r="M30" s="773"/>
      <c r="N30" s="773"/>
      <c r="O30" s="773"/>
      <c r="P30" s="773"/>
      <c r="Q30" s="773"/>
      <c r="R30" s="773"/>
      <c r="S30" s="632"/>
      <c r="AC30" s="1196"/>
      <c r="AD30" s="1197"/>
      <c r="AE30" s="1202"/>
      <c r="AF30" s="1197"/>
      <c r="AG30" s="1202"/>
      <c r="AH30" s="1197"/>
      <c r="AI30" s="1202"/>
      <c r="AJ30" s="1197"/>
      <c r="AK30" s="1202"/>
      <c r="AN30" s="731">
        <v>2025</v>
      </c>
      <c r="AO30" s="730"/>
      <c r="AP30" s="736">
        <v>0</v>
      </c>
      <c r="AQ30" s="730"/>
      <c r="AR30" s="736">
        <v>0</v>
      </c>
      <c r="AS30" s="730"/>
      <c r="AT30" s="736">
        <v>0</v>
      </c>
    </row>
    <row r="31" spans="1:46" ht="15.75">
      <c r="B31" s="797"/>
      <c r="C31" s="631" t="s">
        <v>2651</v>
      </c>
      <c r="D31" s="632"/>
      <c r="E31" s="773"/>
      <c r="F31" s="1096">
        <v>1672147</v>
      </c>
      <c r="G31" s="789"/>
      <c r="H31" s="789"/>
      <c r="I31" s="789"/>
      <c r="J31" s="789"/>
      <c r="K31" s="789"/>
      <c r="L31" s="789"/>
      <c r="M31" s="789"/>
      <c r="N31" s="789"/>
      <c r="O31" s="789"/>
      <c r="P31" s="789"/>
      <c r="Q31" s="789"/>
      <c r="R31" s="789">
        <f>+O31+L31+I31+F31</f>
        <v>1672147</v>
      </c>
      <c r="S31" s="632"/>
      <c r="AC31" s="1196" t="s">
        <v>2025</v>
      </c>
      <c r="AD31" s="1197"/>
      <c r="AE31" s="1199">
        <v>2029936</v>
      </c>
      <c r="AF31" s="1197"/>
      <c r="AG31" s="1199">
        <v>1872354</v>
      </c>
      <c r="AH31" s="1197"/>
      <c r="AI31" s="1199">
        <v>13862</v>
      </c>
      <c r="AJ31" s="1197"/>
      <c r="AK31" s="1199">
        <f>SUM(AE31:AI31)</f>
        <v>3916152</v>
      </c>
      <c r="AN31" s="731" t="s">
        <v>2519</v>
      </c>
      <c r="AO31" s="730"/>
      <c r="AP31" s="736">
        <v>0</v>
      </c>
      <c r="AQ31" s="730"/>
      <c r="AR31" s="736">
        <v>0</v>
      </c>
      <c r="AS31" s="730"/>
      <c r="AT31" s="736">
        <v>0</v>
      </c>
    </row>
    <row r="32" spans="1:46" ht="15.75">
      <c r="B32" s="797"/>
      <c r="C32" s="631" t="s">
        <v>2438</v>
      </c>
      <c r="D32" s="632"/>
      <c r="E32" s="773"/>
      <c r="F32" s="1097">
        <v>0</v>
      </c>
      <c r="G32" s="773"/>
      <c r="H32" s="773"/>
      <c r="I32" s="773"/>
      <c r="J32" s="773"/>
      <c r="K32" s="773"/>
      <c r="L32" s="773"/>
      <c r="M32" s="773"/>
      <c r="N32" s="773"/>
      <c r="O32" s="773"/>
      <c r="P32" s="773"/>
      <c r="Q32" s="773"/>
      <c r="R32" s="789">
        <f>+O32+L32+I32+F32</f>
        <v>0</v>
      </c>
      <c r="S32" s="632"/>
      <c r="AC32" s="1196"/>
      <c r="AD32" s="1197"/>
      <c r="AE32" s="1197"/>
      <c r="AF32" s="1197"/>
      <c r="AG32" s="1197"/>
      <c r="AH32" s="1197"/>
      <c r="AI32" s="1197"/>
      <c r="AJ32" s="1197"/>
      <c r="AK32" s="1197"/>
      <c r="AN32" s="661"/>
      <c r="AO32" s="730"/>
      <c r="AP32" s="661"/>
      <c r="AQ32" s="730"/>
      <c r="AR32" s="661"/>
      <c r="AS32" s="730"/>
      <c r="AT32" s="661"/>
    </row>
    <row r="33" spans="2:63">
      <c r="B33" s="797"/>
      <c r="C33" s="631" t="s">
        <v>2439</v>
      </c>
      <c r="D33" s="632"/>
      <c r="E33" s="774"/>
      <c r="F33" s="1097">
        <v>0</v>
      </c>
      <c r="G33" s="773"/>
      <c r="H33" s="774"/>
      <c r="I33" s="773"/>
      <c r="J33" s="773"/>
      <c r="K33" s="774"/>
      <c r="L33" s="773"/>
      <c r="M33" s="773"/>
      <c r="N33" s="774"/>
      <c r="O33" s="773"/>
      <c r="P33" s="773"/>
      <c r="Q33" s="774"/>
      <c r="R33" s="789">
        <f>+O33+L33+I33+F33</f>
        <v>0</v>
      </c>
      <c r="S33" s="632"/>
    </row>
    <row r="34" spans="2:63">
      <c r="B34" s="797"/>
      <c r="C34" s="631" t="s">
        <v>2440</v>
      </c>
      <c r="D34" s="632"/>
      <c r="E34" s="774"/>
      <c r="F34" s="1097">
        <v>1284</v>
      </c>
      <c r="G34" s="773"/>
      <c r="H34" s="774"/>
      <c r="I34" s="773"/>
      <c r="J34" s="773"/>
      <c r="K34" s="774"/>
      <c r="L34" s="773"/>
      <c r="M34" s="773"/>
      <c r="N34" s="774"/>
      <c r="O34" s="773"/>
      <c r="P34" s="773"/>
      <c r="Q34" s="774"/>
      <c r="R34" s="789">
        <f>+O34+L34+I34+F34</f>
        <v>1284</v>
      </c>
      <c r="S34" s="632"/>
      <c r="BK34" s="627" t="s">
        <v>2703</v>
      </c>
    </row>
    <row r="35" spans="2:63">
      <c r="B35" s="637"/>
      <c r="C35" s="631"/>
      <c r="D35" s="798" t="s">
        <v>2655</v>
      </c>
      <c r="E35" s="771"/>
      <c r="F35" s="771">
        <f>SUM(F31:F34)</f>
        <v>1673431</v>
      </c>
      <c r="G35" s="773"/>
      <c r="H35" s="774"/>
      <c r="I35" s="771">
        <f>SUM(I31:I34)</f>
        <v>0</v>
      </c>
      <c r="J35" s="773"/>
      <c r="K35" s="774"/>
      <c r="L35" s="771">
        <f>SUM(L31:L34)</f>
        <v>0</v>
      </c>
      <c r="M35" s="773"/>
      <c r="N35" s="774"/>
      <c r="O35" s="771">
        <f>SUM(O31:O34)</f>
        <v>0</v>
      </c>
      <c r="P35" s="773"/>
      <c r="Q35" s="771"/>
      <c r="R35" s="771">
        <f>SUM(R31:R34)</f>
        <v>1673431</v>
      </c>
      <c r="S35" s="632"/>
      <c r="T35" s="673">
        <v>1429291</v>
      </c>
      <c r="U35" s="673">
        <v>232389</v>
      </c>
      <c r="V35" s="673">
        <v>11751</v>
      </c>
      <c r="W35" s="673">
        <f>SUM(T35:V35)</f>
        <v>1673431</v>
      </c>
      <c r="X35" s="673">
        <f>+W35-R35</f>
        <v>0</v>
      </c>
    </row>
    <row r="36" spans="2:63">
      <c r="E36" s="773"/>
      <c r="F36" s="773"/>
      <c r="G36" s="773"/>
      <c r="H36" s="773"/>
      <c r="I36" s="773"/>
      <c r="J36" s="773"/>
      <c r="K36" s="773"/>
      <c r="L36" s="773"/>
      <c r="M36" s="773"/>
      <c r="N36" s="773"/>
      <c r="O36" s="773"/>
      <c r="P36" s="773"/>
      <c r="Q36" s="773"/>
      <c r="R36" s="773"/>
      <c r="S36" s="632"/>
    </row>
    <row r="37" spans="2:63">
      <c r="C37" s="632"/>
      <c r="D37" s="642" t="s">
        <v>2656</v>
      </c>
      <c r="E37" s="771">
        <f>+E20+E28+E35</f>
        <v>7814355</v>
      </c>
      <c r="F37" s="771">
        <f>+F20+F28+F35</f>
        <v>30959900</v>
      </c>
      <c r="G37" s="773"/>
      <c r="H37" s="771">
        <f>+H20+H28+H35</f>
        <v>0</v>
      </c>
      <c r="I37" s="771">
        <f>+I20+I28+I35</f>
        <v>0</v>
      </c>
      <c r="J37" s="773"/>
      <c r="K37" s="771">
        <f>+K20+K28+K35</f>
        <v>0</v>
      </c>
      <c r="L37" s="771">
        <f>+L20+L28+L35</f>
        <v>0</v>
      </c>
      <c r="M37" s="773"/>
      <c r="N37" s="771">
        <f>+N20+N28+N35</f>
        <v>0</v>
      </c>
      <c r="O37" s="771">
        <f>+O20+O28+O35</f>
        <v>0</v>
      </c>
      <c r="P37" s="773"/>
      <c r="Q37" s="771">
        <f>+Q20+Q28+Q35</f>
        <v>7814355</v>
      </c>
      <c r="R37" s="771">
        <f>+R20+R28+R35</f>
        <v>30959900</v>
      </c>
      <c r="S37" s="632"/>
    </row>
    <row r="38" spans="2:63" ht="15.75" thickBot="1">
      <c r="B38" s="644"/>
      <c r="C38" s="645"/>
      <c r="D38" s="645"/>
      <c r="E38" s="772"/>
      <c r="F38" s="772">
        <f>+F37-E37</f>
        <v>23145545</v>
      </c>
      <c r="G38" s="772"/>
      <c r="H38" s="772"/>
      <c r="I38" s="772">
        <f>+H37-I37</f>
        <v>0</v>
      </c>
      <c r="J38" s="772"/>
      <c r="K38" s="772"/>
      <c r="L38" s="772">
        <f>+K37-L37</f>
        <v>0</v>
      </c>
      <c r="M38" s="772"/>
      <c r="N38" s="772"/>
      <c r="O38" s="772">
        <f>+N37-O37</f>
        <v>0</v>
      </c>
      <c r="P38" s="772"/>
      <c r="Q38" s="772"/>
      <c r="R38" s="772">
        <f>+R37-Q37</f>
        <v>23145545</v>
      </c>
      <c r="S38" s="632"/>
    </row>
    <row r="39" spans="2:63" ht="15.75" thickBot="1">
      <c r="B39" s="644"/>
      <c r="C39" s="647"/>
      <c r="D39" s="644"/>
      <c r="E39" s="775"/>
      <c r="F39" s="775"/>
      <c r="G39" s="776"/>
      <c r="H39" s="776"/>
      <c r="I39" s="776"/>
      <c r="J39" s="776"/>
      <c r="K39" s="776"/>
      <c r="L39" s="776"/>
      <c r="M39" s="776"/>
      <c r="N39" s="776"/>
      <c r="O39" s="776"/>
      <c r="P39" s="776"/>
      <c r="Q39" s="775"/>
      <c r="R39" s="775"/>
      <c r="S39" s="632"/>
    </row>
    <row r="40" spans="2:63">
      <c r="D40" s="642" t="s">
        <v>2650</v>
      </c>
      <c r="E40" s="773" t="s">
        <v>2441</v>
      </c>
      <c r="F40" s="773">
        <v>-18839417</v>
      </c>
      <c r="G40" s="773"/>
      <c r="H40" s="773"/>
      <c r="I40" s="773">
        <v>-329716</v>
      </c>
      <c r="J40" s="773"/>
      <c r="K40" s="773"/>
      <c r="L40" s="773">
        <v>-369975</v>
      </c>
      <c r="M40" s="773"/>
      <c r="N40" s="773"/>
      <c r="O40" s="773">
        <v>-2417172</v>
      </c>
      <c r="P40" s="773"/>
      <c r="Q40" s="773"/>
      <c r="R40" s="773">
        <f t="shared" ref="R40:T49" si="0">+O40+L40+I40+F40</f>
        <v>-21956280</v>
      </c>
      <c r="S40" s="632"/>
      <c r="AE40" s="731" t="s">
        <v>2554</v>
      </c>
      <c r="AG40" s="731" t="s">
        <v>2472</v>
      </c>
    </row>
    <row r="41" spans="2:63">
      <c r="D41" s="648"/>
      <c r="E41" s="773" t="s">
        <v>2442</v>
      </c>
      <c r="F41" s="773">
        <v>1014470</v>
      </c>
      <c r="G41" s="773"/>
      <c r="H41" s="773"/>
      <c r="I41" s="773">
        <v>-6890</v>
      </c>
      <c r="J41" s="773"/>
      <c r="K41" s="773"/>
      <c r="L41" s="773">
        <v>17057</v>
      </c>
      <c r="M41" s="773"/>
      <c r="N41" s="773"/>
      <c r="O41" s="773">
        <v>-288939</v>
      </c>
      <c r="P41" s="773"/>
      <c r="Q41" s="773"/>
      <c r="R41" s="773">
        <f t="shared" si="0"/>
        <v>735698</v>
      </c>
      <c r="S41" s="632"/>
      <c r="AE41" s="735" t="s">
        <v>2515</v>
      </c>
      <c r="AG41" s="735" t="s">
        <v>2515</v>
      </c>
    </row>
    <row r="42" spans="2:63">
      <c r="D42" s="648"/>
      <c r="E42" s="773" t="s">
        <v>2444</v>
      </c>
      <c r="F42" s="773">
        <v>-405107</v>
      </c>
      <c r="G42" s="773"/>
      <c r="H42" s="773"/>
      <c r="I42" s="773">
        <v>2992</v>
      </c>
      <c r="J42" s="773"/>
      <c r="K42" s="773"/>
      <c r="L42" s="773">
        <v>48000</v>
      </c>
      <c r="M42" s="773"/>
      <c r="N42" s="773"/>
      <c r="O42" s="773">
        <v>-444733</v>
      </c>
      <c r="P42" s="773"/>
      <c r="Q42" s="773"/>
      <c r="R42" s="773">
        <f t="shared" si="0"/>
        <v>-798848</v>
      </c>
      <c r="S42" s="632"/>
      <c r="AC42" s="632" t="s">
        <v>2559</v>
      </c>
      <c r="AE42" s="736"/>
      <c r="AF42" s="736"/>
      <c r="AG42" s="736"/>
    </row>
    <row r="43" spans="2:63">
      <c r="D43" s="648"/>
      <c r="E43" s="773" t="s">
        <v>2592</v>
      </c>
      <c r="F43" s="773">
        <v>-144366</v>
      </c>
      <c r="G43" s="773"/>
      <c r="H43" s="773"/>
      <c r="I43" s="773">
        <v>-31432</v>
      </c>
      <c r="J43" s="773"/>
      <c r="K43" s="773"/>
      <c r="L43" s="773">
        <v>23228</v>
      </c>
      <c r="M43" s="773"/>
      <c r="N43" s="773"/>
      <c r="O43" s="773">
        <v>-760208</v>
      </c>
      <c r="P43" s="773"/>
      <c r="Q43" s="773"/>
      <c r="R43" s="773">
        <f t="shared" si="0"/>
        <v>-912778</v>
      </c>
      <c r="S43" s="632"/>
      <c r="AC43" s="632"/>
      <c r="AE43" s="736"/>
      <c r="AF43" s="736"/>
      <c r="AG43" s="736"/>
    </row>
    <row r="44" spans="2:63">
      <c r="D44" s="648"/>
      <c r="E44" s="773" t="s">
        <v>2730</v>
      </c>
      <c r="F44" s="773">
        <v>1022985</v>
      </c>
      <c r="G44" s="773"/>
      <c r="H44" s="773"/>
      <c r="I44" s="773">
        <v>28888</v>
      </c>
      <c r="J44" s="773"/>
      <c r="K44" s="773"/>
      <c r="L44" s="773">
        <v>60464</v>
      </c>
      <c r="M44" s="773"/>
      <c r="N44" s="773"/>
      <c r="O44" s="773">
        <v>-395045</v>
      </c>
      <c r="P44" s="773"/>
      <c r="Q44" s="773"/>
      <c r="R44" s="773">
        <f t="shared" si="0"/>
        <v>717292</v>
      </c>
      <c r="S44" s="632"/>
      <c r="AC44" s="632"/>
      <c r="AE44" s="736"/>
      <c r="AF44" s="736"/>
      <c r="AG44" s="736"/>
    </row>
    <row r="45" spans="2:63">
      <c r="D45" s="648"/>
      <c r="E45" s="773" t="s">
        <v>2919</v>
      </c>
      <c r="F45" s="773">
        <f>-783252-336158-221226-4306097</f>
        <v>-5646733</v>
      </c>
      <c r="G45" s="773"/>
      <c r="H45" s="773"/>
      <c r="I45" s="773">
        <v>336158</v>
      </c>
      <c r="J45" s="773"/>
      <c r="K45" s="773"/>
      <c r="L45" s="773">
        <v>221226</v>
      </c>
      <c r="M45" s="773"/>
      <c r="N45" s="773"/>
      <c r="O45" s="773">
        <v>4306097</v>
      </c>
      <c r="P45" s="773"/>
      <c r="Q45" s="773"/>
      <c r="R45" s="773">
        <f t="shared" si="0"/>
        <v>-783252</v>
      </c>
      <c r="S45" s="632"/>
      <c r="AC45" s="632"/>
      <c r="AE45" s="736"/>
      <c r="AF45" s="736"/>
      <c r="AG45" s="736"/>
    </row>
    <row r="46" spans="2:63">
      <c r="D46" s="648"/>
      <c r="E46" s="1098" t="s">
        <v>3018</v>
      </c>
      <c r="F46" s="1098">
        <v>-2137271</v>
      </c>
      <c r="G46" s="773"/>
      <c r="H46" s="773"/>
      <c r="I46" s="773"/>
      <c r="J46" s="773"/>
      <c r="K46" s="773"/>
      <c r="L46" s="773"/>
      <c r="M46" s="773"/>
      <c r="N46" s="773"/>
      <c r="O46" s="773"/>
      <c r="P46" s="773"/>
      <c r="Q46" s="773"/>
      <c r="R46" s="773">
        <f t="shared" si="0"/>
        <v>-2137271</v>
      </c>
      <c r="S46" s="632"/>
      <c r="AC46" s="632"/>
      <c r="AE46" s="736"/>
      <c r="AF46" s="736"/>
      <c r="AG46" s="736"/>
    </row>
    <row r="47" spans="2:63">
      <c r="D47" s="648"/>
      <c r="E47" s="1098" t="s">
        <v>3185</v>
      </c>
      <c r="F47" s="1098">
        <v>2992510</v>
      </c>
      <c r="G47" s="773"/>
      <c r="H47" s="773"/>
      <c r="I47" s="773"/>
      <c r="J47" s="773"/>
      <c r="K47" s="773"/>
      <c r="L47" s="773"/>
      <c r="M47" s="773"/>
      <c r="N47" s="773"/>
      <c r="O47" s="773"/>
      <c r="P47" s="773"/>
      <c r="Q47" s="773"/>
      <c r="R47" s="773">
        <f t="shared" si="0"/>
        <v>2992510</v>
      </c>
      <c r="S47" s="632"/>
      <c r="AC47" s="632"/>
      <c r="AE47" s="736"/>
      <c r="AF47" s="736"/>
      <c r="AG47" s="736"/>
    </row>
    <row r="48" spans="2:63">
      <c r="D48" s="648"/>
      <c r="E48" s="773"/>
      <c r="F48" s="773"/>
      <c r="G48" s="773"/>
      <c r="H48" s="773"/>
      <c r="I48" s="773"/>
      <c r="J48" s="773"/>
      <c r="K48" s="773"/>
      <c r="L48" s="773"/>
      <c r="M48" s="773"/>
      <c r="N48" s="773"/>
      <c r="O48" s="773"/>
      <c r="P48" s="773"/>
      <c r="Q48" s="773"/>
      <c r="R48" s="773"/>
      <c r="S48" s="632"/>
      <c r="AC48" s="632" t="s">
        <v>2560</v>
      </c>
      <c r="AE48" s="806">
        <v>359</v>
      </c>
      <c r="AF48" s="736"/>
      <c r="AG48" s="806">
        <v>146</v>
      </c>
    </row>
    <row r="49" spans="3:69">
      <c r="D49" s="648"/>
      <c r="E49" s="777" t="s">
        <v>2443</v>
      </c>
      <c r="F49" s="778">
        <f>SUM(F40:F48)+I49+L49+O49</f>
        <v>-22142929</v>
      </c>
      <c r="G49" s="773"/>
      <c r="H49" s="773"/>
      <c r="I49" s="778">
        <f>SUM(I40:I48)</f>
        <v>0</v>
      </c>
      <c r="J49" s="773"/>
      <c r="K49" s="773"/>
      <c r="L49" s="778">
        <f>SUM(L40:L48)</f>
        <v>0</v>
      </c>
      <c r="M49" s="773"/>
      <c r="N49" s="773"/>
      <c r="O49" s="778">
        <f>SUM(O40:O48)</f>
        <v>0</v>
      </c>
      <c r="P49" s="773"/>
      <c r="Q49" s="777"/>
      <c r="R49" s="778">
        <f>SUM(R40:R48)</f>
        <v>-22142929</v>
      </c>
      <c r="S49" s="632"/>
      <c r="T49" s="773">
        <f t="shared" si="0"/>
        <v>0</v>
      </c>
      <c r="AC49" s="632" t="s">
        <v>2561</v>
      </c>
      <c r="AE49" s="806">
        <v>0</v>
      </c>
      <c r="AF49" s="736"/>
      <c r="AG49" s="806">
        <v>408</v>
      </c>
    </row>
    <row r="50" spans="3:69">
      <c r="D50" s="648"/>
      <c r="E50" s="1098" t="s">
        <v>3351</v>
      </c>
      <c r="F50" s="773">
        <f>+F16</f>
        <v>-1002616</v>
      </c>
      <c r="G50" s="773"/>
      <c r="H50" s="773"/>
      <c r="I50" s="773">
        <f>+I16</f>
        <v>0</v>
      </c>
      <c r="J50" s="773"/>
      <c r="K50" s="773"/>
      <c r="L50" s="773">
        <f>+L16</f>
        <v>0</v>
      </c>
      <c r="M50" s="773"/>
      <c r="N50" s="773"/>
      <c r="O50" s="773">
        <f>+O16</f>
        <v>0</v>
      </c>
      <c r="P50" s="773"/>
      <c r="Q50" s="773"/>
      <c r="R50" s="773">
        <f>+R16</f>
        <v>-1002616</v>
      </c>
      <c r="S50" s="632"/>
      <c r="AC50" s="632" t="s">
        <v>2562</v>
      </c>
      <c r="AE50" s="806">
        <v>0</v>
      </c>
      <c r="AF50" s="736"/>
      <c r="AG50" s="806">
        <v>386</v>
      </c>
    </row>
    <row r="51" spans="3:69">
      <c r="D51" s="648"/>
      <c r="E51" s="777" t="s">
        <v>2445</v>
      </c>
      <c r="F51" s="778">
        <f>SUM(F49:F50)</f>
        <v>-23145545</v>
      </c>
      <c r="G51" s="773"/>
      <c r="H51" s="773"/>
      <c r="I51" s="778">
        <f>SUM(I49:I50)</f>
        <v>0</v>
      </c>
      <c r="J51" s="773"/>
      <c r="K51" s="773"/>
      <c r="L51" s="778">
        <f>SUM(L49:L50)</f>
        <v>0</v>
      </c>
      <c r="M51" s="773"/>
      <c r="N51" s="773"/>
      <c r="O51" s="778">
        <f>SUM(O49:O50)</f>
        <v>0</v>
      </c>
      <c r="P51" s="773"/>
      <c r="Q51" s="777"/>
      <c r="R51" s="778">
        <f>SUM(R49:R50)</f>
        <v>-23145545</v>
      </c>
      <c r="S51" s="794">
        <f>+R51-F51</f>
        <v>0</v>
      </c>
      <c r="AC51" s="632" t="s">
        <v>2563</v>
      </c>
      <c r="AE51" s="806">
        <v>1527</v>
      </c>
      <c r="AF51" s="736"/>
      <c r="AG51" s="806">
        <v>0</v>
      </c>
    </row>
    <row r="52" spans="3:69" ht="15.75">
      <c r="D52" s="648"/>
      <c r="E52" s="768"/>
      <c r="F52" s="768">
        <f>+F51+F38</f>
        <v>0</v>
      </c>
      <c r="G52" s="632"/>
      <c r="H52" s="768"/>
      <c r="I52" s="768">
        <f>+I51-I38</f>
        <v>0</v>
      </c>
      <c r="J52" s="632"/>
      <c r="K52" s="632"/>
      <c r="L52" s="768">
        <f>+L51-L38</f>
        <v>0</v>
      </c>
      <c r="M52" s="632"/>
      <c r="N52" s="632"/>
      <c r="O52" s="768">
        <f>+O51-O38</f>
        <v>0</v>
      </c>
      <c r="P52" s="632"/>
      <c r="Q52" s="632"/>
      <c r="R52" s="632"/>
      <c r="S52" s="632"/>
      <c r="AC52" s="632" t="s">
        <v>2562</v>
      </c>
      <c r="AE52" s="736"/>
      <c r="AF52" s="736"/>
      <c r="AG52" s="736"/>
      <c r="AW52" s="1196"/>
      <c r="AX52" s="1196"/>
      <c r="AY52" s="1309"/>
      <c r="AZ52" s="1309"/>
      <c r="BA52" s="1309"/>
      <c r="BB52" s="1196"/>
      <c r="BC52" s="1309" t="s">
        <v>669</v>
      </c>
      <c r="BD52" s="1309"/>
      <c r="BE52" s="1309"/>
      <c r="BF52" s="1196"/>
      <c r="BG52" s="1309" t="s">
        <v>2700</v>
      </c>
      <c r="BH52" s="1309"/>
      <c r="BI52" s="1309"/>
      <c r="BJ52" s="1196"/>
      <c r="BK52" s="1309" t="s">
        <v>2701</v>
      </c>
      <c r="BL52" s="1309"/>
      <c r="BM52" s="1309"/>
      <c r="BN52" s="1196"/>
      <c r="BO52" s="1309" t="s">
        <v>792</v>
      </c>
      <c r="BP52" s="1309"/>
      <c r="BQ52" s="1309"/>
    </row>
    <row r="53" spans="3:69" ht="15.75">
      <c r="E53" s="768"/>
      <c r="F53" s="768"/>
      <c r="G53" s="632"/>
      <c r="H53" s="768"/>
      <c r="I53" s="768"/>
      <c r="J53" s="632"/>
      <c r="K53" s="632"/>
      <c r="L53" s="768">
        <f>+L52+I52</f>
        <v>0</v>
      </c>
      <c r="M53" s="632"/>
      <c r="N53" s="632"/>
      <c r="O53" s="768"/>
      <c r="P53" s="632"/>
      <c r="Q53" s="632"/>
      <c r="R53" s="794">
        <f>SUM(F51:O51)</f>
        <v>-23145545</v>
      </c>
      <c r="S53" s="632"/>
      <c r="AC53" s="632" t="s">
        <v>2564</v>
      </c>
      <c r="AE53" s="806">
        <v>0</v>
      </c>
      <c r="AF53" s="736"/>
      <c r="AG53" s="806">
        <v>5189</v>
      </c>
      <c r="AW53" s="1196"/>
      <c r="AX53" s="1196"/>
      <c r="AY53" s="1203" t="s">
        <v>2708</v>
      </c>
      <c r="AZ53" s="1196"/>
      <c r="BA53" s="1203" t="s">
        <v>2710</v>
      </c>
      <c r="BB53" s="1196"/>
      <c r="BC53" s="1203" t="s">
        <v>2708</v>
      </c>
      <c r="BD53" s="1196"/>
      <c r="BE53" s="1203" t="s">
        <v>2710</v>
      </c>
      <c r="BF53" s="1196"/>
      <c r="BG53" s="1203" t="s">
        <v>2708</v>
      </c>
      <c r="BH53" s="1196"/>
      <c r="BI53" s="1203" t="s">
        <v>2710</v>
      </c>
      <c r="BJ53" s="1196"/>
      <c r="BK53" s="1203" t="s">
        <v>2708</v>
      </c>
      <c r="BL53" s="1196"/>
      <c r="BM53" s="1203" t="s">
        <v>2710</v>
      </c>
      <c r="BN53" s="1196"/>
      <c r="BO53" s="1203" t="s">
        <v>2708</v>
      </c>
      <c r="BP53" s="1196"/>
      <c r="BQ53" s="1203" t="s">
        <v>2710</v>
      </c>
    </row>
    <row r="54" spans="3:69" ht="15.75">
      <c r="C54" s="627" t="s">
        <v>3524</v>
      </c>
      <c r="E54" s="768"/>
      <c r="F54" s="768"/>
      <c r="G54" s="632"/>
      <c r="H54" s="768"/>
      <c r="I54" s="768"/>
      <c r="J54" s="632"/>
      <c r="K54" s="632"/>
      <c r="L54" s="768"/>
      <c r="M54" s="632"/>
      <c r="N54" s="632"/>
      <c r="O54" s="768"/>
      <c r="P54" s="632"/>
      <c r="Q54" s="632"/>
      <c r="R54" s="794"/>
      <c r="S54" s="632"/>
      <c r="AC54" s="632"/>
      <c r="AE54" s="806"/>
      <c r="AF54" s="736"/>
      <c r="AG54" s="806"/>
      <c r="AW54" s="1196"/>
      <c r="AX54" s="1196"/>
      <c r="AY54" s="1203" t="s">
        <v>2707</v>
      </c>
      <c r="AZ54" s="1196"/>
      <c r="BA54" s="1203" t="s">
        <v>2709</v>
      </c>
      <c r="BB54" s="1196"/>
      <c r="BC54" s="1203" t="s">
        <v>2707</v>
      </c>
      <c r="BD54" s="1196"/>
      <c r="BE54" s="1203" t="s">
        <v>2709</v>
      </c>
      <c r="BF54" s="1196"/>
      <c r="BG54" s="1203" t="s">
        <v>2707</v>
      </c>
      <c r="BH54" s="1196"/>
      <c r="BI54" s="1203" t="s">
        <v>2709</v>
      </c>
      <c r="BJ54" s="1196"/>
      <c r="BK54" s="1203" t="s">
        <v>2707</v>
      </c>
      <c r="BL54" s="1196"/>
      <c r="BM54" s="1203" t="s">
        <v>2709</v>
      </c>
      <c r="BN54" s="1196"/>
      <c r="BO54" s="1203" t="s">
        <v>2707</v>
      </c>
      <c r="BP54" s="1196"/>
      <c r="BQ54" s="1203" t="s">
        <v>2709</v>
      </c>
    </row>
    <row r="55" spans="3:69" ht="15.75">
      <c r="C55" s="627" t="s">
        <v>2726</v>
      </c>
      <c r="E55" s="649">
        <v>0</v>
      </c>
      <c r="F55" s="649"/>
      <c r="H55" s="649"/>
      <c r="I55" s="649"/>
      <c r="L55" s="649"/>
      <c r="O55" s="649"/>
      <c r="AC55" s="632" t="s">
        <v>2565</v>
      </c>
      <c r="AE55" s="736"/>
      <c r="AF55" s="736"/>
      <c r="AG55" s="736"/>
      <c r="AW55" s="1196"/>
      <c r="AX55" s="1196"/>
      <c r="AY55" s="1198" t="s">
        <v>2706</v>
      </c>
      <c r="AZ55" s="1196"/>
      <c r="BA55" s="1198" t="s">
        <v>2706</v>
      </c>
      <c r="BB55" s="1196"/>
      <c r="BC55" s="1198" t="s">
        <v>2706</v>
      </c>
      <c r="BD55" s="1196"/>
      <c r="BE55" s="1198" t="s">
        <v>2706</v>
      </c>
      <c r="BF55" s="1196"/>
      <c r="BG55" s="1198" t="s">
        <v>2706</v>
      </c>
      <c r="BH55" s="1196"/>
      <c r="BI55" s="1198" t="s">
        <v>2706</v>
      </c>
      <c r="BJ55" s="1196"/>
      <c r="BK55" s="1198" t="s">
        <v>2706</v>
      </c>
      <c r="BL55" s="1196"/>
      <c r="BM55" s="1198" t="s">
        <v>2706</v>
      </c>
      <c r="BN55" s="1196"/>
      <c r="BO55" s="1198" t="s">
        <v>2706</v>
      </c>
      <c r="BP55" s="1196"/>
      <c r="BQ55" s="1198" t="s">
        <v>2706</v>
      </c>
    </row>
    <row r="56" spans="3:69" ht="15.75">
      <c r="C56" s="627" t="s">
        <v>2727</v>
      </c>
      <c r="E56" s="1096">
        <v>368704</v>
      </c>
      <c r="F56" s="649"/>
      <c r="H56" s="649"/>
      <c r="I56" s="649"/>
      <c r="K56" s="649"/>
      <c r="L56" s="649"/>
      <c r="N56" s="649"/>
      <c r="O56" s="649"/>
      <c r="R56" s="673">
        <f>+R53-R51</f>
        <v>0</v>
      </c>
      <c r="AC56" s="632" t="s">
        <v>2681</v>
      </c>
      <c r="AE56" s="807">
        <v>6768</v>
      </c>
      <c r="AF56" s="736"/>
      <c r="AG56" s="807"/>
      <c r="AW56" s="1196" t="s">
        <v>2559</v>
      </c>
      <c r="AX56" s="1196"/>
      <c r="AY56" s="1204"/>
      <c r="AZ56" s="1196"/>
      <c r="BA56" s="1204"/>
      <c r="BB56" s="1196"/>
      <c r="BC56" s="1204"/>
      <c r="BD56" s="1196"/>
      <c r="BE56" s="1204"/>
      <c r="BF56" s="1196"/>
      <c r="BG56" s="1204"/>
      <c r="BH56" s="1196"/>
      <c r="BI56" s="1204"/>
      <c r="BJ56" s="1196"/>
      <c r="BK56" s="1204"/>
      <c r="BL56" s="1196"/>
      <c r="BM56" s="1204"/>
      <c r="BN56" s="1196"/>
      <c r="BO56" s="1204"/>
      <c r="BP56" s="1196"/>
      <c r="BQ56" s="1204"/>
    </row>
    <row r="57" spans="3:69" ht="16.5" thickBot="1">
      <c r="E57" s="848">
        <f>SUM(E55:E56)</f>
        <v>368704</v>
      </c>
      <c r="F57" s="649"/>
      <c r="H57" s="649"/>
      <c r="I57" s="649"/>
      <c r="K57" s="649"/>
      <c r="L57" s="649"/>
      <c r="N57" s="649"/>
      <c r="O57" s="649"/>
      <c r="AC57" s="632" t="s">
        <v>2518</v>
      </c>
      <c r="AE57" s="808">
        <f>SUM(AE42:AE56)</f>
        <v>8654</v>
      </c>
      <c r="AG57" s="808">
        <f>SUM(AG42:AG56)</f>
        <v>6129</v>
      </c>
      <c r="AW57" s="1196" t="s">
        <v>2560</v>
      </c>
      <c r="AX57" s="1196"/>
      <c r="AY57" s="1199">
        <f>+E24+N24</f>
        <v>1587708</v>
      </c>
      <c r="AZ57" s="1196"/>
      <c r="BA57" s="1199">
        <f>+F32</f>
        <v>0</v>
      </c>
      <c r="BB57" s="1196"/>
      <c r="BC57" s="1199">
        <f>+H24</f>
        <v>0</v>
      </c>
      <c r="BD57" s="1196"/>
      <c r="BE57" s="1199">
        <f>+I32</f>
        <v>0</v>
      </c>
      <c r="BF57" s="1196"/>
      <c r="BG57" s="1199">
        <f>+K24</f>
        <v>0</v>
      </c>
      <c r="BH57" s="1196"/>
      <c r="BI57" s="1199">
        <f>+L32</f>
        <v>0</v>
      </c>
      <c r="BJ57" s="1196"/>
      <c r="BK57" s="1199">
        <v>0</v>
      </c>
      <c r="BL57" s="1196"/>
      <c r="BM57" s="1199">
        <f>+O32</f>
        <v>0</v>
      </c>
      <c r="BN57" s="1196"/>
      <c r="BO57" s="1199">
        <f>AY57+BC57+BG57+BK57</f>
        <v>1587708</v>
      </c>
      <c r="BP57" s="1196"/>
      <c r="BQ57" s="1199">
        <f>BA57+BE57+BI57+BM57</f>
        <v>0</v>
      </c>
    </row>
    <row r="58" spans="3:69" ht="18.75" customHeight="1" thickTop="1">
      <c r="F58" s="649"/>
      <c r="AW58" s="1196" t="s">
        <v>2561</v>
      </c>
      <c r="AX58" s="1196"/>
      <c r="AY58" s="1205">
        <f>+E27+N27</f>
        <v>2122784</v>
      </c>
      <c r="AZ58" s="1206"/>
      <c r="BA58" s="1205">
        <f>+F31</f>
        <v>1672147</v>
      </c>
      <c r="BB58" s="1196"/>
      <c r="BC58" s="1199">
        <f>+H27</f>
        <v>0</v>
      </c>
      <c r="BD58" s="1196"/>
      <c r="BE58" s="1199">
        <f>+I31</f>
        <v>0</v>
      </c>
      <c r="BF58" s="1196"/>
      <c r="BG58" s="1199">
        <f>+K27</f>
        <v>0</v>
      </c>
      <c r="BH58" s="1196"/>
      <c r="BI58" s="1199">
        <f>+L31</f>
        <v>0</v>
      </c>
      <c r="BJ58" s="1196"/>
      <c r="BK58" s="1199">
        <v>0</v>
      </c>
      <c r="BL58" s="1196"/>
      <c r="BM58" s="1199">
        <f>+O31</f>
        <v>0</v>
      </c>
      <c r="BN58" s="1196"/>
      <c r="BO58" s="1205">
        <f t="shared" ref="BO58:BO62" si="1">AY58+BC58+BG58+BK58</f>
        <v>2122784</v>
      </c>
      <c r="BP58" s="1206"/>
      <c r="BQ58" s="1205">
        <f>BA58+BE58+BI58+BM58</f>
        <v>1672147</v>
      </c>
    </row>
    <row r="59" spans="3:69" ht="15.75">
      <c r="F59" s="649"/>
      <c r="AG59" s="806"/>
      <c r="AW59" s="1196" t="s">
        <v>2562</v>
      </c>
      <c r="AX59" s="1196"/>
      <c r="AY59" s="1205"/>
      <c r="AZ59" s="1206"/>
      <c r="BA59" s="1205"/>
      <c r="BB59" s="1196"/>
      <c r="BC59" s="1199"/>
      <c r="BD59" s="1196"/>
      <c r="BE59" s="1199"/>
      <c r="BF59" s="1196"/>
      <c r="BG59" s="1199"/>
      <c r="BH59" s="1196"/>
      <c r="BI59" s="1199"/>
      <c r="BJ59" s="1196"/>
      <c r="BK59" s="1199"/>
      <c r="BL59" s="1196"/>
      <c r="BM59" s="1199"/>
      <c r="BN59" s="1196"/>
      <c r="BO59" s="1205"/>
      <c r="BP59" s="1206"/>
      <c r="BQ59" s="1205"/>
    </row>
    <row r="60" spans="3:69" ht="15.75">
      <c r="F60" s="649"/>
      <c r="H60" s="649"/>
      <c r="I60" s="649"/>
      <c r="K60" s="649"/>
      <c r="AW60" s="1196" t="s">
        <v>2563</v>
      </c>
      <c r="AX60" s="1196"/>
      <c r="AY60" s="1205">
        <f>+E25</f>
        <v>986010</v>
      </c>
      <c r="AZ60" s="1206"/>
      <c r="BA60" s="1205">
        <f>+F33+O33</f>
        <v>0</v>
      </c>
      <c r="BB60" s="1196"/>
      <c r="BC60" s="1199">
        <f>+H25</f>
        <v>0</v>
      </c>
      <c r="BD60" s="1196"/>
      <c r="BE60" s="1199">
        <f>+I33</f>
        <v>0</v>
      </c>
      <c r="BF60" s="1196"/>
      <c r="BG60" s="1199">
        <f>+K25</f>
        <v>0</v>
      </c>
      <c r="BH60" s="1196"/>
      <c r="BI60" s="1199">
        <f>+L33</f>
        <v>0</v>
      </c>
      <c r="BJ60" s="1196"/>
      <c r="BK60" s="1199">
        <f>+N25</f>
        <v>0</v>
      </c>
      <c r="BL60" s="1196"/>
      <c r="BM60" s="1199">
        <v>0</v>
      </c>
      <c r="BN60" s="1196"/>
      <c r="BO60" s="1205">
        <f t="shared" si="1"/>
        <v>986010</v>
      </c>
      <c r="BP60" s="1206"/>
      <c r="BQ60" s="1205">
        <f>BA60+BE60+BI60+BM60</f>
        <v>0</v>
      </c>
    </row>
    <row r="61" spans="3:69" ht="15.75">
      <c r="F61" s="649"/>
      <c r="H61" s="649"/>
      <c r="I61" s="649"/>
      <c r="K61" s="649"/>
      <c r="L61" s="649"/>
      <c r="AW61" s="1196" t="s">
        <v>2562</v>
      </c>
      <c r="AX61" s="1196"/>
      <c r="AY61" s="1206"/>
      <c r="AZ61" s="1206"/>
      <c r="BA61" s="1206"/>
      <c r="BB61" s="1196"/>
      <c r="BC61" s="1204"/>
      <c r="BD61" s="1196"/>
      <c r="BE61" s="1204"/>
      <c r="BF61" s="1196"/>
      <c r="BG61" s="1204"/>
      <c r="BH61" s="1196"/>
      <c r="BI61" s="1204"/>
      <c r="BJ61" s="1196"/>
      <c r="BK61" s="1204"/>
      <c r="BL61" s="1196"/>
      <c r="BM61" s="1204"/>
      <c r="BN61" s="1196"/>
      <c r="BO61" s="1205"/>
      <c r="BP61" s="1206"/>
      <c r="BQ61" s="1205"/>
    </row>
    <row r="62" spans="3:69" ht="15.75">
      <c r="F62" s="649"/>
      <c r="L62" s="649"/>
      <c r="AW62" s="1196" t="s">
        <v>2702</v>
      </c>
      <c r="AX62" s="1196"/>
      <c r="AY62" s="1205">
        <f>+E26</f>
        <v>836444</v>
      </c>
      <c r="AZ62" s="1206"/>
      <c r="BA62" s="1205">
        <f>+F34+O34</f>
        <v>1284</v>
      </c>
      <c r="BB62" s="1196"/>
      <c r="BC62" s="1199">
        <f>+H26</f>
        <v>0</v>
      </c>
      <c r="BD62" s="1196"/>
      <c r="BE62" s="1199">
        <f>+I34</f>
        <v>0</v>
      </c>
      <c r="BF62" s="1196"/>
      <c r="BG62" s="1199">
        <f>+K26</f>
        <v>0</v>
      </c>
      <c r="BH62" s="1196"/>
      <c r="BI62" s="1199">
        <f>+L34</f>
        <v>0</v>
      </c>
      <c r="BJ62" s="1196"/>
      <c r="BK62" s="1199">
        <f>+N26</f>
        <v>0</v>
      </c>
      <c r="BL62" s="1196"/>
      <c r="BM62" s="1199">
        <v>0</v>
      </c>
      <c r="BN62" s="1196"/>
      <c r="BO62" s="1205">
        <f t="shared" si="1"/>
        <v>836444</v>
      </c>
      <c r="BP62" s="1206"/>
      <c r="BQ62" s="1205">
        <f>BA62+BE62+BI62+BM62</f>
        <v>1284</v>
      </c>
    </row>
    <row r="63" spans="3:69" ht="15.75">
      <c r="F63" s="649"/>
      <c r="L63" s="649"/>
      <c r="AW63" s="1196" t="s">
        <v>3297</v>
      </c>
      <c r="AX63" s="1196"/>
      <c r="AY63" s="1206"/>
      <c r="AZ63" s="1206"/>
      <c r="BA63" s="1206"/>
      <c r="BB63" s="1196"/>
      <c r="BC63" s="1204"/>
      <c r="BD63" s="1196"/>
      <c r="BE63" s="1204"/>
      <c r="BF63" s="1196"/>
      <c r="BG63" s="1204"/>
      <c r="BH63" s="1196"/>
      <c r="BI63" s="1204"/>
      <c r="BJ63" s="1196"/>
      <c r="BK63" s="1204"/>
      <c r="BL63" s="1196"/>
      <c r="BM63" s="1204"/>
      <c r="BN63" s="1196"/>
      <c r="BO63" s="1205"/>
      <c r="BP63" s="1206"/>
      <c r="BQ63" s="1205"/>
    </row>
    <row r="64" spans="3:69" ht="15.75">
      <c r="F64" s="649"/>
      <c r="L64" s="649"/>
      <c r="N64" s="649"/>
      <c r="O64" s="649"/>
      <c r="AW64" s="1196" t="s">
        <v>3353</v>
      </c>
      <c r="AX64" s="1196"/>
      <c r="AY64" s="1205">
        <f>+E23+N23</f>
        <v>2281409</v>
      </c>
      <c r="AZ64" s="1206"/>
      <c r="BA64" s="1220">
        <v>0</v>
      </c>
      <c r="BB64" s="1196"/>
      <c r="BC64" s="1199">
        <f>+H23</f>
        <v>0</v>
      </c>
      <c r="BD64" s="1196"/>
      <c r="BE64" s="1207">
        <v>0</v>
      </c>
      <c r="BF64" s="1196"/>
      <c r="BG64" s="1199">
        <f>+K23</f>
        <v>0</v>
      </c>
      <c r="BH64" s="1196"/>
      <c r="BI64" s="1207">
        <v>0</v>
      </c>
      <c r="BJ64" s="1196"/>
      <c r="BK64" s="1199">
        <v>0</v>
      </c>
      <c r="BL64" s="1196"/>
      <c r="BM64" s="1207"/>
      <c r="BN64" s="1196"/>
      <c r="BO64" s="1205">
        <f>AY64+BC64+BG64+BK64</f>
        <v>2281409</v>
      </c>
      <c r="BP64" s="1206"/>
      <c r="BQ64" s="1205">
        <v>0</v>
      </c>
    </row>
    <row r="65" spans="6:69" ht="16.5" thickBot="1">
      <c r="F65" s="649"/>
      <c r="L65" s="649"/>
      <c r="N65" s="649"/>
      <c r="O65" s="649"/>
      <c r="AW65" s="1196" t="s">
        <v>2518</v>
      </c>
      <c r="AX65" s="1196"/>
      <c r="AY65" s="1208">
        <f>SUM(AY56:AY64)</f>
        <v>7814355</v>
      </c>
      <c r="AZ65" s="1196"/>
      <c r="BA65" s="1208">
        <f>SUM(BA56:BA64)</f>
        <v>1673431</v>
      </c>
      <c r="BB65" s="1196"/>
      <c r="BC65" s="1208">
        <f>SUM(BC56:BC64)</f>
        <v>0</v>
      </c>
      <c r="BD65" s="1196"/>
      <c r="BE65" s="1208">
        <f>SUM(BE56:BE64)</f>
        <v>0</v>
      </c>
      <c r="BF65" s="1196"/>
      <c r="BG65" s="1208">
        <f>SUM(BG56:BG64)</f>
        <v>0</v>
      </c>
      <c r="BH65" s="1196"/>
      <c r="BI65" s="1208">
        <f>SUM(BI56:BI64)</f>
        <v>0</v>
      </c>
      <c r="BJ65" s="1196"/>
      <c r="BK65" s="1208">
        <f>SUM(BK56:BK64)</f>
        <v>0</v>
      </c>
      <c r="BL65" s="1196"/>
      <c r="BM65" s="1208">
        <f>SUM(BM56:BM64)</f>
        <v>0</v>
      </c>
      <c r="BN65" s="1196"/>
      <c r="BO65" s="1208">
        <f>SUM(BO56:BO64)</f>
        <v>7814355</v>
      </c>
      <c r="BP65" s="1196"/>
      <c r="BQ65" s="1208">
        <f>SUM(BQ56:BQ64)</f>
        <v>1673431</v>
      </c>
    </row>
    <row r="66" spans="6:69" ht="16.5" thickTop="1">
      <c r="F66" s="649"/>
      <c r="AW66" s="1196"/>
      <c r="AX66" s="1196"/>
      <c r="AY66" s="1196"/>
      <c r="AZ66" s="1196"/>
      <c r="BA66" s="1196"/>
      <c r="BB66" s="1196"/>
      <c r="BC66" s="1196"/>
      <c r="BD66" s="1196"/>
      <c r="BE66" s="1196"/>
      <c r="BF66" s="1196"/>
      <c r="BG66" s="1196"/>
      <c r="BH66" s="1196"/>
      <c r="BI66" s="1196"/>
      <c r="BJ66" s="1196"/>
      <c r="BK66" s="1196"/>
      <c r="BL66" s="1196"/>
      <c r="BM66" s="1196"/>
      <c r="BN66" s="1196"/>
      <c r="BO66" s="1196"/>
      <c r="BP66" s="1196"/>
      <c r="BQ66" s="1196"/>
    </row>
    <row r="67" spans="6:69" ht="15.75" hidden="1">
      <c r="F67" s="649"/>
      <c r="AW67" s="1196"/>
      <c r="AX67" s="1196"/>
      <c r="AY67" s="1196"/>
      <c r="AZ67" s="1196"/>
      <c r="BA67" s="1196"/>
      <c r="BB67" s="1196"/>
      <c r="BC67" s="1196"/>
      <c r="BD67" s="1196"/>
      <c r="BE67" s="1196"/>
      <c r="BF67" s="1196"/>
      <c r="BG67" s="1196"/>
      <c r="BH67" s="1196"/>
      <c r="BI67" s="1196"/>
      <c r="BJ67" s="1196"/>
      <c r="BK67" s="1196"/>
      <c r="BL67" s="1196"/>
      <c r="BM67" s="1196"/>
      <c r="BN67" s="1196"/>
      <c r="BO67" s="1196"/>
      <c r="BP67" s="1196"/>
      <c r="BQ67" s="1196"/>
    </row>
    <row r="68" spans="6:69" ht="15.75" hidden="1">
      <c r="F68" s="649"/>
      <c r="K68" s="649"/>
      <c r="L68" s="649"/>
      <c r="AW68" s="1196"/>
      <c r="AX68" s="1196"/>
      <c r="AY68" s="1310"/>
      <c r="AZ68" s="1310"/>
      <c r="BA68" s="1310"/>
      <c r="BB68" s="1196"/>
      <c r="BC68" s="1309" t="s">
        <v>669</v>
      </c>
      <c r="BD68" s="1309"/>
      <c r="BE68" s="1309"/>
      <c r="BF68" s="1196"/>
      <c r="BG68" s="1309" t="s">
        <v>2700</v>
      </c>
      <c r="BH68" s="1309"/>
      <c r="BI68" s="1309"/>
      <c r="BJ68" s="1196"/>
      <c r="BK68" s="1309" t="s">
        <v>2701</v>
      </c>
      <c r="BL68" s="1309"/>
      <c r="BM68" s="1309"/>
      <c r="BN68" s="1196"/>
      <c r="BO68" s="1311"/>
      <c r="BP68" s="1311"/>
      <c r="BQ68" s="1311"/>
    </row>
    <row r="69" spans="6:69" ht="15.75">
      <c r="F69" s="649"/>
      <c r="L69" s="649"/>
      <c r="AW69" s="1209" t="s">
        <v>2704</v>
      </c>
      <c r="AX69" s="1196"/>
      <c r="AY69" s="1196"/>
      <c r="AZ69" s="1196"/>
      <c r="BA69" s="1196"/>
      <c r="BB69" s="1196"/>
      <c r="BC69" s="1196"/>
      <c r="BD69" s="1196"/>
      <c r="BE69" s="1196"/>
      <c r="BF69" s="1196"/>
      <c r="BG69" s="1196"/>
      <c r="BH69" s="1196"/>
      <c r="BI69" s="1196"/>
      <c r="BJ69" s="1196"/>
      <c r="BK69" s="1196"/>
      <c r="BL69" s="1196"/>
      <c r="BM69" s="1196"/>
      <c r="BN69" s="1196"/>
      <c r="BO69" s="1196"/>
      <c r="BP69" s="1196"/>
      <c r="BQ69" s="1196"/>
    </row>
    <row r="70" spans="6:69" ht="15.75">
      <c r="F70" s="649"/>
      <c r="L70" s="649"/>
      <c r="AW70" s="1196" t="s">
        <v>2705</v>
      </c>
      <c r="AX70" s="1196"/>
      <c r="AY70" s="1308">
        <f>F20+O20</f>
        <v>29286469</v>
      </c>
      <c r="AZ70" s="1308"/>
      <c r="BA70" s="1308"/>
      <c r="BB70" s="1196"/>
      <c r="BC70" s="1308">
        <f>I20</f>
        <v>0</v>
      </c>
      <c r="BD70" s="1308"/>
      <c r="BE70" s="1308"/>
      <c r="BF70" s="1196"/>
      <c r="BG70" s="1308">
        <f>L20</f>
        <v>0</v>
      </c>
      <c r="BH70" s="1308"/>
      <c r="BI70" s="1308"/>
      <c r="BJ70" s="1196"/>
      <c r="BK70" s="1308">
        <v>0</v>
      </c>
      <c r="BL70" s="1308"/>
      <c r="BM70" s="1308"/>
      <c r="BN70" s="1196"/>
      <c r="BO70" s="1308">
        <f>SUM(AY70:BN70)</f>
        <v>29286469</v>
      </c>
      <c r="BP70" s="1308"/>
      <c r="BQ70" s="1204"/>
    </row>
    <row r="71" spans="6:69" ht="15.75">
      <c r="F71" s="649"/>
      <c r="L71" s="649"/>
      <c r="AW71" s="1196"/>
      <c r="AX71" s="1196"/>
      <c r="AY71" s="1196"/>
      <c r="AZ71" s="1196"/>
      <c r="BA71" s="1196"/>
      <c r="BB71" s="1196"/>
      <c r="BC71" s="1196"/>
      <c r="BD71" s="1196"/>
      <c r="BE71" s="1196"/>
      <c r="BF71" s="1196"/>
      <c r="BG71" s="1196"/>
      <c r="BH71" s="1196"/>
      <c r="BI71" s="1196"/>
      <c r="BJ71" s="1196"/>
      <c r="BK71" s="1196"/>
      <c r="BL71" s="1196"/>
      <c r="BM71" s="1196"/>
      <c r="BN71" s="1196"/>
      <c r="BO71" s="1196"/>
      <c r="BP71" s="1196"/>
      <c r="BQ71" s="1196"/>
    </row>
    <row r="72" spans="6:69">
      <c r="F72" s="649"/>
    </row>
  </sheetData>
  <mergeCells count="16">
    <mergeCell ref="AC20:AK20"/>
    <mergeCell ref="AY52:BA52"/>
    <mergeCell ref="BC52:BE52"/>
    <mergeCell ref="BG52:BI52"/>
    <mergeCell ref="BK52:BM52"/>
    <mergeCell ref="BO52:BQ52"/>
    <mergeCell ref="AY68:BA68"/>
    <mergeCell ref="BC68:BE68"/>
    <mergeCell ref="BG68:BI68"/>
    <mergeCell ref="BK68:BM68"/>
    <mergeCell ref="BO68:BQ68"/>
    <mergeCell ref="AY70:BA70"/>
    <mergeCell ref="BC70:BE70"/>
    <mergeCell ref="BG70:BI70"/>
    <mergeCell ref="BK70:BM70"/>
    <mergeCell ref="BO70:BP70"/>
  </mergeCells>
  <phoneticPr fontId="33" type="noConversion"/>
  <pageMargins left="0.2" right="0.2" top="0.5" bottom="0.5" header="0.25" footer="0.25"/>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6">
    <tabColor rgb="FFFF0000"/>
  </sheetPr>
  <dimension ref="A1:C37"/>
  <sheetViews>
    <sheetView workbookViewId="0">
      <selection activeCell="B15" sqref="B15"/>
    </sheetView>
  </sheetViews>
  <sheetFormatPr defaultRowHeight="12.75"/>
  <cols>
    <col min="3" max="3" width="65.42578125" bestFit="1" customWidth="1"/>
  </cols>
  <sheetData>
    <row r="1" spans="1:3" ht="18">
      <c r="A1" s="1082" t="s">
        <v>3069</v>
      </c>
      <c r="B1" s="56"/>
      <c r="C1" s="56"/>
    </row>
    <row r="2" spans="1:3">
      <c r="A2" s="36"/>
      <c r="B2" s="36"/>
      <c r="C2" s="56"/>
    </row>
    <row r="3" spans="1:3">
      <c r="B3" s="36" t="s">
        <v>3057</v>
      </c>
    </row>
    <row r="4" spans="1:3">
      <c r="A4" s="28" t="s">
        <v>336</v>
      </c>
      <c r="B4" s="22" t="s">
        <v>3067</v>
      </c>
    </row>
    <row r="5" spans="1:3">
      <c r="C5" s="21" t="s">
        <v>3068</v>
      </c>
    </row>
    <row r="6" spans="1:3">
      <c r="C6" s="1080" t="s">
        <v>3066</v>
      </c>
    </row>
    <row r="7" spans="1:3">
      <c r="C7" s="1080"/>
    </row>
    <row r="8" spans="1:3">
      <c r="A8" s="28" t="s">
        <v>613</v>
      </c>
      <c r="B8" s="22" t="s">
        <v>3054</v>
      </c>
    </row>
    <row r="9" spans="1:3">
      <c r="C9" s="21" t="s">
        <v>3055</v>
      </c>
    </row>
    <row r="10" spans="1:3">
      <c r="C10" s="1080" t="s">
        <v>2611</v>
      </c>
    </row>
    <row r="12" spans="1:3">
      <c r="A12" s="21" t="s">
        <v>3071</v>
      </c>
      <c r="C12" s="21" t="s">
        <v>3108</v>
      </c>
    </row>
    <row r="14" spans="1:3">
      <c r="B14" s="21" t="s">
        <v>3112</v>
      </c>
      <c r="C14" t="s">
        <v>3107</v>
      </c>
    </row>
    <row r="18" spans="1:3">
      <c r="B18" s="36" t="s">
        <v>3058</v>
      </c>
    </row>
    <row r="19" spans="1:3">
      <c r="A19" s="28" t="s">
        <v>336</v>
      </c>
      <c r="B19" s="22" t="s">
        <v>3059</v>
      </c>
    </row>
    <row r="20" spans="1:3">
      <c r="A20" s="985" t="s">
        <v>3070</v>
      </c>
      <c r="C20" s="21" t="s">
        <v>3060</v>
      </c>
    </row>
    <row r="21" spans="1:3">
      <c r="C21" s="1081" t="s">
        <v>3056</v>
      </c>
    </row>
    <row r="23" spans="1:3">
      <c r="A23" s="28" t="s">
        <v>613</v>
      </c>
      <c r="B23" s="22" t="s">
        <v>3059</v>
      </c>
    </row>
    <row r="24" spans="1:3">
      <c r="C24" s="21" t="s">
        <v>3061</v>
      </c>
    </row>
    <row r="25" spans="1:3">
      <c r="C25" s="1081" t="s">
        <v>3062</v>
      </c>
    </row>
    <row r="27" spans="1:3">
      <c r="A27" s="28" t="s">
        <v>3071</v>
      </c>
      <c r="B27" s="22" t="s">
        <v>3072</v>
      </c>
    </row>
    <row r="28" spans="1:3">
      <c r="C28" s="21" t="s">
        <v>3073</v>
      </c>
    </row>
    <row r="29" spans="1:3">
      <c r="C29" s="1081" t="s">
        <v>3074</v>
      </c>
    </row>
    <row r="34" spans="1:3">
      <c r="B34" s="36" t="s">
        <v>3063</v>
      </c>
    </row>
    <row r="35" spans="1:3">
      <c r="A35" s="28" t="s">
        <v>336</v>
      </c>
      <c r="B35" s="22" t="s">
        <v>3064</v>
      </c>
    </row>
    <row r="36" spans="1:3">
      <c r="C36" s="21" t="s">
        <v>3065</v>
      </c>
    </row>
    <row r="37" spans="1:3">
      <c r="C37" s="1080" t="s">
        <v>3066</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indexed="13"/>
  </sheetPr>
  <dimension ref="A1:BZ110"/>
  <sheetViews>
    <sheetView zoomScale="70" zoomScaleNormal="70" workbookViewId="0">
      <pane xSplit="13" ySplit="6" topLeftCell="Y7" activePane="bottomRight" state="frozen"/>
      <selection activeCell="E72" sqref="E72"/>
      <selection pane="topRight" activeCell="E72" sqref="E72"/>
      <selection pane="bottomLeft" activeCell="E72" sqref="E72"/>
      <selection pane="bottomRight" activeCell="AM2" sqref="AM2"/>
    </sheetView>
  </sheetViews>
  <sheetFormatPr defaultRowHeight="12.75"/>
  <cols>
    <col min="1" max="1" width="12.7109375" customWidth="1"/>
    <col min="2" max="2" width="16" customWidth="1"/>
    <col min="3" max="3" width="3.7109375" customWidth="1"/>
    <col min="4" max="4" width="12.7109375" customWidth="1"/>
    <col min="5" max="5" width="3.7109375" customWidth="1"/>
    <col min="6" max="6" width="12.7109375" customWidth="1"/>
    <col min="7" max="7" width="3.7109375" customWidth="1"/>
    <col min="8" max="8" width="12.7109375" customWidth="1"/>
    <col min="9" max="9" width="5.7109375" customWidth="1"/>
    <col min="10" max="10" width="15.7109375" customWidth="1"/>
    <col min="11" max="11" width="2.5703125" customWidth="1"/>
    <col min="12" max="12" width="16.7109375" customWidth="1"/>
    <col min="13" max="13" width="18.42578125" customWidth="1"/>
    <col min="14" max="14" width="10.7109375" bestFit="1" customWidth="1"/>
    <col min="15" max="15" width="12.2851562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12.7109375" customWidth="1"/>
    <col min="36" max="36" width="2.7109375" customWidth="1"/>
    <col min="37" max="37" width="12.7109375" customWidth="1"/>
    <col min="38" max="38" width="2.7109375" customWidth="1"/>
    <col min="39" max="39" width="12.7109375" customWidth="1"/>
    <col min="40" max="40" width="2.7109375" customWidth="1"/>
    <col min="41" max="41" width="9.7109375" customWidth="1"/>
    <col min="43" max="43" width="12.7109375" customWidth="1"/>
    <col min="44" max="44" width="2.7109375" customWidth="1"/>
    <col min="45" max="45" width="12.7109375" customWidth="1"/>
    <col min="46" max="46" width="2.7109375" customWidth="1"/>
    <col min="47" max="47" width="12.7109375" customWidth="1"/>
    <col min="48" max="48" width="2.7109375" customWidth="1"/>
    <col min="49" max="49" width="12.7109375" customWidth="1"/>
    <col min="50" max="50" width="2.7109375" customWidth="1"/>
    <col min="51" max="51" width="12.7109375" customWidth="1"/>
    <col min="52" max="52" width="2.7109375" customWidth="1"/>
    <col min="53" max="53" width="12.7109375" customWidth="1"/>
    <col min="54" max="54" width="2.7109375" customWidth="1"/>
    <col min="55" max="55" width="12.7109375" customWidth="1"/>
    <col min="56" max="56" width="2.7109375" customWidth="1"/>
    <col min="57" max="57" width="12.7109375" customWidth="1"/>
    <col min="58" max="58" width="14.42578125" customWidth="1"/>
    <col min="59" max="60" width="12.7109375" customWidth="1"/>
    <col min="61" max="61" width="10.28515625" customWidth="1"/>
    <col min="62" max="62" width="20.140625" customWidth="1"/>
    <col min="63" max="63" width="2.7109375" customWidth="1"/>
    <col min="64" max="64" width="16.42578125" customWidth="1"/>
    <col min="65" max="65" width="2.7109375" customWidth="1"/>
    <col min="66" max="66" width="12.7109375" customWidth="1"/>
    <col min="67" max="67" width="2.7109375" customWidth="1"/>
    <col min="68" max="68" width="12.7109375" customWidth="1"/>
    <col min="69" max="69" width="2.7109375" customWidth="1"/>
    <col min="70" max="70" width="12.7109375" customWidth="1"/>
    <col min="71" max="71" width="2.7109375" customWidth="1"/>
    <col min="72" max="72" width="12.7109375" customWidth="1"/>
    <col min="73" max="73" width="2.7109375" customWidth="1"/>
    <col min="74" max="74" width="12.7109375" customWidth="1"/>
    <col min="75" max="75" width="2.7109375" customWidth="1"/>
    <col min="76" max="76" width="15.140625" bestFit="1" customWidth="1"/>
    <col min="77" max="77" width="12.42578125" customWidth="1"/>
  </cols>
  <sheetData>
    <row r="1" spans="1:78" ht="15.75">
      <c r="A1" s="13" t="s">
        <v>3376</v>
      </c>
      <c r="B1" s="20"/>
      <c r="C1" s="20"/>
      <c r="D1" s="20"/>
      <c r="E1" s="20"/>
      <c r="F1" s="20"/>
      <c r="G1" s="20"/>
      <c r="H1" s="20"/>
      <c r="I1" s="20"/>
      <c r="J1" s="20"/>
      <c r="K1" s="20"/>
      <c r="L1" s="20"/>
      <c r="M1" s="20"/>
    </row>
    <row r="2" spans="1:78">
      <c r="A2" t="s">
        <v>1259</v>
      </c>
      <c r="B2" s="21" t="s">
        <v>2300</v>
      </c>
    </row>
    <row r="3" spans="1:78">
      <c r="B3" t="s">
        <v>133</v>
      </c>
    </row>
    <row r="4" spans="1:78" ht="15.75">
      <c r="B4" t="s">
        <v>141</v>
      </c>
      <c r="AG4" s="84"/>
      <c r="BC4" s="84"/>
      <c r="BV4" s="84"/>
    </row>
    <row r="5" spans="1:78" ht="15.75">
      <c r="J5" s="84"/>
      <c r="O5" s="55"/>
      <c r="Q5" s="13" t="s">
        <v>3377</v>
      </c>
      <c r="R5" s="13"/>
      <c r="S5" s="20"/>
      <c r="T5" s="20"/>
      <c r="U5" s="20"/>
      <c r="V5" s="20"/>
      <c r="W5" s="20"/>
      <c r="X5" s="20"/>
      <c r="Y5" s="20"/>
      <c r="Z5" s="20"/>
      <c r="AA5" s="20"/>
      <c r="AB5" s="20"/>
      <c r="AC5" s="20"/>
      <c r="AD5" s="20"/>
      <c r="AE5" s="20"/>
      <c r="AF5" s="20"/>
      <c r="AG5" s="20"/>
      <c r="AH5" s="20"/>
      <c r="AI5" s="20"/>
      <c r="AJ5" s="20"/>
      <c r="AK5" s="20"/>
      <c r="AL5" s="20"/>
      <c r="AM5" s="20"/>
      <c r="AN5" s="20"/>
      <c r="AO5" s="20"/>
      <c r="AQ5" s="13" t="str">
        <f>+Q5</f>
        <v>Major Fund Schedule - FY2023</v>
      </c>
      <c r="AR5" s="13"/>
      <c r="AS5" s="20"/>
      <c r="AT5" s="20"/>
      <c r="AU5" s="20"/>
      <c r="AV5" s="20"/>
      <c r="AW5" s="20"/>
      <c r="AX5" s="20"/>
      <c r="AY5" s="20"/>
      <c r="AZ5" s="20"/>
      <c r="BA5" s="20"/>
      <c r="BB5" s="20"/>
      <c r="BC5" s="20"/>
      <c r="BD5" s="20"/>
      <c r="BE5" s="20"/>
      <c r="BF5" s="20"/>
      <c r="BJ5" s="13" t="str">
        <f>+AQ5</f>
        <v>Major Fund Schedule - FY2023</v>
      </c>
      <c r="BK5" s="20"/>
      <c r="BL5" s="20"/>
      <c r="BM5" s="13"/>
      <c r="BN5" s="20"/>
      <c r="BO5" s="20"/>
      <c r="BP5" s="20"/>
      <c r="BQ5" s="20"/>
      <c r="BR5" s="20"/>
      <c r="BS5" s="20"/>
      <c r="BT5" s="20"/>
      <c r="BU5" s="20"/>
      <c r="BV5" s="20"/>
      <c r="BW5" s="20"/>
      <c r="BX5" s="20"/>
      <c r="BY5" s="20"/>
      <c r="BZ5" s="20"/>
    </row>
    <row r="6" spans="1:78">
      <c r="O6" s="28"/>
      <c r="P6" s="28"/>
      <c r="Q6" s="56" t="s">
        <v>3079</v>
      </c>
      <c r="R6" s="56"/>
      <c r="S6" s="26"/>
      <c r="T6" s="26"/>
      <c r="U6" s="26"/>
      <c r="V6" s="26"/>
      <c r="W6" s="26"/>
      <c r="X6" s="26"/>
      <c r="Y6" s="26"/>
      <c r="Z6" s="26"/>
      <c r="AA6" s="26"/>
      <c r="AB6" s="26"/>
      <c r="AC6" s="26"/>
      <c r="AD6" s="26"/>
      <c r="AE6" s="26"/>
      <c r="AF6" s="26"/>
      <c r="AG6" s="26"/>
      <c r="AH6" s="26"/>
      <c r="AI6" s="26"/>
      <c r="AJ6" s="26"/>
      <c r="AK6" s="26"/>
      <c r="AL6" s="26"/>
      <c r="AM6" s="26"/>
      <c r="AN6" s="26"/>
      <c r="AO6" s="26"/>
      <c r="AP6" s="28"/>
      <c r="AQ6" s="56" t="s">
        <v>2917</v>
      </c>
      <c r="AR6" s="56"/>
      <c r="AS6" s="20"/>
      <c r="AT6" s="20"/>
      <c r="AU6" s="20"/>
      <c r="AV6" s="20"/>
      <c r="AW6" s="20"/>
      <c r="AX6" s="20"/>
      <c r="AY6" s="20"/>
      <c r="AZ6" s="20"/>
      <c r="BA6" s="20"/>
      <c r="BB6" s="20"/>
      <c r="BC6" s="20"/>
      <c r="BD6" s="20"/>
      <c r="BE6" s="20"/>
      <c r="BF6" s="20"/>
      <c r="BJ6" s="56" t="s">
        <v>2918</v>
      </c>
      <c r="BK6" s="20"/>
      <c r="BL6" s="20"/>
      <c r="BM6" s="56"/>
      <c r="BN6" s="20"/>
      <c r="BO6" s="20"/>
      <c r="BP6" s="20"/>
      <c r="BQ6" s="20"/>
      <c r="BR6" s="20"/>
      <c r="BS6" s="20"/>
      <c r="BT6" s="20"/>
      <c r="BU6" s="20"/>
      <c r="BV6" s="20"/>
      <c r="BW6" s="20"/>
      <c r="BX6" s="20"/>
      <c r="BY6" s="20"/>
      <c r="BZ6" s="20"/>
    </row>
    <row r="7" spans="1:78" ht="15.75">
      <c r="A7" s="36" t="s">
        <v>1048</v>
      </c>
      <c r="D7" s="28" t="s">
        <v>1297</v>
      </c>
      <c r="F7" s="28" t="s">
        <v>65</v>
      </c>
      <c r="H7" s="28" t="s">
        <v>67</v>
      </c>
      <c r="J7" s="28" t="s">
        <v>315</v>
      </c>
      <c r="O7" s="28"/>
      <c r="P7" s="28"/>
      <c r="S7" s="28" t="s">
        <v>1298</v>
      </c>
      <c r="T7" s="28"/>
      <c r="U7" s="28"/>
      <c r="V7" s="28"/>
      <c r="W7" s="28"/>
      <c r="X7" s="28"/>
      <c r="Y7" s="28"/>
      <c r="Z7" s="28"/>
      <c r="AA7" s="28"/>
      <c r="AB7" s="28"/>
      <c r="AC7" s="28"/>
      <c r="AD7" s="28"/>
      <c r="AE7" s="28"/>
      <c r="AF7" s="28"/>
      <c r="AG7" s="28" t="s">
        <v>1746</v>
      </c>
      <c r="AI7" s="28"/>
      <c r="AJ7" s="28"/>
      <c r="AK7" s="28" t="s">
        <v>1655</v>
      </c>
      <c r="AL7" s="28"/>
      <c r="AM7" s="28"/>
      <c r="AN7" s="21"/>
      <c r="AO7" s="21"/>
      <c r="AP7" s="21"/>
      <c r="AQ7" s="57" t="s">
        <v>1358</v>
      </c>
      <c r="AR7" s="57"/>
      <c r="AS7" s="57" t="s">
        <v>604</v>
      </c>
      <c r="AU7" s="57"/>
      <c r="AV7" s="57"/>
      <c r="AW7" s="57" t="s">
        <v>1655</v>
      </c>
      <c r="AY7" s="57" t="s">
        <v>2595</v>
      </c>
      <c r="BA7" s="57" t="s">
        <v>307</v>
      </c>
      <c r="BC7" s="57" t="s">
        <v>315</v>
      </c>
      <c r="BD7" s="28"/>
      <c r="BE7" s="2"/>
      <c r="BF7" s="2"/>
      <c r="BP7" s="28"/>
      <c r="BQ7" s="28"/>
      <c r="BR7" s="28"/>
      <c r="BS7" s="28"/>
      <c r="BT7" s="28" t="s">
        <v>308</v>
      </c>
      <c r="BU7" s="28"/>
      <c r="BV7" s="21"/>
      <c r="BW7" s="21"/>
      <c r="BX7" s="28" t="s">
        <v>315</v>
      </c>
    </row>
    <row r="8" spans="1:78" ht="15.75">
      <c r="B8" s="28"/>
      <c r="D8" s="28" t="s">
        <v>221</v>
      </c>
      <c r="F8" s="28" t="s">
        <v>223</v>
      </c>
      <c r="H8" s="28" t="s">
        <v>224</v>
      </c>
      <c r="J8" s="28" t="s">
        <v>35</v>
      </c>
      <c r="M8" s="28" t="s">
        <v>99</v>
      </c>
      <c r="O8" s="22"/>
      <c r="P8" s="22"/>
      <c r="Q8" s="28" t="s">
        <v>249</v>
      </c>
      <c r="S8" s="28" t="s">
        <v>554</v>
      </c>
      <c r="U8" s="28" t="s">
        <v>894</v>
      </c>
      <c r="W8" s="28"/>
      <c r="Y8" s="28" t="s">
        <v>898</v>
      </c>
      <c r="Z8" s="28"/>
      <c r="AA8" s="28" t="s">
        <v>903</v>
      </c>
      <c r="AB8" s="28"/>
      <c r="AD8" s="28"/>
      <c r="AE8" s="28" t="s">
        <v>892</v>
      </c>
      <c r="AF8" s="28"/>
      <c r="AG8" s="28" t="s">
        <v>1749</v>
      </c>
      <c r="AI8" s="28" t="s">
        <v>893</v>
      </c>
      <c r="AJ8" s="28"/>
      <c r="AK8" s="28" t="s">
        <v>1656</v>
      </c>
      <c r="AO8" s="28"/>
      <c r="AQ8" s="57" t="s">
        <v>310</v>
      </c>
      <c r="AR8" s="57"/>
      <c r="AS8" s="57" t="s">
        <v>1283</v>
      </c>
      <c r="AU8" s="57" t="s">
        <v>63</v>
      </c>
      <c r="AV8" s="57"/>
      <c r="AW8" s="57" t="s">
        <v>1741</v>
      </c>
      <c r="AY8" s="57" t="s">
        <v>577</v>
      </c>
      <c r="BA8" s="57" t="s">
        <v>64</v>
      </c>
      <c r="BC8" s="57" t="s">
        <v>65</v>
      </c>
      <c r="BD8" s="28"/>
      <c r="BE8" s="2"/>
      <c r="BF8" s="2"/>
      <c r="BJ8" s="28"/>
      <c r="BL8" s="28" t="s">
        <v>517</v>
      </c>
      <c r="BM8" s="28"/>
      <c r="BN8" s="28" t="s">
        <v>1004</v>
      </c>
      <c r="BP8" s="28" t="s">
        <v>193</v>
      </c>
      <c r="BQ8" s="28"/>
      <c r="BR8" s="28" t="s">
        <v>900</v>
      </c>
      <c r="BS8" s="28"/>
      <c r="BT8" s="28" t="s">
        <v>68</v>
      </c>
      <c r="BU8" s="28"/>
      <c r="BV8" s="28" t="s">
        <v>69</v>
      </c>
      <c r="BW8" s="28"/>
      <c r="BX8" s="28" t="s">
        <v>71</v>
      </c>
    </row>
    <row r="9" spans="1:78" ht="15.75">
      <c r="B9" s="37" t="s">
        <v>890</v>
      </c>
      <c r="D9" s="37" t="s">
        <v>540</v>
      </c>
      <c r="F9" s="37" t="s">
        <v>540</v>
      </c>
      <c r="H9" s="37" t="s">
        <v>540</v>
      </c>
      <c r="J9" s="37" t="s">
        <v>540</v>
      </c>
      <c r="L9" s="53" t="s">
        <v>98</v>
      </c>
      <c r="M9" s="53" t="s">
        <v>100</v>
      </c>
      <c r="O9" s="29" t="s">
        <v>890</v>
      </c>
      <c r="P9" s="22"/>
      <c r="Q9" s="29" t="s">
        <v>250</v>
      </c>
      <c r="S9" s="29" t="s">
        <v>835</v>
      </c>
      <c r="U9" s="29" t="s">
        <v>14</v>
      </c>
      <c r="W9" s="29" t="s">
        <v>14</v>
      </c>
      <c r="Y9" s="29" t="s">
        <v>1382</v>
      </c>
      <c r="Z9" s="29"/>
      <c r="AA9" s="29" t="s">
        <v>1298</v>
      </c>
      <c r="AB9" s="29"/>
      <c r="AC9" s="29" t="s">
        <v>1020</v>
      </c>
      <c r="AD9" s="29"/>
      <c r="AE9" s="29" t="s">
        <v>70</v>
      </c>
      <c r="AF9" s="29"/>
      <c r="AG9" s="29" t="s">
        <v>1338</v>
      </c>
      <c r="AI9" s="29" t="s">
        <v>535</v>
      </c>
      <c r="AJ9" s="29"/>
      <c r="AK9" s="29" t="s">
        <v>625</v>
      </c>
      <c r="AM9" s="29" t="s">
        <v>1383</v>
      </c>
      <c r="AO9" s="28"/>
      <c r="AQ9" s="58" t="s">
        <v>65</v>
      </c>
      <c r="AR9" s="58"/>
      <c r="AS9" s="58" t="s">
        <v>65</v>
      </c>
      <c r="AT9" s="58"/>
      <c r="AU9" s="58" t="s">
        <v>222</v>
      </c>
      <c r="AV9" s="58"/>
      <c r="AW9" s="58" t="s">
        <v>65</v>
      </c>
      <c r="AY9" s="58" t="s">
        <v>65</v>
      </c>
      <c r="BA9" s="58" t="s">
        <v>856</v>
      </c>
      <c r="BC9" s="58" t="s">
        <v>223</v>
      </c>
      <c r="BD9" s="28"/>
      <c r="BE9" s="2"/>
      <c r="BF9" s="2"/>
      <c r="BJ9" s="29"/>
      <c r="BL9" s="29" t="s">
        <v>194</v>
      </c>
      <c r="BM9" s="29"/>
      <c r="BN9" s="29" t="s">
        <v>71</v>
      </c>
      <c r="BP9" s="29" t="s">
        <v>194</v>
      </c>
      <c r="BQ9" s="29"/>
      <c r="BR9" s="29" t="s">
        <v>194</v>
      </c>
      <c r="BS9" s="29"/>
      <c r="BT9" s="29" t="s">
        <v>194</v>
      </c>
      <c r="BU9" s="29"/>
      <c r="BV9" s="29" t="s">
        <v>194</v>
      </c>
      <c r="BW9" s="22"/>
      <c r="BX9" s="29" t="s">
        <v>762</v>
      </c>
    </row>
    <row r="11" spans="1:78">
      <c r="A11" t="s">
        <v>1260</v>
      </c>
      <c r="B11">
        <f>+INPUT!D114+INPUT!D128</f>
        <v>12840036</v>
      </c>
      <c r="D11">
        <f>+INPUT!BF114-INPUT!P114+INPUT!BF128-INPUT!P128</f>
        <v>35310487</v>
      </c>
      <c r="F11">
        <f>+INPUT!BP114+INPUT!BP128</f>
        <v>1165158</v>
      </c>
      <c r="H11">
        <f>+INPUT!BY114+INPUT!BY128</f>
        <v>20411718</v>
      </c>
      <c r="J11">
        <f>SUM(B11:I11)</f>
        <v>69727399</v>
      </c>
      <c r="L11">
        <f>+J11*0.1</f>
        <v>6972739.9000000004</v>
      </c>
      <c r="M11">
        <f>+($J11+$J296)*0.05</f>
        <v>3486369.95</v>
      </c>
      <c r="O11">
        <f>+'Govt BS'!D39+'Govt BS'!D56</f>
        <v>12840036</v>
      </c>
      <c r="Q11" s="23">
        <f>+'Govt BS'!F39+'Govt BS'!F56</f>
        <v>4842886</v>
      </c>
      <c r="S11" s="23">
        <f>+'SR BS'!C37</f>
        <v>373712</v>
      </c>
      <c r="U11" s="23">
        <f>+'SR BS'!E37</f>
        <v>3969</v>
      </c>
      <c r="W11" s="23">
        <f>+'SR BS'!G37</f>
        <v>81553</v>
      </c>
      <c r="Y11" s="23">
        <f>+'SR BS'!I37</f>
        <v>387598</v>
      </c>
      <c r="Z11" s="23"/>
      <c r="AA11" s="23">
        <f>+'SR BS'!K37+'SR BS'!K40</f>
        <v>198877</v>
      </c>
      <c r="AB11" s="23"/>
      <c r="AC11" s="23">
        <f>+'SR BS'!N37</f>
        <v>2188101</v>
      </c>
      <c r="AD11" s="23"/>
      <c r="AE11" s="23">
        <f>+'SR BS'!P37</f>
        <v>1370</v>
      </c>
      <c r="AF11" s="23"/>
      <c r="AG11" s="23">
        <f>+'SR BS'!R37</f>
        <v>25519</v>
      </c>
      <c r="AI11" s="23">
        <f>+'SR BS'!T37</f>
        <v>717768</v>
      </c>
      <c r="AJ11" s="23"/>
      <c r="AK11" s="23">
        <f>+'SR BS'!V37</f>
        <v>88199</v>
      </c>
      <c r="AM11" s="23">
        <f>+'SR BS'!Y37</f>
        <v>60810</v>
      </c>
      <c r="AO11" s="23"/>
      <c r="AQ11" s="23">
        <f>+'DS BS'!D42</f>
        <v>0</v>
      </c>
      <c r="AR11" s="23"/>
      <c r="AS11" s="23">
        <f>+'DS BS'!F42</f>
        <v>63549</v>
      </c>
      <c r="AU11" s="23">
        <f>+'DS BS'!J42</f>
        <v>387148</v>
      </c>
      <c r="AV11" s="23"/>
      <c r="AW11" s="23">
        <f>+'DS BS'!L42</f>
        <v>57834</v>
      </c>
      <c r="AY11" s="23">
        <f>+'DS BS'!N42</f>
        <v>34589</v>
      </c>
      <c r="BA11" s="23">
        <f>+'Govt BS'!J39</f>
        <v>622038</v>
      </c>
      <c r="BC11" s="23">
        <f>SUM(AQ11:BA11)</f>
        <v>1165158</v>
      </c>
      <c r="BD11" s="23"/>
      <c r="BE11">
        <f>+F11</f>
        <v>1165158</v>
      </c>
      <c r="BF11">
        <f>+BE11-BC11</f>
        <v>0</v>
      </c>
      <c r="BJ11" s="23"/>
      <c r="BK11" s="23"/>
      <c r="BL11" s="23">
        <f>+PROPNA!F43+PROPNA!F56</f>
        <v>9448009</v>
      </c>
      <c r="BN11" s="23">
        <f>+PROPNA!H43+PROPNA!H56</f>
        <v>7883099</v>
      </c>
      <c r="BP11" s="23">
        <f>+'ENT BS'!F42</f>
        <v>49928</v>
      </c>
      <c r="BQ11" s="23"/>
      <c r="BR11" s="23">
        <f>+'ENT BS'!H42</f>
        <v>183168</v>
      </c>
      <c r="BS11" s="23"/>
      <c r="BT11" s="23">
        <f>+'ENT BS'!J42</f>
        <v>1393312</v>
      </c>
      <c r="BU11" s="23"/>
      <c r="BV11" s="23">
        <f>+'ENT BS'!L42</f>
        <v>122172</v>
      </c>
      <c r="BX11" s="23">
        <f>SUM(BJ11:BW11)</f>
        <v>19079688</v>
      </c>
      <c r="BY11">
        <f>+J29</f>
        <v>19079688</v>
      </c>
      <c r="BZ11">
        <f>+BY11-BX11</f>
        <v>0</v>
      </c>
    </row>
    <row r="12" spans="1:78">
      <c r="A12" s="21" t="s">
        <v>2566</v>
      </c>
      <c r="J12" t="str">
        <f>IF(+'Govt BS'!T39+'Govt BS'!T56-INPUT!EF114-J11=0," ","ERR")</f>
        <v xml:space="preserve"> </v>
      </c>
      <c r="Q12" s="23" t="str">
        <f>+IF(+Q11&gt;+$L$11,"YES","No")</f>
        <v>No</v>
      </c>
      <c r="S12" s="23" t="str">
        <f>+IF(+S11&gt;+$L$11,"YES","No")</f>
        <v>No</v>
      </c>
      <c r="U12" s="23" t="str">
        <f>+IF(+U11&gt;+$L$11,"YES","No")</f>
        <v>No</v>
      </c>
      <c r="W12" s="23" t="str">
        <f>+IF(+W11&gt;+$L$11,"YES","No")</f>
        <v>No</v>
      </c>
      <c r="Y12" s="23" t="str">
        <f>+IF(+Y11&gt;+$L$11,"YES","No")</f>
        <v>No</v>
      </c>
      <c r="Z12" s="23"/>
      <c r="AA12" s="23" t="str">
        <f>+IF(+AA11&gt;+$L$11,"YES","No")</f>
        <v>No</v>
      </c>
      <c r="AB12" s="23"/>
      <c r="AC12" s="23" t="str">
        <f>+IF(+AC11&gt;+$L$11,"YES","No")</f>
        <v>No</v>
      </c>
      <c r="AD12" s="23"/>
      <c r="AE12" s="23" t="str">
        <f>+IF(+AE11&gt;+$L$11,"YES","No")</f>
        <v>No</v>
      </c>
      <c r="AF12" s="23"/>
      <c r="AG12" s="23" t="str">
        <f>+IF(+AG11&gt;+$L$11,"YES","No")</f>
        <v>No</v>
      </c>
      <c r="AI12" s="23" t="str">
        <f>+IF(+AI11&gt;+$L$11,"YES","No")</f>
        <v>No</v>
      </c>
      <c r="AJ12" s="23"/>
      <c r="AK12" s="23" t="str">
        <f>+IF(+AK11&gt;+$L$11,"YES","No")</f>
        <v>No</v>
      </c>
      <c r="AM12" s="23" t="str">
        <f>+IF(+AM11&gt;+$L$11,"YES","No")</f>
        <v>No</v>
      </c>
      <c r="AO12" s="23"/>
      <c r="AQ12" s="23" t="str">
        <f>+IF(+AQ11&gt;+$L$11,"YES","No")</f>
        <v>No</v>
      </c>
      <c r="AR12" s="23"/>
      <c r="AS12" s="23" t="str">
        <f>+IF(+AS11&gt;+$L$11,"YES","No")</f>
        <v>No</v>
      </c>
      <c r="AU12" s="23" t="str">
        <f>+IF(+AU11&gt;+$L$11,"YES","No")</f>
        <v>No</v>
      </c>
      <c r="AV12" s="23"/>
      <c r="AW12" s="23" t="str">
        <f>+IF(+AW11&gt;+$L$11,"YES","No")</f>
        <v>No</v>
      </c>
      <c r="AY12" s="23" t="str">
        <f>+IF(+AY11&gt;+$L$11,"YES","No")</f>
        <v>No</v>
      </c>
      <c r="BA12" s="23" t="str">
        <f>+IF(+BA11&gt;+$L$11,"YES","No")</f>
        <v>No</v>
      </c>
      <c r="BC12" s="23"/>
      <c r="BD12" s="23"/>
      <c r="BJ12" s="70"/>
      <c r="BK12" s="28"/>
      <c r="BL12" s="71" t="str">
        <f>+IF(+BL11&gt;+$L$29,"YES","No")</f>
        <v>YES</v>
      </c>
      <c r="BN12" s="71" t="str">
        <f>+IF(+BN11&gt;+$L$29,"YES","No")</f>
        <v>YES</v>
      </c>
      <c r="BP12" s="23" t="str">
        <f>+IF(+BP11&gt;+$L$29,"YES","No")</f>
        <v>No</v>
      </c>
      <c r="BQ12" s="23"/>
      <c r="BR12" s="23" t="str">
        <f>+IF(+BR11&gt;+$L$29,"YES","No")</f>
        <v>No</v>
      </c>
      <c r="BS12" s="23"/>
      <c r="BT12" s="23" t="str">
        <f>+IF(+BT11&gt;+$L$29,"YES","No")</f>
        <v>No</v>
      </c>
      <c r="BU12" s="23"/>
      <c r="BV12" s="23" t="str">
        <f>+IF(+BV11&gt;+$L$29,"YES","No")</f>
        <v>No</v>
      </c>
      <c r="BX12" s="23"/>
    </row>
    <row r="13" spans="1:78">
      <c r="Q13" s="23" t="str">
        <f>IF(+Q11&gt;$L$11,IF(+Q11&gt;+$M$11,"YES","No"),"No")</f>
        <v>No</v>
      </c>
      <c r="S13" s="23" t="str">
        <f>IF(+S11&gt;$L$11,IF(+S11&gt;+$M$11,"YES","No"),"No")</f>
        <v>No</v>
      </c>
      <c r="U13" s="23" t="str">
        <f>IF(+U11&gt;$L$11,IF(+U11&gt;+$M$11,"YES","No"),"No")</f>
        <v>No</v>
      </c>
      <c r="W13" s="23" t="str">
        <f>IF(+W11&gt;$L$11,IF(+W11&gt;+$M$11,"YES","No"),"No")</f>
        <v>No</v>
      </c>
      <c r="Y13" s="23" t="str">
        <f>IF(+Y11&gt;$L$11,IF(+Y11&gt;+$M$11,"YES","No"),"No")</f>
        <v>No</v>
      </c>
      <c r="Z13" s="23"/>
      <c r="AA13" s="23" t="str">
        <f>IF(+AA11&gt;$L$11,IF(+AA11&gt;+$M$11,"YES","No"),"No")</f>
        <v>No</v>
      </c>
      <c r="AB13" s="23"/>
      <c r="AC13" s="23" t="str">
        <f>IF(+AC11&gt;$L$11,IF(+AC11&gt;+$M$11,"YES","No"),"No")</f>
        <v>No</v>
      </c>
      <c r="AD13" s="23"/>
      <c r="AE13" s="23" t="str">
        <f>IF(+AE11&gt;$L$11,IF(+AE11&gt;+$M$11,"YES","No"),"No")</f>
        <v>No</v>
      </c>
      <c r="AF13" s="23"/>
      <c r="AG13" s="23" t="str">
        <f>IF(+AG11&gt;$L$11,IF(+AG11&gt;+$M$11,"YES","No"),"No")</f>
        <v>No</v>
      </c>
      <c r="AI13" s="23" t="str">
        <f>IF(+AI11&gt;$L$11,IF(+AI11&gt;+$M$11,"YES","No"),"No")</f>
        <v>No</v>
      </c>
      <c r="AJ13" s="23"/>
      <c r="AK13" s="23" t="str">
        <f>IF(+AK11&gt;$L$11,IF(+AK11&gt;+$M$11,"YES","No"),"No")</f>
        <v>No</v>
      </c>
      <c r="AM13" s="23" t="str">
        <f>IF(+AM11&gt;$L$11,IF(+AM11&gt;+$M$11,"YES","No"),"No")</f>
        <v>No</v>
      </c>
      <c r="AO13" s="23"/>
      <c r="AQ13" s="23" t="str">
        <f>IF(+AQ11&gt;$L$11,IF(+AQ11&gt;+$M$11,"YES","No"),"No")</f>
        <v>No</v>
      </c>
      <c r="AR13" s="23"/>
      <c r="AS13" s="23" t="str">
        <f>IF(+AS11&gt;$L$11,IF(+AS11&gt;+$M$11,"YES","No"),"No")</f>
        <v>No</v>
      </c>
      <c r="AU13" s="23" t="str">
        <f>IF(+AU11&gt;$L$11,IF(+AU11&gt;+$M$11,"YES","No"),"No")</f>
        <v>No</v>
      </c>
      <c r="AV13" s="23"/>
      <c r="AW13" s="23" t="str">
        <f>IF(+AW11&gt;$L$11,IF(+AW11&gt;+$M$11,"YES","No"),"No")</f>
        <v>No</v>
      </c>
      <c r="AY13" s="23" t="str">
        <f>IF(+AY11&gt;$L$11,IF(+AY11&gt;+$M$11,"YES","No"),"No")</f>
        <v>No</v>
      </c>
      <c r="BA13" s="23" t="str">
        <f>IF(+BA11&gt;$L$11,IF(+BA11&gt;+$M$11,"YES","No"),"No")</f>
        <v>No</v>
      </c>
      <c r="BC13" s="23"/>
      <c r="BD13" s="23"/>
      <c r="BJ13" s="70"/>
      <c r="BK13" s="28"/>
      <c r="BL13" s="71" t="str">
        <f>IF(+BL11&gt;$L$29,IF(+BL11&gt;+$M$29,"YES","No"),"No")</f>
        <v>YES</v>
      </c>
      <c r="BN13" s="71" t="str">
        <f>IF(+BN11&gt;$L$29,IF(+BN11&gt;+$M$29,"YES","No"),"No")</f>
        <v>YES</v>
      </c>
      <c r="BP13" s="23" t="str">
        <f>IF(+BP11&gt;$L$29,IF(+BP11&gt;+$M$29,"YES","No"),"No")</f>
        <v>No</v>
      </c>
      <c r="BQ13" s="23"/>
      <c r="BR13" s="23" t="str">
        <f>IF(+BR11&gt;$L$29,IF(+BR11&gt;+$M$29,"YES","No"),"No")</f>
        <v>No</v>
      </c>
      <c r="BS13" s="23"/>
      <c r="BT13" s="23" t="str">
        <f>IF(+BT11&gt;$L$29,IF(+BT11&gt;+$M$29,"YES","No"),"No")</f>
        <v>No</v>
      </c>
      <c r="BU13" s="23"/>
      <c r="BV13" s="23" t="str">
        <f>IF(+BV11&gt;$L$29,IF(+BV11&gt;+$M$29,"YES","No"),"No")</f>
        <v>No</v>
      </c>
      <c r="BX13" s="23"/>
    </row>
    <row r="14" spans="1:78">
      <c r="Q14" s="23"/>
      <c r="S14" s="23"/>
      <c r="U14" s="23"/>
      <c r="W14" s="23"/>
      <c r="Y14" s="23"/>
      <c r="Z14" s="23"/>
      <c r="AA14" s="23"/>
      <c r="AB14" s="23"/>
      <c r="AC14" s="23"/>
      <c r="AD14" s="23"/>
      <c r="AE14" s="23"/>
      <c r="AF14" s="23"/>
      <c r="AG14" s="23"/>
      <c r="AI14" s="23"/>
      <c r="AJ14" s="23"/>
      <c r="AK14" s="23"/>
      <c r="AM14" s="23"/>
      <c r="AO14" s="23"/>
      <c r="AQ14" s="23"/>
      <c r="AR14" s="23"/>
      <c r="AS14" s="23"/>
      <c r="AU14" s="23"/>
      <c r="AV14" s="23"/>
      <c r="AW14" s="23"/>
      <c r="AY14" s="23"/>
      <c r="BA14" s="23"/>
      <c r="BC14" s="23"/>
      <c r="BD14" s="23"/>
      <c r="BJ14" s="23"/>
      <c r="BK14" s="23"/>
      <c r="BL14" s="23"/>
      <c r="BN14" s="23"/>
      <c r="BP14" s="23"/>
      <c r="BQ14" s="23"/>
      <c r="BR14" s="23"/>
      <c r="BS14" s="23"/>
      <c r="BT14" s="23"/>
      <c r="BU14" s="23"/>
      <c r="BV14" s="23"/>
      <c r="BX14" s="23"/>
    </row>
    <row r="15" spans="1:78">
      <c r="A15" t="s">
        <v>1261</v>
      </c>
      <c r="B15">
        <f>+INPUT!D154+INPUT!D172</f>
        <v>2615304</v>
      </c>
      <c r="D15">
        <f>+INPUT!BF154-INPUT!P154+INPUT!BF172-INPUT!P172</f>
        <v>12058988</v>
      </c>
      <c r="F15">
        <f>+INPUT!BP154+INPUT!BP172</f>
        <v>540579</v>
      </c>
      <c r="H15">
        <f>+INPUT!BY154+INPUT!BY172</f>
        <v>187529</v>
      </c>
      <c r="J15">
        <f>SUM(B15:I15)</f>
        <v>15402400</v>
      </c>
      <c r="L15">
        <f>+J15*0.1</f>
        <v>1540240</v>
      </c>
      <c r="M15">
        <f>+($J15+$J31)*0.05</f>
        <v>894065.20000000007</v>
      </c>
      <c r="O15">
        <f>+'Govt BS'!D90+'Govt BS'!D93</f>
        <v>1748900</v>
      </c>
      <c r="Q15" s="23">
        <f>+'Govt BS'!F90+'Govt BS'!F108</f>
        <v>476795</v>
      </c>
      <c r="S15" s="23">
        <f>+'SR BS'!C68+'SR BS'!C71</f>
        <v>475766</v>
      </c>
      <c r="U15" s="23">
        <f>+'SR BS'!E68+'SR BS'!E71</f>
        <v>277</v>
      </c>
      <c r="W15" s="23">
        <f>+'SR BS'!G68+'SR BS'!G71</f>
        <v>7744</v>
      </c>
      <c r="Y15" s="23">
        <f>+'SR BS'!I68+'SR BS'!I71</f>
        <v>30251</v>
      </c>
      <c r="AA15" s="23">
        <f>+'SR BS'!K68+'SR BS'!K71</f>
        <v>194377</v>
      </c>
      <c r="AC15" s="23">
        <f>+'SR BS'!N68+'SR BS'!N71</f>
        <v>91044</v>
      </c>
      <c r="AE15" s="23">
        <f>+'SR BS'!P68+'SR BS'!P71</f>
        <v>67</v>
      </c>
      <c r="AG15" s="23">
        <f>+'SR BS'!R68+'SR BS'!R71</f>
        <v>3879</v>
      </c>
      <c r="AI15" s="23">
        <f>+'SR BS'!T68+'SR BS'!T71</f>
        <v>57439</v>
      </c>
      <c r="AK15" s="23">
        <f>+'SR BS'!V68+'SR BS'!V71</f>
        <v>3894</v>
      </c>
      <c r="AM15" s="23">
        <f>+'SR BS'!Y68+'SR BS'!Y71</f>
        <v>405</v>
      </c>
      <c r="AO15" s="23"/>
      <c r="AQ15" s="23">
        <f>+'DS BS'!D62+'DS BS'!D65</f>
        <v>0</v>
      </c>
      <c r="AR15" s="23"/>
      <c r="AS15" s="23">
        <f>+'DS BS'!F62+'DS BS'!F65</f>
        <v>22255</v>
      </c>
      <c r="AT15" s="23"/>
      <c r="AU15" s="23">
        <f>+'DS BS'!J62+'DS BS'!J65</f>
        <v>0</v>
      </c>
      <c r="AV15" s="23"/>
      <c r="AW15" s="23">
        <f>+'DS BS'!L62+'DS BS'!L65</f>
        <v>2228</v>
      </c>
      <c r="AY15" s="23">
        <f>+'DS BS'!N62+'DS BS'!N65</f>
        <v>15159</v>
      </c>
      <c r="BA15" s="23">
        <f>+'Govt BS'!J90+'Govt BS'!J93</f>
        <v>500937</v>
      </c>
      <c r="BC15" s="23">
        <f>SUM(AQ15:BA15)</f>
        <v>540579</v>
      </c>
      <c r="BD15" s="23"/>
      <c r="BE15">
        <f>+F15</f>
        <v>540579</v>
      </c>
      <c r="BF15">
        <f>+BE15-BC15</f>
        <v>0</v>
      </c>
      <c r="BJ15" s="23"/>
      <c r="BK15" s="23"/>
      <c r="BL15" s="23">
        <f>+PROPNA!F87+PROPNA!F105</f>
        <v>2248296</v>
      </c>
      <c r="BN15" s="23">
        <f>+PROPNA!H87+PROPNA!H105</f>
        <v>101862</v>
      </c>
      <c r="BP15" s="23">
        <f>+'ENT BS'!F81</f>
        <v>548</v>
      </c>
      <c r="BQ15" s="23"/>
      <c r="BR15" s="23">
        <f>+'ENT BS'!H81</f>
        <v>3115</v>
      </c>
      <c r="BS15" s="23"/>
      <c r="BT15" s="23">
        <f>+'ENT BS'!J81</f>
        <v>124074</v>
      </c>
      <c r="BU15" s="23"/>
      <c r="BV15" s="23">
        <f>+'ENT BS'!L81</f>
        <v>1009</v>
      </c>
      <c r="BX15" s="23">
        <f>SUM(BJ15:BW15)</f>
        <v>2478904</v>
      </c>
      <c r="BY15">
        <f>+J31</f>
        <v>2478904</v>
      </c>
      <c r="BZ15">
        <f>+BY15-BX15</f>
        <v>0</v>
      </c>
    </row>
    <row r="16" spans="1:78">
      <c r="A16" s="21" t="s">
        <v>2301</v>
      </c>
      <c r="J16" t="str">
        <f>IF(+'Govt BS'!T90+'Govt BS'!T108-INPUT!EF154-J15=0," ","ERR")</f>
        <v xml:space="preserve"> </v>
      </c>
      <c r="Q16" s="23" t="str">
        <f>+IF(+Q15&gt;+$L$15,"YES","No")</f>
        <v>No</v>
      </c>
      <c r="S16" s="23" t="str">
        <f>+IF(+S15&gt;+$L$15,"YES","No")</f>
        <v>No</v>
      </c>
      <c r="U16" s="23" t="str">
        <f>+IF(+U15&gt;+$L$15,"YES","No")</f>
        <v>No</v>
      </c>
      <c r="W16" s="23" t="str">
        <f>+IF(+W15&gt;+$L$15,"YES","No")</f>
        <v>No</v>
      </c>
      <c r="Y16" s="23" t="str">
        <f>+IF(+Y15&gt;+$L$15,"YES","No")</f>
        <v>No</v>
      </c>
      <c r="Z16" s="23"/>
      <c r="AA16" s="23" t="str">
        <f>+IF(+AA15&gt;+$L$15,"YES","No")</f>
        <v>No</v>
      </c>
      <c r="AB16" s="23"/>
      <c r="AC16" s="23" t="str">
        <f>+IF(+AC15&gt;+$L$15,"YES","No")</f>
        <v>No</v>
      </c>
      <c r="AD16" s="23"/>
      <c r="AE16" s="23" t="str">
        <f>+IF(+AE15&gt;+$L$15,"YES","No")</f>
        <v>No</v>
      </c>
      <c r="AF16" s="23"/>
      <c r="AG16" s="23" t="str">
        <f>+IF(+AG15&gt;+$L$15,"YES","No")</f>
        <v>No</v>
      </c>
      <c r="AI16" s="23" t="str">
        <f>+IF(+AI15&gt;+$L$15,"YES","No")</f>
        <v>No</v>
      </c>
      <c r="AJ16" s="23"/>
      <c r="AK16" s="23" t="str">
        <f>+IF(+AK15&gt;+$L$15,"YES","No")</f>
        <v>No</v>
      </c>
      <c r="AM16" s="23" t="str">
        <f>+IF(+AM15&gt;+$L$15,"YES","No")</f>
        <v>No</v>
      </c>
      <c r="AO16" s="23"/>
      <c r="AQ16" s="23" t="str">
        <f>+IF(+AQ15&gt;+$L$15,"YES","No")</f>
        <v>No</v>
      </c>
      <c r="AR16" s="23"/>
      <c r="AS16" s="23" t="str">
        <f>+IF(+AS15&gt;+$L$15,"YES","No")</f>
        <v>No</v>
      </c>
      <c r="AU16" s="23" t="str">
        <f>+IF(+AU15&gt;+$L$15,"YES","No")</f>
        <v>No</v>
      </c>
      <c r="AV16" s="23"/>
      <c r="AW16" s="23" t="str">
        <f>+IF(+AW15&gt;+$L$15,"YES","No")</f>
        <v>No</v>
      </c>
      <c r="AY16" s="23" t="str">
        <f>+IF(+AY15&gt;+$L$15,"YES","No")</f>
        <v>No</v>
      </c>
      <c r="BA16" s="71" t="str">
        <f>+IF(+BA15&gt;+$L$15,"YES","No")</f>
        <v>No</v>
      </c>
      <c r="BC16" s="23"/>
      <c r="BD16" s="23"/>
      <c r="BJ16" s="70"/>
      <c r="BK16" s="28"/>
      <c r="BL16" s="71" t="str">
        <f>+IF(+BL15&gt;+$L$31,"YES","No")</f>
        <v>YES</v>
      </c>
      <c r="BN16" s="70" t="str">
        <f>+IF(+BN15&gt;+$L$31,"YES","No")</f>
        <v>No</v>
      </c>
      <c r="BP16" s="23" t="str">
        <f>+IF(+BP15&gt;+$L$31,"YES","No")</f>
        <v>No</v>
      </c>
      <c r="BQ16" s="23"/>
      <c r="BR16" s="23" t="str">
        <f>+IF(+BR15&gt;+$L$31,"YES","No")</f>
        <v>No</v>
      </c>
      <c r="BS16" s="23"/>
      <c r="BT16" s="23" t="str">
        <f>+IF(+BT15&gt;+$L$31,"YES","No")</f>
        <v>No</v>
      </c>
      <c r="BU16" s="23"/>
      <c r="BV16" s="23" t="str">
        <f>+IF(+BV15&gt;+$L$31,"YES","No")</f>
        <v>No</v>
      </c>
      <c r="BX16" s="23"/>
    </row>
    <row r="17" spans="1:78">
      <c r="Q17" s="23" t="str">
        <f>IF(+Q15&gt;$L$15,IF(+Q15&gt;+$M$15,"YES","No"),"No")</f>
        <v>No</v>
      </c>
      <c r="S17" s="23" t="str">
        <f>IF(+S15&gt;$L$15,IF(+S15&gt;+$M$15,"YES","No"),"No")</f>
        <v>No</v>
      </c>
      <c r="U17" s="23" t="str">
        <f>IF(+U15&gt;$L$15,IF(+U15&gt;+$M$15,"YES","No"),"No")</f>
        <v>No</v>
      </c>
      <c r="W17" s="23" t="str">
        <f>IF(+W15&gt;$L$15,IF(+W15&gt;+$M$15,"YES","No"),"No")</f>
        <v>No</v>
      </c>
      <c r="Y17" s="23" t="str">
        <f>IF(+Y15&gt;$L$15,IF(+Y15&gt;+$M$15,"YES","No"),"No")</f>
        <v>No</v>
      </c>
      <c r="Z17" s="23"/>
      <c r="AA17" s="23" t="str">
        <f>IF(+AA15&gt;$L$15,IF(+AA15&gt;+$M$15,"YES","No"),"No")</f>
        <v>No</v>
      </c>
      <c r="AB17" s="23"/>
      <c r="AC17" s="23" t="str">
        <f>IF(+AC15&gt;$L$15,IF(+AC15&gt;+$M$15,"YES","No"),"No")</f>
        <v>No</v>
      </c>
      <c r="AD17" s="23"/>
      <c r="AE17" s="23" t="str">
        <f>IF(+AE15&gt;$L$15,IF(+AE15&gt;+$M$15,"YES","No"),"No")</f>
        <v>No</v>
      </c>
      <c r="AF17" s="23"/>
      <c r="AG17" s="23" t="str">
        <f>IF(+AG15&gt;$L$15,IF(+AG15&gt;+$M$15,"YES","No"),"No")</f>
        <v>No</v>
      </c>
      <c r="AI17" s="23" t="str">
        <f>IF(+AI15&gt;$L$15,IF(+AI15&gt;+$M$15,"YES","No"),"No")</f>
        <v>No</v>
      </c>
      <c r="AJ17" s="23"/>
      <c r="AK17" s="23" t="str">
        <f>IF(+AK15&gt;$L$15,IF(+AK15&gt;+$M$15,"YES","No"),"No")</f>
        <v>No</v>
      </c>
      <c r="AM17" s="23" t="str">
        <f>IF(+AM15&gt;$L$15,IF(+AM15&gt;+$M$15,"YES","No"),"No")</f>
        <v>No</v>
      </c>
      <c r="AO17" s="23"/>
      <c r="AQ17" s="23" t="str">
        <f>IF(+AQ15&gt;$L$15,IF(+AQ15&gt;+$M$15,"YES","No"),"No")</f>
        <v>No</v>
      </c>
      <c r="AR17" s="23"/>
      <c r="AS17" s="23" t="str">
        <f>IF(+AS15&gt;$L$15,IF(+AS15&gt;+$M$15,"YES","No"),"No")</f>
        <v>No</v>
      </c>
      <c r="AU17" s="23" t="str">
        <f>IF(+AU15&gt;$L$15,IF(+AU15&gt;+$M$15,"YES","No"),"No")</f>
        <v>No</v>
      </c>
      <c r="AV17" s="23"/>
      <c r="AW17" s="23" t="str">
        <f>IF(+AW15&gt;$L$15,IF(+AW15&gt;+$M$15,"YES","No"),"No")</f>
        <v>No</v>
      </c>
      <c r="AY17" s="23" t="str">
        <f>IF(+AY15&gt;$L$15,IF(+AY15&gt;+$M$15,"YES","No"),"No")</f>
        <v>No</v>
      </c>
      <c r="BA17" s="71" t="str">
        <f>IF(+BA15&gt;$L$15,IF(+BA15&gt;+$M$15,"YES","No"),"No")</f>
        <v>No</v>
      </c>
      <c r="BC17" s="23"/>
      <c r="BD17" s="23"/>
      <c r="BJ17" s="70"/>
      <c r="BK17" s="28"/>
      <c r="BL17" s="71" t="str">
        <f>IF(+BL15&gt;$L$31,IF(+BL15&gt;+$M$31,"YES","No"),"No")</f>
        <v>YES</v>
      </c>
      <c r="BN17" s="70" t="str">
        <f>IF(+BN15&gt;$L$31,IF(+BN15&gt;+$M$31,"YES","No"),"No")</f>
        <v>No</v>
      </c>
      <c r="BP17" s="23" t="str">
        <f>IF(+BP15&gt;$L$31,IF(+BP15&gt;+$M$31,"YES","No"),"No")</f>
        <v>No</v>
      </c>
      <c r="BQ17" s="23"/>
      <c r="BR17" s="23" t="str">
        <f>IF(+BR15&gt;$L$31,IF(+BR15&gt;+$M$31,"YES","No"),"No")</f>
        <v>No</v>
      </c>
      <c r="BS17" s="23"/>
      <c r="BT17" s="23" t="str">
        <f>IF(+BT15&gt;$L$31,IF(+BT15&gt;+$M$31,"YES","No"),"No")</f>
        <v>No</v>
      </c>
      <c r="BU17" s="23"/>
      <c r="BV17" s="23" t="str">
        <f>IF(+BV15&gt;$L$31,IF(+BV15&gt;+$M$31,"YES","No"),"No")</f>
        <v>No</v>
      </c>
      <c r="BX17" s="23"/>
    </row>
    <row r="18" spans="1:78">
      <c r="Q18" s="23"/>
      <c r="S18" s="23"/>
      <c r="U18" s="23"/>
      <c r="W18" s="23"/>
      <c r="Y18" s="23"/>
      <c r="Z18" s="23"/>
      <c r="AA18" s="23"/>
      <c r="AB18" s="23"/>
      <c r="AC18" s="23"/>
      <c r="AD18" s="23"/>
      <c r="AE18" s="23"/>
      <c r="AF18" s="23"/>
      <c r="AG18" s="23"/>
      <c r="AI18" s="23"/>
      <c r="AJ18" s="23"/>
      <c r="AK18" s="23"/>
      <c r="AM18" s="23"/>
      <c r="AO18" s="23"/>
      <c r="AQ18" s="23"/>
      <c r="AR18" s="23"/>
      <c r="AS18" s="23"/>
      <c r="AU18" s="23"/>
      <c r="AV18" s="23"/>
      <c r="AW18" s="23"/>
      <c r="AY18" s="23"/>
      <c r="BA18" s="23"/>
      <c r="BC18" s="23"/>
      <c r="BD18" s="23"/>
      <c r="BJ18" s="23"/>
      <c r="BK18" s="23"/>
      <c r="BL18" s="23"/>
      <c r="BN18" s="23"/>
      <c r="BP18" s="23"/>
      <c r="BQ18" s="23"/>
      <c r="BR18" s="23"/>
      <c r="BS18" s="23"/>
      <c r="BT18" s="23"/>
      <c r="BU18" s="23"/>
      <c r="BV18" s="23"/>
      <c r="BX18" s="23"/>
    </row>
    <row r="19" spans="1:78">
      <c r="A19" t="s">
        <v>1262</v>
      </c>
      <c r="B19">
        <f>+'Govt IS'!D24</f>
        <v>15532721</v>
      </c>
      <c r="D19">
        <f>+'SR IS'!EC23+'Govt IS'!F24+'Govt IS'!G24+'Govt IS'!H24</f>
        <v>42169068</v>
      </c>
      <c r="F19">
        <f>+'DS IS'!P23+'Govt IS'!J24</f>
        <v>1961655</v>
      </c>
      <c r="H19">
        <f>+INPUT!BY18</f>
        <v>656088</v>
      </c>
      <c r="J19">
        <f>SUM(B19:I19)</f>
        <v>60319532</v>
      </c>
      <c r="L19">
        <f>+J19*0.1</f>
        <v>6031953.2000000002</v>
      </c>
      <c r="M19">
        <f>+($J19+$J33)*0.05</f>
        <v>3298174.95</v>
      </c>
      <c r="O19">
        <f>+'Govt IS'!D24</f>
        <v>15532721</v>
      </c>
      <c r="Q19" s="23">
        <f>+'Govt IS'!F24</f>
        <v>14645818</v>
      </c>
      <c r="S19" s="23">
        <f>+'SR IS'!C23</f>
        <v>1659938</v>
      </c>
      <c r="U19" s="23">
        <f>+'SR IS'!E23</f>
        <v>18860</v>
      </c>
      <c r="W19" s="23">
        <f>+'SR IS'!G23</f>
        <v>277470</v>
      </c>
      <c r="Y19" s="23">
        <f>+'SR IS'!I23</f>
        <v>407965</v>
      </c>
      <c r="Z19" s="23"/>
      <c r="AA19" s="23">
        <f>+'SR IS'!K23</f>
        <v>529769</v>
      </c>
      <c r="AB19" s="23"/>
      <c r="AC19" s="23">
        <f>+'SR IS'!N23</f>
        <v>4707532</v>
      </c>
      <c r="AD19" s="23"/>
      <c r="AE19" s="23">
        <f>+'SR IS'!P23</f>
        <v>1627</v>
      </c>
      <c r="AF19" s="23"/>
      <c r="AG19" s="23">
        <f>+'SR IS'!R23</f>
        <v>24961</v>
      </c>
      <c r="AI19" s="23">
        <f>+'SR IS'!T23</f>
        <v>2169237</v>
      </c>
      <c r="AJ19" s="23"/>
      <c r="AK19" s="23">
        <f>+'SR IS'!V23</f>
        <v>175236</v>
      </c>
      <c r="AM19" s="23">
        <f>+'SR IS'!Y23</f>
        <v>18981</v>
      </c>
      <c r="AO19" s="23"/>
      <c r="AQ19" s="23">
        <f>+'DS IS'!D23</f>
        <v>112309</v>
      </c>
      <c r="AR19" s="23"/>
      <c r="AS19" s="23">
        <f>+'DS IS'!F23</f>
        <v>961022</v>
      </c>
      <c r="AU19" s="23">
        <f>+'DS IS'!J23</f>
        <v>12653</v>
      </c>
      <c r="AV19" s="23"/>
      <c r="AW19" s="23">
        <f>+'DS IS'!L23</f>
        <v>92882</v>
      </c>
      <c r="AY19" s="23">
        <f>+'DS IS'!N23</f>
        <v>651213</v>
      </c>
      <c r="BA19" s="23">
        <f>+'Govt IS'!J24</f>
        <v>131576</v>
      </c>
      <c r="BC19" s="23">
        <f>SUM(AQ19:BA19)</f>
        <v>1961655</v>
      </c>
      <c r="BD19" s="23"/>
      <c r="BE19">
        <f>+F19</f>
        <v>1961655</v>
      </c>
      <c r="BF19">
        <f>+BE19-BC19</f>
        <v>0</v>
      </c>
      <c r="BJ19" s="23"/>
      <c r="BK19" s="23"/>
      <c r="BL19" s="23">
        <f>+PROPREV!F19+PROPREV!F35+PROPREV!F49</f>
        <v>1488521</v>
      </c>
      <c r="BN19" s="23">
        <f>+PROPREV!H19+PROPREV!H35</f>
        <v>1822123</v>
      </c>
      <c r="BP19" s="23">
        <f>+'ENT IS'!F19+'ENT IS'!F35+'ENT IS'!F38</f>
        <v>131295</v>
      </c>
      <c r="BQ19" s="23"/>
      <c r="BR19" s="23">
        <f>+'ENT IS'!H19+'ENT IS'!H35+'ENT IS'!H38</f>
        <v>167503</v>
      </c>
      <c r="BS19" s="23"/>
      <c r="BT19" s="23">
        <f>+'ENT IS'!J19+'ENT IS'!J35+'ENT IS'!J38</f>
        <v>1434749</v>
      </c>
      <c r="BU19" s="23"/>
      <c r="BV19" s="23">
        <f>+'ENT IS'!L19+'ENT IS'!L35+'ENT IS'!L38</f>
        <v>46984</v>
      </c>
      <c r="BX19" s="23">
        <f>SUM(BJ19:BW19)</f>
        <v>5091175</v>
      </c>
      <c r="BY19">
        <f>+J33</f>
        <v>5643967</v>
      </c>
      <c r="BZ19">
        <f>+BY19-BX19</f>
        <v>552792</v>
      </c>
    </row>
    <row r="20" spans="1:78">
      <c r="J20" t="str">
        <f>IF(+'Govt IS'!T24-INPUT!EF18-J19=0," ","ERR")</f>
        <v xml:space="preserve"> </v>
      </c>
      <c r="Q20" s="71" t="str">
        <f>+IF(+Q19&gt;+$L$19,"YES","No")</f>
        <v>YES</v>
      </c>
      <c r="S20" s="23" t="str">
        <f>+IF(+S19&gt;+$L$19,"YES","No")</f>
        <v>No</v>
      </c>
      <c r="U20" s="23" t="str">
        <f>+IF(+U19&gt;+$L$19,"YES","No")</f>
        <v>No</v>
      </c>
      <c r="W20" s="23" t="str">
        <f>+IF(+W19&gt;+$L$19,"YES","No")</f>
        <v>No</v>
      </c>
      <c r="Y20" s="23" t="str">
        <f>+IF(+Y19&gt;+$L$19,"YES","No")</f>
        <v>No</v>
      </c>
      <c r="Z20" s="23"/>
      <c r="AA20" s="23" t="str">
        <f>+IF(+AA19&gt;+$L$19,"YES","No")</f>
        <v>No</v>
      </c>
      <c r="AB20" s="23"/>
      <c r="AC20" s="23" t="str">
        <f>+IF(+AC19&gt;+$L$19,"YES","No")</f>
        <v>No</v>
      </c>
      <c r="AD20" s="23"/>
      <c r="AE20" s="23" t="str">
        <f>+IF(+AE19&gt;+$L$19,"YES","No")</f>
        <v>No</v>
      </c>
      <c r="AF20" s="23"/>
      <c r="AG20" s="23" t="str">
        <f>+IF(+AG19&gt;+$L$19,"YES","No")</f>
        <v>No</v>
      </c>
      <c r="AI20" s="23" t="str">
        <f>+IF(+AI19&gt;+$L$19,"YES","No")</f>
        <v>No</v>
      </c>
      <c r="AJ20" s="23"/>
      <c r="AK20" s="23" t="str">
        <f>+IF(+AK19&gt;+$L$19,"YES","No")</f>
        <v>No</v>
      </c>
      <c r="AM20" s="23" t="str">
        <f>+IF(+AM19&gt;+$L$19,"YES","No")</f>
        <v>No</v>
      </c>
      <c r="AO20" s="23"/>
      <c r="AQ20" s="23" t="str">
        <f>+IF(+AQ19&gt;+$L$19,"YES","No")</f>
        <v>No</v>
      </c>
      <c r="AR20" s="23"/>
      <c r="AS20" s="23" t="str">
        <f>+IF(+AS19&gt;+$L$19,"YES","No")</f>
        <v>No</v>
      </c>
      <c r="AU20" s="23" t="str">
        <f>+IF(+AU19&gt;+$L$19,"YES","No")</f>
        <v>No</v>
      </c>
      <c r="AV20" s="23"/>
      <c r="AW20" s="23" t="str">
        <f>+IF(+AW19&gt;+$L$19,"YES","No")</f>
        <v>No</v>
      </c>
      <c r="AY20" s="23" t="str">
        <f>+IF(+AY19&gt;+$L$19,"YES","No")</f>
        <v>No</v>
      </c>
      <c r="BA20" s="23" t="str">
        <f>+IF(+BA19&gt;+$L$19,"YES","No")</f>
        <v>No</v>
      </c>
      <c r="BC20" s="23"/>
      <c r="BD20" s="23"/>
      <c r="BJ20" s="70"/>
      <c r="BK20" s="28"/>
      <c r="BL20" s="71" t="str">
        <f>+IF(+BL19&gt;+$L$33,"YES","No")</f>
        <v>YES</v>
      </c>
      <c r="BN20" s="71" t="str">
        <f>+IF(+BN19&gt;+$L$33,"YES","No")</f>
        <v>YES</v>
      </c>
      <c r="BP20" s="23" t="str">
        <f>+IF(+BP19&gt;+$L$33,"YES","No")</f>
        <v>No</v>
      </c>
      <c r="BQ20" s="23"/>
      <c r="BR20" s="23" t="str">
        <f>+IF(+BR19&gt;+$L$33,"YES","No")</f>
        <v>No</v>
      </c>
      <c r="BS20" s="23"/>
      <c r="BT20" s="145" t="str">
        <f>+IF(+BT19&gt;+$L$33,"YES","No")</f>
        <v>YES</v>
      </c>
      <c r="BU20" s="23"/>
      <c r="BV20" s="23" t="str">
        <f>+IF(+BV19&gt;+$L$33,"YES","No")</f>
        <v>No</v>
      </c>
      <c r="BX20" s="23"/>
    </row>
    <row r="21" spans="1:78">
      <c r="Q21" s="71" t="str">
        <f>IF(+Q19&gt;$L$19,IF(+Q19&gt;+$M$19,"YES","No"),"No")</f>
        <v>YES</v>
      </c>
      <c r="S21" s="23" t="str">
        <f>IF(+S19&gt;$L$19,IF(+S19&gt;+$M$19,"YES","No"),"No")</f>
        <v>No</v>
      </c>
      <c r="U21" s="23" t="str">
        <f>IF(+U19&gt;$L$19,IF(+U19&gt;+$M$19,"YES","No"),"No")</f>
        <v>No</v>
      </c>
      <c r="W21" s="23" t="str">
        <f>IF(+W19&gt;$L$19,IF(+W19&gt;+$M$19,"YES","No"),"No")</f>
        <v>No</v>
      </c>
      <c r="Y21" s="23" t="str">
        <f>IF(+Y19&gt;$L$19,IF(+Y19&gt;+$M$19,"YES","No"),"No")</f>
        <v>No</v>
      </c>
      <c r="Z21" s="23"/>
      <c r="AA21" s="23" t="str">
        <f>IF(+AA19&gt;$L$19,IF(+AA19&gt;+$M$19,"YES","No"),"No")</f>
        <v>No</v>
      </c>
      <c r="AB21" s="23"/>
      <c r="AC21" s="23" t="str">
        <f>IF(+AC19&gt;$L$19,IF(+AC19&gt;+$M$19,"YES","No"),"No")</f>
        <v>No</v>
      </c>
      <c r="AD21" s="23"/>
      <c r="AE21" s="23" t="str">
        <f>IF(+AE19&gt;$L$19,IF(+AE19&gt;+$M$19,"YES","No"),"No")</f>
        <v>No</v>
      </c>
      <c r="AF21" s="23"/>
      <c r="AG21" s="23" t="str">
        <f>IF(+AG19&gt;$L$19,IF(+AG19&gt;+$M$19,"YES","No"),"No")</f>
        <v>No</v>
      </c>
      <c r="AI21" s="23" t="str">
        <f>IF(+AI19&gt;$L$19,IF(+AI19&gt;+$M$19,"YES","No"),"No")</f>
        <v>No</v>
      </c>
      <c r="AJ21" s="23"/>
      <c r="AK21" s="23" t="str">
        <f>IF(+AK19&gt;$L$19,IF(+AK19&gt;+$M$19,"YES","No"),"No")</f>
        <v>No</v>
      </c>
      <c r="AM21" s="23" t="str">
        <f>IF(+AM19&gt;$L$19,IF(+AM19&gt;+$M$19,"YES","No"),"No")</f>
        <v>No</v>
      </c>
      <c r="AO21" s="23"/>
      <c r="AQ21" s="23" t="str">
        <f>IF(+AQ19&gt;$L$19,IF(+AQ19&gt;+$M$19,"YES","No"),"No")</f>
        <v>No</v>
      </c>
      <c r="AR21" s="23"/>
      <c r="AS21" s="23" t="str">
        <f>IF(+AS19&gt;$L$19,IF(+AS19&gt;+$M$19,"YES","No"),"No")</f>
        <v>No</v>
      </c>
      <c r="AU21" s="23" t="str">
        <f>IF(+AU19&gt;$L$19,IF(+AU19&gt;+$M$19,"YES","No"),"No")</f>
        <v>No</v>
      </c>
      <c r="AV21" s="23"/>
      <c r="AW21" s="23" t="str">
        <f>IF(+AW19&gt;$L$19,IF(+AW19&gt;+$M$19,"YES","No"),"No")</f>
        <v>No</v>
      </c>
      <c r="AY21" s="23" t="str">
        <f>IF(+AY19&gt;$L$19,IF(+AY19&gt;+$M$19,"YES","No"),"No")</f>
        <v>No</v>
      </c>
      <c r="BA21" s="23" t="str">
        <f>IF(+BA19&gt;$L$19,IF(+BA19&gt;+$M$19,"YES","No"),"No")</f>
        <v>No</v>
      </c>
      <c r="BC21" s="23"/>
      <c r="BD21" s="23"/>
      <c r="BJ21" s="70"/>
      <c r="BK21" s="28"/>
      <c r="BL21" s="23" t="str">
        <f>IF(+BL19&gt;$L$33,IF(+BL19&gt;+$M$33,"YES","No"),"No")</f>
        <v>No</v>
      </c>
      <c r="BN21" s="23" t="str">
        <f>IF(+BN19&gt;$L$33,IF(+BN19&gt;+$M$33,"YES","No"),"No")</f>
        <v>No</v>
      </c>
      <c r="BP21" s="23" t="str">
        <f>IF(+BP19&gt;$L$33,IF(+BP19&gt;+$M$33,"YES","No"),"No")</f>
        <v>No</v>
      </c>
      <c r="BQ21" s="23"/>
      <c r="BR21" s="23" t="str">
        <f>IF(+BR19&gt;$L$33,IF(+BR19&gt;+$M$33,"YES","No"),"No")</f>
        <v>No</v>
      </c>
      <c r="BS21" s="23"/>
      <c r="BT21" s="23" t="str">
        <f>IF(+BT19&gt;$L$33,IF(+BT19&gt;+$M$33,"YES","No"),"No")</f>
        <v>No</v>
      </c>
      <c r="BU21" s="23"/>
      <c r="BV21" s="23" t="str">
        <f>IF(+BV19&gt;$L$33,IF(+BV19&gt;+$M$33,"YES","No"),"No")</f>
        <v>No</v>
      </c>
      <c r="BX21" s="23"/>
    </row>
    <row r="22" spans="1:78">
      <c r="Q22" s="23"/>
      <c r="S22" s="23"/>
      <c r="U22" s="23"/>
      <c r="W22" s="23"/>
      <c r="Y22" s="23"/>
      <c r="Z22" s="23"/>
      <c r="AA22" s="23"/>
      <c r="AB22" s="23"/>
      <c r="AC22" s="23"/>
      <c r="AD22" s="23"/>
      <c r="AE22" s="23"/>
      <c r="AF22" s="23"/>
      <c r="AG22" s="23"/>
      <c r="AI22" s="23"/>
      <c r="AJ22" s="23"/>
      <c r="AK22" s="23"/>
      <c r="AM22" s="23"/>
      <c r="AO22" s="23"/>
      <c r="AQ22" s="23"/>
      <c r="AR22" s="23"/>
      <c r="AS22" s="23"/>
      <c r="AU22" s="23"/>
      <c r="AV22" s="23"/>
      <c r="AW22" s="23"/>
      <c r="AY22" s="23"/>
      <c r="BA22" s="23"/>
      <c r="BC22" s="23"/>
      <c r="BD22" s="23"/>
      <c r="BJ22" s="23"/>
      <c r="BK22" s="23"/>
      <c r="BL22" s="23"/>
      <c r="BN22" s="23"/>
      <c r="BP22" s="23"/>
      <c r="BQ22" s="23"/>
      <c r="BR22" s="23"/>
      <c r="BS22" s="23"/>
      <c r="BT22" s="23"/>
      <c r="BU22" s="23"/>
      <c r="BV22" s="23"/>
      <c r="BX22" s="23"/>
    </row>
    <row r="23" spans="1:78">
      <c r="A23" t="s">
        <v>1263</v>
      </c>
      <c r="B23">
        <f>+'Govt IS'!D37</f>
        <v>13486328</v>
      </c>
      <c r="D23">
        <f>+'SR IS'!EC36+'Govt IS'!F37+'Govt IS'!G37+'Govt IS'!H37</f>
        <v>39444612</v>
      </c>
      <c r="F23">
        <f>+'DS IS'!P36+'Govt IS'!J37</f>
        <v>1909210</v>
      </c>
      <c r="H23">
        <f>+INPUT!BY41</f>
        <v>2971732</v>
      </c>
      <c r="J23">
        <f>SUM(B23:I23)</f>
        <v>57811882</v>
      </c>
      <c r="L23">
        <f>+J23*0.1</f>
        <v>5781188.2000000002</v>
      </c>
      <c r="M23">
        <f>+($J23+$J35)*0.05</f>
        <v>3141352.4000000004</v>
      </c>
      <c r="O23">
        <f>+'Govt IS'!D37</f>
        <v>13486328</v>
      </c>
      <c r="Q23" s="23">
        <f>+'Govt IS'!F37</f>
        <v>13461711</v>
      </c>
      <c r="S23" s="23">
        <f>+'SR IS'!C36</f>
        <v>2759193</v>
      </c>
      <c r="U23" s="23">
        <f>+'SR IS'!E36</f>
        <v>20799</v>
      </c>
      <c r="W23" s="23">
        <f>+'SR IS'!G36</f>
        <v>190427</v>
      </c>
      <c r="Y23" s="23">
        <f>+'SR IS'!I36</f>
        <v>362149</v>
      </c>
      <c r="Z23" s="23"/>
      <c r="AA23" s="23">
        <f>+'SR IS'!K36</f>
        <v>535409</v>
      </c>
      <c r="AB23" s="23"/>
      <c r="AC23" s="23">
        <f>+'SR IS'!N36</f>
        <v>2838047</v>
      </c>
      <c r="AD23" s="23"/>
      <c r="AE23" s="23">
        <f>+'SR IS'!P36</f>
        <v>398</v>
      </c>
      <c r="AF23" s="23"/>
      <c r="AG23" s="23">
        <f>+'SR IS'!R36</f>
        <v>11806</v>
      </c>
      <c r="AI23" s="23">
        <f>+'SR IS'!T36</f>
        <v>2115266</v>
      </c>
      <c r="AJ23" s="23"/>
      <c r="AK23" s="23">
        <f>+'SR IS'!V36</f>
        <v>101961</v>
      </c>
      <c r="AM23" s="23">
        <f>+'SR IS'!Y36</f>
        <v>44402</v>
      </c>
      <c r="AO23" s="23"/>
      <c r="AQ23" s="23">
        <f>+'DS IS'!D36</f>
        <v>112309</v>
      </c>
      <c r="AR23" s="23"/>
      <c r="AS23" s="23">
        <f>+'DS IS'!F36</f>
        <v>966683</v>
      </c>
      <c r="AU23" s="23">
        <f>+'DS IS'!J36</f>
        <v>0</v>
      </c>
      <c r="AV23" s="23"/>
      <c r="AW23" s="23">
        <f>+'DS IS'!L36</f>
        <v>96470</v>
      </c>
      <c r="AY23" s="23">
        <f>+'DS IS'!N36</f>
        <v>636600</v>
      </c>
      <c r="BA23" s="23">
        <f>+'Govt IS'!J37</f>
        <v>97148</v>
      </c>
      <c r="BC23" s="23">
        <f>SUM(AQ23:BA23)</f>
        <v>1909210</v>
      </c>
      <c r="BD23" s="23"/>
      <c r="BE23">
        <f>+F23</f>
        <v>1909210</v>
      </c>
      <c r="BF23">
        <f>+BE23-BC23</f>
        <v>0</v>
      </c>
      <c r="BJ23" s="23"/>
      <c r="BK23" s="23"/>
      <c r="BL23" s="23">
        <f>+PROPREV!F28-PROPREV!F36</f>
        <v>1205663</v>
      </c>
      <c r="BN23" s="23">
        <f>+PROPREV!H28-PROPREV!H36</f>
        <v>2021354</v>
      </c>
      <c r="BP23" s="23">
        <f>+'ENT IS'!F28-'ENT IS'!F36</f>
        <v>109070</v>
      </c>
      <c r="BR23" s="23">
        <f>+'ENT IS'!H28-'ENT IS'!H36</f>
        <v>206591</v>
      </c>
      <c r="BT23" s="23">
        <f>+'ENT IS'!J28-'ENT IS'!J36</f>
        <v>1439901</v>
      </c>
      <c r="BV23" s="23">
        <f>+'ENT IS'!L28-'ENT IS'!L36</f>
        <v>32587</v>
      </c>
      <c r="BX23" s="23">
        <f>SUM(BJ23:BW23)</f>
        <v>5015166</v>
      </c>
      <c r="BY23">
        <f>+J35</f>
        <v>5015166</v>
      </c>
      <c r="BZ23">
        <f>+BY23-BX23</f>
        <v>0</v>
      </c>
    </row>
    <row r="24" spans="1:78">
      <c r="J24" t="str">
        <f>IF(+'Govt IS'!T37-INPUT!EF41-J23=0," ","ERR")</f>
        <v xml:space="preserve"> </v>
      </c>
      <c r="Q24" s="71" t="str">
        <f>+IF(+Q23&gt;+$L$23,"YES","No")</f>
        <v>YES</v>
      </c>
      <c r="S24" s="23" t="str">
        <f>+IF(+S23&gt;+$L$23,"YES","No")</f>
        <v>No</v>
      </c>
      <c r="U24" s="23" t="str">
        <f>+IF(+U23&gt;+$L$23,"YES","No")</f>
        <v>No</v>
      </c>
      <c r="W24" s="23" t="str">
        <f>+IF(+W23&gt;+$L$23,"YES","No")</f>
        <v>No</v>
      </c>
      <c r="Y24" s="23" t="str">
        <f>+IF(+Y23&gt;+$L$23,"YES","No")</f>
        <v>No</v>
      </c>
      <c r="Z24" s="23"/>
      <c r="AA24" s="23" t="str">
        <f>+IF(+AA23&gt;+$L$23,"YES","No")</f>
        <v>No</v>
      </c>
      <c r="AB24" s="23"/>
      <c r="AC24" s="23" t="str">
        <f>+IF(+AC23&gt;+$L$23,"YES","No")</f>
        <v>No</v>
      </c>
      <c r="AD24" s="23"/>
      <c r="AE24" s="23" t="str">
        <f>+IF(+AE23&gt;+$L$23,"YES","No")</f>
        <v>No</v>
      </c>
      <c r="AF24" s="23"/>
      <c r="AG24" s="23" t="str">
        <f>+IF(+AG23&gt;+$L$23,"YES","No")</f>
        <v>No</v>
      </c>
      <c r="AI24" s="23" t="str">
        <f>+IF(+AI23&gt;+$L$23,"YES","No")</f>
        <v>No</v>
      </c>
      <c r="AJ24" s="23"/>
      <c r="AK24" s="23" t="str">
        <f>+IF(+AK23&gt;+$L$23,"YES","No")</f>
        <v>No</v>
      </c>
      <c r="AM24" s="23" t="str">
        <f>+IF(+AM23&gt;+$L$23,"YES","No")</f>
        <v>No</v>
      </c>
      <c r="AO24" s="23"/>
      <c r="AQ24" s="23" t="str">
        <f>+IF(+AQ23&gt;+$L$23,"YES","No")</f>
        <v>No</v>
      </c>
      <c r="AR24" s="23"/>
      <c r="AS24" s="23" t="str">
        <f>+IF(+AS23&gt;+$L$23,"YES","No")</f>
        <v>No</v>
      </c>
      <c r="AU24" s="23" t="str">
        <f>+IF(+AU23&gt;+$L$23,"YES","No")</f>
        <v>No</v>
      </c>
      <c r="AV24" s="23"/>
      <c r="AW24" s="23" t="str">
        <f>+IF(+AW23&gt;+$L$23,"YES","No")</f>
        <v>No</v>
      </c>
      <c r="AY24" s="23" t="str">
        <f>+IF(+AY23&gt;+$L$23,"YES","No")</f>
        <v>No</v>
      </c>
      <c r="BA24" s="23" t="str">
        <f>+IF(+BA23&gt;+$L$23,"YES","No")</f>
        <v>No</v>
      </c>
      <c r="BC24" s="23"/>
      <c r="BD24" s="23"/>
      <c r="BJ24" s="70"/>
      <c r="BK24" s="28"/>
      <c r="BL24" s="145" t="str">
        <f>+IF(+BL23&gt;+$L$35,"YES","No")</f>
        <v>YES</v>
      </c>
      <c r="BN24" s="71" t="str">
        <f>+IF(+BN23&gt;+$L$35,"YES","No")</f>
        <v>YES</v>
      </c>
      <c r="BP24" s="23" t="str">
        <f>+IF(+BP23&gt;+$L$35,"YES","No")</f>
        <v>No</v>
      </c>
      <c r="BQ24" s="23"/>
      <c r="BR24" s="23" t="str">
        <f>+IF(+BR23&gt;+$L$35,"YES","No")</f>
        <v>No</v>
      </c>
      <c r="BS24" s="23"/>
      <c r="BT24" s="71" t="str">
        <f>+IF(+BT23&gt;+$L$35,"YES","No")</f>
        <v>YES</v>
      </c>
      <c r="BU24" s="23"/>
      <c r="BV24" s="23" t="str">
        <f>+IF(+BV23&gt;+$L$35,"YES","No")</f>
        <v>No</v>
      </c>
      <c r="BX24" s="23"/>
    </row>
    <row r="25" spans="1:78">
      <c r="J25" s="28" t="s">
        <v>315</v>
      </c>
      <c r="Q25" s="71" t="str">
        <f>IF(+Q23&gt;$L$23,IF(+Q23&gt;+$M$23,"YES","No"),"No")</f>
        <v>YES</v>
      </c>
      <c r="S25" s="23" t="str">
        <f>IF(+S23&gt;$L$23,IF(+S23&gt;+$M$23,"YES","No"),"No")</f>
        <v>No</v>
      </c>
      <c r="U25" s="23" t="str">
        <f>IF(+U23&gt;$L$23,IF(+U23&gt;+$M$23,"YES","No"),"No")</f>
        <v>No</v>
      </c>
      <c r="W25" s="23" t="str">
        <f>IF(+W23&gt;$L$23,IF(+W23&gt;+$M$23,"YES","No"),"No")</f>
        <v>No</v>
      </c>
      <c r="Y25" s="23" t="str">
        <f>IF(+Y23&gt;$L$23,IF(+Y23&gt;+$M$23,"YES","No"),"No")</f>
        <v>No</v>
      </c>
      <c r="Z25" s="23"/>
      <c r="AA25" s="23" t="str">
        <f>IF(+AA23&gt;$L$23,IF(+AA23&gt;+$M$23,"YES","No"),"No")</f>
        <v>No</v>
      </c>
      <c r="AB25" s="23"/>
      <c r="AC25" s="23" t="str">
        <f>IF(+AC23&gt;$L$23,IF(+AC23&gt;+$M$23,"YES","No"),"No")</f>
        <v>No</v>
      </c>
      <c r="AD25" s="23"/>
      <c r="AE25" s="23" t="str">
        <f>IF(+AE23&gt;$L$23,IF(+AE23&gt;+$M$23,"YES","No"),"No")</f>
        <v>No</v>
      </c>
      <c r="AF25" s="23"/>
      <c r="AG25" s="23" t="str">
        <f>IF(+AG23&gt;$L$23,IF(+AG23&gt;+$M$23,"YES","No"),"No")</f>
        <v>No</v>
      </c>
      <c r="AI25" s="23" t="str">
        <f>IF(+AI23&gt;$L$23,IF(+AI23&gt;+$M$23,"YES","No"),"No")</f>
        <v>No</v>
      </c>
      <c r="AJ25" s="23"/>
      <c r="AK25" s="23" t="str">
        <f>IF(+AK23&gt;$L$23,IF(+AK23&gt;+$M$23,"YES","No"),"No")</f>
        <v>No</v>
      </c>
      <c r="AM25" s="23" t="str">
        <f>IF(+AM23&gt;$L$23,IF(+AM23&gt;+$M$23,"YES","No"),"No")</f>
        <v>No</v>
      </c>
      <c r="AO25" s="23"/>
      <c r="AQ25" s="23" t="str">
        <f>IF(+AQ23&gt;$L$23,IF(+AQ23&gt;+$M$23,"YES","No"),"No")</f>
        <v>No</v>
      </c>
      <c r="AR25" s="23"/>
      <c r="AS25" s="23" t="str">
        <f>IF(+AS23&gt;$L$23,IF(+AS23&gt;+$M$23,"YES","No"),"No")</f>
        <v>No</v>
      </c>
      <c r="AU25" s="23" t="str">
        <f>IF(+AU23&gt;$L$23,IF(+AU23&gt;+$M$23,"YES","No"),"No")</f>
        <v>No</v>
      </c>
      <c r="AV25" s="23"/>
      <c r="AW25" s="23" t="str">
        <f>IF(+AW23&gt;$L$23,IF(+AW23&gt;+$M$23,"YES","No"),"No")</f>
        <v>No</v>
      </c>
      <c r="AY25" s="23" t="str">
        <f>IF(+AY23&gt;$L$23,IF(+AY23&gt;+$M$23,"YES","No"),"No")</f>
        <v>No</v>
      </c>
      <c r="BA25" s="23" t="str">
        <f>IF(+BA23&gt;$L$23,IF(+BA23&gt;+$M$23,"YES","No"),"No")</f>
        <v>No</v>
      </c>
      <c r="BC25" s="23"/>
      <c r="BD25" s="23"/>
      <c r="BJ25" s="70"/>
      <c r="BK25" s="28"/>
      <c r="BL25" s="23" t="str">
        <f>IF(+BL23&gt;$L$35,IF(+BL23&gt;+$M$35,"YES","No"),"No")</f>
        <v>No</v>
      </c>
      <c r="BN25" s="23" t="str">
        <f>IF(+BN23&gt;$L$35,IF(+BN23&gt;+$M$35,"YES","No"),"No")</f>
        <v>No</v>
      </c>
      <c r="BP25" s="23" t="str">
        <f>IF(+BP23&gt;$L$35,IF(+BP23&gt;+$M$35,"YES","No"),"No")</f>
        <v>No</v>
      </c>
      <c r="BQ25" s="23"/>
      <c r="BR25" s="23" t="str">
        <f>IF(+BR23&gt;$L$35,IF(+BR23&gt;+$M$35,"YES","No"),"No")</f>
        <v>No</v>
      </c>
      <c r="BS25" s="23"/>
      <c r="BT25" s="23" t="str">
        <f>IF(+BT23&gt;$L$35,IF(+BT23&gt;+$M$35,"YES","No"),"No")</f>
        <v>No</v>
      </c>
      <c r="BU25" s="23"/>
      <c r="BV25" s="23" t="str">
        <f>IF(+BV23&gt;$L$35,IF(+BV23&gt;+$M$35,"YES","No"),"No")</f>
        <v>No</v>
      </c>
      <c r="BX25" s="23"/>
    </row>
    <row r="26" spans="1:78">
      <c r="J26" s="28" t="s">
        <v>71</v>
      </c>
      <c r="M26" s="28" t="s">
        <v>99</v>
      </c>
      <c r="Q26" s="23"/>
      <c r="R26" s="23"/>
      <c r="BL26" s="23"/>
      <c r="BM26" s="23"/>
      <c r="BN26" s="23"/>
    </row>
    <row r="27" spans="1:78">
      <c r="J27" s="37" t="s">
        <v>540</v>
      </c>
      <c r="L27" s="53" t="s">
        <v>98</v>
      </c>
      <c r="M27" s="53" t="s">
        <v>100</v>
      </c>
      <c r="Y27" s="28"/>
      <c r="Z27" s="28"/>
      <c r="AA27" s="28"/>
      <c r="AB27" s="28"/>
      <c r="AC27" s="28"/>
      <c r="AE27" s="28" t="s">
        <v>1199</v>
      </c>
      <c r="AF27" s="28"/>
      <c r="AH27" s="28"/>
      <c r="AJ27" s="28"/>
      <c r="AM27" s="28"/>
      <c r="AN27" s="28"/>
      <c r="BL27" s="23"/>
      <c r="BM27" s="23"/>
      <c r="BN27" s="23"/>
      <c r="BO27" s="23"/>
    </row>
    <row r="28" spans="1:78">
      <c r="A28" s="36" t="s">
        <v>101</v>
      </c>
      <c r="Q28" s="28" t="s">
        <v>1613</v>
      </c>
      <c r="S28" s="28" t="s">
        <v>901</v>
      </c>
      <c r="U28" s="28" t="s">
        <v>517</v>
      </c>
      <c r="V28" s="28"/>
      <c r="W28" s="28" t="s">
        <v>902</v>
      </c>
      <c r="X28" s="28"/>
      <c r="Y28" s="28" t="s">
        <v>517</v>
      </c>
      <c r="Z28" s="28"/>
      <c r="AA28" s="28" t="s">
        <v>904</v>
      </c>
      <c r="AB28" s="28"/>
      <c r="AC28" s="28" t="s">
        <v>517</v>
      </c>
      <c r="AE28" s="28" t="s">
        <v>530</v>
      </c>
      <c r="AG28" s="28" t="s">
        <v>1019</v>
      </c>
      <c r="AH28" s="28"/>
      <c r="AI28" s="28" t="s">
        <v>518</v>
      </c>
      <c r="AJ28" s="28"/>
      <c r="AK28" s="28" t="s">
        <v>2595</v>
      </c>
      <c r="AM28" s="28" t="s">
        <v>899</v>
      </c>
      <c r="AN28" s="28"/>
    </row>
    <row r="29" spans="1:78" ht="15.75">
      <c r="A29" s="21" t="s">
        <v>2302</v>
      </c>
      <c r="J29">
        <f>+PROPNA!L43+PROPNA!L56</f>
        <v>19079688</v>
      </c>
      <c r="L29">
        <f>+J29*0.1</f>
        <v>1907968.8</v>
      </c>
      <c r="M29">
        <f>+($J11+$J29)*0.05</f>
        <v>4440354.3500000006</v>
      </c>
      <c r="Q29" s="29" t="s">
        <v>1281</v>
      </c>
      <c r="S29" s="29" t="s">
        <v>1385</v>
      </c>
      <c r="U29" s="29" t="s">
        <v>1386</v>
      </c>
      <c r="V29" s="29"/>
      <c r="W29" s="29" t="s">
        <v>1387</v>
      </c>
      <c r="X29" s="29"/>
      <c r="Y29" s="29" t="s">
        <v>1298</v>
      </c>
      <c r="Z29" s="29"/>
      <c r="AA29" s="29" t="s">
        <v>97</v>
      </c>
      <c r="AB29" s="29"/>
      <c r="AC29" s="29" t="s">
        <v>636</v>
      </c>
      <c r="AE29" s="29" t="s">
        <v>1003</v>
      </c>
      <c r="AG29" s="29" t="s">
        <v>538</v>
      </c>
      <c r="AI29" s="29" t="s">
        <v>537</v>
      </c>
      <c r="AJ29" s="29"/>
      <c r="AK29" s="29" t="s">
        <v>1267</v>
      </c>
      <c r="AM29" s="29" t="s">
        <v>1384</v>
      </c>
      <c r="AN29" s="29"/>
      <c r="AQ29" s="13" t="str">
        <f>+AQ5</f>
        <v>Major Fund Schedule - FY2023</v>
      </c>
      <c r="AR29" s="13"/>
      <c r="AS29" s="20"/>
      <c r="AT29" s="20"/>
      <c r="AU29" s="20"/>
      <c r="AV29" s="20"/>
      <c r="AW29" s="20"/>
      <c r="AX29" s="20"/>
      <c r="AY29" s="20"/>
      <c r="AZ29" s="20"/>
      <c r="BA29" s="20"/>
      <c r="BB29" s="20"/>
      <c r="BC29" s="20"/>
    </row>
    <row r="30" spans="1:78">
      <c r="AQ30" s="56" t="s">
        <v>2604</v>
      </c>
      <c r="AR30" s="56"/>
      <c r="AS30" s="20"/>
      <c r="AT30" s="20"/>
      <c r="AU30" s="20"/>
      <c r="AV30" s="20"/>
      <c r="AW30" s="20"/>
      <c r="AX30" s="20"/>
      <c r="AY30" s="20"/>
      <c r="AZ30" s="20"/>
      <c r="BA30" s="20"/>
      <c r="BB30" s="20"/>
      <c r="BC30" s="20"/>
    </row>
    <row r="31" spans="1:78">
      <c r="A31" s="21" t="s">
        <v>2303</v>
      </c>
      <c r="J31">
        <f>+PROPNA!L87+PROPNA!L105</f>
        <v>2478904</v>
      </c>
      <c r="L31">
        <f>+J31*0.1</f>
        <v>247890.40000000002</v>
      </c>
      <c r="M31">
        <f>+($J15+$J31)*0.05</f>
        <v>894065.20000000007</v>
      </c>
      <c r="Q31" s="23">
        <f>+'SR BS'!AA37</f>
        <v>224345</v>
      </c>
      <c r="S31" s="23">
        <f>+'SR BS'!AC37</f>
        <v>389750</v>
      </c>
      <c r="U31" s="23">
        <f>+'SR BS'!AE37</f>
        <v>1064325</v>
      </c>
      <c r="V31" s="23"/>
      <c r="W31" s="23">
        <f>+'SR BS'!AG37</f>
        <v>361</v>
      </c>
      <c r="X31" s="23"/>
      <c r="Y31" s="23">
        <f>+'SR BS'!AJ37</f>
        <v>748021</v>
      </c>
      <c r="Z31" s="23"/>
      <c r="AA31" s="23">
        <f>+'SR BS'!AL37</f>
        <v>6977</v>
      </c>
      <c r="AB31" s="23"/>
      <c r="AC31" s="23">
        <f>+'SR BS'!AN37</f>
        <v>260634</v>
      </c>
      <c r="AE31" s="23">
        <f>+'SR BS'!AP37</f>
        <v>35779</v>
      </c>
      <c r="AG31" s="23">
        <f>+'SR BS'!AR37</f>
        <v>107003</v>
      </c>
      <c r="AI31" s="23">
        <f>+'SR BS'!AU37</f>
        <v>100039</v>
      </c>
      <c r="AK31" s="23">
        <f>+'SR BS'!AW37</f>
        <v>1768889</v>
      </c>
      <c r="AM31" s="23">
        <f>+'SR BS'!AY37</f>
        <v>238913</v>
      </c>
      <c r="AN31" s="23"/>
      <c r="AS31" s="57"/>
      <c r="AT31" s="57"/>
      <c r="AU31" s="57"/>
      <c r="AV31" s="57"/>
      <c r="AW31" s="57" t="s">
        <v>279</v>
      </c>
      <c r="AX31" s="57"/>
      <c r="AY31" s="57" t="s">
        <v>2595</v>
      </c>
      <c r="AZ31" s="57"/>
      <c r="BA31" s="57" t="s">
        <v>1294</v>
      </c>
      <c r="BC31" s="57" t="s">
        <v>315</v>
      </c>
    </row>
    <row r="32" spans="1:78">
      <c r="Q32" s="23" t="str">
        <f>+IF(+Q31&gt;+$L$11,"YES","No")</f>
        <v>No</v>
      </c>
      <c r="S32" s="23" t="str">
        <f>+IF(+S31&gt;+$L$11,"YES","No")</f>
        <v>No</v>
      </c>
      <c r="U32" s="23" t="str">
        <f>+IF(+U31&gt;+$L$11,"YES","No")</f>
        <v>No</v>
      </c>
      <c r="V32" s="23"/>
      <c r="W32" s="23" t="str">
        <f>+IF(+W31&gt;+$L$11,"YES","No")</f>
        <v>No</v>
      </c>
      <c r="X32" s="23"/>
      <c r="Y32" s="23" t="str">
        <f>+IF(+Y31&gt;+$L$11,"YES","No")</f>
        <v>No</v>
      </c>
      <c r="Z32" s="23"/>
      <c r="AA32" s="23" t="str">
        <f>+IF(+AA31&gt;+$L$11,"YES","No")</f>
        <v>No</v>
      </c>
      <c r="AB32" s="23"/>
      <c r="AC32" s="23" t="str">
        <f>+IF(+AC31&gt;+$L$11,"YES","No")</f>
        <v>No</v>
      </c>
      <c r="AE32" s="23" t="str">
        <f>+IF(+AE31&gt;+$L$11,"YES","No")</f>
        <v>No</v>
      </c>
      <c r="AG32" s="23" t="str">
        <f>+IF(+AG31&gt;+$L$11,"YES","No")</f>
        <v>No</v>
      </c>
      <c r="AI32" s="23" t="str">
        <f>+IF(+AI31&gt;+$L$11,"YES","No")</f>
        <v>No</v>
      </c>
      <c r="AK32" s="23" t="str">
        <f>+IF(+AK31&gt;+$L$11,"YES","No")</f>
        <v>No</v>
      </c>
      <c r="AM32" s="23" t="str">
        <f>+IF(+AM31&gt;+$L$11,"YES","No")</f>
        <v>No</v>
      </c>
      <c r="AN32" s="23"/>
      <c r="AQ32" s="57" t="s">
        <v>67</v>
      </c>
      <c r="AS32" s="57" t="s">
        <v>266</v>
      </c>
      <c r="AT32" s="57"/>
      <c r="AU32" s="57" t="s">
        <v>883</v>
      </c>
      <c r="AV32" s="57"/>
      <c r="AW32" s="57" t="s">
        <v>761</v>
      </c>
      <c r="AX32" s="57"/>
      <c r="AY32" s="57" t="s">
        <v>577</v>
      </c>
      <c r="AZ32" s="57"/>
      <c r="BA32" s="57" t="s">
        <v>1295</v>
      </c>
      <c r="BB32" s="28"/>
      <c r="BC32" s="57" t="s">
        <v>67</v>
      </c>
    </row>
    <row r="33" spans="1:58">
      <c r="A33" t="s">
        <v>1262</v>
      </c>
      <c r="J33">
        <f>+PROPREV!L19+PROPREV!L35+PROPREV!L15+PROPREV!L49</f>
        <v>5643967</v>
      </c>
      <c r="L33">
        <f>+J33*0.1</f>
        <v>564396.70000000007</v>
      </c>
      <c r="M33">
        <f>+($J19+$J33)*0.05</f>
        <v>3298174.95</v>
      </c>
      <c r="Q33" s="23" t="str">
        <f>IF(+Q31&gt;$L$11,IF(+Q31&gt;+$M$11,"YES","No"),"No")</f>
        <v>No</v>
      </c>
      <c r="S33" s="23" t="str">
        <f>IF(+S31&gt;$L$11,IF(+S31&gt;+$M$11,"YES","No"),"No")</f>
        <v>No</v>
      </c>
      <c r="U33" s="23" t="str">
        <f>IF(+U31&gt;$L$11,IF(+U31&gt;+$M$11,"YES","No"),"No")</f>
        <v>No</v>
      </c>
      <c r="V33" s="23"/>
      <c r="W33" s="23" t="str">
        <f>IF(+W31&gt;$L$11,IF(+W31&gt;+$M$11,"YES","No"),"No")</f>
        <v>No</v>
      </c>
      <c r="X33" s="23"/>
      <c r="Y33" s="23" t="str">
        <f>IF(+Y31&gt;$L$11,IF(+Y31&gt;+$M$11,"YES","No"),"No")</f>
        <v>No</v>
      </c>
      <c r="Z33" s="23"/>
      <c r="AA33" s="23" t="str">
        <f>IF(+AA31&gt;$L$11,IF(+AA31&gt;+$M$11,"YES","No"),"No")</f>
        <v>No</v>
      </c>
      <c r="AB33" s="23"/>
      <c r="AC33" s="23" t="str">
        <f>IF(+AC31&gt;$L$11,IF(+AC31&gt;+$M$11,"YES","No"),"No")</f>
        <v>No</v>
      </c>
      <c r="AE33" s="23" t="str">
        <f>IF(+AE31&gt;$L$11,IF(+AE31&gt;+$M$11,"YES","No"),"No")</f>
        <v>No</v>
      </c>
      <c r="AG33" s="23" t="str">
        <f>IF(+AG31&gt;$L$11,IF(+AG31&gt;+$M$11,"YES","No"),"No")</f>
        <v>No</v>
      </c>
      <c r="AI33" s="23" t="str">
        <f>IF(+AI31&gt;$L$11,IF(+AI31&gt;+$M$11,"YES","No"),"No")</f>
        <v>No</v>
      </c>
      <c r="AK33" s="23" t="str">
        <f>IF(+AK31&gt;$L$11,IF(+AK31&gt;+$M$11,"YES","No"),"No")</f>
        <v>No</v>
      </c>
      <c r="AM33" s="23" t="str">
        <f>IF(+AM31&gt;$L$11,IF(+AM31&gt;+$M$11,"YES","No"),"No")</f>
        <v>No</v>
      </c>
      <c r="AN33" s="23"/>
      <c r="AQ33" s="58" t="s">
        <v>1384</v>
      </c>
      <c r="AS33" s="58" t="s">
        <v>224</v>
      </c>
      <c r="AT33" s="58"/>
      <c r="AU33" s="58" t="s">
        <v>224</v>
      </c>
      <c r="AV33" s="58"/>
      <c r="AW33" s="58" t="s">
        <v>224</v>
      </c>
      <c r="AX33" s="58"/>
      <c r="AY33" s="58" t="s">
        <v>2603</v>
      </c>
      <c r="AZ33" s="58"/>
      <c r="BA33" s="58" t="s">
        <v>224</v>
      </c>
      <c r="BB33" s="28"/>
      <c r="BC33" s="58" t="s">
        <v>224</v>
      </c>
    </row>
    <row r="34" spans="1:58">
      <c r="Q34" s="23"/>
      <c r="S34" s="23"/>
      <c r="U34" s="23"/>
      <c r="V34" s="23"/>
      <c r="W34" s="23"/>
      <c r="X34" s="23"/>
      <c r="Y34" s="23"/>
      <c r="Z34" s="23"/>
      <c r="AA34" s="23"/>
      <c r="AB34" s="23"/>
      <c r="AC34" s="23"/>
      <c r="AE34" s="23"/>
      <c r="AG34" s="23"/>
      <c r="AI34" s="23"/>
      <c r="AK34" s="23"/>
      <c r="AM34" s="23"/>
      <c r="AN34" s="23"/>
    </row>
    <row r="35" spans="1:58">
      <c r="A35" t="s">
        <v>1263</v>
      </c>
      <c r="J35">
        <f>+PROPREV!L28-PROPREV!L36</f>
        <v>5015166</v>
      </c>
      <c r="L35">
        <f>+J35*0.1</f>
        <v>501516.60000000003</v>
      </c>
      <c r="M35">
        <f>+($J23+$J35)*0.05</f>
        <v>3141352.4000000004</v>
      </c>
      <c r="Q35" s="23">
        <f>+'SR BS'!AA68+'SR BS'!AA71</f>
        <v>38716</v>
      </c>
      <c r="S35" s="23">
        <f>+'SR BS'!AC68+'SR BS'!AC71</f>
        <v>9535</v>
      </c>
      <c r="U35" s="23">
        <f>+'SR BS'!AE68+'SR BS'!AE71</f>
        <v>41391</v>
      </c>
      <c r="W35" s="23">
        <f>+'SR BS'!AG68+'SR BS'!AG71</f>
        <v>53</v>
      </c>
      <c r="Y35" s="23">
        <f>+'SR BS'!AJ68+'SR BS'!AJ71</f>
        <v>94560</v>
      </c>
      <c r="AA35" s="23">
        <f>+'SR BS'!AL68+'SR BS'!AL71</f>
        <v>4460</v>
      </c>
      <c r="AC35" s="23">
        <f>+'SR BS'!AN68+'SR BS'!AN71</f>
        <v>5558</v>
      </c>
      <c r="AE35" s="23">
        <f>+'SR BS'!AP68+'SR BS'!AP71</f>
        <v>0</v>
      </c>
      <c r="AG35" s="23">
        <f>+'SR BS'!AR68+'SR BS'!AR71</f>
        <v>0</v>
      </c>
      <c r="AI35" s="23">
        <f>+'SR BS'!AU68+'SR BS'!AU71</f>
        <v>0</v>
      </c>
      <c r="AK35" s="23">
        <f>+'SR BS'!AW68+'SR BS'!AW71</f>
        <v>137513</v>
      </c>
      <c r="AM35" s="23">
        <f>+'SR BS'!AY68+'SR BS'!AY71</f>
        <v>0</v>
      </c>
      <c r="AN35" s="23"/>
      <c r="AQ35" s="23">
        <f>+'Govt BS'!N39+'Govt BS'!N56</f>
        <v>17958090</v>
      </c>
      <c r="AS35" s="23">
        <f>+'CP BS'!D37</f>
        <v>0</v>
      </c>
      <c r="AT35" s="23"/>
      <c r="AU35" s="23">
        <f>+'CP BS'!F37</f>
        <v>0</v>
      </c>
      <c r="AV35" s="23"/>
      <c r="AW35" s="23">
        <f>+'CP BS'!H37</f>
        <v>0</v>
      </c>
      <c r="AX35" s="23"/>
      <c r="AY35" s="23">
        <f>+'CP BS'!J37</f>
        <v>0</v>
      </c>
      <c r="AZ35" s="23"/>
      <c r="BA35" s="23">
        <f>+'CP BS'!L37</f>
        <v>2453628</v>
      </c>
      <c r="BB35" s="23"/>
      <c r="BC35" s="23">
        <f>SUM(AQ35:BB35)</f>
        <v>20411718</v>
      </c>
      <c r="BE35">
        <f>+H11</f>
        <v>20411718</v>
      </c>
      <c r="BF35">
        <f>+BE35-BC35</f>
        <v>0</v>
      </c>
    </row>
    <row r="36" spans="1:58">
      <c r="Q36" s="23" t="str">
        <f>+IF(+Q35&gt;+$L$15,"YES","No")</f>
        <v>No</v>
      </c>
      <c r="S36" s="23" t="str">
        <f>+IF(+S35&gt;+$L$15,"YES","No")</f>
        <v>No</v>
      </c>
      <c r="U36" s="23" t="str">
        <f>+IF(+U35&gt;+$L$15,"YES","No")</f>
        <v>No</v>
      </c>
      <c r="V36" s="23"/>
      <c r="W36" s="23" t="str">
        <f>+IF(+W35&gt;+$L$15,"YES","No")</f>
        <v>No</v>
      </c>
      <c r="X36" s="23"/>
      <c r="Y36" s="23" t="str">
        <f>+IF(+Y35&gt;+$L$15,"YES","No")</f>
        <v>No</v>
      </c>
      <c r="Z36" s="23"/>
      <c r="AA36" s="23" t="str">
        <f>+IF(+AA35&gt;+$L$15,"YES","No")</f>
        <v>No</v>
      </c>
      <c r="AB36" s="23"/>
      <c r="AC36" s="23" t="str">
        <f>+IF(+AC35&gt;+$L$15,"YES","No")</f>
        <v>No</v>
      </c>
      <c r="AE36" s="23" t="str">
        <f>+IF(+AE35&gt;+$L$15,"YES","No")</f>
        <v>No</v>
      </c>
      <c r="AG36" s="23" t="str">
        <f>+IF(+AG35&gt;+$L$15,"YES","No")</f>
        <v>No</v>
      </c>
      <c r="AI36" s="23" t="str">
        <f>+IF(+AI35&gt;+$L$15,"YES","No")</f>
        <v>No</v>
      </c>
      <c r="AK36" s="23" t="str">
        <f>+IF(+AK35&gt;+$L$15,"YES","No")</f>
        <v>No</v>
      </c>
      <c r="AM36" s="23" t="str">
        <f>+IF(+AM35&gt;+$L$15,"YES","No")</f>
        <v>No</v>
      </c>
      <c r="AN36" s="23"/>
      <c r="AQ36" s="71" t="str">
        <f>+IF(+AQ35&gt;+$L$11,"YES","No")</f>
        <v>YES</v>
      </c>
      <c r="AS36" s="23" t="str">
        <f>+IF(+AS35&gt;+$L$11,"YES","No")</f>
        <v>No</v>
      </c>
      <c r="AT36" s="23"/>
      <c r="AU36" s="23" t="str">
        <f>+IF(+AU35&gt;+$L$11,"YES","No")</f>
        <v>No</v>
      </c>
      <c r="AV36" s="23"/>
      <c r="AW36" s="23" t="str">
        <f>+IF(+AW35&gt;+$L$11,"YES","No")</f>
        <v>No</v>
      </c>
      <c r="AX36" s="23"/>
      <c r="AY36" s="23" t="str">
        <f>+IF(+AY35&gt;+$L$11,"YES","No")</f>
        <v>No</v>
      </c>
      <c r="AZ36" s="23"/>
      <c r="BA36" s="23" t="str">
        <f>+IF(+BA35&gt;+$L$11,"YES","No")</f>
        <v>No</v>
      </c>
      <c r="BB36" s="23"/>
      <c r="BC36" s="23"/>
    </row>
    <row r="37" spans="1:58">
      <c r="Q37" s="23" t="str">
        <f>IF(+Q35&gt;$L$15,IF(+Q35&gt;+$M$15,"YES","No"),"No")</f>
        <v>No</v>
      </c>
      <c r="S37" s="23" t="str">
        <f>IF(+S35&gt;$L$15,IF(+S35&gt;+$M$15,"YES","No"),"No")</f>
        <v>No</v>
      </c>
      <c r="U37" s="23" t="str">
        <f>IF(+U35&gt;$L$15,IF(+U35&gt;+$M$15,"YES","No"),"No")</f>
        <v>No</v>
      </c>
      <c r="V37" s="23"/>
      <c r="W37" s="23" t="str">
        <f>IF(+W35&gt;$L$15,IF(+W35&gt;+$M$15,"YES","No"),"No")</f>
        <v>No</v>
      </c>
      <c r="X37" s="23"/>
      <c r="Y37" s="23" t="str">
        <f>IF(+Y35&gt;$L$15,IF(+Y35&gt;+$M$15,"YES","No"),"No")</f>
        <v>No</v>
      </c>
      <c r="Z37" s="23"/>
      <c r="AA37" s="23" t="str">
        <f>IF(+AA35&gt;$L$15,IF(+AA35&gt;+$M$15,"YES","No"),"No")</f>
        <v>No</v>
      </c>
      <c r="AB37" s="23"/>
      <c r="AC37" s="23" t="str">
        <f>IF(+AC35&gt;$L$15,IF(+AC35&gt;+$M$15,"YES","No"),"No")</f>
        <v>No</v>
      </c>
      <c r="AE37" s="23" t="str">
        <f>IF(+AE35&gt;$L$15,IF(+AE35&gt;+$M$15,"YES","No"),"No")</f>
        <v>No</v>
      </c>
      <c r="AG37" s="23" t="str">
        <f>IF(+AG35&gt;$L$15,IF(+AG35&gt;+$M$15,"YES","No"),"No")</f>
        <v>No</v>
      </c>
      <c r="AI37" s="23" t="str">
        <f>IF(+AI35&gt;$L$15,IF(+AI35&gt;+$M$15,"YES","No"),"No")</f>
        <v>No</v>
      </c>
      <c r="AK37" s="23" t="str">
        <f>IF(+AK35&gt;$L$15,IF(+AK35&gt;+$M$15,"YES","No"),"No")</f>
        <v>No</v>
      </c>
      <c r="AM37" s="23" t="str">
        <f>IF(+AM35&gt;$L$15,IF(+AM35&gt;+$M$15,"YES","No"),"No")</f>
        <v>No</v>
      </c>
      <c r="AN37" s="23"/>
      <c r="AQ37" s="71" t="str">
        <f>IF(+AQ35&gt;$L$11,IF(+AQ35&gt;+$M$11,"YES","No"),"No")</f>
        <v>YES</v>
      </c>
      <c r="AS37" s="23" t="str">
        <f>IF(+AS35&gt;$L$11,IF(+AS35&gt;+$M$11,"YES","No"),"No")</f>
        <v>No</v>
      </c>
      <c r="AT37" s="23"/>
      <c r="AU37" s="23" t="str">
        <f>IF(+AU35&gt;$L$11,IF(+AU35&gt;+$M$11,"YES","No"),"No")</f>
        <v>No</v>
      </c>
      <c r="AV37" s="23"/>
      <c r="AW37" s="23" t="str">
        <f>IF(+AW35&gt;$L$11,IF(+AW35&gt;+$M$11,"YES","No"),"No")</f>
        <v>No</v>
      </c>
      <c r="AX37" s="23"/>
      <c r="AY37" s="23" t="str">
        <f>IF(+AY35&gt;$L$11,IF(+AY35&gt;+$M$11,"YES","No"),"No")</f>
        <v>No</v>
      </c>
      <c r="AZ37" s="23"/>
      <c r="BA37" s="23" t="str">
        <f>IF(+BA35&gt;$L$11,IF(+BA35&gt;+$M$11,"YES","No"),"No")</f>
        <v>No</v>
      </c>
      <c r="BB37" s="23"/>
      <c r="BC37" s="23"/>
    </row>
    <row r="38" spans="1:58">
      <c r="A38" s="36" t="s">
        <v>102</v>
      </c>
      <c r="Q38" s="23"/>
      <c r="S38" s="23"/>
      <c r="U38" s="23"/>
      <c r="V38" s="23"/>
      <c r="W38" s="23"/>
      <c r="X38" s="23"/>
      <c r="Y38" s="23"/>
      <c r="Z38" s="23"/>
      <c r="AA38" s="23"/>
      <c r="AB38" s="23"/>
      <c r="AC38" s="23"/>
      <c r="AE38" s="23"/>
      <c r="AG38" s="23"/>
      <c r="AI38" s="23"/>
      <c r="AK38" s="23"/>
      <c r="AM38" s="23"/>
      <c r="AN38" s="23"/>
      <c r="AQ38" s="23"/>
      <c r="AS38" s="23"/>
      <c r="AT38" s="23"/>
      <c r="AU38" s="23"/>
      <c r="AV38" s="23"/>
      <c r="AW38" s="23"/>
      <c r="AX38" s="23"/>
      <c r="AY38" s="23"/>
      <c r="AZ38" s="23"/>
      <c r="BA38" s="23"/>
      <c r="BB38" s="23"/>
      <c r="BC38" s="23"/>
    </row>
    <row r="39" spans="1:58">
      <c r="A39" t="s">
        <v>801</v>
      </c>
      <c r="E39" s="21" t="s">
        <v>3250</v>
      </c>
      <c r="I39" s="21"/>
      <c r="Q39" s="23">
        <f>+'SR IS'!AA23</f>
        <v>1577208</v>
      </c>
      <c r="S39" s="23">
        <f>+'SR IS'!AC23</f>
        <v>478392</v>
      </c>
      <c r="U39" s="23">
        <f>+'SR IS'!AE23</f>
        <v>906847</v>
      </c>
      <c r="V39" s="23"/>
      <c r="W39" s="23">
        <f>+'SR IS'!AG23</f>
        <v>19</v>
      </c>
      <c r="X39" s="23"/>
      <c r="Y39" s="23">
        <f>+'SR IS'!AJ23</f>
        <v>2511187</v>
      </c>
      <c r="Z39" s="23"/>
      <c r="AA39" s="23">
        <f>+'SR IS'!AL23</f>
        <v>182843</v>
      </c>
      <c r="AB39" s="23"/>
      <c r="AC39" s="23">
        <f>+'SR IS'!AN23</f>
        <v>233635</v>
      </c>
      <c r="AE39" s="23">
        <f>+'SR IS'!AP23</f>
        <v>0</v>
      </c>
      <c r="AG39" s="23">
        <f>+'SR IS'!AR23</f>
        <v>299964</v>
      </c>
      <c r="AI39" s="23">
        <f>+'SR IS'!AU23</f>
        <v>94970</v>
      </c>
      <c r="AK39" s="23">
        <f>+'SR IS'!AW23</f>
        <v>4835257</v>
      </c>
      <c r="AM39" s="23">
        <f>+'SR IS'!AY23</f>
        <v>43710</v>
      </c>
      <c r="AN39" s="23"/>
      <c r="AQ39" s="23">
        <f>+'Govt BS'!N90+'Govt BS'!N93</f>
        <v>51976</v>
      </c>
      <c r="AS39" s="23">
        <f>+'CP BS'!D63+'CP BS'!D66</f>
        <v>0</v>
      </c>
      <c r="AT39" s="23"/>
      <c r="AU39" s="23">
        <f>+'CP BS'!F63+'CP BS'!F66</f>
        <v>24383</v>
      </c>
      <c r="AV39" s="23"/>
      <c r="AW39" s="23">
        <f>+'CP BS'!H63+'CP BS'!H66</f>
        <v>0</v>
      </c>
      <c r="AX39" s="23"/>
      <c r="AY39" s="23">
        <f>+'CP BS'!J63+'CP BS'!J66</f>
        <v>0</v>
      </c>
      <c r="AZ39" s="23"/>
      <c r="BA39" s="23">
        <f>+'CP BS'!L63+'CP BS'!L66</f>
        <v>111170</v>
      </c>
      <c r="BB39" s="23"/>
      <c r="BC39" s="23">
        <f>SUM(AQ39:BB39)</f>
        <v>187529</v>
      </c>
      <c r="BE39">
        <f>+H15</f>
        <v>187529</v>
      </c>
      <c r="BF39">
        <f>+BE39-BC39</f>
        <v>0</v>
      </c>
    </row>
    <row r="40" spans="1:58">
      <c r="A40" t="s">
        <v>802</v>
      </c>
      <c r="E40" s="143" t="s">
        <v>3248</v>
      </c>
      <c r="Q40" s="23" t="str">
        <f>+IF(+Q39&gt;+$L$19,"YES","No")</f>
        <v>No</v>
      </c>
      <c r="S40" s="23" t="str">
        <f>+IF(+S39&gt;+$L$19,"YES","No")</f>
        <v>No</v>
      </c>
      <c r="U40" s="23" t="str">
        <f>+IF(+U39&gt;+$L$19,"YES","No")</f>
        <v>No</v>
      </c>
      <c r="V40" s="23"/>
      <c r="W40" s="23" t="str">
        <f>+IF(+W39&gt;+$L$19,"YES","No")</f>
        <v>No</v>
      </c>
      <c r="X40" s="23"/>
      <c r="Y40" s="23" t="str">
        <f>+IF(+Y39&gt;+$L$19,"YES","No")</f>
        <v>No</v>
      </c>
      <c r="Z40" s="23"/>
      <c r="AA40" s="23" t="str">
        <f>+IF(+AA39&gt;+$L$19,"YES","No")</f>
        <v>No</v>
      </c>
      <c r="AB40" s="23"/>
      <c r="AC40" s="23" t="str">
        <f>+IF(+AC39&gt;+$L$19,"YES","No")</f>
        <v>No</v>
      </c>
      <c r="AE40" s="23" t="str">
        <f>+IF(+AE39&gt;+$L$19,"YES","No")</f>
        <v>No</v>
      </c>
      <c r="AG40" s="23" t="str">
        <f>+IF(+AG39&gt;+$L$19,"YES","No")</f>
        <v>No</v>
      </c>
      <c r="AI40" s="23" t="str">
        <f>+IF(+AI39&gt;+$L$19,"YES","No")</f>
        <v>No</v>
      </c>
      <c r="AK40" s="23" t="str">
        <f>+IF(+AK39&gt;+$L$19,"YES","No")</f>
        <v>No</v>
      </c>
      <c r="AM40" s="23" t="str">
        <f>+IF(+AM39&gt;+$L$19,"YES","No")</f>
        <v>No</v>
      </c>
      <c r="AN40" s="23"/>
      <c r="AQ40" s="23" t="str">
        <f>+IF(+AQ39&gt;+$L$15,"YES","No")</f>
        <v>No</v>
      </c>
      <c r="AS40" s="23" t="str">
        <f>+IF(+AS39&gt;+$L$15,"YES","No")</f>
        <v>No</v>
      </c>
      <c r="AT40" s="23"/>
      <c r="AU40" s="23" t="str">
        <f>+IF(+AU39&gt;+$L$15,"YES","No")</f>
        <v>No</v>
      </c>
      <c r="AV40" s="23"/>
      <c r="AW40" s="23" t="str">
        <f>+IF(+AW39&gt;+$L$15,"YES","No")</f>
        <v>No</v>
      </c>
      <c r="AX40" s="23"/>
      <c r="AY40" s="23" t="str">
        <f>+IF(+AY39&gt;+$L$15,"YES","No")</f>
        <v>No</v>
      </c>
      <c r="AZ40" s="23"/>
      <c r="BA40" s="23" t="str">
        <f>+IF(+BA39&gt;+$L$15,"YES","No")</f>
        <v>No</v>
      </c>
      <c r="BB40" s="23"/>
      <c r="BC40" s="23"/>
    </row>
    <row r="41" spans="1:58">
      <c r="Q41" s="23" t="str">
        <f>IF(+Q39&gt;$L$19,IF(+Q39&gt;+$M$19,"YES","No"),"No")</f>
        <v>No</v>
      </c>
      <c r="S41" s="23" t="str">
        <f>IF(+S39&gt;$L$19,IF(+S39&gt;+$M$19,"YES","No"),"No")</f>
        <v>No</v>
      </c>
      <c r="U41" s="23" t="str">
        <f>IF(+U39&gt;$L$19,IF(+U39&gt;+$M$19,"YES","No"),"No")</f>
        <v>No</v>
      </c>
      <c r="V41" s="23"/>
      <c r="W41" s="23" t="str">
        <f>IF(+W39&gt;$L$19,IF(+W39&gt;+$M$19,"YES","No"),"No")</f>
        <v>No</v>
      </c>
      <c r="X41" s="23"/>
      <c r="Y41" s="23" t="str">
        <f>IF(+Y39&gt;$L$19,IF(+Y39&gt;+$M$19,"YES","No"),"No")</f>
        <v>No</v>
      </c>
      <c r="Z41" s="23"/>
      <c r="AA41" s="23" t="str">
        <f>IF(+AA39&gt;$L$19,IF(+AA39&gt;+$M$19,"YES","No"),"No")</f>
        <v>No</v>
      </c>
      <c r="AB41" s="23"/>
      <c r="AC41" s="23" t="str">
        <f>IF(+AC39&gt;$L$19,IF(+AC39&gt;+$M$19,"YES","No"),"No")</f>
        <v>No</v>
      </c>
      <c r="AE41" s="23" t="str">
        <f>IF(+AE39&gt;$L$19,IF(+AE39&gt;+$M$19,"YES","No"),"No")</f>
        <v>No</v>
      </c>
      <c r="AG41" s="23" t="str">
        <f>IF(+AG39&gt;$L$19,IF(+AG39&gt;+$M$19,"YES","No"),"No")</f>
        <v>No</v>
      </c>
      <c r="AI41" s="23" t="str">
        <f>IF(+AI39&gt;$L$19,IF(+AI39&gt;+$M$19,"YES","No"),"No")</f>
        <v>No</v>
      </c>
      <c r="AK41" s="23" t="str">
        <f>IF(+AK39&gt;$L$19,IF(+AK39&gt;+$M$19,"YES","No"),"No")</f>
        <v>No</v>
      </c>
      <c r="AM41" s="23" t="str">
        <f>IF(+AM39&gt;$L$19,IF(+AM39&gt;+$M$19,"YES","No"),"No")</f>
        <v>No</v>
      </c>
      <c r="AN41" s="23"/>
      <c r="AQ41" s="23" t="str">
        <f>IF(+AQ39&gt;$L$15,IF(+AQ39&gt;+$M$15,"YES","No"),"No")</f>
        <v>No</v>
      </c>
      <c r="AS41" s="23" t="str">
        <f>IF(+AS39&gt;$L$15,IF(+AS39&gt;+$M$15,"YES","No"),"No")</f>
        <v>No</v>
      </c>
      <c r="AT41" s="23"/>
      <c r="AU41" s="23" t="str">
        <f>IF(+AU39&gt;$L$15,IF(+AU39&gt;+$M$15,"YES","No"),"No")</f>
        <v>No</v>
      </c>
      <c r="AV41" s="23"/>
      <c r="AW41" s="23" t="str">
        <f>IF(+AW39&gt;$L$15,IF(+AW39&gt;+$M$15,"YES","No"),"No")</f>
        <v>No</v>
      </c>
      <c r="AX41" s="23"/>
      <c r="AY41" s="23" t="str">
        <f>IF(+AY39&gt;$L$15,IF(+AY39&gt;+$M$15,"YES","No"),"No")</f>
        <v>No</v>
      </c>
      <c r="AZ41" s="23"/>
      <c r="BA41" s="23" t="str">
        <f>IF(+BA39&gt;$L$15,IF(+BA39&gt;+$M$15,"YES","No"),"No")</f>
        <v>No</v>
      </c>
      <c r="BB41" s="23"/>
      <c r="BC41" s="23"/>
    </row>
    <row r="42" spans="1:58">
      <c r="D42" s="37" t="str">
        <f>+A11</f>
        <v>Assets</v>
      </c>
      <c r="E42" s="37"/>
      <c r="F42" s="37" t="str">
        <f>+A15</f>
        <v>Liabilities</v>
      </c>
      <c r="G42" s="37"/>
      <c r="H42" s="37" t="str">
        <f>+A19</f>
        <v>Revenues</v>
      </c>
      <c r="I42" s="37"/>
      <c r="J42" s="37" t="str">
        <f>+A35</f>
        <v>Expend.</v>
      </c>
      <c r="Q42" s="23"/>
      <c r="S42" s="23"/>
      <c r="U42" s="23"/>
      <c r="V42" s="23"/>
      <c r="W42" s="23"/>
      <c r="X42" s="23"/>
      <c r="Y42" s="23"/>
      <c r="Z42" s="23"/>
      <c r="AA42" s="23"/>
      <c r="AB42" s="23"/>
      <c r="AC42" s="23"/>
      <c r="AE42" s="23"/>
      <c r="AG42" s="23"/>
      <c r="AI42" s="23"/>
      <c r="AK42" s="23"/>
      <c r="AM42" s="23"/>
      <c r="AN42" s="23"/>
      <c r="AQ42" s="23"/>
      <c r="AS42" s="23"/>
      <c r="AT42" s="23"/>
      <c r="AU42" s="23"/>
      <c r="AV42" s="23"/>
      <c r="AW42" s="23"/>
      <c r="AX42" s="23"/>
      <c r="AY42" s="23"/>
      <c r="AZ42" s="23"/>
      <c r="BA42" s="23"/>
      <c r="BB42" s="23"/>
      <c r="BC42" s="23"/>
    </row>
    <row r="43" spans="1:58">
      <c r="A43" s="27" t="s">
        <v>336</v>
      </c>
      <c r="B43" t="s">
        <v>803</v>
      </c>
      <c r="Q43" s="23">
        <f>+'SR IS'!AA36</f>
        <v>0</v>
      </c>
      <c r="S43" s="23">
        <f>+'SR IS'!AC36</f>
        <v>307663</v>
      </c>
      <c r="U43" s="23">
        <f>+'SR IS'!AE36</f>
        <v>1069681</v>
      </c>
      <c r="V43" s="23"/>
      <c r="W43" s="23">
        <f>+'SR IS'!AG36</f>
        <v>0</v>
      </c>
      <c r="X43" s="23"/>
      <c r="Y43" s="23">
        <f>+'SR IS'!AJ36</f>
        <v>2607263</v>
      </c>
      <c r="Z43" s="23"/>
      <c r="AA43" s="23">
        <f>+'SR IS'!AL36</f>
        <v>177468</v>
      </c>
      <c r="AB43" s="23"/>
      <c r="AC43" s="23">
        <f>+'SR IS'!AN36</f>
        <v>226021</v>
      </c>
      <c r="AE43" s="23">
        <f>+'SR IS'!AP36</f>
        <v>302307</v>
      </c>
      <c r="AG43" s="23">
        <f>+'SR IS'!AR36</f>
        <v>296998</v>
      </c>
      <c r="AI43" s="23">
        <f>+'SR IS'!AU36</f>
        <v>108245</v>
      </c>
      <c r="AK43" s="23">
        <f>+'SR IS'!AW36</f>
        <v>4400455</v>
      </c>
      <c r="AM43" s="23">
        <f>+'SR IS'!AY36</f>
        <v>0</v>
      </c>
      <c r="AN43" s="23"/>
      <c r="AQ43" s="23">
        <f>+'Govt IS'!N24</f>
        <v>642401</v>
      </c>
      <c r="AS43" s="23">
        <f>+'CP IS'!D23</f>
        <v>0</v>
      </c>
      <c r="AT43" s="23"/>
      <c r="AU43" s="23">
        <f>+'CP IS'!F23</f>
        <v>0</v>
      </c>
      <c r="AV43" s="23"/>
      <c r="AW43" s="23">
        <f>+'CP IS'!H23</f>
        <v>0</v>
      </c>
      <c r="AX43" s="23"/>
      <c r="AY43" s="23">
        <f>+'CP IS'!J23</f>
        <v>317</v>
      </c>
      <c r="AZ43" s="23"/>
      <c r="BA43" s="23">
        <f>+'CP IS'!L23</f>
        <v>13370</v>
      </c>
      <c r="BB43" s="23"/>
      <c r="BC43" s="23">
        <f>SUM(AQ43:BB43)</f>
        <v>656088</v>
      </c>
      <c r="BE43">
        <f>+H19</f>
        <v>656088</v>
      </c>
      <c r="BF43">
        <f>+BE43-BC43</f>
        <v>0</v>
      </c>
    </row>
    <row r="44" spans="1:58">
      <c r="B44" t="s">
        <v>804</v>
      </c>
      <c r="D44" s="91">
        <f>+B11</f>
        <v>12840036</v>
      </c>
      <c r="F44" s="91">
        <f>+B15</f>
        <v>2615304</v>
      </c>
      <c r="H44" s="91">
        <f>+B19</f>
        <v>15532721</v>
      </c>
      <c r="J44" s="91">
        <f>+B23</f>
        <v>13486328</v>
      </c>
      <c r="L44" s="91"/>
      <c r="M44" s="92" t="s">
        <v>90</v>
      </c>
      <c r="Q44" s="23" t="str">
        <f>+IF(+Q43&gt;+$L$23,"YES","No")</f>
        <v>No</v>
      </c>
      <c r="S44" s="23" t="str">
        <f>+IF(+S43&gt;+$L$23,"YES","No")</f>
        <v>No</v>
      </c>
      <c r="U44" s="23" t="str">
        <f>+IF(+U43&gt;+$L$23,"YES","No")</f>
        <v>No</v>
      </c>
      <c r="V44" s="23"/>
      <c r="W44" s="23" t="str">
        <f>+IF(+W43&gt;+$L$23,"YES","No")</f>
        <v>No</v>
      </c>
      <c r="X44" s="23"/>
      <c r="Y44" s="23" t="str">
        <f>+IF(+Y43&gt;+$L$23,"YES","No")</f>
        <v>No</v>
      </c>
      <c r="Z44" s="23"/>
      <c r="AA44" s="23" t="str">
        <f>+IF(+AA43&gt;+$L$23,"YES","No")</f>
        <v>No</v>
      </c>
      <c r="AB44" s="23"/>
      <c r="AC44" s="23" t="str">
        <f>+IF(+AC43&gt;+$L$23,"YES","No")</f>
        <v>No</v>
      </c>
      <c r="AE44" s="23" t="str">
        <f>+IF(+AE43&gt;+$L$23,"YES","No")</f>
        <v>No</v>
      </c>
      <c r="AG44" s="23" t="str">
        <f>+IF(+AG43&gt;+$L$23,"YES","No")</f>
        <v>No</v>
      </c>
      <c r="AI44" s="23" t="str">
        <f>+IF(+AI43&gt;+$L$23,"YES","No")</f>
        <v>No</v>
      </c>
      <c r="AK44" s="23" t="str">
        <f>+IF(+AK43&gt;+$L$23,"YES","No")</f>
        <v>No</v>
      </c>
      <c r="AM44" s="23" t="str">
        <f>+IF(+AM43&gt;+$L$23,"YES","No")</f>
        <v>No</v>
      </c>
      <c r="AN44" s="23"/>
      <c r="AQ44" s="23" t="str">
        <f>+IF(+AQ43&gt;+$L$19,"YES","No")</f>
        <v>No</v>
      </c>
      <c r="AS44" s="23" t="str">
        <f>+IF(+AS43&gt;+$L$19,"YES","No")</f>
        <v>No</v>
      </c>
      <c r="AT44" s="23"/>
      <c r="AU44" s="23" t="str">
        <f>+IF(+AU43&gt;+$L$19,"YES","No")</f>
        <v>No</v>
      </c>
      <c r="AV44" s="23"/>
      <c r="AW44" s="23" t="str">
        <f>+IF(+AW43&gt;+$L$19,"YES","No")</f>
        <v>No</v>
      </c>
      <c r="AX44" s="23"/>
      <c r="AY44" s="23" t="str">
        <f>+IF(+AY43&gt;+$L$19,"YES","No")</f>
        <v>No</v>
      </c>
      <c r="AZ44" s="23"/>
      <c r="BA44" s="23" t="str">
        <f>+IF(+BA43&gt;+$L$19,"YES","No")</f>
        <v>No</v>
      </c>
      <c r="BB44" s="23"/>
      <c r="BC44" s="23"/>
    </row>
    <row r="45" spans="1:58">
      <c r="B45" t="s">
        <v>971</v>
      </c>
      <c r="D45">
        <f>+Q11</f>
        <v>4842886</v>
      </c>
      <c r="F45">
        <f>+Q15</f>
        <v>476795</v>
      </c>
      <c r="H45" s="91">
        <f>+Q19</f>
        <v>14645818</v>
      </c>
      <c r="J45" s="91">
        <f>+Q23</f>
        <v>13461711</v>
      </c>
      <c r="M45" s="92" t="s">
        <v>91</v>
      </c>
      <c r="Q45" s="23" t="str">
        <f>IF(+Q43&gt;$L$23,IF(+Q43&gt;+$M$23,"YES","No"),"No")</f>
        <v>No</v>
      </c>
      <c r="S45" s="23" t="str">
        <f>IF(+S43&gt;$L$23,IF(+S43&gt;+$M$23,"YES","No"),"No")</f>
        <v>No</v>
      </c>
      <c r="U45" s="23" t="str">
        <f>IF(+U43&gt;$L$23,IF(+U43&gt;+$M$23,"YES","No"),"No")</f>
        <v>No</v>
      </c>
      <c r="V45" s="23"/>
      <c r="W45" s="23" t="str">
        <f>IF(+W43&gt;$L$23,IF(+W43&gt;+$M$23,"YES","No"),"No")</f>
        <v>No</v>
      </c>
      <c r="X45" s="23"/>
      <c r="Y45" s="23" t="str">
        <f>IF(+Y43&gt;$L$23,IF(+Y43&gt;+$M$23,"YES","No"),"No")</f>
        <v>No</v>
      </c>
      <c r="Z45" s="23"/>
      <c r="AA45" s="23" t="str">
        <f>IF(+AA43&gt;$L$23,IF(+AA43&gt;+$M$23,"YES","No"),"No")</f>
        <v>No</v>
      </c>
      <c r="AB45" s="23"/>
      <c r="AC45" s="23" t="str">
        <f>IF(+AC43&gt;$L$23,IF(+AC43&gt;+$M$23,"YES","No"),"No")</f>
        <v>No</v>
      </c>
      <c r="AE45" s="23" t="str">
        <f>IF(+AE43&gt;$L$23,IF(+AE43&gt;+$M$23,"YES","No"),"No")</f>
        <v>No</v>
      </c>
      <c r="AG45" s="23" t="str">
        <f>IF(+AG43&gt;$L$23,IF(+AG43&gt;+$M$23,"YES","No"),"No")</f>
        <v>No</v>
      </c>
      <c r="AI45" s="23" t="str">
        <f>IF(+AI43&gt;$L$23,IF(+AI43&gt;+$M$23,"YES","No"),"No")</f>
        <v>No</v>
      </c>
      <c r="AK45" s="23" t="str">
        <f>IF(+AK43&gt;$L$23,IF(+AK43&gt;+$M$23,"YES","No"),"No")</f>
        <v>No</v>
      </c>
      <c r="AM45" s="23" t="str">
        <f>IF(+AM43&gt;$L$23,IF(+AM43&gt;+$M$23,"YES","No"),"No")</f>
        <v>No</v>
      </c>
      <c r="AN45" s="23"/>
      <c r="AQ45" s="23" t="str">
        <f>IF(+AQ43&gt;$L$19,IF(+AQ43&gt;+$M$19,"YES","No"),"No")</f>
        <v>No</v>
      </c>
      <c r="AS45" s="23" t="str">
        <f>IF(+AS43&gt;$L$19,IF(+AS43&gt;+$M$19,"YES","No"),"No")</f>
        <v>No</v>
      </c>
      <c r="AT45" s="23"/>
      <c r="AU45" s="23" t="str">
        <f>IF(+AU43&gt;$L$19,IF(+AU43&gt;+$M$19,"YES","No"),"No")</f>
        <v>No</v>
      </c>
      <c r="AV45" s="23"/>
      <c r="AW45" s="23" t="str">
        <f>IF(+AW43&gt;$L$19,IF(+AW43&gt;+$M$19,"YES","No"),"No")</f>
        <v>No</v>
      </c>
      <c r="AX45" s="23"/>
      <c r="AY45" s="23" t="str">
        <f>IF(+AY43&gt;$L$19,IF(+AY43&gt;+$M$19,"YES","No"),"No")</f>
        <v>No</v>
      </c>
      <c r="AZ45" s="23"/>
      <c r="BA45" s="23" t="str">
        <f>IF(+BA43&gt;$L$19,IF(+BA43&gt;+$M$19,"YES","No"),"No")</f>
        <v>No</v>
      </c>
      <c r="BB45" s="23"/>
      <c r="BC45" s="23"/>
    </row>
    <row r="46" spans="1:58">
      <c r="B46" s="21" t="s">
        <v>3078</v>
      </c>
      <c r="D46" s="91">
        <f>+Q92</f>
        <v>9514638</v>
      </c>
      <c r="F46" s="91">
        <f>+Q96</f>
        <v>9802352</v>
      </c>
      <c r="H46">
        <f>+Q100</f>
        <v>2480548</v>
      </c>
      <c r="J46">
        <f>+Q104</f>
        <v>2361630</v>
      </c>
      <c r="M46" s="92"/>
      <c r="Q46" s="23"/>
      <c r="S46" s="23"/>
      <c r="U46" s="23"/>
      <c r="V46" s="23"/>
      <c r="W46" s="23"/>
      <c r="X46" s="23"/>
      <c r="Y46" s="23"/>
      <c r="Z46" s="23"/>
      <c r="AA46" s="23"/>
      <c r="AB46" s="23"/>
      <c r="AC46" s="23"/>
      <c r="AE46" s="23"/>
      <c r="AG46" s="23"/>
      <c r="AI46" s="23"/>
      <c r="AJ46" s="23"/>
      <c r="AK46" s="23"/>
      <c r="AL46" s="23"/>
      <c r="AM46" s="23"/>
      <c r="AN46" s="23"/>
      <c r="AQ46" s="23"/>
      <c r="AS46" s="23"/>
      <c r="AT46" s="23"/>
      <c r="AU46" s="23"/>
      <c r="AV46" s="23"/>
      <c r="AW46" s="23"/>
      <c r="AX46" s="23"/>
      <c r="AY46" s="23"/>
      <c r="AZ46" s="23"/>
      <c r="BA46" s="23"/>
      <c r="BB46" s="23"/>
      <c r="BC46" s="23"/>
    </row>
    <row r="47" spans="1:58">
      <c r="B47" s="21" t="s">
        <v>2015</v>
      </c>
      <c r="D47" s="91">
        <f>+S92</f>
        <v>6881945</v>
      </c>
      <c r="F47">
        <f>+S96</f>
        <v>68566</v>
      </c>
      <c r="H47">
        <f>+S100</f>
        <v>1959517</v>
      </c>
      <c r="J47">
        <f>+S104</f>
        <v>924002</v>
      </c>
      <c r="W47" s="28" t="s">
        <v>314</v>
      </c>
      <c r="X47" s="28"/>
      <c r="Y47" s="28" t="s">
        <v>278</v>
      </c>
      <c r="Z47" s="28"/>
      <c r="AA47" s="28" t="s">
        <v>935</v>
      </c>
      <c r="AB47" s="28"/>
      <c r="AC47" s="28" t="s">
        <v>312</v>
      </c>
      <c r="AG47" s="28" t="s">
        <v>1905</v>
      </c>
      <c r="AH47" s="28"/>
      <c r="AI47" s="28" t="s">
        <v>894</v>
      </c>
      <c r="AJ47" s="28"/>
      <c r="AK47" s="28" t="s">
        <v>894</v>
      </c>
      <c r="AL47" s="28"/>
      <c r="AM47" s="28" t="s">
        <v>1558</v>
      </c>
      <c r="AN47" s="28"/>
      <c r="AQ47" s="23"/>
      <c r="AS47" s="23"/>
      <c r="AT47" s="23"/>
      <c r="AU47" s="23"/>
      <c r="AV47" s="23"/>
      <c r="AW47" s="23"/>
      <c r="AX47" s="23"/>
      <c r="AY47" s="23"/>
      <c r="AZ47" s="23"/>
      <c r="BA47" s="23"/>
      <c r="BB47" s="23"/>
      <c r="BC47" s="23"/>
    </row>
    <row r="48" spans="1:58">
      <c r="B48" t="s">
        <v>609</v>
      </c>
      <c r="D48">
        <f>+BA11</f>
        <v>622038</v>
      </c>
      <c r="F48" s="91">
        <f>+BA15</f>
        <v>500937</v>
      </c>
      <c r="H48">
        <f>+BA19</f>
        <v>131576</v>
      </c>
      <c r="J48">
        <f>+BA23</f>
        <v>97148</v>
      </c>
      <c r="Q48" s="28" t="s">
        <v>900</v>
      </c>
      <c r="S48" s="28" t="s">
        <v>313</v>
      </c>
      <c r="U48" s="28" t="s">
        <v>1358</v>
      </c>
      <c r="W48" s="28" t="s">
        <v>61</v>
      </c>
      <c r="X48" s="29"/>
      <c r="Y48" s="28" t="s">
        <v>279</v>
      </c>
      <c r="Z48" s="28"/>
      <c r="AA48" s="28" t="s">
        <v>59</v>
      </c>
      <c r="AB48" s="28"/>
      <c r="AC48" s="28" t="s">
        <v>20</v>
      </c>
      <c r="AG48" s="28" t="s">
        <v>1561</v>
      </c>
      <c r="AI48" s="28" t="s">
        <v>1561</v>
      </c>
      <c r="AJ48" s="28"/>
      <c r="AK48" s="28" t="s">
        <v>1562</v>
      </c>
      <c r="AL48" s="28"/>
      <c r="AM48" s="28" t="s">
        <v>72</v>
      </c>
      <c r="AN48" s="28"/>
      <c r="AQ48" s="23">
        <f>+'Govt IS'!N37</f>
        <v>1997685</v>
      </c>
      <c r="AS48" s="23">
        <f>+'CP IS'!D36</f>
        <v>0</v>
      </c>
      <c r="AT48" s="23"/>
      <c r="AU48" s="23">
        <f>+'CP IS'!F36</f>
        <v>473929</v>
      </c>
      <c r="AV48" s="23"/>
      <c r="AW48" s="23">
        <f>+'CP IS'!H36</f>
        <v>0</v>
      </c>
      <c r="AX48" s="23"/>
      <c r="AY48" s="23">
        <f>+'CP IS'!J36</f>
        <v>2416</v>
      </c>
      <c r="AZ48" s="23"/>
      <c r="BA48" s="23">
        <f>+'CP IS'!L36</f>
        <v>497702</v>
      </c>
      <c r="BB48" s="23"/>
      <c r="BC48" s="23">
        <f>SUM(AQ48:BB48)</f>
        <v>2971732</v>
      </c>
      <c r="BE48">
        <f>+H23</f>
        <v>2971732</v>
      </c>
      <c r="BF48">
        <f>+BE48-BC48</f>
        <v>0</v>
      </c>
    </row>
    <row r="49" spans="1:55">
      <c r="B49" t="s">
        <v>627</v>
      </c>
      <c r="D49" s="91">
        <f>+AQ35</f>
        <v>17958090</v>
      </c>
      <c r="F49">
        <f>+AQ39</f>
        <v>51976</v>
      </c>
      <c r="H49">
        <f>+AQ43</f>
        <v>642401</v>
      </c>
      <c r="J49">
        <f>+AQ48</f>
        <v>1997685</v>
      </c>
      <c r="Q49" s="29" t="s">
        <v>1383</v>
      </c>
      <c r="S49" s="29" t="s">
        <v>538</v>
      </c>
      <c r="U49" s="29" t="s">
        <v>536</v>
      </c>
      <c r="W49" s="29" t="s">
        <v>1339</v>
      </c>
      <c r="Y49" s="29" t="s">
        <v>280</v>
      </c>
      <c r="Z49" s="29"/>
      <c r="AA49" s="29" t="s">
        <v>1337</v>
      </c>
      <c r="AB49" s="29"/>
      <c r="AC49" s="29" t="s">
        <v>1337</v>
      </c>
      <c r="AG49" s="29" t="s">
        <v>1564</v>
      </c>
      <c r="AI49" s="29" t="s">
        <v>1564</v>
      </c>
      <c r="AJ49" s="29"/>
      <c r="AK49" s="29" t="s">
        <v>1563</v>
      </c>
      <c r="AL49" s="29"/>
      <c r="AM49" s="29" t="s">
        <v>1565</v>
      </c>
      <c r="AN49" s="29"/>
      <c r="AQ49" s="23" t="str">
        <f>+IF(+AQ48&gt;+$L$23,"YES","No")</f>
        <v>No</v>
      </c>
      <c r="AS49" s="23" t="str">
        <f>+IF(+AS48&gt;+$L$23,"YES","No")</f>
        <v>No</v>
      </c>
      <c r="AT49" s="23"/>
      <c r="AU49" s="23" t="str">
        <f>+IF(+AU48&gt;+$L$23,"YES","No")</f>
        <v>No</v>
      </c>
      <c r="AV49" s="23"/>
      <c r="AW49" s="23" t="str">
        <f>+IF(+AW48&gt;+$L$23,"YES","No")</f>
        <v>No</v>
      </c>
      <c r="AX49" s="23"/>
      <c r="AY49" s="23" t="str">
        <f>+IF(+AY48&gt;+$L$23,"YES","No")</f>
        <v>No</v>
      </c>
      <c r="AZ49" s="23"/>
      <c r="BA49" s="23" t="str">
        <f>+IF(+BA48&gt;+$L$23,"YES","No")</f>
        <v>No</v>
      </c>
      <c r="BB49" s="23"/>
      <c r="BC49" s="23"/>
    </row>
    <row r="50" spans="1:55">
      <c r="B50" s="1134" t="s">
        <v>3249</v>
      </c>
      <c r="X50" s="23"/>
      <c r="AQ50" s="23" t="str">
        <f>IF(+AQ48&gt;$L$23,IF(+AQ48&gt;+$M$23,"YES","No"),"No")</f>
        <v>No</v>
      </c>
      <c r="AS50" s="23" t="str">
        <f>IF(+AS48&gt;$L$23,IF(+AS48&gt;+$M$23,"YES","No"),"No")</f>
        <v>No</v>
      </c>
      <c r="AT50" s="23"/>
      <c r="AU50" s="23" t="str">
        <f>IF(+AU48&gt;$L$23,IF(+AU48&gt;+$M$23,"YES","No"),"No")</f>
        <v>No</v>
      </c>
      <c r="AV50" s="23"/>
      <c r="AW50" s="23" t="str">
        <f>IF(+AW48&gt;$L$23,IF(+AW48&gt;+$M$23,"YES","No"),"No")</f>
        <v>No</v>
      </c>
      <c r="AX50" s="23"/>
      <c r="AY50" s="23" t="str">
        <f>IF(+AY48&gt;$L$23,IF(+AY48&gt;+$M$23,"YES","No"),"No")</f>
        <v>No</v>
      </c>
      <c r="AZ50" s="23"/>
      <c r="BA50" s="23" t="str">
        <f>IF(+BA48&gt;$L$23,IF(+BA48&gt;+$M$23,"YES","No"),"No")</f>
        <v>No</v>
      </c>
      <c r="BB50" s="23"/>
    </row>
    <row r="51" spans="1:55">
      <c r="B51" s="21"/>
      <c r="Q51" s="23">
        <f>+'SR BS'!BA37</f>
        <v>28133</v>
      </c>
      <c r="S51" s="23">
        <f>+'SR BS'!BC37</f>
        <v>82435</v>
      </c>
      <c r="U51" s="23">
        <f>+'SR BS'!BH37</f>
        <v>21202</v>
      </c>
      <c r="W51" s="23">
        <f>+'SR BS'!BJ37</f>
        <v>422641</v>
      </c>
      <c r="X51" s="23"/>
      <c r="Y51" s="23">
        <f>+'SR BS'!BL37</f>
        <v>253738</v>
      </c>
      <c r="AA51" s="23">
        <f>+'SR BS'!BN37</f>
        <v>21826</v>
      </c>
      <c r="AB51" s="23"/>
      <c r="AC51" s="23">
        <f>+'SR BS'!BP37</f>
        <v>62464</v>
      </c>
      <c r="AG51" s="23">
        <f>+'SR BS'!BU37</f>
        <v>5768</v>
      </c>
      <c r="AI51" s="23">
        <f>+'SR BS'!BW37</f>
        <v>35534</v>
      </c>
      <c r="AK51" s="23">
        <f>+'SR BS'!BY37</f>
        <v>39899</v>
      </c>
      <c r="AM51" s="23">
        <f>+'SR BS'!CA37</f>
        <v>168446</v>
      </c>
    </row>
    <row r="52" spans="1:55">
      <c r="A52" s="27" t="s">
        <v>613</v>
      </c>
      <c r="Q52" s="23" t="str">
        <f>+IF(+Q51&gt;+$L$11,"YES","No")</f>
        <v>No</v>
      </c>
      <c r="S52" s="23" t="str">
        <f>+IF(+S51&gt;+$L$11,"YES","No")</f>
        <v>No</v>
      </c>
      <c r="U52" s="23" t="str">
        <f>+IF(+U51&gt;+$L$11,"YES","No")</f>
        <v>No</v>
      </c>
      <c r="W52" s="23" t="str">
        <f>+IF(+W51&gt;+$L$11,"YES","No")</f>
        <v>No</v>
      </c>
      <c r="X52" s="23"/>
      <c r="Y52" s="23" t="str">
        <f>+IF(+Y51&gt;+$L$11,"YES","No")</f>
        <v>No</v>
      </c>
      <c r="Z52" s="23"/>
      <c r="AA52" s="23" t="str">
        <f>+IF(+AA51&gt;+$L$11,"YES","No")</f>
        <v>No</v>
      </c>
      <c r="AB52" s="23"/>
      <c r="AC52" s="23" t="str">
        <f>+IF(+AC51&gt;+$L$11,"YES","No")</f>
        <v>No</v>
      </c>
      <c r="AG52" s="23" t="str">
        <f>+IF(+AG51&gt;+$L$11,"YES","No")</f>
        <v>No</v>
      </c>
      <c r="AI52" s="23" t="str">
        <f>+IF(+AI51&gt;+$L$11,"YES","No")</f>
        <v>No</v>
      </c>
      <c r="AK52" s="23" t="str">
        <f>+IF(+AK51&gt;+$L$11,"YES","No")</f>
        <v>No</v>
      </c>
      <c r="AM52" s="23" t="str">
        <f>+IF(+AM51&gt;+$L$11,"YES","No")</f>
        <v>No</v>
      </c>
    </row>
    <row r="53" spans="1:55">
      <c r="B53" t="s">
        <v>101</v>
      </c>
      <c r="Q53" s="23" t="str">
        <f>IF(+Q51&gt;$L$11,IF(+Q51&gt;+$M$11,"YES","No"),"No")</f>
        <v>No</v>
      </c>
      <c r="S53" s="23" t="str">
        <f>IF(+S51&gt;$L$11,IF(+S51&gt;+$M$11,"YES","No"),"No")</f>
        <v>No</v>
      </c>
      <c r="U53" s="23" t="str">
        <f>IF(+U51&gt;$L$11,IF(+U51&gt;+$M$11,"YES","No"),"No")</f>
        <v>No</v>
      </c>
      <c r="W53" s="23" t="str">
        <f>IF(+W51&gt;$L$11,IF(+W51&gt;+$M$11,"YES","No"),"No")</f>
        <v>No</v>
      </c>
      <c r="X53" s="23"/>
      <c r="Y53" s="23" t="str">
        <f>IF(+Y51&gt;$L$11,IF(+Y51&gt;+$M$11,"YES","No"),"No")</f>
        <v>No</v>
      </c>
      <c r="Z53" s="23"/>
      <c r="AA53" s="23" t="str">
        <f>IF(+AA51&gt;$L$11,IF(+AA51&gt;+$M$11,"YES","No"),"No")</f>
        <v>No</v>
      </c>
      <c r="AB53" s="23"/>
      <c r="AC53" s="23" t="str">
        <f>IF(+AC51&gt;$L$11,IF(+AC51&gt;+$M$11,"YES","No"),"No")</f>
        <v>No</v>
      </c>
      <c r="AG53" s="23" t="str">
        <f>IF(+AG51&gt;$L$11,IF(+AG51&gt;+$M$11,"YES","No"),"No")</f>
        <v>No</v>
      </c>
      <c r="AI53" s="23" t="str">
        <f>IF(+AI51&gt;$L$11,IF(+AI51&gt;+$M$11,"YES","No"),"No")</f>
        <v>No</v>
      </c>
      <c r="AK53" s="23" t="str">
        <f>IF(+AK51&gt;$L$11,IF(+AK51&gt;+$M$11,"YES","No"),"No")</f>
        <v>No</v>
      </c>
      <c r="AM53" s="23" t="str">
        <f>IF(+AM51&gt;$L$11,IF(+AM51&gt;+$M$11,"YES","No"),"No")</f>
        <v>No</v>
      </c>
    </row>
    <row r="54" spans="1:55">
      <c r="B54" t="s">
        <v>93</v>
      </c>
      <c r="D54" s="91">
        <f>+BL11</f>
        <v>9448009</v>
      </c>
      <c r="F54" s="91">
        <f>+BL15</f>
        <v>2248296</v>
      </c>
      <c r="H54">
        <f>+BL19</f>
        <v>1488521</v>
      </c>
      <c r="J54">
        <f>+BL23</f>
        <v>1205663</v>
      </c>
      <c r="Q54" s="23"/>
      <c r="S54" s="23"/>
      <c r="U54" s="23"/>
      <c r="W54" s="23"/>
      <c r="X54" s="23"/>
      <c r="Y54" s="23"/>
      <c r="Z54" s="23"/>
      <c r="AA54" s="23"/>
      <c r="AB54" s="23"/>
      <c r="AC54" s="23"/>
      <c r="AG54" s="23"/>
      <c r="AI54" s="23"/>
      <c r="AK54" s="23"/>
      <c r="AM54" s="23"/>
    </row>
    <row r="55" spans="1:55">
      <c r="B55" t="s">
        <v>610</v>
      </c>
      <c r="D55" s="91">
        <f>+BN11</f>
        <v>7883099</v>
      </c>
      <c r="F55">
        <f>+BN15</f>
        <v>101862</v>
      </c>
      <c r="H55">
        <f>+BN19</f>
        <v>1822123</v>
      </c>
      <c r="J55">
        <f>+BN23</f>
        <v>2021354</v>
      </c>
      <c r="Q55" s="23">
        <f>+'SR BS'!BA68+'SR BS'!BA71</f>
        <v>0</v>
      </c>
      <c r="S55" s="23">
        <f>+'SR BS'!BC68+'SR BS'!BC71</f>
        <v>0</v>
      </c>
      <c r="U55" s="23">
        <f>+'SR BS'!BH68+'SR BS'!BH71</f>
        <v>0</v>
      </c>
      <c r="W55" s="23">
        <f>+'SR BS'!BJ68+'SR BS'!BJ71</f>
        <v>0</v>
      </c>
      <c r="Y55" s="23">
        <f>+'SR BS'!BL68+'SR BS'!BL71</f>
        <v>0</v>
      </c>
      <c r="AA55" s="23">
        <f>+'SR BS'!BN68+'SR BS'!BN71</f>
        <v>0</v>
      </c>
      <c r="AC55" s="23">
        <f>+'SR BS'!BP68+'SR BS'!BP71</f>
        <v>0</v>
      </c>
      <c r="AG55" s="23">
        <f>+'SR BS'!BU68+'SR BS'!BU71</f>
        <v>0</v>
      </c>
      <c r="AI55" s="23">
        <f>+'SR BS'!BW68+'SR BS'!BW71</f>
        <v>0</v>
      </c>
      <c r="AK55" s="23">
        <f>+'SR BS'!BY68+'SR BS'!BY71</f>
        <v>0</v>
      </c>
      <c r="AM55" s="23">
        <f>+'SR BS'!CA68+'SR BS'!CA71</f>
        <v>0</v>
      </c>
    </row>
    <row r="56" spans="1:55">
      <c r="Q56" s="23" t="str">
        <f>+IF(+Q55&gt;+$L$15,"YES","No")</f>
        <v>No</v>
      </c>
      <c r="S56" s="23" t="str">
        <f>+IF(+S55&gt;+$L$15,"YES","No")</f>
        <v>No</v>
      </c>
      <c r="U56" s="23" t="str">
        <f>+IF(+U55&gt;+$L$15,"YES","No")</f>
        <v>No</v>
      </c>
      <c r="W56" s="23" t="str">
        <f>+IF(+W55&gt;+$L$15,"YES","No")</f>
        <v>No</v>
      </c>
      <c r="X56" s="23"/>
      <c r="Y56" s="23" t="str">
        <f>+IF(+Y55&gt;+$L$15,"YES","No")</f>
        <v>No</v>
      </c>
      <c r="Z56" s="23"/>
      <c r="AA56" s="23" t="str">
        <f>+IF(+AA55&gt;+$L$15,"YES","No")</f>
        <v>No</v>
      </c>
      <c r="AB56" s="23"/>
      <c r="AC56" s="23" t="str">
        <f>+IF(+AC55&gt;+$L$15,"YES","No")</f>
        <v>No</v>
      </c>
      <c r="AG56" s="23" t="str">
        <f>+IF(+AG55&gt;+$L$15,"YES","No")</f>
        <v>No</v>
      </c>
      <c r="AI56" s="23" t="str">
        <f>+IF(+AI55&gt;+$L$15,"YES","No")</f>
        <v>No</v>
      </c>
      <c r="AK56" s="23" t="str">
        <f>+IF(+AK55&gt;+$L$15,"YES","No")</f>
        <v>No</v>
      </c>
      <c r="AM56" s="23" t="str">
        <f>+IF(+AM55&gt;+$L$15,"YES","No")</f>
        <v>No</v>
      </c>
    </row>
    <row r="57" spans="1:55">
      <c r="Q57" s="23" t="str">
        <f>IF(+Q55&gt;$L$15,IF(+Q55&gt;+$M$15,"YES","No"),"No")</f>
        <v>No</v>
      </c>
      <c r="S57" s="23" t="str">
        <f>IF(+S55&gt;$L$15,IF(+S55&gt;+$M$15,"YES","No"),"No")</f>
        <v>No</v>
      </c>
      <c r="U57" s="23" t="str">
        <f>IF(+U55&gt;$L$15,IF(+U55&gt;+$M$15,"YES","No"),"No")</f>
        <v>No</v>
      </c>
      <c r="W57" s="23" t="str">
        <f>IF(+W55&gt;$L$15,IF(+W55&gt;+$M$15,"YES","No"),"No")</f>
        <v>No</v>
      </c>
      <c r="X57" s="23"/>
      <c r="Y57" s="23" t="str">
        <f>IF(+Y55&gt;$L$15,IF(+Y55&gt;+$M$15,"YES","No"),"No")</f>
        <v>No</v>
      </c>
      <c r="Z57" s="23"/>
      <c r="AA57" s="23" t="str">
        <f>IF(+AA55&gt;$L$15,IF(+AA55&gt;+$M$15,"YES","No"),"No")</f>
        <v>No</v>
      </c>
      <c r="AB57" s="23"/>
      <c r="AC57" s="23" t="str">
        <f>IF(+AC55&gt;$L$15,IF(+AC55&gt;+$M$15,"YES","No"),"No")</f>
        <v>No</v>
      </c>
      <c r="AG57" s="23" t="str">
        <f>IF(+AG55&gt;$L$15,IF(+AG55&gt;+$M$15,"YES","No"),"No")</f>
        <v>No</v>
      </c>
      <c r="AI57" s="23" t="str">
        <f>IF(+AI55&gt;$L$15,IF(+AI55&gt;+$M$15,"YES","No"),"No")</f>
        <v>No</v>
      </c>
      <c r="AK57" s="23" t="str">
        <f>IF(+AK55&gt;$L$15,IF(+AK55&gt;+$M$15,"YES","No"),"No")</f>
        <v>No</v>
      </c>
      <c r="AM57" s="23" t="str">
        <f>IF(+AM55&gt;$L$15,IF(+AM55&gt;+$M$15,"YES","No"),"No")</f>
        <v>No</v>
      </c>
    </row>
    <row r="58" spans="1:55">
      <c r="Q58" s="23"/>
      <c r="S58" s="23"/>
      <c r="U58" s="23"/>
      <c r="W58" s="23"/>
      <c r="X58" s="23"/>
      <c r="Y58" s="23"/>
      <c r="Z58" s="23"/>
      <c r="AA58" s="23"/>
      <c r="AB58" s="23"/>
      <c r="AC58" s="23"/>
      <c r="AG58" s="23"/>
      <c r="AI58" s="23"/>
      <c r="AK58" s="23"/>
      <c r="AM58" s="23"/>
    </row>
    <row r="59" spans="1:55">
      <c r="Q59" s="23">
        <f>+'SR IS'!BA23</f>
        <v>33441</v>
      </c>
      <c r="S59" s="23">
        <f>+'SR IS'!BC23</f>
        <v>41954</v>
      </c>
      <c r="U59" s="23">
        <f>+'SR IS'!BH23</f>
        <v>94</v>
      </c>
      <c r="W59" s="23">
        <f>+'SR IS'!BJ23</f>
        <v>18709</v>
      </c>
      <c r="X59" s="23"/>
      <c r="Y59" s="23">
        <f>+'SR IS'!BL23</f>
        <v>9564</v>
      </c>
      <c r="AA59" s="23">
        <f>+'SR IS'!BN23</f>
        <v>977</v>
      </c>
      <c r="AB59" s="23"/>
      <c r="AC59" s="23">
        <f>+'SR IS'!BP23</f>
        <v>2070</v>
      </c>
      <c r="AG59" s="23">
        <f>+'SR IS'!BU23</f>
        <v>28855</v>
      </c>
      <c r="AI59" s="23">
        <f>+'SR IS'!BW23</f>
        <v>186896</v>
      </c>
      <c r="AK59" s="23">
        <f>+'SR IS'!BY23</f>
        <v>16578</v>
      </c>
      <c r="AM59" s="23">
        <f>+'SR IS'!CA23</f>
        <v>27243</v>
      </c>
    </row>
    <row r="60" spans="1:55">
      <c r="Q60" s="23" t="str">
        <f>+IF(+Q59&gt;+$L$19,"YES","No")</f>
        <v>No</v>
      </c>
      <c r="S60" s="23" t="str">
        <f>+IF(+S59&gt;+$L$19,"YES","No")</f>
        <v>No</v>
      </c>
      <c r="U60" s="23" t="str">
        <f>+IF(+U59&gt;+$L$19,"YES","No")</f>
        <v>No</v>
      </c>
      <c r="W60" s="23" t="str">
        <f>+IF(+W59&gt;+$L$19,"YES","No")</f>
        <v>No</v>
      </c>
      <c r="X60" s="23"/>
      <c r="Y60" s="23" t="str">
        <f>+IF(+Y59&gt;+$L$19,"YES","No")</f>
        <v>No</v>
      </c>
      <c r="Z60" s="23"/>
      <c r="AA60" s="23" t="str">
        <f>+IF(+AA59&gt;+$L$19,"YES","No")</f>
        <v>No</v>
      </c>
      <c r="AB60" s="23"/>
      <c r="AC60" s="23" t="str">
        <f>+IF(+AC59&gt;+$L$19,"YES","No")</f>
        <v>No</v>
      </c>
      <c r="AG60" s="23" t="str">
        <f>+IF(+AG59&gt;+$L$19,"YES","No")</f>
        <v>No</v>
      </c>
      <c r="AI60" s="23" t="str">
        <f>+IF(+AI59&gt;+$L$19,"YES","No")</f>
        <v>No</v>
      </c>
      <c r="AK60" s="23" t="str">
        <f>+IF(+AK59&gt;+$L$19,"YES","No")</f>
        <v>No</v>
      </c>
      <c r="AM60" s="23" t="str">
        <f>+IF(+AM59&gt;+$L$19,"YES","No")</f>
        <v>No</v>
      </c>
    </row>
    <row r="61" spans="1:55">
      <c r="D61" s="21">
        <v>49</v>
      </c>
      <c r="G61" s="21"/>
      <c r="Q61" s="23" t="str">
        <f>IF(+Q59&gt;$L$19,IF(+Q59&gt;+$M$19,"YES","No"),"No")</f>
        <v>No</v>
      </c>
      <c r="S61" s="23" t="str">
        <f>IF(+S59&gt;$L$19,IF(+S59&gt;+$M$19,"YES","No"),"No")</f>
        <v>No</v>
      </c>
      <c r="U61" s="23" t="str">
        <f>IF(+U59&gt;$L$19,IF(+U59&gt;+$M$19,"YES","No"),"No")</f>
        <v>No</v>
      </c>
      <c r="W61" s="23" t="str">
        <f>IF(+W59&gt;$L$19,IF(+W59&gt;+$M$19,"YES","No"),"No")</f>
        <v>No</v>
      </c>
      <c r="X61" s="23"/>
      <c r="Y61" s="23" t="str">
        <f>IF(+Y59&gt;$L$19,IF(+Y59&gt;+$M$19,"YES","No"),"No")</f>
        <v>No</v>
      </c>
      <c r="Z61" s="23"/>
      <c r="AA61" s="23" t="str">
        <f>IF(+AA59&gt;$L$19,IF(+AA59&gt;+$M$19,"YES","No"),"No")</f>
        <v>No</v>
      </c>
      <c r="AB61" s="23"/>
      <c r="AC61" s="23" t="str">
        <f>IF(+AC59&gt;$L$19,IF(+AC59&gt;+$M$19,"YES","No"),"No")</f>
        <v>No</v>
      </c>
      <c r="AG61" s="23" t="str">
        <f>IF(+AG59&gt;$L$19,IF(+AG59&gt;+$M$19,"YES","No"),"No")</f>
        <v>No</v>
      </c>
      <c r="AI61" s="23" t="str">
        <f>IF(+AI59&gt;$L$19,IF(+AI59&gt;+$M$19,"YES","No"),"No")</f>
        <v>No</v>
      </c>
      <c r="AK61" s="23" t="str">
        <f>IF(+AK59&gt;$L$19,IF(+AK59&gt;+$M$19,"YES","No"),"No")</f>
        <v>No</v>
      </c>
      <c r="AM61" s="23" t="str">
        <f>IF(+AM59&gt;$L$19,IF(+AM59&gt;+$M$19,"YES","No"),"No")</f>
        <v>No</v>
      </c>
    </row>
    <row r="62" spans="1:55">
      <c r="D62">
        <v>6</v>
      </c>
      <c r="M62" s="143"/>
      <c r="Q62" s="23"/>
      <c r="S62" s="23"/>
      <c r="U62" s="23"/>
      <c r="W62" s="23"/>
      <c r="X62" s="23"/>
      <c r="Y62" s="23"/>
      <c r="Z62" s="23"/>
      <c r="AA62" s="23"/>
      <c r="AB62" s="23"/>
      <c r="AC62" s="23"/>
      <c r="AG62" s="23"/>
      <c r="AI62" s="23"/>
      <c r="AK62" s="23"/>
      <c r="AM62" s="23"/>
    </row>
    <row r="63" spans="1:55">
      <c r="D63">
        <v>5</v>
      </c>
      <c r="M63" s="143"/>
      <c r="Q63" s="23">
        <f>+'SR IS'!BA36</f>
        <v>25100</v>
      </c>
      <c r="S63" s="23">
        <f>+'SR IS'!BC36</f>
        <v>36352</v>
      </c>
      <c r="U63" s="23">
        <f>+'SR IS'!BH36</f>
        <v>0</v>
      </c>
      <c r="W63" s="23">
        <f>+'SR IS'!BJ36</f>
        <v>73060</v>
      </c>
      <c r="X63" s="23"/>
      <c r="Y63" s="23">
        <f>+'SR IS'!BL36</f>
        <v>103446</v>
      </c>
      <c r="AA63" s="23">
        <f>+'SR IS'!BN36</f>
        <v>25000</v>
      </c>
      <c r="AB63" s="23"/>
      <c r="AC63" s="23">
        <f>+'SR IS'!BP36</f>
        <v>0</v>
      </c>
      <c r="AG63" s="23">
        <f>+'SR IS'!BU36</f>
        <v>23112</v>
      </c>
      <c r="AI63" s="23">
        <f>+'SR IS'!BW36</f>
        <v>204151</v>
      </c>
      <c r="AK63" s="23">
        <f>+'SR IS'!BY36</f>
        <v>35072</v>
      </c>
      <c r="AM63" s="23">
        <f>+'SR IS'!CA36</f>
        <v>52642</v>
      </c>
    </row>
    <row r="64" spans="1:55">
      <c r="D64">
        <f>SUM(D61:D63)</f>
        <v>60</v>
      </c>
      <c r="M64" s="143"/>
      <c r="Q64" s="23" t="str">
        <f>+IF(+Q63&gt;+$L$23,"YES","No")</f>
        <v>No</v>
      </c>
      <c r="S64" s="23" t="str">
        <f>+IF(+S63&gt;+$L$23,"YES","No")</f>
        <v>No</v>
      </c>
      <c r="U64" s="23" t="str">
        <f>+IF(+U63&gt;+$L$23,"YES","No")</f>
        <v>No</v>
      </c>
      <c r="W64" s="23" t="str">
        <f>+IF(+W63&gt;+$L$23,"YES","No")</f>
        <v>No</v>
      </c>
      <c r="X64" s="23"/>
      <c r="Y64" s="23" t="str">
        <f>+IF(+Y63&gt;+$L$23,"YES","No")</f>
        <v>No</v>
      </c>
      <c r="Z64" s="23"/>
      <c r="AA64" s="23" t="str">
        <f>+IF(+AA63&gt;+$L$23,"YES","No")</f>
        <v>No</v>
      </c>
      <c r="AB64" s="23"/>
      <c r="AC64" s="23" t="str">
        <f>+IF(+AC63&gt;+$L$23,"YES","No")</f>
        <v>No</v>
      </c>
      <c r="AG64" s="23" t="str">
        <f>+IF(+AG63&gt;+$L$23,"YES","No")</f>
        <v>No</v>
      </c>
      <c r="AI64" s="23" t="str">
        <f>+IF(+AI63&gt;+$L$23,"YES","No")</f>
        <v>No</v>
      </c>
      <c r="AK64" s="23" t="str">
        <f>+IF(+AK63&gt;+$L$23,"YES","No")</f>
        <v>No</v>
      </c>
      <c r="AM64" s="23" t="str">
        <f>+IF(+AM63&gt;+$L$23,"YES","No")</f>
        <v>No</v>
      </c>
    </row>
    <row r="65" spans="13:39">
      <c r="M65" s="143"/>
      <c r="Q65" s="23" t="str">
        <f>IF(+Q63&gt;$L$23,IF(+Q63&gt;+$M$23,"YES","No"),"No")</f>
        <v>No</v>
      </c>
      <c r="S65" s="23" t="str">
        <f>IF(+S63&gt;$L$23,IF(+S63&gt;+$M$23,"YES","No"),"No")</f>
        <v>No</v>
      </c>
      <c r="U65" s="23" t="str">
        <f>IF(+U63&gt;$L$23,IF(+U63&gt;+$M$23,"YES","No"),"No")</f>
        <v>No</v>
      </c>
      <c r="W65" s="23" t="str">
        <f>IF(+W63&gt;$L$23,IF(+W63&gt;+$M$23,"YES","No"),"No")</f>
        <v>No</v>
      </c>
      <c r="Y65" s="23" t="str">
        <f>IF(+Y63&gt;$L$23,IF(+Y63&gt;+$M$23,"YES","No"),"No")</f>
        <v>No</v>
      </c>
      <c r="Z65" s="23"/>
      <c r="AA65" s="23" t="str">
        <f>IF(+AA63&gt;$L$23,IF(+AA63&gt;+$M$23,"YES","No"),"No")</f>
        <v>No</v>
      </c>
      <c r="AB65" s="23"/>
      <c r="AC65" s="23" t="str">
        <f>IF(+AC63&gt;$L$23,IF(+AC63&gt;+$M$23,"YES","No"),"No")</f>
        <v>No</v>
      </c>
      <c r="AG65" s="23" t="str">
        <f>IF(+AG63&gt;$L$23,IF(+AG63&gt;+$M$23,"YES","No"),"No")</f>
        <v>No</v>
      </c>
      <c r="AI65" s="23" t="str">
        <f>IF(+AI63&gt;$L$23,IF(+AI63&gt;+$M$23,"YES","No"),"No")</f>
        <v>No</v>
      </c>
      <c r="AK65" s="23" t="str">
        <f>IF(+AK63&gt;$L$23,IF(+AK63&gt;+$M$23,"YES","No"),"No")</f>
        <v>No</v>
      </c>
      <c r="AM65" s="23" t="str">
        <f>IF(+AM63&gt;$L$23,IF(+AM63&gt;+$M$23,"YES","No"),"No")</f>
        <v>No</v>
      </c>
    </row>
    <row r="67" spans="13:39">
      <c r="Q67" s="28" t="s">
        <v>1558</v>
      </c>
      <c r="S67" s="28"/>
      <c r="U67" s="28" t="s">
        <v>1020</v>
      </c>
      <c r="AA67" s="28" t="s">
        <v>1088</v>
      </c>
      <c r="AE67" s="28" t="s">
        <v>111</v>
      </c>
      <c r="AG67" s="26" t="s">
        <v>1046</v>
      </c>
      <c r="AK67" s="62" t="s">
        <v>348</v>
      </c>
      <c r="AM67" s="62" t="s">
        <v>842</v>
      </c>
    </row>
    <row r="68" spans="13:39">
      <c r="Q68" s="28" t="s">
        <v>72</v>
      </c>
      <c r="S68" s="28" t="s">
        <v>604</v>
      </c>
      <c r="U68" s="28" t="s">
        <v>1620</v>
      </c>
      <c r="W68" s="28" t="s">
        <v>264</v>
      </c>
      <c r="X68" s="28"/>
      <c r="Y68" s="28" t="s">
        <v>58</v>
      </c>
      <c r="Z68" s="28"/>
      <c r="AA68" s="28" t="s">
        <v>1297</v>
      </c>
      <c r="AE68" s="28" t="s">
        <v>112</v>
      </c>
      <c r="AG68" s="28" t="s">
        <v>1047</v>
      </c>
      <c r="AI68" s="28" t="s">
        <v>559</v>
      </c>
      <c r="AK68" s="62" t="s">
        <v>349</v>
      </c>
      <c r="AM68" s="62" t="s">
        <v>42</v>
      </c>
    </row>
    <row r="69" spans="13:39">
      <c r="Q69" s="29" t="s">
        <v>1338</v>
      </c>
      <c r="S69" s="29" t="s">
        <v>1283</v>
      </c>
      <c r="U69" s="29" t="s">
        <v>1618</v>
      </c>
      <c r="W69" s="29" t="s">
        <v>265</v>
      </c>
      <c r="X69" s="29"/>
      <c r="Y69" s="29" t="s">
        <v>20</v>
      </c>
      <c r="Z69" s="29"/>
      <c r="AA69" s="29" t="s">
        <v>1338</v>
      </c>
      <c r="AC69" s="29" t="s">
        <v>1190</v>
      </c>
      <c r="AE69" s="29" t="s">
        <v>761</v>
      </c>
      <c r="AF69" s="29"/>
      <c r="AG69" s="29" t="s">
        <v>1001</v>
      </c>
      <c r="AH69" s="29"/>
      <c r="AI69" s="29" t="s">
        <v>1384</v>
      </c>
      <c r="AJ69" s="29"/>
      <c r="AK69" s="29" t="s">
        <v>761</v>
      </c>
      <c r="AM69" s="189"/>
    </row>
    <row r="70" spans="13:39">
      <c r="AG70" s="23"/>
    </row>
    <row r="71" spans="13:39">
      <c r="Q71" s="23">
        <f>+'SR BS'!CC37</f>
        <v>0</v>
      </c>
      <c r="S71" s="23">
        <f>+'SR BS'!CH37</f>
        <v>1675727</v>
      </c>
      <c r="U71" s="23">
        <f>+'SR BS'!CJ37</f>
        <v>872198</v>
      </c>
      <c r="W71" s="23">
        <f>+'SR BS'!CL37</f>
        <v>104504</v>
      </c>
      <c r="X71" s="23"/>
      <c r="Y71" s="23">
        <f>+'SR BS'!CN37</f>
        <v>96879</v>
      </c>
      <c r="Z71" s="23"/>
      <c r="AA71" s="23">
        <f>+'SR BS'!CP37</f>
        <v>656704</v>
      </c>
      <c r="AC71" s="23">
        <f>+'SR BS'!CU37</f>
        <v>61190</v>
      </c>
      <c r="AE71" s="23">
        <f>+'SR BS'!CW37</f>
        <v>0</v>
      </c>
      <c r="AF71" s="23"/>
      <c r="AG71" s="23">
        <f>+'SR BS'!CY37</f>
        <v>0</v>
      </c>
      <c r="AH71" s="23"/>
      <c r="AI71" s="23">
        <f>+'SR BS'!DA37</f>
        <v>0</v>
      </c>
      <c r="AJ71" s="23"/>
      <c r="AK71" s="23">
        <f>+'SR BS'!DC37</f>
        <v>17572</v>
      </c>
      <c r="AM71" s="23">
        <f>+'SR BS'!DL37</f>
        <v>0</v>
      </c>
    </row>
    <row r="72" spans="13:39">
      <c r="Q72" s="23" t="str">
        <f>+IF(+Q71&gt;+$L$11,"YES","No")</f>
        <v>No</v>
      </c>
      <c r="S72" s="23" t="str">
        <f>+IF(+S71&gt;+$L$11,"YES","No")</f>
        <v>No</v>
      </c>
      <c r="U72" s="23" t="str">
        <f>+IF(+U71&gt;+$L$11,"YES","No")</f>
        <v>No</v>
      </c>
      <c r="W72" s="23" t="str">
        <f>+IF(+W71&gt;+$L$11,"YES","No")</f>
        <v>No</v>
      </c>
      <c r="X72" s="23"/>
      <c r="Y72" s="23" t="str">
        <f>+IF(+Y71&gt;+$L$11,"YES","No")</f>
        <v>No</v>
      </c>
      <c r="Z72" s="23"/>
      <c r="AA72" s="23" t="str">
        <f>+IF(+AA71&gt;+$L$11,"YES","No")</f>
        <v>No</v>
      </c>
      <c r="AC72" s="23" t="str">
        <f>+IF(+AC71&gt;+$L$11,"YES","No")</f>
        <v>No</v>
      </c>
      <c r="AE72" s="23" t="str">
        <f>+IF(+AE71&gt;+$L$11,"YES","No")</f>
        <v>No</v>
      </c>
      <c r="AF72" s="23"/>
      <c r="AG72" s="23" t="str">
        <f>+IF(+AG71&gt;+$L$11,"YES","No")</f>
        <v>No</v>
      </c>
      <c r="AH72" s="23"/>
      <c r="AI72" s="23" t="str">
        <f>+IF(+AI71&gt;+$L$11,"YES","No")</f>
        <v>No</v>
      </c>
      <c r="AJ72" s="23"/>
      <c r="AK72" s="23" t="str">
        <f>+IF(+AK71&gt;+$L$11,"YES","No")</f>
        <v>No</v>
      </c>
      <c r="AM72" s="23" t="str">
        <f>+IF(+AM71&gt;+$L$11,"YES","No")</f>
        <v>No</v>
      </c>
    </row>
    <row r="73" spans="13:39">
      <c r="Q73" s="23" t="str">
        <f>IF(+Q71&gt;$L$11,IF(+Q71&gt;+$M$11,"YES","No"),"No")</f>
        <v>No</v>
      </c>
      <c r="S73" s="23" t="str">
        <f>IF(+S71&gt;$L$11,IF(+S71&gt;+$M$11,"YES","No"),"No")</f>
        <v>No</v>
      </c>
      <c r="U73" s="23" t="str">
        <f>IF(+U71&gt;$L$11,IF(+U71&gt;+$M$11,"YES","No"),"No")</f>
        <v>No</v>
      </c>
      <c r="W73" s="23" t="str">
        <f>IF(+W71&gt;$L$11,IF(+W71&gt;+$M$11,"YES","No"),"No")</f>
        <v>No</v>
      </c>
      <c r="X73" s="23"/>
      <c r="Y73" s="23" t="str">
        <f>IF(+Y71&gt;$L$11,IF(+Y71&gt;+$M$11,"YES","No"),"No")</f>
        <v>No</v>
      </c>
      <c r="Z73" s="23"/>
      <c r="AA73" s="23" t="str">
        <f>IF(+AA71&gt;$L$11,IF(+AA71&gt;+$M$11,"YES","No"),"No")</f>
        <v>No</v>
      </c>
      <c r="AC73" s="23" t="str">
        <f>IF(+AC71&gt;$L$11,IF(+AC71&gt;+$M$11,"YES","No"),"No")</f>
        <v>No</v>
      </c>
      <c r="AE73" s="23" t="str">
        <f>IF(+AE71&gt;$L$11,IF(+AE71&gt;+$M$11,"YES","No"),"No")</f>
        <v>No</v>
      </c>
      <c r="AF73" s="23"/>
      <c r="AG73" s="23" t="str">
        <f>IF(+AG71&gt;$L$11,IF(+AG71&gt;+$M$11,"YES","No"),"No")</f>
        <v>No</v>
      </c>
      <c r="AH73" s="23"/>
      <c r="AI73" s="23" t="str">
        <f>IF(+AI71&gt;$L$11,IF(+AI71&gt;+$M$11,"YES","No"),"No")</f>
        <v>No</v>
      </c>
      <c r="AJ73" s="23"/>
      <c r="AK73" s="23" t="str">
        <f>IF(+AK71&gt;$L$11,IF(+AK71&gt;+$M$11,"YES","No"),"No")</f>
        <v>No</v>
      </c>
      <c r="AM73" s="23" t="str">
        <f>IF(+AM71&gt;$L$11,IF(+AM71&gt;+$M$11,"YES","No"),"No")</f>
        <v>No</v>
      </c>
    </row>
    <row r="74" spans="13:39">
      <c r="Q74" s="23"/>
      <c r="S74" s="23"/>
      <c r="U74" s="23"/>
      <c r="W74" s="23"/>
      <c r="X74" s="23"/>
      <c r="Y74" s="23"/>
      <c r="Z74" s="23"/>
      <c r="AA74" s="23"/>
      <c r="AC74" s="23"/>
      <c r="AE74" s="23"/>
      <c r="AF74" s="23"/>
      <c r="AG74" s="23"/>
      <c r="AH74" s="23"/>
      <c r="AI74" s="23"/>
      <c r="AJ74" s="23"/>
      <c r="AK74" s="23"/>
      <c r="AM74" s="23"/>
    </row>
    <row r="75" spans="13:39">
      <c r="Q75" s="23">
        <f>+'SR BS'!CC68+'SR BS'!CC71</f>
        <v>0</v>
      </c>
      <c r="S75" s="23">
        <f>+'SR BS'!CH68+'SR BS'!CH71</f>
        <v>0</v>
      </c>
      <c r="U75" s="23">
        <f>+'SR BS'!CJ68+'SR BS'!CJ71</f>
        <v>0</v>
      </c>
      <c r="W75" s="23">
        <f>+'SR BS'!CL68+'SR BS'!CL71</f>
        <v>0</v>
      </c>
      <c r="Y75" s="23">
        <f>+'SR BS'!CN68+'SR BS'!CN71</f>
        <v>0</v>
      </c>
      <c r="AA75" s="23">
        <f>+'SR BS'!CP68+'SR BS'!CP71</f>
        <v>409124</v>
      </c>
      <c r="AC75" s="23">
        <f>+'SR BS'!CU68+'SR BS'!CU71</f>
        <v>62477</v>
      </c>
      <c r="AE75" s="23">
        <f>+'SR BS'!CW68+'SR BS'!CW71</f>
        <v>22045</v>
      </c>
      <c r="AG75" s="23">
        <f>+'SR BS'!CY68+'SR BS'!CY71</f>
        <v>11972</v>
      </c>
      <c r="AI75" s="23">
        <f>+'SR BS'!DA68+'SR BS'!DA71</f>
        <v>0</v>
      </c>
      <c r="AK75" s="23">
        <f>+'SR BS'!DC68+'SR BS'!DC71</f>
        <v>0</v>
      </c>
      <c r="AM75" s="23">
        <f>+'SR BS'!DL68+'SR BS'!DL71</f>
        <v>8728</v>
      </c>
    </row>
    <row r="76" spans="13:39">
      <c r="Q76" s="23" t="str">
        <f>+IF(+Q75&gt;+$L$15,"YES","No")</f>
        <v>No</v>
      </c>
      <c r="S76" s="23" t="str">
        <f>+IF(+S75&gt;+$L$15,"YES","No")</f>
        <v>No</v>
      </c>
      <c r="U76" s="23" t="str">
        <f>+IF(+U75&gt;+$L$15,"YES","No")</f>
        <v>No</v>
      </c>
      <c r="W76" s="23" t="str">
        <f>+IF(+W75&gt;+$L$15,"YES","No")</f>
        <v>No</v>
      </c>
      <c r="X76" s="23"/>
      <c r="Y76" s="23" t="str">
        <f>+IF(+Y75&gt;+$L$15,"YES","No")</f>
        <v>No</v>
      </c>
      <c r="Z76" s="23"/>
      <c r="AA76" s="23" t="str">
        <f>+IF(+AA75&gt;+$L$15,"YES","No")</f>
        <v>No</v>
      </c>
      <c r="AC76" s="23" t="str">
        <f>+IF(+AC75&gt;+$L$15,"YES","No")</f>
        <v>No</v>
      </c>
      <c r="AE76" s="23" t="str">
        <f>+IF(+AE75&gt;+$L$15,"YES","No")</f>
        <v>No</v>
      </c>
      <c r="AF76" s="23"/>
      <c r="AG76" s="23" t="str">
        <f>+IF(+AG75&gt;+$L$15,"YES","No")</f>
        <v>No</v>
      </c>
      <c r="AH76" s="23"/>
      <c r="AI76" s="23" t="str">
        <f>+IF(+AI75&gt;+$L$15,"YES","No")</f>
        <v>No</v>
      </c>
      <c r="AJ76" s="23"/>
      <c r="AK76" s="23" t="str">
        <f>+IF(+AK75&gt;+$L$15,"YES","No")</f>
        <v>No</v>
      </c>
      <c r="AM76" s="23" t="str">
        <f>+IF(+AM75&gt;+$L$15,"YES","No")</f>
        <v>No</v>
      </c>
    </row>
    <row r="77" spans="13:39">
      <c r="Q77" s="23" t="str">
        <f>IF(+Q75&gt;$L$15,IF(+Q75&gt;+$M$15,"YES","No"),"No")</f>
        <v>No</v>
      </c>
      <c r="S77" s="23" t="str">
        <f>IF(+S75&gt;$L$15,IF(+S75&gt;+$M$15,"YES","No"),"No")</f>
        <v>No</v>
      </c>
      <c r="U77" s="23" t="str">
        <f>IF(+U75&gt;$L$15,IF(+U75&gt;+$M$15,"YES","No"),"No")</f>
        <v>No</v>
      </c>
      <c r="W77" s="23" t="str">
        <f>IF(+W75&gt;$L$15,IF(+W75&gt;+$M$15,"YES","No"),"No")</f>
        <v>No</v>
      </c>
      <c r="X77" s="23"/>
      <c r="Y77" s="23" t="str">
        <f>IF(+Y75&gt;$L$15,IF(+Y75&gt;+$M$15,"YES","No"),"No")</f>
        <v>No</v>
      </c>
      <c r="Z77" s="23"/>
      <c r="AA77" s="23" t="str">
        <f>IF(+AA75&gt;$L$15,IF(+AA75&gt;+$M$15,"YES","No"),"No")</f>
        <v>No</v>
      </c>
      <c r="AC77" s="23" t="str">
        <f>IF(+AC75&gt;$L$15,IF(+AC75&gt;+$M$15,"YES","No"),"No")</f>
        <v>No</v>
      </c>
      <c r="AE77" s="23" t="str">
        <f>IF(+AE75&gt;$L$15,IF(+AE75&gt;+$M$15,"YES","No"),"No")</f>
        <v>No</v>
      </c>
      <c r="AF77" s="23"/>
      <c r="AG77" s="23" t="str">
        <f>IF(+AG75&gt;$L$15,IF(+AG75&gt;+$M$15,"YES","No"),"No")</f>
        <v>No</v>
      </c>
      <c r="AH77" s="23"/>
      <c r="AI77" s="23" t="str">
        <f>IF(+AI75&gt;$L$15,IF(+AI75&gt;+$M$15,"YES","No"),"No")</f>
        <v>No</v>
      </c>
      <c r="AJ77" s="23"/>
      <c r="AK77" s="23" t="str">
        <f>IF(+AK75&gt;$L$15,IF(+AK75&gt;+$M$15,"YES","No"),"No")</f>
        <v>No</v>
      </c>
      <c r="AM77" s="23" t="str">
        <f>IF(+AM75&gt;$L$15,IF(+AM75&gt;+$M$15,"YES","No"),"No")</f>
        <v>No</v>
      </c>
    </row>
    <row r="78" spans="13:39">
      <c r="Q78" s="23"/>
      <c r="S78" s="23"/>
      <c r="U78" s="23"/>
      <c r="W78" s="23"/>
      <c r="X78" s="23"/>
      <c r="Y78" s="23"/>
      <c r="Z78" s="23"/>
      <c r="AA78" s="23"/>
      <c r="AC78" s="23"/>
      <c r="AE78" s="23"/>
      <c r="AF78" s="23"/>
      <c r="AG78" s="23"/>
      <c r="AH78" s="23"/>
      <c r="AI78" s="23"/>
      <c r="AJ78" s="23"/>
      <c r="AK78" s="23"/>
      <c r="AM78" s="23"/>
    </row>
    <row r="79" spans="13:39">
      <c r="Q79" s="23">
        <f>+'SR IS'!CC23</f>
        <v>0</v>
      </c>
      <c r="R79" s="23"/>
      <c r="S79" s="23">
        <f>+'SR IS'!CH23</f>
        <v>66678</v>
      </c>
      <c r="U79" s="23">
        <f>+'SR IS'!CJ23</f>
        <v>175320</v>
      </c>
      <c r="W79" s="23">
        <f>+'SR IS'!CL23</f>
        <v>211080</v>
      </c>
      <c r="X79" s="23"/>
      <c r="Y79" s="23">
        <f>+'SR IS'!CN23</f>
        <v>272779</v>
      </c>
      <c r="Z79" s="23"/>
      <c r="AA79" s="23">
        <f>+'SR IS'!CP23</f>
        <v>338610</v>
      </c>
      <c r="AC79" s="23">
        <f>+'SR IS'!CU23</f>
        <v>249699</v>
      </c>
      <c r="AE79" s="23">
        <f>+'SR IS'!CW23</f>
        <v>0</v>
      </c>
      <c r="AF79" s="23"/>
      <c r="AG79" s="23">
        <f>+'SR IS'!CY23</f>
        <v>100801</v>
      </c>
      <c r="AH79" s="23"/>
      <c r="AI79" s="23">
        <f>+'SR IS'!DA23</f>
        <v>0</v>
      </c>
      <c r="AJ79" s="23"/>
      <c r="AK79" s="23">
        <f>+'SR IS'!DC23</f>
        <v>24352</v>
      </c>
      <c r="AM79" s="23">
        <f>+'SR IS'!DO23</f>
        <v>104225</v>
      </c>
    </row>
    <row r="80" spans="13:39">
      <c r="Q80" s="23" t="str">
        <f>+IF(+Q79&gt;+$L$19,"YES","No")</f>
        <v>No</v>
      </c>
      <c r="S80" s="23" t="str">
        <f>+IF(+S79&gt;+$L$19,"YES","No")</f>
        <v>No</v>
      </c>
      <c r="U80" s="23" t="str">
        <f>+IF(+U79&gt;+$L$19,"YES","No")</f>
        <v>No</v>
      </c>
      <c r="W80" s="23" t="str">
        <f>+IF(+W79&gt;+$L$19,"YES","No")</f>
        <v>No</v>
      </c>
      <c r="X80" s="23"/>
      <c r="Y80" s="23" t="str">
        <f>+IF(+Y79&gt;+$L$19,"YES","No")</f>
        <v>No</v>
      </c>
      <c r="Z80" s="23"/>
      <c r="AA80" s="23" t="str">
        <f>+IF(+AA79&gt;+$L$19,"YES","No")</f>
        <v>No</v>
      </c>
      <c r="AC80" s="23" t="str">
        <f>+IF(+AC79&gt;+$L$19,"YES","No")</f>
        <v>No</v>
      </c>
      <c r="AE80" s="23" t="str">
        <f>+IF(+AE79&gt;+$L$19,"YES","No")</f>
        <v>No</v>
      </c>
      <c r="AF80" s="23"/>
      <c r="AG80" s="23" t="str">
        <f>+IF(+AG79&gt;+$L$19,"YES","No")</f>
        <v>No</v>
      </c>
      <c r="AH80" s="23"/>
      <c r="AI80" s="23" t="str">
        <f>+IF(+AI79&gt;+$L$19,"YES","No")</f>
        <v>No</v>
      </c>
      <c r="AJ80" s="23"/>
      <c r="AK80" s="23" t="str">
        <f>+IF(+AK79&gt;+$L$19,"YES","No")</f>
        <v>No</v>
      </c>
      <c r="AM80" s="23" t="str">
        <f>+IF(+AM79&gt;+$L$19,"YES","No")</f>
        <v>No</v>
      </c>
    </row>
    <row r="81" spans="17:39">
      <c r="Q81" s="23" t="str">
        <f>IF(+Q79&gt;$L$19,IF(+Q79&gt;+$M$19,"YES","No"),"No")</f>
        <v>No</v>
      </c>
      <c r="S81" s="23" t="str">
        <f>IF(+S79&gt;$L$19,IF(+S79&gt;+$M$19,"YES","No"),"No")</f>
        <v>No</v>
      </c>
      <c r="U81" s="23" t="str">
        <f>IF(+U79&gt;$L$19,IF(+U79&gt;+$M$19,"YES","No"),"No")</f>
        <v>No</v>
      </c>
      <c r="W81" s="23" t="str">
        <f>IF(+W79&gt;$L$19,IF(+W79&gt;+$M$19,"YES","No"),"No")</f>
        <v>No</v>
      </c>
      <c r="X81" s="23"/>
      <c r="Y81" s="23" t="str">
        <f>IF(+Y79&gt;$L$19,IF(+Y79&gt;+$M$19,"YES","No"),"No")</f>
        <v>No</v>
      </c>
      <c r="Z81" s="23"/>
      <c r="AA81" s="23" t="str">
        <f>IF(+AA79&gt;$L$19,IF(+AA79&gt;+$M$19,"YES","No"),"No")</f>
        <v>No</v>
      </c>
      <c r="AC81" s="23" t="str">
        <f>IF(+AC79&gt;$L$19,IF(+AC79&gt;+$M$19,"YES","No"),"No")</f>
        <v>No</v>
      </c>
      <c r="AE81" s="23" t="str">
        <f>IF(+AE79&gt;$L$19,IF(+AE79&gt;+$M$19,"YES","No"),"No")</f>
        <v>No</v>
      </c>
      <c r="AF81" s="23"/>
      <c r="AG81" s="23" t="str">
        <f>IF(+AG79&gt;$L$19,IF(+AG79&gt;+$M$19,"YES","No"),"No")</f>
        <v>No</v>
      </c>
      <c r="AH81" s="23"/>
      <c r="AI81" s="23" t="str">
        <f>IF(+AI79&gt;$L$19,IF(+AI79&gt;+$M$19,"YES","No"),"No")</f>
        <v>No</v>
      </c>
      <c r="AJ81" s="23"/>
      <c r="AK81" s="23" t="str">
        <f>IF(+AK79&gt;$L$19,IF(+AK79&gt;+$M$19,"YES","No"),"No")</f>
        <v>No</v>
      </c>
      <c r="AM81" s="23" t="str">
        <f>IF(+AM79&gt;$L$19,IF(+AM79&gt;+$M$19,"YES","No"),"No")</f>
        <v>No</v>
      </c>
    </row>
    <row r="82" spans="17:39">
      <c r="Q82" s="23"/>
      <c r="S82" s="23"/>
      <c r="U82" s="23"/>
      <c r="W82" s="23"/>
      <c r="X82" s="23"/>
      <c r="Y82" s="23"/>
      <c r="Z82" s="23"/>
      <c r="AA82" s="23"/>
      <c r="AC82" s="23"/>
      <c r="AE82" s="23"/>
      <c r="AF82" s="23"/>
      <c r="AG82" s="23"/>
      <c r="AH82" s="23"/>
      <c r="AI82" s="23"/>
      <c r="AJ82" s="23"/>
      <c r="AK82" s="23"/>
      <c r="AM82" s="23"/>
    </row>
    <row r="83" spans="17:39">
      <c r="Q83" s="23">
        <f>+'SR IS'!CC36</f>
        <v>0</v>
      </c>
      <c r="S83" s="23">
        <f>+'SR IS'!CH36</f>
        <v>2020387</v>
      </c>
      <c r="U83" s="23">
        <f>+'SR IS'!CJ36</f>
        <v>0</v>
      </c>
      <c r="W83" s="23">
        <f>+'SR IS'!CL36</f>
        <v>153943</v>
      </c>
      <c r="X83" s="23"/>
      <c r="Y83" s="23">
        <f>+'SR IS'!CN36</f>
        <v>187603</v>
      </c>
      <c r="Z83" s="23"/>
      <c r="AA83" s="23">
        <f>+'SR IS'!CP36</f>
        <v>663993</v>
      </c>
      <c r="AC83" s="23">
        <f>+'SR IS'!CU36</f>
        <v>407489</v>
      </c>
      <c r="AE83" s="23">
        <f>+'SR IS'!CW36</f>
        <v>22045</v>
      </c>
      <c r="AF83" s="23"/>
      <c r="AG83" s="23">
        <f>+'SR IS'!CY36</f>
        <v>50045</v>
      </c>
      <c r="AH83" s="23"/>
      <c r="AI83" s="23">
        <f>+'SR IS'!DA36</f>
        <v>0</v>
      </c>
      <c r="AJ83" s="23"/>
      <c r="AK83" s="23">
        <f>+'SR IS'!DC36</f>
        <v>41093</v>
      </c>
      <c r="AM83" s="23">
        <f>+'SR IS'!DO36</f>
        <v>87008</v>
      </c>
    </row>
    <row r="84" spans="17:39">
      <c r="Q84" s="23" t="str">
        <f>+IF(+Q83&gt;+$L$23,"YES","No")</f>
        <v>No</v>
      </c>
      <c r="S84" s="23" t="str">
        <f>+IF(+S83&gt;+$L$23,"YES","No")</f>
        <v>No</v>
      </c>
      <c r="U84" s="23" t="str">
        <f>+IF(+U83&gt;+$L$23,"YES","No")</f>
        <v>No</v>
      </c>
      <c r="W84" s="23" t="str">
        <f>+IF(+W83&gt;+$L$23,"YES","No")</f>
        <v>No</v>
      </c>
      <c r="X84" s="23"/>
      <c r="Y84" s="23" t="str">
        <f>+IF(+Y83&gt;+$L$23,"YES","No")</f>
        <v>No</v>
      </c>
      <c r="Z84" s="23"/>
      <c r="AA84" s="23" t="str">
        <f>+IF(+AA83&gt;+$L$23,"YES","No")</f>
        <v>No</v>
      </c>
      <c r="AC84" s="23" t="str">
        <f>+IF(+AC83&gt;+$L$23,"YES","No")</f>
        <v>No</v>
      </c>
      <c r="AE84" s="23" t="str">
        <f>+IF(+AE83&gt;+$L$23,"YES","No")</f>
        <v>No</v>
      </c>
      <c r="AF84" s="23"/>
      <c r="AG84" s="23" t="str">
        <f>+IF(+AG83&gt;+$L$23,"YES","No")</f>
        <v>No</v>
      </c>
      <c r="AH84" s="23"/>
      <c r="AI84" s="23" t="str">
        <f>+IF(+AI83&gt;+$L$23,"YES","No")</f>
        <v>No</v>
      </c>
      <c r="AJ84" s="23"/>
      <c r="AK84" s="23" t="str">
        <f>+IF(+AK83&gt;+$L$23,"YES","No")</f>
        <v>No</v>
      </c>
      <c r="AM84" s="23" t="str">
        <f>+IF(+AM83&gt;+$L$23,"YES","No")</f>
        <v>No</v>
      </c>
    </row>
    <row r="85" spans="17:39">
      <c r="Q85" s="23" t="str">
        <f>IF(+Q83&gt;$L$23,IF(+Q83&gt;+$M$23,"YES","No"),"No")</f>
        <v>No</v>
      </c>
      <c r="S85" s="23" t="str">
        <f>IF(+S83&gt;$L$23,IF(+S83&gt;+$M$23,"YES","No"),"No")</f>
        <v>No</v>
      </c>
      <c r="U85" s="23" t="str">
        <f>IF(+U83&gt;$L$23,IF(+U83&gt;+$M$23,"YES","No"),"No")</f>
        <v>No</v>
      </c>
      <c r="W85" s="23" t="str">
        <f>IF(+W83&gt;$L$23,IF(+W83&gt;+$M$23,"YES","No"),"No")</f>
        <v>No</v>
      </c>
      <c r="X85" s="23"/>
      <c r="Y85" s="23" t="str">
        <f>IF(+Y83&gt;$L$23,IF(+Y83&gt;+$M$23,"YES","No"),"No")</f>
        <v>No</v>
      </c>
      <c r="Z85" s="23"/>
      <c r="AA85" s="23" t="str">
        <f>IF(+AA83&gt;$L$23,IF(+AA83&gt;+$M$23,"YES","No"),"No")</f>
        <v>No</v>
      </c>
      <c r="AC85" s="23" t="str">
        <f>IF(+AC83&gt;$L$23,IF(+AC83&gt;+$M$23,"YES","No"),"No")</f>
        <v>No</v>
      </c>
      <c r="AE85" s="23" t="str">
        <f>IF(+AE83&gt;$L$23,IF(+AE83&gt;+$M$23,"YES","No"),"No")</f>
        <v>No</v>
      </c>
      <c r="AF85" s="23"/>
      <c r="AG85" s="23" t="str">
        <f>IF(+AG83&gt;$L$23,IF(+AG83&gt;+$M$23,"YES","No"),"No")</f>
        <v>No</v>
      </c>
      <c r="AH85" s="23"/>
      <c r="AI85" s="23" t="str">
        <f>IF(+AI83&gt;$L$23,IF(+AI83&gt;+$M$23,"YES","No"),"No")</f>
        <v>No</v>
      </c>
      <c r="AJ85" s="23"/>
      <c r="AK85" s="23" t="str">
        <f>IF(+AK83&gt;$L$23,IF(+AK83&gt;+$M$23,"YES","No"),"No")</f>
        <v>No</v>
      </c>
      <c r="AM85" s="23" t="str">
        <f>IF(+AM83&gt;$L$23,IF(+AM83&gt;+$M$23,"YES","No"),"No")</f>
        <v>No</v>
      </c>
    </row>
    <row r="88" spans="17:39">
      <c r="Q88" s="26"/>
      <c r="S88" s="28" t="s">
        <v>1297</v>
      </c>
      <c r="T88" s="28"/>
      <c r="U88" s="26" t="s">
        <v>901</v>
      </c>
      <c r="AI88" s="28" t="s">
        <v>315</v>
      </c>
    </row>
    <row r="89" spans="17:39">
      <c r="Q89" s="28" t="s">
        <v>956</v>
      </c>
      <c r="S89" s="28" t="s">
        <v>552</v>
      </c>
      <c r="T89" s="28"/>
      <c r="U89" s="28" t="s">
        <v>119</v>
      </c>
      <c r="AI89" s="28" t="s">
        <v>1297</v>
      </c>
    </row>
    <row r="90" spans="17:39">
      <c r="Q90" s="29" t="s">
        <v>835</v>
      </c>
      <c r="R90" s="29"/>
      <c r="S90" s="29" t="s">
        <v>856</v>
      </c>
      <c r="T90" s="29"/>
      <c r="U90" s="29" t="s">
        <v>762</v>
      </c>
      <c r="AI90" s="29" t="s">
        <v>221</v>
      </c>
    </row>
    <row r="92" spans="17:39">
      <c r="Q92" s="23">
        <f>+'Govt BS'!G39</f>
        <v>9514638</v>
      </c>
      <c r="S92" s="23">
        <f>+'Govt BS'!H39</f>
        <v>6881945</v>
      </c>
      <c r="U92" s="23">
        <f>+'SR BS'!DP37</f>
        <v>371646</v>
      </c>
      <c r="AI92" s="23">
        <f>SUM(Q11:AM11)+SUM(Q31:AM31)+SUM(Q51:AM51)+SUM(Q71:AM71)+SUM(Q92:AH92)</f>
        <v>35310487</v>
      </c>
      <c r="AK92">
        <f>+D11</f>
        <v>35310487</v>
      </c>
      <c r="AM92">
        <f>+AK92-AI92</f>
        <v>0</v>
      </c>
    </row>
    <row r="93" spans="17:39">
      <c r="Q93" s="145" t="str">
        <f>+IF(+Q92&gt;+$L$11,"YES","No")</f>
        <v>YES</v>
      </c>
      <c r="S93" s="145" t="str">
        <f>+IF(+S92&gt;+$L$11,"YES","No")</f>
        <v>No</v>
      </c>
      <c r="U93" s="23" t="str">
        <f>+IF(+U92&gt;+$L$11,"YES","No")</f>
        <v>No</v>
      </c>
      <c r="AI93" s="23"/>
    </row>
    <row r="94" spans="17:39">
      <c r="Q94" s="145" t="str">
        <f>IF(+Q92&gt;$L$11,IF(+Q92&gt;+$M$11,"YES","No"),"No")</f>
        <v>YES</v>
      </c>
      <c r="S94" s="145" t="str">
        <f>IF(+S92&gt;$L$11,IF(+S92&gt;+$M$11,"YES","No"),"No")</f>
        <v>No</v>
      </c>
      <c r="U94" s="23" t="str">
        <f>IF(+U92&gt;$L$11,IF(+U92&gt;+$M$11,"YES","No"),"No")</f>
        <v>No</v>
      </c>
      <c r="AI94" s="23"/>
    </row>
    <row r="95" spans="17:39">
      <c r="Q95" s="23"/>
      <c r="S95" s="23"/>
      <c r="U95" s="23"/>
      <c r="AI95" s="23"/>
    </row>
    <row r="96" spans="17:39">
      <c r="Q96" s="23">
        <f>+'Govt BS'!G90+'Govt BS'!G108</f>
        <v>9802352</v>
      </c>
      <c r="S96" s="23">
        <f>+'Govt BS'!H90+'Govt BS'!H108</f>
        <v>68566</v>
      </c>
      <c r="U96" s="23">
        <f>+'SR BS'!DP68+'SR BS'!DP71</f>
        <v>0</v>
      </c>
      <c r="AI96" s="23">
        <f>SUM(Q15:AM15)+SUM(Q35:AM35)+SUM(Q55:AM55)+SUM(Q75:AM75)+SUM(Q96:AH96)</f>
        <v>12058988</v>
      </c>
      <c r="AK96">
        <f>+D15</f>
        <v>12058988</v>
      </c>
      <c r="AM96">
        <f>+AK96-AI96</f>
        <v>0</v>
      </c>
    </row>
    <row r="97" spans="17:39">
      <c r="Q97" s="145" t="str">
        <f>+IF(+Q96&gt;+$L$15,"YES","No")</f>
        <v>YES</v>
      </c>
      <c r="S97" s="23" t="str">
        <f>+IF(+S96&gt;+$L$15,"YES","No")</f>
        <v>No</v>
      </c>
      <c r="U97" s="23" t="str">
        <f>+IF(+U96&gt;+$L$15,"YES","No")</f>
        <v>No</v>
      </c>
      <c r="AI97" s="23"/>
    </row>
    <row r="98" spans="17:39">
      <c r="Q98" s="145" t="str">
        <f>IF(+Q96&gt;$L$15,IF(+Q96&gt;+$M$15,"YES","No"),"No")</f>
        <v>YES</v>
      </c>
      <c r="S98" s="23" t="str">
        <f>IF(+S96&gt;$L$15,IF(+S96&gt;+$M$15,"YES","No"),"No")</f>
        <v>No</v>
      </c>
      <c r="U98" s="23" t="str">
        <f>IF(+U96&gt;$L$15,IF(+U96&gt;+$M$15,"YES","No"),"No")</f>
        <v>No</v>
      </c>
      <c r="AI98" s="23"/>
    </row>
    <row r="99" spans="17:39">
      <c r="Q99" s="23"/>
      <c r="S99" s="23"/>
      <c r="U99" s="23"/>
      <c r="AI99" s="23"/>
    </row>
    <row r="100" spans="17:39">
      <c r="Q100" s="23">
        <f>+'Govt IS'!G24</f>
        <v>2480548</v>
      </c>
      <c r="S100" s="23">
        <f>+'Govt IS'!H24</f>
        <v>1959517</v>
      </c>
      <c r="U100" s="23">
        <f>+'SR IS'!DU23</f>
        <v>17652</v>
      </c>
      <c r="AI100" s="23">
        <f>SUM(Q19:AM19)+SUM(Q39:AM39)+SUM(Q59:AM59)+SUM(Q79:AM79)+SUM(Q100:AH100)</f>
        <v>42169068</v>
      </c>
      <c r="AK100">
        <f>+D19</f>
        <v>42169068</v>
      </c>
      <c r="AM100">
        <f>+AK100-AI100</f>
        <v>0</v>
      </c>
    </row>
    <row r="101" spans="17:39">
      <c r="Q101" s="23" t="str">
        <f>+IF(+Q100&gt;+$L$19,"YES","No")</f>
        <v>No</v>
      </c>
      <c r="S101" s="23" t="str">
        <f>+IF(+S100&gt;+$L$19,"YES","No")</f>
        <v>No</v>
      </c>
      <c r="U101" s="23" t="str">
        <f>+IF(+U100&gt;+$L$19,"YES","No")</f>
        <v>No</v>
      </c>
      <c r="AI101" s="23"/>
    </row>
    <row r="102" spans="17:39">
      <c r="Q102" s="23" t="str">
        <f>IF(+Q100&gt;$L$19,IF(+Q100&gt;+$M$19,"YES","No"),"No")</f>
        <v>No</v>
      </c>
      <c r="S102" s="23" t="str">
        <f>IF(+S100&gt;$L$19,IF(+S100&gt;+$M$19,"YES","No"),"No")</f>
        <v>No</v>
      </c>
      <c r="U102" s="23" t="str">
        <f>IF(+U100&gt;$L$19,IF(+U100&gt;+$M$19,"YES","No"),"No")</f>
        <v>No</v>
      </c>
      <c r="AI102" s="23"/>
    </row>
    <row r="103" spans="17:39">
      <c r="Q103" s="23"/>
      <c r="S103" s="23"/>
      <c r="U103" s="23"/>
      <c r="AI103" s="23"/>
    </row>
    <row r="104" spans="17:39">
      <c r="Q104" s="23">
        <f>+'Govt IS'!G37</f>
        <v>2361630</v>
      </c>
      <c r="S104" s="23">
        <f>+'Govt IS'!H37</f>
        <v>924002</v>
      </c>
      <c r="U104" s="23">
        <f>+'SR IS'!DU36</f>
        <v>9770</v>
      </c>
      <c r="AI104" s="23">
        <f>SUM(Q23:AM23)+SUM(Q43:AM43)+SUM(Q63:AM63)+SUM(Q83:AM83)+SUM(Q104:AH104)</f>
        <v>39444612</v>
      </c>
      <c r="AK104">
        <f>+D23</f>
        <v>39444612</v>
      </c>
      <c r="AM104">
        <f>+AK104-AI104</f>
        <v>0</v>
      </c>
    </row>
    <row r="105" spans="17:39">
      <c r="Q105" s="23" t="str">
        <f>+IF(+Q104&gt;+$L$23,"YES","No")</f>
        <v>No</v>
      </c>
      <c r="S105" s="23" t="str">
        <f>+IF(+S104&gt;+$L$23,"YES","No")</f>
        <v>No</v>
      </c>
      <c r="U105" s="23" t="str">
        <f>+IF(+U104&gt;+$L$23,"YES","No")</f>
        <v>No</v>
      </c>
    </row>
    <row r="106" spans="17:39">
      <c r="Q106" s="23" t="str">
        <f>IF(+Q104&gt;$L$23,IF(+Q104&gt;+$M$23,"YES","No"),"No")</f>
        <v>No</v>
      </c>
      <c r="S106" s="23" t="str">
        <f>IF(+S104&gt;$L$23,IF(+S104&gt;+$M$23,"YES","No"),"No")</f>
        <v>No</v>
      </c>
      <c r="U106" s="23" t="str">
        <f>IF(+U104&gt;$L$23,IF(+U104&gt;+$M$23,"YES","No"),"No")</f>
        <v>No</v>
      </c>
    </row>
    <row r="109" spans="17:39">
      <c r="AH109" s="23"/>
      <c r="AI109" s="23"/>
    </row>
    <row r="110" spans="17:39">
      <c r="AH110" s="23"/>
      <c r="AI110" s="23"/>
    </row>
  </sheetData>
  <phoneticPr fontId="0" type="noConversion"/>
  <pageMargins left="0.25" right="0.25" top="0.3" bottom="0.48" header="0.24" footer="0.26"/>
  <pageSetup scale="74" orientation="landscape" r:id="rId1"/>
  <headerFooter alignWithMargins="0">
    <oddFooter>&amp;L&amp;D&amp;C&amp;P&amp;R&amp;F</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g n K K U M 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g n K K 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J y i l A o i k e 4 D g A A A B E A A A A T A B w A R m 9 y b X V s Y X M v U 2 V j d G l v b j E u b S C i G A A o o B Q A A A A A A A A A A A A A A A A A A A A A A A A A A A A r T k 0 u y c z P U w i G 0 I b W A F B L A Q I t A B Q A A g A I A I J y i l D G r a w E p w A A A P g A A A A S A A A A A A A A A A A A A A A A A A A A A A B D b 2 5 m a W c v U G F j a 2 F n Z S 5 4 b W x Q S w E C L Q A U A A I A C A C C c o p Q D 8 r p q 6 Q A A A D p A A A A E w A A A A A A A A A A A A A A A A D z A A A A W 0 N v b n R l b n R f V H l w Z X N d L n h t b F B L A Q I t A B Q A A g A I A I J y i l 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B w Y U M 0 W A v Q J b 3 H g C S P N f 5 A A A A A A I A A A A A A A N m A A D A A A A A E A A A A I q p B 6 Z x x R k A 8 + N W f P 8 9 4 I I A A A A A B I A A A K A A A A A Q A A A A Y Q Q X g r 3 n q W q e k g o T E r L t B F A A A A A e z h n 0 5 n t Q 1 q V H 3 p R k O 3 9 v + D n L 0 / G / a F U Z / i + R X p x 4 H v 3 n N C G x Z k O G A t L h c z n D 1 q G f t x 0 2 u r c 7 Y O L d Z W v I F k Z s X C r t c G X R h a E U Y S 8 Y F q s k T x Q A A A A d V Q A D W 1 k D G o G J r i X l t r 9 Z U + 8 + 3 g = = < / D a t a M a s h u p > 
</file>

<file path=customXml/itemProps1.xml><?xml version="1.0" encoding="utf-8"?>
<ds:datastoreItem xmlns:ds="http://schemas.openxmlformats.org/officeDocument/2006/customXml" ds:itemID="{D4D9D87B-585E-4952-AEE7-87191638B7A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69</vt:i4>
      </vt:variant>
      <vt:variant>
        <vt:lpstr>Named Ranges</vt:lpstr>
      </vt:variant>
      <vt:variant>
        <vt:i4>202</vt:i4>
      </vt:variant>
    </vt:vector>
  </HeadingPairs>
  <TitlesOfParts>
    <vt:vector size="271" baseType="lpstr">
      <vt:lpstr>Note 1C</vt:lpstr>
      <vt:lpstr>Note 2B</vt:lpstr>
      <vt:lpstr>Note 11,21</vt:lpstr>
      <vt:lpstr>Note 10,17</vt:lpstr>
      <vt:lpstr>OPEB, note 14</vt:lpstr>
      <vt:lpstr>OPEB</vt:lpstr>
      <vt:lpstr>Pension</vt:lpstr>
      <vt:lpstr>TO DO</vt:lpstr>
      <vt:lpstr>Maj Funds</vt:lpstr>
      <vt:lpstr>Sys INPUT</vt:lpstr>
      <vt:lpstr>INPUT</vt:lpstr>
      <vt:lpstr>Stmt of Net Pos</vt:lpstr>
      <vt:lpstr>Stmet of Actvty</vt:lpstr>
      <vt:lpstr>CALC NA</vt:lpstr>
      <vt:lpstr>Govt BS</vt:lpstr>
      <vt:lpstr>Govt IS</vt:lpstr>
      <vt:lpstr>GEN BUDACT</vt:lpstr>
      <vt:lpstr>GEN BUDACT (Govtwide)</vt:lpstr>
      <vt:lpstr>MAJ GOV BUDACT</vt:lpstr>
      <vt:lpstr>MAJ GOV BUDACT (2)</vt:lpstr>
      <vt:lpstr>MAJ GOV BUDACT (3)</vt:lpstr>
      <vt:lpstr>PROPNA</vt:lpstr>
      <vt:lpstr>PROPREV</vt:lpstr>
      <vt:lpstr>PROPCF</vt:lpstr>
      <vt:lpstr>FID NA</vt:lpstr>
      <vt:lpstr>FIDCH NA</vt:lpstr>
      <vt:lpstr>COMBING BS</vt:lpstr>
      <vt:lpstr>SR BS</vt:lpstr>
      <vt:lpstr>DS BS</vt:lpstr>
      <vt:lpstr>CP BS</vt:lpstr>
      <vt:lpstr>COMBING IS</vt:lpstr>
      <vt:lpstr>DS IS</vt:lpstr>
      <vt:lpstr>CP IS</vt:lpstr>
      <vt:lpstr>SR IS</vt:lpstr>
      <vt:lpstr>SR BUDACT</vt:lpstr>
      <vt:lpstr>DS BUDACT</vt:lpstr>
      <vt:lpstr>CP BUDACT</vt:lpstr>
      <vt:lpstr>ENT BS</vt:lpstr>
      <vt:lpstr>ENT IS</vt:lpstr>
      <vt:lpstr>ENT CF</vt:lpstr>
      <vt:lpstr>IS BS</vt:lpstr>
      <vt:lpstr>IS IS</vt:lpstr>
      <vt:lpstr>IS CF</vt:lpstr>
      <vt:lpstr>FIDCOMBIT NP</vt:lpstr>
      <vt:lpstr>FIDCOMBCH NP</vt:lpstr>
      <vt:lpstr>Cust Funds NP</vt:lpstr>
      <vt:lpstr>Cust Funds Chg in NP</vt:lpstr>
      <vt:lpstr>FID FDS</vt:lpstr>
      <vt:lpstr>FIDCH FDS</vt:lpstr>
      <vt:lpstr>PERM BS</vt:lpstr>
      <vt:lpstr>PERM IS</vt:lpstr>
      <vt:lpstr>GFBS ER</vt:lpstr>
      <vt:lpstr>GEN BUDACT ER</vt:lpstr>
      <vt:lpstr>SR BUDACT ER</vt:lpstr>
      <vt:lpstr>SRBS ER</vt:lpstr>
      <vt:lpstr>DSBS ER</vt:lpstr>
      <vt:lpstr>DS BUDACT ER</vt:lpstr>
      <vt:lpstr>CPBS ER</vt:lpstr>
      <vt:lpstr>CP BUDACT ER</vt:lpstr>
      <vt:lpstr>ENBS ER</vt:lpstr>
      <vt:lpstr>ENIS ER</vt:lpstr>
      <vt:lpstr>TA BS ER</vt:lpstr>
      <vt:lpstr>TA IS ER</vt:lpstr>
      <vt:lpstr>Agency transfer JV</vt:lpstr>
      <vt:lpstr>DOA DATA Load</vt:lpstr>
      <vt:lpstr>Sheet2</vt:lpstr>
      <vt:lpstr>FB Instruction for calc</vt:lpstr>
      <vt:lpstr>CU BS Don't Use FY21</vt:lpstr>
      <vt:lpstr>COMP UNIT IS Don't Use FY21</vt:lpstr>
      <vt:lpstr>'CPBS ER'!ERCPBS</vt:lpstr>
      <vt:lpstr>'ENBS ER'!ERCPBS</vt:lpstr>
      <vt:lpstr>'CPBS ER'!ERCPBS5</vt:lpstr>
      <vt:lpstr>'CP BUDACT ER'!ERCPIS</vt:lpstr>
      <vt:lpstr>'ENIS ER'!ERCPIS</vt:lpstr>
      <vt:lpstr>'CP BUDACT ER'!ERCPIS5</vt:lpstr>
      <vt:lpstr>'CP BUDACT ER'!ERCPIS5_1</vt:lpstr>
      <vt:lpstr>'CPBS ER'!ERDSBS</vt:lpstr>
      <vt:lpstr>'DSBS ER'!ERDSBS</vt:lpstr>
      <vt:lpstr>'ENBS ER'!ERDSBS</vt:lpstr>
      <vt:lpstr>'DSBS ER'!ERDSBS5</vt:lpstr>
      <vt:lpstr>'CP BUDACT ER'!ERDSIS</vt:lpstr>
      <vt:lpstr>'DS BUDACT ER'!ERDSIS</vt:lpstr>
      <vt:lpstr>'ENIS ER'!ERDSIS</vt:lpstr>
      <vt:lpstr>'DS BUDACT ER'!ERDSIS5</vt:lpstr>
      <vt:lpstr>'ENBS ER'!ERENBS</vt:lpstr>
      <vt:lpstr>'ENBS ER'!ERENBS_1</vt:lpstr>
      <vt:lpstr>'ENBS ER'!ERENBS5</vt:lpstr>
      <vt:lpstr>'ENIS ER'!ERENBS5</vt:lpstr>
      <vt:lpstr>'ENBS ER'!ERENBS5_1</vt:lpstr>
      <vt:lpstr>'ENIS ER'!ERENIS</vt:lpstr>
      <vt:lpstr>'ENIS ER'!ERENIS5</vt:lpstr>
      <vt:lpstr>'ENIS ER'!ERENIS5_1</vt:lpstr>
      <vt:lpstr>'GFBS ER'!ERGFBS5</vt:lpstr>
      <vt:lpstr>'GFBS ER'!ERGFBS5_1</vt:lpstr>
      <vt:lpstr>'GFBS ER'!ERGFBS5_2</vt:lpstr>
      <vt:lpstr>'GFBS ER'!ERGFBS5_3</vt:lpstr>
      <vt:lpstr>'GEN BUDACT ER'!ERGFIS_E</vt:lpstr>
      <vt:lpstr>'GEN BUDACT ER'!ERGFIS_E_1</vt:lpstr>
      <vt:lpstr>'GEN BUDACT ER'!ERGFIS_E_2</vt:lpstr>
      <vt:lpstr>'GEN BUDACT ER'!ERGFIS_E_3</vt:lpstr>
      <vt:lpstr>'GEN BUDACT ER'!ERGFIS_E_4</vt:lpstr>
      <vt:lpstr>'GEN BUDACT ER'!ERGFISE5</vt:lpstr>
      <vt:lpstr>'GEN BUDACT ER'!ERGFISR5</vt:lpstr>
      <vt:lpstr>'CPBS ER'!ERSRBS</vt:lpstr>
      <vt:lpstr>'DSBS ER'!ERSRBS</vt:lpstr>
      <vt:lpstr>'ENBS ER'!ERSRBS</vt:lpstr>
      <vt:lpstr>'SRBS ER'!ERSRBS</vt:lpstr>
      <vt:lpstr>'CPBS ER'!ERSRBS_1</vt:lpstr>
      <vt:lpstr>'DSBS ER'!ERSRBS_1</vt:lpstr>
      <vt:lpstr>'ENBS ER'!ERSRBS_1</vt:lpstr>
      <vt:lpstr>'SRBS ER'!ERSRBS_1</vt:lpstr>
      <vt:lpstr>'CPBS ER'!ERSRBS_2</vt:lpstr>
      <vt:lpstr>'DSBS ER'!ERSRBS_2</vt:lpstr>
      <vt:lpstr>'ENBS ER'!ERSRBS_2</vt:lpstr>
      <vt:lpstr>'SRBS ER'!ERSRBS_2</vt:lpstr>
      <vt:lpstr>'SRBS ER'!ERSRBS5</vt:lpstr>
      <vt:lpstr>'CP BUDACT ER'!ERSRIS</vt:lpstr>
      <vt:lpstr>'DS BUDACT ER'!ERSRIS</vt:lpstr>
      <vt:lpstr>'ENIS ER'!ERSRIS</vt:lpstr>
      <vt:lpstr>'SR BUDACT ER'!ERSRIS</vt:lpstr>
      <vt:lpstr>'CP BUDACT ER'!ERSRIS_1</vt:lpstr>
      <vt:lpstr>'DS BUDACT ER'!ERSRIS_1</vt:lpstr>
      <vt:lpstr>'ENIS ER'!ERSRIS_1</vt:lpstr>
      <vt:lpstr>'SR BUDACT ER'!ERSRIS_1</vt:lpstr>
      <vt:lpstr>'CP BUDACT ER'!ERSRIS_2</vt:lpstr>
      <vt:lpstr>'DS BUDACT ER'!ERSRIS_2</vt:lpstr>
      <vt:lpstr>'ENIS ER'!ERSRIS_2</vt:lpstr>
      <vt:lpstr>'SR BUDACT ER'!ERSRIS_2</vt:lpstr>
      <vt:lpstr>'CP BUDACT ER'!ERSRIS_3</vt:lpstr>
      <vt:lpstr>'DS BUDACT ER'!ERSRIS_3</vt:lpstr>
      <vt:lpstr>'ENIS ER'!ERSRIS_3</vt:lpstr>
      <vt:lpstr>'SR BUDACT ER'!ERSRIS_3</vt:lpstr>
      <vt:lpstr>'CP BUDACT ER'!ERSRIS_4</vt:lpstr>
      <vt:lpstr>'DS BUDACT ER'!ERSRIS_4</vt:lpstr>
      <vt:lpstr>'ENIS ER'!ERSRIS_4</vt:lpstr>
      <vt:lpstr>'SR BUDACT ER'!ERSRIS_4</vt:lpstr>
      <vt:lpstr>'CP BUDACT ER'!ERSRIS_5</vt:lpstr>
      <vt:lpstr>'DS BUDACT ER'!ERSRIS_5</vt:lpstr>
      <vt:lpstr>'ENIS ER'!ERSRIS_5</vt:lpstr>
      <vt:lpstr>'SR BUDACT ER'!ERSRIS_5</vt:lpstr>
      <vt:lpstr>'CP BUDACT ER'!ERSRIS_6</vt:lpstr>
      <vt:lpstr>'DS BUDACT ER'!ERSRIS_6</vt:lpstr>
      <vt:lpstr>'ENIS ER'!ERSRIS_6</vt:lpstr>
      <vt:lpstr>'SR BUDACT ER'!ERSRIS_6</vt:lpstr>
      <vt:lpstr>'CP BUDACT ER'!ERSRIS_7</vt:lpstr>
      <vt:lpstr>'DS BUDACT ER'!ERSRIS_7</vt:lpstr>
      <vt:lpstr>'ENIS ER'!ERSRIS_7</vt:lpstr>
      <vt:lpstr>'SR BUDACT ER'!ERSRIS_7</vt:lpstr>
      <vt:lpstr>'CP BUDACT ER'!ERSRIS_8</vt:lpstr>
      <vt:lpstr>'DS BUDACT ER'!ERSRIS_8</vt:lpstr>
      <vt:lpstr>'ENIS ER'!ERSRIS_8</vt:lpstr>
      <vt:lpstr>'SR BUDACT ER'!ERSRIS_8</vt:lpstr>
      <vt:lpstr>'SR BUDACT ER'!ERSRIS5</vt:lpstr>
      <vt:lpstr>'Agency transfer JV'!Print_Area</vt:lpstr>
      <vt:lpstr>'CALC NA'!Print_Area</vt:lpstr>
      <vt:lpstr>'COMBING BS'!Print_Area</vt:lpstr>
      <vt:lpstr>'COMBING IS'!Print_Area</vt:lpstr>
      <vt:lpstr>'COMP UNIT IS Don''t Use FY21'!Print_Area</vt:lpstr>
      <vt:lpstr>'CP BS'!Print_Area</vt:lpstr>
      <vt:lpstr>'CP BUDACT'!Print_Area</vt:lpstr>
      <vt:lpstr>'CP BUDACT ER'!Print_Area</vt:lpstr>
      <vt:lpstr>'CP IS'!Print_Area</vt:lpstr>
      <vt:lpstr>'CU BS Don''t Use FY21'!Print_Area</vt:lpstr>
      <vt:lpstr>'Cust Funds Chg in NP'!Print_Area</vt:lpstr>
      <vt:lpstr>'Cust Funds NP'!Print_Area</vt:lpstr>
      <vt:lpstr>'DS BS'!Print_Area</vt:lpstr>
      <vt:lpstr>'DS BUDACT'!Print_Area</vt:lpstr>
      <vt:lpstr>'DS BUDACT ER'!Print_Area</vt:lpstr>
      <vt:lpstr>'DS IS'!Print_Area</vt:lpstr>
      <vt:lpstr>'ENIS ER'!Print_Area</vt:lpstr>
      <vt:lpstr>'ENT BS'!Print_Area</vt:lpstr>
      <vt:lpstr>'ENT CF'!Print_Area</vt:lpstr>
      <vt:lpstr>'ENT IS'!Print_Area</vt:lpstr>
      <vt:lpstr>'FID FDS'!Print_Area</vt:lpstr>
      <vt:lpstr>'FID NA'!Print_Area</vt:lpstr>
      <vt:lpstr>'FIDCH FDS'!Print_Area</vt:lpstr>
      <vt:lpstr>'FIDCH NA'!Print_Area</vt:lpstr>
      <vt:lpstr>'FIDCOMBCH NP'!Print_Area</vt:lpstr>
      <vt:lpstr>'FIDCOMBIT NP'!Print_Area</vt:lpstr>
      <vt:lpstr>'GEN BUDACT'!Print_Area</vt:lpstr>
      <vt:lpstr>'GEN BUDACT (Govtwide)'!Print_Area</vt:lpstr>
      <vt:lpstr>'GEN BUDACT ER'!Print_Area</vt:lpstr>
      <vt:lpstr>'Govt BS'!Print_Area</vt:lpstr>
      <vt:lpstr>INPUT!Print_Area</vt:lpstr>
      <vt:lpstr>'IS BS'!Print_Area</vt:lpstr>
      <vt:lpstr>'IS CF'!Print_Area</vt:lpstr>
      <vt:lpstr>'IS IS'!Print_Area</vt:lpstr>
      <vt:lpstr>'Maj Funds'!Print_Area</vt:lpstr>
      <vt:lpstr>'MAJ GOV BUDACT'!Print_Area</vt:lpstr>
      <vt:lpstr>'MAJ GOV BUDACT (2)'!Print_Area</vt:lpstr>
      <vt:lpstr>'MAJ GOV BUDACT (3)'!Print_Area</vt:lpstr>
      <vt:lpstr>OPEB!Print_Area</vt:lpstr>
      <vt:lpstr>Pension!Print_Area</vt:lpstr>
      <vt:lpstr>'PERM BS'!Print_Area</vt:lpstr>
      <vt:lpstr>'PERM IS'!Print_Area</vt:lpstr>
      <vt:lpstr>PROPCF!Print_Area</vt:lpstr>
      <vt:lpstr>PROPNA!Print_Area</vt:lpstr>
      <vt:lpstr>PROPREV!Print_Area</vt:lpstr>
      <vt:lpstr>'SR BS'!Print_Area</vt:lpstr>
      <vt:lpstr>'SR BUDACT'!Print_Area</vt:lpstr>
      <vt:lpstr>'SR BUDACT ER'!Print_Area</vt:lpstr>
      <vt:lpstr>'SR IS'!Print_Area</vt:lpstr>
      <vt:lpstr>'Stmet of Actvty'!Print_Area</vt:lpstr>
      <vt:lpstr>'Stmt of Net Pos'!Print_Area</vt:lpstr>
      <vt:lpstr>'DS BUDACT'!Print_Titles</vt:lpstr>
      <vt:lpstr>INPUT!Print_Titles</vt:lpstr>
      <vt:lpstr>OPEB!Print_Titles</vt:lpstr>
      <vt:lpstr>Pension!Print_Titles</vt:lpstr>
      <vt:lpstr>'SR BUDACT'!Print_Titles</vt:lpstr>
      <vt:lpstr>'SR BUDACT ER'!Print_Titles</vt:lpstr>
      <vt:lpstr>'Sys INPUT'!Print_Titles</vt:lpstr>
      <vt:lpstr>'CPBS ER'!Query_from_ERLIB2</vt:lpstr>
      <vt:lpstr>'DSBS ER'!Query_from_ERLIB2</vt:lpstr>
      <vt:lpstr>'ENBS ER'!Query_from_ERLIB2</vt:lpstr>
      <vt:lpstr>'ENIS ER'!Query_from_ERLIB2</vt:lpstr>
      <vt:lpstr>'GEN BUDACT ER'!Query_from_ERLIB2</vt:lpstr>
      <vt:lpstr>'GFBS ER'!Query_from_ERLIB2</vt:lpstr>
      <vt:lpstr>'SRBS ER'!Query_from_ERLIB2</vt:lpstr>
      <vt:lpstr>'CPBS ER'!Query_from_ERLIB2_1</vt:lpstr>
      <vt:lpstr>'DSBS ER'!Query_from_ERLIB2_1</vt:lpstr>
      <vt:lpstr>'ENBS ER'!Query_from_ERLIB2_1</vt:lpstr>
      <vt:lpstr>'GFBS ER'!Query_from_ERLIB2_1</vt:lpstr>
      <vt:lpstr>'SRBS ER'!Query_from_ERLIB2_1</vt:lpstr>
      <vt:lpstr>'CPBS ER'!Query_from_ERLIB2_2</vt:lpstr>
      <vt:lpstr>'DSBS ER'!Query_from_ERLIB2_2</vt:lpstr>
      <vt:lpstr>'ENBS ER'!Query_from_ERLIB2_2</vt:lpstr>
      <vt:lpstr>'GFBS ER'!Query_from_ERLIB2_2</vt:lpstr>
      <vt:lpstr>'SRBS ER'!Query_from_ERLIB2_2</vt:lpstr>
      <vt:lpstr>'CPBS ER'!Query_from_ERLIB2_3</vt:lpstr>
      <vt:lpstr>'DSBS ER'!Query_from_ERLIB2_3</vt:lpstr>
      <vt:lpstr>'ENBS ER'!Query_from_ERLIB2_3</vt:lpstr>
      <vt:lpstr>'GFBS ER'!Query_from_ERLIB2_3</vt:lpstr>
      <vt:lpstr>'SRBS ER'!Query_from_ERLIB2_3</vt:lpstr>
      <vt:lpstr>'CPBS ER'!Query_from_ERLIB2_4</vt:lpstr>
      <vt:lpstr>'DSBS ER'!Query_from_ERLIB2_4</vt:lpstr>
      <vt:lpstr>'SRBS ER'!Query_from_ERLIB2_4</vt:lpstr>
      <vt:lpstr>'CP BUDACT ER'!Query_from_Finance</vt:lpstr>
      <vt:lpstr>'CPBS ER'!Query_from_Finance</vt:lpstr>
      <vt:lpstr>'DS BUDACT ER'!Query_from_Finance</vt:lpstr>
      <vt:lpstr>'DSBS ER'!Query_from_Finance</vt:lpstr>
      <vt:lpstr>'ENBS ER'!Query_from_Finance</vt:lpstr>
      <vt:lpstr>'ENIS ER'!Query_from_Finance</vt:lpstr>
      <vt:lpstr>'GEN BUDACT ER'!Query_from_Finance</vt:lpstr>
      <vt:lpstr>'GFBS ER'!Query_from_Finance</vt:lpstr>
      <vt:lpstr>'SR BUDACT ER'!Query_from_Finance</vt:lpstr>
      <vt:lpstr>'SRBS ER'!Query_from_Finance</vt:lpstr>
      <vt:lpstr>'CP BUDACT ER'!Query_from_Finance_1</vt:lpstr>
      <vt:lpstr>'CPBS ER'!Query_from_Finance_1</vt:lpstr>
      <vt:lpstr>'DS BUDACT ER'!Query_from_Finance_1</vt:lpstr>
      <vt:lpstr>'DSBS ER'!Query_from_Finance_1</vt:lpstr>
      <vt:lpstr>'ENBS ER'!Query_from_Finance_1</vt:lpstr>
      <vt:lpstr>'ENIS ER'!Query_from_Finance_1</vt:lpstr>
      <vt:lpstr>'GEN BUDACT ER'!Query_from_Finance_1</vt:lpstr>
      <vt:lpstr>'GFBS ER'!Query_from_Finance_1</vt:lpstr>
      <vt:lpstr>'CP BUDACT ER'!Query_from_Finance_2</vt:lpstr>
      <vt:lpstr>'CPBS ER'!Query_from_Finance_2</vt:lpstr>
      <vt:lpstr>'DS BUDACT ER'!Query_from_Finance_2</vt:lpstr>
      <vt:lpstr>'GFBS ER'!Query_from_Finance_2</vt:lpstr>
      <vt:lpstr>'CPBS ER'!Query_from_Finance_3</vt:lpstr>
      <vt:lpstr>'CP BUDACT ER'!Query_from_Queries</vt:lpstr>
      <vt:lpstr>'CPBS ER'!Query_from_Queries</vt:lpstr>
      <vt:lpstr>'ENBS ER'!Query_from_Queries</vt:lpstr>
      <vt:lpstr>'GFBS ER'!Query_from_Queries</vt:lpstr>
      <vt:lpstr>'SR BUDACT ER'!Query_from_Queries</vt:lpstr>
      <vt:lpstr>'SRBS ER'!Query_from_Queries</vt:lpstr>
      <vt:lpstr>'ENBS ER'!Query_from_Queries_1</vt:lpstr>
      <vt:lpstr>'GEN BUDACT ER'!Query_from_Queries_1</vt:lpstr>
      <vt:lpstr>'SR BUDACT ER'!Query_from_Queries_1</vt:lpstr>
      <vt:lpstr>'ENBS ER'!Query_from_Queries_2</vt:lpstr>
      <vt:lpstr>'ENBS ER'!Query_from_Queries_3</vt:lpstr>
      <vt:lpstr>'ENBS ER'!Query_from_Queries_4</vt:lpstr>
    </vt:vector>
  </TitlesOfParts>
  <Company>Lewis &amp; Clark County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Computer Specialist</dc:creator>
  <cp:lastModifiedBy>Sherry Peets</cp:lastModifiedBy>
  <cp:lastPrinted>2023-10-02T21:23:32Z</cp:lastPrinted>
  <dcterms:created xsi:type="dcterms:W3CDTF">2001-05-24T16:20:02Z</dcterms:created>
  <dcterms:modified xsi:type="dcterms:W3CDTF">2023-12-22T18:56:57Z</dcterms:modified>
</cp:coreProperties>
</file>